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drawings/drawing7.xml" ContentType="application/vnd.openxmlformats-officedocument.drawingml.chartshapes+xml"/>
  <Override PartName="/xl/charts/chart6.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ml.chartshapes+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3.xml" ContentType="application/vnd.openxmlformats-officedocument.drawingml.chartshape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126"/>
  <workbookPr codeName="ThisWorkbook" defaultThemeVersion="124226"/>
  <mc:AlternateContent xmlns:mc="http://schemas.openxmlformats.org/markup-compatibility/2006">
    <mc:Choice Requires="x15">
      <x15ac:absPath xmlns:x15ac="http://schemas.microsoft.com/office/spreadsheetml/2010/11/ac" url="C:\Users\Karnkumar Dalmia\Desktop\monte_carlo\"/>
    </mc:Choice>
  </mc:AlternateContent>
  <xr:revisionPtr revIDLastSave="0" documentId="10_ncr:100000_{3123777E-74C3-4C7B-BE11-DFF7B25B6DF0}" xr6:coauthVersionLast="31" xr6:coauthVersionMax="31" xr10:uidLastSave="{00000000-0000-0000-0000-000000000000}"/>
  <bookViews>
    <workbookView xWindow="852" yWindow="288" windowWidth="11436" windowHeight="5952" tabRatio="800" firstSheet="12" activeTab="13" xr2:uid="{00000000-000D-0000-FFFF-FFFF00000000}"/>
  </bookViews>
  <sheets>
    <sheet name="Inst" sheetId="36" r:id="rId1"/>
    <sheet name="Input" sheetId="37" r:id="rId2"/>
    <sheet name="Current_Prior" sheetId="38" r:id="rId3"/>
    <sheet name="HistInfo" sheetId="39" r:id="rId4"/>
    <sheet name="Capital_Dep" sheetId="40" r:id="rId5"/>
    <sheet name="PPT" sheetId="41" r:id="rId6"/>
    <sheet name="Calc" sheetId="42" r:id="rId7"/>
    <sheet name="PPD_DD_2" sheetId="43" r:id="rId8"/>
    <sheet name="FT_PPD_DD" sheetId="44" r:id="rId9"/>
    <sheet name="Instructions" sheetId="16" r:id="rId10"/>
    <sheet name="Basic Project Info" sheetId="15" r:id="rId11"/>
    <sheet name="Project_Exp" sheetId="29" r:id="rId12"/>
    <sheet name="Financial Summary" sheetId="30" r:id="rId13"/>
    <sheet name="Assumptions" sheetId="35" r:id="rId14"/>
    <sheet name="REV Worksheet" sheetId="22" r:id="rId15"/>
    <sheet name="COGS Worksheet" sheetId="23" r:id="rId16"/>
    <sheet name="FTEs" sheetId="20" r:id="rId17"/>
    <sheet name="Income Statement" sheetId="3" r:id="rId18"/>
    <sheet name="Amortz &amp; Depr" sheetId="9" r:id="rId19"/>
    <sheet name="CashFlow &amp; NPV" sheetId="6" r:id="rId20"/>
    <sheet name="Dbase Input" sheetId="28" r:id="rId21"/>
    <sheet name="G3 Input" sheetId="31" r:id="rId22"/>
    <sheet name="G3 Output" sheetId="34"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P" localSheetId="4">#REF!</definedName>
    <definedName name="\P">#REF!</definedName>
    <definedName name="\PP">#REF!</definedName>
    <definedName name="\Q">#REF!</definedName>
    <definedName name="___pg1" localSheetId="4">#REF!</definedName>
    <definedName name="___pg1" localSheetId="2">#REF!</definedName>
    <definedName name="___pg1" localSheetId="7">#REF!</definedName>
    <definedName name="___pg1" localSheetId="5">#REF!</definedName>
    <definedName name="___pg1">#REF!</definedName>
    <definedName name="__DTL1" localSheetId="4">#REF!</definedName>
    <definedName name="__DTL1" localSheetId="2">#REF!</definedName>
    <definedName name="__DTL1" localSheetId="7">#REF!</definedName>
    <definedName name="__DTL1" localSheetId="5">#REF!</definedName>
    <definedName name="__DTL1">#REF!</definedName>
    <definedName name="__pg1" localSheetId="4">#REF!</definedName>
    <definedName name="__pg1" localSheetId="2">#REF!</definedName>
    <definedName name="__pg1" localSheetId="7">#REF!</definedName>
    <definedName name="__pg1" localSheetId="5">#REF!</definedName>
    <definedName name="__pg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TL1" localSheetId="4">#REF!</definedName>
    <definedName name="_DTL1" localSheetId="2">#REF!</definedName>
    <definedName name="_DTL1" localSheetId="7">#REF!</definedName>
    <definedName name="_DTL1" localSheetId="5">#REF!</definedName>
    <definedName name="_DTL1">#REF!</definedName>
    <definedName name="_xlnm._FilterDatabase" localSheetId="16" hidden="1">FTEs!$C$79:$C$84</definedName>
    <definedName name="_Key1" localSheetId="4" hidden="1">#REF!</definedName>
    <definedName name="_Key1" localSheetId="2" hidden="1">#REF!</definedName>
    <definedName name="_Key1" localSheetId="7" hidden="1">#REF!</definedName>
    <definedName name="_Key1" localSheetId="5" hidden="1">#REF!</definedName>
    <definedName name="_Key1" hidden="1">#REF!</definedName>
    <definedName name="_Key2" localSheetId="4" hidden="1">#REF!</definedName>
    <definedName name="_Key2" localSheetId="2" hidden="1">#REF!</definedName>
    <definedName name="_Key2" localSheetId="7" hidden="1">#REF!</definedName>
    <definedName name="_Key2" localSheetId="5" hidden="1">#REF!</definedName>
    <definedName name="_Key2" hidden="1">#REF!</definedName>
    <definedName name="_Order1" hidden="1">255</definedName>
    <definedName name="_Order2" hidden="1">255</definedName>
    <definedName name="_pg1" localSheetId="4">#REF!</definedName>
    <definedName name="_pg1" localSheetId="2">#REF!</definedName>
    <definedName name="_pg1" localSheetId="7">#REF!</definedName>
    <definedName name="_pg1" localSheetId="5">#REF!</definedName>
    <definedName name="_pg1">#REF!</definedName>
    <definedName name="_Q">#REF!</definedName>
    <definedName name="_Sort" localSheetId="4" hidden="1">#REF!</definedName>
    <definedName name="_Sort" localSheetId="2" hidden="1">#REF!</definedName>
    <definedName name="_Sort" localSheetId="7" hidden="1">#REF!</definedName>
    <definedName name="_Sort" localSheetId="5" hidden="1">#REF!</definedName>
    <definedName name="_Sort" hidden="1">#REF!</definedName>
    <definedName name="_Table1_In1" localSheetId="4" hidden="1">#REF!</definedName>
    <definedName name="_Table1_In1" localSheetId="2" hidden="1">#REF!</definedName>
    <definedName name="_Table1_In1" localSheetId="7" hidden="1">#REF!</definedName>
    <definedName name="_Table1_In1" localSheetId="5" hidden="1">#REF!</definedName>
    <definedName name="_Table1_In1" hidden="1">#REF!</definedName>
    <definedName name="_Table1_Out" localSheetId="4" hidden="1">#REF!</definedName>
    <definedName name="_Table1_Out" localSheetId="2" hidden="1">#REF!</definedName>
    <definedName name="_Table1_Out" localSheetId="7" hidden="1">#REF!</definedName>
    <definedName name="_Table1_Out" localSheetId="5" hidden="1">#REF!</definedName>
    <definedName name="_Table1_Out" hidden="1">#REF!</definedName>
    <definedName name="asdgsdgd" hidden="1">#REF!</definedName>
    <definedName name="ASRFY">Input!$F$49</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1HY6E3GJ66ABU5ABN26V6Q13" hidden="1">#REF!</definedName>
    <definedName name="BEx01PW5YQKEGAR8JDDI5OARYXDF" hidden="1">#REF!</definedName>
    <definedName name="BEx01XJ94SHJ1YQ7ORPW0RQGKI2H"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F0SOZ3H5XUHXD7O01TCR8T6J" hidden="1">#REF!</definedName>
    <definedName name="BEx1F9HL824UCNCVZ2U62J4KZCX8" hidden="1">#REF!</definedName>
    <definedName name="BEx1FEVSJKTI1Q1Z874QZVFSJSVA" hidden="1">#REF!</definedName>
    <definedName name="BEx1FGDRUHHLI1GBHELT4PK0LY4V" hidden="1">#REF!</definedName>
    <definedName name="BEx1FJZ7GKO99IYTP6GGGF7EUL3Z" hidden="1">#REF!</definedName>
    <definedName name="BEx1FZV2CM77TBH1R6YYV9P06KA2" hidden="1">#REF!</definedName>
    <definedName name="BEx1G59AY8195JTUM6P18VXUFJ3E" hidden="1">#REF!</definedName>
    <definedName name="BEx1GVMRHFXUP6XYYY9NR12PV5TF" hidden="1">#REF!</definedName>
    <definedName name="BEx1H6KIT7BHUH6MDDWC935V9N47" hidden="1">#REF!</definedName>
    <definedName name="BEx1HDGOOJ3SKHYMWUZJ1P0RQZ9N" hidden="1">#REF!</definedName>
    <definedName name="BEx1HDM5ZXSJG6JQEMSFV52PZ10V" hidden="1">#REF!</definedName>
    <definedName name="BEx1HETBBZVN5F43LKOFMC4QB0CR" hidden="1">#REF!</definedName>
    <definedName name="BEx1HGWNWPLNXICOTP90TKQVVE4E" hidden="1">#REF!</definedName>
    <definedName name="BEx1HIPLJZABY0EMUOTZN0EQMDPU" hidden="1">#REF!</definedName>
    <definedName name="BEx1HO94JIRX219MPWMB5E5XZ04X" hidden="1">#REF!</definedName>
    <definedName name="BEx1HQNF6KHM21E3XLW0NMSSEI9S" hidden="1">#REF!</definedName>
    <definedName name="BEx1HSLNWIW4S97ZBYY7I7M5YVH4" hidden="1">#REF!</definedName>
    <definedName name="BEx1I4QKTILCKZUSOJCVZN7SNHL5" hidden="1">#REF!</definedName>
    <definedName name="BEx1IE0ZP7RIFM9FI24S9I6AAJ14" hidden="1">#REF!</definedName>
    <definedName name="BEx1IGQ5B697MNDOE06MVSR0H58E" hidden="1">#REF!</definedName>
    <definedName name="BEx1IKRPW8MLB9Y485M1TL2IT9SH" hidden="1">#REF!</definedName>
    <definedName name="BEx1J0CSSHDJGBJUHVOEMCF2P4DL" hidden="1">#REF!</definedName>
    <definedName name="BEx1J7E8VCGLPYU82QXVUG5N3ZAI"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XBM5W4YRWNQ0P95QQS6JWD6" hidden="1">#REF!</definedName>
    <definedName name="BEx1KGY9QEHZ9QSARMQUTQKRK4UX" hidden="1">#REF!</definedName>
    <definedName name="BEx1KKP1ELIF2UII2FWVGL7M1X7J" hidden="1">#REF!</definedName>
    <definedName name="BEx1KNEBSSDFDN11FQKLPEOE0Z7E" hidden="1">#REF!</definedName>
    <definedName name="BEx1KUVWMB0QCWA3RBE4CADFVRIS" hidden="1">#REF!</definedName>
    <definedName name="BEx1L2OG1SDFK2TPXELJ77YP4NI2" hidden="1">#REF!</definedName>
    <definedName name="BEx1L6Q60MWRDJB4L20LK0XPA0Z2"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M1WBK5T0LP1AK2JYV6W87ID6" hidden="1">#REF!</definedName>
    <definedName name="BEx1M51HHDYGIT8PON7U8ICL2S95" hidden="1">#REF!</definedName>
    <definedName name="BEx1MTRKKVCHOZ0YGID6HZ49LJTO" hidden="1">#REF!</definedName>
    <definedName name="BEx1N3CUJ3UX61X38ZAJVPEN4KMC"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LAZ915OGYWP0QP1QQWDLCRX" hidden="1">#REF!</definedName>
    <definedName name="BEx1OO5ER042IS6IC4TLDI75JNVH" hidden="1">#REF!</definedName>
    <definedName name="BEx1OTE54CBSUT8FWKRALEDCUWN4" hidden="1">#REF!</definedName>
    <definedName name="BEx1OVSMPADTX95QUOX34KZQ8EDY" hidden="1">#REF!</definedName>
    <definedName name="BEx1OX544IO9FQJI7YYQGZCEHB3O"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7S1J4TKGVJ43C2Q2R3M9WRB" hidden="1">#REF!</definedName>
    <definedName name="BEx1PA11BLPVZM8RC5BL46WX8YB5" hidden="1">#REF!</definedName>
    <definedName name="BEx1PBZ4BEFIPGMQXT9T8S4PZ2IM" hidden="1">#REF!</definedName>
    <definedName name="BEx1PLF2CFSXBZPVI6CJ534EIJDN" hidden="1">#REF!</definedName>
    <definedName name="BEx1PMWZB2DO6EM9BKLUICZJ65HD" hidden="1">#REF!</definedName>
    <definedName name="BEx1QA54J2A4I7IBQR19BTY28ZMR" hidden="1">#REF!</definedName>
    <definedName name="BEx1QMQAHG3KQUK59DVM68SWKZIZ" hidden="1">#REF!</definedName>
    <definedName name="BEx1R9YFKJCMSEST8OVCAO5E47FO" hidden="1">#REF!</definedName>
    <definedName name="BEx1RBGC06B3T52OIC0EQ1KGVP1I" hidden="1">#REF!</definedName>
    <definedName name="BEx1RRC7X4NI1CU4EO5XYE2GVARJ" hidden="1">#REF!</definedName>
    <definedName name="BEx1RZA1NCGT832L7EMR7GMF588W" hidden="1">#REF!</definedName>
    <definedName name="BEx1S0XGIPUSZQUCSGWSK10GKW7Y" hidden="1">#REF!</definedName>
    <definedName name="BEx1S5VFNKIXHTTCWSV60UC50EZ8" hidden="1">#REF!</definedName>
    <definedName name="BEx1SK3U02H0RGKEYXW7ZMCEOF3V" hidden="1">#REF!</definedName>
    <definedName name="BEx1SSNEZINBJT29QVS62VS1THT4" hidden="1">#REF!</definedName>
    <definedName name="BEx1SVNCHNANBJIDIQVB8AFK4HAN" hidden="1">#REF!</definedName>
    <definedName name="BEx1TJ0WLS9O7KNSGIPWTYHDYI1D"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ML0HHJFHA5TBOYQ24I3RV1W" hidden="1">#REF!</definedName>
    <definedName name="BEx1UUDIQPZ23XQ79GUL0RAWRSCK" hidden="1">#REF!</definedName>
    <definedName name="BEx1V19OS0V6XP4WXFI68ZHGTAUJ" hidden="1">#REF!</definedName>
    <definedName name="BEx1V67SEV778NVW68J8W5SND1J7" hidden="1">#REF!</definedName>
    <definedName name="BEx1VIY9SQLRESD11CC4PHYT0XSG" hidden="1">#REF!</definedName>
    <definedName name="BEx1WC67EH10SC38QWX3WEA5KH3A"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K8AAMO0AH0Z1OUKW30CA7EQ" hidden="1">#REF!</definedName>
    <definedName name="BEx1XL4MZ7C80495GHQRWOBS16PQ" hidden="1">#REF!</definedName>
    <definedName name="BEx1Y2IGS2K95E1M51PEF9KJZ0KB" hidden="1">#REF!</definedName>
    <definedName name="BEx1Y3PKK83X2FN9SAALFHOWKMRQ"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YP0FG369M7G3JEFLMMXAKTS" hidden="1">#REF!</definedName>
    <definedName name="BEx3C2QR0WUD19QSVO8EMIPNQJKH" hidden="1">#REF!</definedName>
    <definedName name="BEx3CKFCCPZZ6ROLAT5C1DZNIC1U" hidden="1">#REF!</definedName>
    <definedName name="BEx3CO0SVO4WLH0DO43DCHYDTH1P" hidden="1">#REF!</definedName>
    <definedName name="BEx3D9G6QTSPF9UYI4X0XY0VE896" hidden="1">#REF!</definedName>
    <definedName name="BEx3DCQU9PBRXIMLO62KS5RLH447" hidden="1">#REF!</definedName>
    <definedName name="BEx3EF99FD6QNNCNOKDEE67JHTUJ" hidden="1">#REF!</definedName>
    <definedName name="BEx3EHCSERZ2O2OAG8Y95UPG2IY9" hidden="1">#REF!</definedName>
    <definedName name="BEx3EJR3TCJDYS7ZXNDS5N9KTGIK" hidden="1">#REF!</definedName>
    <definedName name="BEx3ELJTTBS6P05CNISMGOJOA60V" hidden="1">#REF!</definedName>
    <definedName name="BEx3EQSLJBDDJRHNX19PBFCKNY2I" hidden="1">#REF!</definedName>
    <definedName name="BEx3EUUAX947Q5N6MY6W0KSNY78Y" hidden="1">#REF!</definedName>
    <definedName name="BEx3FHMD1P5XBCH23ZKIFO6ZTCNB" hidden="1">#REF!</definedName>
    <definedName name="BEx3FI2G3YYIACQHXNXEA15M8ZK5" hidden="1">#REF!</definedName>
    <definedName name="BEx3FJ9MHSLDK8W91GO85FX1GX57" hidden="1">#REF!</definedName>
    <definedName name="BEx3FR251HFU7A33PU01SJUENL2B"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CXR6IAS0B6WJ03GJVH7CO52" hidden="1">#REF!</definedName>
    <definedName name="BEx3GEVV18SEQDI1JGY7EN6D1GT1" hidden="1">#REF!</definedName>
    <definedName name="BEx3GKFH64MKQX61S7DYTZ15JCPY" hidden="1">#REF!</definedName>
    <definedName name="BEx3GMJ1Y6UU02DLRL0QXCEKDA6C" hidden="1">#REF!</definedName>
    <definedName name="BEx3GN4LY0135CBDIN1TU2UEODGF" hidden="1">#REF!</definedName>
    <definedName name="BEx3GPDH2AH4QKT4OOSN563XUHBD" hidden="1">#REF!</definedName>
    <definedName name="BEx3H5UX2GZFZZT657YR76RHW5I6" hidden="1">#REF!</definedName>
    <definedName name="BEx3HMSEFOP6DBM4R97XA6B7NFG6" hidden="1">#REF!</definedName>
    <definedName name="BEx3HWJ5SQSD2CVCQNR183X44FR8" hidden="1">#REF!</definedName>
    <definedName name="BEx3I09YVXO0G4X7KGSA4WGORM35" hidden="1">#REF!</definedName>
    <definedName name="BEx3ICF1GY8HQEBIU9S43PDJ90BX" hidden="1">#REF!</definedName>
    <definedName name="BEx3IYAH2DEBFWO8F94H4MXE3RLY" hidden="1">#REF!</definedName>
    <definedName name="BEx3IZXXSYEW50379N2EAFWO8DZV" hidden="1">#REF!</definedName>
    <definedName name="BEx3J1VZVGTKT4ATPO9O5JCSFTTR" hidden="1">#REF!</definedName>
    <definedName name="BEx3JC2TY7JNAAC3L7QHVPQXLGQ8" hidden="1">#REF!</definedName>
    <definedName name="BEx3JX23SYDIGOGM4Y0CQFBW8ZBV" hidden="1">#REF!</definedName>
    <definedName name="BEx3JXCXCVBZJGV5VEG9MJEI01AL" hidden="1">#REF!</definedName>
    <definedName name="BEx3JYK2N7X59TPJSKYZ77ENY8SS" hidden="1">#REF!</definedName>
    <definedName name="BEx3K4EII7GU1CG0BN7UL15M6J8Z" hidden="1">#REF!</definedName>
    <definedName name="BEx3K4ZXQUQ2KYZF74B84SO48XMW"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M1PR4Y7KINKMTMKR984GX8Q" hidden="1">#REF!</definedName>
    <definedName name="BEx3LPCEZ1C0XEKNCM3YT09JWCUO" hidden="1">#REF!</definedName>
    <definedName name="BEx3LXFQA9HM0QV5ICKPWJ6WXHTA" hidden="1">#REF!</definedName>
    <definedName name="BEx3M1MR1K1NQD03H74BFWOK4MWQ"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REOFWJQEYMCMBL7ZE06NBN6"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O19B8FTTAPVT5DZXQGQXWFR8" hidden="1">#REF!</definedName>
    <definedName name="BEx3O85IKWARA6NCJOLRBRJFMEWW" hidden="1">#REF!</definedName>
    <definedName name="BEx3OJZSCGFRW7SVGBFI0X9DNVMM" hidden="1">#REF!</definedName>
    <definedName name="BEx3ORSBUXAF21MKEY90YJV9AY9A" hidden="1">#REF!</definedName>
    <definedName name="BEx3OV8BH6PYNZT7C246LOAU9SVX" hidden="1">#REF!</definedName>
    <definedName name="BEx3OXRYJZUEY6E72UJU0PHLMYAR" hidden="1">#REF!</definedName>
    <definedName name="BEx3P59TTRSGQY888P5C1O7M2PQT"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P1RRSFZ8UC0JC9R91W6LNKW" hidden="1">#REF!</definedName>
    <definedName name="BEx3PVXYZC8WB9ZJE7OCKUXZ46EA" hidden="1">#REF!</definedName>
    <definedName name="BEx3Q0VWPU5EQECK7MQ47TYJ3SWW" hidden="1">#REF!</definedName>
    <definedName name="BEx3Q7BZ9PUXK2RLIOFSIS9AHU1B" hidden="1">#REF!</definedName>
    <definedName name="BEx3Q8J42S9VU6EAN2Y28MR6DF88" hidden="1">#REF!</definedName>
    <definedName name="BEx3QEDFOYFY5NBTININ5W4RLD4Q" hidden="1">#REF!</definedName>
    <definedName name="BEx3QIKJ3U962US1Q564NZDLU8LD" hidden="1">#REF!</definedName>
    <definedName name="BEx3QR9D45DHW50VQ7Y3Q1AXPOB9" hidden="1">#REF!</definedName>
    <definedName name="BEx3QSWT2S5KWG6U2V9711IYDQBM" hidden="1">#REF!</definedName>
    <definedName name="BEx3QVGG7Q2X4HZHJAM35A8T3VR7" hidden="1">#REF!</definedName>
    <definedName name="BEx3R0JUB9YN8PHPPQTAMIT1IHWK" hidden="1">#REF!</definedName>
    <definedName name="BEx3R81NFRO7M81VHVKOBFT0QBIL" hidden="1">#REF!</definedName>
    <definedName name="BEx3RHC2ZD5UFS6QD4OPFCNNMWH1" hidden="1">#REF!</definedName>
    <definedName name="BEx3RQ10QIWBAPHALAA91BUUCM2X" hidden="1">#REF!</definedName>
    <definedName name="BEx3RV4E1WT43SZBUN09RTB8EK1O" hidden="1">#REF!</definedName>
    <definedName name="BEx3RXYU0QLFXSFTM5EB20GD03W5" hidden="1">#REF!</definedName>
    <definedName name="BEx3RYKLC3QQO3XTUN7BEW2AQL98"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6MJ1QDJ929WMUDVZ0O3UW0Y" hidden="1">#REF!</definedName>
    <definedName name="BEx3TPCSI16OAB2L9M9IULQMQ9J9" hidden="1">#REF!</definedName>
    <definedName name="BEx3U64YUOZ419BAJS2W78UMATAW" hidden="1">#REF!</definedName>
    <definedName name="BEx3U94WCEA5DKMWBEX1GU0LKYG2"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YM19VIXLA0EU7LB9NHA77PB"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XHO7ZULLF2EUD7YIS0MGQJ5" hidden="1">#REF!</definedName>
    <definedName name="BEx58ZW0HAIGIPEX9CVA1PQQTR6X" hidden="1">#REF!</definedName>
    <definedName name="BEx59BA1KH3RG6K1LHL7YS2VB79N" hidden="1">#REF!</definedName>
    <definedName name="BEx59E9WABJP2TN71QAIKK79HPK9" hidden="1">#REF!</definedName>
    <definedName name="BEx59P7MAPNU129ZTC5H3EH892G1"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HSQ42B50IU1TEQFUXFX9XQD" hidden="1">#REF!</definedName>
    <definedName name="BEx5BKSM4UN4C1DM3EYKM79MRC5K" hidden="1">#REF!</definedName>
    <definedName name="BEx5BNN8NPH9KVOBARB9CDD9WLB6"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M3SYF9XP0ZZVE0GEPCLV3F" hidden="1">#REF!</definedName>
    <definedName name="BEx5CFYQ0F1Z6P8SCVJ0I3UPVFE4" hidden="1">#REF!</definedName>
    <definedName name="BEx5CINUDCSDCAJSNNV7XVNU8Q79"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8L47OF0WHBPFWXGZINZWUBZ" hidden="1">#REF!</definedName>
    <definedName name="BEx5DAJAHQ2SKUPCKSCR3PYML67L" hidden="1">#REF!</definedName>
    <definedName name="BEx5DC18JM1KJCV44PF18E0LNRKA" hidden="1">#REF!</definedName>
    <definedName name="BEx5DJIZBTNS011R9IIG2OQ2L6ZX" hidden="1">#REF!</definedName>
    <definedName name="BEx5E123OLO9WQUOIRIDJ967KAGK" hidden="1">#REF!</definedName>
    <definedName name="BEx5E2UU5NES6W779W2OZTZOB4O7" hidden="1">#REF!</definedName>
    <definedName name="BEx5E4CSE5G83J5K32WENF7BXL82" hidden="1">#REF!</definedName>
    <definedName name="BEx5ELQL9B0VR6UT18KP11DHOTFX" hidden="1">#REF!</definedName>
    <definedName name="BEx5ER4TJTFPN7IB1MNEB1ZFR5M6" hidden="1">#REF!</definedName>
    <definedName name="BEx5F6V72QTCK7O39Y59R0EVM6CW"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G08KGMG5X2AQKDGPFYG5GH94" hidden="1">#REF!</definedName>
    <definedName name="BEx5G1A8TFN4C4QII35U9DKYNIS8" hidden="1">#REF!</definedName>
    <definedName name="BEx5G1L0QO91KEPDMV1D8OT4BT73"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YUPJULJQ624TEESYFG1NFOH" hidden="1">#REF!</definedName>
    <definedName name="BEx5H0NEE0AIN5E2UHJ9J9ISU9N1" hidden="1">#REF!</definedName>
    <definedName name="BEx5H1UJSEUQM2K8QHQXO5THVHSO" hidden="1">#REF!</definedName>
    <definedName name="BEx5HAOT9XWUF7XIFRZZS8B9F5TZ" hidden="1">#REF!</definedName>
    <definedName name="BEx5HE4XRF9BUY04MENWY9CHHN5H" hidden="1">#REF!</definedName>
    <definedName name="BEx5HFHMABAT0H9KKS754X4T304E" hidden="1">#REF!</definedName>
    <definedName name="BEx5HGDZ7MX1S3KNXLRL9WU565V4" hidden="1">#REF!</definedName>
    <definedName name="BEx5HJZ9FAVNZSSBTAYRPZDYM9NU" hidden="1">#REF!</definedName>
    <definedName name="BEx5HZ9JMKHNLFWLVUB1WP5B39BL" hidden="1">#REF!</definedName>
    <definedName name="BEx5I244LQHZTF3XI66J8705R9XX"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J0FFP1KS4NGY20AEJI8VREEA" hidden="1">#REF!</definedName>
    <definedName name="BEx5JF3ZXLDIS8VNKDCY7ZI7H1CI" hidden="1">#REF!</definedName>
    <definedName name="BEx5JHCZJ8G6OOOW6EF3GABXKH6F" hidden="1">#REF!</definedName>
    <definedName name="BEx5JJB6W446THXQCRUKD3I7RKLP" hidden="1">#REF!</definedName>
    <definedName name="BEx5JNCT8Z7XSSPD5EMNAJELCU2V" hidden="1">#REF!</definedName>
    <definedName name="BEx5JQCNT9Y4RM306CHC8IPY3HBZ" hidden="1">#REF!</definedName>
    <definedName name="BEx5K08PYKE6JOKBYIB006TX619P" hidden="1">#REF!</definedName>
    <definedName name="BEx5K51DSERT1TR7B4A29R41W4NX" hidden="1">#REF!</definedName>
    <definedName name="BEx5KYER580I4T7WTLMUN7NLNP5K" hidden="1">#REF!</definedName>
    <definedName name="BEx5LHLB3M6K4ZKY2F42QBZT30ZH" hidden="1">#REF!</definedName>
    <definedName name="BEx5LRMNU3HXIE1BUMDHRU31F7JJ" hidden="1">#REF!</definedName>
    <definedName name="BEx5LSJ1LPUAX3ENSPECWPG4J7D1" hidden="1">#REF!</definedName>
    <definedName name="BEx5LTKQ8RQWJE4BC88OP928893U" hidden="1">#REF!</definedName>
    <definedName name="BEx5MB9BR71LZDG7XXQ2EO58JC5F" hidden="1">#REF!</definedName>
    <definedName name="BEx5MLQZM68YQSKARVWTTPINFQ2C" hidden="1">#REF!</definedName>
    <definedName name="BEx5MVXTKNBXHNWTL43C670E4KXC" hidden="1">#REF!</definedName>
    <definedName name="BEx5N4XI4PWB1W9PMZ4O5R0HWTYD" hidden="1">#REF!</definedName>
    <definedName name="BEx5NA68N6FJFX9UJXK4M14U487F" hidden="1">#REF!</definedName>
    <definedName name="BEx5NIKBG2GDJOYGE3WCXKU7YY51" hidden="1">#REF!</definedName>
    <definedName name="BEx5NV06L5J5IMKGOMGKGJ4PBZCD" hidden="1">#REF!</definedName>
    <definedName name="BEx5NZSSQ6PY99ZX2D7Q9IGOR34W" hidden="1">#REF!</definedName>
    <definedName name="BEx5O3ZUQ2OARA1CDOZ3NC4UE5AA" hidden="1">#REF!</definedName>
    <definedName name="BEx5OAFS0NJ2CB86A02E1JYHMLQ1" hidden="1">#REF!</definedName>
    <definedName name="BEx5OG4RPU8W1ETWDWM234NYYYEN" hidden="1">#REF!</definedName>
    <definedName name="BEx5OP9Y43F99O2IT69MKCCXGL61" hidden="1">#REF!</definedName>
    <definedName name="BEx5P9Y9RDXNUAJ6CZ2LHMM8IM7T" hidden="1">#REF!</definedName>
    <definedName name="BEx5PHWB2C0D5QLP3BZIP3UO7DIZ" hidden="1">#REF!</definedName>
    <definedName name="BEx5PJP02W68K2E46L5C5YBSNU6T" hidden="1">#REF!</definedName>
    <definedName name="BEx5PLCA8DOMAU315YCS5275L2HS" hidden="1">#REF!</definedName>
    <definedName name="BEx5PRXMZ5M65Z732WNNGV564C2J" hidden="1">#REF!</definedName>
    <definedName name="BEx5QPSW4IPLH50WSR87HRER05RF"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2RO48YFDO82ZQ6RP6FBI1S6" hidden="1">#REF!</definedName>
    <definedName name="BEx755GRRD9BL27YHLH5QWIYLWB7" hidden="1">#REF!</definedName>
    <definedName name="BEx759D1D5SXS5ELLZVBI0SXYUNF" hidden="1">#REF!</definedName>
    <definedName name="BEx75GJZSZHUDN6OOAGQYFUDA2LP" hidden="1">#REF!</definedName>
    <definedName name="BEx75HGCCV5K4UCJWYV8EV9AG5YT" hidden="1">#REF!</definedName>
    <definedName name="BEx75PZT8TY5P13U978NVBUXKHT4" hidden="1">#REF!</definedName>
    <definedName name="BEx75T55F7GML8V1DMWL26WRT006" hidden="1">#REF!</definedName>
    <definedName name="BEx75VJGR07JY6UUWURQ4PJ29UKC"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P0S3GVMS7BJUL9OWUGJ1B02" hidden="1">#REF!</definedName>
    <definedName name="BEx77QDESURI6WW5582YXSK3A972" hidden="1">#REF!</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9JK3E6JO8MX4O35A5G8NZCC8" hidden="1">#REF!</definedName>
    <definedName name="BEx79OCP4HQ6XP8EWNGEUDLOZBBS" hidden="1">#REF!</definedName>
    <definedName name="BEx79SEAYKUZB0H4LYBCD6WWJBG2" hidden="1">#REF!</definedName>
    <definedName name="BEx79SJRHTLS9PYM69O9BWW1FMJK" hidden="1">#REF!</definedName>
    <definedName name="BEx79YJJLBELICW9F9FRYSCQ101L" hidden="1">#REF!</definedName>
    <definedName name="BEx79YUC7B0V77FSBGIRCY1BR4VK" hidden="1">#REF!</definedName>
    <definedName name="BEx7A06T3RC2891FUX05G3QPRAUE" hidden="1">#REF!</definedName>
    <definedName name="BEx7A9S3JA1X7FH4CFSQLTZC4691" hidden="1">#REF!</definedName>
    <definedName name="BEx7ABA2C9IWH5VSLVLLLCY62161" hidden="1">#REF!</definedName>
    <definedName name="BEx7AE4LPLX8N85BYB0WCO5S7ZPV" hidden="1">#REF!</definedName>
    <definedName name="BEx7ASD1I654MEDCO6GGWA95PXSC" hidden="1">#REF!</definedName>
    <definedName name="BEx7AVCX9S5RJP3NSZ4QM4E6ERDT" hidden="1">#REF!</definedName>
    <definedName name="BEx7AVYIGP0930MV5JEBWRYCJN68" hidden="1">#REF!</definedName>
    <definedName name="BEx7B6LH6917TXOSAAQ6U7HVF018" hidden="1">#REF!</definedName>
    <definedName name="BEx7BPXFZXJ79FQ0E8AQE21PGVHA" hidden="1">#REF!</definedName>
    <definedName name="BEx7C04AM39DQMC1TIX7CFZ2ADHX" hidden="1">#REF!</definedName>
    <definedName name="BEx7C40F0PQURHPI6YQ39NFIR86Z" hidden="1">#REF!</definedName>
    <definedName name="BEx7C93VR7SYRIJS1JO8YZKSFAW9" hidden="1">#REF!</definedName>
    <definedName name="BEx7CCPC6R1KQQZ2JQU6EFI1G0RM"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5RWKRS4W71J4NZ6ZSFHPKFT" hidden="1">#REF!</definedName>
    <definedName name="BEx7D8H1TPOX1UN17QZYEV7Q58GA"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2QT2U8THYOKBPXONB1B47WH" hidden="1">#REF!</definedName>
    <definedName name="BEx7E5QP7W6UKO74F5Y0VJ741HS5" hidden="1">#REF!</definedName>
    <definedName name="BEx7E6N29HGH3I47AFB2DCS6MVS6" hidden="1">#REF!</definedName>
    <definedName name="BEx7EBA8IYHQKT7IQAOAML660SYA" hidden="1">#REF!</definedName>
    <definedName name="BEx7EBFP0A4GW3T68JPDFH3PKFJA" hidden="1">#REF!</definedName>
    <definedName name="BEx7EI6C8MCRZFEQYUBE5FSUTIHK" hidden="1">#REF!</definedName>
    <definedName name="BEx7EI6DL1Z6UWLFBXAKVGZTKHWJ" hidden="1">#REF!</definedName>
    <definedName name="BEx7EQKHX7GZYOLXRDU534TT4H64" hidden="1">#REF!</definedName>
    <definedName name="BEx7ETV6L1TM7JSXJIGK3FC6RVZW" hidden="1">#REF!</definedName>
    <definedName name="BEx7EYYLHMBYQTH6I377FCQS7CSX" hidden="1">#REF!</definedName>
    <definedName name="BEx7FCLG1RYI2SNOU1Y2GQZNZSWA" hidden="1">#REF!</definedName>
    <definedName name="BEx7FN32ZGWOAA4TTH79KINTDWR9" hidden="1">#REF!</definedName>
    <definedName name="BEx7G82CKM3NIY1PHNFK28M09PCH" hidden="1">#REF!</definedName>
    <definedName name="BEx7GR3ENYWRXXS5IT0UMEGOLGUH" hidden="1">#REF!</definedName>
    <definedName name="BEx7GSAL6P7TASL8MB63RFST1LJ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Q5T9FZ42QWS09UO4DT42Y0R" hidden="1">#REF!</definedName>
    <definedName name="BEx7HRCZE3CVGON1HV07MT5MNDZ3" hidden="1">#REF!</definedName>
    <definedName name="BEx7HWGE2CANG5M17X4C8YNC3N8F" hidden="1">#REF!</definedName>
    <definedName name="BEx7IBVYN47SFZIA0K4MDKQZNN9V" hidden="1">#REF!</definedName>
    <definedName name="BEx7IV2IJ5WT7UC0UG7WP0WF2JZI" hidden="1">#REF!</definedName>
    <definedName name="BEx7IXGU74GE5E4S6W4Z13AR092Y" hidden="1">#REF!</definedName>
    <definedName name="BEx7J4YL8Q3BI1MLH16YYQ18IJRD" hidden="1">#REF!</definedName>
    <definedName name="BEx7JH3HGBPI07OHZ5LFYK0UFZQR" hidden="1">#REF!</definedName>
    <definedName name="BEx7JV194190CNM6WWGQ3UBJ3CHH" hidden="1">#REF!</definedName>
    <definedName name="BEx7K7GZ607XQOGB81A1HINBTGOZ" hidden="1">#REF!</definedName>
    <definedName name="BEx7KEYPBDXSNROH8M6CDCBN6B50"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MAUI1JJFDIJGDW4RWY5384LY" hidden="1">#REF!</definedName>
    <definedName name="BEx7MJZO3UKAMJ53UWOJ5ZD4GGMQ" hidden="1">#REF!</definedName>
    <definedName name="BEx7MT4MFNXIVQGAT6D971GZW7CA" hidden="1">#REF!</definedName>
    <definedName name="BEx7NI062THZAM6I8AJWTFJL91CS" hidden="1">#REF!</definedName>
    <definedName name="BEx904S75BPRYMHF0083JF7ES4NG" hidden="1">#REF!</definedName>
    <definedName name="BEx90HDD4RWF7JZGA8GCGG7D63MG" hidden="1">#REF!</definedName>
    <definedName name="BEx90VGH5H09ON2QXYC9WIIEU98T" hidden="1">#REF!</definedName>
    <definedName name="BEx9175B70QXYAU5A8DJPGZQ46L9" hidden="1">#REF!</definedName>
    <definedName name="BEx91AQQRTV87AO27VWHSFZAD4ZR"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21PNZ46VORG2VRMWREWIC0S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PUBDIXAU1FW5ZAXECMAU0LN" hidden="1">#REF!</definedName>
    <definedName name="BEx92S8MHFFIVRQ2YSHZNQGOFUHD"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N7W5T3U7UOE97D6OVIBUCXS" hidden="1">#REF!</definedName>
    <definedName name="BEx955NIAWX5OLAHMTV6QFUZPR30" hidden="1">#REF!</definedName>
    <definedName name="BEx9581TYVI2M5TT4ISDAJV4W7Z6" hidden="1">#REF!</definedName>
    <definedName name="BEx95NHF4RVUE0YDOAFZEIVBYJXD"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H9O1NAKAPK4MX4PKO34ICL5" hidden="1">#REF!</definedName>
    <definedName name="BEx97HVA5F2I0D6ID81KCUDEQOIH" hidden="1">#REF!</definedName>
    <definedName name="BEx97MNUZQ1Z0AO2FL7XQYVNCPR7" hidden="1">#REF!</definedName>
    <definedName name="BEx97NPQBACJVD9K1YXI08RTW9E2" hidden="1">#REF!</definedName>
    <definedName name="BEx97RWQLXS0OORDCN69IGA58CWU" hidden="1">#REF!</definedName>
    <definedName name="BEx97YNGGDFIXHTMGFL2IHAQX9MI" hidden="1">#REF!</definedName>
    <definedName name="BEx981HW73BUZWT14TBTZHC0ZTJ4" hidden="1">#REF!</definedName>
    <definedName name="BEx9871KU0N99P0900EAK69VFYT2" hidden="1">#REF!</definedName>
    <definedName name="BEx98IFKNJFGZFLID1YTRFEG1SXY"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Q6PH5F3OQKCCAAO75PYDEFN" hidden="1">#REF!</definedName>
    <definedName name="BEx99WBYT2D6UUC1PT7A40ENYID4" hidden="1">#REF!</definedName>
    <definedName name="BEx99ZRZ4I7FHDPGRAT5VW7NVBPU" hidden="1">#REF!</definedName>
    <definedName name="BEx9AT5E3ZSHKSOL35O38L8HF9TH" hidden="1">#REF!</definedName>
    <definedName name="BEx9AV8W1FAWF5BHATYEN47X12JN" hidden="1">#REF!</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YSYW7QCPXS2NAVLFAU5Y2Z2" hidden="1">#REF!</definedName>
    <definedName name="BEx9C590HJ2O31IWJB73C1HR74AI" hidden="1">#REF!</definedName>
    <definedName name="BEx9CCQRMYYOGIOYTOM73VKDIPS1" hidden="1">#REF!</definedName>
    <definedName name="BEx9D1BC9FT19KY0INAABNDBAMR1" hidden="1">#REF!</definedName>
    <definedName name="BEx9DN6ZMF18Q39MPMXSDJTZQNJ3" hidden="1">#REF!</definedName>
    <definedName name="BEx9E14TDNSEMI784W0OTIEQMWN6" hidden="1">#REF!</definedName>
    <definedName name="BEx9E2BZ2B1R41FMGJCJ7JLGLUAJ" hidden="1">#REF!</definedName>
    <definedName name="BEx9EG9KBJ77M8LEOR9ITOKN5KXY" hidden="1">#REF!</definedName>
    <definedName name="BEx9EMK6HAJJMVYZTN5AUIV7O1E6" hidden="1">#REF!</definedName>
    <definedName name="BEx9EQLVZHYQ1TPX7WH3SOWXCZLE" hidden="1">#REF!</definedName>
    <definedName name="BEx9ETLU0EK5LGEM1QCNYN2S8O5F" hidden="1">#REF!</definedName>
    <definedName name="BEx9F0Y2ESUNE3U7TQDLMPE9BO6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RBEEYPS5HLS3XT34AKZN94G" hidden="1">#REF!</definedName>
    <definedName name="BEx9GDY4D8ZPQJCYFIMYM0V0C51Y" hidden="1">#REF!</definedName>
    <definedName name="BEx9GGY04V0ZWI6O9KZH4KSBB389" hidden="1">#REF!</definedName>
    <definedName name="BEx9GNOPB6OZ2RH3FCDNJR38RJOS" hidden="1">#REF!</definedName>
    <definedName name="BEx9GUQALUWCD30UKUQGSWW8KBQ7" hidden="1">#REF!</definedName>
    <definedName name="BEx9GY6BVFQGCLMOWVT6PIC9WP5X" hidden="1">#REF!</definedName>
    <definedName name="BEx9GZ2P3FDHKXEBXX2VS0BG2NP2" hidden="1">#REF!</definedName>
    <definedName name="BEx9H04IB14E1437FF2OIRRWBSD7" hidden="1">#REF!</definedName>
    <definedName name="BEx9H5O1KDZJCW91Q29VRPY5YS6P" hidden="1">#REF!</definedName>
    <definedName name="BEx9H8YR0E906F1JXZMBX3LNT004" hidden="1">#REF!</definedName>
    <definedName name="BEx9I8XIG7E5NB48QQHXP23FIN60" hidden="1">#REF!</definedName>
    <definedName name="BEx9IQRF01ATLVK0YE60ARKQJ68L" hidden="1">#REF!</definedName>
    <definedName name="BEx9IT5QNZWKM6YQ5WER0DC2PMMU" hidden="1">#REF!</definedName>
    <definedName name="BEx9IW5MFLXTVCJHVUZTUH93AXOS" hidden="1">#REF!</definedName>
    <definedName name="BEx9IXCSPSZC80YZUPRCYTG326KV" hidden="1">#REF!</definedName>
    <definedName name="BEx9IZR39NHDGOM97H4E6F81RTQW" hidden="1">#REF!</definedName>
    <definedName name="BEx9J6CH5E7YZPER7HXEIOIKGPCA" hidden="1">#REF!</definedName>
    <definedName name="BEx9JJTZKVUJAVPTRE0RAVTEH41G" hidden="1">#REF!</definedName>
    <definedName name="BEx9JLBYK239B3F841C7YG1GT7ST" hidden="1">#REF!</definedName>
    <definedName name="BExAW4IIW5D0MDY6TJ3G4FOLPYIR" hidden="1">#REF!</definedName>
    <definedName name="BExAX410NB4F2XOB84OR2197H8M5" hidden="1">#REF!</definedName>
    <definedName name="BExAX8TNG8LQ5Q4904SAYQIPGBSV" hidden="1">#REF!</definedName>
    <definedName name="BExAY0EAT2LXR5MFGM0DLIB45PLO" hidden="1">#REF!</definedName>
    <definedName name="BExAYE6LNIEBR9DSNI5JGNITGKIT" hidden="1">#REF!</definedName>
    <definedName name="BExAYHMLXGGO25P8HYB2S75DEB4F" hidden="1">#REF!</definedName>
    <definedName name="BExAYKXAUWGDOPG952TEJ2UKZKWN" hidden="1">#REF!</definedName>
    <definedName name="BExAYP9TDTI2MBP6EYE0H39CPMXN" hidden="1">#REF!</definedName>
    <definedName name="BExAYPPWJPWDKU59O051WMGB7O0J" hidden="1">#REF!</definedName>
    <definedName name="BExAYR2JZCJBUH6F1LZC2A7JIVRJ" hidden="1">#REF!</definedName>
    <definedName name="BExAYTGVRD3DLKO75RFPMBKCIWB8" hidden="1">#REF!</definedName>
    <definedName name="BExAYY9H9COOT46HJLPVDLTO12UL" hidden="1">#REF!</definedName>
    <definedName name="BExAZCNEGB4JYHC8CZ51KTN890US" hidden="1">#REF!</definedName>
    <definedName name="BExAZFCI302YFYRDJYQDWQQL0Q0O" hidden="1">#REF!</definedName>
    <definedName name="BExAZLHLST9OP89R1HJMC1POQG8H" hidden="1">#REF!</definedName>
    <definedName name="BExAZMDYMIAA7RX1BMCKU1VLBRGY" hidden="1">#REF!</definedName>
    <definedName name="BExAZNL6BHI8DCQWXOX4I2P839UX" hidden="1">#REF!</definedName>
    <definedName name="BExAZRMWSONMCG9KDUM4KAQ7BONM" hidden="1">#REF!</definedName>
    <definedName name="BExAZTFG4SJRG4TW6JXRF7N08JFI" hidden="1">#REF!</definedName>
    <definedName name="BExAZUS4A8OHDZK0MWAOCCCKTH73" hidden="1">#REF!</definedName>
    <definedName name="BExAZVDOD1F01JGWCK71M0LV97G2" hidden="1">#REF!</definedName>
    <definedName name="BExAZX6FECVK3E07KXM2XPYKGM6U" hidden="1">#REF!</definedName>
    <definedName name="BExB012NJ8GASTNNPBRRFTLHIOC9" hidden="1">#REF!</definedName>
    <definedName name="BExB072HHXVMUC0VYNGG48GRSH5Q" hidden="1">#REF!</definedName>
    <definedName name="BExB0FRDEYDEUEAB1W8KD6D965XA" hidden="1">#REF!</definedName>
    <definedName name="BExB0KPCN7YJORQAYUCF4YKIKPMC" hidden="1">#REF!</definedName>
    <definedName name="BExB0WE4PI3NOBXXVO9CTEN4DIU2" hidden="1">#REF!</definedName>
    <definedName name="BExB10QNIVITUYS55OAEKK3VLJFE"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Q29OO6LNFNT1EQLA3KYE7MX" hidden="1">#REF!</definedName>
    <definedName name="BExB1TNRV5EBWZEHYLHI76T0FVA7" hidden="1">#REF!</definedName>
    <definedName name="BExB1WI6M8I0EEP1ANUQZCFY24EV"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30IP1DNKNQ6PZ5ERUGR5MK4Z" hidden="1">#REF!</definedName>
    <definedName name="BExB442RX0T3L6HUL6X5T21CENW6" hidden="1">#REF!</definedName>
    <definedName name="BExB4ADD0L7417CII901XTFKXD1J" hidden="1">#REF!</definedName>
    <definedName name="BExB4DO1V1NL2AVK5YE1RSL5RYHL" hidden="1">#REF!</definedName>
    <definedName name="BExB4DYU06HCGRIPBSWRCXK804UM" hidden="1">#REF!</definedName>
    <definedName name="BExB4Z3EZBGYYI33U0KQ8NEIH8PY"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EDO9XUKHF74X3HAU2WPPHZH" hidden="1">#REF!</definedName>
    <definedName name="BExB5G6EH68AYEP1UT0GHUEL3SLN" hidden="1">#REF!</definedName>
    <definedName name="BExB5QYVEZWFE5DQVHAM760EV05X" hidden="1">#REF!</definedName>
    <definedName name="BExB5U9IRH14EMOE0YGIE3WIVLFS" hidden="1">#REF!</definedName>
    <definedName name="BExB5VWYMOV6BAIH7XUBBVPU7MMD" hidden="1">#REF!</definedName>
    <definedName name="BExB610DZWIJP1B72U9QM42COH2B" hidden="1">#REF!</definedName>
    <definedName name="BExB6C3FUAKK9ML5T767NMWGA9YB" hidden="1">#REF!</definedName>
    <definedName name="BExB6C8X6JYRLKZKK17VE3QUNL3D" hidden="1">#REF!</definedName>
    <definedName name="BExB6HN3QRFPXM71MDUK21BKM7PF" hidden="1">#REF!</definedName>
    <definedName name="BExB6IZMHCZ3LB7N73KD90YB1HBZ" hidden="1">#REF!</definedName>
    <definedName name="BExB719SGNX4Y8NE6JEXC555K596" hidden="1">#REF!</definedName>
    <definedName name="BExB7265DCHKS7V2OWRBXCZTEIW9" hidden="1">#REF!</definedName>
    <definedName name="BExB74PS5P9G0P09Y6DZSCX0FLTJ" hidden="1">#REF!</definedName>
    <definedName name="BExB78RH79J0MIF7H8CAZ0CFE88Q" hidden="1">#REF!</definedName>
    <definedName name="BExB7ELT09HGDVO5BJC1ZY9D09GZ" hidden="1">#REF!</definedName>
    <definedName name="BExB806PAXX70XUTA3ZI7OORD78R" hidden="1">#REF!</definedName>
    <definedName name="BExB8HF4UBVZKQCSRFRUQL2EE6VL" hidden="1">#REF!</definedName>
    <definedName name="BExB8HKHKZ1ORJZUYGG2M4VSCC39" hidden="1">#REF!</definedName>
    <definedName name="BExB8QPH8DC5BESEVPSMBCWVN6PO" hidden="1">#REF!</definedName>
    <definedName name="BExB8U5N0D85YR8APKN3PPKG0FWP" hidden="1">#REF!</definedName>
    <definedName name="BExB9DHI5I2TJ2LXYPM98EE81L27" hidden="1">#REF!</definedName>
    <definedName name="BExB9Q2MZZHBGW8QQKVEYIMJBPIE"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93PE0DGUUTA7LLSIGBIXWE5" hidden="1">#REF!</definedName>
    <definedName name="BExBAI8X0FKDQJ6YZJQDTTG4ZCWY"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VKX8Q09370X1GCZWJ4E91YJ" hidden="1">#REF!</definedName>
    <definedName name="BExBAX2X2ENJYO4QTR5VAIQ86L7B" hidden="1">#REF!</definedName>
    <definedName name="BExBAZ13D3F1DVJQ6YJ8JGUYEYJE" hidden="1">#REF!</definedName>
    <definedName name="BExBBTG649R9I0CT042JLL8LXV18" hidden="1">#REF!</definedName>
    <definedName name="BExBBUCJQRR74Q7GPWDEZXYK2KJL" hidden="1">#REF!</definedName>
    <definedName name="BExBBV8XVMD9CKZY711T0BN7H3PM" hidden="1">#REF!</definedName>
    <definedName name="BExBC78HXWXHO3XAB6E8NVTBGLJS" hidden="1">#REF!</definedName>
    <definedName name="BExBCKKJTIRKC1RZJRTK65HHLX4W" hidden="1">#REF!</definedName>
    <definedName name="BExBCLMEPAN3XXX174TU8SS0627Q" hidden="1">#REF!</definedName>
    <definedName name="BExBCRBEYR2KZ8FAQFZ2NHY13WIY" hidden="1">#REF!</definedName>
    <definedName name="BExBD4I559NXSV6J07Q343TKYMVJ" hidden="1">#REF!</definedName>
    <definedName name="BExBDBZQLTX3OGFYGULQFK5WEZU5" hidden="1">#REF!</definedName>
    <definedName name="BExBDJS9TUEU8Z84IV59E5V4T8K6" hidden="1">#REF!</definedName>
    <definedName name="BExBDKOMSVH4XMH52CFJ3F028I9R" hidden="1">#REF!</definedName>
    <definedName name="BExBDSRXVZQ0W5WXQMP5XD00GRRL" hidden="1">#REF!</definedName>
    <definedName name="BExBDUVGK3E1J4JY9ZYTS7V14BLY" hidden="1">#REF!</definedName>
    <definedName name="BExBE162OSBKD30I7T1DKKPT3I9I" hidden="1">#REF!</definedName>
    <definedName name="BExBEC9ATLQZF86W1M3APSM4HEOH" hidden="1">#REF!</definedName>
    <definedName name="BExBEYFQJE9YK12A6JBMRFKEC7RN" hidden="1">#REF!</definedName>
    <definedName name="BExBG1ED81J2O4A2S5F5Y3BPHMCR" hidden="1">#REF!</definedName>
    <definedName name="BExCRLIHS7466WFJ3RPIUGGXYESZ"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MOFTXSUEC1T46LR1UPYRCX5" hidden="1">#REF!</definedName>
    <definedName name="BExCSSDG3TM6TPKS19E9QYJEELZ6" hidden="1">#REF!</definedName>
    <definedName name="BExCSZV7U67UWXL2HKJNM5W1E4OO" hidden="1">#REF!</definedName>
    <definedName name="BExCT4NSDT61OCH04Y2QIFIOP75H"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V44WY5807WGMTGKPW0GT256" hidden="1">#REF!</definedName>
    <definedName name="BExCVZ5PN4V6MRBZ04PZJW3GEF8S" hidden="1">#REF!</definedName>
    <definedName name="BExCW13R0GWJYGXZBNCPAHQN4NR2" hidden="1">#REF!</definedName>
    <definedName name="BExCW9Y5HWU4RJTNX74O6L24VGCK" hidden="1">#REF!</definedName>
    <definedName name="BExCWPDPESGZS07QGBLSBWDNVJLZ"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ILMURGYMAH6N5LF5DV6K3GM" hidden="1">#REF!</definedName>
    <definedName name="BExCXQUFBMXQ1650735H48B1AZT3" hidden="1">#REF!</definedName>
    <definedName name="BExCY2DQO9VLA77Q7EG3T0XNXX4F" hidden="1">#REF!</definedName>
    <definedName name="BExCY6VMJ68MX3C981R5Q0BX5791" hidden="1">#REF!</definedName>
    <definedName name="BExCYAH2SAZCPW6XCB7V7PMMCAWO" hidden="1">#REF!</definedName>
    <definedName name="BExCYJBB52X8B3AREHCC1L5QNPX7" hidden="1">#REF!</definedName>
    <definedName name="BExCYPRC5HJE6N2XQTHCT6NXGP8N" hidden="1">#REF!</definedName>
    <definedName name="BExCYUK0I3UEXZNFDW71G6Z6D8XR" hidden="1">#REF!</definedName>
    <definedName name="BExCZFZCXMLY5DWESYJ9NGTJYQ8M" hidden="1">#REF!</definedName>
    <definedName name="BExCZJ4P8WS0BDT31WDXI0ROE7D6" hidden="1">#REF!</definedName>
    <definedName name="BExCZKH6NI0EE02L995IFVBD1J59" hidden="1">#REF!</definedName>
    <definedName name="BExCZUD9FEOJBKDJ51Z3JON9LKJ8" hidden="1">#REF!</definedName>
    <definedName name="BExD0508DAALLU00PHFPBC8SRRKT"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13RUIBGRXDL4QDZ305UKUR12" hidden="1">#REF!</definedName>
    <definedName name="BExD14DETV5R4OOTMAXD5NAKWRO3" hidden="1">#REF!</definedName>
    <definedName name="BExD1OAU9OXQAZA4D70HP72CU6GB" hidden="1">#REF!</definedName>
    <definedName name="BExD1Y1JV61416YA1XRQHKWPZIE7" hidden="1">#REF!</definedName>
    <definedName name="BExD2CFHIRMBKN5KXE5QP4XXEWFS" hidden="1">#REF!</definedName>
    <definedName name="BExD2DMHH1HWXQ9W0YYMDP8AAX8Q" hidden="1">#REF!</definedName>
    <definedName name="BExD2HTPC7IWBAU6OSQ67MQA8BYZ" hidden="1">#REF!</definedName>
    <definedName name="BExD363H2VGFIQUCE6LS4AC5J0ZT" hidden="1">#REF!</definedName>
    <definedName name="BExD3A588E939V61P1XEW0FI5Q0S" hidden="1">#REF!</definedName>
    <definedName name="BExD3CJJDKVR9M18XI3WDZH80WL6" hidden="1">#REF!</definedName>
    <definedName name="BExD3ESD9WYJIB3TRDPJ1CKXRAVL" hidden="1">#REF!</definedName>
    <definedName name="BExD3F368X5S25MWSUNIV57RDB57" hidden="1">#REF!</definedName>
    <definedName name="BExD3IJ5IT335SOSNV9L85WKAOSI" hidden="1">#REF!</definedName>
    <definedName name="BExD3KBVUY57GMMQTOFEU6S6G1AY" hidden="1">#REF!</definedName>
    <definedName name="BExD3NMR7AW2Z6V8SC79VQR37NA6" hidden="1">#REF!</definedName>
    <definedName name="BExD3QXA2UQ2W4N7NYLUEOG40BZB" hidden="1">#REF!</definedName>
    <definedName name="BExD3U2N041TEJ7GCN005UTPHNXY" hidden="1">#REF!</definedName>
    <definedName name="BExD40O0CFTNJFOFMMM1KH0P7BUI" hidden="1">#REF!</definedName>
    <definedName name="BExD4BR9HJ3MWWZ5KLVZWX9FJAUS" hidden="1">#REF!</definedName>
    <definedName name="BExD4F1WTKT3H0N9MF4H1LX7MBSY" hidden="1">#REF!</definedName>
    <definedName name="BExD4H5GQWXBS6LUL3TSP36DVO38" hidden="1">#REF!</definedName>
    <definedName name="BExD4JJSS3QDBLABCJCHD45SRNPI" hidden="1">#REF!</definedName>
    <definedName name="BExD4R1I0MKF033I5LPUYIMTZ6E8" hidden="1">#REF!</definedName>
    <definedName name="BExD50MT3M6XZLNUP9JL93EG6D9R" hidden="1">#REF!</definedName>
    <definedName name="BExD5EV7KDSVF1CJT38M4IBPFLPY" hidden="1">#REF!</definedName>
    <definedName name="BExD5FRK547OESJRYAW574DZEZ7J" hidden="1">#REF!</definedName>
    <definedName name="BExD5I5X2YA2YNCTCDSMEL4CWF4N" hidden="1">#REF!</definedName>
    <definedName name="BExD5QUSRFJWRQ1ZM50WYLCF74DF" hidden="1">#REF!</definedName>
    <definedName name="BExD5SSUIF6AJQHBHK8PNMFBPRYB" hidden="1">#REF!</definedName>
    <definedName name="BExD623C9LRX18BE0W2V6SZLQUXX"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GAIGULTB3YHM1OS9RBQOTEC" hidden="1">#REF!</definedName>
    <definedName name="BExD7IE1DHIS52UFDCTSKPJQNRD5" hidden="1">#REF!</definedName>
    <definedName name="BExD7IUBGUWHYC9UNZ1IY5XFYKQN" hidden="1">#REF!</definedName>
    <definedName name="BExD7JQOJ35HGL8U2OCEI2P2JT7I" hidden="1">#REF!</definedName>
    <definedName name="BExD7KSDKNDNH95NDT3S7GM3MUU2" hidden="1">#REF!</definedName>
    <definedName name="BExD8H5O087KQVWIVPUUID5VMGMS" hidden="1">#REF!</definedName>
    <definedName name="BExD8OCLZMFN5K3VZYI4Q4ITVKUA" hidden="1">#REF!</definedName>
    <definedName name="BExD93C1R6LC0631ECHVFYH0R0PD" hidden="1">#REF!</definedName>
    <definedName name="BExD97TXIO0COVNN4OH3DEJ33YLM" hidden="1">#REF!</definedName>
    <definedName name="BExD99RZ1RFIMK6O1ZHSPJ68X9Y5"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A6LD9061UULVKUUI4QP8SK13" hidden="1">#REF!</definedName>
    <definedName name="BExDAGMVMNLQ6QXASB9R6D8DIT12" hidden="1">#REF!</definedName>
    <definedName name="BExDAYBHU9ADLXI8VRC7F608RVGM" hidden="1">#REF!</definedName>
    <definedName name="BExDBDR1XR0FV0CYUCB2OJ7CJCZU" hidden="1">#REF!</definedName>
    <definedName name="BExDC7F818VN0S18ID7XRCRVYPJ4" hidden="1">#REF!</definedName>
    <definedName name="BExDCL7K96PC9VZYB70ZW3QPVIJE" hidden="1">#REF!</definedName>
    <definedName name="BExDCP3UZ3C2O4C1F7KMU0Z9U32N" hidden="1">#REF!</definedName>
    <definedName name="BExEOBX3WECDMYCV9RLN49APTXMM" hidden="1">#REF!</definedName>
    <definedName name="BExEP4E4F36662JDI0TOD85OP7X9" hidden="1">#REF!</definedName>
    <definedName name="BExEPN9VIYI0FVL0HLZQXJFO6TT0"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B8ZWXO6IIGOEPWTLOJGE2NR" hidden="1">#REF!</definedName>
    <definedName name="BExEQBZX0EL6LIKPY01197ACK65H" hidden="1">#REF!</definedName>
    <definedName name="BExEQDXZALJLD4OBF74IKZBR13SR" hidden="1">#REF!</definedName>
    <definedName name="BExEQFLE2RPWGMWQAI4JMKUEFRPT" hidden="1">#REF!</definedName>
    <definedName name="BExEQTZAP8R69U31W4LKGTKKGKQE" hidden="1">#REF!</definedName>
    <definedName name="BExER2O72H1F9WV6S1J04C15PXX7" hidden="1">#REF!</definedName>
    <definedName name="BExERRUIKIOATPZ9U4HQ0V52RJAU" hidden="1">#REF!</definedName>
    <definedName name="BExERSANFNM1O7T65PC5MJ301YET" hidden="1">#REF!</definedName>
    <definedName name="BExERWCEBKQRYWRQLYJ4UCMMKTHG" hidden="1">#REF!</definedName>
    <definedName name="BExES44RHHDL3V7FLV6M20834WF1" hidden="1">#REF!</definedName>
    <definedName name="BExES4A7VE2X3RYYTVRLKZD4I7WU" hidden="1">#REF!</definedName>
    <definedName name="BExES6ZC8R7PHJ21OVJFLIR7DY30" hidden="1">#REF!</definedName>
    <definedName name="BExESMKD95A649M0WRSG6CXXP326" hidden="1">#REF!</definedName>
    <definedName name="BExESR27ZXJG5VMY4PR9D940VS7T" hidden="1">#REF!</definedName>
    <definedName name="BExESZ03KXL8DQ2591HLR56ZML94" hidden="1">#REF!</definedName>
    <definedName name="BExESZAW5N443NRTKIP59OEI1CR6" hidden="1">#REF!</definedName>
    <definedName name="BExET3HXQ60A4O2OLKX8QNXRI6LQ" hidden="1">#REF!</definedName>
    <definedName name="BExETA3B1FCIOA80H94K90FWXQKE" hidden="1">#REF!</definedName>
    <definedName name="BExETAZOYT4CJIT8RRKC9F2HJG1D" hidden="1">#REF!</definedName>
    <definedName name="BExETF6QD5A9GEINE1KZRRC2LXWM" hidden="1">#REF!</definedName>
    <definedName name="BExETQ9XRXLUACN82805SPSPNKHI" hidden="1">#REF!</definedName>
    <definedName name="BExETR0YRMOR63E6DHLEHV9QVVON" hidden="1">#REF!</definedName>
    <definedName name="BExETVTGY38YXYYF7N73OYN6FYY3" hidden="1">#REF!</definedName>
    <definedName name="BExEUNE4T242Y59C6MS28MXEUGCP"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ET98G3FU6QBF9LHYWSAMV0O" hidden="1">#REF!</definedName>
    <definedName name="BExEVNCUT0PDUYNJH7G6BSEWZOT2"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68M9WL8214QH9C7VCK7BN08" hidden="1">#REF!</definedName>
    <definedName name="BExEW8HFKH6F47KIHYBDRUEFZ2ZZ"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X85F3OSW8NSCYGYPS9372Z1Q" hidden="1">#REF!</definedName>
    <definedName name="BExEX9HWY2G6928ZVVVQF77QCM2C" hidden="1">#REF!</definedName>
    <definedName name="BExEXBQWAYKMVBRJRHB8PFCSYFVN" hidden="1">#REF!</definedName>
    <definedName name="BExEXRBZ0DI9E2UFLLKYWGN66B61" hidden="1">#REF!</definedName>
    <definedName name="BExEYLG9FL9V1JPPNZ3FUDNSEJ4V" hidden="1">#REF!</definedName>
    <definedName name="BExEYOW8C1B3OUUCIGEC7L8OOW1Z" hidden="1">#REF!</definedName>
    <definedName name="BExEYUQJXZT6N5HJH8ACJF6SRWEE" hidden="1">#REF!</definedName>
    <definedName name="BExEZ1S6VZCG01ZPLBSS9Z1SBOJ2" hidden="1">#REF!</definedName>
    <definedName name="BExEZGBFNJR8DLPN0V11AU22L6WY" hidden="1">#REF!</definedName>
    <definedName name="BExF02Y3V3QEPO2XLDSK47APK9XJ" hidden="1">#REF!</definedName>
    <definedName name="BExF09OS91RT7N7IW8JLMZ121ZP3" hidden="1">#REF!</definedName>
    <definedName name="BExF0LOEHV42P2DV7QL8O7HOQ3N9" hidden="1">#REF!</definedName>
    <definedName name="BExF0WRM9VO25RLSO03ZOCE8H7K5" hidden="1">#REF!</definedName>
    <definedName name="BExF0ZRI7W4RSLIDLHTSM0AWXO3S" hidden="1">#REF!</definedName>
    <definedName name="BExF19CT3MMZZ2T5EWMDNG3UOJ01" hidden="1">#REF!</definedName>
    <definedName name="BExF1M38U6NX17YJA8YU359B5Z4M" hidden="1">#REF!</definedName>
    <definedName name="BExF1MU4W3NPEY0OHRDWP5IANCBB" hidden="1">#REF!</definedName>
    <definedName name="BExF1MZN8MWMOKOARHJ1QAF9HPGT" hidden="1">#REF!</definedName>
    <definedName name="BExF1US4ZIQYSU5LBFYNRA9N0K2O" hidden="1">#REF!</definedName>
    <definedName name="BExF2CWZN6E87RGTBMD4YQI2QT7R" hidden="1">#REF!</definedName>
    <definedName name="BExF2DYO1WQ7GMXSTAQRDBW1NSFG" hidden="1">#REF!</definedName>
    <definedName name="BExF2MSWNUY9Z6BZJQZ538PPTION" hidden="1">#REF!</definedName>
    <definedName name="BExF2QZYWHTYGUTTXR15CKCV3LS7" hidden="1">#REF!</definedName>
    <definedName name="BExF2T8Y6TSJ74RMSZOA9CEH4OZ6" hidden="1">#REF!</definedName>
    <definedName name="BExF31N3YM4F37EOOY8M8VI1KXN8" hidden="1">#REF!</definedName>
    <definedName name="BExF37C1YKBT79Z9SOJAG5MXQGTU" hidden="1">#REF!</definedName>
    <definedName name="BExF3A6HPA6DGYALZNHHJPMCUYZR" hidden="1">#REF!</definedName>
    <definedName name="BExF3I9T44X7DV9HHV51DVDDPPZG" hidden="1">#REF!</definedName>
    <definedName name="BExF3JMFX5DILOIFUDIO1HZUK875"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42SSBVPMLK2UB3B7FPEIY9TU" hidden="1">#REF!</definedName>
    <definedName name="BExF4HXSWB50BKYPWA0HTT8W56H6"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2GTGP8MHGII4KJ8TJGR8W8U" hidden="1">#REF!</definedName>
    <definedName name="BExF57K7L3UC1I2FSAWURR4SN0UN" hidden="1">#REF!</definedName>
    <definedName name="BExF5HR2GFV7O8LKG9SJ4BY78LYA" hidden="1">#REF!</definedName>
    <definedName name="BExF5ZFO2A29GHWR5ES64Z9OS16J" hidden="1">#REF!</definedName>
    <definedName name="BExF63S045JO7H2ZJCBTBVH3SUIF" hidden="1">#REF!</definedName>
    <definedName name="BExF642TEGTXCI9A61ZOONJCB0U1"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IB8K74Z0AFT05GPOKKZW7C9" hidden="1">#REF!</definedName>
    <definedName name="BExF6K45ZSA8RU41N8N0OQLUQRKK" hidden="1">#REF!</definedName>
    <definedName name="BExF6NUXJI11W2IAZNAM1QWC0459" hidden="1">#REF!</definedName>
    <definedName name="BExF6RR76KNVIXGJOVFO8GDILKGZ" hidden="1">#REF!</definedName>
    <definedName name="BExF6ZE8D5CMPJPRWT6S4HM56LPF" hidden="1">#REF!</definedName>
    <definedName name="BExF76FV8SF7AJK7B35AL7VTZF6D" hidden="1">#REF!</definedName>
    <definedName name="BExF7EOIMC1OYL1N7835KGOI0FIZ" hidden="1">#REF!</definedName>
    <definedName name="BExF7K88K7ASGV6RAOAGH52G04VR" hidden="1">#REF!</definedName>
    <definedName name="BExF7OVDRP3LHNAF2CX4V84CKKIR" hidden="1">#REF!</definedName>
    <definedName name="BExF7QO41X2A2SL8UXDNP99GY7U9" hidden="1">#REF!</definedName>
    <definedName name="BExF81GI8B8WBHXFTET68A9358BR" hidden="1">#REF!</definedName>
    <definedName name="BExGL97US0Y3KXXASUTVR26XLT70" hidden="1">#REF!</definedName>
    <definedName name="BExGLC7R4C33RO0PID97ZPPVCW4M" hidden="1">#REF!</definedName>
    <definedName name="BExGLFIF7HCFSHNQHKEV6RY0WCO3" hidden="1">#REF!</definedName>
    <definedName name="BExGLTARRL0J772UD2TXEYAVPY6E" hidden="1">#REF!</definedName>
    <definedName name="BExGLVP1IU8K5A8J1340XFMYPR88" hidden="1">#REF!</definedName>
    <definedName name="BExGLYE6RZTAAWHJBG2QFJPTDS2Q" hidden="1">#REF!</definedName>
    <definedName name="BExGM4DZ65OAQP7MA4LN6QMYZOFF" hidden="1">#REF!</definedName>
    <definedName name="BExGMCXCWEC9XNUOEMZ61TMI6CUO"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Z3SRIXLXMWBVOXXV3M4U4YL" hidden="1">#REF!</definedName>
    <definedName name="BExGMZ3UBN48IXU1ZEFYECEMZ1IM" hidden="1">#REF!</definedName>
    <definedName name="BExGN4I0QATXNZCLZJM1KH1OIJQH" hidden="1">#REF!</definedName>
    <definedName name="BExGN9FZ2RWCMSY1YOBJKZMNIM9R" hidden="1">#REF!</definedName>
    <definedName name="BExGNDSIMTHOCXXG6QOGR6DA8SGG" hidden="1">#REF!</definedName>
    <definedName name="BExGNN2YQ9BDAZXT2GLCSAPXKIM7" hidden="1">#REF!</definedName>
    <definedName name="BExGNSS0CKRPKHO25R3TDBEL2NHX"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70E2O70LF46V8T26YFPL4V8"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HGT5KDOCMV2EFS4OVKTWBRD" hidden="1">#REF!</definedName>
    <definedName name="BExGPID72Y4Y619LWASUQZKZHJNC" hidden="1">#REF!</definedName>
    <definedName name="BExGPPENQIANVGLVQJ77DK5JPRTB"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GJ1A7LNZUS8QSMOG8UNGLMK" hidden="1">#REF!</definedName>
    <definedName name="BExGQPO7ENFEQC0NC6MC9OZR2LHY"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d1">#REF!</definedName>
    <definedName name="BExGRUKVVKDL8483WI70VN2QZDGD" hidden="1">#REF!</definedName>
    <definedName name="BExGS2IWR5DUNJ1U9PAKIV8CMBNI"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QY65LH1PCKKM5WHDW83F35O" hidden="1">#REF!</definedName>
    <definedName name="BExGSYW1GKISF0PMUAK3XJK9PEW9" hidden="1">#REF!</definedName>
    <definedName name="BExGT0DZJB6LSF6L693UUB9EY1VQ" hidden="1">#REF!</definedName>
    <definedName name="BExGTGVFIF8HOQXR54SK065A8M4K" hidden="1">#REF!</definedName>
    <definedName name="BExGTIYX3OWPIINOGY1E4QQYSKHP" hidden="1">#REF!</definedName>
    <definedName name="BExGTKGUN0KUU3C0RL2LK98D8MEK" hidden="1">#REF!</definedName>
    <definedName name="BExGTZ046J7VMUG4YPKFN2K8TWB7" hidden="1">#REF!</definedName>
    <definedName name="BExGU2G9OPRZRIU9YGF6NX9FUW0J" hidden="1">#REF!</definedName>
    <definedName name="BExGU6HTKLRZO8UOI3DTAM5RFDBA" hidden="1">#REF!</definedName>
    <definedName name="BExGUDDZXFFQHAF4UZF8ZB1HO7H6" hidden="1">#REF!</definedName>
    <definedName name="BExGUIBXBRHGM97ZX6GBA4ZDQ79C" hidden="1">#REF!</definedName>
    <definedName name="BExGUM8D91UNPCOO4TKP9FGX85TF" hidden="1">#REF!</definedName>
    <definedName name="BExGUQF9N9FKI7S0H30WUAEB5LPD" hidden="1">#REF!</definedName>
    <definedName name="BExGUR6BA03XPBK60SQUW197GJ5X" hidden="1">#REF!</definedName>
    <definedName name="BExGUVIP60TA4B7X2PFGMBFUSKGX" hidden="1">#REF!</definedName>
    <definedName name="BExGUZKF06F209XL1IZWVJEQ82EE" hidden="1">#REF!</definedName>
    <definedName name="BExGV2EVT380QHD4AP2RL9MR8L5L" hidden="1">#REF!</definedName>
    <definedName name="BExGVV6OOLDQ3TXZK51TTF3YX0WN" hidden="1">#REF!</definedName>
    <definedName name="BExGW0KVS7U0C87XFZ78QW991IEV" hidden="1">#REF!</definedName>
    <definedName name="BExGW2Z7AMPG6H9EXA9ML6EZVGGA" hidden="1">#REF!</definedName>
    <definedName name="BExGWABG5VT5XO1A196RK61AXA8C" hidden="1">#REF!</definedName>
    <definedName name="BExGWEO0JDG84NYLEAV5NSOAGMJZ" hidden="1">#REF!</definedName>
    <definedName name="BExGWLEOC70Z8QAJTPT2PDHTNM4L" hidden="1">#REF!</definedName>
    <definedName name="BExGWNCXLCRTLBVMTXYJ5PHQI6SS" hidden="1">#REF!</definedName>
    <definedName name="BExGX6U988MCFIGDA1282F92U9AA" hidden="1">#REF!</definedName>
    <definedName name="BExGX7FTB1CKAT5HUW6H531FIY6I" hidden="1">#REF!</definedName>
    <definedName name="BExGX9DVACJQIZ4GH6YAD2A7F70O" hidden="1">#REF!</definedName>
    <definedName name="BExGXDVP2S2Y8Z8Q43I78RCIK3DD"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GJJJ3BBCQAOA51WHP01HN73" hidden="1">#REF!</definedName>
    <definedName name="BExGYOS6TV2C72PLRFU8RP1I58GY" hidden="1">#REF!</definedName>
    <definedName name="BExGZJ78ZWZCVHZ3BKEKFJZ6MAEO" hidden="1">#REF!</definedName>
    <definedName name="BExGZOLH2QV73J3M9IWDDPA62TP4" hidden="1">#REF!</definedName>
    <definedName name="BExGZP1PWGFKVVVN4YDIS22DZPCR" hidden="1">#REF!</definedName>
    <definedName name="BExH00L21GZX5YJJGVMOAWBERLP5" hidden="1">#REF!</definedName>
    <definedName name="BExH02ZD6VAY1KQLAQYBBI6WWIZB" hidden="1">#REF!</definedName>
    <definedName name="BExH08Z6LQCGGSGSAILMHX4X7JMD" hidden="1">#REF!</definedName>
    <definedName name="BExH0KT9Z8HEVRRQRGQ8YHXRLIJA" hidden="1">#REF!</definedName>
    <definedName name="BExH0M0FDN12YBOCKL3XL2Z7T7Y8" hidden="1">#REF!</definedName>
    <definedName name="BExH0O9G06YPZ5TN9RYT326I1CP2" hidden="1">#REF!</definedName>
    <definedName name="BExH0WNJAKTJRCKMTX8O4KNMIIJM" hidden="1">#REF!</definedName>
    <definedName name="BExH12Y4WX542WI3ZEM15AK4UM9J" hidden="1">#REF!</definedName>
    <definedName name="BExH1FDTQXR9QQ31WDB7OPXU7MPT" hidden="1">#REF!</definedName>
    <definedName name="BExH1FOMEUIJNIDJAUY0ZQFBJSY9" hidden="1">#REF!</definedName>
    <definedName name="BExH1JFFHEBFX9BWJMNIA3N66R3Z" hidden="1">#REF!</definedName>
    <definedName name="BExH1Z0GIUSVTF2H1G1I3PDGBNK2" hidden="1">#REF!</definedName>
    <definedName name="BExH225UTM6S9FW4MUDZS7F1PQSH" hidden="1">#REF!</definedName>
    <definedName name="BExH23271RF7AYZ542KHQTH68GQ7" hidden="1">#REF!</definedName>
    <definedName name="BExH2GJQR4JALNB314RY0LDI49VH" hidden="1">#REF!</definedName>
    <definedName name="BExH2JZR49T7644JFVE7B3N7RZM9"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E9HZ3QJCDZW7WI7YACFQCHE" hidden="1">#REF!</definedName>
    <definedName name="BExH3IRB6764RQ5HBYRLH6XCT29X" hidden="1">#REF!</definedName>
    <definedName name="BExIG2U8V6RSB47SXLCQG3Q68YRO" hidden="1">#REF!</definedName>
    <definedName name="BExIGJBO8R13LV7CZ7C1YCP974NN" hidden="1">#REF!</definedName>
    <definedName name="BExIGWT86FPOEYTI8GXCGU5Y3KGK" hidden="1">#REF!</definedName>
    <definedName name="BExIHBHXA7E7VUTBVHXXXCH3A5CL" hidden="1">#REF!</definedName>
    <definedName name="BExIHPQCQTGEW8QOJVIQ4VX0P6DX" hidden="1">#REF!</definedName>
    <definedName name="BExII1KN91Q7DLW0UB7W2TJ5ACT9" hidden="1">#REF!</definedName>
    <definedName name="BExII50LI8I0CDOOZEMIVHVA2V95"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FGZJ5ED9D6KAY4PGQYLELAX" hidden="1">#REF!</definedName>
    <definedName name="BExIJQK80ZEKSTV62E59AYJYUNLI" hidden="1">#REF!</definedName>
    <definedName name="BExIJRLX3M0YQLU1D5Y9V7HM5QNM"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KHTXPZR5A8OHB6HDP6QWDHAD" hidden="1">#REF!</definedName>
    <definedName name="BExIKMMJOETSAXJYY1SIKM58LMA2"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AAXRTRAD18K74M6MGUEEPUM" hidden="1">#REF!</definedName>
    <definedName name="BExILG5F338C0FFLMVOKMKF8X5ZP" hidden="1">#REF!</definedName>
    <definedName name="BExILGQTQM0HOD0BJI90YO7GOIN3" hidden="1">#REF!</definedName>
    <definedName name="BExIM9DBUB7ZGF4B20FVUO9QGOX2" hidden="1">#REF!</definedName>
    <definedName name="BExIMGK9Z94TFPWWZFMD10HV0IF6" hidden="1">#REF!</definedName>
    <definedName name="BExIMPEGKG18TELVC33T4OQTNBWC" hidden="1">#REF!</definedName>
    <definedName name="BExIN4OR435DL1US13JQPOQK8GD5"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ZELVWYGU876QUUZCIMXPBQC" hidden="1">#REF!</definedName>
    <definedName name="BExIOCQUQHKUU1KONGSDOLQTQEIC" hidden="1">#REF!</definedName>
    <definedName name="BExIOFL8Y5O61VLKTB4H20IJNWS1" hidden="1">#REF!</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G040Q08EWIWL6CAVR3GRI43" hidden="1">#REF!</definedName>
    <definedName name="BExIPKNFUDPDKOSH5GHDVNA8D66S"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BMDE1L6J4H27K1FMSHQKDSE" hidden="1">#REF!</definedName>
    <definedName name="BExIQE65LVXUOF3UZFO7SDHFJH22" hidden="1">#REF!</definedName>
    <definedName name="BExIQG9OO2KKBOWTMD1OXY36TEGA" hidden="1">#REF!</definedName>
    <definedName name="BExIQX1XBB31HZTYEEVOBSE3C5A6" hidden="1">#REF!</definedName>
    <definedName name="BExIQYP5T1TPAQYW7QU1Q98BKX7W" hidden="1">#REF!</definedName>
    <definedName name="BExIR2ALYRP9FW99DK2084J7IIDC" hidden="1">#REF!</definedName>
    <definedName name="BExIR8FQETPTQYW37DBVDWG3J4JW" hidden="1">#REF!</definedName>
    <definedName name="BExIRRBGTY01OQOI3U5SW59RFDFI" hidden="1">#REF!</definedName>
    <definedName name="BExIS4T0DRF57HYO7OGG72KBOFOI" hidden="1">#REF!</definedName>
    <definedName name="BExIS77BJDDK18PGI9DSEYZPIL7P" hidden="1">#REF!</definedName>
    <definedName name="BExIS8USL1T3Z97CZ30HJ98E2GXQ" hidden="1">#REF!</definedName>
    <definedName name="BExISC5B700MZUBFTQ9K4IKTF7HR" hidden="1">#REF!</definedName>
    <definedName name="BExISDHXS49S1H56ENBPRF1NLD5C" hidden="1">#REF!</definedName>
    <definedName name="BExISM1JLV54A21A164IURMPGUMU" hidden="1">#REF!</definedName>
    <definedName name="BExISRFKJYUZ4AKW44IJF7RF9Y90" hidden="1">#REF!</definedName>
    <definedName name="BExIT1MK8TBAK3SNP36A8FKDQSOK" hidden="1">#REF!</definedName>
    <definedName name="BExITBNYANV2S8KD56GOGCKW393R" hidden="1">#REF!</definedName>
    <definedName name="BExItemGrid">#REF!</definedName>
    <definedName name="BExIUD4OJGH65NFNQ4VMCE3R4J1X" hidden="1">#REF!</definedName>
    <definedName name="BExIUTB5OAAXYW0OFMP0PS40SPOB" hidden="1">#REF!</definedName>
    <definedName name="BExIUUT2MHIOV6R3WHA0DPM1KBKY"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3HYK53KL5TG82ZM0I664KRC"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VNJX9BYDLC88NG09YF5XQ6" hidden="1">#REF!</definedName>
    <definedName name="BExIVQVKLMGSRYT1LFZH0KUIA4OR" hidden="1">#REF!</definedName>
    <definedName name="BExIVYTFI35KNR2XSA6N8OJYUTUR" hidden="1">#REF!</definedName>
    <definedName name="BExIWB3SY3WRIVIOF988DNNODBOA" hidden="1">#REF!</definedName>
    <definedName name="BExIWB99CG0H52LRD6QWPN4L6DV2" hidden="1">#REF!</definedName>
    <definedName name="BExIWG1W7XP9DFYYSZAIOSHM0QLQ" hidden="1">#REF!</definedName>
    <definedName name="BExIWH3KUK94B7833DD4TB0Y6KP9" hidden="1">#REF!</definedName>
    <definedName name="BExIWKE9MGIDWORBI43AWTUNYFAN" hidden="1">#REF!</definedName>
    <definedName name="BExIX34PM5DBTRHRQWP6PL6WIX88" hidden="1">#REF!</definedName>
    <definedName name="BExIX5OAP9KSUE5SIZCW9P39Q4WE" hidden="1">#REF!</definedName>
    <definedName name="BExIXGRJPVJMUDGSG7IHPXPNO69B" hidden="1">#REF!</definedName>
    <definedName name="BExIXM5R87ZL3FHALWZXYCPHGX3E" hidden="1">#REF!</definedName>
    <definedName name="BExIXS036ZCKT2Z8XZKLZ8PFWQGL" hidden="1">#REF!</definedName>
    <definedName name="BExIXY5CF9PFM0P40AZ4U51TMWV0" hidden="1">#REF!</definedName>
    <definedName name="BExIYEXJBK8JDWIRSVV4RJSKZVV1" hidden="1">#REF!</definedName>
    <definedName name="BExIYI2RH0K4225XO970K2IQ1E79" hidden="1">#REF!</definedName>
    <definedName name="BExIYMPZ0KS2KOJFQAUQJ77L7701" hidden="1">#REF!</definedName>
    <definedName name="BExIYP9Q6FV9T0R9G3UDKLS4TTYX" hidden="1">#REF!</definedName>
    <definedName name="BExIYZGLDQ1TN7BIIN4RLDP31GIM" hidden="1">#REF!</definedName>
    <definedName name="BExIZ4K0EZJK6PW3L8SVKTJFSWW9" hidden="1">#REF!</definedName>
    <definedName name="BExIZAECOEZGBAO29QMV14E6XDIV" hidden="1">#REF!</definedName>
    <definedName name="BExIZKVXYD5O2JBU81F2UFJZLLSI" hidden="1">#REF!</definedName>
    <definedName name="BExIZPZDHC8HGER83WHCZAHOX7LK" hidden="1">#REF!</definedName>
    <definedName name="BExIZY2PUZ0OF9YKK1B13IW0VS6G" hidden="1">#REF!</definedName>
    <definedName name="BExJ08KBRR2XMWW3VZMPSQKXHZUH" hidden="1">#REF!</definedName>
    <definedName name="BExJ0DYJWXGE7DA39PYL3WM05U9O" hidden="1">#REF!</definedName>
    <definedName name="BExJ0MY8SY5J5V50H3UKE78ODTVB" hidden="1">#REF!</definedName>
    <definedName name="BExJ0YC98G37ML4N8FLP8D95EFRF" hidden="1">#REF!</definedName>
    <definedName name="BExKCDYKAEV45AFXHVHZZ62E5BM3" hidden="1">#REF!</definedName>
    <definedName name="BExKDKO0W4AGQO1V7K6Q4VM750FT" hidden="1">#REF!</definedName>
    <definedName name="BExKDLF10G7W77J87QWH3ZGLUCLW"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W0RR5LA3VC46A2BEOOMQE56" hidden="1">#REF!</definedName>
    <definedName name="BExKFA3VI1CZK21SM0N3LZWT9LA1"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JD3U3ADZILP20U3EURP0UQP" hidden="1">#REF!</definedName>
    <definedName name="BExKGNK5YGKP0YHHTAAOV17Z9EIM" hidden="1">#REF!</definedName>
    <definedName name="BExKGV77YH9YXIQTRKK2331QGYKF" hidden="1">#REF!</definedName>
    <definedName name="BExKH3FTZ5VGTB86W9M4AB39R0G8" hidden="1">#REF!</definedName>
    <definedName name="BExKH3FV5U5O6XZM7STS3NZKQFGJ" hidden="1">#REF!</definedName>
    <definedName name="BExKHAMUH8NR3HRV0V6FHJE3ROLN" hidden="1">#REF!</definedName>
    <definedName name="BExKHCFKOWFHO2WW0N7Y5XDXEWAO" hidden="1">#REF!</definedName>
    <definedName name="BExKHIVLONZ46HLMR50DEXKEUNEP" hidden="1">#REF!</definedName>
    <definedName name="BExKHPM9XA0ADDK7TUR0N38EXWEP"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U87ZKSOC2DYZWFK6SAK9I8E" hidden="1">#REF!</definedName>
    <definedName name="BExKJ449HLYX2DJ9UF0H9GTPSQ73" hidden="1">#REF!</definedName>
    <definedName name="BExKJELX2RUC8UEC56IZPYYZXHA7"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8VP5RS3D0UXZVKA37C4SYBP"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LD6S9L66QYREYHBE5J44OK7X" hidden="1">#REF!</definedName>
    <definedName name="BExKLEZK32L28GYJWVO63BZ5E1JD" hidden="1">#REF!</definedName>
    <definedName name="BExKLLKVVHT06LA55JB2FC871DC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V8UOHVWEHDJWI2WMJ9X6QHZ"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PO2HPWVQGAKW8LOZMPIDEFG" hidden="1">#REF!</definedName>
    <definedName name="BExKPEZP0QTKOTLIMMIFSVTHQEEK" hidden="1">#REF!</definedName>
    <definedName name="BExKPLQJX0HJ8OTXBXH9IC9J2V0W" hidden="1">#REF!</definedName>
    <definedName name="BExKPN8C7GN36ZJZHLOB74LU6KT0" hidden="1">#REF!</definedName>
    <definedName name="BExKPX9VZ1J5021Q98K60HMPJU58"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VL7HPOIZ4FHANDFMVOJLEPR" hidden="1">#REF!</definedName>
    <definedName name="BExKR32XG1WY77WDT8KW9FJPGQTU" hidden="1">#REF!</definedName>
    <definedName name="BExKR8RZSEHW184G0Z56B4EGNU72" hidden="1">#REF!</definedName>
    <definedName name="BExKRVUSQ6PA7ZYQSTEQL3X7PB9P" hidden="1">#REF!</definedName>
    <definedName name="BExKRY3KZ7F7RB2KH8HXSQ85IEQO" hidden="1">#REF!</definedName>
    <definedName name="BExKSA37DZTCK6H13HPIKR0ZFVL8" hidden="1">#REF!</definedName>
    <definedName name="BExKSFMOMSZYDE0WNC94F40S6636"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X60G1MUS689FXIGYP2F7C62" hidden="1">#REF!</definedName>
    <definedName name="BExKT2UZ7Y2VWF5NQE18SJRLD2RN" hidden="1">#REF!</definedName>
    <definedName name="BExKT3GJFNGAM09H5F615E36A38C" hidden="1">#REF!</definedName>
    <definedName name="BExKTQZGN8GI3XGSEXMPCCA3S19H" hidden="1">#REF!</definedName>
    <definedName name="BExKTUKYYU0F6TUW1RXV24LRAZFE" hidden="1">#REF!</definedName>
    <definedName name="BExKU3FBLHQBIUTN6XEZW5GC9OG1" hidden="1">#REF!</definedName>
    <definedName name="BExKU82I99FEUIZLODXJDOJC96CQ" hidden="1">#REF!</definedName>
    <definedName name="BExKUDM0DFSCM3D91SH0XLXJSL18" hidden="1">#REF!</definedName>
    <definedName name="BExKUK22IT6MVXTJXN99Q0776HFC" hidden="1">#REF!</definedName>
    <definedName name="BExKULEKJLA77AUQPDUHSM94Y76Z" hidden="1">#REF!</definedName>
    <definedName name="BExKV08R85MKI3MAX9E2HERNQUNL" hidden="1">#REF!</definedName>
    <definedName name="BExKV4AAUNNJL5JWD7PX6BFKVS6O"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M9NUG3Q31X01AI9ZJCZIX25CS" hidden="1">#REF!</definedName>
    <definedName name="BExM9OG182RP30MY23PG49LVPZ1C" hidden="1">#REF!</definedName>
    <definedName name="BExMA64MW1S18NH8DCKPCCEI5KCB" hidden="1">#REF!</definedName>
    <definedName name="BExMALEWFUEM8Y686IT03ECURUBR"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YPQDG9AYDQ5E8IECVFREPO6" hidden="1">#REF!</definedName>
    <definedName name="BExMC8AZUTX8LG89K2JJR7ZG62XX" hidden="1">#REF!</definedName>
    <definedName name="BExMCA96YR10V72G2R0SCIKPZLIZ" hidden="1">#REF!</definedName>
    <definedName name="BExMCB5JU5I2VQDUBS4O42BTEVKI" hidden="1">#REF!</definedName>
    <definedName name="BExMCFSQFSEMPY5IXDIRKZDASDBR" hidden="1">#REF!</definedName>
    <definedName name="BExMCMZOEYWVOOJ98TBHTTCS7XB8" hidden="1">#REF!</definedName>
    <definedName name="BExMCS8EF2W3FS9QADNKREYSI8P0" hidden="1">#REF!</definedName>
    <definedName name="BExMCUS7GSOM96J0HJ7EH0FFM2AC" hidden="1">#REF!</definedName>
    <definedName name="BExMCYTT6TVDWMJXO1NZANRTVNAN" hidden="1">#REF!</definedName>
    <definedName name="BExMD5F6IAV108XYJLXUO9HD0IT6" hidden="1">#REF!</definedName>
    <definedName name="BExMDANV66W9T3XAXID40XFJ0J93" hidden="1">#REF!</definedName>
    <definedName name="BExMDGD1KQP7NNR78X2ZX4FCBQ1S" hidden="1">#REF!</definedName>
    <definedName name="BExMDIRDK0DI8P86HB7WPH8QWLSQ" hidden="1">#REF!</definedName>
    <definedName name="BExMDPI2FVMORSWDDCVAJ85WYAYO" hidden="1">#REF!</definedName>
    <definedName name="BExMDUWB7VWHFFR266QXO46BNV2S" hidden="1">#REF!</definedName>
    <definedName name="BExME2U47N8LZG0BPJ49ANY5QVV2" hidden="1">#REF!</definedName>
    <definedName name="BExME88DH5DUKMUFI9FNVECXFD2E" hidden="1">#REF!</definedName>
    <definedName name="BExME9A7MOGAK7YTTQYXP5DL6VYA" hidden="1">#REF!</definedName>
    <definedName name="BExMEOV9YFRY5C3GDLU60GIX10BY"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LDTMRTCHKA37LQW67BG8D5C" hidden="1">#REF!</definedName>
    <definedName name="BExMGG3PFIHPHX7NXB7HDFI3N12L" hidden="1">#REF!</definedName>
    <definedName name="BExMH3H9TW5TJCNU5Z1EWXP3BAEP" hidden="1">#REF!</definedName>
    <definedName name="BExMHOWPB34KPZ76M2KIX2C9R2VB" hidden="1">#REF!</definedName>
    <definedName name="BExMHSSYC6KVHA3QDTSYPN92TWMI" hidden="1">#REF!</definedName>
    <definedName name="BExMI0WA793SF41LQ40A28U8OXQY" hidden="1">#REF!</definedName>
    <definedName name="BExMI3AJ9477KDL4T9DHET4LJJTW" hidden="1">#REF!</definedName>
    <definedName name="BExMI6L9KX05GAK523JFKICJMTA5" hidden="1">#REF!</definedName>
    <definedName name="BExMI6QQ20XHD0NWJUN741B37182" hidden="1">#REF!</definedName>
    <definedName name="BExMI8JB94SBD9EMNJEK7Y2T6GYU" hidden="1">#REF!</definedName>
    <definedName name="BExMI8OS85YTW3KYVE4YD0R7Z6UV" hidden="1">#REF!</definedName>
    <definedName name="BExMIBOOZU40JS3F89OMPSRCE9MM" hidden="1">#REF!</definedName>
    <definedName name="BExMIIQ5MBWSIHTFWAQADXMZC22Q" hidden="1">#REF!</definedName>
    <definedName name="BExMIL4I2GE866I25CR5JBLJWJ6A" hidden="1">#REF!</definedName>
    <definedName name="BExMIRKIPF27SNO82SPFSB3T5U17" hidden="1">#REF!</definedName>
    <definedName name="BExMIV0KC8555D5E42ZGWG15Y0MO" hidden="1">#REF!</definedName>
    <definedName name="BExMIZT6AN7E6YMW2S87CTCN2UXH" hidden="1">#REF!</definedName>
    <definedName name="BExMJ15T9F3475M0896SG60TN0SR" hidden="1">#REF!</definedName>
    <definedName name="BExMJNC8ZFB9DRFOJ961ZAJ8U3A8" hidden="1">#REF!</definedName>
    <definedName name="BExMJTBV8A3D31W2IQHP9RDFPPHQ" hidden="1">#REF!</definedName>
    <definedName name="BExMK2RTXN4QJWEUNX002XK8VQP8" hidden="1">#REF!</definedName>
    <definedName name="BExMKBGQDUZ8AWXYHA3QVMSDVZ3D" hidden="1">#REF!</definedName>
    <definedName name="BExMKBM1467553LDFZRRKVSHN374" hidden="1">#REF!</definedName>
    <definedName name="BExMKGK5FJUC0AU8MABRGDC5ZM70"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L3XQNDIMX55ZCHHXKUV3D6E6" hidden="1">#REF!</definedName>
    <definedName name="BExML5QGSWHLI18BGY4CGOTD3UWH" hidden="1">#REF!</definedName>
    <definedName name="BExMLO5Z61RE85X8HHX2G4IU3AZW" hidden="1">#REF!</definedName>
    <definedName name="BExMLVI7UORSHM9FMO8S2EI0TMTS" hidden="1">#REF!</definedName>
    <definedName name="BExMM5UCOT2HSSN0ZIPZW55GSOVO" hidden="1">#REF!</definedName>
    <definedName name="BExMM8ZRS5RQ8H1H55RVPVTDL5NL"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NDR4V2VG5RFZDGTAGD3Q9PPG" hidden="1">#REF!</definedName>
    <definedName name="BExMNJLFWZBRN9PZF1IO9CYWV1B2" hidden="1">#REF!</definedName>
    <definedName name="BExMNKCJ0FA57YEUUAJE43U1QN5P" hidden="1">#REF!</definedName>
    <definedName name="BExMNKN5D1WEF2OOJVP6LZ6DLU3Y" hidden="1">#REF!</definedName>
    <definedName name="BExMNR38HMPLWAJRQ9MMS3ZAZ9IU" hidden="1">#REF!</definedName>
    <definedName name="BExMNRDZULKJMVY2VKIIRM2M5A1M" hidden="1">#REF!</definedName>
    <definedName name="BExMO9IOWKTWHO8LQJJQI5P3INWY" hidden="1">#REF!</definedName>
    <definedName name="BExMOI29DOEK5R1A5QZPUDKF7N6T" hidden="1">#REF!</definedName>
    <definedName name="BExMPAJ5AJAXGKGK3F6H3ODS6RF4" hidden="1">#REF!</definedName>
    <definedName name="BExMPD2X55FFBVJ6CBUKNPROIOEU" hidden="1">#REF!</definedName>
    <definedName name="BExMPGZ848E38FUH1JBQN97DGWAT" hidden="1">#REF!</definedName>
    <definedName name="BExMPMTICOSMQENOFKQ18K0ZT4S8" hidden="1">#REF!</definedName>
    <definedName name="BExMPMZ07II0R4KGWQQ7PGS3RZS4" hidden="1">#REF!</definedName>
    <definedName name="BExMPOBH04JMDO6Z8DMSEJZM4ANN" hidden="1">#REF!</definedName>
    <definedName name="BExMPSD77XQ3HA6A4FZOJK8G2JP3" hidden="1">#REF!</definedName>
    <definedName name="BExMPXB5UV5CRDPWM3AJB8BNEDQI" hidden="1">#REF!</definedName>
    <definedName name="BExMQ4I3Q7F0BMPHSFMFW9TZ87UD" hidden="1">#REF!</definedName>
    <definedName name="BExMQ4SWDWI4N16AZ0T5CJ6HH8WC" hidden="1">#REF!</definedName>
    <definedName name="BExMQ71WHW50GVX45JU951AGPLFQ" hidden="1">#REF!</definedName>
    <definedName name="BExMQGXSLPT4A6N47LE6FBVHWBOF" hidden="1">#REF!</definedName>
    <definedName name="BExMQSBR7PL4KLB1Q4961QO45Y4G" hidden="1">#REF!</definedName>
    <definedName name="BExMR1MA4I1X77714ZEPUVC8W398" hidden="1">#REF!</definedName>
    <definedName name="BExMR8YQHA7N77HGHY4Y6R30I3XT" hidden="1">#REF!</definedName>
    <definedName name="BExMRENOIARWRYOIVPDIEBVNRDO7" hidden="1">#REF!</definedName>
    <definedName name="BExMRRJNUMGRSDD5GGKKGEIZ6FTS" hidden="1">#REF!</definedName>
    <definedName name="BExMRU3ACIU0RD2BNWO55LH5U2BR" hidden="1">#REF!</definedName>
    <definedName name="BExMSQRCC40AP8BDUPL2I2DNC210" hidden="1">#REF!</definedName>
    <definedName name="BExO4J9LR712G00TVA82VNTG8O7H" hidden="1">#REF!</definedName>
    <definedName name="BExO501U1MN1LCIKMADNUVE44BOS" hidden="1">#REF!</definedName>
    <definedName name="BExO55G2KVZ7MIJ30N827CLH0I2A" hidden="1">#REF!</definedName>
    <definedName name="BExO5A8PZD9EUHC5CMPU6N3SQ15L" hidden="1">#REF!</definedName>
    <definedName name="BExO5XMAHL7CY3X0B1OPKZ28DCJ5" hidden="1">#REF!</definedName>
    <definedName name="BExO66LZJKY4PTQVREELI6POS4AY" hidden="1">#REF!</definedName>
    <definedName name="BExO6LLHCYTF7CIVHKAO0NMET14Q"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UTAGQWDBQZEEF4HUNMLQCVU" hidden="1">#REF!</definedName>
    <definedName name="BExO937E20IHMGQOZMECL3VZC7OX" hidden="1">#REF!</definedName>
    <definedName name="BExO94UTJKQQ7TJTTJRTSR70YVJC" hidden="1">#REF!</definedName>
    <definedName name="BExO9J3A438976RXIUX5U9SU5T55" hidden="1">#REF!</definedName>
    <definedName name="BExO9RS5RXFJ1911HL3CCK6M74EP" hidden="1">#REF!</definedName>
    <definedName name="BExO9SDRI1M6KMHXSG3AE5L0F2U3" hidden="1">#REF!</definedName>
    <definedName name="BExO9V2U2YXAY904GYYGU6TD8Y7M" hidden="1">#REF!</definedName>
    <definedName name="BExOAQ3GKCT7YZW1EMVU3EILSZL2"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C3UEHB1CZNINSQHZANWJYKR8" hidden="1">#REF!</definedName>
    <definedName name="BExOCBSF3XGO9YJ23LX2H78VOUR7" hidden="1">#REF!</definedName>
    <definedName name="BExOCHXI1D172OS9F0G3TX6Z871P" hidden="1">#REF!</definedName>
    <definedName name="BExOCKXFMOW6WPFEVX1I7R7FNDSS" hidden="1">#REF!</definedName>
    <definedName name="BExOCYEXOB95DH5NOB0M5NOYX398" hidden="1">#REF!</definedName>
    <definedName name="BExOD4ERMDMFD8X1016N4EXOUR0S" hidden="1">#REF!</definedName>
    <definedName name="BExOD55RS7BQUHRQ6H3USVGKR0P7" hidden="1">#REF!</definedName>
    <definedName name="BExODEWDDEABM4ZY3XREJIBZ8IVP" hidden="1">#REF!</definedName>
    <definedName name="BExODZFEIWV26E8RFU7XQYX1J458" hidden="1">#REF!</definedName>
    <definedName name="BExOEBKG55EROA2VL360A06LKASE" hidden="1">#REF!</definedName>
    <definedName name="BExOERG5LWXYYEN1DY1H2FWRJS9T" hidden="1">#REF!</definedName>
    <definedName name="BExOEV1S6JJVO5PP4BZ20SNGZR7D" hidden="1">#REF!</definedName>
    <definedName name="BExOFEDNCYI2TPTMQ8SJN3AW4YMF" hidden="1">#REF!</definedName>
    <definedName name="BExOFVLXVD6RVHSQO8KZOOACSV24" hidden="1">#REF!</definedName>
    <definedName name="BExOG2SW3XOGP9VAPQ3THV3VWV12" hidden="1">#REF!</definedName>
    <definedName name="BExOG45J81K4OPA40KW5VQU54KY3" hidden="1">#REF!</definedName>
    <definedName name="BExOGFE2SCL8HHT4DFAXKLUTJZOG" hidden="1">#REF!</definedName>
    <definedName name="BExOGT6D0LJ3C22RDW8COECKB1J5" hidden="1">#REF!</definedName>
    <definedName name="BExOGTMI1HT31M1RGWVRAVHAK7DE" hidden="1">#REF!</definedName>
    <definedName name="BExOGXO9JE5XSE9GC3I6O21UEKAO" hidden="1">#REF!</definedName>
    <definedName name="BExOH9ICZ13C1LAW8OTYTR9S7ZP3" hidden="1">#REF!</definedName>
    <definedName name="BExOHL75H3OT4WAKKPUXIVXWFVDS" hidden="1">#REF!</definedName>
    <definedName name="BExOHLHXXJL6363CC082M9M5VVXQ" hidden="1">#REF!</definedName>
    <definedName name="BExOHNAO5UDXSO73BK2ARHWKS90Y" hidden="1">#REF!</definedName>
    <definedName name="BExOHR1G1I9A9CI1HG94EWBLWNM2" hidden="1">#REF!</definedName>
    <definedName name="BExOHTQPP8LQ98L6PYUI6QW08YID" hidden="1">#REF!</definedName>
    <definedName name="BExOHX6Q6NJI793PGX59O5EKTP4G" hidden="1">#REF!</definedName>
    <definedName name="BExOI5VMTHH7Y8MQQ1N635CHYI0P" hidden="1">#REF!</definedName>
    <definedName name="BExOIEVCP4Y6VDS23AK84MCYYHRT" hidden="1">#REF!</definedName>
    <definedName name="BExOIHPQIXR0NDR5WD01BZKPKEO3" hidden="1">#REF!</definedName>
    <definedName name="BExOIM7L0Z3LSII9P7ZTV4KJ8RMA"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M0W6XGSW5MXPTTX0GNF6SFT" hidden="1">#REF!</definedName>
    <definedName name="BExOJXEUJJ9SYRJXKYYV2NCCDT2R" hidden="1">#REF!</definedName>
    <definedName name="BExOK0EQYM9JUMAGWOUN7QDH7VMZ" hidden="1">#REF!</definedName>
    <definedName name="BExOK4WM9O7QNG6O57FOASI5QSN1" hidden="1">#REF!</definedName>
    <definedName name="BExOKKHOPWUVRJGQJ5ONR2U40JX8" hidden="1">#REF!</definedName>
    <definedName name="BExOKTXMJP351VXKH8VT6SXUNIMF" hidden="1">#REF!</definedName>
    <definedName name="BExOKU8GMLOCNVORDE329819XN67" hidden="1">#REF!</definedName>
    <definedName name="BExOL0Z3Z7IAMHPB91EO2MF49U57" hidden="1">#REF!</definedName>
    <definedName name="BExOL7KH12VAR0LG741SIOJTLWFD" hidden="1">#REF!</definedName>
    <definedName name="BExOLICXFHJLILCJVFMJE5MGGWKR" hidden="1">#REF!</definedName>
    <definedName name="BExOLOI0WJS3QC12I3ISL0D9AWOF" hidden="1">#REF!</definedName>
    <definedName name="BExOLYZNG5RBD0BTS1OEZJNU92Q5" hidden="1">#REF!</definedName>
    <definedName name="BExOM3HIJ3UZPOKJI68KPBJAHPDC" hidden="1">#REF!</definedName>
    <definedName name="BExOMKPURE33YQ3K1JG9NVQD4W49" hidden="1">#REF!</definedName>
    <definedName name="BExOMP7NGCLUNFK50QD2LPKRG078" hidden="1">#REF!</definedName>
    <definedName name="BExOMU0A6XMY48SZRYL4WQZD13BI" hidden="1">#REF!</definedName>
    <definedName name="BExOMVT0HSNC59DJP4CLISASGHKL"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NZ9VMHVX3J6NLNJY7KZA61O" hidden="1">#REF!</definedName>
    <definedName name="BExONRQ1BAA4F3TXP2MYQ4YCZ09S" hidden="1">#REF!</definedName>
    <definedName name="BExOO1WWIZSGB0YTGKESB45TSVMZ" hidden="1">#REF!</definedName>
    <definedName name="BExOO4B8FPAFYPHCTYTX37P1TQM5" hidden="1">#REF!</definedName>
    <definedName name="BExOOIULUDOJRMYABWV5CCL906X6" hidden="1">#REF!</definedName>
    <definedName name="BExOOTN0KTXJCL7E476XBN1CJ553" hidden="1">#REF!</definedName>
    <definedName name="BExOP9DEBV5W5P4Q25J3XCJBP5S9" hidden="1">#REF!</definedName>
    <definedName name="BExOPFNYRBL0BFM23LZBJTADNOE4" hidden="1">#REF!</definedName>
    <definedName name="BExOPINVFSIZMCVT9YGT2AODVCX3"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9R28MXSG2SEV956F0KZ20AN" hidden="1">#REF!</definedName>
    <definedName name="BExQ3D1P3M5Z3HLMEZ17E0BLEE4U" hidden="1">#REF!</definedName>
    <definedName name="BExQ3O4W7QF8BOXTUT4IOGF6YKUD" hidden="1">#REF!</definedName>
    <definedName name="BExQ3PXOWSN8561ZR8IEY8ZASI3B" hidden="1">#REF!</definedName>
    <definedName name="BExQ3TZF04IPY0B0UG9CQQ5736UA" hidden="1">#REF!</definedName>
    <definedName name="BExQ42IU9MNDYLODP41DL6YTZMAR" hidden="1">#REF!</definedName>
    <definedName name="BExQ452HF7N1HYPXJXQ8WD6SOWUV" hidden="1">#REF!</definedName>
    <definedName name="BExQ499KBJ5W7A1G293A0K14EVQB" hidden="1">#REF!</definedName>
    <definedName name="BExQ4BTBSHPHVEDRCXC2ROW8PLFC" hidden="1">#REF!</definedName>
    <definedName name="BExQ4DGKF54SRKQUTUT4B1CZSS62"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KX3Z668H1KUCKZ9J24HUQ1F" hidden="1">#REF!</definedName>
    <definedName name="BExQ5SPMSOCJYLAY20NB5A6O32RE" hidden="1">#REF!</definedName>
    <definedName name="BExQ5UICMGTMK790KTLK49MAGXRC" hidden="1">#REF!</definedName>
    <definedName name="BExQ5YUUK9FD0QGTY4WD0W90O7OL" hidden="1">#REF!</definedName>
    <definedName name="BExQ63793YQ9BH7JLCNRIATIGTRG" hidden="1">#REF!</definedName>
    <definedName name="BExQ6CN1EF2UPZ57ZYMGK8TUJQSS" hidden="1">#REF!</definedName>
    <definedName name="BExQ6M2YXJ8AMRJF3QGHC40ADAHZ" hidden="1">#REF!</definedName>
    <definedName name="BExQ6M8B0X44N9TV56ATUVHGDI00" hidden="1">#REF!</definedName>
    <definedName name="BExQ6POH065GV0I74XXVD0VUPBJW" hidden="1">#REF!</definedName>
    <definedName name="BExQ6WV9KPSMXPPLGZ3KK4WNYTHU"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583ZE00NW7T9OF11OT9IA14" hidden="1">#REF!</definedName>
    <definedName name="BExQ8A0RPE3IMIFIZLUE7KD2N21W" hidden="1">#REF!</definedName>
    <definedName name="BExQ8ABK6H1ADV2R2OYT8NFFYG2N" hidden="1">#REF!</definedName>
    <definedName name="BExQ8DM90XJ6GCJIK9LC5O82I2TJ" hidden="1">#REF!</definedName>
    <definedName name="BExQ8G0K46ZORA0QVQTDI7Z8LXGF" hidden="1">#REF!</definedName>
    <definedName name="BExQ8O3WEU8HNTTGKTW5T0QSKCLP" hidden="1">#REF!</definedName>
    <definedName name="BExQ8ZCEDBOBJA3D9LDP5TU2WYGR"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ZLYHWABXAA9NJDW8ZS0UQ9P" hidden="1">#REF!</definedName>
    <definedName name="BExQA324HSCK40ENJUT9CS9EC71B" hidden="1">#REF!</definedName>
    <definedName name="BExQA55GY0STSNBWQCWN8E31ZXCS" hidden="1">#REF!</definedName>
    <definedName name="BExQA9HZIN9XEMHEEVHT99UU9Z82" hidden="1">#REF!</definedName>
    <definedName name="BExQAELFYH92K8CJL155181UDORO" hidden="1">#REF!</definedName>
    <definedName name="BExQAG8PP8R5NJKNQD1U4QOSD6X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94JL9F5GW4S8DQCAF4WB2DA" hidden="1">#REF!</definedName>
    <definedName name="BExQCKTD8AT0824LGWREXM1B5D1X" hidden="1">#REF!</definedName>
    <definedName name="BExQD571YWOXKR2SX85K5MKQ0AO2" hidden="1">#REF!</definedName>
    <definedName name="BExQDB6VCHN8PNX8EA6JNIEQ2JC2" hidden="1">#REF!</definedName>
    <definedName name="BExQDE1B6U2Q9B73KBENABP71YM1" hidden="1">#REF!</definedName>
    <definedName name="BExQDGQCN7ZW41QDUHOBJUGQAX40" hidden="1">#REF!</definedName>
    <definedName name="BExQEC7BRIJ30PTU3UPFOIP2HPE3" hidden="1">#REF!</definedName>
    <definedName name="BExQEMUA4HEFM4OVO8M8MA8PIAW1" hidden="1">#REF!</definedName>
    <definedName name="BExQEQ4XZQFIKUXNU9H7WE7AMZ1U" hidden="1">#REF!</definedName>
    <definedName name="BExQETL4HJRBI9FMY2H6Y1G72IEX" hidden="1">#REF!</definedName>
    <definedName name="BExQF1OEB07CRAP6ALNNMJNJ3P2D"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PNFKA36IAPS22LAUMBDI4KE" hidden="1">#REF!</definedName>
    <definedName name="BExQFPSWEMA8WBUZ4WK20LR13VSU" hidden="1">#REF!</definedName>
    <definedName name="BExQFVSPOSCCPF1TLJPIWYWYB8A9" hidden="1">#REF!</definedName>
    <definedName name="BExQFWJQXNQAW6LUMOEDS6KMJMYL" hidden="1">#REF!</definedName>
    <definedName name="BExQG8TYRD2G42UA5ZPCRLNKUDMX" hidden="1">#REF!</definedName>
    <definedName name="BExQGO48J9MPCDQ96RBB9UN9AIGT" hidden="1">#REF!</definedName>
    <definedName name="BExQGSBB6MJWDW7AYWA0MSFTXKRR" hidden="1">#REF!</definedName>
    <definedName name="BExQH0UURAJ13AVO5UI04HSRGVYW" hidden="1">#REF!</definedName>
    <definedName name="BExQH6ZZY0NR8SE48PSI9D0CU1TC" hidden="1">#REF!</definedName>
    <definedName name="BExQH9P2MCXAJOVEO4GFQT6MNW22" hidden="1">#REF!</definedName>
    <definedName name="BExQHCZSBYUY8OKKJXFYWKBBM6AH" hidden="1">#REF!</definedName>
    <definedName name="BExQHPKXZ1K33V2F90NZIQRZYIAW" hidden="1">#REF!</definedName>
    <definedName name="BExQHVF9KD06AG2RXUQJ9X4PVGX4" hidden="1">#REF!</definedName>
    <definedName name="BExQHZBHVN2L4HC7ACTR73T5OCV0" hidden="1">#REF!</definedName>
    <definedName name="BExQI85V9TNLDJT5LTRZS10Y26SG" hidden="1">#REF!</definedName>
    <definedName name="BExQI9D1FJDRIN7RO1ZZKH9GWGSA" hidden="1">#REF!</definedName>
    <definedName name="BExQIAPKHVEV8CU1L3TTHJW67FJ5" hidden="1">#REF!</definedName>
    <definedName name="BExQIBB4I3Z6AUU0HYV1DHRS13M4" hidden="1">#REF!</definedName>
    <definedName name="BExQIBWPAXU7HJZLKGJZY3EB7MIS" hidden="1">#REF!</definedName>
    <definedName name="BExQIS8O6R36CI01XRY9ISM99TW9" hidden="1">#REF!</definedName>
    <definedName name="BExQIVJB9MJ25NDUHTCVMSODJY2C" hidden="1">#REF!</definedName>
    <definedName name="BExQJBF7LAX128WR7VTMJC88ZLPG" hidden="1">#REF!</definedName>
    <definedName name="BExQJEVCKX6KZHNCLYXY7D0MX5KN" hidden="1">#REF!</definedName>
    <definedName name="BExQJJYSDX8B0J1QGF2HL071KKA3" hidden="1">#REF!</definedName>
    <definedName name="BExQK1HV6SQQ7CP8H8IUKI9TYXTD" hidden="1">#REF!</definedName>
    <definedName name="BExQK3LE5CSBW1E4H4KHW548FL2R" hidden="1">#REF!</definedName>
    <definedName name="BExQKG6LD6PLNDGNGO9DJXY865BR" hidden="1">#REF!</definedName>
    <definedName name="BExQLE1TOW3A287TQB0AVWENT8O1" hidden="1">#REF!</definedName>
    <definedName name="BExRYOYB4A3E5F6MTROY69LR0PMG" hidden="1">#REF!</definedName>
    <definedName name="BExRYZLA9EW71H4SXQR525S72LLP"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S0ASQBKRTPDWFK0KUDFOS9LE5" hidden="1">#REF!</definedName>
    <definedName name="BExS0GHQUF6YT0RU3TKDEO8CSJYB" hidden="1">#REF!</definedName>
    <definedName name="BExS0K8IHC45I78DMZBOJ1P13KQA" hidden="1">#REF!</definedName>
    <definedName name="BExS152B2LFCRAUHSLI5T6QRNII0" hidden="1">#REF!</definedName>
    <definedName name="BExS15IJV0WW662NXQUVT3FGP4ST" hidden="1">#REF!</definedName>
    <definedName name="BExS194110MR25BYJI3CJ2EGZ8XT" hidden="1">#REF!</definedName>
    <definedName name="BExS1BNVGNSGD4EP90QL8WXYWZ66" hidden="1">#REF!</definedName>
    <definedName name="BExS1UE39N6NCND7MAARSBWXS6HU" hidden="1">#REF!</definedName>
    <definedName name="BExS226HTWL5WVC76MP5A1IBI8WD" hidden="1">#REF!</definedName>
    <definedName name="BExS26OI2QNNAH2WMDD95Z400048" hidden="1">#REF!</definedName>
    <definedName name="BExS2DF6B4ZUF3VZLI4G6LJ3BF38" hidden="1">#REF!</definedName>
    <definedName name="BExS2QB5FS5LYTFYO4BROTWG3OV5" hidden="1">#REF!</definedName>
    <definedName name="BExS2TLU1HONYV6S3ZD9T12D7CIG" hidden="1">#REF!</definedName>
    <definedName name="BExS318UV9I2FXPQQWUKKX00QLPJ" hidden="1">#REF!</definedName>
    <definedName name="BExS3LBS0SMTHALVM4NRI1BAV1NP" hidden="1">#REF!</definedName>
    <definedName name="BExS3MTQ75VBXDGEBURP6YT8RROE" hidden="1">#REF!</definedName>
    <definedName name="BExS3OMGYO0DFN5186UFKEXZ2RX3" hidden="1">#REF!</definedName>
    <definedName name="BExS3SDERJ27OER67TIGOVZU13A2" hidden="1">#REF!</definedName>
    <definedName name="BExS46R5WDNU5KL04FKY5LHJUCB8" hidden="1">#REF!</definedName>
    <definedName name="BExS4ASWKM93XA275AXHYP8AG6SU" hidden="1">#REF!</definedName>
    <definedName name="BExS4JN3Y6SVBKILQK0R9HS45Y52" hidden="1">#REF!</definedName>
    <definedName name="BExS4P6S41O6Z6BED77U3GD9PNH1" hidden="1">#REF!</definedName>
    <definedName name="BExS51H0N51UT0FZOPZRCF1GU063" hidden="1">#REF!</definedName>
    <definedName name="BExS54X72TJFC41FJK72MLRR2OO7" hidden="1">#REF!</definedName>
    <definedName name="BExS59F0PA1V2ZC7S5TN6IT41SXP" hidden="1">#REF!</definedName>
    <definedName name="BExS5DRER9US6NXY9ATYT41KZII3" hidden="1">#REF!</definedName>
    <definedName name="BExS5L3TGB8JVW9ROYWTKYTUPW27" hidden="1">#REF!</definedName>
    <definedName name="BExS6GKQ96EHVLYWNJDWXZXUZW90" hidden="1">#REF!</definedName>
    <definedName name="BExS6ITKSZFRR01YD5B0F676SYN7" hidden="1">#REF!</definedName>
    <definedName name="BExS6N0LI574IAC89EFW6CLTCQ33" hidden="1">#REF!</definedName>
    <definedName name="BExS6WRDBF3ST86ZOBBUL3GTCR11" hidden="1">#REF!</definedName>
    <definedName name="BExS6XNRKR0C3MTA0LV5B60UB908"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BPG5A0GR5AO1U951NDGGR0L" hidden="1">#REF!</definedName>
    <definedName name="BExS8GSUS17UY50TEM2AWF36BR9Z" hidden="1">#REF!</definedName>
    <definedName name="BExS8HJRBVG0XI6PWA9KTMJZMQXK" hidden="1">#REF!</definedName>
    <definedName name="BExS8R51C8RM2FS6V6IRTYO9GA4A"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S2KRRCS33SE6WFNF5GYL" hidden="1">#REF!</definedName>
    <definedName name="BExS9WI0A6PSEB8N9GPXF2Z7MWHM"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MOS41ZRLWYLOU29V6Y7YORR" hidden="1">#REF!</definedName>
    <definedName name="BExSBRBXXQMBU1TYDW1BXTEVEPRU" hidden="1">#REF!</definedName>
    <definedName name="BExSC54998WTZ21DSL0R8UN0Y9JH" hidden="1">#REF!</definedName>
    <definedName name="BExSC60N7WR9PJSNC9B7ORCX9NGY" hidden="1">#REF!</definedName>
    <definedName name="BExSCE99EZTILTTCE4NJJF96OYYM" hidden="1">#REF!</definedName>
    <definedName name="BExSCHUQZ2HFEWS54X67DIS8OSXZ" hidden="1">#REF!</definedName>
    <definedName name="BExSCOG41SKKG4GYU76WRWW1CTE6"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P5Y04WWMX2WWRITWOX8R5I9" hidden="1">#REF!</definedName>
    <definedName name="BExSDSGM203BJTNS9MKCBX453HMD" hidden="1">#REF!</definedName>
    <definedName name="BExSDT20XUFXTDM37M148AXAP7HN" hidden="1">#REF!</definedName>
    <definedName name="BExSEEHK1VLWD7JBV9SVVVIKQZ3I" hidden="1">#REF!</definedName>
    <definedName name="BExSEJKZLX37P3V33TRTFJ30BFRK" hidden="1">#REF!</definedName>
    <definedName name="BExSEP9UVOAI6TMXKNK587PQ3328" hidden="1">#REF!</definedName>
    <definedName name="BExSF07QFLZCO4P6K6QF05XG7PH1"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90Q4ZUU2IPGDYOM169NJV9S" hidden="1">#REF!</definedName>
    <definedName name="BExSG9X3DU845PNXYJGGLBQY2UHG" hidden="1">#REF!</definedName>
    <definedName name="BExSGE45J27MDUUNXW7Z8Q33UAON" hidden="1">#REF!</definedName>
    <definedName name="BExSGE9LY91Q0URHB4YAMX0UAMYI"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ZJO4J4ZO04E2N2ECVYS9DEZ" hidden="1">#REF!</definedName>
    <definedName name="BExSHAHFHS7MMNJR8JPVABRGBVIT" hidden="1">#REF!</definedName>
    <definedName name="BExSHGH88QZWW4RNAX4YKAZ5JEBL"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ZNS2PBCR93C9IUW49UZ4I6T" hidden="1">#REF!</definedName>
    <definedName name="BExTU2YFQ25JQ6MEMRHHN66VLTPJ" hidden="1">#REF!</definedName>
    <definedName name="BExTU75IOII1V5O0C9X2VAYYVJUG" hidden="1">#REF!</definedName>
    <definedName name="BExTUA5F7V4LUIIAM17J3A8XF3JE"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ELZCF2YA5L6F23BYZZR6WHF" hidden="1">#REF!</definedName>
    <definedName name="BExTVGPIQZ99YFXUC8OONUX5BD42" hidden="1">#REF!</definedName>
    <definedName name="BExTVZQLP9VFLEYQ9280W13X7E8K" hidden="1">#REF!</definedName>
    <definedName name="BExTW4DVXJ9H04N3YAVDYYV57JQ7"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X476KI0RNB71XI5TYMANSGBG" hidden="1">#REF!</definedName>
    <definedName name="BExTXJ6HBAIXMMWKZTJNFDYVZCAY" hidden="1">#REF!</definedName>
    <definedName name="BExTXT812NQT8GAEGH738U29BI0D" hidden="1">#REF!</definedName>
    <definedName name="BExTXWIP2TFPTQ76NHFOB72NICRZ" hidden="1">#REF!</definedName>
    <definedName name="BExTY5T62H651VC86QM4X7E28JVA" hidden="1">#REF!</definedName>
    <definedName name="BExTYHCJJ2NWRM1RV59FYR41534U" hidden="1">#REF!</definedName>
    <definedName name="BExTYKCEFJ83LZM95M1V7CSFQVEA"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Y8TDV4U7FQL7O10G6VKWKPJ" hidden="1">#REF!</definedName>
    <definedName name="BExU02QNT4LT7H9JPUC4FXTLVGZT" hidden="1">#REF!</definedName>
    <definedName name="BExU0BFJJQO1HJZKI14QGOQ6JROO"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ZUUFYHLUK4M4E8GLGIBBNT0" hidden="1">#REF!</definedName>
    <definedName name="BExU147D6RPG6ZVTSXRKFSVRHSBG" hidden="1">#REF!</definedName>
    <definedName name="BExU16R10W1SOAPNG4CDJ01T7JRE" hidden="1">#REF!</definedName>
    <definedName name="BExU17CKOR3GNIHDNVLH9L1IOJS9" hidden="1">#REF!</definedName>
    <definedName name="BExU1GXUTLRPJN4MRINLAPHSZQFG" hidden="1">#REF!</definedName>
    <definedName name="BExU1IL9AOHFO85BZB6S60DK3N8H"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2M5CK6XK55UIHDVYRXJJJRI4" hidden="1">#REF!</definedName>
    <definedName name="BExU2TXVT25ZTOFQAF6CM53Z1RLF" hidden="1">#REF!</definedName>
    <definedName name="BExU2XZLYIU19G7358W5T9E87AFR" hidden="1">#REF!</definedName>
    <definedName name="BExU3B66MCKJFSKT3HL8B5EJGVX0"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51IFNZXPBDES28457LR8X60M" hidden="1">#REF!</definedName>
    <definedName name="BExU529I6YHVOG83TJHWSILIQU1S" hidden="1">#REF!</definedName>
    <definedName name="BExU57YCIKPRD8QWL6EU0YR3NG3J" hidden="1">#REF!</definedName>
    <definedName name="BExU5DSTBWXLN6E59B757KRWRI6E" hidden="1">#REF!</definedName>
    <definedName name="BExU5TDWM8NNDHYPQ7OQODTQ368A"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M82KN21E82HMWVP3LWP9IL" hidden="1">#REF!</definedName>
    <definedName name="BExU6FEU1MRHU98R9YOJC5OKUJ6L" hidden="1">#REF!</definedName>
    <definedName name="BExU6KIAJ663Y8W8QMU4HCF183DF" hidden="1">#REF!</definedName>
    <definedName name="BExU6KT19B4PG6SHXFBGBPLM66KT" hidden="1">#REF!</definedName>
    <definedName name="BExU6PAVKIOAIMQ9XQIHHF1SUAGO" hidden="1">#REF!</definedName>
    <definedName name="BExU6WXXC7SSQDMHSLUN5C2V4IYX"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Q0JS9YIUKUPNSSAIDK2KJAV" hidden="1">#REF!</definedName>
    <definedName name="BExU80I6AE5OU7P7F5V7HWIZBJ4P" hidden="1">#REF!</definedName>
    <definedName name="BExU86NB26MCPYIISZ36HADONGT2" hidden="1">#REF!</definedName>
    <definedName name="BExU885EZZNSZV3GP298UJ8LB7OL" hidden="1">#REF!</definedName>
    <definedName name="BExU8FSAUP9TUZ1NO9WXK80QPHWV" hidden="1">#REF!</definedName>
    <definedName name="BExU8KFLAN778MBN93NYZB0FV30G" hidden="1">#REF!</definedName>
    <definedName name="BExU8UX9JX3XLB47YZ8GFXE0V7R2"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X8WS5OPVLCDXRGKTU2QMTFO" hidden="1">#REF!</definedName>
    <definedName name="BExUB8HLEXSBVPZ5AXNQEK96F1N4" hidden="1">#REF!</definedName>
    <definedName name="BExUBCDVZIEA7YT0LPSMHL5ZSERQ" hidden="1">#REF!</definedName>
    <definedName name="BExUBKXBUCN760QYU7Q8GESBWOQH" hidden="1">#REF!</definedName>
    <definedName name="BExUBL83ED0P076RN9RJ8P1MZ299" hidden="1">#REF!</definedName>
    <definedName name="BExUC623BDYEODBN0N4DO6PJQ7NU" hidden="1">#REF!</definedName>
    <definedName name="BExUC8WH8TCKBB5313JGYYQ1WFLT" hidden="1">#REF!</definedName>
    <definedName name="BExUCFCDK6SPH86I6STXX8X3WMC4" hidden="1">#REF!</definedName>
    <definedName name="BExUCLC6AQ5KR6LXSAXV4QQ8ASVG" hidden="1">#REF!</definedName>
    <definedName name="BExUD4IOJ12X3PJG5WXNNGDRCKAP" hidden="1">#REF!</definedName>
    <definedName name="BExUD9WX9BWK72UWVSLYZJLAY5VY" hidden="1">#REF!</definedName>
    <definedName name="BExUDBEUJH9IACZDBL1VAUWPG0QW" hidden="1">#REF!</definedName>
    <definedName name="BExUDEV0CYVO7Y5IQQBEJ6FUY9S6" hidden="1">#REF!</definedName>
    <definedName name="BExUDWOXQGIZW0EAIIYLQUPXF8YV" hidden="1">#REF!</definedName>
    <definedName name="BExUDXAIC17W1FUU8Z10XUAVB7CS" hidden="1">#REF!</definedName>
    <definedName name="BExUE5OMY7OAJQ9WR8C8HG311ORP"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SL787C8E4HFQZ2NVLT35I2XV" hidden="1">#REF!</definedName>
    <definedName name="BExVSTFTVV14SFGHQUOJL5SQ5TX9" hidden="1">#REF!</definedName>
    <definedName name="BExVT3MPE8LQ5JFN3HQIFKSQ80U4" hidden="1">#REF!</definedName>
    <definedName name="BExVT7TRK3NZHPME2TFBXOF1WBR9" hidden="1">#REF!</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NESHPVG0A0KZ7BRX26MS0PF" hidden="1">#REF!</definedName>
    <definedName name="BExVTTJVTNRSBHBTUZ78WG2JM5MK" hidden="1">#REF!</definedName>
    <definedName name="BExVTXLMYR87BC04D1ERALPUFVPG" hidden="1">#REF!</definedName>
    <definedName name="BExVUL9V3H8ZF6Y72LQBBN639YAA" hidden="1">#REF!</definedName>
    <definedName name="BExVV5T14N2HZIK7HQ4P2KG09U0J" hidden="1">#REF!</definedName>
    <definedName name="BExVV7R410VYLADLX9LNG63ID6H1" hidden="1">#REF!</definedName>
    <definedName name="BExVVCEED4JEKF59OV0G3T4XFMFO" hidden="1">#REF!</definedName>
    <definedName name="BExVVPFO2J7FMSRPD36909HN4BZJ" hidden="1">#REF!</definedName>
    <definedName name="BExVVQ19AQ3VCARJOC38SF7OYE9Y" hidden="1">#REF!</definedName>
    <definedName name="BExVVQ19TAECID45CS4HXT1RD3AQ" hidden="1">#REF!</definedName>
    <definedName name="BExVW3YV5XGIVJ97UUPDJGJ2P15B" hidden="1">#REF!</definedName>
    <definedName name="BExVW5X571GEYR5SCU1Z2DHKWM79" hidden="1">#REF!</definedName>
    <definedName name="BExVW6YTKA098AF57M4PHNQ54XMH" hidden="1">#REF!</definedName>
    <definedName name="BExVWINKCH0V0NUWH363SMXAZE62" hidden="1">#REF!</definedName>
    <definedName name="BExVWYU8EK669NP172GEIGCTVPPA" hidden="1">#REF!</definedName>
    <definedName name="BExVX3MVJ0GHWPP1EL59ZQNKMX0B" hidden="1">#REF!</definedName>
    <definedName name="BExVX3XN2DRJKL8EDBIG58RYQ36R" hidden="1">#REF!</definedName>
    <definedName name="BExVXDZ63PUART77BBR5SI63TPC6" hidden="1">#REF!</definedName>
    <definedName name="BExVXHKI6LFYMGWISMPACMO247HL" hidden="1">#REF!</definedName>
    <definedName name="BExVXLX2BZ5EF2X6R41BTKRJR1NM"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VGWN7SONLVDH9WJ2F1JS264" hidden="1">#REF!</definedName>
    <definedName name="BExVZ9EO732IK6MNMG17Y1EFTJQC" hidden="1">#REF!</definedName>
    <definedName name="BExVZB1Y5J4UL2LKK0363EU7GIJ1" hidden="1">#REF!</definedName>
    <definedName name="BExVZJQVO5LQ0BJH5JEN5NOBIAF6" hidden="1">#REF!</definedName>
    <definedName name="BExVZNXWS91RD7NXV5NE2R3C8WW7" hidden="1">#REF!</definedName>
    <definedName name="BExW0386REQRCQCVT9BCX80UPTRY" hidden="1">#REF!</definedName>
    <definedName name="BExW0FYP4WXY71CYUG40SUBG9UWU" hidden="1">#REF!</definedName>
    <definedName name="BExW0RI61B4VV0ARXTFVBAWRA1C5" hidden="1">#REF!</definedName>
    <definedName name="BExW1BVUYQTKMOR56MW7RVRX4L1L"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H3C8WJSBW5FGTFKVDVJC4CL" hidden="1">#REF!</definedName>
    <definedName name="BExW2MSCKPGF5K3I7TL4KF5ISUOL" hidden="1">#REF!</definedName>
    <definedName name="BExW2SMO90FU9W8DVVES6Q4E6BZR" hidden="1">#REF!</definedName>
    <definedName name="BExW36V9N91OHCUMGWJQL3I5P4JK" hidden="1">#REF!</definedName>
    <definedName name="BExW3EIBA1J9Q9NA9VCGZGRS8WV7" hidden="1">#REF!</definedName>
    <definedName name="BExW3FEO8FI8N6AGQKYEG4SQVJWB" hidden="1">#REF!</definedName>
    <definedName name="BExW3GB28STOMJUSZEIA7YKYNS4Y" hidden="1">#REF!</definedName>
    <definedName name="BExW3T1K638HT5E0Y8MMK108P5JT" hidden="1">#REF!</definedName>
    <definedName name="BExW4217ZHL9VO39POSTJOD090WU" hidden="1">#REF!</definedName>
    <definedName name="BExW4GPW71EBF8XPS2QGVQHBCDX3" hidden="1">#REF!</definedName>
    <definedName name="BExW4JKC5837JBPCOJV337ZVYYY3" hidden="1">#REF!</definedName>
    <definedName name="BExW4QR9FV9MP5K610THBSM51RYO" hidden="1">#REF!</definedName>
    <definedName name="BExW4Z029R9E19ZENN3WEA3VDAD1" hidden="1">#REF!</definedName>
    <definedName name="BExW5AZNT6IAZGNF2C879ODHY1B8" hidden="1">#REF!</definedName>
    <definedName name="BExW5WPU27WD4NWZOT0ZEJIDLX5J" hidden="1">#REF!</definedName>
    <definedName name="BExW660AV1TUV2XNUPD65RZR3QOO" hidden="1">#REF!</definedName>
    <definedName name="BExW66LVVZK656PQY1257QMHP2AY" hidden="1">#REF!</definedName>
    <definedName name="BExW6EJPHAP1TWT380AZLXNHR22P" hidden="1">#REF!</definedName>
    <definedName name="BExW6G1PJ38H10DVLL8WPQ736OEB" hidden="1">#REF!</definedName>
    <definedName name="BExW794A74Z5F2K8LVQLD6VSKXUE" hidden="1">#REF!</definedName>
    <definedName name="BExW8K0SSIPSKBVP06IJ71600HJZ"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XLDE6PN4ESWT3LXJNQCY94NE4" hidden="1">#REF!</definedName>
    <definedName name="BExXLQVPK2H3IF0NDDA5CT612EUK" hidden="1">#REF!</definedName>
    <definedName name="BExXLR6IO70TYTACKQH9M5PGV24J" hidden="1">#REF!</definedName>
    <definedName name="BExXM065WOLYRYHGHOJE0OOFXA4M" hidden="1">#REF!</definedName>
    <definedName name="BExXM3GUNXVDM82KUR17NNUMQCNI" hidden="1">#REF!</definedName>
    <definedName name="BExXMA28M8SH7MKIGETSDA72WUIZ" hidden="1">#REF!</definedName>
    <definedName name="BExXMOLHIAHDLFSA31PUB36SC3I9" hidden="1">#REF!</definedName>
    <definedName name="BExXMT8T5Z3M2JBQN65X2LKH0YQI" hidden="1">#REF!</definedName>
    <definedName name="BExXN1XNO7H60M9X1E7EVWFJDM5N" localSheetId="4" hidden="1">#REF!</definedName>
    <definedName name="BExXN1XNO7H60M9X1E7EVWFJDM5N" hidden="1">#REF!</definedName>
    <definedName name="BExXN22ZOTIW49GPLWFYKVM90FNZ" localSheetId="4" hidden="1">#REF!</definedName>
    <definedName name="BExXN22ZOTIW49GPLWFYKVM90FNZ" hidden="1">#REF!</definedName>
    <definedName name="BExXN6QAP8UJQVN4R4BQKPP4QK35" hidden="1">#REF!</definedName>
    <definedName name="BExXNBOA39T2X6Y5Y5GZ5DDNA1AX" hidden="1">#REF!</definedName>
    <definedName name="BExXND6872VJ3M2PGT056WQMWBHD" hidden="1">#REF!</definedName>
    <definedName name="BExXNKIMIW1DC10H8V1U6YDPSJRR" hidden="1">#REF!</definedName>
    <definedName name="BExXNPM24UN2PGVL9D1TUBFRIKR4" hidden="1">#REF!</definedName>
    <definedName name="BExXNWYB165VO9MHARCL5WLCHWS0" hidden="1">#REF!</definedName>
    <definedName name="BExXO278QHQN8JDK5425EJ615ECC" hidden="1">#REF!</definedName>
    <definedName name="BExXOBHOP0WGFHI2Y9AO4L440UVQ" hidden="1">#REF!</definedName>
    <definedName name="BExXOHSAD2NSHOLLMZ2JWA4I3I1R" hidden="1">#REF!</definedName>
    <definedName name="BExXP80B5FGA00JCM7UXKPI3PB7Y" hidden="1">#REF!</definedName>
    <definedName name="BExXP85M4WXYVN1UVHUTOEKEG5XS" hidden="1">#REF!</definedName>
    <definedName name="BExXPELOTHOAG0OWILLAH94OZV5J" hidden="1">#REF!</definedName>
    <definedName name="BExXPS31W1VD2NMIE4E37LHVDF0L" hidden="1">#REF!</definedName>
    <definedName name="BExXPZKYEMVF5JOC14HYOOYQK6JK"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IRBLQSLAJTFL7224FCFUTKH" hidden="1">#REF!</definedName>
    <definedName name="BExXQJIEF5R3QQ6D8HO3NGPU0IQC"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IFB4QQ87QIGA9AG0NXP577K" hidden="1">#REF!</definedName>
    <definedName name="BExXRIQ2JF2CVTRDQX2D9SPH7FTN"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NHC88W4UMXEOIOOATJAIKZO" hidden="1">#REF!</definedName>
    <definedName name="BExXSTBS08WIA9TLALV3UQ2Z3MRG" hidden="1">#REF!</definedName>
    <definedName name="BExXSVQ2WOJJ73YEO8Q2FK60V4G8"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ZKZ4CG92ZQLIRKEXXH9BFIR" hidden="1">#REF!</definedName>
    <definedName name="BExXU4J2BM2964GD5UZHM752Q4NS" hidden="1">#REF!</definedName>
    <definedName name="BExXU6XDTT7RM93KILIDEYPA9XKF" hidden="1">#REF!</definedName>
    <definedName name="BExXU8VLZA7WLPZ3RAQZGNERUD26" hidden="1">#REF!</definedName>
    <definedName name="BExXUB9RSLSCNN5ETLXY72DAPZZM" hidden="1">#REF!</definedName>
    <definedName name="BExXUFRM82XQIN2T8KGLDQL1IBQW" hidden="1">#REF!</definedName>
    <definedName name="BExXUQEQBF6FI240ZGIF9YXZSRAU" hidden="1">#REF!</definedName>
    <definedName name="BExXUYND6EJO7CJ5KRICV4O1JNWK" hidden="1">#REF!</definedName>
    <definedName name="BExXV6FWG4H3S2QEUJZYIXILNGJ7" hidden="1">#REF!</definedName>
    <definedName name="BExXVK87BMMO6LHKV0CFDNIQVIBS" hidden="1">#REF!</definedName>
    <definedName name="BExXVKZ9WXPGL6IVY6T61IDD771I" hidden="1">#REF!</definedName>
    <definedName name="BExXVR4DU7QS3VS3TJQ11RZZ6I4C" hidden="1">#REF!</definedName>
    <definedName name="BExXW0K72T1Y8K1I4VZT87UY9S2G" hidden="1">#REF!</definedName>
    <definedName name="BExXW27MMXHXUXX78SDTBE1JYTHT" hidden="1">#REF!</definedName>
    <definedName name="BExXW2YIM2MYBSHRIX0RP9D4PRMN" hidden="1">#REF!</definedName>
    <definedName name="BExXWBNE4KTFSXKVSRF6WX039WPB" hidden="1">#REF!</definedName>
    <definedName name="BExXWFP5AYE7EHYTJWBZSQ8PQ0YX" hidden="1">#REF!</definedName>
    <definedName name="BExXWVFIBQT8OY1O41FRFPFGXQHK" hidden="1">#REF!</definedName>
    <definedName name="BExXWWXHBZHA9J3N8K47F84X0M0L" hidden="1">#REF!</definedName>
    <definedName name="BExXXBM521DL8R4ZX7NZ3DBCUOR5" hidden="1">#REF!</definedName>
    <definedName name="BExXXC7OZI33XZ03NRMEP7VRLQK4" hidden="1">#REF!</definedName>
    <definedName name="BExXXH5N3NKBQ7BCJPJTBF8CYM2Q" hidden="1">#REF!</definedName>
    <definedName name="BExXXKWLM4D541BH6O8GOJMHFHMW" hidden="1">#REF!</definedName>
    <definedName name="BExXXPPA1Q87XPI97X0OXCPBPDON" hidden="1">#REF!</definedName>
    <definedName name="BExXXVUDA98IZTQ6MANKU4MTTDVR" hidden="1">#REF!</definedName>
    <definedName name="BExXXZQNZY6IZI45DJXJK0MQZWA7" hidden="1">#REF!</definedName>
    <definedName name="BExXY5QFG6QP94SFT3935OBM8Y4K" hidden="1">#REF!</definedName>
    <definedName name="BExXY7TYEBFXRYUYIFHTN65RJ8EW" hidden="1">#REF!</definedName>
    <definedName name="BExXYLBHANUXC5FCTDDTGOVD3GQS" hidden="1">#REF!</definedName>
    <definedName name="BExXYMNYAYH3WA2ZCFAYKZID9ZCI" hidden="1">#REF!</definedName>
    <definedName name="BExXYYT12SVN2VDMLVNV4P3ISD8T" hidden="1">#REF!</definedName>
    <definedName name="BExXZEDWUYH25UZMW2QU2RXFILJE" hidden="1">#REF!</definedName>
    <definedName name="BExXZFVV4YB42AZ3H1I40YG3JAPU" hidden="1">#REF!</definedName>
    <definedName name="BExXZHJ9T2JELF12CHHGD54J1B0C" hidden="1">#REF!</definedName>
    <definedName name="BExXZNJ2X1TK2LRK5ZY3MX49H5T7" hidden="1">#REF!</definedName>
    <definedName name="BExXZOVPCEP495TQSON6PSRQ8XCY" hidden="1">#REF!</definedName>
    <definedName name="BExXZXKH7NBARQQAZM69Z57IH1MM" hidden="1">#REF!</definedName>
    <definedName name="BExY07WSDH5QEVM7BJXJK2ZRAI1O" hidden="1">#REF!</definedName>
    <definedName name="BExY0C3UBVC4M59JIRXVQ8OWAJC1" hidden="1">#REF!</definedName>
    <definedName name="BExY0OE8GFHMLLTEAFIOQTOPEVPB" hidden="1">#REF!</definedName>
    <definedName name="BExY0OJHW85S0VKBA8T4HTYPYBOS" hidden="1">#REF!</definedName>
    <definedName name="BExY0T1E034D7XAXNC6F7540LLIE" hidden="1">#REF!</definedName>
    <definedName name="BExY0XTZLHN49J2JH94BYTKBJLT3" hidden="1">#REF!</definedName>
    <definedName name="BExY11FH9TXHERUYGG8FE50U7H7J" hidden="1">#REF!</definedName>
    <definedName name="BExY180UKNW5NIAWD6ZUYTFEH8QS" hidden="1">#REF!</definedName>
    <definedName name="BExY1DPTV4LSY9MEOUGXF8X052NA" hidden="1">#REF!</definedName>
    <definedName name="BExY1GK9ELBEKDD7O6HR6DUO8YGO" hidden="1">#REF!</definedName>
    <definedName name="BExY1NWOXXFV9GGZ3PX444LZ8TVX" hidden="1">#REF!</definedName>
    <definedName name="BExY1UCL0RND63LLSM9X5SFRG117" hidden="1">#REF!</definedName>
    <definedName name="BExY1WAT3937L08HLHIRQHMP2A3H" hidden="1">#REF!</definedName>
    <definedName name="BExY1YEBOSLMID7LURP8QB46AI91"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Q4B5FUDA5VU4VRUHX327QN0" hidden="1">#REF!</definedName>
    <definedName name="BExY3HOSK7YI364K15OX70AVR6F1" hidden="1">#REF!</definedName>
    <definedName name="BExY3T89AUR83SOAZZ3OMDEJDQ39"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RVGL3UM2MGT8LJ0XPKTZEK" hidden="1">#REF!</definedName>
    <definedName name="BExY5EX6NJFK8W754ZVZDN5DS04K" hidden="1">#REF!</definedName>
    <definedName name="BExY5S3XD1NJT109CV54IFOHVLQ6" hidden="1">#REF!</definedName>
    <definedName name="BExY6KVS1MMZ2R34PGEFR2BMTU9W" hidden="1">#REF!</definedName>
    <definedName name="BExY6Q9YY7LW745GP7CYOGGSPHGE" hidden="1">#REF!</definedName>
    <definedName name="BExZIA3C8LKJTEH3MKQ57KJH5TA2" hidden="1">#REF!</definedName>
    <definedName name="BExZIIHH3QNQE3GFMHEE4UMHY6WQ"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K34NR4BAD7HJAP7SQ926UQP3" hidden="1">#REF!</definedName>
    <definedName name="BExZK3FGPHH5H771U7D5XY7XBS6E" hidden="1">#REF!</definedName>
    <definedName name="BExZKHYORG3O8C772XPFHM1N8T80" hidden="1">#REF!</definedName>
    <definedName name="BExZKJRF2IRR57DG9CLC7MSHWNNN" hidden="1">#REF!</definedName>
    <definedName name="BExZKV5GYXO0X760SBD9TWTIQHGI" hidden="1">#REF!</definedName>
    <definedName name="BExZL6E4YVXRUN7ZGF2BIGIXFR8K" hidden="1">#REF!</definedName>
    <definedName name="BExZLGVLMKTPFXG42QYT0PO81G7F" hidden="1">#REF!</definedName>
    <definedName name="BExZLKMK7LRK14S09WLMH7MXSQXM" hidden="1">#REF!</definedName>
    <definedName name="BExZM7JVLG0W8EG5RBU915U3SKBY" hidden="1">#REF!</definedName>
    <definedName name="BExZM85FOVUFF110XMQ9O2ODSJUK" hidden="1">#REF!</definedName>
    <definedName name="BExZMF1MMTZ1TA14PZ8ASSU2CBSP" hidden="1">#REF!</definedName>
    <definedName name="BExZMKL5YQZD7F0FUCSVFGLPFK52" hidden="1">#REF!</definedName>
    <definedName name="BExZMOC3VNZALJM71X2T6FV91GTB" hidden="1">#REF!</definedName>
    <definedName name="BExZMXH39OB0I43XEL3K11U3G9PM" hidden="1">#REF!</definedName>
    <definedName name="BExZMZQ3RBKDHT5GLFNLS52OSJA0" hidden="1">#REF!</definedName>
    <definedName name="BExZN2F7Y2J2L2LN5WZRG949MS4A" hidden="1">#REF!</definedName>
    <definedName name="BExZN847WUWKRYTZWG9TCQZJS3OL"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BO9NYLGVJQ31LVQ9XS2ZT4N"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7AIJKLM6C6CSUIIFAHFBNX2" hidden="1">#REF!</definedName>
    <definedName name="BExZPQ0XY507N8FJMVPKCTK8HC9H" hidden="1">#REF!</definedName>
    <definedName name="BExZQ37OVBR25U32CO2YYVPZOMR5" hidden="1">#REF!</definedName>
    <definedName name="BExZQ3NT7H06VO0AR48WHZULZB93" hidden="1">#REF!</definedName>
    <definedName name="BExZQ7PJU07SEJMDX18U9YVDC2GU" hidden="1">#REF!</definedName>
    <definedName name="BExZQIHTGHK7OOI2Y2PN3JYBY82I" hidden="1">#REF!</definedName>
    <definedName name="BExZQJJMGU5MHQOILGXGJPAQI5XI" hidden="1">#REF!</definedName>
    <definedName name="BExZQXBYEBN28QUH1KOVW6KKA5UM" hidden="1">#REF!</definedName>
    <definedName name="BExZQZKT146WEN8FTVZ7Y5TSB8L5"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Q930U6OCYNV00CH5I0Q4LPE" hidden="1">#REF!</definedName>
    <definedName name="BExZRW8W514W8OZ72YBONYJ64GXF" hidden="1">#REF!</definedName>
    <definedName name="BExZRWJP2BUVFJPO8U8ATQEP0LZU" hidden="1">#REF!</definedName>
    <definedName name="BExZS2OY9JTSSP01ZQ6V2T2LO5R9" hidden="1">#REF!</definedName>
    <definedName name="BExZSI9USDLZAN8LI8M4YYQL24GZ" hidden="1">#REF!</definedName>
    <definedName name="BExZSS0LA2JY4ZLJ1Z5YCMLJJZCH" hidden="1">#REF!</definedName>
    <definedName name="BExZTAQV2QVSZY5Y3VCCWUBSBW9P" hidden="1">#REF!</definedName>
    <definedName name="BExZTHSI2FX56PWRSNX9H5EWTZFO" hidden="1">#REF!</definedName>
    <definedName name="BExZTJL3HVBFY139H6CJHEQCT1EL" hidden="1">#REF!</definedName>
    <definedName name="BExZTLOL8OPABZI453E0KVNA1GJS" hidden="1">#REF!</definedName>
    <definedName name="BExZTT6J3X0TOX0ZY6YPLUVMCW9X" hidden="1">#REF!</definedName>
    <definedName name="BExZTW6ECBRA0BBITWBQ8R93RMC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YDULCX65H9OZ9JHPBNKF3MI" hidden="1">#REF!</definedName>
    <definedName name="BExZV2QD5ZDK3AGDRULLA7JB46C3" hidden="1">#REF!</definedName>
    <definedName name="BExZVBQ29OM0V8XAL3HL0JIM0MMU" hidden="1">#REF!</definedName>
    <definedName name="BExZVLM4T9ORS4ZWHME46U4Q103C" hidden="1">#REF!</definedName>
    <definedName name="BExZVM7OZWPPRH5YQW50EYMMIW1A" hidden="1">#REF!</definedName>
    <definedName name="BExZVPYGX2C5OSHMZ6F0KBKZ6B1S" hidden="1">#REF!</definedName>
    <definedName name="BExZW5UARC8W9AQNLJX2I5WQWS5F" hidden="1">#REF!</definedName>
    <definedName name="BExZW7HRGN6A9YS41KI2B2UUMJ7X" hidden="1">#REF!</definedName>
    <definedName name="BExZW8ZPNV43UXGOT98FDNIBQHZY" hidden="1">#REF!</definedName>
    <definedName name="BExZWKZ5N3RDXU8MZ8HQVYYD8O0F"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OJDELULNLEH7WG0OYJT0NJ4" hidden="1">#REF!</definedName>
    <definedName name="BExZXOOTRNUK8LGEAZ8ZCFW9KXQ1" hidden="1">#REF!</definedName>
    <definedName name="BExZXT6JOXNKEDU23DKL8XZAJZIH" hidden="1">#REF!</definedName>
    <definedName name="BExZXUTYW1HWEEZ1LIX4OQWC7HL1"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Z2FQA9A8C7CJKMEFQ9VPSLCE" hidden="1">#REF!</definedName>
    <definedName name="BExZZCHAVHW8C2H649KRGVQ0WVRT" hidden="1">#REF!</definedName>
    <definedName name="BExZZTK54OTLF2YB68BHGOS27GEN" hidden="1">#REF!</definedName>
    <definedName name="BExZZXB3JQQG4SIZS4MRU6NNW7HI" hidden="1">#REF!</definedName>
    <definedName name="BExZZZEMIIFKMLLV4DJKX5TB9R5V" hidden="1">#REF!</definedName>
    <definedName name="bs" localSheetId="4">#REF!</definedName>
    <definedName name="bs" localSheetId="2">#REF!</definedName>
    <definedName name="bs" localSheetId="7">#REF!</definedName>
    <definedName name="bs" localSheetId="5">#REF!</definedName>
    <definedName name="bs">#REF!</definedName>
    <definedName name="bss" localSheetId="4">#REF!</definedName>
    <definedName name="bss" localSheetId="2">#REF!</definedName>
    <definedName name="bss" localSheetId="7">#REF!</definedName>
    <definedName name="bss" localSheetId="5">#REF!</definedName>
    <definedName name="bss">#REF!</definedName>
    <definedName name="BU">[1]Drop_Downs!$A$5:$A$22</definedName>
    <definedName name="BudgetOwner" localSheetId="2">#REF!</definedName>
    <definedName name="BudgetOwner" localSheetId="7">#REF!</definedName>
    <definedName name="BudgetOwner">#REF!</definedName>
    <definedName name="BUTable">[1]Drop_Downs!$A$37:$B$50</definedName>
    <definedName name="CASHFLOWS">#REF!</definedName>
    <definedName name="Cat">[1]Drop_Downs!$O$32:$O$39</definedName>
    <definedName name="CBWorkbookPriority" hidden="1">-739931623</definedName>
    <definedName name="Comp">Input!$D$51</definedName>
    <definedName name="COMPARISON" localSheetId="4">#REF!</definedName>
    <definedName name="COMPARISON">#REF!</definedName>
    <definedName name="_xlnm.Criteria" localSheetId="4">#REF!</definedName>
    <definedName name="_xlnm.Criteria" localSheetId="2">#REF!</definedName>
    <definedName name="_xlnm.Criteria" localSheetId="7">#REF!</definedName>
    <definedName name="_xlnm.Criteria" localSheetId="5">#REF!</definedName>
    <definedName name="_xlnm.Criteria">#REF!</definedName>
    <definedName name="CurrentFY">Input!$F$48</definedName>
    <definedName name="CurrentFYPriorSub">Current_Prior!$BQ$33</definedName>
    <definedName name="_xlnm.Database" localSheetId="4">#REF!</definedName>
    <definedName name="_xlnm.Database" localSheetId="2">#REF!</definedName>
    <definedName name="_xlnm.Database" localSheetId="7">#REF!</definedName>
    <definedName name="_xlnm.Database" localSheetId="5">#REF!</definedName>
    <definedName name="_xlnm.Database">#REF!</definedName>
    <definedName name="DefExitFY">Input!$N$59</definedName>
    <definedName name="DefExitFYOrig">HistInfo!$AB$44</definedName>
    <definedName name="DEMAND" localSheetId="4">#REF!</definedName>
    <definedName name="DEMAND" localSheetId="2">#REF!</definedName>
    <definedName name="DEMAND" localSheetId="7">#REF!</definedName>
    <definedName name="DEMAND" localSheetId="5">#REF!</definedName>
    <definedName name="DEMAND">#REF!</definedName>
    <definedName name="DiscR">Input!$F$68</definedName>
    <definedName name="DiscRDE">Input!$F$69</definedName>
    <definedName name="DiscRDEOrig">HistInfo!$Q$49</definedName>
    <definedName name="DiscRPriorSub">Current_Prior!$BO$34</definedName>
    <definedName name="EVAFCF">#REF!</definedName>
    <definedName name="_xlnm.Extract" localSheetId="4">#REF!</definedName>
    <definedName name="_xlnm.Extract" localSheetId="2">#REF!</definedName>
    <definedName name="_xlnm.Extract" localSheetId="7">#REF!</definedName>
    <definedName name="_xlnm.Extract" localSheetId="5">#REF!</definedName>
    <definedName name="_xlnm.Extract">#REF!</definedName>
    <definedName name="FCF">#REF!</definedName>
    <definedName name="FinR">Input!$F$72</definedName>
    <definedName name="FIRST" localSheetId="4">#REF!</definedName>
    <definedName name="FIRST" localSheetId="2">#REF!</definedName>
    <definedName name="FIRST" localSheetId="7">#REF!</definedName>
    <definedName name="FIRST" localSheetId="5">#REF!</definedName>
    <definedName name="FIRST">#REF!</definedName>
    <definedName name="FocusArea">[1]Drop_Downs!$J$5:$J$24</definedName>
    <definedName name="fyStartMo" localSheetId="4">[2]Setup!$C$13</definedName>
    <definedName name="fyStartMo">[3]Setup!$C$13</definedName>
    <definedName name="GrowthR">Input!$F$74</definedName>
    <definedName name="howToChange" localSheetId="4">#REF!</definedName>
    <definedName name="howToChange">#REF!</definedName>
    <definedName name="howToCheck">#REF!</definedName>
    <definedName name="InfoPane">#REF!</definedName>
    <definedName name="InformationPane">#REF!</definedName>
    <definedName name="InfpPane">#REF!</definedName>
    <definedName name="InvestmentTable">[1]Drop_Downs!$O$32:$S$39</definedName>
    <definedName name="investmenttable1">[4]Drop_Downs!$O$32:$S$39</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41379.526412037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larry" localSheetId="4">[5]J!$A$8:$D$20</definedName>
    <definedName name="larry">[5]J!$A$8:$D$20</definedName>
    <definedName name="Launch" localSheetId="4">'[6]Capital Investment'!$K$7</definedName>
    <definedName name="Launch">'[6]Capital Investment'!$K$7</definedName>
    <definedName name="LaunchDefExitOrigFY">HistInfo!$AB$48</definedName>
    <definedName name="LaunchFY">Input!$N$63</definedName>
    <definedName name="LaunchFYPriorSub">Current_Prior!$BP$42</definedName>
    <definedName name="LaunchOrigFY">Input!$O$63</definedName>
    <definedName name="LOLD">1</definedName>
    <definedName name="LOLD_Table">5</definedName>
    <definedName name="MyIRR" localSheetId="4">'[6]Summary Incremental P &amp; L'!$E$23</definedName>
    <definedName name="MyIRR">'[6]Summary Incremental P &amp; L'!$E$23</definedName>
    <definedName name="MyMIRR" localSheetId="4">'[6]Summary Incremental P &amp; L'!$E$24</definedName>
    <definedName name="MyMIRR">'[6]Summary Incremental P &amp; L'!$E$24</definedName>
    <definedName name="MyNetRev" localSheetId="4">'[6]Summary Incremental P &amp; L'!$W$11</definedName>
    <definedName name="MyNetRev">'[6]Summary Incremental P &amp; L'!$W$11</definedName>
    <definedName name="MyNPV" localSheetId="4">'[6]Summary Incremental P &amp; L'!$E$26</definedName>
    <definedName name="MyNPV">'[6]Summary Incremental P &amp; L'!$E$26</definedName>
    <definedName name="MyNPVRA" localSheetId="4">'[6]Summary Incremental P &amp; L'!$E$29</definedName>
    <definedName name="MyNPVRA">'[6]Summary Incremental P &amp; L'!$E$29</definedName>
    <definedName name="NavPane" localSheetId="4">#REF!</definedName>
    <definedName name="NavPane">#REF!</definedName>
    <definedName name="Phase">[1]Drop_Downs!$T$10:$T$14</definedName>
    <definedName name="pl" localSheetId="4">#REF!</definedName>
    <definedName name="pl" localSheetId="2">#REF!</definedName>
    <definedName name="pl" localSheetId="7">#REF!</definedName>
    <definedName name="pl" localSheetId="5">#REF!</definedName>
    <definedName name="pl">#REF!</definedName>
    <definedName name="pls" localSheetId="4">#REF!</definedName>
    <definedName name="pls" localSheetId="2">#REF!</definedName>
    <definedName name="pls" localSheetId="7">#REF!</definedName>
    <definedName name="pls" localSheetId="5">#REF!</definedName>
    <definedName name="pls">#REF!</definedName>
    <definedName name="PRDATA" localSheetId="4">#REF!</definedName>
    <definedName name="PRDATA" localSheetId="2">#REF!</definedName>
    <definedName name="PRDATA" localSheetId="7">#REF!</definedName>
    <definedName name="PRDATA" localSheetId="5">#REF!</definedName>
    <definedName name="PRDATA">#REF!</definedName>
    <definedName name="_xlnm.Print_Area" localSheetId="18">'Amortz &amp; Depr'!$B$1:$M$101</definedName>
    <definedName name="_xlnm.Print_Area" localSheetId="10">'Basic Project Info'!$A$1:$D$115</definedName>
    <definedName name="_xlnm.Print_Area" localSheetId="6">Calc!$V$149:$AQ$158</definedName>
    <definedName name="_xlnm.Print_Area" localSheetId="4">Capital_Dep!$C$3:$AK$70</definedName>
    <definedName name="_xlnm.Print_Area" localSheetId="19">'CashFlow &amp; NPV'!$A$1:$O$54</definedName>
    <definedName name="_xlnm.Print_Area" localSheetId="2">#REF!</definedName>
    <definedName name="_xlnm.Print_Area" localSheetId="8">FT_PPD_DD!#REF!</definedName>
    <definedName name="_xlnm.Print_Area" localSheetId="22">'G3 Output'!$A$1:$U$76</definedName>
    <definedName name="_xlnm.Print_Area" localSheetId="0">Inst!$B$2:$AD$223</definedName>
    <definedName name="_xlnm.Print_Area" localSheetId="7">PPD_DD_2!#REF!</definedName>
    <definedName name="_xlnm.Print_Area" localSheetId="5">PPT!$B$132:$BM$176</definedName>
    <definedName name="_xlnm.Print_Area" localSheetId="11">Project_Exp!$A$1:$S$24</definedName>
    <definedName name="_xlnm.Print_Area" localSheetId="14">'REV Worksheet'!$A$1:$AK$62</definedName>
    <definedName name="_xlnm.Print_Area">#REF!</definedName>
    <definedName name="_xlnm.Print_Titles" localSheetId="16">FTEs!$A:$D</definedName>
    <definedName name="Prog">[1]Drop_Downs!$H$5:$H$30</definedName>
    <definedName name="ProjStartFY">Input!$F$47</definedName>
    <definedName name="QTR">FTEs!$CD$5</definedName>
    <definedName name="quarters">FTEs!$CD$5</definedName>
    <definedName name="ReinvR">Input!$F$73</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hrIndnt" hidden="1">"Wide"</definedName>
    <definedName name="SAPsysID" hidden="1">"708C5W7SBKP804JT78WJ0JNKI"</definedName>
    <definedName name="SAPwbID" hidden="1">"ARS"</definedName>
    <definedName name="sdf">[7]Drop_Downs!$L$32:$P$39</definedName>
    <definedName name="SOURCE" localSheetId="4">#REF!</definedName>
    <definedName name="SOURCE" localSheetId="2">#REF!</definedName>
    <definedName name="SOURCE" localSheetId="7">#REF!</definedName>
    <definedName name="SOURCE" localSheetId="5">#REF!</definedName>
    <definedName name="SOURCE">#REF!</definedName>
    <definedName name="SustainEngTable">[1]Drop_Downs!$P$41:$Q$43</definedName>
    <definedName name="t">[8]Setup!$C$17:$N$17</definedName>
    <definedName name="t_1" localSheetId="4">[2]Setup!$C$15</definedName>
    <definedName name="t_1">[3]Setup!$C$15</definedName>
    <definedName name="TABLE" localSheetId="4">[9]J!$A$8:$D$20</definedName>
    <definedName name="TABLE">[9]J!$A$8:$D$20</definedName>
    <definedName name="Table_1" localSheetId="4">'[6]Capital Investment'!$A$188:$B$309</definedName>
    <definedName name="Table_1">'[6]Capital Investment'!$A$188:$B$309</definedName>
    <definedName name="TABLE1" localSheetId="4">#REF!</definedName>
    <definedName name="TABLE1" localSheetId="2">#REF!</definedName>
    <definedName name="TABLE1" localSheetId="7">#REF!</definedName>
    <definedName name="TABLE1" localSheetId="5">#REF!</definedName>
    <definedName name="TABLE1">#REF!</definedName>
    <definedName name="TABLE2" localSheetId="4">#REF!</definedName>
    <definedName name="TABLE2" localSheetId="2">#REF!</definedName>
    <definedName name="TABLE2" localSheetId="7">#REF!</definedName>
    <definedName name="TABLE2" localSheetId="5">#REF!</definedName>
    <definedName name="TABLE2">#REF!</definedName>
    <definedName name="TaxR">Input!$F$66</definedName>
    <definedName name="TaxRDE">Input!$F$67</definedName>
    <definedName name="TI_Quad">[1]Drop_Downs!$U$10:$U$14</definedName>
    <definedName name="UK" localSheetId="4">#REF!</definedName>
    <definedName name="UK" localSheetId="2">#REF!</definedName>
    <definedName name="UK" localSheetId="7">#REF!</definedName>
    <definedName name="UK" localSheetId="5">#REF!</definedName>
    <definedName name="UK">#REF!</definedName>
    <definedName name="US" localSheetId="4">#REF!</definedName>
    <definedName name="US" localSheetId="2">#REF!</definedName>
    <definedName name="US" localSheetId="7">#REF!</definedName>
    <definedName name="US" localSheetId="5">#REF!</definedName>
    <definedName name="US">#REF!</definedName>
    <definedName name="USSOURCE" localSheetId="4">#REF!</definedName>
    <definedName name="USSOURCE" localSheetId="2">#REF!</definedName>
    <definedName name="USSOURCE" localSheetId="7">#REF!</definedName>
    <definedName name="USSOURCE" localSheetId="5">#REF!</definedName>
    <definedName name="USSOURCE">#REF!</definedName>
    <definedName name="w" localSheetId="4">OFFSET(#REF!,0,0,1,COUNTIF(#REF!,"&gt;0"))</definedName>
    <definedName name="w" localSheetId="2">OFFSET(#REF!,0,0,1,COUNTIF(#REF!,"&gt;0"))</definedName>
    <definedName name="w" localSheetId="7">OFFSET(#REF!,0,0,1,COUNTIF(#REF!,"&gt;0"))</definedName>
    <definedName name="w" localSheetId="5">OFFSET(#REF!,0,0,1,COUNTIF(#REF!,"&gt;0"))</definedName>
    <definedName name="w">OFFSET(#REF!,0,0,1,COUNTIF(#REF!,"&gt;0"))</definedName>
    <definedName name="Wages" localSheetId="4">[5]J!$A$8:$D$20</definedName>
    <definedName name="Wages">[5]J!$A$8:$D$20</definedName>
    <definedName name="wlabel" localSheetId="4">OFFSET(#REF!,0,0,1,COUNTIF(#REF!,"&gt;0"))</definedName>
    <definedName name="wlabel" localSheetId="2">OFFSET(#REF!,0,0,1,COUNTIF(#REF!,"&gt;0"))</definedName>
    <definedName name="wlabel" localSheetId="7">OFFSET(#REF!,0,0,1,COUNTIF(#REF!,"&gt;0"))</definedName>
    <definedName name="wlabel" localSheetId="5">OFFSET(#REF!,0,0,1,COUNTIF(#REF!,"&gt;0"))</definedName>
    <definedName name="wlabel">OFFSET(#REF!,0,0,1,COUNTIF(#REF!,"&gt;0"))</definedName>
    <definedName name="ZOO" localSheetId="4">#REF!</definedName>
    <definedName name="ZOO" localSheetId="2">#REF!</definedName>
    <definedName name="ZOO" localSheetId="7">#REF!</definedName>
    <definedName name="ZOO" localSheetId="5">#REF!</definedName>
    <definedName name="ZOO">#REF!</definedName>
  </definedNames>
  <calcPr calcId="179017"/>
</workbook>
</file>

<file path=xl/calcChain.xml><?xml version="1.0" encoding="utf-8"?>
<calcChain xmlns="http://schemas.openxmlformats.org/spreadsheetml/2006/main">
  <c r="J8" i="35" l="1"/>
  <c r="K8" i="35" s="1"/>
  <c r="L8" i="35" s="1"/>
  <c r="M8" i="35" s="1"/>
  <c r="N8" i="35" s="1"/>
  <c r="J9" i="35"/>
  <c r="K9" i="35" s="1"/>
  <c r="L9" i="35" s="1"/>
  <c r="M9" i="35" s="1"/>
  <c r="N9" i="35" s="1"/>
  <c r="J10" i="35"/>
  <c r="K10" i="35" s="1"/>
  <c r="L10" i="35" s="1"/>
  <c r="M10" i="35" s="1"/>
  <c r="N10" i="35" s="1"/>
  <c r="J11" i="35"/>
  <c r="K11" i="35" s="1"/>
  <c r="L11" i="35" s="1"/>
  <c r="M11" i="35" s="1"/>
  <c r="N11" i="35" s="1"/>
  <c r="J12" i="35"/>
  <c r="K12" i="35" s="1"/>
  <c r="L12" i="35" s="1"/>
  <c r="M12" i="35" s="1"/>
  <c r="N12" i="35" s="1"/>
  <c r="J13" i="35"/>
  <c r="K13" i="35"/>
  <c r="L13" i="35" s="1"/>
  <c r="M13" i="35" s="1"/>
  <c r="N13" i="35" s="1"/>
  <c r="B14" i="35"/>
  <c r="J5" i="35" l="1"/>
  <c r="K5" i="35" s="1"/>
  <c r="L5" i="35" s="1"/>
  <c r="M5" i="35" s="1"/>
  <c r="N5" i="35" s="1"/>
  <c r="J14" i="35"/>
  <c r="K14" i="35" l="1"/>
  <c r="J19" i="35"/>
  <c r="M18" i="3"/>
  <c r="L14" i="35" l="1"/>
  <c r="K19" i="35"/>
  <c r="T40" i="3"/>
  <c r="S39" i="3"/>
  <c r="R38" i="3"/>
  <c r="M14" i="35" l="1"/>
  <c r="L19" i="35"/>
  <c r="P42" i="3"/>
  <c r="Q42" i="3" s="1"/>
  <c r="R42" i="3" s="1"/>
  <c r="S42" i="3" s="1"/>
  <c r="T42" i="3" s="1"/>
  <c r="U42" i="3" s="1"/>
  <c r="V42" i="3" s="1"/>
  <c r="W42" i="3" s="1"/>
  <c r="X42" i="3" s="1"/>
  <c r="Y42" i="3" s="1"/>
  <c r="Z42" i="3" s="1"/>
  <c r="AA42" i="3" s="1"/>
  <c r="AB42" i="3" s="1"/>
  <c r="AC42" i="3" s="1"/>
  <c r="AD42" i="3" s="1"/>
  <c r="AE42" i="3" s="1"/>
  <c r="AF42" i="3" s="1"/>
  <c r="O42" i="3"/>
  <c r="N14" i="35" l="1"/>
  <c r="N19" i="35" s="1"/>
  <c r="M19" i="35"/>
  <c r="M42" i="3"/>
  <c r="AF14" i="3"/>
  <c r="AF23" i="3"/>
  <c r="T39" i="3"/>
  <c r="U39" i="3" s="1"/>
  <c r="V39" i="3" s="1"/>
  <c r="W39" i="3" s="1"/>
  <c r="X39" i="3" s="1"/>
  <c r="Y39" i="3" s="1"/>
  <c r="Z39" i="3" s="1"/>
  <c r="AA39" i="3" s="1"/>
  <c r="AB39" i="3" s="1"/>
  <c r="AC39" i="3" s="1"/>
  <c r="AD39" i="3" s="1"/>
  <c r="AE39" i="3" s="1"/>
  <c r="AF39" i="3" s="1"/>
  <c r="U40" i="3"/>
  <c r="V40" i="3" s="1"/>
  <c r="W40" i="3" s="1"/>
  <c r="X40" i="3" s="1"/>
  <c r="Y40" i="3" s="1"/>
  <c r="Z40" i="3" s="1"/>
  <c r="AA40" i="3" s="1"/>
  <c r="AB40" i="3" s="1"/>
  <c r="AC40" i="3" s="1"/>
  <c r="AD40" i="3" s="1"/>
  <c r="AE40" i="3" s="1"/>
  <c r="AF40" i="3" s="1"/>
  <c r="AI14" i="22"/>
  <c r="AI62" i="22"/>
  <c r="AI61" i="22"/>
  <c r="AI60" i="22"/>
  <c r="AI59" i="22"/>
  <c r="AI58" i="22"/>
  <c r="AI43" i="22"/>
  <c r="AI51" i="22" s="1"/>
  <c r="AI44" i="22"/>
  <c r="AI52" i="22"/>
  <c r="AI45" i="22"/>
  <c r="AI53" i="22" s="1"/>
  <c r="AI38" i="22"/>
  <c r="AI22" i="22"/>
  <c r="AE14" i="3"/>
  <c r="AE23" i="3" s="1"/>
  <c r="AD14" i="3"/>
  <c r="AD23" i="3" s="1"/>
  <c r="AH14" i="22"/>
  <c r="AI15" i="22" s="1"/>
  <c r="AG14" i="22"/>
  <c r="AG62" i="22" s="1"/>
  <c r="AH61" i="22"/>
  <c r="AG61" i="22"/>
  <c r="AH60" i="22"/>
  <c r="AG60" i="22"/>
  <c r="AH59" i="22"/>
  <c r="AG59" i="22"/>
  <c r="AH58" i="22"/>
  <c r="AG58" i="22"/>
  <c r="AG43" i="22"/>
  <c r="AG51" i="22" s="1"/>
  <c r="AG44" i="22"/>
  <c r="AG52" i="22" s="1"/>
  <c r="AG45" i="22"/>
  <c r="AG53" i="22" s="1"/>
  <c r="AH43" i="22"/>
  <c r="AH51" i="22" s="1"/>
  <c r="AH44" i="22"/>
  <c r="AH52" i="22" s="1"/>
  <c r="AH45" i="22"/>
  <c r="AH53" i="22" s="1"/>
  <c r="AG38" i="22"/>
  <c r="AH39" i="22" s="1"/>
  <c r="AH38" i="22"/>
  <c r="AI39" i="22" s="1"/>
  <c r="AG22" i="22"/>
  <c r="AH23" i="22" s="1"/>
  <c r="AH22" i="22"/>
  <c r="AI23" i="22" s="1"/>
  <c r="AH15" i="22"/>
  <c r="AB49" i="35"/>
  <c r="AC49" i="35" s="1"/>
  <c r="AD49" i="35" s="1"/>
  <c r="AB48" i="35"/>
  <c r="AC48" i="35" s="1"/>
  <c r="AD48" i="35" s="1"/>
  <c r="AB47" i="35"/>
  <c r="AC47" i="35" s="1"/>
  <c r="AD47" i="35" s="1"/>
  <c r="AB46" i="35"/>
  <c r="AC46" i="35" s="1"/>
  <c r="AD46" i="35" s="1"/>
  <c r="AB45" i="35"/>
  <c r="AC45" i="35" s="1"/>
  <c r="AD45" i="35" s="1"/>
  <c r="AB44" i="35"/>
  <c r="AC44" i="35" s="1"/>
  <c r="AD44" i="35" s="1"/>
  <c r="AC14" i="3"/>
  <c r="AC23" i="3" s="1"/>
  <c r="AB14" i="3"/>
  <c r="AB23" i="3"/>
  <c r="AA14" i="3"/>
  <c r="AA23" i="3" s="1"/>
  <c r="Z14" i="3"/>
  <c r="Z23" i="3"/>
  <c r="Y14" i="3"/>
  <c r="Y23" i="3" s="1"/>
  <c r="X14" i="3"/>
  <c r="X23" i="3"/>
  <c r="O11" i="6"/>
  <c r="L42" i="3"/>
  <c r="K42" i="3"/>
  <c r="J42" i="3"/>
  <c r="I42" i="3"/>
  <c r="H42" i="3"/>
  <c r="G42" i="3"/>
  <c r="F42" i="3"/>
  <c r="E42" i="3"/>
  <c r="Z139" i="42"/>
  <c r="AQ151" i="41" s="1"/>
  <c r="Y139" i="42"/>
  <c r="X139" i="42"/>
  <c r="X23" i="38" s="1"/>
  <c r="W139" i="42"/>
  <c r="V139" i="42"/>
  <c r="V143" i="42" s="1"/>
  <c r="U139" i="42"/>
  <c r="T139" i="42"/>
  <c r="S139" i="42"/>
  <c r="R139" i="42"/>
  <c r="R23" i="38" s="1"/>
  <c r="Q139" i="42"/>
  <c r="P139" i="42"/>
  <c r="P23" i="38" s="1"/>
  <c r="O139" i="42"/>
  <c r="N139" i="42"/>
  <c r="S151" i="41" s="1"/>
  <c r="M139" i="42"/>
  <c r="L139" i="42"/>
  <c r="K139" i="42"/>
  <c r="K304" i="39" s="1"/>
  <c r="CN304" i="39" s="1"/>
  <c r="J139" i="42"/>
  <c r="J143" i="42"/>
  <c r="I139" i="42"/>
  <c r="I143" i="42"/>
  <c r="H139" i="42"/>
  <c r="H143" i="42"/>
  <c r="G139" i="42"/>
  <c r="G143" i="42"/>
  <c r="AI136" i="42"/>
  <c r="AH136" i="42"/>
  <c r="AG136" i="42"/>
  <c r="AF136" i="42"/>
  <c r="AE136" i="42"/>
  <c r="AD136" i="42"/>
  <c r="AC136" i="42"/>
  <c r="AB136" i="42"/>
  <c r="AA136" i="42"/>
  <c r="Z136" i="42"/>
  <c r="Y136" i="42"/>
  <c r="X136" i="42"/>
  <c r="AI135" i="42"/>
  <c r="DC135" i="42" s="1"/>
  <c r="AH135" i="42"/>
  <c r="AG135" i="42"/>
  <c r="AF135" i="42"/>
  <c r="AE135" i="42"/>
  <c r="CY135" i="42"/>
  <c r="AD135" i="42"/>
  <c r="AC135" i="42"/>
  <c r="AB135" i="42"/>
  <c r="AA135" i="42"/>
  <c r="Z135" i="42"/>
  <c r="Y135" i="42"/>
  <c r="X135" i="42"/>
  <c r="AI22" i="42"/>
  <c r="DC22" i="42" s="1"/>
  <c r="AH22" i="42"/>
  <c r="DB22" i="42" s="1"/>
  <c r="AG22" i="42"/>
  <c r="AF22" i="42"/>
  <c r="BC21" i="41" s="1"/>
  <c r="AE22" i="42"/>
  <c r="BA21" i="41" s="1"/>
  <c r="AD22" i="42"/>
  <c r="AY21" i="41" s="1"/>
  <c r="AC22" i="42"/>
  <c r="AW21" i="41" s="1"/>
  <c r="AB22" i="42"/>
  <c r="CV22" i="42" s="1"/>
  <c r="AA22" i="42"/>
  <c r="AS21" i="41" s="1"/>
  <c r="Z22" i="42"/>
  <c r="AQ21" i="41" s="1"/>
  <c r="Y22" i="42"/>
  <c r="J22" i="42"/>
  <c r="CD22" i="42" s="1"/>
  <c r="I22" i="42"/>
  <c r="H22" i="42"/>
  <c r="CB22" i="42" s="1"/>
  <c r="BH21" i="41" s="1"/>
  <c r="G22" i="42"/>
  <c r="AI11" i="42"/>
  <c r="DC11" i="42" s="1"/>
  <c r="AH11" i="42"/>
  <c r="DB11" i="42" s="1"/>
  <c r="AG11" i="42"/>
  <c r="DA11" i="42" s="1"/>
  <c r="AF11" i="42"/>
  <c r="AE11" i="42"/>
  <c r="BA10" i="41" s="1"/>
  <c r="AD11" i="42"/>
  <c r="AC11" i="42"/>
  <c r="CW11" i="42" s="1"/>
  <c r="AB11" i="42"/>
  <c r="AA11" i="42"/>
  <c r="CU11" i="42" s="1"/>
  <c r="Z11" i="42"/>
  <c r="Y11" i="42"/>
  <c r="CS11" i="42" s="1"/>
  <c r="J11" i="42"/>
  <c r="I11" i="42"/>
  <c r="I10" i="41" s="1"/>
  <c r="H11" i="42"/>
  <c r="CB11" i="42" s="1"/>
  <c r="BH10" i="41" s="1"/>
  <c r="G11" i="42"/>
  <c r="CA11" i="42" s="1"/>
  <c r="V70" i="35"/>
  <c r="W70" i="35" s="1"/>
  <c r="X70" i="35" s="1"/>
  <c r="Y70" i="35" s="1"/>
  <c r="Z70" i="35" s="1"/>
  <c r="AA70" i="35" s="1"/>
  <c r="AB70" i="35" s="1"/>
  <c r="AC70" i="35" s="1"/>
  <c r="AD70" i="35" s="1"/>
  <c r="V69" i="35"/>
  <c r="W69" i="35" s="1"/>
  <c r="X69" i="35" s="1"/>
  <c r="Y69" i="35" s="1"/>
  <c r="Z69" i="35" s="1"/>
  <c r="AA69" i="35" s="1"/>
  <c r="AB69" i="35" s="1"/>
  <c r="AC69" i="35" s="1"/>
  <c r="AD69" i="35" s="1"/>
  <c r="V68" i="35"/>
  <c r="W68" i="35" s="1"/>
  <c r="X68" i="35" s="1"/>
  <c r="Y68" i="35" s="1"/>
  <c r="Z68" i="35" s="1"/>
  <c r="AA68" i="35" s="1"/>
  <c r="AB68" i="35" s="1"/>
  <c r="AC68" i="35" s="1"/>
  <c r="AD68" i="35" s="1"/>
  <c r="V67" i="35"/>
  <c r="W67" i="35" s="1"/>
  <c r="X67" i="35" s="1"/>
  <c r="Y67" i="35" s="1"/>
  <c r="Z67" i="35" s="1"/>
  <c r="AA67" i="35" s="1"/>
  <c r="AB67" i="35" s="1"/>
  <c r="AC67" i="35" s="1"/>
  <c r="AD67" i="35" s="1"/>
  <c r="V66" i="35"/>
  <c r="W66" i="35" s="1"/>
  <c r="X66" i="35" s="1"/>
  <c r="Y66" i="35" s="1"/>
  <c r="Z66" i="35" s="1"/>
  <c r="AA66" i="35" s="1"/>
  <c r="AB66" i="35" s="1"/>
  <c r="AC66" i="35" s="1"/>
  <c r="AD66" i="35" s="1"/>
  <c r="V65" i="35"/>
  <c r="W65" i="35" s="1"/>
  <c r="X65" i="35" s="1"/>
  <c r="Y65" i="35" s="1"/>
  <c r="Z65" i="35" s="1"/>
  <c r="AA65" i="35" s="1"/>
  <c r="AB65" i="35" s="1"/>
  <c r="AC65" i="35" s="1"/>
  <c r="AD65" i="35" s="1"/>
  <c r="AI10" i="42"/>
  <c r="DC10" i="42" s="1"/>
  <c r="AH10" i="42"/>
  <c r="BG9" i="41" s="1"/>
  <c r="AG10" i="42"/>
  <c r="AF10" i="42"/>
  <c r="AE10" i="42"/>
  <c r="BA9" i="41" s="1"/>
  <c r="AD10" i="42"/>
  <c r="AC10" i="42"/>
  <c r="CW10" i="42" s="1"/>
  <c r="AB10" i="42"/>
  <c r="AU9" i="41" s="1"/>
  <c r="AA10" i="42"/>
  <c r="Z10" i="42"/>
  <c r="CT10" i="42" s="1"/>
  <c r="Y10" i="42"/>
  <c r="J10" i="42"/>
  <c r="I10" i="42"/>
  <c r="I9" i="41" s="1"/>
  <c r="H10" i="42"/>
  <c r="G10" i="42"/>
  <c r="CB23" i="42"/>
  <c r="BH22" i="41"/>
  <c r="CA23" i="42"/>
  <c r="CP23" i="42"/>
  <c r="CO23" i="42"/>
  <c r="AE22" i="41"/>
  <c r="CL23" i="42"/>
  <c r="CK23" i="42"/>
  <c r="W22" i="41"/>
  <c r="CH23" i="42"/>
  <c r="CG23" i="42"/>
  <c r="O22" i="41"/>
  <c r="I168" i="44"/>
  <c r="B116" i="44"/>
  <c r="C116" i="44"/>
  <c r="D116" i="44"/>
  <c r="E116" i="44"/>
  <c r="F116" i="44" s="1"/>
  <c r="G116" i="44" s="1"/>
  <c r="H116" i="44" s="1"/>
  <c r="I116" i="44" s="1"/>
  <c r="J116" i="44" s="1"/>
  <c r="K116" i="44" s="1"/>
  <c r="L116" i="44" s="1"/>
  <c r="M116" i="44" s="1"/>
  <c r="N116" i="44" s="1"/>
  <c r="O116" i="44" s="1"/>
  <c r="P116" i="44" s="1"/>
  <c r="Q116" i="44" s="1"/>
  <c r="R116" i="44" s="1"/>
  <c r="S116" i="44" s="1"/>
  <c r="T116" i="44" s="1"/>
  <c r="U116" i="44" s="1"/>
  <c r="V116" i="44" s="1"/>
  <c r="W116" i="44" s="1"/>
  <c r="X116" i="44" s="1"/>
  <c r="Y116" i="44" s="1"/>
  <c r="Z116" i="44" s="1"/>
  <c r="AA116" i="44" s="1"/>
  <c r="AB116" i="44" s="1"/>
  <c r="AC116" i="44" s="1"/>
  <c r="AD116" i="44" s="1"/>
  <c r="AE116" i="44" s="1"/>
  <c r="AF116" i="44" s="1"/>
  <c r="AG116" i="44" s="1"/>
  <c r="AH116" i="44" s="1"/>
  <c r="AI116" i="44" s="1"/>
  <c r="AJ116" i="44" s="1"/>
  <c r="AK116" i="44" s="1"/>
  <c r="AL116" i="44" s="1"/>
  <c r="AM116" i="44" s="1"/>
  <c r="AN116" i="44" s="1"/>
  <c r="AO116" i="44" s="1"/>
  <c r="AP116" i="44" s="1"/>
  <c r="AQ116" i="44" s="1"/>
  <c r="AR116" i="44" s="1"/>
  <c r="AS116" i="44" s="1"/>
  <c r="AT116" i="44" s="1"/>
  <c r="AU116" i="44" s="1"/>
  <c r="AV116" i="44" s="1"/>
  <c r="AW116" i="44" s="1"/>
  <c r="AX116" i="44" s="1"/>
  <c r="AY116" i="44" s="1"/>
  <c r="AZ116" i="44" s="1"/>
  <c r="BA116" i="44" s="1"/>
  <c r="BB116" i="44" s="1"/>
  <c r="BC116" i="44" s="1"/>
  <c r="BD116" i="44" s="1"/>
  <c r="BE116" i="44" s="1"/>
  <c r="BF116" i="44" s="1"/>
  <c r="BG116" i="44" s="1"/>
  <c r="BH116" i="44" s="1"/>
  <c r="BI116" i="44" s="1"/>
  <c r="BJ116" i="44" s="1"/>
  <c r="BK116" i="44" s="1"/>
  <c r="BL116" i="44" s="1"/>
  <c r="BM116" i="44" s="1"/>
  <c r="BN116" i="44" s="1"/>
  <c r="BO116" i="44" s="1"/>
  <c r="BP116" i="44" s="1"/>
  <c r="BQ116" i="44" s="1"/>
  <c r="BR116" i="44" s="1"/>
  <c r="BS116" i="44" s="1"/>
  <c r="BT116" i="44" s="1"/>
  <c r="BU116" i="44" s="1"/>
  <c r="BV116" i="44" s="1"/>
  <c r="BW116" i="44" s="1"/>
  <c r="BX116" i="44" s="1"/>
  <c r="BY116" i="44" s="1"/>
  <c r="BZ116" i="44" s="1"/>
  <c r="CA116" i="44" s="1"/>
  <c r="CB116" i="44" s="1"/>
  <c r="CC116" i="44" s="1"/>
  <c r="CD116" i="44" s="1"/>
  <c r="CE116" i="44" s="1"/>
  <c r="CF116" i="44" s="1"/>
  <c r="CG116" i="44" s="1"/>
  <c r="CH116" i="44" s="1"/>
  <c r="CI116" i="44" s="1"/>
  <c r="CJ116" i="44" s="1"/>
  <c r="CK116" i="44" s="1"/>
  <c r="CL116" i="44" s="1"/>
  <c r="CM116" i="44" s="1"/>
  <c r="CN116" i="44" s="1"/>
  <c r="CO116" i="44" s="1"/>
  <c r="CP116" i="44" s="1"/>
  <c r="CQ116" i="44" s="1"/>
  <c r="CR116" i="44" s="1"/>
  <c r="CS116" i="44" s="1"/>
  <c r="CT116" i="44" s="1"/>
  <c r="CU116" i="44" s="1"/>
  <c r="CV116" i="44" s="1"/>
  <c r="CW116" i="44" s="1"/>
  <c r="CX116" i="44" s="1"/>
  <c r="CY116" i="44" s="1"/>
  <c r="CZ116" i="44" s="1"/>
  <c r="DA116" i="44" s="1"/>
  <c r="DB116" i="44" s="1"/>
  <c r="DC116" i="44" s="1"/>
  <c r="DD116" i="44" s="1"/>
  <c r="DE116" i="44" s="1"/>
  <c r="DF116" i="44" s="1"/>
  <c r="DG116" i="44" s="1"/>
  <c r="DH116" i="44" s="1"/>
  <c r="DI116" i="44" s="1"/>
  <c r="DJ116" i="44" s="1"/>
  <c r="DK116" i="44" s="1"/>
  <c r="DL116" i="44" s="1"/>
  <c r="DM116" i="44" s="1"/>
  <c r="DN116" i="44" s="1"/>
  <c r="DO116" i="44" s="1"/>
  <c r="DP116" i="44" s="1"/>
  <c r="DQ116" i="44" s="1"/>
  <c r="DR116" i="44" s="1"/>
  <c r="DS116" i="44" s="1"/>
  <c r="DT116" i="44" s="1"/>
  <c r="DU116" i="44" s="1"/>
  <c r="DV116" i="44" s="1"/>
  <c r="DW116" i="44" s="1"/>
  <c r="DX116" i="44" s="1"/>
  <c r="DY116" i="44" s="1"/>
  <c r="DZ116" i="44" s="1"/>
  <c r="B87" i="44"/>
  <c r="E56" i="44"/>
  <c r="E57" i="44" s="1"/>
  <c r="E58" i="44" s="1"/>
  <c r="E59" i="44" s="1"/>
  <c r="E60" i="44" s="1"/>
  <c r="E61" i="44" s="1"/>
  <c r="E62" i="44" s="1"/>
  <c r="E63" i="44" s="1"/>
  <c r="E64" i="44" s="1"/>
  <c r="E65" i="44" s="1"/>
  <c r="E66" i="44" s="1"/>
  <c r="E67" i="44" s="1"/>
  <c r="E68" i="44" s="1"/>
  <c r="E69" i="44" s="1"/>
  <c r="E70" i="44" s="1"/>
  <c r="E71" i="44" s="1"/>
  <c r="E72" i="44" s="1"/>
  <c r="E73" i="44" s="1"/>
  <c r="E74" i="44" s="1"/>
  <c r="E75" i="44" s="1"/>
  <c r="E76" i="44" s="1"/>
  <c r="E77" i="44" s="1"/>
  <c r="E78" i="44" s="1"/>
  <c r="E79" i="44" s="1"/>
  <c r="E80" i="44" s="1"/>
  <c r="E81" i="44" s="1"/>
  <c r="E82" i="44" s="1"/>
  <c r="E54" i="44"/>
  <c r="E55" i="44" s="1"/>
  <c r="C41" i="44"/>
  <c r="C42" i="44"/>
  <c r="C43" i="44" s="1"/>
  <c r="C44" i="44" s="1"/>
  <c r="C45" i="44" s="1"/>
  <c r="C46" i="44" s="1"/>
  <c r="C47" i="44" s="1"/>
  <c r="C48" i="44" s="1"/>
  <c r="C49" i="44" s="1"/>
  <c r="C50" i="44" s="1"/>
  <c r="C51" i="44" s="1"/>
  <c r="C52" i="44" s="1"/>
  <c r="C53" i="44" s="1"/>
  <c r="C54" i="44" s="1"/>
  <c r="C55" i="44" s="1"/>
  <c r="C56" i="44" s="1"/>
  <c r="C57" i="44" s="1"/>
  <c r="C58" i="44" s="1"/>
  <c r="FQ28" i="44"/>
  <c r="M28" i="44"/>
  <c r="FR27" i="44"/>
  <c r="H27" i="44" s="1"/>
  <c r="FQ27" i="44"/>
  <c r="M27" i="44"/>
  <c r="FQ26" i="44"/>
  <c r="M26" i="44"/>
  <c r="FQ25" i="44"/>
  <c r="FR25" i="44" s="1"/>
  <c r="H25" i="44" s="1"/>
  <c r="M25" i="44"/>
  <c r="FQ24" i="44"/>
  <c r="FR24" i="44" s="1"/>
  <c r="H24" i="44" s="1"/>
  <c r="M24" i="44"/>
  <c r="FQ23" i="44"/>
  <c r="M23" i="44"/>
  <c r="FQ22" i="44"/>
  <c r="M22" i="44"/>
  <c r="FQ21" i="44"/>
  <c r="FR21" i="44" s="1"/>
  <c r="H21" i="44" s="1"/>
  <c r="M21" i="44"/>
  <c r="FQ20" i="44"/>
  <c r="M20" i="44"/>
  <c r="FQ19" i="44"/>
  <c r="M19" i="44"/>
  <c r="FQ18" i="44"/>
  <c r="M18" i="44"/>
  <c r="FR17" i="44"/>
  <c r="H17" i="44" s="1"/>
  <c r="FQ17" i="44"/>
  <c r="M17" i="44"/>
  <c r="FR16" i="44"/>
  <c r="H16" i="44" s="1"/>
  <c r="FQ16" i="44"/>
  <c r="M16" i="44"/>
  <c r="FR15" i="44"/>
  <c r="H15" i="44" s="1"/>
  <c r="FQ15" i="44"/>
  <c r="M15" i="44"/>
  <c r="FR14" i="44"/>
  <c r="H14" i="44" s="1"/>
  <c r="FQ14" i="44"/>
  <c r="M14" i="44"/>
  <c r="FR13" i="44"/>
  <c r="H13" i="44" s="1"/>
  <c r="FQ13" i="44"/>
  <c r="M13" i="44"/>
  <c r="FR12" i="44"/>
  <c r="H12" i="44" s="1"/>
  <c r="FQ12" i="44"/>
  <c r="M12" i="44"/>
  <c r="FR11" i="44"/>
  <c r="H11" i="44" s="1"/>
  <c r="FQ11" i="44"/>
  <c r="M11" i="44"/>
  <c r="FR10" i="44"/>
  <c r="H10" i="44" s="1"/>
  <c r="FQ10" i="44"/>
  <c r="M10" i="44"/>
  <c r="FR9" i="44"/>
  <c r="H9" i="44" s="1"/>
  <c r="FQ9" i="44"/>
  <c r="M9" i="44"/>
  <c r="FR8" i="44"/>
  <c r="H8" i="44" s="1"/>
  <c r="FQ8" i="44"/>
  <c r="M8" i="44"/>
  <c r="FR7" i="44"/>
  <c r="H7" i="44" s="1"/>
  <c r="FQ7" i="44"/>
  <c r="M7" i="44"/>
  <c r="FQ6" i="44"/>
  <c r="FR6" i="44" s="1"/>
  <c r="H6" i="44" s="1"/>
  <c r="M6" i="44"/>
  <c r="FR5" i="44"/>
  <c r="H5" i="44" s="1"/>
  <c r="FQ5" i="44"/>
  <c r="M5" i="44"/>
  <c r="FV4" i="44"/>
  <c r="FV5" i="44" s="1"/>
  <c r="FV6" i="44" s="1"/>
  <c r="FV7" i="44" s="1"/>
  <c r="FV8" i="44" s="1"/>
  <c r="FV9" i="44" s="1"/>
  <c r="FV10" i="44" s="1"/>
  <c r="FV11" i="44" s="1"/>
  <c r="FV12" i="44" s="1"/>
  <c r="FV13" i="44" s="1"/>
  <c r="FV14" i="44" s="1"/>
  <c r="FQ4" i="44"/>
  <c r="FR4" i="44" s="1"/>
  <c r="H4" i="44" s="1"/>
  <c r="M4" i="44"/>
  <c r="FQ3" i="44"/>
  <c r="M3" i="44"/>
  <c r="G3" i="44"/>
  <c r="G4" i="44" s="1"/>
  <c r="G5" i="44" s="1"/>
  <c r="G6" i="44" s="1"/>
  <c r="G7" i="44" s="1"/>
  <c r="G8" i="44" s="1"/>
  <c r="G9" i="44" s="1"/>
  <c r="G10" i="44" s="1"/>
  <c r="G11" i="44" s="1"/>
  <c r="G12" i="44" s="1"/>
  <c r="G13" i="44" s="1"/>
  <c r="G14" i="44" s="1"/>
  <c r="G15" i="44" s="1"/>
  <c r="G16" i="44" s="1"/>
  <c r="G17" i="44" s="1"/>
  <c r="G18" i="44" s="1"/>
  <c r="G19" i="44" s="1"/>
  <c r="G20" i="44" s="1"/>
  <c r="G21" i="44" s="1"/>
  <c r="G22" i="44" s="1"/>
  <c r="G23" i="44" s="1"/>
  <c r="G24" i="44" s="1"/>
  <c r="G25" i="44" s="1"/>
  <c r="G26" i="44" s="1"/>
  <c r="G27" i="44" s="1"/>
  <c r="G28" i="44" s="1"/>
  <c r="F3" i="44"/>
  <c r="F4" i="44" s="1"/>
  <c r="F5" i="44" s="1"/>
  <c r="F6" i="44" s="1"/>
  <c r="F7" i="44" s="1"/>
  <c r="F8" i="44" s="1"/>
  <c r="F9" i="44" s="1"/>
  <c r="F10" i="44" s="1"/>
  <c r="F11" i="44" s="1"/>
  <c r="F12" i="44" s="1"/>
  <c r="F13" i="44" s="1"/>
  <c r="F14" i="44" s="1"/>
  <c r="F15" i="44" s="1"/>
  <c r="F16" i="44" s="1"/>
  <c r="F17" i="44" s="1"/>
  <c r="F18" i="44" s="1"/>
  <c r="F19" i="44" s="1"/>
  <c r="F20" i="44" s="1"/>
  <c r="F21" i="44" s="1"/>
  <c r="F22" i="44" s="1"/>
  <c r="F23" i="44" s="1"/>
  <c r="F24" i="44" s="1"/>
  <c r="F25" i="44" s="1"/>
  <c r="F26" i="44" s="1"/>
  <c r="F27" i="44" s="1"/>
  <c r="F28" i="44" s="1"/>
  <c r="E3" i="44"/>
  <c r="E4" i="44" s="1"/>
  <c r="E5" i="44" s="1"/>
  <c r="E6" i="44" s="1"/>
  <c r="E7" i="44" s="1"/>
  <c r="E8" i="44" s="1"/>
  <c r="E9" i="44" s="1"/>
  <c r="E10" i="44" s="1"/>
  <c r="E11" i="44" s="1"/>
  <c r="E12" i="44" s="1"/>
  <c r="E13" i="44" s="1"/>
  <c r="E14" i="44" s="1"/>
  <c r="E15" i="44" s="1"/>
  <c r="E16" i="44" s="1"/>
  <c r="E17" i="44" s="1"/>
  <c r="E18" i="44" s="1"/>
  <c r="E19" i="44" s="1"/>
  <c r="E20" i="44" s="1"/>
  <c r="E21" i="44" s="1"/>
  <c r="E22" i="44" s="1"/>
  <c r="E23" i="44" s="1"/>
  <c r="E24" i="44" s="1"/>
  <c r="E25" i="44" s="1"/>
  <c r="E26" i="44" s="1"/>
  <c r="E27" i="44" s="1"/>
  <c r="E28" i="44" s="1"/>
  <c r="D3" i="44"/>
  <c r="D4" i="44"/>
  <c r="D5" i="44" s="1"/>
  <c r="D6" i="44" s="1"/>
  <c r="D7" i="44" s="1"/>
  <c r="D8" i="44" s="1"/>
  <c r="D9" i="44" s="1"/>
  <c r="D10" i="44" s="1"/>
  <c r="D11" i="44" s="1"/>
  <c r="D12" i="44" s="1"/>
  <c r="D13" i="44" s="1"/>
  <c r="D14" i="44" s="1"/>
  <c r="D15" i="44" s="1"/>
  <c r="D16" i="44" s="1"/>
  <c r="D17" i="44" s="1"/>
  <c r="D18" i="44" s="1"/>
  <c r="D19" i="44" s="1"/>
  <c r="D20" i="44" s="1"/>
  <c r="D21" i="44" s="1"/>
  <c r="D22" i="44" s="1"/>
  <c r="D23" i="44" s="1"/>
  <c r="D24" i="44" s="1"/>
  <c r="D25" i="44" s="1"/>
  <c r="D26" i="44" s="1"/>
  <c r="D27" i="44" s="1"/>
  <c r="D28" i="44" s="1"/>
  <c r="FQ2" i="44"/>
  <c r="DK2" i="44"/>
  <c r="DI2" i="44"/>
  <c r="DG2" i="44"/>
  <c r="DE2" i="44"/>
  <c r="DC2" i="44"/>
  <c r="CV2" i="44"/>
  <c r="CU2" i="44"/>
  <c r="CT2" i="44"/>
  <c r="CS2" i="44"/>
  <c r="CR2" i="44"/>
  <c r="CQ2" i="44"/>
  <c r="CO2" i="44"/>
  <c r="CN2" i="44"/>
  <c r="CG2" i="44"/>
  <c r="CF2" i="44"/>
  <c r="CE2" i="44"/>
  <c r="CD2" i="44"/>
  <c r="CC2" i="44"/>
  <c r="CB2" i="44"/>
  <c r="CA2" i="44"/>
  <c r="BZ2" i="44"/>
  <c r="BY2" i="44"/>
  <c r="BX2" i="44"/>
  <c r="BW2" i="44"/>
  <c r="BV2" i="44"/>
  <c r="BT2" i="44"/>
  <c r="BS2" i="44"/>
  <c r="BR2" i="44"/>
  <c r="BQ2" i="44"/>
  <c r="BO2" i="44"/>
  <c r="BN2" i="44"/>
  <c r="BM2" i="44"/>
  <c r="BL2" i="44"/>
  <c r="M2" i="44"/>
  <c r="C2" i="44"/>
  <c r="C3" i="44"/>
  <c r="C4" i="44" s="1"/>
  <c r="C5" i="44" s="1"/>
  <c r="C6" i="44" s="1"/>
  <c r="C7" i="44" s="1"/>
  <c r="C8" i="44" s="1"/>
  <c r="C9" i="44" s="1"/>
  <c r="C10" i="44" s="1"/>
  <c r="C11" i="44" s="1"/>
  <c r="C12" i="44" s="1"/>
  <c r="C13" i="44" s="1"/>
  <c r="C14" i="44" s="1"/>
  <c r="C15" i="44" s="1"/>
  <c r="C16" i="44" s="1"/>
  <c r="C17" i="44" s="1"/>
  <c r="C18" i="44" s="1"/>
  <c r="C19" i="44" s="1"/>
  <c r="C20" i="44" s="1"/>
  <c r="C21" i="44" s="1"/>
  <c r="C22" i="44" s="1"/>
  <c r="C23" i="44" s="1"/>
  <c r="C24" i="44" s="1"/>
  <c r="C25" i="44" s="1"/>
  <c r="C26" i="44" s="1"/>
  <c r="C27" i="44" s="1"/>
  <c r="C28" i="44" s="1"/>
  <c r="B2" i="44"/>
  <c r="B3" i="44" s="1"/>
  <c r="B4" i="44" s="1"/>
  <c r="B5" i="44" s="1"/>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A2" i="44"/>
  <c r="A3" i="44"/>
  <c r="A4" i="44" s="1"/>
  <c r="A5" i="44" s="1"/>
  <c r="A6" i="44" s="1"/>
  <c r="A7" i="44" s="1"/>
  <c r="A8" i="44" s="1"/>
  <c r="A9" i="44" s="1"/>
  <c r="A10" i="44" s="1"/>
  <c r="A11" i="44" s="1"/>
  <c r="A12" i="44" s="1"/>
  <c r="A13" i="44" s="1"/>
  <c r="A14" i="44" s="1"/>
  <c r="A15" i="44" s="1"/>
  <c r="A16" i="44" s="1"/>
  <c r="A17" i="44" s="1"/>
  <c r="A18" i="44" s="1"/>
  <c r="A19" i="44" s="1"/>
  <c r="A20" i="44" s="1"/>
  <c r="A21" i="44" s="1"/>
  <c r="A22" i="44" s="1"/>
  <c r="A23" i="44" s="1"/>
  <c r="A24" i="44" s="1"/>
  <c r="A25" i="44" s="1"/>
  <c r="A26" i="44" s="1"/>
  <c r="A27" i="44" s="1"/>
  <c r="A28" i="44" s="1"/>
  <c r="K174" i="43"/>
  <c r="D122" i="43"/>
  <c r="E122" i="43"/>
  <c r="F122" i="43" s="1"/>
  <c r="G122" i="43" s="1"/>
  <c r="H122" i="43" s="1"/>
  <c r="I122" i="43" s="1"/>
  <c r="J122" i="43" s="1"/>
  <c r="K122" i="43" s="1"/>
  <c r="L122" i="43" s="1"/>
  <c r="M122" i="43" s="1"/>
  <c r="N122" i="43" s="1"/>
  <c r="O122" i="43" s="1"/>
  <c r="P122" i="43" s="1"/>
  <c r="Q122" i="43" s="1"/>
  <c r="R122" i="43" s="1"/>
  <c r="S122" i="43" s="1"/>
  <c r="T122" i="43" s="1"/>
  <c r="U122" i="43" s="1"/>
  <c r="V122" i="43" s="1"/>
  <c r="W122" i="43" s="1"/>
  <c r="X122" i="43" s="1"/>
  <c r="AD122" i="43" s="1"/>
  <c r="AE122" i="43" s="1"/>
  <c r="AF122" i="43" s="1"/>
  <c r="AG122" i="43" s="1"/>
  <c r="AH122" i="43" s="1"/>
  <c r="AI122" i="43" s="1"/>
  <c r="AJ122" i="43" s="1"/>
  <c r="AK122" i="43" s="1"/>
  <c r="AL122" i="43" s="1"/>
  <c r="AM122" i="43" s="1"/>
  <c r="AN122" i="43" s="1"/>
  <c r="AO122" i="43" s="1"/>
  <c r="AP122" i="43" s="1"/>
  <c r="AQ122" i="43" s="1"/>
  <c r="AR122" i="43" s="1"/>
  <c r="BX122" i="43" s="1"/>
  <c r="BY122" i="43" s="1"/>
  <c r="BZ122" i="43" s="1"/>
  <c r="CA122" i="43" s="1"/>
  <c r="CB122" i="43" s="1"/>
  <c r="CC122" i="43" s="1"/>
  <c r="CD122" i="43" s="1"/>
  <c r="CE122" i="43" s="1"/>
  <c r="CF122" i="43" s="1"/>
  <c r="CG122" i="43" s="1"/>
  <c r="CH122" i="43" s="1"/>
  <c r="CI122" i="43" s="1"/>
  <c r="CJ122" i="43" s="1"/>
  <c r="CK122" i="43" s="1"/>
  <c r="CL122" i="43" s="1"/>
  <c r="CM122" i="43" s="1"/>
  <c r="CN122" i="43" s="1"/>
  <c r="CO122" i="43" s="1"/>
  <c r="CP122" i="43" s="1"/>
  <c r="CQ122" i="43" s="1"/>
  <c r="CR122" i="43" s="1"/>
  <c r="CS122" i="43" s="1"/>
  <c r="CT122" i="43" s="1"/>
  <c r="CU122" i="43" s="1"/>
  <c r="CV122" i="43" s="1"/>
  <c r="CW122" i="43" s="1"/>
  <c r="DB122" i="43" s="1"/>
  <c r="DC122" i="43" s="1"/>
  <c r="DD122" i="43" s="1"/>
  <c r="DE122" i="43" s="1"/>
  <c r="DF122" i="43" s="1"/>
  <c r="DG122" i="43" s="1"/>
  <c r="DH122" i="43" s="1"/>
  <c r="DI122" i="43" s="1"/>
  <c r="DJ122" i="43" s="1"/>
  <c r="DK122" i="43" s="1"/>
  <c r="DQ122" i="43" s="1"/>
  <c r="DR122" i="43" s="1"/>
  <c r="DS122" i="43" s="1"/>
  <c r="DT122" i="43" s="1"/>
  <c r="DU122" i="43" s="1"/>
  <c r="DV122" i="43" s="1"/>
  <c r="DW122" i="43" s="1"/>
  <c r="DY122" i="43" s="1"/>
  <c r="DZ122" i="43" s="1"/>
  <c r="EA122" i="43" s="1"/>
  <c r="EB122" i="43" s="1"/>
  <c r="EC122" i="43" s="1"/>
  <c r="ED122" i="43" s="1"/>
  <c r="EE122" i="43" s="1"/>
  <c r="EF122" i="43" s="1"/>
  <c r="EG122" i="43" s="1"/>
  <c r="EH122" i="43" s="1"/>
  <c r="EI122" i="43" s="1"/>
  <c r="EJ122" i="43" s="1"/>
  <c r="EL122" i="43" s="1"/>
  <c r="EM122" i="43" s="1"/>
  <c r="EN122" i="43" s="1"/>
  <c r="EO122" i="43" s="1"/>
  <c r="EP122" i="43" s="1"/>
  <c r="EQ122" i="43" s="1"/>
  <c r="ER122" i="43" s="1"/>
  <c r="EV122" i="43" s="1"/>
  <c r="EW122" i="43" s="1"/>
  <c r="EY122" i="43" s="1"/>
  <c r="EZ122" i="43" s="1"/>
  <c r="FA122" i="43" s="1"/>
  <c r="FB122" i="43" s="1"/>
  <c r="FC122" i="43" s="1"/>
  <c r="FD122" i="43" s="1"/>
  <c r="FE122" i="43" s="1"/>
  <c r="FF122" i="43" s="1"/>
  <c r="FG122" i="43" s="1"/>
  <c r="FH122" i="43" s="1"/>
  <c r="FI122" i="43" s="1"/>
  <c r="FJ122" i="43" s="1"/>
  <c r="FK122" i="43" s="1"/>
  <c r="FL122" i="43" s="1"/>
  <c r="FM122" i="43" s="1"/>
  <c r="FN122" i="43" s="1"/>
  <c r="FO122" i="43" s="1"/>
  <c r="FP122" i="43" s="1"/>
  <c r="FQ122" i="43" s="1"/>
  <c r="FR122" i="43" s="1"/>
  <c r="FS122" i="43" s="1"/>
  <c r="FT122" i="43" s="1"/>
  <c r="FU122" i="43" s="1"/>
  <c r="FV122" i="43" s="1"/>
  <c r="FW122" i="43" s="1"/>
  <c r="FX122" i="43" s="1"/>
  <c r="GB122" i="43" s="1"/>
  <c r="GC122" i="43" s="1"/>
  <c r="GD122" i="43" s="1"/>
  <c r="D93" i="43"/>
  <c r="G60" i="43"/>
  <c r="G61" i="43" s="1"/>
  <c r="G62" i="43" s="1"/>
  <c r="G63" i="43" s="1"/>
  <c r="G64" i="43" s="1"/>
  <c r="G65" i="43" s="1"/>
  <c r="G66" i="43" s="1"/>
  <c r="G67" i="43" s="1"/>
  <c r="G68" i="43" s="1"/>
  <c r="G69" i="43" s="1"/>
  <c r="G70" i="43" s="1"/>
  <c r="G71" i="43" s="1"/>
  <c r="G72" i="43" s="1"/>
  <c r="G73" i="43" s="1"/>
  <c r="G74" i="43" s="1"/>
  <c r="G75" i="43" s="1"/>
  <c r="G76" i="43" s="1"/>
  <c r="G77" i="43" s="1"/>
  <c r="G78" i="43" s="1"/>
  <c r="G79" i="43" s="1"/>
  <c r="G80" i="43" s="1"/>
  <c r="G81" i="43" s="1"/>
  <c r="G82" i="43" s="1"/>
  <c r="G83" i="43" s="1"/>
  <c r="G84" i="43" s="1"/>
  <c r="G85" i="43" s="1"/>
  <c r="G86" i="43" s="1"/>
  <c r="G87" i="43" s="1"/>
  <c r="G88" i="43" s="1"/>
  <c r="E47" i="43"/>
  <c r="E48" i="43"/>
  <c r="E49" i="43" s="1"/>
  <c r="E50" i="43" s="1"/>
  <c r="E51" i="43" s="1"/>
  <c r="E52" i="43" s="1"/>
  <c r="E53" i="43" s="1"/>
  <c r="E54" i="43" s="1"/>
  <c r="E55" i="43" s="1"/>
  <c r="E56" i="43" s="1"/>
  <c r="E57" i="43" s="1"/>
  <c r="E58" i="43" s="1"/>
  <c r="E59" i="43" s="1"/>
  <c r="E60" i="43" s="1"/>
  <c r="E61" i="43" s="1"/>
  <c r="E62" i="43" s="1"/>
  <c r="E63" i="43" s="1"/>
  <c r="E64" i="43" s="1"/>
  <c r="PT34" i="43"/>
  <c r="MS34" i="43" s="1"/>
  <c r="MT34" i="43"/>
  <c r="MN34" i="43"/>
  <c r="ML34" i="43"/>
  <c r="JB34" i="43"/>
  <c r="CL34" i="43"/>
  <c r="U34" i="43"/>
  <c r="PU33" i="43"/>
  <c r="K33" i="43" s="1"/>
  <c r="PT33" i="43"/>
  <c r="MY33" i="43"/>
  <c r="MW33" i="43"/>
  <c r="MV33" i="43"/>
  <c r="MU33" i="43"/>
  <c r="MS33" i="43"/>
  <c r="MR33" i="43"/>
  <c r="MQ33" i="43"/>
  <c r="MO33" i="43"/>
  <c r="MN33" i="43"/>
  <c r="MM33" i="43"/>
  <c r="JB33" i="43"/>
  <c r="CL33" i="43"/>
  <c r="U33" i="43"/>
  <c r="PT32" i="43"/>
  <c r="MN32" i="43"/>
  <c r="JB32" i="43"/>
  <c r="CL32" i="43"/>
  <c r="U32" i="43"/>
  <c r="PU31" i="43"/>
  <c r="K31" i="43" s="1"/>
  <c r="PT31" i="43"/>
  <c r="MW31" i="43" s="1"/>
  <c r="MY31" i="43"/>
  <c r="MX31" i="43"/>
  <c r="MV31" i="43"/>
  <c r="MU31" i="43"/>
  <c r="MT31" i="43"/>
  <c r="MR31" i="43"/>
  <c r="MQ31" i="43"/>
  <c r="MP31" i="43"/>
  <c r="MN31" i="43"/>
  <c r="MM31" i="43"/>
  <c r="ML31" i="43"/>
  <c r="JB31" i="43"/>
  <c r="CL31" i="43"/>
  <c r="U31" i="43"/>
  <c r="PU30" i="43"/>
  <c r="K30" i="43" s="1"/>
  <c r="PT30" i="43"/>
  <c r="MV30" i="43" s="1"/>
  <c r="MX30" i="43"/>
  <c r="MW30" i="43"/>
  <c r="MT30" i="43"/>
  <c r="MS30" i="43"/>
  <c r="MR30" i="43"/>
  <c r="MO30" i="43"/>
  <c r="MN30" i="43"/>
  <c r="ML30" i="43"/>
  <c r="JB30" i="43"/>
  <c r="CL30" i="43"/>
  <c r="U30" i="43"/>
  <c r="PT29" i="43"/>
  <c r="MV29" i="43" s="1"/>
  <c r="MN29" i="43"/>
  <c r="JB29" i="43"/>
  <c r="CL29" i="43"/>
  <c r="U29" i="43"/>
  <c r="PT28" i="43"/>
  <c r="ML28" i="43" s="1"/>
  <c r="MU28" i="43"/>
  <c r="MN28" i="43"/>
  <c r="JB28" i="43"/>
  <c r="CL28" i="43"/>
  <c r="U28" i="43"/>
  <c r="PT27" i="43"/>
  <c r="MX27" i="43" s="1"/>
  <c r="MY27" i="43"/>
  <c r="MV27" i="43"/>
  <c r="MU27" i="43"/>
  <c r="MR27" i="43"/>
  <c r="MQ27" i="43"/>
  <c r="MN27" i="43"/>
  <c r="MM27" i="43"/>
  <c r="JB27" i="43"/>
  <c r="CL27" i="43"/>
  <c r="U27" i="43"/>
  <c r="PT26" i="43"/>
  <c r="MY26" i="43" s="1"/>
  <c r="MV26" i="43"/>
  <c r="MP26" i="43"/>
  <c r="MN26" i="43"/>
  <c r="JB26" i="43"/>
  <c r="CL26" i="43"/>
  <c r="U26" i="43"/>
  <c r="PU25" i="43"/>
  <c r="K25" i="43"/>
  <c r="PT25" i="43"/>
  <c r="MS25" i="43"/>
  <c r="MR25" i="43"/>
  <c r="MN25" i="43"/>
  <c r="JB25" i="43"/>
  <c r="CL25" i="43"/>
  <c r="U25" i="43"/>
  <c r="PT24" i="43"/>
  <c r="MY24" i="43" s="1"/>
  <c r="MN24" i="43"/>
  <c r="JB24" i="43"/>
  <c r="CL24" i="43"/>
  <c r="U24" i="43"/>
  <c r="PT23" i="43"/>
  <c r="MY23" i="43" s="1"/>
  <c r="MV23" i="43"/>
  <c r="MR23" i="43"/>
  <c r="MN23" i="43"/>
  <c r="JB23" i="43"/>
  <c r="CL23" i="43"/>
  <c r="U23" i="43"/>
  <c r="PU22" i="43"/>
  <c r="K22" i="43"/>
  <c r="PT22" i="43"/>
  <c r="MY22" i="43" s="1"/>
  <c r="MX22" i="43"/>
  <c r="MW22" i="43"/>
  <c r="MV22" i="43"/>
  <c r="MS22" i="43"/>
  <c r="MR22" i="43"/>
  <c r="MP22" i="43"/>
  <c r="MO22" i="43"/>
  <c r="MN22" i="43"/>
  <c r="ML22" i="43"/>
  <c r="JB22" i="43"/>
  <c r="CL22" i="43"/>
  <c r="U22" i="43"/>
  <c r="PT21" i="43"/>
  <c r="MS21" i="43" s="1"/>
  <c r="MN21" i="43"/>
  <c r="JB21" i="43"/>
  <c r="CL21" i="43"/>
  <c r="U21" i="43"/>
  <c r="PT20" i="43"/>
  <c r="MY20" i="43"/>
  <c r="MP20" i="43"/>
  <c r="MN20" i="43"/>
  <c r="JB20" i="43"/>
  <c r="CL20" i="43"/>
  <c r="U20" i="43"/>
  <c r="PT19" i="43"/>
  <c r="PU19" i="43" s="1"/>
  <c r="K19" i="43" s="1"/>
  <c r="MY19" i="43"/>
  <c r="MX19" i="43"/>
  <c r="MV19" i="43"/>
  <c r="MU19" i="43"/>
  <c r="MT19" i="43"/>
  <c r="MS19" i="43"/>
  <c r="MR19" i="43"/>
  <c r="MQ19" i="43"/>
  <c r="MP19" i="43"/>
  <c r="MO19" i="43"/>
  <c r="MN19" i="43"/>
  <c r="MM19" i="43"/>
  <c r="ML19" i="43"/>
  <c r="JB19" i="43"/>
  <c r="CL19" i="43"/>
  <c r="U19" i="43"/>
  <c r="PT18" i="43"/>
  <c r="MY18" i="43" s="1"/>
  <c r="MP18" i="43"/>
  <c r="MN18" i="43"/>
  <c r="JB18" i="43"/>
  <c r="CL18" i="43"/>
  <c r="U18" i="43"/>
  <c r="PU17" i="43"/>
  <c r="PT17" i="43"/>
  <c r="MY17" i="43" s="1"/>
  <c r="MX17" i="43"/>
  <c r="MW17" i="43"/>
  <c r="MV17" i="43"/>
  <c r="MT17" i="43"/>
  <c r="MS17" i="43"/>
  <c r="MR17" i="43"/>
  <c r="MP17" i="43"/>
  <c r="MO17" i="43"/>
  <c r="MN17" i="43"/>
  <c r="ML17" i="43"/>
  <c r="JB17" i="43"/>
  <c r="CL17" i="43"/>
  <c r="U17" i="43"/>
  <c r="K17" i="43"/>
  <c r="PT16" i="43"/>
  <c r="PU16" i="43" s="1"/>
  <c r="K16" i="43" s="1"/>
  <c r="MX16" i="43"/>
  <c r="MR16" i="43"/>
  <c r="MN16" i="43"/>
  <c r="MM16" i="43"/>
  <c r="JB16" i="43"/>
  <c r="CL16" i="43"/>
  <c r="U16" i="43"/>
  <c r="F16" i="43"/>
  <c r="E16" i="43"/>
  <c r="PT15" i="43"/>
  <c r="MR15" i="43" s="1"/>
  <c r="MY15" i="43"/>
  <c r="MN15" i="43"/>
  <c r="JB15" i="43"/>
  <c r="CL15" i="43"/>
  <c r="U15" i="43"/>
  <c r="F15" i="43"/>
  <c r="E15" i="43"/>
  <c r="PT14" i="43"/>
  <c r="PU14" i="43" s="1"/>
  <c r="K14" i="43" s="1"/>
  <c r="MY14" i="43"/>
  <c r="MV14" i="43"/>
  <c r="MU14" i="43"/>
  <c r="MR14" i="43"/>
  <c r="MQ14" i="43"/>
  <c r="MN14" i="43"/>
  <c r="MM14" i="43"/>
  <c r="JB14" i="43"/>
  <c r="CL14" i="43"/>
  <c r="U14" i="43"/>
  <c r="F14" i="43"/>
  <c r="E14" i="43"/>
  <c r="PT13" i="43"/>
  <c r="MV13" i="43" s="1"/>
  <c r="MY13" i="43"/>
  <c r="MQ13" i="43"/>
  <c r="MN13" i="43"/>
  <c r="JB13" i="43"/>
  <c r="CL13" i="43"/>
  <c r="U13" i="43"/>
  <c r="F13" i="43"/>
  <c r="E13" i="43"/>
  <c r="PU12" i="43"/>
  <c r="K12" i="43"/>
  <c r="PT12" i="43"/>
  <c r="MY12" i="43" s="1"/>
  <c r="MX12" i="43"/>
  <c r="MW12" i="43"/>
  <c r="MV12" i="43"/>
  <c r="MT12" i="43"/>
  <c r="MS12" i="43"/>
  <c r="MR12" i="43"/>
  <c r="MP12" i="43"/>
  <c r="MO12" i="43"/>
  <c r="MN12" i="43"/>
  <c r="ML12" i="43"/>
  <c r="JB12" i="43"/>
  <c r="CL12" i="43"/>
  <c r="U12" i="43"/>
  <c r="F12" i="43"/>
  <c r="E12" i="43"/>
  <c r="PT11" i="43"/>
  <c r="MV11" i="43" s="1"/>
  <c r="MY11" i="43"/>
  <c r="MR11" i="43"/>
  <c r="MN11" i="43"/>
  <c r="JB11" i="43"/>
  <c r="CL11" i="43"/>
  <c r="U11" i="43"/>
  <c r="F11" i="43"/>
  <c r="E11" i="43"/>
  <c r="PT10" i="43"/>
  <c r="MY10" i="43" s="1"/>
  <c r="MV10" i="43"/>
  <c r="MU10" i="43"/>
  <c r="MR10" i="43"/>
  <c r="MQ10" i="43"/>
  <c r="MN10" i="43"/>
  <c r="MM10" i="43"/>
  <c r="JB10" i="43"/>
  <c r="CL10" i="43"/>
  <c r="U10" i="43"/>
  <c r="F10" i="43"/>
  <c r="E10" i="43"/>
  <c r="PT9" i="43"/>
  <c r="MM9" i="43" s="1"/>
  <c r="MN9" i="43"/>
  <c r="JB9" i="43"/>
  <c r="CL9" i="43"/>
  <c r="U9" i="43"/>
  <c r="F9" i="43"/>
  <c r="E9" i="43"/>
  <c r="PU8" i="43"/>
  <c r="K8" i="43" s="1"/>
  <c r="PT8" i="43"/>
  <c r="MY8" i="43" s="1"/>
  <c r="MX8" i="43"/>
  <c r="MW8" i="43"/>
  <c r="MV8" i="43"/>
  <c r="MT8" i="43"/>
  <c r="MS8" i="43"/>
  <c r="MR8" i="43"/>
  <c r="MP8" i="43"/>
  <c r="MO8" i="43"/>
  <c r="MN8" i="43"/>
  <c r="ML8" i="43"/>
  <c r="JB8" i="43"/>
  <c r="CL8" i="43"/>
  <c r="U8" i="43"/>
  <c r="F8" i="43"/>
  <c r="E8" i="43"/>
  <c r="PT7" i="43"/>
  <c r="MY7" i="43" s="1"/>
  <c r="MR7" i="43"/>
  <c r="MQ7" i="43"/>
  <c r="MN7" i="43"/>
  <c r="JB7" i="43"/>
  <c r="CL7" i="43"/>
  <c r="U7" i="43"/>
  <c r="F7" i="43"/>
  <c r="E7" i="43"/>
  <c r="PU6" i="43"/>
  <c r="K6" i="43" s="1"/>
  <c r="PT6" i="43"/>
  <c r="MY6" i="43" s="1"/>
  <c r="MX6" i="43"/>
  <c r="MW6" i="43"/>
  <c r="MV6" i="43"/>
  <c r="MT6" i="43"/>
  <c r="MS6" i="43"/>
  <c r="MR6" i="43"/>
  <c r="MP6" i="43"/>
  <c r="MO6" i="43"/>
  <c r="MN6" i="43"/>
  <c r="ML6" i="43"/>
  <c r="JB6" i="43"/>
  <c r="CL6" i="43"/>
  <c r="U6" i="43"/>
  <c r="F6" i="43"/>
  <c r="E6" i="43"/>
  <c r="PT5" i="43"/>
  <c r="MY5" i="43" s="1"/>
  <c r="MV5" i="43"/>
  <c r="MU5" i="43"/>
  <c r="MR5" i="43"/>
  <c r="MN5" i="43"/>
  <c r="MM5" i="43"/>
  <c r="JB5" i="43"/>
  <c r="CL5" i="43"/>
  <c r="U5" i="43"/>
  <c r="F5" i="43"/>
  <c r="E5" i="43"/>
  <c r="PY4" i="43"/>
  <c r="PY5" i="43" s="1"/>
  <c r="PY6" i="43" s="1"/>
  <c r="PY7" i="43" s="1"/>
  <c r="PY8" i="43" s="1"/>
  <c r="PY9" i="43" s="1"/>
  <c r="PY10" i="43" s="1"/>
  <c r="PY11" i="43" s="1"/>
  <c r="PY12" i="43" s="1"/>
  <c r="PY13" i="43" s="1"/>
  <c r="PY14" i="43" s="1"/>
  <c r="PT4" i="43"/>
  <c r="MY4" i="43" s="1"/>
  <c r="MW4" i="43"/>
  <c r="MV4" i="43"/>
  <c r="MS4" i="43"/>
  <c r="MR4" i="43"/>
  <c r="MO4" i="43"/>
  <c r="MN4" i="43"/>
  <c r="JB4" i="43"/>
  <c r="CL4" i="43"/>
  <c r="U4" i="43"/>
  <c r="F4" i="43"/>
  <c r="E4" i="43"/>
  <c r="PT3" i="43"/>
  <c r="PU3" i="43"/>
  <c r="K3" i="43" s="1"/>
  <c r="MY3" i="43"/>
  <c r="MX3" i="43"/>
  <c r="MV3" i="43"/>
  <c r="MU3" i="43"/>
  <c r="MT3" i="43"/>
  <c r="MR3" i="43"/>
  <c r="MQ3" i="43"/>
  <c r="MP3" i="43"/>
  <c r="MN3" i="43"/>
  <c r="MM3" i="43"/>
  <c r="ML3" i="43"/>
  <c r="JB3" i="43"/>
  <c r="CL3" i="43"/>
  <c r="U3" i="43"/>
  <c r="J3" i="43"/>
  <c r="J4" i="43" s="1"/>
  <c r="J5" i="43" s="1"/>
  <c r="J6" i="43" s="1"/>
  <c r="J7" i="43" s="1"/>
  <c r="J8" i="43" s="1"/>
  <c r="J9" i="43" s="1"/>
  <c r="J10" i="43" s="1"/>
  <c r="J11" i="43" s="1"/>
  <c r="J12" i="43" s="1"/>
  <c r="J13" i="43" s="1"/>
  <c r="J14" i="43" s="1"/>
  <c r="J15" i="43" s="1"/>
  <c r="J16" i="43" s="1"/>
  <c r="J17" i="43" s="1"/>
  <c r="J18" i="43" s="1"/>
  <c r="J19" i="43" s="1"/>
  <c r="J20" i="43" s="1"/>
  <c r="J21" i="43" s="1"/>
  <c r="J22" i="43" s="1"/>
  <c r="J23" i="43" s="1"/>
  <c r="J24" i="43" s="1"/>
  <c r="J25" i="43" s="1"/>
  <c r="J26" i="43" s="1"/>
  <c r="J27" i="43" s="1"/>
  <c r="J28" i="43" s="1"/>
  <c r="J29" i="43" s="1"/>
  <c r="J30" i="43" s="1"/>
  <c r="J31" i="43" s="1"/>
  <c r="J32" i="43" s="1"/>
  <c r="J33" i="43" s="1"/>
  <c r="J34" i="43" s="1"/>
  <c r="I3" i="43"/>
  <c r="I4" i="43" s="1"/>
  <c r="I5" i="43" s="1"/>
  <c r="I6" i="43" s="1"/>
  <c r="I7" i="43" s="1"/>
  <c r="I8" i="43" s="1"/>
  <c r="I9" i="43" s="1"/>
  <c r="I10" i="43" s="1"/>
  <c r="I11" i="43" s="1"/>
  <c r="I12" i="43" s="1"/>
  <c r="I13" i="43" s="1"/>
  <c r="I14" i="43" s="1"/>
  <c r="I15" i="43" s="1"/>
  <c r="I16" i="43" s="1"/>
  <c r="I17" i="43" s="1"/>
  <c r="I18" i="43" s="1"/>
  <c r="I19" i="43" s="1"/>
  <c r="I20" i="43" s="1"/>
  <c r="I21" i="43" s="1"/>
  <c r="I22" i="43" s="1"/>
  <c r="I23" i="43" s="1"/>
  <c r="I24" i="43" s="1"/>
  <c r="I25" i="43" s="1"/>
  <c r="I26" i="43" s="1"/>
  <c r="I27" i="43" s="1"/>
  <c r="I28" i="43" s="1"/>
  <c r="I29" i="43" s="1"/>
  <c r="I30" i="43" s="1"/>
  <c r="I31" i="43" s="1"/>
  <c r="I32" i="43" s="1"/>
  <c r="I33" i="43" s="1"/>
  <c r="I34" i="43" s="1"/>
  <c r="H3" i="43"/>
  <c r="H4" i="43" s="1"/>
  <c r="H5" i="43" s="1"/>
  <c r="H6" i="43" s="1"/>
  <c r="H7" i="43" s="1"/>
  <c r="H8" i="43" s="1"/>
  <c r="H9" i="43" s="1"/>
  <c r="H10" i="43" s="1"/>
  <c r="H11" i="43" s="1"/>
  <c r="H12" i="43" s="1"/>
  <c r="H13" i="43" s="1"/>
  <c r="H14" i="43" s="1"/>
  <c r="H15" i="43" s="1"/>
  <c r="H16" i="43" s="1"/>
  <c r="H17" i="43" s="1"/>
  <c r="H18" i="43" s="1"/>
  <c r="H19" i="43" s="1"/>
  <c r="H20" i="43" s="1"/>
  <c r="H21" i="43" s="1"/>
  <c r="H22" i="43" s="1"/>
  <c r="H23" i="43" s="1"/>
  <c r="H24" i="43" s="1"/>
  <c r="H25" i="43" s="1"/>
  <c r="H26" i="43" s="1"/>
  <c r="H27" i="43" s="1"/>
  <c r="H28" i="43" s="1"/>
  <c r="H29" i="43" s="1"/>
  <c r="H30" i="43" s="1"/>
  <c r="H31" i="43" s="1"/>
  <c r="H32" i="43" s="1"/>
  <c r="H33" i="43" s="1"/>
  <c r="H34" i="43" s="1"/>
  <c r="G3" i="43"/>
  <c r="G4" i="43" s="1"/>
  <c r="G5" i="43" s="1"/>
  <c r="G6" i="43" s="1"/>
  <c r="G7" i="43" s="1"/>
  <c r="G8" i="43" s="1"/>
  <c r="G9" i="43" s="1"/>
  <c r="G10" i="43" s="1"/>
  <c r="G11" i="43" s="1"/>
  <c r="G12" i="43" s="1"/>
  <c r="G13" i="43" s="1"/>
  <c r="G14" i="43" s="1"/>
  <c r="G15" i="43" s="1"/>
  <c r="G16" i="43" s="1"/>
  <c r="G17" i="43" s="1"/>
  <c r="G18" i="43" s="1"/>
  <c r="G19" i="43" s="1"/>
  <c r="G20" i="43" s="1"/>
  <c r="G21" i="43" s="1"/>
  <c r="G22" i="43" s="1"/>
  <c r="G23" i="43" s="1"/>
  <c r="G24" i="43" s="1"/>
  <c r="G25" i="43" s="1"/>
  <c r="G26" i="43" s="1"/>
  <c r="G27" i="43" s="1"/>
  <c r="G28" i="43" s="1"/>
  <c r="G29" i="43" s="1"/>
  <c r="G30" i="43" s="1"/>
  <c r="G31" i="43" s="1"/>
  <c r="G32" i="43" s="1"/>
  <c r="G33" i="43" s="1"/>
  <c r="G34" i="43" s="1"/>
  <c r="F3" i="43"/>
  <c r="E3" i="43"/>
  <c r="PT2" i="43"/>
  <c r="MX2" i="43" s="1"/>
  <c r="PM2" i="43"/>
  <c r="PL2" i="43"/>
  <c r="PK2" i="43"/>
  <c r="PJ2" i="43"/>
  <c r="PI2" i="43"/>
  <c r="PH2" i="43"/>
  <c r="PG2" i="43"/>
  <c r="PF2" i="43"/>
  <c r="PE2" i="43"/>
  <c r="PD2" i="43"/>
  <c r="PC2" i="43"/>
  <c r="PB2" i="43"/>
  <c r="PA2" i="43"/>
  <c r="OZ2" i="43"/>
  <c r="OY2" i="43"/>
  <c r="OX2" i="43"/>
  <c r="OW2" i="43"/>
  <c r="OV2" i="43"/>
  <c r="OS2" i="43"/>
  <c r="OQ2" i="43"/>
  <c r="MW2" i="43"/>
  <c r="MN2" i="43"/>
  <c r="MK2" i="43"/>
  <c r="MJ2" i="43"/>
  <c r="MI2" i="43"/>
  <c r="MH2" i="43"/>
  <c r="MG2" i="43"/>
  <c r="MF2" i="43"/>
  <c r="ME2" i="43"/>
  <c r="MD2" i="43"/>
  <c r="MC2" i="43"/>
  <c r="MB2" i="43"/>
  <c r="MA2" i="43"/>
  <c r="LZ2" i="43"/>
  <c r="LY2" i="43"/>
  <c r="LX2" i="43"/>
  <c r="LW2" i="43"/>
  <c r="LV2" i="43"/>
  <c r="LU2" i="43"/>
  <c r="LT2" i="43"/>
  <c r="LS2" i="43"/>
  <c r="LR2" i="43"/>
  <c r="LQ2" i="43"/>
  <c r="LP2" i="43"/>
  <c r="LO2" i="43"/>
  <c r="LN2" i="43"/>
  <c r="LM2" i="43"/>
  <c r="JB2" i="43"/>
  <c r="IX2" i="43"/>
  <c r="GK2" i="43"/>
  <c r="GJ2" i="43"/>
  <c r="GI2" i="43"/>
  <c r="GH2" i="43"/>
  <c r="GG2" i="43"/>
  <c r="GF2" i="43"/>
  <c r="GE2" i="43"/>
  <c r="GD2" i="43"/>
  <c r="GC2" i="43"/>
  <c r="GB2" i="43"/>
  <c r="GA2" i="43"/>
  <c r="FY2" i="43"/>
  <c r="FR2" i="43"/>
  <c r="FQ2" i="43"/>
  <c r="FP2" i="43"/>
  <c r="FO2" i="43"/>
  <c r="FN2" i="43"/>
  <c r="FM2" i="43"/>
  <c r="FL2" i="43"/>
  <c r="FK2" i="43"/>
  <c r="FJ2" i="43"/>
  <c r="FH2" i="43"/>
  <c r="FF2" i="43"/>
  <c r="FE2" i="43"/>
  <c r="FD2" i="43"/>
  <c r="FC2" i="43"/>
  <c r="FB2" i="43"/>
  <c r="FA2" i="43"/>
  <c r="EZ2" i="43"/>
  <c r="EY2" i="43"/>
  <c r="EX2" i="43"/>
  <c r="EW2" i="43"/>
  <c r="EV2" i="43"/>
  <c r="EU2" i="43"/>
  <c r="ET2" i="43"/>
  <c r="ES2" i="43"/>
  <c r="ER2" i="43"/>
  <c r="EQ2" i="43"/>
  <c r="EP2" i="43"/>
  <c r="EO2" i="43"/>
  <c r="EN2" i="43"/>
  <c r="EL2" i="43"/>
  <c r="EK2" i="43"/>
  <c r="EJ2" i="43"/>
  <c r="EI2" i="43"/>
  <c r="EG2" i="43"/>
  <c r="EF2" i="43"/>
  <c r="EE2" i="43"/>
  <c r="ED2" i="43"/>
  <c r="CL2" i="43"/>
  <c r="U2" i="43"/>
  <c r="F2" i="43"/>
  <c r="E2" i="43"/>
  <c r="D2" i="43"/>
  <c r="D3" i="43" s="1"/>
  <c r="D4" i="43" s="1"/>
  <c r="D5" i="43"/>
  <c r="D6" i="43" s="1"/>
  <c r="D7" i="43" s="1"/>
  <c r="D8" i="43" s="1"/>
  <c r="D9" i="43" s="1"/>
  <c r="D10" i="43" s="1"/>
  <c r="D11" i="43" s="1"/>
  <c r="D12" i="43" s="1"/>
  <c r="D13" i="43" s="1"/>
  <c r="D14" i="43" s="1"/>
  <c r="D15" i="43" s="1"/>
  <c r="D16" i="43" s="1"/>
  <c r="D17" i="43" s="1"/>
  <c r="D18" i="43" s="1"/>
  <c r="D19" i="43" s="1"/>
  <c r="D20" i="43" s="1"/>
  <c r="D21" i="43" s="1"/>
  <c r="D22" i="43" s="1"/>
  <c r="D23" i="43" s="1"/>
  <c r="D24" i="43" s="1"/>
  <c r="D25" i="43" s="1"/>
  <c r="D26" i="43" s="1"/>
  <c r="D27" i="43" s="1"/>
  <c r="D28" i="43" s="1"/>
  <c r="D29" i="43" s="1"/>
  <c r="D30" i="43" s="1"/>
  <c r="D31" i="43" s="1"/>
  <c r="D32" i="43" s="1"/>
  <c r="D33" i="43" s="1"/>
  <c r="D34" i="43" s="1"/>
  <c r="C2" i="43"/>
  <c r="C3" i="43"/>
  <c r="C4" i="43" s="1"/>
  <c r="C5" i="43" s="1"/>
  <c r="C6" i="43" s="1"/>
  <c r="C7" i="43" s="1"/>
  <c r="C8" i="43" s="1"/>
  <c r="C9" i="43" s="1"/>
  <c r="C10" i="43" s="1"/>
  <c r="C11" i="43" s="1"/>
  <c r="C12" i="43" s="1"/>
  <c r="C13" i="43" s="1"/>
  <c r="C14" i="43" s="1"/>
  <c r="C15" i="43" s="1"/>
  <c r="C16" i="43" s="1"/>
  <c r="C17" i="43" s="1"/>
  <c r="C18" i="43" s="1"/>
  <c r="C19" i="43" s="1"/>
  <c r="C20" i="43" s="1"/>
  <c r="C21" i="43" s="1"/>
  <c r="C22" i="43" s="1"/>
  <c r="C23" i="43" s="1"/>
  <c r="C24" i="43" s="1"/>
  <c r="C25" i="43" s="1"/>
  <c r="C26" i="43" s="1"/>
  <c r="C27" i="43" s="1"/>
  <c r="C28" i="43" s="1"/>
  <c r="C29" i="43" s="1"/>
  <c r="C30" i="43" s="1"/>
  <c r="C31" i="43" s="1"/>
  <c r="C32" i="43" s="1"/>
  <c r="C33" i="43" s="1"/>
  <c r="C34" i="43" s="1"/>
  <c r="B2" i="43"/>
  <c r="B3" i="43" s="1"/>
  <c r="B4" i="43" s="1"/>
  <c r="B5" i="43" s="1"/>
  <c r="B6" i="43" s="1"/>
  <c r="B7" i="43" s="1"/>
  <c r="B8" i="43" s="1"/>
  <c r="B9" i="43" s="1"/>
  <c r="B10" i="43" s="1"/>
  <c r="B11" i="43" s="1"/>
  <c r="B12" i="43" s="1"/>
  <c r="B13" i="43" s="1"/>
  <c r="B14" i="43" s="1"/>
  <c r="B15" i="43" s="1"/>
  <c r="B16" i="43" s="1"/>
  <c r="B17" i="43" s="1"/>
  <c r="B18" i="43" s="1"/>
  <c r="B19" i="43" s="1"/>
  <c r="B20" i="43" s="1"/>
  <c r="B21" i="43" s="1"/>
  <c r="B22" i="43" s="1"/>
  <c r="B23" i="43" s="1"/>
  <c r="B24" i="43" s="1"/>
  <c r="B25" i="43" s="1"/>
  <c r="B26" i="43" s="1"/>
  <c r="B27" i="43" s="1"/>
  <c r="B28" i="43" s="1"/>
  <c r="B29" i="43" s="1"/>
  <c r="B30" i="43" s="1"/>
  <c r="B31" i="43" s="1"/>
  <c r="B32" i="43" s="1"/>
  <c r="B33" i="43" s="1"/>
  <c r="B34" i="43" s="1"/>
  <c r="A2" i="43"/>
  <c r="A3" i="43"/>
  <c r="A4" i="43" s="1"/>
  <c r="A5" i="43" s="1"/>
  <c r="A6" i="43" s="1"/>
  <c r="A7" i="43" s="1"/>
  <c r="A8" i="43" s="1"/>
  <c r="A9" i="43" s="1"/>
  <c r="A10" i="43" s="1"/>
  <c r="A11" i="43" s="1"/>
  <c r="A12" i="43" s="1"/>
  <c r="A13" i="43" s="1"/>
  <c r="A14" i="43" s="1"/>
  <c r="A15" i="43" s="1"/>
  <c r="A16" i="43" s="1"/>
  <c r="A17" i="43" s="1"/>
  <c r="A18" i="43" s="1"/>
  <c r="A19" i="43" s="1"/>
  <c r="A20" i="43" s="1"/>
  <c r="A21" i="43" s="1"/>
  <c r="A22" i="43" s="1"/>
  <c r="A23" i="43" s="1"/>
  <c r="A24" i="43" s="1"/>
  <c r="A25" i="43" s="1"/>
  <c r="A26" i="43" s="1"/>
  <c r="A27" i="43" s="1"/>
  <c r="A28" i="43" s="1"/>
  <c r="A29" i="43" s="1"/>
  <c r="A30" i="43" s="1"/>
  <c r="A31" i="43" s="1"/>
  <c r="A32" i="43" s="1"/>
  <c r="A33" i="43" s="1"/>
  <c r="A34" i="43" s="1"/>
  <c r="AS417" i="42"/>
  <c r="M417" i="42"/>
  <c r="AI391" i="42"/>
  <c r="AF391" i="42"/>
  <c r="AA391" i="42"/>
  <c r="X391" i="42"/>
  <c r="S391" i="42"/>
  <c r="P391" i="42"/>
  <c r="K391" i="42"/>
  <c r="H391" i="42"/>
  <c r="AQ363" i="42"/>
  <c r="H363" i="42"/>
  <c r="AQ357" i="42"/>
  <c r="H357" i="42"/>
  <c r="AO348" i="42"/>
  <c r="B348" i="42"/>
  <c r="AO347" i="42"/>
  <c r="B347" i="42"/>
  <c r="AO344" i="42"/>
  <c r="B344" i="42"/>
  <c r="AO343" i="42"/>
  <c r="B343" i="42"/>
  <c r="AU342" i="42"/>
  <c r="AQ342" i="42"/>
  <c r="K342" i="42"/>
  <c r="G342" i="42"/>
  <c r="AR318" i="42"/>
  <c r="AQ318" i="42"/>
  <c r="H318" i="42"/>
  <c r="G318" i="42"/>
  <c r="J318" i="42" s="1"/>
  <c r="L318" i="42" s="1"/>
  <c r="AR317" i="42"/>
  <c r="H317" i="42"/>
  <c r="AO316" i="42"/>
  <c r="B316" i="42"/>
  <c r="AI314" i="42"/>
  <c r="AH314" i="42"/>
  <c r="AG314" i="42"/>
  <c r="AF314" i="42"/>
  <c r="AE314" i="42"/>
  <c r="AD314" i="42"/>
  <c r="AC314" i="42"/>
  <c r="AB314" i="42"/>
  <c r="AA314" i="42"/>
  <c r="Z314" i="42"/>
  <c r="Y314" i="42"/>
  <c r="X314" i="42"/>
  <c r="W314" i="42"/>
  <c r="V314" i="42"/>
  <c r="U314" i="42"/>
  <c r="T314" i="42"/>
  <c r="S314" i="42"/>
  <c r="R314" i="42"/>
  <c r="Q314" i="42"/>
  <c r="P314" i="42"/>
  <c r="O314" i="42"/>
  <c r="N314" i="42"/>
  <c r="M314" i="42"/>
  <c r="L314" i="42"/>
  <c r="K314" i="42"/>
  <c r="J314" i="42"/>
  <c r="I314" i="42"/>
  <c r="H314" i="42"/>
  <c r="G314" i="42"/>
  <c r="C314" i="42"/>
  <c r="AI313" i="42"/>
  <c r="AH313" i="42"/>
  <c r="AG313" i="42"/>
  <c r="AF313" i="42"/>
  <c r="AE313" i="42"/>
  <c r="AD313" i="42"/>
  <c r="AC313" i="42"/>
  <c r="AB313" i="42"/>
  <c r="AA313" i="42"/>
  <c r="J313" i="42"/>
  <c r="I313" i="42"/>
  <c r="H313" i="42"/>
  <c r="G313" i="42"/>
  <c r="C313" i="42"/>
  <c r="C312" i="42"/>
  <c r="C311" i="42"/>
  <c r="C310" i="42"/>
  <c r="C309" i="42"/>
  <c r="AO305" i="42"/>
  <c r="B305" i="42"/>
  <c r="B302" i="42"/>
  <c r="AQ287" i="42"/>
  <c r="B287" i="42"/>
  <c r="T278" i="42"/>
  <c r="M267" i="42"/>
  <c r="M268" i="42" s="1"/>
  <c r="M269" i="42" s="1"/>
  <c r="M270" i="42" s="1"/>
  <c r="M271" i="42" s="1"/>
  <c r="M272" i="42" s="1"/>
  <c r="M273" i="42" s="1"/>
  <c r="M274" i="42" s="1"/>
  <c r="M275" i="42" s="1"/>
  <c r="M276" i="42" s="1"/>
  <c r="M277" i="42" s="1"/>
  <c r="K267" i="42"/>
  <c r="K268" i="42"/>
  <c r="X264" i="42"/>
  <c r="X278" i="42" s="1"/>
  <c r="X266" i="42" s="1"/>
  <c r="T263" i="42"/>
  <c r="N263" i="42"/>
  <c r="R264" i="42" s="1"/>
  <c r="R278" i="42" s="1"/>
  <c r="R266" i="42" s="1"/>
  <c r="N262" i="42"/>
  <c r="O262" i="42" s="1"/>
  <c r="T260" i="42"/>
  <c r="AM253" i="42"/>
  <c r="BR252" i="42"/>
  <c r="BQ252" i="42"/>
  <c r="BE252" i="42"/>
  <c r="AW252" i="42"/>
  <c r="AT252" i="42"/>
  <c r="AP252" i="42"/>
  <c r="BI252" i="42" s="1"/>
  <c r="BJ252" i="42"/>
  <c r="AM252" i="42"/>
  <c r="I252" i="42"/>
  <c r="F252" i="42"/>
  <c r="H252" i="42" s="1"/>
  <c r="AM250" i="42"/>
  <c r="AP249" i="42"/>
  <c r="BR249" i="42" s="1"/>
  <c r="AM249" i="42"/>
  <c r="F249" i="42"/>
  <c r="AM247" i="42"/>
  <c r="AP246" i="42"/>
  <c r="AM246" i="42"/>
  <c r="F246" i="42"/>
  <c r="AM240" i="42"/>
  <c r="AM239" i="42"/>
  <c r="AM238" i="42"/>
  <c r="AH391" i="42"/>
  <c r="AG391" i="42"/>
  <c r="AE391" i="42"/>
  <c r="AD391" i="42"/>
  <c r="AC391" i="42"/>
  <c r="AB391" i="42"/>
  <c r="Z391" i="42"/>
  <c r="Y391" i="42"/>
  <c r="W391" i="42"/>
  <c r="V391" i="42"/>
  <c r="U391" i="42"/>
  <c r="T391" i="42"/>
  <c r="R391" i="42"/>
  <c r="Q391" i="42"/>
  <c r="O391" i="42"/>
  <c r="N391" i="42"/>
  <c r="M391" i="42"/>
  <c r="L391" i="42"/>
  <c r="J391" i="42"/>
  <c r="I391" i="42"/>
  <c r="G391" i="42"/>
  <c r="AM237" i="42"/>
  <c r="AH56" i="38"/>
  <c r="AG322" i="39"/>
  <c r="AF322" i="39"/>
  <c r="AD56" i="38"/>
  <c r="AB322" i="39"/>
  <c r="Z56" i="38"/>
  <c r="X322" i="39"/>
  <c r="V56" i="38"/>
  <c r="T322" i="39"/>
  <c r="R56" i="38"/>
  <c r="Q322" i="39"/>
  <c r="N56" i="38"/>
  <c r="M56" i="38"/>
  <c r="L322" i="39"/>
  <c r="J56" i="38"/>
  <c r="I322" i="39"/>
  <c r="H322" i="39"/>
  <c r="AM236" i="42"/>
  <c r="BS235" i="42"/>
  <c r="BR235" i="42"/>
  <c r="BQ235" i="42"/>
  <c r="BP235" i="42"/>
  <c r="BO235" i="42"/>
  <c r="BN235" i="42"/>
  <c r="BM235" i="42"/>
  <c r="BL235" i="42"/>
  <c r="BK235" i="42"/>
  <c r="BJ235" i="42"/>
  <c r="BI235" i="42"/>
  <c r="BH235" i="42"/>
  <c r="BG235" i="42"/>
  <c r="BF235" i="42"/>
  <c r="BE235" i="42"/>
  <c r="BD235" i="42"/>
  <c r="BC235" i="42"/>
  <c r="BB235" i="42"/>
  <c r="BA235" i="42"/>
  <c r="AZ235" i="42"/>
  <c r="AY235" i="42"/>
  <c r="AX235" i="42"/>
  <c r="AW235" i="42"/>
  <c r="AV235" i="42"/>
  <c r="AU235" i="42"/>
  <c r="AT235" i="42"/>
  <c r="AS235" i="42"/>
  <c r="AR235" i="42"/>
  <c r="AQ235" i="42"/>
  <c r="AM235" i="42"/>
  <c r="BS234" i="42"/>
  <c r="BR234" i="42"/>
  <c r="BQ234" i="42"/>
  <c r="BP234" i="42"/>
  <c r="BO234" i="42"/>
  <c r="BN234" i="42"/>
  <c r="BM234" i="42"/>
  <c r="BL234" i="42"/>
  <c r="BK234" i="42"/>
  <c r="BJ234" i="42"/>
  <c r="BI234" i="42"/>
  <c r="BH234" i="42"/>
  <c r="BG234" i="42"/>
  <c r="BF234" i="42"/>
  <c r="BE234" i="42"/>
  <c r="BD234" i="42"/>
  <c r="BC234" i="42"/>
  <c r="BB234" i="42"/>
  <c r="BA234" i="42"/>
  <c r="AZ234" i="42"/>
  <c r="AY234" i="42"/>
  <c r="AX234" i="42"/>
  <c r="AW234" i="42"/>
  <c r="AV234" i="42"/>
  <c r="AU234" i="42"/>
  <c r="AT234" i="42"/>
  <c r="AS234" i="42"/>
  <c r="AR234" i="42"/>
  <c r="AQ234" i="42"/>
  <c r="AM234" i="42"/>
  <c r="AG234" i="42"/>
  <c r="AG319" i="39"/>
  <c r="AC234" i="42"/>
  <c r="Y234" i="42"/>
  <c r="AM233" i="42"/>
  <c r="AQ192" i="42"/>
  <c r="R179" i="42"/>
  <c r="R178" i="42"/>
  <c r="R177" i="42"/>
  <c r="AO176" i="42"/>
  <c r="R176" i="42"/>
  <c r="P167" i="42"/>
  <c r="O167" i="42"/>
  <c r="N167" i="42"/>
  <c r="M167" i="42"/>
  <c r="L167" i="42"/>
  <c r="K167" i="42"/>
  <c r="J167" i="42"/>
  <c r="I167" i="42"/>
  <c r="H167" i="42"/>
  <c r="G167" i="42"/>
  <c r="F167" i="42"/>
  <c r="U159" i="42"/>
  <c r="U152" i="42"/>
  <c r="T152" i="42"/>
  <c r="U151" i="42"/>
  <c r="DC143" i="42"/>
  <c r="DB143" i="42"/>
  <c r="DA143" i="42"/>
  <c r="CZ143" i="42"/>
  <c r="CY143" i="42"/>
  <c r="CX143" i="42"/>
  <c r="CW143" i="42"/>
  <c r="CV143" i="42"/>
  <c r="CU143" i="42"/>
  <c r="CD143" i="42"/>
  <c r="CC143" i="42"/>
  <c r="CB143" i="42"/>
  <c r="BH155" i="41" s="1"/>
  <c r="CA143" i="42"/>
  <c r="DC139" i="42"/>
  <c r="DB139" i="42"/>
  <c r="DA139" i="42"/>
  <c r="CZ139" i="42"/>
  <c r="CY139" i="42"/>
  <c r="CX139" i="42"/>
  <c r="CW139" i="42"/>
  <c r="CV139" i="42"/>
  <c r="CU139" i="42"/>
  <c r="CH139" i="42"/>
  <c r="CD139" i="42"/>
  <c r="CC139" i="42"/>
  <c r="CB139" i="42"/>
  <c r="BH151" i="41"/>
  <c r="CA139" i="42"/>
  <c r="DA136" i="42"/>
  <c r="CW136" i="42"/>
  <c r="CS136" i="42"/>
  <c r="DC132" i="42"/>
  <c r="DB132" i="42"/>
  <c r="DA132" i="42"/>
  <c r="CZ132" i="42"/>
  <c r="CY132" i="42"/>
  <c r="CX132" i="42"/>
  <c r="CW132" i="42"/>
  <c r="CV132" i="42"/>
  <c r="CU132" i="42"/>
  <c r="CT132" i="42"/>
  <c r="CS132" i="42"/>
  <c r="CR132" i="42"/>
  <c r="CQ132" i="42"/>
  <c r="CP132" i="42"/>
  <c r="CO132" i="42"/>
  <c r="CN132" i="42"/>
  <c r="CM132" i="42"/>
  <c r="CL132" i="42"/>
  <c r="CK132" i="42"/>
  <c r="CJ132" i="42"/>
  <c r="CI132" i="42"/>
  <c r="CH132" i="42"/>
  <c r="CG132" i="42"/>
  <c r="CF132" i="42"/>
  <c r="CE132" i="42"/>
  <c r="CD132" i="42"/>
  <c r="CC132" i="42"/>
  <c r="CB132" i="42"/>
  <c r="CA132" i="42"/>
  <c r="CD131" i="42"/>
  <c r="CC131" i="42"/>
  <c r="CB131" i="42"/>
  <c r="BH143" i="41" s="1"/>
  <c r="BS129" i="42"/>
  <c r="BR129" i="42"/>
  <c r="BQ129" i="42"/>
  <c r="BP129" i="42"/>
  <c r="BO129" i="42"/>
  <c r="BN129" i="42"/>
  <c r="BM129" i="42"/>
  <c r="BL129" i="42"/>
  <c r="BK129" i="42"/>
  <c r="BJ129" i="42"/>
  <c r="BI129" i="42"/>
  <c r="BH129" i="42"/>
  <c r="BG129" i="42"/>
  <c r="BF129" i="42"/>
  <c r="BE129" i="42"/>
  <c r="BD129" i="42"/>
  <c r="BC129" i="42"/>
  <c r="BB129" i="42"/>
  <c r="BA129" i="42"/>
  <c r="AZ129" i="42"/>
  <c r="AY129" i="42"/>
  <c r="AX129" i="42"/>
  <c r="AW129" i="42"/>
  <c r="AV129" i="42"/>
  <c r="AU129" i="42"/>
  <c r="AT129" i="42"/>
  <c r="AS129" i="42"/>
  <c r="AR129" i="42"/>
  <c r="AQ129" i="42"/>
  <c r="AI129" i="42"/>
  <c r="AH129" i="42"/>
  <c r="AG129" i="42"/>
  <c r="AF129" i="42"/>
  <c r="AE129" i="42"/>
  <c r="AD129" i="42"/>
  <c r="AC129" i="42"/>
  <c r="AB129" i="42"/>
  <c r="AA129" i="42"/>
  <c r="Z129" i="42"/>
  <c r="Y129" i="42"/>
  <c r="X129" i="42"/>
  <c r="W129" i="42"/>
  <c r="V129" i="42"/>
  <c r="U129" i="42"/>
  <c r="T129" i="42"/>
  <c r="S129" i="42"/>
  <c r="R129" i="42"/>
  <c r="Q129" i="42"/>
  <c r="P129" i="42"/>
  <c r="O129" i="42"/>
  <c r="N129" i="42"/>
  <c r="M129" i="42"/>
  <c r="L129" i="42"/>
  <c r="K129" i="42"/>
  <c r="J129" i="42"/>
  <c r="I129" i="42"/>
  <c r="H129" i="42"/>
  <c r="G129" i="42"/>
  <c r="BZ122" i="42"/>
  <c r="AP122" i="42"/>
  <c r="B122" i="42"/>
  <c r="DF111" i="42"/>
  <c r="DD111" i="42"/>
  <c r="DC111" i="42"/>
  <c r="DB111" i="42"/>
  <c r="DA111" i="42"/>
  <c r="CZ111" i="42"/>
  <c r="CY111" i="42"/>
  <c r="CX111" i="42"/>
  <c r="CW111" i="42"/>
  <c r="CV111" i="42"/>
  <c r="CU111" i="42"/>
  <c r="CT111" i="42"/>
  <c r="CS111" i="42"/>
  <c r="CR111" i="42"/>
  <c r="CQ111" i="42"/>
  <c r="CP111" i="42"/>
  <c r="CO111" i="42"/>
  <c r="CN111" i="42"/>
  <c r="CM111" i="42"/>
  <c r="CL111" i="42"/>
  <c r="CK111" i="42"/>
  <c r="CJ111" i="42"/>
  <c r="CI111" i="42"/>
  <c r="CH111" i="42"/>
  <c r="CG111" i="42"/>
  <c r="CF111" i="42"/>
  <c r="CE111" i="42"/>
  <c r="CD111" i="42"/>
  <c r="CC111" i="42"/>
  <c r="CB111" i="42"/>
  <c r="CA111" i="42"/>
  <c r="DF110" i="42"/>
  <c r="DD110" i="42"/>
  <c r="DC110" i="42"/>
  <c r="DB110" i="42"/>
  <c r="DA110" i="42"/>
  <c r="CZ110" i="42"/>
  <c r="CY110" i="42"/>
  <c r="CX110" i="42"/>
  <c r="CW110" i="42"/>
  <c r="CV110" i="42"/>
  <c r="CU110" i="42"/>
  <c r="CT110" i="42"/>
  <c r="CS110" i="42"/>
  <c r="CR110" i="42"/>
  <c r="CQ110" i="42"/>
  <c r="CP110" i="42"/>
  <c r="CO110" i="42"/>
  <c r="CN110" i="42"/>
  <c r="CM110" i="42"/>
  <c r="CL110" i="42"/>
  <c r="CK110" i="42"/>
  <c r="CJ110" i="42"/>
  <c r="CI110" i="42"/>
  <c r="CH110" i="42"/>
  <c r="CG110" i="42"/>
  <c r="CF110" i="42"/>
  <c r="CE110" i="42"/>
  <c r="CD110" i="42"/>
  <c r="CC110" i="42"/>
  <c r="CB110" i="42"/>
  <c r="CA110" i="42"/>
  <c r="DC108" i="42"/>
  <c r="CQ108" i="42"/>
  <c r="BS108" i="42"/>
  <c r="BS109" i="42" s="1"/>
  <c r="BR108" i="42"/>
  <c r="BQ108" i="42"/>
  <c r="BQ109" i="42" s="1"/>
  <c r="BP108" i="42"/>
  <c r="BP109" i="42" s="1"/>
  <c r="BO108" i="42"/>
  <c r="BN108" i="42"/>
  <c r="BM108" i="42"/>
  <c r="BM109" i="42" s="1"/>
  <c r="BL108" i="42"/>
  <c r="BL109" i="42" s="1"/>
  <c r="AR112" i="41" s="1"/>
  <c r="BK108" i="42"/>
  <c r="BK109" i="42" s="1"/>
  <c r="BJ108" i="42"/>
  <c r="BI108" i="42"/>
  <c r="BI109" i="42" s="1"/>
  <c r="BH108" i="42"/>
  <c r="BH109" i="42" s="1"/>
  <c r="BG108" i="42"/>
  <c r="BF108" i="42"/>
  <c r="BE108" i="42"/>
  <c r="BD108" i="42"/>
  <c r="BD109" i="42" s="1"/>
  <c r="AF112" i="41" s="1"/>
  <c r="BC108" i="42"/>
  <c r="BC109" i="42" s="1"/>
  <c r="BB108" i="42"/>
  <c r="BA108" i="42"/>
  <c r="AZ108" i="42"/>
  <c r="AZ109" i="42" s="1"/>
  <c r="AY108" i="42"/>
  <c r="AY109" i="42" s="1"/>
  <c r="AX108" i="42"/>
  <c r="AW108" i="42"/>
  <c r="AV108" i="42"/>
  <c r="AV109" i="42" s="1"/>
  <c r="P112" i="41" s="1"/>
  <c r="AU108" i="42"/>
  <c r="AT108" i="42"/>
  <c r="CD108" i="42" s="1"/>
  <c r="AS108" i="42"/>
  <c r="J111" i="41" s="1"/>
  <c r="AR108" i="42"/>
  <c r="AR109" i="42" s="1"/>
  <c r="AQ108" i="42"/>
  <c r="AQ109" i="42" s="1"/>
  <c r="AI108" i="42"/>
  <c r="AH108" i="42"/>
  <c r="DB108" i="42" s="1"/>
  <c r="AG108" i="42"/>
  <c r="AF108" i="42"/>
  <c r="AE108" i="42"/>
  <c r="AE109" i="42" s="1"/>
  <c r="AD108" i="42"/>
  <c r="AD109" i="42" s="1"/>
  <c r="AC108" i="42"/>
  <c r="AB108" i="42"/>
  <c r="AA108" i="42"/>
  <c r="CU108" i="42" s="1"/>
  <c r="Z108" i="42"/>
  <c r="Z109" i="42" s="1"/>
  <c r="Y108" i="42"/>
  <c r="X108" i="42"/>
  <c r="W108" i="42"/>
  <c r="W109" i="42" s="1"/>
  <c r="V108" i="42"/>
  <c r="V109" i="42" s="1"/>
  <c r="U108" i="42"/>
  <c r="T108" i="42"/>
  <c r="S108" i="42"/>
  <c r="CM108" i="42" s="1"/>
  <c r="R108" i="42"/>
  <c r="Q108" i="42"/>
  <c r="P108" i="42"/>
  <c r="O108" i="42"/>
  <c r="O109" i="42" s="1"/>
  <c r="N108" i="42"/>
  <c r="N109" i="42" s="1"/>
  <c r="M108" i="42"/>
  <c r="L108" i="42"/>
  <c r="K108" i="42"/>
  <c r="CE108" i="42" s="1"/>
  <c r="J108" i="42"/>
  <c r="J109" i="42" s="1"/>
  <c r="I108" i="42"/>
  <c r="H108" i="42"/>
  <c r="G108" i="42"/>
  <c r="G109" i="42" s="1"/>
  <c r="DC107" i="42"/>
  <c r="DB107" i="42"/>
  <c r="DA107" i="42"/>
  <c r="CZ107" i="42"/>
  <c r="CY107" i="42"/>
  <c r="CX107" i="42"/>
  <c r="CW107" i="42"/>
  <c r="CV107" i="42"/>
  <c r="CU107" i="42"/>
  <c r="CT107" i="42"/>
  <c r="CS107" i="42"/>
  <c r="CR107" i="42"/>
  <c r="CQ107" i="42"/>
  <c r="CP107" i="42"/>
  <c r="CO107" i="42"/>
  <c r="CN107" i="42"/>
  <c r="CM107" i="42"/>
  <c r="CL107" i="42"/>
  <c r="CK107" i="42"/>
  <c r="CJ107" i="42"/>
  <c r="CI107" i="42"/>
  <c r="CH107" i="42"/>
  <c r="CG107" i="42"/>
  <c r="CF107" i="42"/>
  <c r="CE107" i="42"/>
  <c r="CD107" i="42"/>
  <c r="CC107" i="42"/>
  <c r="CB107" i="42"/>
  <c r="CA107" i="42"/>
  <c r="DC106" i="42"/>
  <c r="DB106" i="42"/>
  <c r="DA106" i="42"/>
  <c r="CZ106" i="42"/>
  <c r="CY106" i="42"/>
  <c r="CX106" i="42"/>
  <c r="CW106" i="42"/>
  <c r="CV106" i="42"/>
  <c r="CU106" i="42"/>
  <c r="CT106" i="42"/>
  <c r="CS106" i="42"/>
  <c r="CR106" i="42"/>
  <c r="CQ106" i="42"/>
  <c r="CP106" i="42"/>
  <c r="CO106" i="42"/>
  <c r="CN106" i="42"/>
  <c r="CM106" i="42"/>
  <c r="CL106" i="42"/>
  <c r="CK106" i="42"/>
  <c r="CJ106" i="42"/>
  <c r="CI106" i="42"/>
  <c r="CH106" i="42"/>
  <c r="CG106" i="42"/>
  <c r="CF106" i="42"/>
  <c r="CE106" i="42"/>
  <c r="CD106" i="42"/>
  <c r="CC106" i="42"/>
  <c r="CB106" i="42"/>
  <c r="CA106" i="42"/>
  <c r="CQ105" i="42"/>
  <c r="CF105" i="42"/>
  <c r="BS105" i="42"/>
  <c r="BR105" i="42"/>
  <c r="BQ105" i="42"/>
  <c r="BP105" i="42"/>
  <c r="BO105" i="42"/>
  <c r="BN105" i="42"/>
  <c r="BM105" i="42"/>
  <c r="BL105" i="42"/>
  <c r="BK105" i="42"/>
  <c r="BJ105" i="42"/>
  <c r="BI105" i="42"/>
  <c r="BH105" i="42"/>
  <c r="CR105" i="42"/>
  <c r="BG105" i="42"/>
  <c r="BF105" i="42"/>
  <c r="BE105" i="42"/>
  <c r="BD105" i="42"/>
  <c r="BC105" i="42"/>
  <c r="BB105" i="42"/>
  <c r="BA105" i="42"/>
  <c r="AZ105" i="42"/>
  <c r="AY105" i="42"/>
  <c r="AX105" i="42"/>
  <c r="AW105" i="42"/>
  <c r="AV105" i="42"/>
  <c r="AU105" i="42"/>
  <c r="AT105" i="42"/>
  <c r="AS105" i="42"/>
  <c r="AR105" i="42"/>
  <c r="AQ105" i="42"/>
  <c r="AI105" i="42"/>
  <c r="DC105" i="42" s="1"/>
  <c r="AH105" i="42"/>
  <c r="DB105" i="42" s="1"/>
  <c r="AG105" i="42"/>
  <c r="DA105" i="42"/>
  <c r="AF105" i="42"/>
  <c r="CZ105" i="42" s="1"/>
  <c r="AE105" i="42"/>
  <c r="CY105" i="42" s="1"/>
  <c r="AD105" i="42"/>
  <c r="CX105" i="42"/>
  <c r="AC105" i="42"/>
  <c r="CW105" i="42" s="1"/>
  <c r="AB105" i="42"/>
  <c r="CV105" i="42" s="1"/>
  <c r="AA105" i="42"/>
  <c r="CU105" i="42" s="1"/>
  <c r="Z105" i="42"/>
  <c r="CT105" i="42" s="1"/>
  <c r="Y105" i="42"/>
  <c r="CS105" i="42"/>
  <c r="X105" i="42"/>
  <c r="W105" i="42"/>
  <c r="V105" i="42"/>
  <c r="CP105" i="42"/>
  <c r="U105" i="42"/>
  <c r="CO105" i="42" s="1"/>
  <c r="T105" i="42"/>
  <c r="CN105" i="42" s="1"/>
  <c r="S105" i="42"/>
  <c r="CM105" i="42" s="1"/>
  <c r="R105" i="42"/>
  <c r="CL105" i="42" s="1"/>
  <c r="Q105" i="42"/>
  <c r="CK105" i="42"/>
  <c r="P105" i="42"/>
  <c r="CJ105" i="42" s="1"/>
  <c r="O105" i="42"/>
  <c r="CI105" i="42" s="1"/>
  <c r="N105" i="42"/>
  <c r="CH105" i="42"/>
  <c r="M105" i="42"/>
  <c r="CG105" i="42" s="1"/>
  <c r="L105" i="42"/>
  <c r="K105" i="42"/>
  <c r="CE105" i="42" s="1"/>
  <c r="J105" i="42"/>
  <c r="CD105" i="42" s="1"/>
  <c r="I105" i="42"/>
  <c r="CC105" i="42"/>
  <c r="H105" i="42"/>
  <c r="CB105" i="42" s="1"/>
  <c r="G105" i="42"/>
  <c r="CA105" i="42" s="1"/>
  <c r="DC104" i="42"/>
  <c r="DB104" i="42"/>
  <c r="DA104" i="42"/>
  <c r="CZ104" i="42"/>
  <c r="CY104" i="42"/>
  <c r="CX104" i="42"/>
  <c r="CW104" i="42"/>
  <c r="CV104" i="42"/>
  <c r="CU104" i="42"/>
  <c r="CT104" i="42"/>
  <c r="CS104" i="42"/>
  <c r="CR104" i="42"/>
  <c r="CQ104" i="42"/>
  <c r="CP104" i="42"/>
  <c r="CO104" i="42"/>
  <c r="CN104" i="42"/>
  <c r="CM104" i="42"/>
  <c r="CL104" i="42"/>
  <c r="CK104" i="42"/>
  <c r="CJ104" i="42"/>
  <c r="CI104" i="42"/>
  <c r="CH104" i="42"/>
  <c r="CG104" i="42"/>
  <c r="CF104" i="42"/>
  <c r="CE104" i="42"/>
  <c r="CD104" i="42"/>
  <c r="CC104" i="42"/>
  <c r="CB104" i="42"/>
  <c r="CA104" i="42"/>
  <c r="BQ103" i="42"/>
  <c r="BI103" i="42"/>
  <c r="BA103" i="42"/>
  <c r="Z106" i="41" s="1"/>
  <c r="AA103" i="42"/>
  <c r="H103" i="42"/>
  <c r="DC102" i="42"/>
  <c r="DB102" i="42"/>
  <c r="DA102" i="42"/>
  <c r="CZ102" i="42"/>
  <c r="CY102" i="42"/>
  <c r="CX102" i="42"/>
  <c r="CW102" i="42"/>
  <c r="CV102" i="42"/>
  <c r="CU102" i="42"/>
  <c r="CT102" i="42"/>
  <c r="CS102" i="42"/>
  <c r="CR102" i="42"/>
  <c r="CQ102" i="42"/>
  <c r="CP102" i="42"/>
  <c r="CO102" i="42"/>
  <c r="CN102" i="42"/>
  <c r="CM102" i="42"/>
  <c r="CL102" i="42"/>
  <c r="CK102" i="42"/>
  <c r="CJ102" i="42"/>
  <c r="CI102" i="42"/>
  <c r="CH102" i="42"/>
  <c r="CG102" i="42"/>
  <c r="CF102" i="42"/>
  <c r="CE102" i="42"/>
  <c r="CD102" i="42"/>
  <c r="CC102" i="42"/>
  <c r="CB102" i="42"/>
  <c r="BH105" i="41" s="1"/>
  <c r="CA102" i="42"/>
  <c r="DC101" i="42"/>
  <c r="DB101" i="42"/>
  <c r="DA101" i="42"/>
  <c r="CZ101" i="42"/>
  <c r="CY101" i="42"/>
  <c r="CX101" i="42"/>
  <c r="CW101" i="42"/>
  <c r="CV101" i="42"/>
  <c r="CU101" i="42"/>
  <c r="CT101" i="42"/>
  <c r="CS101" i="42"/>
  <c r="CR101" i="42"/>
  <c r="CQ101" i="42"/>
  <c r="CP101" i="42"/>
  <c r="CO101" i="42"/>
  <c r="CN101" i="42"/>
  <c r="CM101" i="42"/>
  <c r="CL101" i="42"/>
  <c r="CK101" i="42"/>
  <c r="CJ101" i="42"/>
  <c r="CI101" i="42"/>
  <c r="CH101" i="42"/>
  <c r="CG101" i="42"/>
  <c r="CF101" i="42"/>
  <c r="CE101" i="42"/>
  <c r="CD101" i="42"/>
  <c r="CC101" i="42"/>
  <c r="CB101" i="42"/>
  <c r="CA101" i="42"/>
  <c r="BO100" i="42"/>
  <c r="BC100" i="42"/>
  <c r="AQ100" i="42"/>
  <c r="AD100" i="42"/>
  <c r="N100" i="42"/>
  <c r="DC99" i="42"/>
  <c r="DB99" i="42"/>
  <c r="DA99" i="42"/>
  <c r="CZ99" i="42"/>
  <c r="CY99" i="42"/>
  <c r="CX99" i="42"/>
  <c r="CW99" i="42"/>
  <c r="CV99" i="42"/>
  <c r="CU99" i="42"/>
  <c r="CT99" i="42"/>
  <c r="CS99" i="42"/>
  <c r="CR99" i="42"/>
  <c r="CQ99" i="42"/>
  <c r="CP99" i="42"/>
  <c r="CO99" i="42"/>
  <c r="CN99" i="42"/>
  <c r="CM99" i="42"/>
  <c r="CL99" i="42"/>
  <c r="CK99" i="42"/>
  <c r="CJ99" i="42"/>
  <c r="CI99" i="42"/>
  <c r="CH99" i="42"/>
  <c r="CG99" i="42"/>
  <c r="CF99" i="42"/>
  <c r="CE99" i="42"/>
  <c r="CD99" i="42"/>
  <c r="CC99" i="42"/>
  <c r="CB99" i="42"/>
  <c r="CA99" i="42"/>
  <c r="DC98" i="42"/>
  <c r="DB98" i="42"/>
  <c r="DA98" i="42"/>
  <c r="CZ98" i="42"/>
  <c r="CY98" i="42"/>
  <c r="CX98" i="42"/>
  <c r="CW98" i="42"/>
  <c r="CV98" i="42"/>
  <c r="CU98" i="42"/>
  <c r="CT98" i="42"/>
  <c r="CS98" i="42"/>
  <c r="CR98" i="42"/>
  <c r="CQ98" i="42"/>
  <c r="CP98" i="42"/>
  <c r="CO98" i="42"/>
  <c r="CN98" i="42"/>
  <c r="CM98" i="42"/>
  <c r="CL98" i="42"/>
  <c r="CK98" i="42"/>
  <c r="CJ98" i="42"/>
  <c r="CI98" i="42"/>
  <c r="CH98" i="42"/>
  <c r="CG98" i="42"/>
  <c r="CF98" i="42"/>
  <c r="CE98" i="42"/>
  <c r="CD98" i="42"/>
  <c r="CC98" i="42"/>
  <c r="CB98" i="42"/>
  <c r="BH101" i="41" s="1"/>
  <c r="CA98" i="42"/>
  <c r="DC97" i="42"/>
  <c r="DB97" i="42"/>
  <c r="DA97" i="42"/>
  <c r="CZ97" i="42"/>
  <c r="CY97" i="42"/>
  <c r="CX97" i="42"/>
  <c r="CW97" i="42"/>
  <c r="CV97" i="42"/>
  <c r="CU97" i="42"/>
  <c r="CT97" i="42"/>
  <c r="CS97" i="42"/>
  <c r="CR97" i="42"/>
  <c r="CQ97" i="42"/>
  <c r="CP97" i="42"/>
  <c r="CO97" i="42"/>
  <c r="CN97" i="42"/>
  <c r="CM97" i="42"/>
  <c r="CL97" i="42"/>
  <c r="CK97" i="42"/>
  <c r="CJ97" i="42"/>
  <c r="CI97" i="42"/>
  <c r="CH97" i="42"/>
  <c r="CG97" i="42"/>
  <c r="CF97" i="42"/>
  <c r="CE97" i="42"/>
  <c r="CD97" i="42"/>
  <c r="CC97" i="42"/>
  <c r="CB97" i="42"/>
  <c r="CA97" i="42"/>
  <c r="DC96" i="42"/>
  <c r="CQ96" i="42"/>
  <c r="CE96" i="42"/>
  <c r="BS96" i="42"/>
  <c r="BS103" i="42" s="1"/>
  <c r="BJ106" i="41" s="1"/>
  <c r="BR96" i="42"/>
  <c r="BQ96" i="42"/>
  <c r="BQ100" i="42" s="1"/>
  <c r="BP96" i="42"/>
  <c r="BP100" i="42" s="1"/>
  <c r="BO96" i="42"/>
  <c r="BO109" i="42" s="1"/>
  <c r="BN96" i="42"/>
  <c r="BM96" i="42"/>
  <c r="BM100" i="42" s="1"/>
  <c r="BL96" i="42"/>
  <c r="BL103" i="42" s="1"/>
  <c r="BK96" i="42"/>
  <c r="BK100" i="42" s="1"/>
  <c r="BK103" i="42"/>
  <c r="BJ96" i="42"/>
  <c r="BI96" i="42"/>
  <c r="BI100" i="42" s="1"/>
  <c r="BH96" i="42"/>
  <c r="BH100" i="42" s="1"/>
  <c r="BG96" i="42"/>
  <c r="BG109" i="42" s="1"/>
  <c r="BF96" i="42"/>
  <c r="BE96" i="42"/>
  <c r="BE100" i="42" s="1"/>
  <c r="BD96" i="42"/>
  <c r="BD103" i="42" s="1"/>
  <c r="BC96" i="42"/>
  <c r="BC103" i="42"/>
  <c r="AD106" i="41" s="1"/>
  <c r="BB96" i="42"/>
  <c r="BA96" i="42"/>
  <c r="BA100" i="42"/>
  <c r="AZ96" i="42"/>
  <c r="AZ100" i="42" s="1"/>
  <c r="AY96" i="42"/>
  <c r="AY103" i="42" s="1"/>
  <c r="V106" i="41" s="1"/>
  <c r="AX96" i="42"/>
  <c r="AW96" i="42"/>
  <c r="AW100" i="42" s="1"/>
  <c r="AV96" i="42"/>
  <c r="AV100" i="42" s="1"/>
  <c r="P103" i="41" s="1"/>
  <c r="AU96" i="42"/>
  <c r="AU109" i="42" s="1"/>
  <c r="AT96" i="42"/>
  <c r="AS96" i="42"/>
  <c r="AS100" i="42" s="1"/>
  <c r="AR96" i="42"/>
  <c r="AR103" i="42" s="1"/>
  <c r="H106" i="41" s="1"/>
  <c r="AQ96" i="42"/>
  <c r="AQ103" i="42" s="1"/>
  <c r="AI96" i="42"/>
  <c r="AI109" i="42" s="1"/>
  <c r="AH96" i="42"/>
  <c r="AH109" i="42" s="1"/>
  <c r="AG96" i="42"/>
  <c r="AF96" i="42"/>
  <c r="AF103" i="42" s="1"/>
  <c r="AE96" i="42"/>
  <c r="AE103" i="42" s="1"/>
  <c r="AD96" i="42"/>
  <c r="AD103" i="42" s="1"/>
  <c r="AC96" i="42"/>
  <c r="AB96" i="42"/>
  <c r="AA96" i="42"/>
  <c r="AA100" i="42" s="1"/>
  <c r="Z96" i="42"/>
  <c r="CT96" i="42" s="1"/>
  <c r="Y96" i="42"/>
  <c r="X96" i="42"/>
  <c r="X103" i="42" s="1"/>
  <c r="W96" i="42"/>
  <c r="W103" i="42" s="1"/>
  <c r="V96" i="42"/>
  <c r="V100" i="42" s="1"/>
  <c r="U96" i="42"/>
  <c r="T96" i="42"/>
  <c r="S96" i="42"/>
  <c r="S109" i="42" s="1"/>
  <c r="R96" i="42"/>
  <c r="R109" i="42" s="1"/>
  <c r="Q96" i="42"/>
  <c r="P96" i="42"/>
  <c r="P103" i="42" s="1"/>
  <c r="O96" i="42"/>
  <c r="O100" i="42" s="1"/>
  <c r="N96" i="42"/>
  <c r="N103" i="42" s="1"/>
  <c r="M96" i="42"/>
  <c r="L96" i="42"/>
  <c r="K96" i="42"/>
  <c r="K103" i="42" s="1"/>
  <c r="J96" i="42"/>
  <c r="CD96" i="42" s="1"/>
  <c r="J103" i="42"/>
  <c r="K106" i="41" s="1"/>
  <c r="I96" i="42"/>
  <c r="H96" i="42"/>
  <c r="G96" i="42"/>
  <c r="G100" i="42" s="1"/>
  <c r="DC95" i="42"/>
  <c r="DB95" i="42"/>
  <c r="DA95" i="42"/>
  <c r="CZ95" i="42"/>
  <c r="CY95" i="42"/>
  <c r="CX95" i="42"/>
  <c r="CW95" i="42"/>
  <c r="CV95" i="42"/>
  <c r="CU95" i="42"/>
  <c r="CT95" i="42"/>
  <c r="CS95" i="42"/>
  <c r="CR95" i="42"/>
  <c r="CQ95" i="42"/>
  <c r="CP95" i="42"/>
  <c r="CO95" i="42"/>
  <c r="CN95" i="42"/>
  <c r="CM95" i="42"/>
  <c r="CL95" i="42"/>
  <c r="CK95" i="42"/>
  <c r="CJ95" i="42"/>
  <c r="CI95" i="42"/>
  <c r="CH95" i="42"/>
  <c r="CG95" i="42"/>
  <c r="CF95" i="42"/>
  <c r="CE95" i="42"/>
  <c r="CD95" i="42"/>
  <c r="CC95" i="42"/>
  <c r="CB95" i="42"/>
  <c r="BH98" i="41" s="1"/>
  <c r="CA95" i="42"/>
  <c r="DC94" i="42"/>
  <c r="DB94" i="42"/>
  <c r="DA94" i="42"/>
  <c r="CZ94" i="42"/>
  <c r="CY94" i="42"/>
  <c r="CX94" i="42"/>
  <c r="CW94" i="42"/>
  <c r="CV94" i="42"/>
  <c r="CU94" i="42"/>
  <c r="CT94" i="42"/>
  <c r="CS94" i="42"/>
  <c r="CR94" i="42"/>
  <c r="CQ94" i="42"/>
  <c r="CP94" i="42"/>
  <c r="CO94" i="42"/>
  <c r="CN94" i="42"/>
  <c r="CM94" i="42"/>
  <c r="CL94" i="42"/>
  <c r="CK94" i="42"/>
  <c r="CJ94" i="42"/>
  <c r="CI94" i="42"/>
  <c r="CH94" i="42"/>
  <c r="CG94" i="42"/>
  <c r="CF94" i="42"/>
  <c r="CE94" i="42"/>
  <c r="CD94" i="42"/>
  <c r="CC94" i="42"/>
  <c r="CB94" i="42"/>
  <c r="CA94" i="42"/>
  <c r="B93" i="42"/>
  <c r="AH92" i="42"/>
  <c r="AG92" i="42"/>
  <c r="AF92" i="42"/>
  <c r="AE92" i="42"/>
  <c r="AD92" i="42"/>
  <c r="AC92" i="42"/>
  <c r="AB92" i="42"/>
  <c r="AA92" i="42"/>
  <c r="Z92" i="42"/>
  <c r="Y92" i="42"/>
  <c r="DF90" i="42"/>
  <c r="DD90" i="42"/>
  <c r="DC90" i="42"/>
  <c r="DB90" i="42"/>
  <c r="DA90" i="42"/>
  <c r="CZ90" i="42"/>
  <c r="CY90" i="42"/>
  <c r="CX90" i="42"/>
  <c r="CW90" i="42"/>
  <c r="CV90" i="42"/>
  <c r="CU90" i="42"/>
  <c r="CT90" i="42"/>
  <c r="CS90" i="42"/>
  <c r="CR90" i="42"/>
  <c r="CQ90" i="42"/>
  <c r="CP90" i="42"/>
  <c r="CO90" i="42"/>
  <c r="CN90" i="42"/>
  <c r="CM90" i="42"/>
  <c r="CL90" i="42"/>
  <c r="CK90" i="42"/>
  <c r="CJ90" i="42"/>
  <c r="CI90" i="42"/>
  <c r="CH90" i="42"/>
  <c r="CG90" i="42"/>
  <c r="CF90" i="42"/>
  <c r="CE90" i="42"/>
  <c r="CD90" i="42"/>
  <c r="CC90" i="42"/>
  <c r="CB90" i="42"/>
  <c r="CA90" i="42"/>
  <c r="DF89" i="42"/>
  <c r="DD89" i="42"/>
  <c r="DC89" i="42"/>
  <c r="DB89" i="42"/>
  <c r="DA89" i="42"/>
  <c r="CZ89" i="42"/>
  <c r="CY89" i="42"/>
  <c r="CX89" i="42"/>
  <c r="CW89" i="42"/>
  <c r="CV89" i="42"/>
  <c r="CU89" i="42"/>
  <c r="CT89" i="42"/>
  <c r="CS89" i="42"/>
  <c r="CR89" i="42"/>
  <c r="CQ89" i="42"/>
  <c r="CP89" i="42"/>
  <c r="CO89" i="42"/>
  <c r="CN89" i="42"/>
  <c r="CM89" i="42"/>
  <c r="CL89" i="42"/>
  <c r="CK89" i="42"/>
  <c r="CJ89" i="42"/>
  <c r="CI89" i="42"/>
  <c r="CH89" i="42"/>
  <c r="CG89" i="42"/>
  <c r="CF89" i="42"/>
  <c r="CE89" i="42"/>
  <c r="CD89" i="42"/>
  <c r="CC89" i="42"/>
  <c r="CB89" i="42"/>
  <c r="BH91" i="41"/>
  <c r="CA89" i="42"/>
  <c r="CV87" i="42"/>
  <c r="CF87" i="42"/>
  <c r="BS87" i="42"/>
  <c r="BR87" i="42"/>
  <c r="BQ87" i="42"/>
  <c r="BQ88" i="42" s="1"/>
  <c r="BP87" i="42"/>
  <c r="BO87" i="42"/>
  <c r="BO88" i="42" s="1"/>
  <c r="BN87" i="42"/>
  <c r="BN88" i="42" s="1"/>
  <c r="BM87" i="42"/>
  <c r="BL87" i="42"/>
  <c r="BL88" i="42" s="1"/>
  <c r="AR90" i="41" s="1"/>
  <c r="BK87" i="42"/>
  <c r="BJ87" i="42"/>
  <c r="BI87" i="42"/>
  <c r="BI88" i="42" s="1"/>
  <c r="BH87" i="42"/>
  <c r="BH88" i="42" s="1"/>
  <c r="AN90" i="41" s="1"/>
  <c r="BG87" i="42"/>
  <c r="BF87" i="42"/>
  <c r="BF88" i="42" s="1"/>
  <c r="AJ90" i="41" s="1"/>
  <c r="BE87" i="42"/>
  <c r="BD87" i="42"/>
  <c r="BC87" i="42"/>
  <c r="BB87" i="42"/>
  <c r="BA87" i="42"/>
  <c r="BA88" i="42" s="1"/>
  <c r="AZ87" i="42"/>
  <c r="AZ88" i="42" s="1"/>
  <c r="X90" i="41" s="1"/>
  <c r="AY87" i="42"/>
  <c r="AX87" i="42"/>
  <c r="AX88" i="42" s="1"/>
  <c r="T90" i="41" s="1"/>
  <c r="AW87" i="42"/>
  <c r="AV87" i="42"/>
  <c r="AU87" i="42"/>
  <c r="AT87" i="42"/>
  <c r="AS87" i="42"/>
  <c r="AS88" i="42" s="1"/>
  <c r="AR87" i="42"/>
  <c r="AR88" i="42" s="1"/>
  <c r="H90" i="41" s="1"/>
  <c r="AQ87" i="42"/>
  <c r="AI87" i="42"/>
  <c r="AI88" i="42" s="1"/>
  <c r="AH87" i="42"/>
  <c r="AG87" i="42"/>
  <c r="AF87" i="42"/>
  <c r="AF88" i="42" s="1"/>
  <c r="AE87" i="42"/>
  <c r="CY87" i="42" s="1"/>
  <c r="AD87" i="42"/>
  <c r="AC87" i="42"/>
  <c r="AC88" i="42" s="1"/>
  <c r="AB87" i="42"/>
  <c r="AA87" i="42"/>
  <c r="Z87" i="42"/>
  <c r="Y87" i="42"/>
  <c r="X87" i="42"/>
  <c r="X88" i="42" s="1"/>
  <c r="W87" i="42"/>
  <c r="CQ87" i="42" s="1"/>
  <c r="V87" i="42"/>
  <c r="U87" i="42"/>
  <c r="T87" i="42"/>
  <c r="T88" i="42" s="1"/>
  <c r="S87" i="42"/>
  <c r="S88" i="42" s="1"/>
  <c r="R87" i="42"/>
  <c r="Q87" i="42"/>
  <c r="P87" i="42"/>
  <c r="P88" i="42" s="1"/>
  <c r="O87" i="42"/>
  <c r="N87" i="42"/>
  <c r="M87" i="42"/>
  <c r="L87" i="42"/>
  <c r="K87" i="42"/>
  <c r="J87" i="42"/>
  <c r="I87" i="42"/>
  <c r="H87" i="42"/>
  <c r="H88" i="42" s="1"/>
  <c r="G87" i="42"/>
  <c r="G88" i="42" s="1"/>
  <c r="DC86" i="42"/>
  <c r="DB86" i="42"/>
  <c r="DA86" i="42"/>
  <c r="CZ86" i="42"/>
  <c r="CY86" i="42"/>
  <c r="CX86" i="42"/>
  <c r="CW86" i="42"/>
  <c r="CV86" i="42"/>
  <c r="CU86" i="42"/>
  <c r="CT86" i="42"/>
  <c r="CS86" i="42"/>
  <c r="CR86" i="42"/>
  <c r="CQ86" i="42"/>
  <c r="CP86" i="42"/>
  <c r="CO86" i="42"/>
  <c r="CN86" i="42"/>
  <c r="CM86" i="42"/>
  <c r="CL86" i="42"/>
  <c r="CK86" i="42"/>
  <c r="CJ86" i="42"/>
  <c r="CI86" i="42"/>
  <c r="CH86" i="42"/>
  <c r="CG86" i="42"/>
  <c r="CF86" i="42"/>
  <c r="CE86" i="42"/>
  <c r="CD86" i="42"/>
  <c r="CC86" i="42"/>
  <c r="CB86" i="42"/>
  <c r="CA86" i="42"/>
  <c r="DC85" i="42"/>
  <c r="DB85" i="42"/>
  <c r="DA85" i="42"/>
  <c r="CZ85" i="42"/>
  <c r="CY85" i="42"/>
  <c r="CX85" i="42"/>
  <c r="CW85" i="42"/>
  <c r="CV85" i="42"/>
  <c r="CU85" i="42"/>
  <c r="CT85" i="42"/>
  <c r="CS85" i="42"/>
  <c r="CR85" i="42"/>
  <c r="CQ85" i="42"/>
  <c r="CP85" i="42"/>
  <c r="CO85" i="42"/>
  <c r="CN85" i="42"/>
  <c r="CM85" i="42"/>
  <c r="CL85" i="42"/>
  <c r="CK85" i="42"/>
  <c r="CJ85" i="42"/>
  <c r="CI85" i="42"/>
  <c r="CH85" i="42"/>
  <c r="CG85" i="42"/>
  <c r="CF85" i="42"/>
  <c r="CE85" i="42"/>
  <c r="CD85" i="42"/>
  <c r="CC85" i="42"/>
  <c r="CB85" i="42"/>
  <c r="BH87" i="41" s="1"/>
  <c r="CA85" i="42"/>
  <c r="BS84" i="42"/>
  <c r="BR84" i="42"/>
  <c r="AX86" i="41" s="1"/>
  <c r="BQ84" i="42"/>
  <c r="BP84" i="42"/>
  <c r="BO84" i="42"/>
  <c r="BN84" i="42"/>
  <c r="AT86" i="41" s="1"/>
  <c r="BM84" i="42"/>
  <c r="BL84" i="42"/>
  <c r="BK84" i="42"/>
  <c r="BJ84" i="42"/>
  <c r="AP86" i="41"/>
  <c r="BI84" i="42"/>
  <c r="BH84" i="42"/>
  <c r="BG84" i="42"/>
  <c r="BF84" i="42"/>
  <c r="AJ86" i="41" s="1"/>
  <c r="BE84" i="42"/>
  <c r="BD84" i="42"/>
  <c r="BC84" i="42"/>
  <c r="BB84" i="42"/>
  <c r="AB86" i="41"/>
  <c r="BA84" i="42"/>
  <c r="AZ84" i="42"/>
  <c r="AY84" i="42"/>
  <c r="AX84" i="42"/>
  <c r="T86" i="41" s="1"/>
  <c r="AW84" i="42"/>
  <c r="AV84" i="42"/>
  <c r="AU84" i="42"/>
  <c r="AT84" i="42"/>
  <c r="L86" i="41" s="1"/>
  <c r="AS84" i="42"/>
  <c r="CC84" i="42"/>
  <c r="AR84" i="42"/>
  <c r="AQ84" i="42"/>
  <c r="AI84" i="42"/>
  <c r="DC84" i="42"/>
  <c r="AH84" i="42"/>
  <c r="AG84" i="42"/>
  <c r="DA84" i="42" s="1"/>
  <c r="AF84" i="42"/>
  <c r="CZ84" i="42" s="1"/>
  <c r="AE84" i="42"/>
  <c r="CY84" i="42" s="1"/>
  <c r="AD84" i="42"/>
  <c r="AC84" i="42"/>
  <c r="CW84" i="42" s="1"/>
  <c r="AB84" i="42"/>
  <c r="CV84" i="42" s="1"/>
  <c r="AA84" i="42"/>
  <c r="Z84" i="42"/>
  <c r="Y84" i="42"/>
  <c r="CS84" i="42" s="1"/>
  <c r="X84" i="42"/>
  <c r="CR84" i="42" s="1"/>
  <c r="W84" i="42"/>
  <c r="CQ84" i="42" s="1"/>
  <c r="V84" i="42"/>
  <c r="U84" i="42"/>
  <c r="CO84" i="42" s="1"/>
  <c r="T84" i="42"/>
  <c r="CN84" i="42" s="1"/>
  <c r="S84" i="42"/>
  <c r="R84" i="42"/>
  <c r="Q84" i="42"/>
  <c r="CK84" i="42" s="1"/>
  <c r="P84" i="42"/>
  <c r="CJ84" i="42" s="1"/>
  <c r="O84" i="42"/>
  <c r="N84" i="42"/>
  <c r="M84" i="42"/>
  <c r="CG84" i="42" s="1"/>
  <c r="L84" i="42"/>
  <c r="CF84" i="42" s="1"/>
  <c r="K84" i="42"/>
  <c r="CE84" i="42" s="1"/>
  <c r="J84" i="42"/>
  <c r="I84" i="42"/>
  <c r="H84" i="42"/>
  <c r="CB84" i="42" s="1"/>
  <c r="G84" i="42"/>
  <c r="CA84" i="42"/>
  <c r="DC83" i="42"/>
  <c r="DB83" i="42"/>
  <c r="DA83" i="42"/>
  <c r="CZ83" i="42"/>
  <c r="CY83" i="42"/>
  <c r="CX83" i="42"/>
  <c r="CW83" i="42"/>
  <c r="CV83" i="42"/>
  <c r="CU83" i="42"/>
  <c r="CT83" i="42"/>
  <c r="CS83" i="42"/>
  <c r="CR83" i="42"/>
  <c r="CQ83" i="42"/>
  <c r="CP83" i="42"/>
  <c r="CO83" i="42"/>
  <c r="CN83" i="42"/>
  <c r="CM83" i="42"/>
  <c r="CL83" i="42"/>
  <c r="CK83" i="42"/>
  <c r="CJ83" i="42"/>
  <c r="CI83" i="42"/>
  <c r="CH83" i="42"/>
  <c r="CG83" i="42"/>
  <c r="CF83" i="42"/>
  <c r="CE83" i="42"/>
  <c r="CD83" i="42"/>
  <c r="CC83" i="42"/>
  <c r="CB83" i="42"/>
  <c r="BH85" i="41" s="1"/>
  <c r="CA83" i="42"/>
  <c r="BF82" i="42"/>
  <c r="AJ84" i="41" s="1"/>
  <c r="AS82" i="42"/>
  <c r="J84" i="41" s="1"/>
  <c r="AC82" i="42"/>
  <c r="M82" i="42"/>
  <c r="DC81" i="42"/>
  <c r="DB81" i="42"/>
  <c r="DA81" i="42"/>
  <c r="CZ81" i="42"/>
  <c r="CY81" i="42"/>
  <c r="CX81" i="42"/>
  <c r="CW81" i="42"/>
  <c r="CV81" i="42"/>
  <c r="CU81" i="42"/>
  <c r="CT81" i="42"/>
  <c r="CS81" i="42"/>
  <c r="CR81" i="42"/>
  <c r="CQ81" i="42"/>
  <c r="CP81" i="42"/>
  <c r="CO81" i="42"/>
  <c r="CN81" i="42"/>
  <c r="CM81" i="42"/>
  <c r="CL81" i="42"/>
  <c r="CK81" i="42"/>
  <c r="CJ81" i="42"/>
  <c r="CI81" i="42"/>
  <c r="CH81" i="42"/>
  <c r="CG81" i="42"/>
  <c r="CF81" i="42"/>
  <c r="CE81" i="42"/>
  <c r="CD81" i="42"/>
  <c r="CC81" i="42"/>
  <c r="CB81" i="42"/>
  <c r="CA81" i="42"/>
  <c r="DC80" i="42"/>
  <c r="DB80" i="42"/>
  <c r="DA80" i="42"/>
  <c r="CZ80" i="42"/>
  <c r="CY80" i="42"/>
  <c r="CX80" i="42"/>
  <c r="CW80" i="42"/>
  <c r="CV80" i="42"/>
  <c r="CU80" i="42"/>
  <c r="CT80" i="42"/>
  <c r="CS80" i="42"/>
  <c r="CR80" i="42"/>
  <c r="CQ80" i="42"/>
  <c r="CP80" i="42"/>
  <c r="CO80" i="42"/>
  <c r="CN80" i="42"/>
  <c r="CM80" i="42"/>
  <c r="CL80" i="42"/>
  <c r="CK80" i="42"/>
  <c r="CJ80" i="42"/>
  <c r="CI80" i="42"/>
  <c r="CH80" i="42"/>
  <c r="CG80" i="42"/>
  <c r="CF80" i="42"/>
  <c r="CE80" i="42"/>
  <c r="CD80" i="42"/>
  <c r="CC80" i="42"/>
  <c r="CB80" i="42"/>
  <c r="CA80" i="42"/>
  <c r="BM79" i="42"/>
  <c r="AW79" i="42"/>
  <c r="AI79" i="42"/>
  <c r="AB79" i="42"/>
  <c r="T79" i="42"/>
  <c r="O79" i="42"/>
  <c r="G79" i="42"/>
  <c r="DC78" i="42"/>
  <c r="DB78" i="42"/>
  <c r="DA78" i="42"/>
  <c r="CZ78" i="42"/>
  <c r="CY78" i="42"/>
  <c r="CX78" i="42"/>
  <c r="CW78" i="42"/>
  <c r="CV78" i="42"/>
  <c r="CU78" i="42"/>
  <c r="CT78" i="42"/>
  <c r="CS78" i="42"/>
  <c r="CR78" i="42"/>
  <c r="CQ78" i="42"/>
  <c r="CP78" i="42"/>
  <c r="CO78" i="42"/>
  <c r="CN78" i="42"/>
  <c r="CM78" i="42"/>
  <c r="CL78" i="42"/>
  <c r="CK78" i="42"/>
  <c r="CJ78" i="42"/>
  <c r="CI78" i="42"/>
  <c r="CH78" i="42"/>
  <c r="CG78" i="42"/>
  <c r="CF78" i="42"/>
  <c r="CE78" i="42"/>
  <c r="CD78" i="42"/>
  <c r="CC78" i="42"/>
  <c r="CB78" i="42"/>
  <c r="CA78" i="42"/>
  <c r="DC77" i="42"/>
  <c r="DB77" i="42"/>
  <c r="DA77" i="42"/>
  <c r="CZ77" i="42"/>
  <c r="CY77" i="42"/>
  <c r="CX77" i="42"/>
  <c r="CW77" i="42"/>
  <c r="CV77" i="42"/>
  <c r="CU77" i="42"/>
  <c r="CT77" i="42"/>
  <c r="CS77" i="42"/>
  <c r="CR77" i="42"/>
  <c r="CQ77" i="42"/>
  <c r="CP77" i="42"/>
  <c r="CO77" i="42"/>
  <c r="CN77" i="42"/>
  <c r="CM77" i="42"/>
  <c r="CL77" i="42"/>
  <c r="CK77" i="42"/>
  <c r="CJ77" i="42"/>
  <c r="CI77" i="42"/>
  <c r="CH77" i="42"/>
  <c r="CG77" i="42"/>
  <c r="CF77" i="42"/>
  <c r="CE77" i="42"/>
  <c r="CD77" i="42"/>
  <c r="CC77" i="42"/>
  <c r="CB77" i="42"/>
  <c r="CA77" i="42"/>
  <c r="DC76" i="42"/>
  <c r="DB76" i="42"/>
  <c r="DA76" i="42"/>
  <c r="CZ76" i="42"/>
  <c r="CY76" i="42"/>
  <c r="CX76" i="42"/>
  <c r="CW76" i="42"/>
  <c r="CV76" i="42"/>
  <c r="CU76" i="42"/>
  <c r="CT76" i="42"/>
  <c r="CS76" i="42"/>
  <c r="CR76" i="42"/>
  <c r="CQ76" i="42"/>
  <c r="CP76" i="42"/>
  <c r="CO76" i="42"/>
  <c r="CN76" i="42"/>
  <c r="CM76" i="42"/>
  <c r="CL76" i="42"/>
  <c r="CK76" i="42"/>
  <c r="CJ76" i="42"/>
  <c r="CI76" i="42"/>
  <c r="CH76" i="42"/>
  <c r="CG76" i="42"/>
  <c r="CF76" i="42"/>
  <c r="CE76" i="42"/>
  <c r="CD76" i="42"/>
  <c r="CC76" i="42"/>
  <c r="CB76" i="42"/>
  <c r="CA76" i="42"/>
  <c r="CE75" i="42"/>
  <c r="BS75" i="42"/>
  <c r="DC75" i="42" s="1"/>
  <c r="BR75" i="42"/>
  <c r="BR79" i="42" s="1"/>
  <c r="BQ75" i="42"/>
  <c r="BQ82" i="42" s="1"/>
  <c r="BP75" i="42"/>
  <c r="BP88" i="42" s="1"/>
  <c r="AV90" i="41" s="1"/>
  <c r="BO75" i="42"/>
  <c r="BN75" i="42"/>
  <c r="BN82" i="42" s="1"/>
  <c r="AT84" i="41" s="1"/>
  <c r="BM75" i="42"/>
  <c r="BM88" i="42" s="1"/>
  <c r="BL75" i="42"/>
  <c r="BL79" i="42" s="1"/>
  <c r="BL82" i="42"/>
  <c r="AR84" i="41" s="1"/>
  <c r="BK75" i="42"/>
  <c r="BJ75" i="42"/>
  <c r="BJ79" i="42"/>
  <c r="BI75" i="42"/>
  <c r="BI82" i="42" s="1"/>
  <c r="BH75" i="42"/>
  <c r="BH79" i="42" s="1"/>
  <c r="BG75" i="42"/>
  <c r="BF75" i="42"/>
  <c r="BF79" i="42" s="1"/>
  <c r="BE75" i="42"/>
  <c r="BE88" i="42" s="1"/>
  <c r="BD75" i="42"/>
  <c r="BD88" i="42" s="1"/>
  <c r="AF90" i="41" s="1"/>
  <c r="BC75" i="42"/>
  <c r="CM75" i="42" s="1"/>
  <c r="BB75" i="42"/>
  <c r="BB79" i="42" s="1"/>
  <c r="BA75" i="42"/>
  <c r="BA82" i="42" s="1"/>
  <c r="Z84" i="41" s="1"/>
  <c r="AZ75" i="42"/>
  <c r="AZ79" i="42" s="1"/>
  <c r="AY75" i="42"/>
  <c r="AX75" i="42"/>
  <c r="AX82" i="42" s="1"/>
  <c r="T84" i="41" s="1"/>
  <c r="AW75" i="42"/>
  <c r="AW82" i="42" s="1"/>
  <c r="AV75" i="42"/>
  <c r="AV88" i="42" s="1"/>
  <c r="P90" i="41" s="1"/>
  <c r="AV82" i="42"/>
  <c r="P84" i="41" s="1"/>
  <c r="AU75" i="42"/>
  <c r="AT75" i="42"/>
  <c r="AT79" i="42"/>
  <c r="AS75" i="42"/>
  <c r="AS79" i="42" s="1"/>
  <c r="AR75" i="42"/>
  <c r="AR79" i="42" s="1"/>
  <c r="AQ75" i="42"/>
  <c r="AI75" i="42"/>
  <c r="AI82" i="42" s="1"/>
  <c r="AH75" i="42"/>
  <c r="AG75" i="42"/>
  <c r="AG82" i="42" s="1"/>
  <c r="AF75" i="42"/>
  <c r="AF82" i="42" s="1"/>
  <c r="AE75" i="42"/>
  <c r="AE88" i="42" s="1"/>
  <c r="CY88" i="42" s="1"/>
  <c r="AE82" i="42"/>
  <c r="AD75" i="42"/>
  <c r="AC75" i="42"/>
  <c r="AB75" i="42"/>
  <c r="CV75" i="42" s="1"/>
  <c r="AA75" i="42"/>
  <c r="AA88" i="42" s="1"/>
  <c r="Z75" i="42"/>
  <c r="Y75" i="42"/>
  <c r="Y82" i="42" s="1"/>
  <c r="X75" i="42"/>
  <c r="X82" i="42" s="1"/>
  <c r="W75" i="42"/>
  <c r="W79" i="42" s="1"/>
  <c r="V75" i="42"/>
  <c r="U75" i="42"/>
  <c r="U82" i="42" s="1"/>
  <c r="T75" i="42"/>
  <c r="CN75" i="42" s="1"/>
  <c r="S75" i="42"/>
  <c r="S82" i="42" s="1"/>
  <c r="R75" i="42"/>
  <c r="Q75" i="42"/>
  <c r="Q82" i="42" s="1"/>
  <c r="P75" i="42"/>
  <c r="P82" i="42" s="1"/>
  <c r="O75" i="42"/>
  <c r="O88" i="42" s="1"/>
  <c r="O82" i="42"/>
  <c r="U84" i="41" s="1"/>
  <c r="N75" i="42"/>
  <c r="M75" i="42"/>
  <c r="L75" i="42"/>
  <c r="CF75" i="42" s="1"/>
  <c r="K75" i="42"/>
  <c r="K88" i="42" s="1"/>
  <c r="J75" i="42"/>
  <c r="I75" i="42"/>
  <c r="I82" i="42" s="1"/>
  <c r="H75" i="42"/>
  <c r="H82" i="42" s="1"/>
  <c r="G75" i="42"/>
  <c r="CA75" i="42" s="1"/>
  <c r="DC74" i="42"/>
  <c r="DB74" i="42"/>
  <c r="DA74" i="42"/>
  <c r="CZ74" i="42"/>
  <c r="CY74" i="42"/>
  <c r="CX74" i="42"/>
  <c r="CW74" i="42"/>
  <c r="CV74" i="42"/>
  <c r="CU74" i="42"/>
  <c r="CT74" i="42"/>
  <c r="CS74" i="42"/>
  <c r="CR74" i="42"/>
  <c r="CQ74" i="42"/>
  <c r="CP74" i="42"/>
  <c r="CO74" i="42"/>
  <c r="CN74" i="42"/>
  <c r="CM74" i="42"/>
  <c r="CL74" i="42"/>
  <c r="CK74" i="42"/>
  <c r="CJ74" i="42"/>
  <c r="CI74" i="42"/>
  <c r="CH74" i="42"/>
  <c r="CG74" i="42"/>
  <c r="CF74" i="42"/>
  <c r="CE74" i="42"/>
  <c r="CD74" i="42"/>
  <c r="CC74" i="42"/>
  <c r="CB74" i="42"/>
  <c r="CA74" i="42"/>
  <c r="DC73" i="42"/>
  <c r="DB73" i="42"/>
  <c r="DA73" i="42"/>
  <c r="CZ73" i="42"/>
  <c r="CY73" i="42"/>
  <c r="CX73" i="42"/>
  <c r="CW73" i="42"/>
  <c r="CV73" i="42"/>
  <c r="CU73" i="42"/>
  <c r="CT73" i="42"/>
  <c r="CS73" i="42"/>
  <c r="CR73" i="42"/>
  <c r="CQ73" i="42"/>
  <c r="CP73" i="42"/>
  <c r="CO73" i="42"/>
  <c r="CN73" i="42"/>
  <c r="CM73" i="42"/>
  <c r="CL73" i="42"/>
  <c r="CK73" i="42"/>
  <c r="CJ73" i="42"/>
  <c r="CI73" i="42"/>
  <c r="CH73" i="42"/>
  <c r="CG73" i="42"/>
  <c r="CF73" i="42"/>
  <c r="CE73" i="42"/>
  <c r="CD73" i="42"/>
  <c r="CC73" i="42"/>
  <c r="CB73" i="42"/>
  <c r="CA73" i="42"/>
  <c r="B72" i="42"/>
  <c r="AH71" i="42"/>
  <c r="AG71" i="42"/>
  <c r="AF71" i="42"/>
  <c r="AE71" i="42"/>
  <c r="AD71" i="42"/>
  <c r="AC71" i="42"/>
  <c r="AB71" i="42"/>
  <c r="AA71" i="42"/>
  <c r="Z71" i="42"/>
  <c r="Y71" i="42"/>
  <c r="DF69" i="42"/>
  <c r="DD69" i="42"/>
  <c r="DC69" i="42"/>
  <c r="DB69" i="42"/>
  <c r="DA69" i="42"/>
  <c r="CZ69" i="42"/>
  <c r="CY69" i="42"/>
  <c r="CX69" i="42"/>
  <c r="CW69" i="42"/>
  <c r="CV69" i="42"/>
  <c r="CU69" i="42"/>
  <c r="CT69" i="42"/>
  <c r="CS69" i="42"/>
  <c r="CR69" i="42"/>
  <c r="CQ69" i="42"/>
  <c r="CP69" i="42"/>
  <c r="CO69" i="42"/>
  <c r="CN69" i="42"/>
  <c r="CM69" i="42"/>
  <c r="CL69" i="42"/>
  <c r="CK69" i="42"/>
  <c r="CJ69" i="42"/>
  <c r="CI69" i="42"/>
  <c r="CH69" i="42"/>
  <c r="CG69" i="42"/>
  <c r="CF69" i="42"/>
  <c r="CE69" i="42"/>
  <c r="CD69" i="42"/>
  <c r="CC69" i="42"/>
  <c r="CB69" i="42"/>
  <c r="CA69" i="42"/>
  <c r="DF68" i="42"/>
  <c r="DD68" i="42"/>
  <c r="DC68" i="42"/>
  <c r="DB68" i="42"/>
  <c r="DA68" i="42"/>
  <c r="CZ68" i="42"/>
  <c r="CY68" i="42"/>
  <c r="CX68" i="42"/>
  <c r="CW68" i="42"/>
  <c r="CV68" i="42"/>
  <c r="CU68" i="42"/>
  <c r="CT68" i="42"/>
  <c r="CS68" i="42"/>
  <c r="CR68" i="42"/>
  <c r="CQ68" i="42"/>
  <c r="CP68" i="42"/>
  <c r="CO68" i="42"/>
  <c r="CN68" i="42"/>
  <c r="CM68" i="42"/>
  <c r="CL68" i="42"/>
  <c r="CK68" i="42"/>
  <c r="CJ68" i="42"/>
  <c r="CI68" i="42"/>
  <c r="CH68" i="42"/>
  <c r="CG68" i="42"/>
  <c r="CF68" i="42"/>
  <c r="CE68" i="42"/>
  <c r="CD68" i="42"/>
  <c r="CC68" i="42"/>
  <c r="CB68" i="42"/>
  <c r="CA68" i="42"/>
  <c r="DA66" i="42"/>
  <c r="CO66" i="42"/>
  <c r="CB66" i="42"/>
  <c r="BS66" i="42"/>
  <c r="BR66" i="42"/>
  <c r="BR67" i="42" s="1"/>
  <c r="AX68" i="41" s="1"/>
  <c r="BQ66" i="42"/>
  <c r="BP66" i="42"/>
  <c r="BO66" i="42"/>
  <c r="BN66" i="42"/>
  <c r="BN67" i="42" s="1"/>
  <c r="BM66" i="42"/>
  <c r="BM67" i="42" s="1"/>
  <c r="BL66" i="42"/>
  <c r="BK66" i="42"/>
  <c r="BJ66" i="42"/>
  <c r="BJ67" i="42" s="1"/>
  <c r="BI66" i="42"/>
  <c r="BI67" i="42" s="1"/>
  <c r="BH66" i="42"/>
  <c r="CR66" i="42"/>
  <c r="BG66" i="42"/>
  <c r="BG67" i="42" s="1"/>
  <c r="BF66" i="42"/>
  <c r="BE66" i="42"/>
  <c r="BD66" i="42"/>
  <c r="BC66" i="42"/>
  <c r="BB66" i="42"/>
  <c r="BB67" i="42" s="1"/>
  <c r="BA66" i="42"/>
  <c r="BA67" i="42" s="1"/>
  <c r="Z68" i="41" s="1"/>
  <c r="AZ66" i="42"/>
  <c r="AY66" i="42"/>
  <c r="AY67" i="42" s="1"/>
  <c r="AX66" i="42"/>
  <c r="AX67" i="42" s="1"/>
  <c r="AW66" i="42"/>
  <c r="AV66" i="42"/>
  <c r="AU66" i="42"/>
  <c r="AT66" i="42"/>
  <c r="AT67" i="42" s="1"/>
  <c r="AS66" i="42"/>
  <c r="AS67" i="42" s="1"/>
  <c r="AR66" i="42"/>
  <c r="AQ66" i="42"/>
  <c r="AI66" i="42"/>
  <c r="AH66" i="42"/>
  <c r="AG66" i="42"/>
  <c r="AG67" i="42" s="1"/>
  <c r="AF66" i="42"/>
  <c r="CZ66" i="42" s="1"/>
  <c r="AE66" i="42"/>
  <c r="AD66" i="42"/>
  <c r="AC66" i="42"/>
  <c r="AC67" i="42" s="1"/>
  <c r="AB66" i="42"/>
  <c r="AB67" i="42" s="1"/>
  <c r="AA66" i="42"/>
  <c r="Z66" i="42"/>
  <c r="Y66" i="42"/>
  <c r="Y67" i="42" s="1"/>
  <c r="X66" i="42"/>
  <c r="X67" i="42" s="1"/>
  <c r="W66" i="42"/>
  <c r="V66" i="42"/>
  <c r="U66" i="42"/>
  <c r="T66" i="42"/>
  <c r="S66" i="42"/>
  <c r="R66" i="42"/>
  <c r="Q66" i="42"/>
  <c r="Q67" i="42" s="1"/>
  <c r="P66" i="42"/>
  <c r="P67" i="42" s="1"/>
  <c r="O66" i="42"/>
  <c r="N66" i="42"/>
  <c r="M66" i="42"/>
  <c r="M67" i="42" s="1"/>
  <c r="L66" i="42"/>
  <c r="L67" i="42" s="1"/>
  <c r="K66" i="42"/>
  <c r="J66" i="42"/>
  <c r="I66" i="42"/>
  <c r="I67" i="42" s="1"/>
  <c r="H66" i="42"/>
  <c r="H67" i="42" s="1"/>
  <c r="G66" i="42"/>
  <c r="DC65" i="42"/>
  <c r="DB65" i="42"/>
  <c r="DA65" i="42"/>
  <c r="CZ65" i="42"/>
  <c r="CY65" i="42"/>
  <c r="CX65" i="42"/>
  <c r="CW65" i="42"/>
  <c r="CV65" i="42"/>
  <c r="CU65" i="42"/>
  <c r="CT65" i="42"/>
  <c r="CS65" i="42"/>
  <c r="CR65" i="42"/>
  <c r="CQ65" i="42"/>
  <c r="CP65" i="42"/>
  <c r="CO65" i="42"/>
  <c r="CN65" i="42"/>
  <c r="CM65" i="42"/>
  <c r="CL65" i="42"/>
  <c r="CK65" i="42"/>
  <c r="CJ65" i="42"/>
  <c r="CI65" i="42"/>
  <c r="CH65" i="42"/>
  <c r="CG65" i="42"/>
  <c r="CF65" i="42"/>
  <c r="CE65" i="42"/>
  <c r="CD65" i="42"/>
  <c r="CC65" i="42"/>
  <c r="CB65" i="42"/>
  <c r="CA65" i="42"/>
  <c r="DC64" i="42"/>
  <c r="DB64" i="42"/>
  <c r="DA64" i="42"/>
  <c r="CZ64" i="42"/>
  <c r="CY64" i="42"/>
  <c r="CX64" i="42"/>
  <c r="CW64" i="42"/>
  <c r="CV64" i="42"/>
  <c r="CU64" i="42"/>
  <c r="CT64" i="42"/>
  <c r="CS64" i="42"/>
  <c r="CR64" i="42"/>
  <c r="CQ64" i="42"/>
  <c r="CP64" i="42"/>
  <c r="CO64" i="42"/>
  <c r="CN64" i="42"/>
  <c r="CM64" i="42"/>
  <c r="CL64" i="42"/>
  <c r="CK64" i="42"/>
  <c r="CJ64" i="42"/>
  <c r="CI64" i="42"/>
  <c r="CH64" i="42"/>
  <c r="CG64" i="42"/>
  <c r="CF64" i="42"/>
  <c r="CE64" i="42"/>
  <c r="CD64" i="42"/>
  <c r="CC64" i="42"/>
  <c r="CB64" i="42"/>
  <c r="BH65" i="41" s="1"/>
  <c r="CA64" i="42"/>
  <c r="CO63" i="42"/>
  <c r="BS63" i="42"/>
  <c r="BJ64" i="41" s="1"/>
  <c r="BR63" i="42"/>
  <c r="BQ63" i="42"/>
  <c r="DA63" i="42" s="1"/>
  <c r="BP63" i="42"/>
  <c r="BO63" i="42"/>
  <c r="BN63" i="42"/>
  <c r="BM63" i="42"/>
  <c r="BL63" i="42"/>
  <c r="BK63" i="42"/>
  <c r="BJ63" i="42"/>
  <c r="CT63" i="42"/>
  <c r="BI63" i="42"/>
  <c r="BH63" i="42"/>
  <c r="BG63" i="42"/>
  <c r="AL64" i="41"/>
  <c r="BF63" i="42"/>
  <c r="BE63" i="42"/>
  <c r="BD63" i="42"/>
  <c r="BC63" i="42"/>
  <c r="AD64" i="41" s="1"/>
  <c r="BB63" i="42"/>
  <c r="CL63" i="42"/>
  <c r="BA63" i="42"/>
  <c r="AZ63" i="42"/>
  <c r="AY63" i="42"/>
  <c r="V64" i="41"/>
  <c r="AX63" i="42"/>
  <c r="AW63" i="42"/>
  <c r="AV63" i="42"/>
  <c r="AU63" i="42"/>
  <c r="N64" i="41" s="1"/>
  <c r="AT63" i="42"/>
  <c r="CD63" i="42"/>
  <c r="AS63" i="42"/>
  <c r="AR63" i="42"/>
  <c r="AQ63" i="42"/>
  <c r="F64" i="41"/>
  <c r="AI63" i="42"/>
  <c r="AH63" i="42"/>
  <c r="DB63" i="42" s="1"/>
  <c r="AG63" i="42"/>
  <c r="AF63" i="42"/>
  <c r="AE63" i="42"/>
  <c r="AD63" i="42"/>
  <c r="CX63" i="42" s="1"/>
  <c r="AC63" i="42"/>
  <c r="CW63" i="42" s="1"/>
  <c r="AB63" i="42"/>
  <c r="AA63" i="42"/>
  <c r="Z63" i="42"/>
  <c r="Y63" i="42"/>
  <c r="CS63" i="42" s="1"/>
  <c r="X63" i="42"/>
  <c r="W63" i="42"/>
  <c r="V63" i="42"/>
  <c r="CP63" i="42" s="1"/>
  <c r="U63" i="42"/>
  <c r="T63" i="42"/>
  <c r="S63" i="42"/>
  <c r="R63" i="42"/>
  <c r="Q63" i="42"/>
  <c r="CK63" i="42" s="1"/>
  <c r="P63" i="42"/>
  <c r="O63" i="42"/>
  <c r="N63" i="42"/>
  <c r="CH63" i="42" s="1"/>
  <c r="M63" i="42"/>
  <c r="CG63" i="42" s="1"/>
  <c r="L63" i="42"/>
  <c r="K63" i="42"/>
  <c r="J63" i="42"/>
  <c r="I63" i="42"/>
  <c r="CC63" i="42" s="1"/>
  <c r="H63" i="42"/>
  <c r="G63" i="42"/>
  <c r="DC62" i="42"/>
  <c r="DB62" i="42"/>
  <c r="DA62" i="42"/>
  <c r="CZ62" i="42"/>
  <c r="CY62" i="42"/>
  <c r="CX62" i="42"/>
  <c r="CW62" i="42"/>
  <c r="CV62" i="42"/>
  <c r="CU62" i="42"/>
  <c r="CT62" i="42"/>
  <c r="CS62" i="42"/>
  <c r="CR62" i="42"/>
  <c r="CQ62" i="42"/>
  <c r="CP62" i="42"/>
  <c r="CO62" i="42"/>
  <c r="CN62" i="42"/>
  <c r="CM62" i="42"/>
  <c r="CL62" i="42"/>
  <c r="CK62" i="42"/>
  <c r="CJ62" i="42"/>
  <c r="CI62" i="42"/>
  <c r="CH62" i="42"/>
  <c r="CG62" i="42"/>
  <c r="CF62" i="42"/>
  <c r="CE62" i="42"/>
  <c r="CD62" i="42"/>
  <c r="CC62" i="42"/>
  <c r="CB62" i="42"/>
  <c r="CA62" i="42"/>
  <c r="BF61" i="42"/>
  <c r="AD61" i="42"/>
  <c r="V61" i="42"/>
  <c r="CP61" i="42" s="1"/>
  <c r="N61" i="42"/>
  <c r="CH61" i="42" s="1"/>
  <c r="DC60" i="42"/>
  <c r="DB60" i="42"/>
  <c r="DA60" i="42"/>
  <c r="CZ60" i="42"/>
  <c r="CY60" i="42"/>
  <c r="CX60" i="42"/>
  <c r="CW60" i="42"/>
  <c r="CV60" i="42"/>
  <c r="CU60" i="42"/>
  <c r="CT60" i="42"/>
  <c r="CS60" i="42"/>
  <c r="CR60" i="42"/>
  <c r="CQ60" i="42"/>
  <c r="CP60" i="42"/>
  <c r="CO60" i="42"/>
  <c r="CN60" i="42"/>
  <c r="CM60" i="42"/>
  <c r="CL60" i="42"/>
  <c r="CK60" i="42"/>
  <c r="CJ60" i="42"/>
  <c r="CI60" i="42"/>
  <c r="CH60" i="42"/>
  <c r="CG60" i="42"/>
  <c r="CF60" i="42"/>
  <c r="CE60" i="42"/>
  <c r="CD60" i="42"/>
  <c r="CC60" i="42"/>
  <c r="CB60" i="42"/>
  <c r="CA60" i="42"/>
  <c r="DC59" i="42"/>
  <c r="DB59" i="42"/>
  <c r="DA59" i="42"/>
  <c r="CZ59" i="42"/>
  <c r="CY59" i="42"/>
  <c r="CX59" i="42"/>
  <c r="CW59" i="42"/>
  <c r="CV59" i="42"/>
  <c r="CU59" i="42"/>
  <c r="CT59" i="42"/>
  <c r="CS59" i="42"/>
  <c r="CR59" i="42"/>
  <c r="CQ59" i="42"/>
  <c r="CP59" i="42"/>
  <c r="CO59" i="42"/>
  <c r="CN59" i="42"/>
  <c r="CM59" i="42"/>
  <c r="CL59" i="42"/>
  <c r="CK59" i="42"/>
  <c r="CJ59" i="42"/>
  <c r="CI59" i="42"/>
  <c r="CH59" i="42"/>
  <c r="CG59" i="42"/>
  <c r="CF59" i="42"/>
  <c r="CE59" i="42"/>
  <c r="CD59" i="42"/>
  <c r="CC59" i="42"/>
  <c r="CB59" i="42"/>
  <c r="CA59" i="42"/>
  <c r="BN58" i="42"/>
  <c r="BF58" i="42"/>
  <c r="AJ59" i="41" s="1"/>
  <c r="BA58" i="42"/>
  <c r="Z59" i="41" s="1"/>
  <c r="AW58" i="42"/>
  <c r="AG58" i="42"/>
  <c r="Y58" i="42"/>
  <c r="Q58" i="42"/>
  <c r="I58" i="42"/>
  <c r="DC57" i="42"/>
  <c r="DB57" i="42"/>
  <c r="DA57" i="42"/>
  <c r="CZ57" i="42"/>
  <c r="CY57" i="42"/>
  <c r="CX57" i="42"/>
  <c r="CW57" i="42"/>
  <c r="CV57" i="42"/>
  <c r="CU57" i="42"/>
  <c r="CT57" i="42"/>
  <c r="CS57" i="42"/>
  <c r="CR57" i="42"/>
  <c r="CQ57" i="42"/>
  <c r="CP57" i="42"/>
  <c r="CO57" i="42"/>
  <c r="CN57" i="42"/>
  <c r="CM57" i="42"/>
  <c r="CL57" i="42"/>
  <c r="CK57" i="42"/>
  <c r="CJ57" i="42"/>
  <c r="CI57" i="42"/>
  <c r="CH57" i="42"/>
  <c r="CG57" i="42"/>
  <c r="CF57" i="42"/>
  <c r="CE57" i="42"/>
  <c r="CD57" i="42"/>
  <c r="CC57" i="42"/>
  <c r="CB57" i="42"/>
  <c r="BH58" i="41" s="1"/>
  <c r="CA57" i="42"/>
  <c r="DC56" i="42"/>
  <c r="DB56" i="42"/>
  <c r="DA56" i="42"/>
  <c r="CZ56" i="42"/>
  <c r="CY56" i="42"/>
  <c r="CX56" i="42"/>
  <c r="CW56" i="42"/>
  <c r="CV56" i="42"/>
  <c r="CU56" i="42"/>
  <c r="CT56" i="42"/>
  <c r="CS56" i="42"/>
  <c r="CR56" i="42"/>
  <c r="CQ56" i="42"/>
  <c r="CP56" i="42"/>
  <c r="CO56" i="42"/>
  <c r="CN56" i="42"/>
  <c r="CM56" i="42"/>
  <c r="CL56" i="42"/>
  <c r="CK56" i="42"/>
  <c r="CJ56" i="42"/>
  <c r="CI56" i="42"/>
  <c r="CH56" i="42"/>
  <c r="CG56" i="42"/>
  <c r="CF56" i="42"/>
  <c r="CE56" i="42"/>
  <c r="CD56" i="42"/>
  <c r="CC56" i="42"/>
  <c r="CB56" i="42"/>
  <c r="CA56" i="42"/>
  <c r="DC55" i="42"/>
  <c r="DB55" i="42"/>
  <c r="DA55" i="42"/>
  <c r="CZ55" i="42"/>
  <c r="CY55" i="42"/>
  <c r="CX55" i="42"/>
  <c r="CW55" i="42"/>
  <c r="CV55" i="42"/>
  <c r="CU55" i="42"/>
  <c r="CT55" i="42"/>
  <c r="CS55" i="42"/>
  <c r="CR55" i="42"/>
  <c r="CQ55" i="42"/>
  <c r="CP55" i="42"/>
  <c r="CO55" i="42"/>
  <c r="CN55" i="42"/>
  <c r="CM55" i="42"/>
  <c r="CL55" i="42"/>
  <c r="CK55" i="42"/>
  <c r="CJ55" i="42"/>
  <c r="CI55" i="42"/>
  <c r="CH55" i="42"/>
  <c r="CG55" i="42"/>
  <c r="CF55" i="42"/>
  <c r="CE55" i="42"/>
  <c r="CD55" i="42"/>
  <c r="CC55" i="42"/>
  <c r="CB55" i="42"/>
  <c r="CA55" i="42"/>
  <c r="CG54" i="42"/>
  <c r="BS54" i="42"/>
  <c r="BR54" i="42"/>
  <c r="BR61" i="42" s="1"/>
  <c r="BQ54" i="42"/>
  <c r="BQ58" i="42" s="1"/>
  <c r="BP54" i="42"/>
  <c r="BO54" i="42"/>
  <c r="BO61" i="42" s="1"/>
  <c r="BN54" i="42"/>
  <c r="BN61" i="42" s="1"/>
  <c r="BM54" i="42"/>
  <c r="BM58" i="42" s="1"/>
  <c r="BM61" i="42"/>
  <c r="BL54" i="42"/>
  <c r="BK54" i="42"/>
  <c r="BJ54" i="42"/>
  <c r="BJ61" i="42" s="1"/>
  <c r="BI54" i="42"/>
  <c r="BI58" i="42" s="1"/>
  <c r="BH54" i="42"/>
  <c r="BG54" i="42"/>
  <c r="BG61" i="42" s="1"/>
  <c r="BG58" i="42"/>
  <c r="BF54" i="42"/>
  <c r="BF67" i="42" s="1"/>
  <c r="BE54" i="42"/>
  <c r="BE61" i="42" s="1"/>
  <c r="BD54" i="42"/>
  <c r="BC54" i="42"/>
  <c r="BB54" i="42"/>
  <c r="BB58" i="42" s="1"/>
  <c r="BA54" i="42"/>
  <c r="BA61" i="42"/>
  <c r="AZ54" i="42"/>
  <c r="AY54" i="42"/>
  <c r="AY58" i="42" s="1"/>
  <c r="AX54" i="42"/>
  <c r="AX61" i="42" s="1"/>
  <c r="AW54" i="42"/>
  <c r="AW67" i="42" s="1"/>
  <c r="R68" i="41" s="1"/>
  <c r="AV54" i="42"/>
  <c r="AU54" i="42"/>
  <c r="AT54" i="42"/>
  <c r="AT61" i="42" s="1"/>
  <c r="L62" i="41" s="1"/>
  <c r="AS54" i="42"/>
  <c r="AS61" i="42" s="1"/>
  <c r="AR54" i="42"/>
  <c r="AQ54" i="42"/>
  <c r="AQ61" i="42" s="1"/>
  <c r="AI54" i="42"/>
  <c r="AH54" i="42"/>
  <c r="AG54" i="42"/>
  <c r="AG61" i="42" s="1"/>
  <c r="AF54" i="42"/>
  <c r="AF61" i="42" s="1"/>
  <c r="AE54" i="42"/>
  <c r="AD54" i="42"/>
  <c r="AC54" i="42"/>
  <c r="CW54" i="42" s="1"/>
  <c r="AB54" i="42"/>
  <c r="AB58" i="42" s="1"/>
  <c r="AB61" i="42"/>
  <c r="AA54" i="42"/>
  <c r="Z54" i="42"/>
  <c r="Y54" i="42"/>
  <c r="Y61" i="42" s="1"/>
  <c r="X54" i="42"/>
  <c r="X58" i="42" s="1"/>
  <c r="W54" i="42"/>
  <c r="V54" i="42"/>
  <c r="U54" i="42"/>
  <c r="U67" i="42" s="1"/>
  <c r="T54" i="42"/>
  <c r="T58" i="42" s="1"/>
  <c r="S54" i="42"/>
  <c r="R54" i="42"/>
  <c r="Q54" i="42"/>
  <c r="Q61" i="42" s="1"/>
  <c r="P54" i="42"/>
  <c r="P61" i="42" s="1"/>
  <c r="O54" i="42"/>
  <c r="N54" i="42"/>
  <c r="M54" i="42"/>
  <c r="M61" i="42" s="1"/>
  <c r="L54" i="42"/>
  <c r="L58" i="42" s="1"/>
  <c r="L61" i="42"/>
  <c r="K54" i="42"/>
  <c r="J54" i="42"/>
  <c r="I54" i="42"/>
  <c r="I61" i="42" s="1"/>
  <c r="H54" i="42"/>
  <c r="H58" i="42" s="1"/>
  <c r="G54" i="42"/>
  <c r="DC53" i="42"/>
  <c r="DB53" i="42"/>
  <c r="DA53" i="42"/>
  <c r="CZ53" i="42"/>
  <c r="CY53" i="42"/>
  <c r="CX53" i="42"/>
  <c r="CW53" i="42"/>
  <c r="CV53" i="42"/>
  <c r="CU53" i="42"/>
  <c r="CT53" i="42"/>
  <c r="CS53" i="42"/>
  <c r="CR53" i="42"/>
  <c r="CQ53" i="42"/>
  <c r="CP53" i="42"/>
  <c r="CO53" i="42"/>
  <c r="CN53" i="42"/>
  <c r="CM53" i="42"/>
  <c r="CL53" i="42"/>
  <c r="CK53" i="42"/>
  <c r="CJ53" i="42"/>
  <c r="CI53" i="42"/>
  <c r="CH53" i="42"/>
  <c r="CG53" i="42"/>
  <c r="CF53" i="42"/>
  <c r="CE53" i="42"/>
  <c r="CD53" i="42"/>
  <c r="CC53" i="42"/>
  <c r="CB53" i="42"/>
  <c r="CA53" i="42"/>
  <c r="DC52" i="42"/>
  <c r="DB52" i="42"/>
  <c r="DA52" i="42"/>
  <c r="CZ52" i="42"/>
  <c r="CY52" i="42"/>
  <c r="CX52" i="42"/>
  <c r="CW52" i="42"/>
  <c r="CV52" i="42"/>
  <c r="CU52" i="42"/>
  <c r="CT52" i="42"/>
  <c r="CS52" i="42"/>
  <c r="CR52" i="42"/>
  <c r="CQ52" i="42"/>
  <c r="CP52" i="42"/>
  <c r="CO52" i="42"/>
  <c r="CN52" i="42"/>
  <c r="CM52" i="42"/>
  <c r="CL52" i="42"/>
  <c r="CK52" i="42"/>
  <c r="CJ52" i="42"/>
  <c r="CI52" i="42"/>
  <c r="CH52" i="42"/>
  <c r="CG52" i="42"/>
  <c r="CF52" i="42"/>
  <c r="CE52" i="42"/>
  <c r="CD52" i="42"/>
  <c r="CC52" i="42"/>
  <c r="CB52" i="42"/>
  <c r="CA52" i="42"/>
  <c r="B51" i="42"/>
  <c r="AH50" i="42"/>
  <c r="AG50" i="42"/>
  <c r="AF50" i="42"/>
  <c r="AE50" i="42"/>
  <c r="AD50" i="42"/>
  <c r="AC50" i="42"/>
  <c r="AB50" i="42"/>
  <c r="AA50" i="42"/>
  <c r="Z50" i="42"/>
  <c r="Y50" i="42"/>
  <c r="DF48" i="42"/>
  <c r="DD48" i="42"/>
  <c r="DC48" i="42"/>
  <c r="DB48" i="42"/>
  <c r="DA48" i="42"/>
  <c r="CZ48" i="42"/>
  <c r="CY48" i="42"/>
  <c r="CX48" i="42"/>
  <c r="CW48" i="42"/>
  <c r="CV48" i="42"/>
  <c r="CU48" i="42"/>
  <c r="CT48" i="42"/>
  <c r="CS48" i="42"/>
  <c r="CR48" i="42"/>
  <c r="CQ48" i="42"/>
  <c r="CP48" i="42"/>
  <c r="CO48" i="42"/>
  <c r="CN48" i="42"/>
  <c r="CM48" i="42"/>
  <c r="CL48" i="42"/>
  <c r="CK48" i="42"/>
  <c r="CJ48" i="42"/>
  <c r="CI48" i="42"/>
  <c r="CH48" i="42"/>
  <c r="CG48" i="42"/>
  <c r="CF48" i="42"/>
  <c r="CE48" i="42"/>
  <c r="CD48" i="42"/>
  <c r="CC48" i="42"/>
  <c r="CB48" i="42"/>
  <c r="CA48" i="42"/>
  <c r="DF47" i="42"/>
  <c r="DD47" i="42"/>
  <c r="DC47" i="42"/>
  <c r="DB47" i="42"/>
  <c r="DA47" i="42"/>
  <c r="CZ47" i="42"/>
  <c r="CY47" i="42"/>
  <c r="CX47" i="42"/>
  <c r="CW47" i="42"/>
  <c r="CV47" i="42"/>
  <c r="CU47" i="42"/>
  <c r="CT47" i="42"/>
  <c r="CS47" i="42"/>
  <c r="CR47" i="42"/>
  <c r="CQ47" i="42"/>
  <c r="CP47" i="42"/>
  <c r="CO47" i="42"/>
  <c r="CN47" i="42"/>
  <c r="CM47" i="42"/>
  <c r="CL47" i="42"/>
  <c r="CK47" i="42"/>
  <c r="CJ47" i="42"/>
  <c r="CI47" i="42"/>
  <c r="CH47" i="42"/>
  <c r="CG47" i="42"/>
  <c r="CF47" i="42"/>
  <c r="CE47" i="42"/>
  <c r="CD47" i="42"/>
  <c r="CC47" i="42"/>
  <c r="CB47" i="42"/>
  <c r="CA47" i="42"/>
  <c r="CT45" i="42"/>
  <c r="BS45" i="42"/>
  <c r="BR45" i="42"/>
  <c r="BQ45" i="42"/>
  <c r="BP45" i="42"/>
  <c r="BO45" i="42"/>
  <c r="BN45" i="42"/>
  <c r="BM45" i="42"/>
  <c r="BL45" i="42"/>
  <c r="BK45" i="42"/>
  <c r="BJ45" i="42"/>
  <c r="BI45" i="42"/>
  <c r="BH45" i="42"/>
  <c r="BG45" i="42"/>
  <c r="BF45" i="42"/>
  <c r="BE45" i="42"/>
  <c r="BD45" i="42"/>
  <c r="BC45" i="42"/>
  <c r="BB45" i="42"/>
  <c r="BA45" i="42"/>
  <c r="AZ45" i="42"/>
  <c r="AY45" i="42"/>
  <c r="AX45" i="42"/>
  <c r="AW45" i="42"/>
  <c r="AV45" i="42"/>
  <c r="AU45" i="42"/>
  <c r="AT45" i="42"/>
  <c r="AS45" i="42"/>
  <c r="AR45" i="42"/>
  <c r="AQ45" i="42"/>
  <c r="AI45" i="42"/>
  <c r="AH45" i="42"/>
  <c r="DB45" i="42" s="1"/>
  <c r="AG45" i="42"/>
  <c r="AF45" i="42"/>
  <c r="AE45" i="42"/>
  <c r="CY45" i="42" s="1"/>
  <c r="AD45" i="42"/>
  <c r="CX45" i="42" s="1"/>
  <c r="AC45" i="42"/>
  <c r="CW45" i="42" s="1"/>
  <c r="AB45" i="42"/>
  <c r="AA45" i="42"/>
  <c r="Z45" i="42"/>
  <c r="Y45" i="42"/>
  <c r="X45" i="42"/>
  <c r="W45" i="42"/>
  <c r="CQ45" i="42" s="1"/>
  <c r="V45" i="42"/>
  <c r="CP45" i="42" s="1"/>
  <c r="U45" i="42"/>
  <c r="T45" i="42"/>
  <c r="S45" i="42"/>
  <c r="R45" i="42"/>
  <c r="Q45" i="42"/>
  <c r="P45" i="42"/>
  <c r="O45" i="42"/>
  <c r="CI45" i="42" s="1"/>
  <c r="N45" i="42"/>
  <c r="CH45" i="42" s="1"/>
  <c r="M45" i="42"/>
  <c r="CG45" i="42" s="1"/>
  <c r="L45" i="42"/>
  <c r="K45" i="42"/>
  <c r="J45" i="42"/>
  <c r="I45" i="42"/>
  <c r="H45" i="42"/>
  <c r="G45" i="42"/>
  <c r="CA45" i="42"/>
  <c r="DC44" i="42"/>
  <c r="DB44" i="42"/>
  <c r="DA44" i="42"/>
  <c r="CZ44" i="42"/>
  <c r="CY44" i="42"/>
  <c r="CX44" i="42"/>
  <c r="CW44" i="42"/>
  <c r="CV44" i="42"/>
  <c r="CU44" i="42"/>
  <c r="CT44" i="42"/>
  <c r="CS44" i="42"/>
  <c r="CR44" i="42"/>
  <c r="CQ44" i="42"/>
  <c r="CP44" i="42"/>
  <c r="CO44" i="42"/>
  <c r="CN44" i="42"/>
  <c r="CM44" i="42"/>
  <c r="CL44" i="42"/>
  <c r="CK44" i="42"/>
  <c r="CJ44" i="42"/>
  <c r="CI44" i="42"/>
  <c r="CH44" i="42"/>
  <c r="CG44" i="42"/>
  <c r="CF44" i="42"/>
  <c r="CE44" i="42"/>
  <c r="CD44" i="42"/>
  <c r="CC44" i="42"/>
  <c r="CB44" i="42"/>
  <c r="CA44" i="42"/>
  <c r="DC43" i="42"/>
  <c r="DB43" i="42"/>
  <c r="DA43" i="42"/>
  <c r="CZ43" i="42"/>
  <c r="CY43" i="42"/>
  <c r="CX43" i="42"/>
  <c r="CW43" i="42"/>
  <c r="CV43" i="42"/>
  <c r="CU43" i="42"/>
  <c r="CT43" i="42"/>
  <c r="CS43" i="42"/>
  <c r="CR43" i="42"/>
  <c r="CQ43" i="42"/>
  <c r="CP43" i="42"/>
  <c r="CO43" i="42"/>
  <c r="CN43" i="42"/>
  <c r="CM43" i="42"/>
  <c r="CL43" i="42"/>
  <c r="CK43" i="42"/>
  <c r="CJ43" i="42"/>
  <c r="CI43" i="42"/>
  <c r="CH43" i="42"/>
  <c r="CG43" i="42"/>
  <c r="CF43" i="42"/>
  <c r="CE43" i="42"/>
  <c r="CD43" i="42"/>
  <c r="CC43" i="42"/>
  <c r="CB43" i="42"/>
  <c r="CA43" i="42"/>
  <c r="CY42" i="42"/>
  <c r="CM42" i="42"/>
  <c r="CB42" i="42"/>
  <c r="BH42" i="41" s="1"/>
  <c r="BS42" i="42"/>
  <c r="BR42" i="42"/>
  <c r="BQ42" i="42"/>
  <c r="BP42" i="42"/>
  <c r="BO42" i="42"/>
  <c r="BN42" i="42"/>
  <c r="CX42" i="42" s="1"/>
  <c r="BM42" i="42"/>
  <c r="BL42" i="42"/>
  <c r="BK42" i="42"/>
  <c r="CU42" i="42"/>
  <c r="BJ42" i="42"/>
  <c r="BI42" i="42"/>
  <c r="BH42" i="42"/>
  <c r="CR42" i="42"/>
  <c r="BG42" i="42"/>
  <c r="BF42" i="42"/>
  <c r="BE42" i="42"/>
  <c r="BD42" i="42"/>
  <c r="CN42" i="42" s="1"/>
  <c r="BC42" i="42"/>
  <c r="BB42" i="42"/>
  <c r="BA42" i="42"/>
  <c r="AZ42" i="42"/>
  <c r="AY42" i="42"/>
  <c r="AX42" i="42"/>
  <c r="AW42" i="42"/>
  <c r="AV42" i="42"/>
  <c r="AU42" i="42"/>
  <c r="AT42" i="42"/>
  <c r="AS42" i="42"/>
  <c r="AR42" i="42"/>
  <c r="AQ42" i="42"/>
  <c r="AI42" i="42"/>
  <c r="DC42" i="42" s="1"/>
  <c r="AH42" i="42"/>
  <c r="DB42" i="42" s="1"/>
  <c r="AG42" i="42"/>
  <c r="AF42" i="42"/>
  <c r="AE42" i="42"/>
  <c r="AD42" i="42"/>
  <c r="AC42" i="42"/>
  <c r="AB42" i="42"/>
  <c r="CV42" i="42" s="1"/>
  <c r="AA42" i="42"/>
  <c r="Z42" i="42"/>
  <c r="CT42" i="42" s="1"/>
  <c r="Y42" i="42"/>
  <c r="X42" i="42"/>
  <c r="W42" i="42"/>
  <c r="CQ42" i="42" s="1"/>
  <c r="V42" i="42"/>
  <c r="CP42" i="42"/>
  <c r="U42" i="42"/>
  <c r="T42" i="42"/>
  <c r="S42" i="42"/>
  <c r="R42" i="42"/>
  <c r="CL42" i="42" s="1"/>
  <c r="Q42" i="42"/>
  <c r="P42" i="42"/>
  <c r="O42" i="42"/>
  <c r="CI42" i="42" s="1"/>
  <c r="N42" i="42"/>
  <c r="M42" i="42"/>
  <c r="L42" i="42"/>
  <c r="CF42" i="42" s="1"/>
  <c r="K42" i="42"/>
  <c r="CE42" i="42" s="1"/>
  <c r="J42" i="42"/>
  <c r="I42" i="42"/>
  <c r="H42" i="42"/>
  <c r="G42" i="42"/>
  <c r="CA42" i="42" s="1"/>
  <c r="DC41" i="42"/>
  <c r="DB41" i="42"/>
  <c r="DA41" i="42"/>
  <c r="CZ41" i="42"/>
  <c r="CY41" i="42"/>
  <c r="CX41" i="42"/>
  <c r="CW41" i="42"/>
  <c r="CV41" i="42"/>
  <c r="CU41" i="42"/>
  <c r="CT41" i="42"/>
  <c r="CS41" i="42"/>
  <c r="CR41" i="42"/>
  <c r="CQ41" i="42"/>
  <c r="CP41" i="42"/>
  <c r="CO41" i="42"/>
  <c r="CN41" i="42"/>
  <c r="CM41" i="42"/>
  <c r="CL41" i="42"/>
  <c r="CK41" i="42"/>
  <c r="CJ41" i="42"/>
  <c r="CI41" i="42"/>
  <c r="CH41" i="42"/>
  <c r="CG41" i="42"/>
  <c r="CF41" i="42"/>
  <c r="CE41" i="42"/>
  <c r="CD41" i="42"/>
  <c r="CC41" i="42"/>
  <c r="CB41" i="42"/>
  <c r="CA41" i="42"/>
  <c r="DC39" i="42"/>
  <c r="DB39" i="42"/>
  <c r="DA39" i="42"/>
  <c r="CZ39" i="42"/>
  <c r="CY39" i="42"/>
  <c r="CX39" i="42"/>
  <c r="CW39" i="42"/>
  <c r="CV39" i="42"/>
  <c r="CU39" i="42"/>
  <c r="CT39" i="42"/>
  <c r="CS39" i="42"/>
  <c r="CR39" i="42"/>
  <c r="CQ39" i="42"/>
  <c r="CP39" i="42"/>
  <c r="CO39" i="42"/>
  <c r="CN39" i="42"/>
  <c r="CM39" i="42"/>
  <c r="CL39" i="42"/>
  <c r="CK39" i="42"/>
  <c r="CJ39" i="42"/>
  <c r="CI39" i="42"/>
  <c r="CH39" i="42"/>
  <c r="CG39" i="42"/>
  <c r="CF39" i="42"/>
  <c r="CE39" i="42"/>
  <c r="CD39" i="42"/>
  <c r="CC39" i="42"/>
  <c r="CB39" i="42"/>
  <c r="CA39" i="42"/>
  <c r="DC38" i="42"/>
  <c r="DB38" i="42"/>
  <c r="DA38" i="42"/>
  <c r="CZ38" i="42"/>
  <c r="CY38" i="42"/>
  <c r="CX38" i="42"/>
  <c r="CW38" i="42"/>
  <c r="CV38" i="42"/>
  <c r="CU38" i="42"/>
  <c r="CT38" i="42"/>
  <c r="CS38" i="42"/>
  <c r="CR38" i="42"/>
  <c r="CQ38" i="42"/>
  <c r="CP38" i="42"/>
  <c r="CO38" i="42"/>
  <c r="CN38" i="42"/>
  <c r="CM38" i="42"/>
  <c r="CL38" i="42"/>
  <c r="CK38" i="42"/>
  <c r="CJ38" i="42"/>
  <c r="CI38" i="42"/>
  <c r="CH38" i="42"/>
  <c r="CG38" i="42"/>
  <c r="CF38" i="42"/>
  <c r="CE38" i="42"/>
  <c r="CD38" i="42"/>
  <c r="CC38" i="42"/>
  <c r="CB38" i="42"/>
  <c r="CA38" i="42"/>
  <c r="DC36" i="42"/>
  <c r="DB36" i="42"/>
  <c r="DA36" i="42"/>
  <c r="CZ36" i="42"/>
  <c r="CY36" i="42"/>
  <c r="CX36" i="42"/>
  <c r="CW36" i="42"/>
  <c r="CV36" i="42"/>
  <c r="CU36" i="42"/>
  <c r="CT36" i="42"/>
  <c r="CS36" i="42"/>
  <c r="CR36" i="42"/>
  <c r="CQ36" i="42"/>
  <c r="CP36" i="42"/>
  <c r="CO36" i="42"/>
  <c r="CN36" i="42"/>
  <c r="CM36" i="42"/>
  <c r="CL36" i="42"/>
  <c r="CK36" i="42"/>
  <c r="CJ36" i="42"/>
  <c r="CI36" i="42"/>
  <c r="CH36" i="42"/>
  <c r="CG36" i="42"/>
  <c r="CF36" i="42"/>
  <c r="CE36" i="42"/>
  <c r="CD36" i="42"/>
  <c r="CC36" i="42"/>
  <c r="CB36" i="42"/>
  <c r="CA36" i="42"/>
  <c r="DC35" i="42"/>
  <c r="DB35" i="42"/>
  <c r="DA35" i="42"/>
  <c r="CZ35" i="42"/>
  <c r="CY35" i="42"/>
  <c r="CX35" i="42"/>
  <c r="CW35" i="42"/>
  <c r="CV35" i="42"/>
  <c r="CU35" i="42"/>
  <c r="CT35" i="42"/>
  <c r="CS35" i="42"/>
  <c r="CR35" i="42"/>
  <c r="CQ35" i="42"/>
  <c r="CP35" i="42"/>
  <c r="CO35" i="42"/>
  <c r="CN35" i="42"/>
  <c r="CM35" i="42"/>
  <c r="CL35" i="42"/>
  <c r="CK35" i="42"/>
  <c r="CJ35" i="42"/>
  <c r="CI35" i="42"/>
  <c r="CH35" i="42"/>
  <c r="CG35" i="42"/>
  <c r="CF35" i="42"/>
  <c r="CE35" i="42"/>
  <c r="CD35" i="42"/>
  <c r="CC35" i="42"/>
  <c r="CB35" i="42"/>
  <c r="CA35" i="42"/>
  <c r="DC34" i="42"/>
  <c r="DB34" i="42"/>
  <c r="DA34" i="42"/>
  <c r="CZ34" i="42"/>
  <c r="CY34" i="42"/>
  <c r="CX34" i="42"/>
  <c r="CW34" i="42"/>
  <c r="CV34" i="42"/>
  <c r="CU34" i="42"/>
  <c r="CT34" i="42"/>
  <c r="CS34" i="42"/>
  <c r="CR34" i="42"/>
  <c r="CQ34" i="42"/>
  <c r="CP34" i="42"/>
  <c r="CO34" i="42"/>
  <c r="CN34" i="42"/>
  <c r="CM34" i="42"/>
  <c r="CL34" i="42"/>
  <c r="CK34" i="42"/>
  <c r="CJ34" i="42"/>
  <c r="CI34" i="42"/>
  <c r="CH34" i="42"/>
  <c r="CG34" i="42"/>
  <c r="CF34" i="42"/>
  <c r="CE34" i="42"/>
  <c r="CD34" i="42"/>
  <c r="CC34" i="42"/>
  <c r="CB34" i="42"/>
  <c r="CA34" i="42"/>
  <c r="BS33" i="42"/>
  <c r="BR33" i="42"/>
  <c r="BR37" i="42" s="1"/>
  <c r="BR40" i="42"/>
  <c r="BQ33" i="42"/>
  <c r="BQ37" i="42" s="1"/>
  <c r="BP33" i="42"/>
  <c r="BP37" i="42" s="1"/>
  <c r="AV37" i="41" s="1"/>
  <c r="BP46" i="42"/>
  <c r="AV46" i="41" s="1"/>
  <c r="BO33" i="42"/>
  <c r="BN33" i="42"/>
  <c r="BN40" i="42"/>
  <c r="BM33" i="42"/>
  <c r="BM46" i="42" s="1"/>
  <c r="BL33" i="42"/>
  <c r="BK33" i="42"/>
  <c r="BJ33" i="42"/>
  <c r="BJ37" i="42" s="1"/>
  <c r="AP37" i="41" s="1"/>
  <c r="BI33" i="42"/>
  <c r="BI40" i="42" s="1"/>
  <c r="BI37" i="42"/>
  <c r="BH33" i="42"/>
  <c r="BG33" i="42"/>
  <c r="BF33" i="42"/>
  <c r="BF37" i="42" s="1"/>
  <c r="AJ37" i="41" s="1"/>
  <c r="BF40" i="42"/>
  <c r="BE33" i="42"/>
  <c r="BE37" i="42" s="1"/>
  <c r="AH37" i="41" s="1"/>
  <c r="BD33" i="42"/>
  <c r="BC33" i="42"/>
  <c r="BB33" i="42"/>
  <c r="BB37" i="42" s="1"/>
  <c r="AB37" i="41" s="1"/>
  <c r="BA33" i="42"/>
  <c r="BA37" i="42"/>
  <c r="AZ33" i="42"/>
  <c r="AZ46" i="42" s="1"/>
  <c r="X46" i="41" s="1"/>
  <c r="AY33" i="42"/>
  <c r="AY37" i="42" s="1"/>
  <c r="V37" i="41" s="1"/>
  <c r="AX33" i="42"/>
  <c r="AX40" i="42" s="1"/>
  <c r="AW33" i="42"/>
  <c r="AW46" i="42" s="1"/>
  <c r="AW37" i="42"/>
  <c r="AV33" i="42"/>
  <c r="CF33" i="42" s="1"/>
  <c r="AU33" i="42"/>
  <c r="AT33" i="42"/>
  <c r="AT37" i="42" s="1"/>
  <c r="L37" i="41" s="1"/>
  <c r="AT40" i="42"/>
  <c r="AS33" i="42"/>
  <c r="AS40" i="42" s="1"/>
  <c r="J40" i="41" s="1"/>
  <c r="AR33" i="42"/>
  <c r="AR46" i="42" s="1"/>
  <c r="H46" i="41" s="1"/>
  <c r="AQ33" i="42"/>
  <c r="AI33" i="42"/>
  <c r="AH33" i="42"/>
  <c r="AG33" i="42"/>
  <c r="AG37" i="42" s="1"/>
  <c r="DA37" i="42" s="1"/>
  <c r="AG40" i="42"/>
  <c r="AF33" i="42"/>
  <c r="CZ33" i="42" s="1"/>
  <c r="AE33" i="42"/>
  <c r="AD33" i="42"/>
  <c r="CX33" i="42" s="1"/>
  <c r="AC33" i="42"/>
  <c r="AC40" i="42"/>
  <c r="AB33" i="42"/>
  <c r="CV33" i="42" s="1"/>
  <c r="AA33" i="42"/>
  <c r="Z33" i="42"/>
  <c r="Y33" i="42"/>
  <c r="CS33" i="42" s="1"/>
  <c r="X33" i="42"/>
  <c r="X37" i="42"/>
  <c r="W33" i="42"/>
  <c r="V33" i="42"/>
  <c r="V46" i="42" s="1"/>
  <c r="U33" i="42"/>
  <c r="U40" i="42"/>
  <c r="T33" i="42"/>
  <c r="T37" i="42" s="1"/>
  <c r="S33" i="42"/>
  <c r="R33" i="42"/>
  <c r="Q33" i="42"/>
  <c r="Q37" i="42" s="1"/>
  <c r="CK37" i="42" s="1"/>
  <c r="P33" i="42"/>
  <c r="CJ33" i="42" s="1"/>
  <c r="P37" i="42"/>
  <c r="O33" i="42"/>
  <c r="N33" i="42"/>
  <c r="CH33" i="42"/>
  <c r="M33" i="42"/>
  <c r="CG33" i="42" s="1"/>
  <c r="L33" i="42"/>
  <c r="L37" i="42"/>
  <c r="K33" i="42"/>
  <c r="J33" i="42"/>
  <c r="J40" i="42" s="1"/>
  <c r="I33" i="42"/>
  <c r="I37" i="42" s="1"/>
  <c r="H33" i="42"/>
  <c r="H37" i="42"/>
  <c r="G33" i="42"/>
  <c r="DC32" i="42"/>
  <c r="DB32" i="42"/>
  <c r="DA32" i="42"/>
  <c r="CZ32" i="42"/>
  <c r="CY32" i="42"/>
  <c r="CX32" i="42"/>
  <c r="CW32" i="42"/>
  <c r="CV32" i="42"/>
  <c r="CU32" i="42"/>
  <c r="CT32" i="42"/>
  <c r="CS32" i="42"/>
  <c r="CR32" i="42"/>
  <c r="CQ32" i="42"/>
  <c r="CP32" i="42"/>
  <c r="CO32" i="42"/>
  <c r="CN32" i="42"/>
  <c r="CM32" i="42"/>
  <c r="CL32" i="42"/>
  <c r="CK32" i="42"/>
  <c r="CJ32" i="42"/>
  <c r="CI32" i="42"/>
  <c r="CH32" i="42"/>
  <c r="CG32" i="42"/>
  <c r="CF32" i="42"/>
  <c r="CE32" i="42"/>
  <c r="CD32" i="42"/>
  <c r="CC32" i="42"/>
  <c r="CB32" i="42"/>
  <c r="CA32" i="42"/>
  <c r="DC31" i="42"/>
  <c r="DB31" i="42"/>
  <c r="DA31" i="42"/>
  <c r="CZ31" i="42"/>
  <c r="CY31" i="42"/>
  <c r="CX31" i="42"/>
  <c r="CW31" i="42"/>
  <c r="CV31" i="42"/>
  <c r="CU31" i="42"/>
  <c r="CT31" i="42"/>
  <c r="CS31" i="42"/>
  <c r="CR31" i="42"/>
  <c r="CQ31" i="42"/>
  <c r="CP31" i="42"/>
  <c r="CO31" i="42"/>
  <c r="CN31" i="42"/>
  <c r="CM31" i="42"/>
  <c r="CL31" i="42"/>
  <c r="CK31" i="42"/>
  <c r="CJ31" i="42"/>
  <c r="CI31" i="42"/>
  <c r="CH31" i="42"/>
  <c r="CG31" i="42"/>
  <c r="CF31" i="42"/>
  <c r="CE31" i="42"/>
  <c r="CD31" i="42"/>
  <c r="CC31" i="42"/>
  <c r="CB31" i="42"/>
  <c r="CA31" i="42"/>
  <c r="B30" i="42"/>
  <c r="B29" i="41"/>
  <c r="AH29" i="42"/>
  <c r="AG29" i="42"/>
  <c r="AF29" i="42"/>
  <c r="AE29" i="42"/>
  <c r="AD29" i="42"/>
  <c r="AC29" i="42"/>
  <c r="AB29" i="42"/>
  <c r="AA29" i="42"/>
  <c r="Z29" i="42"/>
  <c r="Y29" i="42"/>
  <c r="DF27" i="42"/>
  <c r="DD27" i="42"/>
  <c r="DC27" i="42"/>
  <c r="DB27" i="42"/>
  <c r="DA27" i="42"/>
  <c r="CZ27" i="42"/>
  <c r="CY27" i="42"/>
  <c r="CX27" i="42"/>
  <c r="CW27" i="42"/>
  <c r="CV27" i="42"/>
  <c r="CU27" i="42"/>
  <c r="CT27" i="42"/>
  <c r="CS27" i="42"/>
  <c r="CR27" i="42"/>
  <c r="CQ27" i="42"/>
  <c r="CP27" i="42"/>
  <c r="CO27" i="42"/>
  <c r="CN27" i="42"/>
  <c r="CM27" i="42"/>
  <c r="CL27" i="42"/>
  <c r="CK27" i="42"/>
  <c r="CJ27" i="42"/>
  <c r="CI27" i="42"/>
  <c r="CH27" i="42"/>
  <c r="CG27" i="42"/>
  <c r="CF27" i="42"/>
  <c r="CE27" i="42"/>
  <c r="CD27" i="42"/>
  <c r="CC27" i="42"/>
  <c r="CB27" i="42"/>
  <c r="CA27" i="42"/>
  <c r="DF26" i="42"/>
  <c r="DD26" i="42"/>
  <c r="DC26" i="42"/>
  <c r="DB26" i="42"/>
  <c r="DA26" i="42"/>
  <c r="CZ26" i="42"/>
  <c r="CY26" i="42"/>
  <c r="CX26" i="42"/>
  <c r="CW26" i="42"/>
  <c r="CV26" i="42"/>
  <c r="CU26" i="42"/>
  <c r="CT26" i="42"/>
  <c r="CS26" i="42"/>
  <c r="CR26" i="42"/>
  <c r="CQ26" i="42"/>
  <c r="CP26" i="42"/>
  <c r="CO26" i="42"/>
  <c r="CN26" i="42"/>
  <c r="CM26" i="42"/>
  <c r="CL26" i="42"/>
  <c r="CK26" i="42"/>
  <c r="CJ26" i="42"/>
  <c r="CI26" i="42"/>
  <c r="CH26" i="42"/>
  <c r="CG26" i="42"/>
  <c r="CF26" i="42"/>
  <c r="CE26" i="42"/>
  <c r="CD26" i="42"/>
  <c r="CC26" i="42"/>
  <c r="CB26" i="42"/>
  <c r="CA26" i="42"/>
  <c r="BS24" i="42"/>
  <c r="BR24" i="42"/>
  <c r="BQ24" i="42"/>
  <c r="BP24" i="42"/>
  <c r="BO24" i="42"/>
  <c r="BO25" i="42" s="1"/>
  <c r="BN24" i="42"/>
  <c r="BM24" i="42"/>
  <c r="BL24" i="42"/>
  <c r="AR23" i="41" s="1"/>
  <c r="AR125" i="41" s="1"/>
  <c r="BK24" i="42"/>
  <c r="BJ24" i="42"/>
  <c r="BI24" i="42"/>
  <c r="BI25" i="42" s="1"/>
  <c r="BH24" i="42"/>
  <c r="BG24" i="42"/>
  <c r="BG25" i="42" s="1"/>
  <c r="AL24" i="41" s="1"/>
  <c r="BF24" i="42"/>
  <c r="BE24" i="42"/>
  <c r="BD24" i="42"/>
  <c r="BC24" i="42"/>
  <c r="BB24" i="42"/>
  <c r="BA24" i="42"/>
  <c r="AZ24" i="42"/>
  <c r="AY24" i="42"/>
  <c r="AX24" i="42"/>
  <c r="AW24" i="42"/>
  <c r="AV24" i="42"/>
  <c r="AU24" i="42"/>
  <c r="AT24" i="42"/>
  <c r="AS24" i="42"/>
  <c r="AS25" i="42" s="1"/>
  <c r="J24" i="41" s="1"/>
  <c r="AR24" i="42"/>
  <c r="AQ24" i="42"/>
  <c r="AQ25" i="42" s="1"/>
  <c r="F24" i="41" s="1"/>
  <c r="DC23" i="42"/>
  <c r="DB23" i="42"/>
  <c r="DA23" i="42"/>
  <c r="CZ23" i="42"/>
  <c r="CY23" i="42"/>
  <c r="CX23" i="42"/>
  <c r="CW23" i="42"/>
  <c r="CV23" i="42"/>
  <c r="CU23" i="42"/>
  <c r="CT23" i="42"/>
  <c r="CS23" i="42"/>
  <c r="CR23" i="42"/>
  <c r="CQ23" i="42"/>
  <c r="CN23" i="42"/>
  <c r="CM23" i="42"/>
  <c r="CJ23" i="42"/>
  <c r="CI23" i="42"/>
  <c r="CF23" i="42"/>
  <c r="CE23" i="42"/>
  <c r="CD23" i="42"/>
  <c r="CC23" i="42"/>
  <c r="BS21" i="42"/>
  <c r="BJ20" i="41"/>
  <c r="BR21" i="42"/>
  <c r="BQ21" i="42"/>
  <c r="BP21" i="42"/>
  <c r="AV20" i="41"/>
  <c r="BO21" i="42"/>
  <c r="BN21" i="42"/>
  <c r="BM21" i="42"/>
  <c r="BL21" i="42"/>
  <c r="AR20" i="41"/>
  <c r="BK21" i="42"/>
  <c r="BJ21" i="42"/>
  <c r="BI21" i="42"/>
  <c r="BH21" i="42"/>
  <c r="AN20" i="41" s="1"/>
  <c r="BG21" i="42"/>
  <c r="BF21" i="42"/>
  <c r="BE21" i="42"/>
  <c r="BD21" i="42"/>
  <c r="AF20" i="41" s="1"/>
  <c r="BC21" i="42"/>
  <c r="AD20" i="41"/>
  <c r="BB21" i="42"/>
  <c r="BA21" i="42"/>
  <c r="AZ21" i="42"/>
  <c r="X20" i="41"/>
  <c r="AY21" i="42"/>
  <c r="AX21" i="42"/>
  <c r="AW21" i="42"/>
  <c r="AV21" i="42"/>
  <c r="P20" i="41" s="1"/>
  <c r="AU21" i="42"/>
  <c r="N20" i="41"/>
  <c r="AT21" i="42"/>
  <c r="AS21" i="42"/>
  <c r="AR21" i="42"/>
  <c r="H20" i="41"/>
  <c r="AQ21" i="42"/>
  <c r="AI21" i="42"/>
  <c r="BI20" i="41" s="1"/>
  <c r="AH21" i="42"/>
  <c r="AG21" i="42"/>
  <c r="AF21" i="42"/>
  <c r="CZ21" i="42" s="1"/>
  <c r="AE21" i="42"/>
  <c r="BA20" i="41" s="1"/>
  <c r="AD21" i="42"/>
  <c r="AC21" i="42"/>
  <c r="AB21" i="42"/>
  <c r="AA21" i="42"/>
  <c r="AS20" i="41" s="1"/>
  <c r="Z21" i="42"/>
  <c r="Y21" i="42"/>
  <c r="X21" i="42"/>
  <c r="CR21" i="42" s="1"/>
  <c r="W21" i="42"/>
  <c r="AK20" i="41" s="1"/>
  <c r="V21" i="42"/>
  <c r="U21" i="42"/>
  <c r="CO21" i="42" s="1"/>
  <c r="T21" i="42"/>
  <c r="CN21" i="42" s="1"/>
  <c r="S21" i="42"/>
  <c r="R21" i="42"/>
  <c r="Q21" i="42"/>
  <c r="CK21" i="42" s="1"/>
  <c r="P21" i="42"/>
  <c r="CJ21" i="42" s="1"/>
  <c r="O21" i="42"/>
  <c r="U20" i="41" s="1"/>
  <c r="N21" i="42"/>
  <c r="CH21" i="42" s="1"/>
  <c r="M21" i="42"/>
  <c r="CG21" i="42" s="1"/>
  <c r="L21" i="42"/>
  <c r="CF21" i="42" s="1"/>
  <c r="K21" i="42"/>
  <c r="M20" i="41" s="1"/>
  <c r="J21" i="42"/>
  <c r="I21" i="42"/>
  <c r="H21" i="42"/>
  <c r="CB21" i="42" s="1"/>
  <c r="BH20" i="41" s="1"/>
  <c r="G21" i="42"/>
  <c r="E20" i="41" s="1"/>
  <c r="DC20" i="42"/>
  <c r="DB20" i="42"/>
  <c r="DA20" i="42"/>
  <c r="CZ20" i="42"/>
  <c r="CY20" i="42"/>
  <c r="CX20" i="42"/>
  <c r="CW20" i="42"/>
  <c r="CV20" i="42"/>
  <c r="CU20" i="42"/>
  <c r="CT20" i="42"/>
  <c r="CS20" i="42"/>
  <c r="CR20" i="42"/>
  <c r="CQ20" i="42"/>
  <c r="CP20" i="42"/>
  <c r="CO20" i="42"/>
  <c r="CN20" i="42"/>
  <c r="CM20" i="42"/>
  <c r="CL20" i="42"/>
  <c r="CK20" i="42"/>
  <c r="CJ20" i="42"/>
  <c r="CI20" i="42"/>
  <c r="CH20" i="42"/>
  <c r="CG20" i="42"/>
  <c r="CF20" i="42"/>
  <c r="CE20" i="42"/>
  <c r="CD20" i="42"/>
  <c r="CC20" i="42"/>
  <c r="CB20" i="42"/>
  <c r="CA20" i="42"/>
  <c r="DC18" i="42"/>
  <c r="DB18" i="42"/>
  <c r="DA18" i="42"/>
  <c r="CZ18" i="42"/>
  <c r="CY18" i="42"/>
  <c r="CX18" i="42"/>
  <c r="CW18" i="42"/>
  <c r="CV18" i="42"/>
  <c r="CU18" i="42"/>
  <c r="CT18" i="42"/>
  <c r="CS18" i="42"/>
  <c r="CR18" i="42"/>
  <c r="CQ18" i="42"/>
  <c r="CP18" i="42"/>
  <c r="CO18" i="42"/>
  <c r="CN18" i="42"/>
  <c r="CM18" i="42"/>
  <c r="CL18" i="42"/>
  <c r="CK18" i="42"/>
  <c r="CJ18" i="42"/>
  <c r="CI18" i="42"/>
  <c r="CH18" i="42"/>
  <c r="CG18" i="42"/>
  <c r="CF18" i="42"/>
  <c r="CE18" i="42"/>
  <c r="CD18" i="42"/>
  <c r="CC18" i="42"/>
  <c r="CB18" i="42"/>
  <c r="CA18" i="42"/>
  <c r="DC17" i="42"/>
  <c r="DB17" i="42"/>
  <c r="DA17" i="42"/>
  <c r="CZ17" i="42"/>
  <c r="CY17" i="42"/>
  <c r="CX17" i="42"/>
  <c r="CW17" i="42"/>
  <c r="CV17" i="42"/>
  <c r="CU17" i="42"/>
  <c r="CT17" i="42"/>
  <c r="CS17" i="42"/>
  <c r="CR17" i="42"/>
  <c r="CQ17" i="42"/>
  <c r="CP17" i="42"/>
  <c r="CO17" i="42"/>
  <c r="CN17" i="42"/>
  <c r="CM17" i="42"/>
  <c r="CL17" i="42"/>
  <c r="CK17" i="42"/>
  <c r="CJ17" i="42"/>
  <c r="CI17" i="42"/>
  <c r="CH17" i="42"/>
  <c r="CG17" i="42"/>
  <c r="CF17" i="42"/>
  <c r="CE17" i="42"/>
  <c r="CD17" i="42"/>
  <c r="CC17" i="42"/>
  <c r="CB17" i="42"/>
  <c r="CA17" i="42"/>
  <c r="BQ16" i="42"/>
  <c r="BD16" i="42"/>
  <c r="DC15" i="42"/>
  <c r="DB15" i="42"/>
  <c r="DA15" i="42"/>
  <c r="CZ15" i="42"/>
  <c r="CY15" i="42"/>
  <c r="CX15" i="42"/>
  <c r="CW15" i="42"/>
  <c r="CV15" i="42"/>
  <c r="CU15" i="42"/>
  <c r="CT15" i="42"/>
  <c r="CS15" i="42"/>
  <c r="CR15" i="42"/>
  <c r="CQ15" i="42"/>
  <c r="CP15" i="42"/>
  <c r="CO15" i="42"/>
  <c r="CN15" i="42"/>
  <c r="CM15" i="42"/>
  <c r="CL15" i="42"/>
  <c r="CK15" i="42"/>
  <c r="CJ15" i="42"/>
  <c r="CI15" i="42"/>
  <c r="CH15" i="42"/>
  <c r="CG15" i="42"/>
  <c r="CF15" i="42"/>
  <c r="CE15" i="42"/>
  <c r="CD15" i="42"/>
  <c r="CC15" i="42"/>
  <c r="CB15" i="42"/>
  <c r="CA15" i="42"/>
  <c r="DC14" i="42"/>
  <c r="DB14" i="42"/>
  <c r="DA14" i="42"/>
  <c r="CZ14" i="42"/>
  <c r="CY14" i="42"/>
  <c r="CX14" i="42"/>
  <c r="CW14" i="42"/>
  <c r="CV14" i="42"/>
  <c r="CU14" i="42"/>
  <c r="CT14" i="42"/>
  <c r="CS14" i="42"/>
  <c r="CR14" i="42"/>
  <c r="CQ14" i="42"/>
  <c r="CP14" i="42"/>
  <c r="CO14" i="42"/>
  <c r="CN14" i="42"/>
  <c r="CM14" i="42"/>
  <c r="CL14" i="42"/>
  <c r="CK14" i="42"/>
  <c r="CJ14" i="42"/>
  <c r="CI14" i="42"/>
  <c r="CH14" i="42"/>
  <c r="CG14" i="42"/>
  <c r="CF14" i="42"/>
  <c r="CE14" i="42"/>
  <c r="CD14" i="42"/>
  <c r="CC14" i="42"/>
  <c r="CB14" i="42"/>
  <c r="CA14" i="42"/>
  <c r="DC13" i="42"/>
  <c r="DB13" i="42"/>
  <c r="DA13" i="42"/>
  <c r="CZ13" i="42"/>
  <c r="CY13" i="42"/>
  <c r="CX13" i="42"/>
  <c r="CW13" i="42"/>
  <c r="CV13" i="42"/>
  <c r="CU13" i="42"/>
  <c r="CT13" i="42"/>
  <c r="CS13" i="42"/>
  <c r="CR13" i="42"/>
  <c r="CQ13" i="42"/>
  <c r="CP13" i="42"/>
  <c r="CO13" i="42"/>
  <c r="CN13" i="42"/>
  <c r="CM13" i="42"/>
  <c r="CL13" i="42"/>
  <c r="CK13" i="42"/>
  <c r="CJ13" i="42"/>
  <c r="CI13" i="42"/>
  <c r="CH13" i="42"/>
  <c r="CG13" i="42"/>
  <c r="CF13" i="42"/>
  <c r="CE13" i="42"/>
  <c r="CD13" i="42"/>
  <c r="CC13" i="42"/>
  <c r="CB13" i="42"/>
  <c r="CA13" i="42"/>
  <c r="BS12" i="42"/>
  <c r="BR12" i="42"/>
  <c r="BQ12" i="42"/>
  <c r="BQ25" i="42" s="1"/>
  <c r="BP12" i="42"/>
  <c r="BP16" i="42" s="1"/>
  <c r="AV15" i="41" s="1"/>
  <c r="BP19" i="42"/>
  <c r="BO12" i="42"/>
  <c r="BN12" i="42"/>
  <c r="BM12" i="42"/>
  <c r="BM25" i="42" s="1"/>
  <c r="BL12" i="42"/>
  <c r="BL16" i="42" s="1"/>
  <c r="AR15" i="41" s="1"/>
  <c r="BL19" i="42"/>
  <c r="BK12" i="42"/>
  <c r="BJ12" i="42"/>
  <c r="BI12" i="42"/>
  <c r="BI19" i="42" s="1"/>
  <c r="BH12" i="42"/>
  <c r="BH16" i="42" s="1"/>
  <c r="BG12" i="42"/>
  <c r="BF12" i="42"/>
  <c r="BE12" i="42"/>
  <c r="BE19" i="42" s="1"/>
  <c r="AH18" i="41" s="1"/>
  <c r="BD12" i="42"/>
  <c r="BD19" i="42"/>
  <c r="BC12" i="42"/>
  <c r="BB12" i="42"/>
  <c r="BA12" i="42"/>
  <c r="BA25" i="42" s="1"/>
  <c r="Z24" i="41" s="1"/>
  <c r="AZ12" i="42"/>
  <c r="AZ16" i="42" s="1"/>
  <c r="X15" i="41" s="1"/>
  <c r="AZ19" i="42"/>
  <c r="AY12" i="42"/>
  <c r="AY25" i="42" s="1"/>
  <c r="V24" i="41" s="1"/>
  <c r="AX12" i="42"/>
  <c r="AW12" i="42"/>
  <c r="AW19" i="42" s="1"/>
  <c r="R18" i="41" s="1"/>
  <c r="AV12" i="42"/>
  <c r="AV16" i="42" s="1"/>
  <c r="P15" i="41" s="1"/>
  <c r="AV19" i="42"/>
  <c r="AU12" i="42"/>
  <c r="AT12" i="42"/>
  <c r="AT16" i="42"/>
  <c r="AS12" i="42"/>
  <c r="AS19" i="42" s="1"/>
  <c r="J18" i="41" s="1"/>
  <c r="AR12" i="42"/>
  <c r="AR16" i="42" s="1"/>
  <c r="H15" i="41" s="1"/>
  <c r="AR19" i="42"/>
  <c r="AQ12" i="42"/>
  <c r="B9" i="42"/>
  <c r="BZ6" i="42"/>
  <c r="AQ6" i="42"/>
  <c r="B6" i="42"/>
  <c r="CC229" i="41"/>
  <c r="CC228" i="41"/>
  <c r="CM223" i="41"/>
  <c r="CL223" i="41"/>
  <c r="CK223" i="41"/>
  <c r="CM222" i="41"/>
  <c r="CL222" i="41"/>
  <c r="CK222" i="41"/>
  <c r="CM221" i="41"/>
  <c r="CL221" i="41"/>
  <c r="CK221" i="41"/>
  <c r="CM220" i="41"/>
  <c r="CL220" i="41"/>
  <c r="CK220" i="41"/>
  <c r="CM219" i="41"/>
  <c r="CL219" i="41"/>
  <c r="CK219" i="41"/>
  <c r="CM218" i="41"/>
  <c r="CL218" i="41"/>
  <c r="CK218" i="41"/>
  <c r="CM217" i="41"/>
  <c r="CL217" i="41"/>
  <c r="CK217" i="41"/>
  <c r="CI217" i="41"/>
  <c r="CI216" i="41"/>
  <c r="CC211" i="41"/>
  <c r="CF210" i="41"/>
  <c r="CE210" i="41"/>
  <c r="CC210" i="41"/>
  <c r="CF209" i="41"/>
  <c r="CE209" i="41"/>
  <c r="CC209" i="41"/>
  <c r="CF208" i="41"/>
  <c r="CE208" i="41"/>
  <c r="CC208" i="41"/>
  <c r="CF207" i="41"/>
  <c r="CE207" i="41"/>
  <c r="CC207" i="41"/>
  <c r="CF206" i="41"/>
  <c r="CE206" i="41"/>
  <c r="CC205" i="41"/>
  <c r="CJ203" i="41"/>
  <c r="CH203" i="41"/>
  <c r="DJ2" i="44"/>
  <c r="CJ201" i="41"/>
  <c r="CH201" i="41"/>
  <c r="DH2" i="44"/>
  <c r="CJ199" i="41"/>
  <c r="CH199" i="41"/>
  <c r="DF2" i="44" s="1"/>
  <c r="CJ197" i="41"/>
  <c r="CH197" i="41"/>
  <c r="DD2" i="44"/>
  <c r="CC196" i="41"/>
  <c r="CC195" i="41"/>
  <c r="CE193" i="41"/>
  <c r="CD193" i="41"/>
  <c r="CR192" i="41"/>
  <c r="CH192" i="41"/>
  <c r="CE192" i="41"/>
  <c r="CD192" i="41"/>
  <c r="CR191" i="41"/>
  <c r="CE191" i="41"/>
  <c r="CD191" i="41"/>
  <c r="CH190" i="41"/>
  <c r="CR189" i="41"/>
  <c r="CH189" i="41"/>
  <c r="CE189" i="41"/>
  <c r="CD189" i="41"/>
  <c r="CR188" i="41"/>
  <c r="CH188" i="41"/>
  <c r="CE188" i="41"/>
  <c r="CD188" i="41"/>
  <c r="CR187" i="41"/>
  <c r="CL187" i="41"/>
  <c r="CH187" i="41"/>
  <c r="CL186" i="41"/>
  <c r="CH186" i="41"/>
  <c r="CD186" i="41"/>
  <c r="BY178" i="41"/>
  <c r="BW178" i="41"/>
  <c r="BY171" i="41"/>
  <c r="BW171" i="41"/>
  <c r="C159" i="41"/>
  <c r="BD157" i="41"/>
  <c r="BB157" i="41"/>
  <c r="BD156" i="41"/>
  <c r="BB156" i="41"/>
  <c r="BJ155" i="41"/>
  <c r="BI155" i="41"/>
  <c r="BG155" i="41"/>
  <c r="BE155" i="41"/>
  <c r="BD155" i="41"/>
  <c r="BC155" i="41"/>
  <c r="BB155" i="41"/>
  <c r="BA155" i="41"/>
  <c r="AY155" i="41"/>
  <c r="AX155" i="41"/>
  <c r="AW155" i="41"/>
  <c r="AV155" i="41"/>
  <c r="AU155" i="41"/>
  <c r="AT155" i="41"/>
  <c r="AS155" i="41"/>
  <c r="AR155" i="41"/>
  <c r="AP155" i="41"/>
  <c r="AN155" i="41"/>
  <c r="AL155" i="41"/>
  <c r="AJ155" i="41"/>
  <c r="AH155" i="41"/>
  <c r="AF155" i="41"/>
  <c r="AD155" i="41"/>
  <c r="AB155" i="41"/>
  <c r="Z155" i="41"/>
  <c r="X155" i="41"/>
  <c r="V155" i="41"/>
  <c r="T155" i="41"/>
  <c r="R155" i="41"/>
  <c r="P155" i="41"/>
  <c r="N155" i="41"/>
  <c r="L155" i="41"/>
  <c r="K155" i="41"/>
  <c r="J155" i="41"/>
  <c r="I155" i="41"/>
  <c r="H155" i="41"/>
  <c r="G155" i="41"/>
  <c r="F155" i="41"/>
  <c r="E155" i="41"/>
  <c r="BD153" i="41"/>
  <c r="BB153" i="41"/>
  <c r="BD152" i="41"/>
  <c r="BB152" i="41"/>
  <c r="BJ151" i="41"/>
  <c r="BI151" i="41"/>
  <c r="BG151" i="41"/>
  <c r="BE151" i="41"/>
  <c r="BD151" i="41"/>
  <c r="BC151" i="41"/>
  <c r="BB151" i="41"/>
  <c r="BA151" i="41"/>
  <c r="AY151" i="41"/>
  <c r="AX151" i="41"/>
  <c r="AW151" i="41"/>
  <c r="AV151" i="41"/>
  <c r="AU151" i="41"/>
  <c r="AT151" i="41"/>
  <c r="AS151" i="41"/>
  <c r="AR151" i="41"/>
  <c r="AP151" i="41"/>
  <c r="AN151" i="41"/>
  <c r="AL151" i="41"/>
  <c r="AJ151" i="41"/>
  <c r="AH151" i="41"/>
  <c r="AF151" i="41"/>
  <c r="AD151" i="41"/>
  <c r="AB151" i="41"/>
  <c r="Z151" i="41"/>
  <c r="X151" i="41"/>
  <c r="V151" i="41"/>
  <c r="T151" i="41"/>
  <c r="R151" i="41"/>
  <c r="P151" i="41"/>
  <c r="N151" i="41"/>
  <c r="M151" i="41"/>
  <c r="L151" i="41"/>
  <c r="K151" i="41"/>
  <c r="J151" i="41"/>
  <c r="I151" i="41"/>
  <c r="H151" i="41"/>
  <c r="G151" i="41"/>
  <c r="F151" i="41"/>
  <c r="E151" i="41"/>
  <c r="BD149" i="41"/>
  <c r="BB149" i="41"/>
  <c r="BJ148" i="41"/>
  <c r="BE148" i="41"/>
  <c r="BD148" i="41"/>
  <c r="BB148" i="41"/>
  <c r="AX148" i="41"/>
  <c r="AW148" i="41"/>
  <c r="AV148" i="41"/>
  <c r="AT148" i="41"/>
  <c r="AR148" i="41"/>
  <c r="AP148" i="41"/>
  <c r="AO148" i="41"/>
  <c r="AN148" i="41"/>
  <c r="AL148" i="41"/>
  <c r="AJ148" i="41"/>
  <c r="AH148" i="41"/>
  <c r="AF148" i="41"/>
  <c r="AD148" i="41"/>
  <c r="AB148" i="41"/>
  <c r="Z148" i="41"/>
  <c r="X148" i="41"/>
  <c r="V148" i="41"/>
  <c r="T148" i="41"/>
  <c r="R148" i="41"/>
  <c r="P148" i="41"/>
  <c r="N148" i="41"/>
  <c r="L148" i="41"/>
  <c r="J148" i="41"/>
  <c r="H148" i="41"/>
  <c r="F148" i="41"/>
  <c r="BJ147" i="41"/>
  <c r="BD147" i="41"/>
  <c r="BB147" i="41"/>
  <c r="AX147" i="41"/>
  <c r="AV147" i="41"/>
  <c r="AT147" i="41"/>
  <c r="AR147" i="41"/>
  <c r="AP147" i="41"/>
  <c r="AN147" i="41"/>
  <c r="AL147" i="41"/>
  <c r="AJ147" i="41"/>
  <c r="AH147" i="41"/>
  <c r="AF147" i="41"/>
  <c r="AD147" i="41"/>
  <c r="AB147" i="41"/>
  <c r="Z147" i="41"/>
  <c r="X147" i="41"/>
  <c r="V147" i="41"/>
  <c r="T147" i="41"/>
  <c r="R147" i="41"/>
  <c r="P147" i="41"/>
  <c r="N147" i="41"/>
  <c r="L147" i="41"/>
  <c r="J147" i="41"/>
  <c r="H147" i="41"/>
  <c r="F147" i="41"/>
  <c r="BD145" i="41"/>
  <c r="BB145" i="41"/>
  <c r="BJ144" i="41"/>
  <c r="BI144" i="41"/>
  <c r="BH144" i="41"/>
  <c r="BG144" i="41"/>
  <c r="BE144" i="41"/>
  <c r="BD144" i="41"/>
  <c r="BC144" i="41"/>
  <c r="BB144" i="41"/>
  <c r="BA144" i="41"/>
  <c r="AY144" i="41"/>
  <c r="AX144" i="41"/>
  <c r="AW144" i="41"/>
  <c r="AV144" i="41"/>
  <c r="AU144" i="41"/>
  <c r="AT144" i="41"/>
  <c r="AS144" i="41"/>
  <c r="AR144" i="41"/>
  <c r="AQ144" i="41"/>
  <c r="AP144" i="41"/>
  <c r="AO144" i="41"/>
  <c r="AN144" i="41"/>
  <c r="AM144" i="41"/>
  <c r="AL144" i="41"/>
  <c r="AK144" i="41"/>
  <c r="AJ144" i="41"/>
  <c r="AI144" i="41"/>
  <c r="AH144" i="41"/>
  <c r="AG144" i="41"/>
  <c r="AF144" i="41"/>
  <c r="AE144" i="41"/>
  <c r="AD144" i="41"/>
  <c r="AC144" i="41"/>
  <c r="AB144" i="41"/>
  <c r="AA144" i="41"/>
  <c r="Z144" i="41"/>
  <c r="Y144" i="41"/>
  <c r="X144" i="41"/>
  <c r="W144" i="41"/>
  <c r="V144" i="41"/>
  <c r="U144" i="41"/>
  <c r="T144" i="41"/>
  <c r="S144" i="41"/>
  <c r="R144" i="41"/>
  <c r="Q144" i="41"/>
  <c r="P144" i="41"/>
  <c r="O144" i="41"/>
  <c r="N144" i="41"/>
  <c r="M144" i="41"/>
  <c r="L144" i="41"/>
  <c r="K144" i="41"/>
  <c r="J144" i="41"/>
  <c r="I144" i="41"/>
  <c r="H144" i="41"/>
  <c r="G144" i="41"/>
  <c r="F144" i="41"/>
  <c r="E144" i="41"/>
  <c r="BJ143" i="41"/>
  <c r="BD143" i="41"/>
  <c r="BB143" i="41"/>
  <c r="AX143" i="41"/>
  <c r="AV143" i="41"/>
  <c r="AT143" i="41"/>
  <c r="AR143" i="41"/>
  <c r="AP143" i="41"/>
  <c r="AN143" i="41"/>
  <c r="AL143" i="41"/>
  <c r="AJ143" i="41"/>
  <c r="AH143" i="41"/>
  <c r="AF143" i="41"/>
  <c r="AD143" i="41"/>
  <c r="AB143" i="41"/>
  <c r="Z143" i="41"/>
  <c r="X143" i="41"/>
  <c r="V143" i="41"/>
  <c r="T143" i="41"/>
  <c r="R143" i="41"/>
  <c r="P143" i="41"/>
  <c r="N143" i="41"/>
  <c r="L143" i="41"/>
  <c r="K143" i="41"/>
  <c r="J143" i="41"/>
  <c r="H143" i="41"/>
  <c r="F143" i="41"/>
  <c r="BK142" i="41"/>
  <c r="BI142" i="41"/>
  <c r="BG142" i="41"/>
  <c r="BE142" i="41"/>
  <c r="BC142" i="41"/>
  <c r="BA142" i="41"/>
  <c r="AY142" i="41"/>
  <c r="AW142" i="41"/>
  <c r="AU142" i="41"/>
  <c r="AS142" i="41"/>
  <c r="AQ142" i="41"/>
  <c r="AO142" i="41"/>
  <c r="AM142" i="41"/>
  <c r="AK142" i="41"/>
  <c r="AI142" i="41"/>
  <c r="AG142" i="41"/>
  <c r="AE142" i="41"/>
  <c r="AC142" i="41"/>
  <c r="AA142" i="41"/>
  <c r="Y142" i="41"/>
  <c r="W142" i="41"/>
  <c r="U142" i="41"/>
  <c r="S142" i="41"/>
  <c r="Q142" i="41"/>
  <c r="O142" i="41"/>
  <c r="M142" i="41"/>
  <c r="K142" i="41"/>
  <c r="I142" i="41"/>
  <c r="G142" i="41"/>
  <c r="E142" i="41"/>
  <c r="B142" i="41"/>
  <c r="BD140" i="41"/>
  <c r="BB140" i="41"/>
  <c r="BP136" i="41"/>
  <c r="BN136" i="41"/>
  <c r="BK136" i="41"/>
  <c r="BM133" i="41"/>
  <c r="BJ133" i="41"/>
  <c r="BH133" i="41"/>
  <c r="BF133" i="41"/>
  <c r="BD133" i="41"/>
  <c r="BB133" i="41"/>
  <c r="AZ133" i="41"/>
  <c r="AX133" i="41"/>
  <c r="AV133" i="41"/>
  <c r="AT133" i="41"/>
  <c r="AR133" i="41"/>
  <c r="AP133" i="41"/>
  <c r="AN133" i="41"/>
  <c r="AL133" i="41"/>
  <c r="AJ133" i="41"/>
  <c r="AH133" i="41"/>
  <c r="AF133" i="41"/>
  <c r="AD133" i="41"/>
  <c r="AB133" i="41"/>
  <c r="Z133" i="41"/>
  <c r="X133" i="41"/>
  <c r="V133" i="41"/>
  <c r="T133" i="41"/>
  <c r="R133" i="41"/>
  <c r="P133" i="41"/>
  <c r="N133" i="41"/>
  <c r="L133" i="41"/>
  <c r="J133" i="41"/>
  <c r="H133" i="41"/>
  <c r="F133" i="41"/>
  <c r="D133" i="41"/>
  <c r="B133" i="41"/>
  <c r="BP132" i="41"/>
  <c r="C130" i="41"/>
  <c r="BN117" i="41"/>
  <c r="BM117" i="41"/>
  <c r="BP116" i="41"/>
  <c r="BJ114" i="41"/>
  <c r="BI114" i="41"/>
  <c r="BH114" i="41"/>
  <c r="BG114" i="41"/>
  <c r="BF114" i="41"/>
  <c r="BE114" i="41"/>
  <c r="BD114" i="41"/>
  <c r="BC114" i="41"/>
  <c r="BB114" i="41"/>
  <c r="BA114" i="41"/>
  <c r="AZ114" i="41"/>
  <c r="AY114" i="41"/>
  <c r="AX114" i="41"/>
  <c r="AW114" i="41"/>
  <c r="AV114" i="41"/>
  <c r="AU114" i="41"/>
  <c r="AT114" i="41"/>
  <c r="AS114" i="41"/>
  <c r="AR114" i="41"/>
  <c r="AQ114" i="41"/>
  <c r="AP114" i="41"/>
  <c r="AO114" i="41"/>
  <c r="AN114" i="41"/>
  <c r="AM114" i="41"/>
  <c r="AL114" i="41"/>
  <c r="AK114" i="41"/>
  <c r="AJ114" i="41"/>
  <c r="AI114" i="41"/>
  <c r="AH114" i="41"/>
  <c r="AG114" i="41"/>
  <c r="AF114" i="41"/>
  <c r="AE114" i="41"/>
  <c r="AD114" i="41"/>
  <c r="AC114" i="41"/>
  <c r="AB114" i="41"/>
  <c r="AA114" i="41"/>
  <c r="Z114" i="41"/>
  <c r="Y114" i="41"/>
  <c r="X114" i="41"/>
  <c r="W114" i="41"/>
  <c r="V114" i="41"/>
  <c r="U114" i="41"/>
  <c r="T114" i="41"/>
  <c r="S114" i="41"/>
  <c r="R114" i="41"/>
  <c r="Q114" i="41"/>
  <c r="P114" i="41"/>
  <c r="O114" i="41"/>
  <c r="N114" i="41"/>
  <c r="M114" i="41"/>
  <c r="L114" i="41"/>
  <c r="K114" i="41"/>
  <c r="J114" i="41"/>
  <c r="I114" i="41"/>
  <c r="H114" i="41"/>
  <c r="G114" i="41"/>
  <c r="F114" i="41"/>
  <c r="E114" i="41"/>
  <c r="BJ113" i="41"/>
  <c r="BI113" i="41"/>
  <c r="BH113" i="41"/>
  <c r="BG113" i="41"/>
  <c r="BF113" i="41"/>
  <c r="BE113" i="41"/>
  <c r="BD113" i="41"/>
  <c r="BC113" i="41"/>
  <c r="BB113" i="41"/>
  <c r="BA113" i="41"/>
  <c r="AZ113" i="41"/>
  <c r="AY113" i="41"/>
  <c r="AX113" i="41"/>
  <c r="AW113" i="41"/>
  <c r="AV113" i="41"/>
  <c r="AU113" i="41"/>
  <c r="AT113" i="41"/>
  <c r="AS113" i="41"/>
  <c r="AR113" i="41"/>
  <c r="AQ113" i="41"/>
  <c r="AP113" i="41"/>
  <c r="AO113" i="41"/>
  <c r="AN113" i="41"/>
  <c r="AM113" i="41"/>
  <c r="AL113" i="41"/>
  <c r="AK113" i="41"/>
  <c r="AJ113" i="41"/>
  <c r="AI113" i="41"/>
  <c r="AH113" i="41"/>
  <c r="AG113" i="41"/>
  <c r="AF113" i="41"/>
  <c r="AE113" i="41"/>
  <c r="AD113" i="41"/>
  <c r="AC113" i="41"/>
  <c r="AB113" i="41"/>
  <c r="AA113" i="41"/>
  <c r="Z113" i="41"/>
  <c r="Y113" i="41"/>
  <c r="X113" i="41"/>
  <c r="W113" i="41"/>
  <c r="V113" i="41"/>
  <c r="U113" i="41"/>
  <c r="T113" i="41"/>
  <c r="S113" i="41"/>
  <c r="R113" i="41"/>
  <c r="Q113" i="41"/>
  <c r="P113" i="41"/>
  <c r="O113" i="41"/>
  <c r="N113" i="41"/>
  <c r="M113" i="41"/>
  <c r="L113" i="41"/>
  <c r="K113" i="41"/>
  <c r="J113" i="41"/>
  <c r="I113" i="41"/>
  <c r="H113" i="41"/>
  <c r="G113" i="41"/>
  <c r="F113" i="41"/>
  <c r="E113" i="41"/>
  <c r="BJ112" i="41"/>
  <c r="BG112" i="41"/>
  <c r="BF112" i="41"/>
  <c r="BD112" i="41"/>
  <c r="BB112" i="41"/>
  <c r="BA112" i="41"/>
  <c r="AY112" i="41"/>
  <c r="AV112" i="41"/>
  <c r="AQ112" i="41"/>
  <c r="AN112" i="41"/>
  <c r="AL112" i="41"/>
  <c r="AK112" i="41"/>
  <c r="AI112" i="41"/>
  <c r="AD112" i="41"/>
  <c r="AA112" i="41"/>
  <c r="X112" i="41"/>
  <c r="V112" i="41"/>
  <c r="U112" i="41"/>
  <c r="S112" i="41"/>
  <c r="N112" i="41"/>
  <c r="K112" i="41"/>
  <c r="H112" i="41"/>
  <c r="F112" i="41"/>
  <c r="E112" i="41"/>
  <c r="BJ111" i="41"/>
  <c r="BI111" i="41"/>
  <c r="BG111" i="41"/>
  <c r="BF111" i="41"/>
  <c r="BD111" i="41"/>
  <c r="BB111" i="41"/>
  <c r="BA111" i="41"/>
  <c r="AY111" i="41"/>
  <c r="AW111" i="41"/>
  <c r="AV111" i="41"/>
  <c r="AS111" i="41"/>
  <c r="AR111" i="41"/>
  <c r="AQ111" i="41"/>
  <c r="AO111" i="41"/>
  <c r="AN111" i="41"/>
  <c r="AL111" i="41"/>
  <c r="AK111" i="41"/>
  <c r="AJ111" i="41"/>
  <c r="AI111" i="41"/>
  <c r="AF111" i="41"/>
  <c r="AD111" i="41"/>
  <c r="AC111" i="41"/>
  <c r="AA111" i="41"/>
  <c r="Y111" i="41"/>
  <c r="X111" i="41"/>
  <c r="V111" i="41"/>
  <c r="U111" i="41"/>
  <c r="T111" i="41"/>
  <c r="S111" i="41"/>
  <c r="P111" i="41"/>
  <c r="N111" i="41"/>
  <c r="M111" i="41"/>
  <c r="K111" i="41"/>
  <c r="I111" i="41"/>
  <c r="H111" i="41"/>
  <c r="F111" i="41"/>
  <c r="E111" i="41"/>
  <c r="BM110" i="41"/>
  <c r="BK110" i="41"/>
  <c r="BJ110" i="41"/>
  <c r="BI110" i="41"/>
  <c r="BH110" i="41"/>
  <c r="BG110" i="41"/>
  <c r="BF110" i="41"/>
  <c r="BE110" i="41"/>
  <c r="BD110" i="41"/>
  <c r="BC110" i="41"/>
  <c r="BB110" i="41"/>
  <c r="BA110" i="41"/>
  <c r="AZ110" i="41"/>
  <c r="AY110" i="41"/>
  <c r="AX110" i="41"/>
  <c r="AW110" i="41"/>
  <c r="AV110" i="41"/>
  <c r="AU110" i="41"/>
  <c r="AT110" i="41"/>
  <c r="AS110" i="41"/>
  <c r="AR110" i="41"/>
  <c r="AQ110" i="41"/>
  <c r="AP110" i="41"/>
  <c r="AO110" i="41"/>
  <c r="AN110" i="41"/>
  <c r="AM110" i="41"/>
  <c r="AL110" i="41"/>
  <c r="AK110" i="41"/>
  <c r="AJ110" i="41"/>
  <c r="AI110" i="41"/>
  <c r="AH110" i="41"/>
  <c r="AG110" i="41"/>
  <c r="AF110" i="41"/>
  <c r="AE110" i="41"/>
  <c r="AD110" i="41"/>
  <c r="AC110" i="41"/>
  <c r="AB110" i="41"/>
  <c r="AA110" i="41"/>
  <c r="Z110" i="41"/>
  <c r="Y110" i="41"/>
  <c r="X110" i="41"/>
  <c r="W110" i="41"/>
  <c r="V110" i="41"/>
  <c r="U110" i="41"/>
  <c r="T110" i="41"/>
  <c r="S110" i="41"/>
  <c r="R110" i="41"/>
  <c r="Q110" i="41"/>
  <c r="P110" i="41"/>
  <c r="O110" i="41"/>
  <c r="N110" i="41"/>
  <c r="M110" i="41"/>
  <c r="L110" i="41"/>
  <c r="K110" i="41"/>
  <c r="J110" i="41"/>
  <c r="I110" i="41"/>
  <c r="H110" i="41"/>
  <c r="G110" i="41"/>
  <c r="F110" i="41"/>
  <c r="E110" i="41"/>
  <c r="BM109" i="41"/>
  <c r="BK109" i="41"/>
  <c r="BJ109" i="41"/>
  <c r="BI109" i="41"/>
  <c r="BH109" i="41"/>
  <c r="BG109" i="41"/>
  <c r="BF109" i="41"/>
  <c r="BE109" i="41"/>
  <c r="BD109" i="41"/>
  <c r="BC109" i="41"/>
  <c r="BB109" i="41"/>
  <c r="BA109" i="41"/>
  <c r="AZ109" i="41"/>
  <c r="AY109" i="41"/>
  <c r="AX109" i="41"/>
  <c r="AW109" i="41"/>
  <c r="AV109" i="41"/>
  <c r="AU109" i="41"/>
  <c r="AT109" i="41"/>
  <c r="AS109" i="41"/>
  <c r="AR109" i="41"/>
  <c r="AQ109" i="41"/>
  <c r="AP109" i="41"/>
  <c r="AO109" i="41"/>
  <c r="AN109" i="41"/>
  <c r="AM109" i="41"/>
  <c r="AL109" i="41"/>
  <c r="AK109" i="41"/>
  <c r="AJ109" i="41"/>
  <c r="AI109" i="41"/>
  <c r="AH109" i="41"/>
  <c r="AG109" i="41"/>
  <c r="AF109" i="41"/>
  <c r="AE109" i="41"/>
  <c r="AD109" i="41"/>
  <c r="AC109" i="41"/>
  <c r="AB109" i="41"/>
  <c r="AA109" i="41"/>
  <c r="Z109" i="41"/>
  <c r="Y109" i="41"/>
  <c r="X109" i="41"/>
  <c r="W109" i="41"/>
  <c r="V109" i="41"/>
  <c r="U109" i="41"/>
  <c r="T109" i="41"/>
  <c r="S109" i="41"/>
  <c r="R109" i="41"/>
  <c r="Q109" i="41"/>
  <c r="P109" i="41"/>
  <c r="O109" i="41"/>
  <c r="N109" i="41"/>
  <c r="M109" i="41"/>
  <c r="L109" i="41"/>
  <c r="K109" i="41"/>
  <c r="J109" i="41"/>
  <c r="I109" i="41"/>
  <c r="H109" i="41"/>
  <c r="G109" i="41"/>
  <c r="F109" i="41"/>
  <c r="E109" i="41"/>
  <c r="BP108" i="41"/>
  <c r="BM108" i="41"/>
  <c r="BK108" i="41"/>
  <c r="BJ108" i="41"/>
  <c r="BI108" i="41"/>
  <c r="BH108" i="41"/>
  <c r="BG108" i="41"/>
  <c r="BF108" i="41"/>
  <c r="BE108" i="41"/>
  <c r="BD108" i="41"/>
  <c r="BC108" i="41"/>
  <c r="BB108" i="41"/>
  <c r="BA108" i="41"/>
  <c r="AZ108" i="41"/>
  <c r="AY108" i="41"/>
  <c r="AX108" i="41"/>
  <c r="AW108" i="41"/>
  <c r="AV108" i="41"/>
  <c r="AU108" i="41"/>
  <c r="AT108" i="41"/>
  <c r="AS108" i="41"/>
  <c r="AR108" i="41"/>
  <c r="AQ108" i="41"/>
  <c r="AP108" i="41"/>
  <c r="AO108" i="41"/>
  <c r="AN108" i="41"/>
  <c r="AM108" i="41"/>
  <c r="AL108" i="41"/>
  <c r="AK108" i="41"/>
  <c r="AJ108" i="41"/>
  <c r="AI108" i="41"/>
  <c r="AH108" i="41"/>
  <c r="AG108" i="41"/>
  <c r="AF108" i="41"/>
  <c r="AE108" i="41"/>
  <c r="AD108" i="41"/>
  <c r="AC108" i="41"/>
  <c r="AB108" i="41"/>
  <c r="AA108" i="41"/>
  <c r="Z108" i="41"/>
  <c r="Y108" i="41"/>
  <c r="X108" i="41"/>
  <c r="W108" i="41"/>
  <c r="V108" i="41"/>
  <c r="U108" i="41"/>
  <c r="T108" i="41"/>
  <c r="S108" i="41"/>
  <c r="R108" i="41"/>
  <c r="Q108" i="41"/>
  <c r="P108" i="41"/>
  <c r="O108" i="41"/>
  <c r="N108" i="41"/>
  <c r="M108" i="41"/>
  <c r="L108" i="41"/>
  <c r="K108" i="41"/>
  <c r="J108" i="41"/>
  <c r="I108" i="41"/>
  <c r="H108" i="41"/>
  <c r="G108" i="41"/>
  <c r="F108" i="41"/>
  <c r="E108" i="41"/>
  <c r="BM107" i="41"/>
  <c r="BJ107" i="41"/>
  <c r="BI107" i="41"/>
  <c r="BH107" i="41"/>
  <c r="BG107" i="41"/>
  <c r="BF107" i="41"/>
  <c r="BE107" i="41"/>
  <c r="BD107" i="41"/>
  <c r="BC107" i="41"/>
  <c r="BB107" i="41"/>
  <c r="BA107" i="41"/>
  <c r="AZ107" i="41"/>
  <c r="AY107" i="41"/>
  <c r="AX107" i="41"/>
  <c r="AW107" i="41"/>
  <c r="AV107" i="41"/>
  <c r="AU107" i="41"/>
  <c r="AT107" i="41"/>
  <c r="AS107" i="41"/>
  <c r="AR107" i="41"/>
  <c r="AQ107" i="41"/>
  <c r="AP107" i="41"/>
  <c r="AO107" i="41"/>
  <c r="AN107" i="41"/>
  <c r="AM107" i="41"/>
  <c r="AL107" i="41"/>
  <c r="AK107" i="41"/>
  <c r="AJ107" i="41"/>
  <c r="AI107" i="41"/>
  <c r="AH107" i="41"/>
  <c r="AG107" i="41"/>
  <c r="AF107" i="41"/>
  <c r="AE107" i="41"/>
  <c r="AD107" i="41"/>
  <c r="AC107" i="41"/>
  <c r="AB107" i="41"/>
  <c r="AA107" i="41"/>
  <c r="Z107" i="41"/>
  <c r="Y107" i="41"/>
  <c r="X107" i="41"/>
  <c r="W107" i="41"/>
  <c r="V107" i="41"/>
  <c r="U107" i="41"/>
  <c r="T107" i="41"/>
  <c r="S107" i="41"/>
  <c r="R107" i="41"/>
  <c r="Q107" i="41"/>
  <c r="P107" i="41"/>
  <c r="O107" i="41"/>
  <c r="N107" i="41"/>
  <c r="M107" i="41"/>
  <c r="L107" i="41"/>
  <c r="K107" i="41"/>
  <c r="J107" i="41"/>
  <c r="I107" i="41"/>
  <c r="H107" i="41"/>
  <c r="G107" i="41"/>
  <c r="F107" i="41"/>
  <c r="E107" i="41"/>
  <c r="BF106" i="41"/>
  <c r="BD106" i="41"/>
  <c r="BC106" i="41"/>
  <c r="BB106" i="41"/>
  <c r="AY106" i="41"/>
  <c r="AS106" i="41"/>
  <c r="AR106" i="41"/>
  <c r="AM106" i="41"/>
  <c r="AF106" i="41"/>
  <c r="S106" i="41"/>
  <c r="M106" i="41"/>
  <c r="G106" i="41"/>
  <c r="F106" i="41"/>
  <c r="BJ105" i="41"/>
  <c r="BI105" i="41"/>
  <c r="BG105" i="41"/>
  <c r="BF105" i="41"/>
  <c r="BE105" i="41"/>
  <c r="BD105" i="41"/>
  <c r="BC105" i="41"/>
  <c r="BB105" i="41"/>
  <c r="BA105" i="41"/>
  <c r="AZ105" i="41"/>
  <c r="AY105" i="41"/>
  <c r="AX105" i="41"/>
  <c r="AW105" i="41"/>
  <c r="AV105" i="41"/>
  <c r="AU105" i="41"/>
  <c r="AT105" i="41"/>
  <c r="AS105" i="41"/>
  <c r="AR105" i="41"/>
  <c r="AQ105" i="41"/>
  <c r="AP105" i="41"/>
  <c r="AO105" i="41"/>
  <c r="AN105" i="41"/>
  <c r="AM105" i="41"/>
  <c r="AL105" i="41"/>
  <c r="AK105" i="41"/>
  <c r="AJ105" i="41"/>
  <c r="AI105" i="41"/>
  <c r="AH105" i="41"/>
  <c r="AG105" i="41"/>
  <c r="AF105" i="41"/>
  <c r="AE105" i="41"/>
  <c r="AD105" i="41"/>
  <c r="AC105" i="41"/>
  <c r="AB105" i="41"/>
  <c r="AA105" i="41"/>
  <c r="Z105" i="41"/>
  <c r="Y105" i="41"/>
  <c r="X105" i="41"/>
  <c r="W105" i="41"/>
  <c r="V105" i="41"/>
  <c r="U105" i="41"/>
  <c r="T105" i="41"/>
  <c r="S105" i="41"/>
  <c r="R105" i="41"/>
  <c r="Q105" i="41"/>
  <c r="P105" i="41"/>
  <c r="O105" i="41"/>
  <c r="N105" i="41"/>
  <c r="M105" i="41"/>
  <c r="L105" i="41"/>
  <c r="K105" i="41"/>
  <c r="J105" i="41"/>
  <c r="I105" i="41"/>
  <c r="H105" i="41"/>
  <c r="G105" i="41"/>
  <c r="F105" i="41"/>
  <c r="E105" i="41"/>
  <c r="BJ104" i="41"/>
  <c r="BI104" i="41"/>
  <c r="BH104" i="41"/>
  <c r="BG104" i="41"/>
  <c r="BF104" i="41"/>
  <c r="BE104" i="41"/>
  <c r="BD104" i="41"/>
  <c r="BC104" i="41"/>
  <c r="BB104" i="41"/>
  <c r="BA104" i="41"/>
  <c r="AZ104" i="41"/>
  <c r="AY104" i="41"/>
  <c r="AX104" i="41"/>
  <c r="AW104" i="41"/>
  <c r="AV104" i="41"/>
  <c r="AU104" i="41"/>
  <c r="AT104" i="41"/>
  <c r="AS104" i="41"/>
  <c r="AR104" i="41"/>
  <c r="AQ104" i="41"/>
  <c r="AP104" i="41"/>
  <c r="AO104" i="41"/>
  <c r="AN104" i="41"/>
  <c r="AM104" i="41"/>
  <c r="AL104" i="41"/>
  <c r="AK104" i="41"/>
  <c r="AJ104" i="41"/>
  <c r="AI104" i="41"/>
  <c r="AH104" i="41"/>
  <c r="AG104" i="41"/>
  <c r="AF104" i="41"/>
  <c r="AE104" i="41"/>
  <c r="AD104" i="41"/>
  <c r="AC104" i="41"/>
  <c r="AB104" i="41"/>
  <c r="AA104" i="41"/>
  <c r="Z104" i="41"/>
  <c r="Y104" i="41"/>
  <c r="X104" i="41"/>
  <c r="W104" i="41"/>
  <c r="V104" i="41"/>
  <c r="U104" i="41"/>
  <c r="T104" i="41"/>
  <c r="S104" i="41"/>
  <c r="R104" i="41"/>
  <c r="Q104" i="41"/>
  <c r="P104" i="41"/>
  <c r="O104" i="41"/>
  <c r="N104" i="41"/>
  <c r="M104" i="41"/>
  <c r="L104" i="41"/>
  <c r="K104" i="41"/>
  <c r="J104" i="41"/>
  <c r="I104" i="41"/>
  <c r="H104" i="41"/>
  <c r="G104" i="41"/>
  <c r="F104" i="41"/>
  <c r="E104" i="41"/>
  <c r="BF103" i="41"/>
  <c r="BD103" i="41"/>
  <c r="BB103" i="41"/>
  <c r="AY103" i="41"/>
  <c r="AV103" i="41"/>
  <c r="AN103" i="41"/>
  <c r="AI103" i="41"/>
  <c r="AH103" i="41"/>
  <c r="AD103" i="41"/>
  <c r="Z103" i="41"/>
  <c r="X103" i="41"/>
  <c r="U103" i="41"/>
  <c r="S103" i="41"/>
  <c r="R103" i="41"/>
  <c r="J103" i="41"/>
  <c r="F103" i="41"/>
  <c r="E103" i="41"/>
  <c r="BJ102" i="41"/>
  <c r="BI102" i="41"/>
  <c r="BH102" i="41"/>
  <c r="BG102" i="41"/>
  <c r="BF102" i="41"/>
  <c r="BE102" i="41"/>
  <c r="BD102" i="41"/>
  <c r="BC102" i="41"/>
  <c r="BB102" i="41"/>
  <c r="BA102" i="41"/>
  <c r="AY102" i="41"/>
  <c r="AX102" i="41"/>
  <c r="AW102" i="41"/>
  <c r="AV102" i="41"/>
  <c r="AU102" i="41"/>
  <c r="AT102" i="41"/>
  <c r="AS102" i="41"/>
  <c r="AR102" i="41"/>
  <c r="AQ102" i="41"/>
  <c r="AP102" i="41"/>
  <c r="AO102" i="41"/>
  <c r="AN102" i="41"/>
  <c r="AM102" i="41"/>
  <c r="AL102" i="41"/>
  <c r="AK102" i="41"/>
  <c r="AJ102" i="41"/>
  <c r="AI102" i="41"/>
  <c r="AH102" i="41"/>
  <c r="AG102" i="41"/>
  <c r="AF102" i="41"/>
  <c r="AE102" i="41"/>
  <c r="AD102" i="41"/>
  <c r="AC102" i="41"/>
  <c r="AB102" i="41"/>
  <c r="AA102" i="41"/>
  <c r="Z102" i="41"/>
  <c r="Y102" i="41"/>
  <c r="X102" i="41"/>
  <c r="W102" i="41"/>
  <c r="V102" i="41"/>
  <c r="U102" i="41"/>
  <c r="T102" i="41"/>
  <c r="S102" i="41"/>
  <c r="R102" i="41"/>
  <c r="Q102" i="41"/>
  <c r="P102" i="41"/>
  <c r="O102" i="41"/>
  <c r="N102" i="41"/>
  <c r="M102" i="41"/>
  <c r="L102" i="41"/>
  <c r="K102" i="41"/>
  <c r="J102" i="41"/>
  <c r="I102" i="41"/>
  <c r="H102" i="41"/>
  <c r="G102" i="41"/>
  <c r="F102" i="41"/>
  <c r="E102" i="41"/>
  <c r="BJ101" i="41"/>
  <c r="BI101" i="41"/>
  <c r="BG101" i="41"/>
  <c r="BF101" i="41"/>
  <c r="BE101" i="41"/>
  <c r="BD101" i="41"/>
  <c r="BC101" i="41"/>
  <c r="BB101" i="41"/>
  <c r="BA101" i="41"/>
  <c r="AY101" i="41"/>
  <c r="AX101" i="41"/>
  <c r="AW101" i="41"/>
  <c r="AV101" i="41"/>
  <c r="AU101" i="41"/>
  <c r="AT101" i="41"/>
  <c r="AS101" i="41"/>
  <c r="AR101" i="41"/>
  <c r="AQ101" i="41"/>
  <c r="AP101" i="41"/>
  <c r="AO101" i="41"/>
  <c r="AN101" i="41"/>
  <c r="AM101" i="41"/>
  <c r="AL101" i="41"/>
  <c r="AK101" i="41"/>
  <c r="AJ101" i="41"/>
  <c r="AI101" i="41"/>
  <c r="AH101" i="41"/>
  <c r="AG101" i="41"/>
  <c r="AF101" i="41"/>
  <c r="AE101" i="41"/>
  <c r="AD101" i="41"/>
  <c r="AC101" i="41"/>
  <c r="AB101" i="41"/>
  <c r="AA101" i="41"/>
  <c r="Z101" i="41"/>
  <c r="Y101" i="41"/>
  <c r="X101" i="41"/>
  <c r="W101" i="41"/>
  <c r="V101" i="41"/>
  <c r="U101" i="41"/>
  <c r="T101" i="41"/>
  <c r="S101" i="41"/>
  <c r="R101" i="41"/>
  <c r="Q101" i="41"/>
  <c r="P101" i="41"/>
  <c r="O101" i="41"/>
  <c r="N101" i="41"/>
  <c r="M101" i="41"/>
  <c r="L101" i="41"/>
  <c r="K101" i="41"/>
  <c r="J101" i="41"/>
  <c r="I101" i="41"/>
  <c r="H101" i="41"/>
  <c r="G101" i="41"/>
  <c r="F101" i="41"/>
  <c r="E101" i="41"/>
  <c r="BJ100" i="41"/>
  <c r="BI100" i="41"/>
  <c r="BH100" i="41"/>
  <c r="BG100" i="41"/>
  <c r="BF100" i="41"/>
  <c r="BE100" i="41"/>
  <c r="BD100" i="41"/>
  <c r="BC100" i="41"/>
  <c r="BB100" i="41"/>
  <c r="BA100" i="41"/>
  <c r="AY100" i="41"/>
  <c r="AX100" i="41"/>
  <c r="AW100" i="41"/>
  <c r="AV100" i="41"/>
  <c r="AU100" i="41"/>
  <c r="AT100" i="41"/>
  <c r="AS100" i="41"/>
  <c r="AR100" i="41"/>
  <c r="AQ100" i="41"/>
  <c r="AP100" i="41"/>
  <c r="AO100" i="41"/>
  <c r="AN100" i="41"/>
  <c r="AM100" i="41"/>
  <c r="AL100" i="41"/>
  <c r="AK100" i="41"/>
  <c r="AJ100" i="41"/>
  <c r="AI100" i="41"/>
  <c r="AH100" i="41"/>
  <c r="AG100" i="41"/>
  <c r="AF100" i="41"/>
  <c r="AE100" i="41"/>
  <c r="AD100" i="41"/>
  <c r="AC100" i="41"/>
  <c r="AB100" i="41"/>
  <c r="AA100" i="41"/>
  <c r="Z100" i="41"/>
  <c r="Y100" i="41"/>
  <c r="X100" i="41"/>
  <c r="W100" i="41"/>
  <c r="V100" i="41"/>
  <c r="U100" i="41"/>
  <c r="T100" i="41"/>
  <c r="S100" i="41"/>
  <c r="R100" i="41"/>
  <c r="Q100" i="41"/>
  <c r="P100" i="41"/>
  <c r="O100" i="41"/>
  <c r="N100" i="41"/>
  <c r="M100" i="41"/>
  <c r="L100" i="41"/>
  <c r="K100" i="41"/>
  <c r="J100" i="41"/>
  <c r="I100" i="41"/>
  <c r="H100" i="41"/>
  <c r="G100" i="41"/>
  <c r="F100" i="41"/>
  <c r="E100" i="41"/>
  <c r="BJ99" i="41"/>
  <c r="BI99" i="41"/>
  <c r="BG99" i="41"/>
  <c r="BF99" i="41"/>
  <c r="BD99" i="41"/>
  <c r="BC99" i="41"/>
  <c r="BB99" i="41"/>
  <c r="BA99" i="41"/>
  <c r="AY99" i="41"/>
  <c r="AX99" i="41"/>
  <c r="AV99" i="41"/>
  <c r="AU99" i="41"/>
  <c r="AT99" i="41"/>
  <c r="AS99" i="41"/>
  <c r="AR99" i="41"/>
  <c r="AQ99" i="41"/>
  <c r="AP99" i="41"/>
  <c r="AN99" i="41"/>
  <c r="AM99" i="41"/>
  <c r="AL99" i="41"/>
  <c r="AK99" i="41"/>
  <c r="AI99" i="41"/>
  <c r="AH99" i="41"/>
  <c r="AF99" i="41"/>
  <c r="AE99" i="41"/>
  <c r="AD99" i="41"/>
  <c r="AC99" i="41"/>
  <c r="AA99" i="41"/>
  <c r="Z99" i="41"/>
  <c r="X99" i="41"/>
  <c r="W99" i="41"/>
  <c r="V99" i="41"/>
  <c r="U99" i="41"/>
  <c r="S99" i="41"/>
  <c r="R99" i="41"/>
  <c r="P99" i="41"/>
  <c r="O99" i="41"/>
  <c r="N99" i="41"/>
  <c r="M99" i="41"/>
  <c r="K99" i="41"/>
  <c r="J99" i="41"/>
  <c r="H99" i="41"/>
  <c r="G99" i="41"/>
  <c r="F99" i="41"/>
  <c r="E99" i="41"/>
  <c r="BJ98" i="41"/>
  <c r="BI98" i="41"/>
  <c r="BG98" i="41"/>
  <c r="BF98" i="41"/>
  <c r="BE98" i="41"/>
  <c r="BD98" i="41"/>
  <c r="BC98" i="41"/>
  <c r="BB98" i="41"/>
  <c r="BA98" i="41"/>
  <c r="AY98" i="41"/>
  <c r="AX98" i="41"/>
  <c r="AW98" i="41"/>
  <c r="AV98" i="41"/>
  <c r="AU98" i="41"/>
  <c r="AT98" i="41"/>
  <c r="AS98" i="41"/>
  <c r="AR98" i="41"/>
  <c r="AQ98" i="41"/>
  <c r="AP98" i="41"/>
  <c r="AO98" i="41"/>
  <c r="AN98" i="41"/>
  <c r="AM98" i="41"/>
  <c r="AL98" i="41"/>
  <c r="AK98" i="41"/>
  <c r="AJ98" i="41"/>
  <c r="AI98" i="41"/>
  <c r="AH98" i="41"/>
  <c r="AG98" i="41"/>
  <c r="AF98" i="41"/>
  <c r="AE98" i="41"/>
  <c r="AD98" i="41"/>
  <c r="AC98" i="41"/>
  <c r="AB98" i="41"/>
  <c r="AA98" i="41"/>
  <c r="Z98" i="41"/>
  <c r="Y98" i="41"/>
  <c r="X98" i="41"/>
  <c r="W98" i="41"/>
  <c r="V98" i="41"/>
  <c r="U98" i="41"/>
  <c r="T98" i="41"/>
  <c r="S98" i="41"/>
  <c r="R98" i="41"/>
  <c r="Q98" i="41"/>
  <c r="P98" i="41"/>
  <c r="O98" i="41"/>
  <c r="N98" i="41"/>
  <c r="M98" i="41"/>
  <c r="L98" i="41"/>
  <c r="K98" i="41"/>
  <c r="J98" i="41"/>
  <c r="I98" i="41"/>
  <c r="H98" i="41"/>
  <c r="G98" i="41"/>
  <c r="F98" i="41"/>
  <c r="E98" i="41"/>
  <c r="BJ97" i="41"/>
  <c r="BI97" i="41"/>
  <c r="BH97" i="41"/>
  <c r="BG97" i="41"/>
  <c r="BF97" i="41"/>
  <c r="BE97" i="41"/>
  <c r="BD97" i="41"/>
  <c r="BC97" i="41"/>
  <c r="BB97" i="41"/>
  <c r="BA97" i="41"/>
  <c r="AY97" i="41"/>
  <c r="AX97" i="41"/>
  <c r="AW97" i="41"/>
  <c r="AV97" i="41"/>
  <c r="AU97" i="41"/>
  <c r="AT97" i="41"/>
  <c r="AS97" i="41"/>
  <c r="AR97" i="41"/>
  <c r="AQ97" i="41"/>
  <c r="AP97" i="41"/>
  <c r="AO97" i="41"/>
  <c r="AN97" i="41"/>
  <c r="AM97" i="41"/>
  <c r="AL97" i="41"/>
  <c r="AK97" i="41"/>
  <c r="AJ97" i="41"/>
  <c r="AI97" i="41"/>
  <c r="AH97" i="41"/>
  <c r="AG97" i="41"/>
  <c r="AF97" i="41"/>
  <c r="AE97" i="41"/>
  <c r="AD97" i="41"/>
  <c r="AC97" i="41"/>
  <c r="AB97" i="41"/>
  <c r="AA97" i="41"/>
  <c r="Z97" i="41"/>
  <c r="Y97" i="41"/>
  <c r="X97" i="41"/>
  <c r="W97" i="41"/>
  <c r="V97" i="41"/>
  <c r="U97" i="41"/>
  <c r="T97" i="41"/>
  <c r="S97" i="41"/>
  <c r="R97" i="41"/>
  <c r="Q97" i="41"/>
  <c r="P97" i="41"/>
  <c r="O97" i="41"/>
  <c r="N97" i="41"/>
  <c r="M97" i="41"/>
  <c r="L97" i="41"/>
  <c r="K97" i="41"/>
  <c r="J97" i="41"/>
  <c r="I97" i="41"/>
  <c r="H97" i="41"/>
  <c r="G97" i="41"/>
  <c r="F97" i="41"/>
  <c r="E97" i="41"/>
  <c r="BM95" i="41"/>
  <c r="BK95" i="41"/>
  <c r="BJ95" i="41"/>
  <c r="BH95" i="41"/>
  <c r="BF95" i="41"/>
  <c r="BD95" i="41"/>
  <c r="BB95" i="41"/>
  <c r="AZ95" i="41"/>
  <c r="AX95" i="41"/>
  <c r="AV95" i="41"/>
  <c r="AT95" i="41"/>
  <c r="AR95" i="41"/>
  <c r="AP95" i="41"/>
  <c r="AN95" i="41"/>
  <c r="AL95" i="41"/>
  <c r="AJ95" i="41"/>
  <c r="AH95" i="41"/>
  <c r="AF95" i="41"/>
  <c r="AD95" i="41"/>
  <c r="AB95" i="41"/>
  <c r="Z95" i="41"/>
  <c r="X95" i="41"/>
  <c r="V95" i="41"/>
  <c r="T95" i="41"/>
  <c r="R95" i="41"/>
  <c r="P95" i="41"/>
  <c r="N95" i="41"/>
  <c r="L95" i="41"/>
  <c r="J95" i="41"/>
  <c r="H95" i="41"/>
  <c r="F95" i="41"/>
  <c r="B95" i="41"/>
  <c r="BP94" i="41"/>
  <c r="BJ92" i="41"/>
  <c r="BI92" i="41"/>
  <c r="BH92" i="41"/>
  <c r="BG92" i="41"/>
  <c r="BF92" i="41"/>
  <c r="BE92" i="41"/>
  <c r="BD92" i="41"/>
  <c r="BC92" i="41"/>
  <c r="BB92" i="41"/>
  <c r="BA92" i="41"/>
  <c r="AZ92" i="41"/>
  <c r="AY92" i="41"/>
  <c r="AX92" i="41"/>
  <c r="AW92" i="41"/>
  <c r="AV92" i="41"/>
  <c r="AU92" i="41"/>
  <c r="AT92" i="41"/>
  <c r="AS92" i="41"/>
  <c r="AR92" i="41"/>
  <c r="AQ92" i="41"/>
  <c r="AP92" i="41"/>
  <c r="AO92" i="41"/>
  <c r="AN92" i="41"/>
  <c r="AM92" i="41"/>
  <c r="AL92" i="41"/>
  <c r="AK92" i="41"/>
  <c r="AJ92" i="41"/>
  <c r="AI92" i="41"/>
  <c r="AH92" i="41"/>
  <c r="AG92" i="41"/>
  <c r="AF92" i="41"/>
  <c r="AE92" i="41"/>
  <c r="AD92" i="41"/>
  <c r="AC92" i="41"/>
  <c r="AB92" i="41"/>
  <c r="AA92" i="41"/>
  <c r="Z92" i="41"/>
  <c r="Y92" i="41"/>
  <c r="X92" i="41"/>
  <c r="W92" i="41"/>
  <c r="V92" i="41"/>
  <c r="U92" i="41"/>
  <c r="T92" i="41"/>
  <c r="S92" i="41"/>
  <c r="R92" i="41"/>
  <c r="Q92" i="41"/>
  <c r="P92" i="41"/>
  <c r="O92" i="41"/>
  <c r="N92" i="41"/>
  <c r="M92" i="41"/>
  <c r="L92" i="41"/>
  <c r="K92" i="41"/>
  <c r="J92" i="41"/>
  <c r="I92" i="41"/>
  <c r="H92" i="41"/>
  <c r="G92" i="41"/>
  <c r="F92" i="41"/>
  <c r="E92" i="41"/>
  <c r="BJ91" i="41"/>
  <c r="BI91" i="41"/>
  <c r="BG91" i="41"/>
  <c r="BF91" i="41"/>
  <c r="BE91" i="41"/>
  <c r="BD91" i="41"/>
  <c r="BC91" i="41"/>
  <c r="BB91" i="41"/>
  <c r="BA91" i="41"/>
  <c r="AZ91" i="41"/>
  <c r="AY91" i="41"/>
  <c r="AX91" i="41"/>
  <c r="AW91" i="41"/>
  <c r="AV91" i="41"/>
  <c r="AU91" i="41"/>
  <c r="AT91" i="41"/>
  <c r="AS91" i="41"/>
  <c r="AR91" i="41"/>
  <c r="AQ91" i="41"/>
  <c r="AP91" i="41"/>
  <c r="AO91" i="41"/>
  <c r="AN91" i="41"/>
  <c r="AM91" i="41"/>
  <c r="AL91" i="41"/>
  <c r="AK91" i="41"/>
  <c r="AJ91" i="41"/>
  <c r="AI91" i="41"/>
  <c r="AH91" i="41"/>
  <c r="AG91" i="41"/>
  <c r="AF91" i="41"/>
  <c r="AE91" i="41"/>
  <c r="AD91" i="41"/>
  <c r="AC91" i="41"/>
  <c r="AB91" i="41"/>
  <c r="AA91" i="41"/>
  <c r="Z91" i="41"/>
  <c r="Y91" i="41"/>
  <c r="X91" i="41"/>
  <c r="W91" i="41"/>
  <c r="V91" i="41"/>
  <c r="U91" i="41"/>
  <c r="T91" i="41"/>
  <c r="S91" i="41"/>
  <c r="R91" i="41"/>
  <c r="Q91" i="41"/>
  <c r="P91" i="41"/>
  <c r="O91" i="41"/>
  <c r="N91" i="41"/>
  <c r="M91" i="41"/>
  <c r="L91" i="41"/>
  <c r="K91" i="41"/>
  <c r="J91" i="41"/>
  <c r="I91" i="41"/>
  <c r="H91" i="41"/>
  <c r="G91" i="41"/>
  <c r="F91" i="41"/>
  <c r="E91" i="41"/>
  <c r="BI90" i="41"/>
  <c r="BF90" i="41"/>
  <c r="BD90" i="41"/>
  <c r="BC90" i="41"/>
  <c r="BB90" i="41"/>
  <c r="BA90" i="41"/>
  <c r="AT90" i="41"/>
  <c r="AS90" i="41"/>
  <c r="AM90" i="41"/>
  <c r="AH90" i="41"/>
  <c r="AE90" i="41"/>
  <c r="AC90" i="41"/>
  <c r="Z90" i="41"/>
  <c r="W90" i="41"/>
  <c r="U90" i="41"/>
  <c r="M90" i="41"/>
  <c r="J90" i="41"/>
  <c r="E90" i="41"/>
  <c r="BI89" i="41"/>
  <c r="BF89" i="41"/>
  <c r="BD89" i="41"/>
  <c r="BC89" i="41"/>
  <c r="BB89" i="41"/>
  <c r="BA89" i="41"/>
  <c r="AX89" i="41"/>
  <c r="AV89" i="41"/>
  <c r="AU89" i="41"/>
  <c r="AT89" i="41"/>
  <c r="AS89" i="41"/>
  <c r="AR89" i="41"/>
  <c r="AP89" i="41"/>
  <c r="AN89" i="41"/>
  <c r="AM89" i="41"/>
  <c r="AK89" i="41"/>
  <c r="AJ89" i="41"/>
  <c r="AH89" i="41"/>
  <c r="AF89" i="41"/>
  <c r="AE89" i="41"/>
  <c r="AC89" i="41"/>
  <c r="AB89" i="41"/>
  <c r="Z89" i="41"/>
  <c r="Y89" i="41"/>
  <c r="X89" i="41"/>
  <c r="W89" i="41"/>
  <c r="U89" i="41"/>
  <c r="T89" i="41"/>
  <c r="R89" i="41"/>
  <c r="P89" i="41"/>
  <c r="O89" i="41"/>
  <c r="M89" i="41"/>
  <c r="L89" i="41"/>
  <c r="J89" i="41"/>
  <c r="I89" i="41"/>
  <c r="H89" i="41"/>
  <c r="G89" i="41"/>
  <c r="E89" i="41"/>
  <c r="BM88" i="41"/>
  <c r="BK88" i="41"/>
  <c r="BJ88" i="41"/>
  <c r="BI88" i="41"/>
  <c r="BH88" i="41"/>
  <c r="BG88" i="41"/>
  <c r="BF88" i="41"/>
  <c r="BE88" i="41"/>
  <c r="BD88" i="41"/>
  <c r="BC88" i="41"/>
  <c r="BB88" i="41"/>
  <c r="BA88" i="41"/>
  <c r="AZ88" i="41"/>
  <c r="AY88" i="41"/>
  <c r="AX88" i="41"/>
  <c r="AW88" i="41"/>
  <c r="AV88" i="41"/>
  <c r="AU88" i="41"/>
  <c r="AT88" i="41"/>
  <c r="AS88" i="41"/>
  <c r="AR88" i="41"/>
  <c r="AQ88" i="41"/>
  <c r="AP88" i="41"/>
  <c r="AO88" i="41"/>
  <c r="AN88" i="41"/>
  <c r="AM88" i="41"/>
  <c r="AL88" i="41"/>
  <c r="AK88" i="41"/>
  <c r="AJ88" i="41"/>
  <c r="AI88" i="41"/>
  <c r="AH88" i="41"/>
  <c r="AG88" i="41"/>
  <c r="AF88" i="41"/>
  <c r="AE88" i="41"/>
  <c r="AD88" i="41"/>
  <c r="AC88" i="41"/>
  <c r="AB88" i="41"/>
  <c r="AA88" i="41"/>
  <c r="Z88" i="41"/>
  <c r="Y88" i="41"/>
  <c r="X88" i="41"/>
  <c r="W88" i="41"/>
  <c r="V88" i="41"/>
  <c r="U88" i="41"/>
  <c r="T88" i="41"/>
  <c r="S88" i="41"/>
  <c r="R88" i="41"/>
  <c r="Q88" i="41"/>
  <c r="P88" i="41"/>
  <c r="O88" i="41"/>
  <c r="N88" i="41"/>
  <c r="M88" i="41"/>
  <c r="L88" i="41"/>
  <c r="K88" i="41"/>
  <c r="J88" i="41"/>
  <c r="I88" i="41"/>
  <c r="H88" i="41"/>
  <c r="G88" i="41"/>
  <c r="F88" i="41"/>
  <c r="E88" i="41"/>
  <c r="BM87" i="41"/>
  <c r="BK87" i="41"/>
  <c r="BJ87" i="41"/>
  <c r="BI87" i="41"/>
  <c r="BG87" i="41"/>
  <c r="BF87" i="41"/>
  <c r="BE87" i="41"/>
  <c r="BD87" i="41"/>
  <c r="BC87" i="41"/>
  <c r="BB87" i="41"/>
  <c r="BA87" i="41"/>
  <c r="AZ87" i="41"/>
  <c r="AY87" i="41"/>
  <c r="AX87" i="41"/>
  <c r="AW87" i="41"/>
  <c r="AV87" i="41"/>
  <c r="AU87" i="41"/>
  <c r="AT87" i="41"/>
  <c r="AS87" i="41"/>
  <c r="AR87" i="41"/>
  <c r="AQ87" i="41"/>
  <c r="AP87" i="41"/>
  <c r="AO87" i="41"/>
  <c r="AN87" i="41"/>
  <c r="AM87" i="41"/>
  <c r="AL87" i="41"/>
  <c r="AK87" i="41"/>
  <c r="AJ87" i="41"/>
  <c r="AI87" i="41"/>
  <c r="AH87" i="41"/>
  <c r="AG87" i="41"/>
  <c r="AF87" i="41"/>
  <c r="AE87" i="41"/>
  <c r="AD87" i="41"/>
  <c r="AC87" i="41"/>
  <c r="AB87" i="41"/>
  <c r="AA87" i="41"/>
  <c r="Z87" i="41"/>
  <c r="Y87" i="41"/>
  <c r="X87" i="41"/>
  <c r="W87" i="41"/>
  <c r="V87" i="41"/>
  <c r="U87" i="41"/>
  <c r="T87" i="41"/>
  <c r="S87" i="41"/>
  <c r="R87" i="41"/>
  <c r="Q87" i="41"/>
  <c r="P87" i="41"/>
  <c r="O87" i="41"/>
  <c r="N87" i="41"/>
  <c r="M87" i="41"/>
  <c r="L87" i="41"/>
  <c r="K87" i="41"/>
  <c r="J87" i="41"/>
  <c r="I87" i="41"/>
  <c r="H87" i="41"/>
  <c r="G87" i="41"/>
  <c r="F87" i="41"/>
  <c r="E87" i="41"/>
  <c r="BP86" i="41"/>
  <c r="BM86" i="41"/>
  <c r="BK86" i="41"/>
  <c r="BJ86" i="41"/>
  <c r="BI86" i="41"/>
  <c r="BH86" i="41"/>
  <c r="BG86" i="41"/>
  <c r="BF86" i="41"/>
  <c r="BE86" i="41"/>
  <c r="BD86" i="41"/>
  <c r="BC86" i="41"/>
  <c r="BB86" i="41"/>
  <c r="BA86" i="41"/>
  <c r="AZ86" i="41"/>
  <c r="AY86" i="41"/>
  <c r="AW86" i="41"/>
  <c r="AV86" i="41"/>
  <c r="AU86" i="41"/>
  <c r="AR86" i="41"/>
  <c r="AQ86" i="41"/>
  <c r="AO86" i="41"/>
  <c r="AN86" i="41"/>
  <c r="AM86" i="41"/>
  <c r="AL86" i="41"/>
  <c r="AK86" i="41"/>
  <c r="AI86" i="41"/>
  <c r="AH86" i="41"/>
  <c r="AG86" i="41"/>
  <c r="AF86" i="41"/>
  <c r="AE86" i="41"/>
  <c r="AD86" i="41"/>
  <c r="AA86" i="41"/>
  <c r="Z86" i="41"/>
  <c r="Y86" i="41"/>
  <c r="X86" i="41"/>
  <c r="W86" i="41"/>
  <c r="V86" i="41"/>
  <c r="S86" i="41"/>
  <c r="R86" i="41"/>
  <c r="Q86" i="41"/>
  <c r="P86" i="41"/>
  <c r="O86" i="41"/>
  <c r="N86" i="41"/>
  <c r="M86" i="41"/>
  <c r="K86" i="41"/>
  <c r="J86" i="41"/>
  <c r="I86" i="41"/>
  <c r="H86" i="41"/>
  <c r="G86" i="41"/>
  <c r="F86" i="41"/>
  <c r="E86" i="41"/>
  <c r="BM85" i="41"/>
  <c r="BJ85" i="41"/>
  <c r="BI85" i="41"/>
  <c r="BG85" i="41"/>
  <c r="BF85" i="41"/>
  <c r="BE85" i="41"/>
  <c r="BD85" i="41"/>
  <c r="BC85" i="41"/>
  <c r="BB85" i="41"/>
  <c r="BA85" i="41"/>
  <c r="AZ85" i="41"/>
  <c r="AY85" i="41"/>
  <c r="AX85" i="41"/>
  <c r="AW85" i="41"/>
  <c r="AV85" i="41"/>
  <c r="AU85" i="41"/>
  <c r="AT85" i="41"/>
  <c r="AS85" i="41"/>
  <c r="AR85" i="41"/>
  <c r="AQ85" i="41"/>
  <c r="AP85" i="41"/>
  <c r="AO85" i="41"/>
  <c r="AN85" i="41"/>
  <c r="AM85" i="41"/>
  <c r="AL85" i="41"/>
  <c r="AK85" i="41"/>
  <c r="AJ85" i="41"/>
  <c r="AI85" i="41"/>
  <c r="AH85" i="41"/>
  <c r="AG85" i="41"/>
  <c r="AF85" i="41"/>
  <c r="AE85" i="41"/>
  <c r="AD85" i="41"/>
  <c r="AC85" i="41"/>
  <c r="AB85" i="41"/>
  <c r="AA85" i="41"/>
  <c r="Z85" i="41"/>
  <c r="Y85" i="41"/>
  <c r="X85" i="41"/>
  <c r="W85" i="41"/>
  <c r="V85" i="41"/>
  <c r="U85" i="41"/>
  <c r="T85" i="41"/>
  <c r="S85" i="41"/>
  <c r="R85" i="41"/>
  <c r="Q85" i="41"/>
  <c r="P85" i="41"/>
  <c r="O85" i="41"/>
  <c r="N85" i="41"/>
  <c r="M85" i="41"/>
  <c r="L85" i="41"/>
  <c r="K85" i="41"/>
  <c r="J85" i="41"/>
  <c r="I85" i="41"/>
  <c r="H85" i="41"/>
  <c r="G85" i="41"/>
  <c r="F85" i="41"/>
  <c r="E85" i="41"/>
  <c r="BF84" i="41"/>
  <c r="BE84" i="41"/>
  <c r="BD84" i="41"/>
  <c r="BC84" i="41"/>
  <c r="BB84" i="41"/>
  <c r="AO84" i="41"/>
  <c r="AM84" i="41"/>
  <c r="Y84" i="41"/>
  <c r="W84" i="41"/>
  <c r="R84" i="41"/>
  <c r="I84" i="41"/>
  <c r="G84" i="41"/>
  <c r="BJ83" i="41"/>
  <c r="BI83" i="41"/>
  <c r="BH83" i="41"/>
  <c r="BG83" i="41"/>
  <c r="BF83" i="41"/>
  <c r="BE83" i="41"/>
  <c r="BD83" i="41"/>
  <c r="BC83" i="41"/>
  <c r="BB83" i="41"/>
  <c r="BA83" i="41"/>
  <c r="AZ83" i="41"/>
  <c r="AY83" i="41"/>
  <c r="AX83" i="41"/>
  <c r="AW83" i="41"/>
  <c r="AV83" i="41"/>
  <c r="AU83" i="41"/>
  <c r="AT83" i="41"/>
  <c r="AS83" i="41"/>
  <c r="AR83" i="41"/>
  <c r="AQ83" i="41"/>
  <c r="AP83" i="41"/>
  <c r="AO83" i="41"/>
  <c r="AN83" i="41"/>
  <c r="AM83" i="41"/>
  <c r="AL83" i="41"/>
  <c r="AK83" i="41"/>
  <c r="AJ83" i="41"/>
  <c r="AI83" i="41"/>
  <c r="AH83" i="41"/>
  <c r="AG83" i="41"/>
  <c r="AF83" i="41"/>
  <c r="AE83" i="41"/>
  <c r="AD83" i="41"/>
  <c r="AC83" i="41"/>
  <c r="AB83" i="41"/>
  <c r="AA83" i="41"/>
  <c r="Z83" i="41"/>
  <c r="Y83" i="41"/>
  <c r="X83" i="41"/>
  <c r="W83" i="41"/>
  <c r="V83" i="41"/>
  <c r="U83" i="41"/>
  <c r="T83" i="41"/>
  <c r="S83" i="41"/>
  <c r="R83" i="41"/>
  <c r="Q83" i="41"/>
  <c r="P83" i="41"/>
  <c r="O83" i="41"/>
  <c r="N83" i="41"/>
  <c r="M83" i="41"/>
  <c r="L83" i="41"/>
  <c r="K83" i="41"/>
  <c r="J83" i="41"/>
  <c r="I83" i="41"/>
  <c r="H83" i="41"/>
  <c r="G83" i="41"/>
  <c r="F83" i="41"/>
  <c r="E83" i="41"/>
  <c r="BJ82" i="41"/>
  <c r="BI82" i="41"/>
  <c r="BH82" i="41"/>
  <c r="BG82" i="41"/>
  <c r="BF82" i="41"/>
  <c r="BE82" i="41"/>
  <c r="BD82" i="41"/>
  <c r="BC82" i="41"/>
  <c r="BB82" i="41"/>
  <c r="BA82" i="41"/>
  <c r="AZ82" i="41"/>
  <c r="AY82" i="41"/>
  <c r="AX82" i="41"/>
  <c r="AW82" i="41"/>
  <c r="AV82" i="41"/>
  <c r="AU82" i="41"/>
  <c r="AT82" i="41"/>
  <c r="AS82" i="41"/>
  <c r="AR82" i="41"/>
  <c r="AQ82" i="41"/>
  <c r="AP82" i="41"/>
  <c r="AO82" i="41"/>
  <c r="AN82" i="41"/>
  <c r="AM82" i="41"/>
  <c r="AL82" i="41"/>
  <c r="AK82" i="41"/>
  <c r="AJ82" i="41"/>
  <c r="AI82" i="41"/>
  <c r="AH82" i="41"/>
  <c r="AG82" i="41"/>
  <c r="AF82" i="41"/>
  <c r="AE82" i="41"/>
  <c r="AD82" i="41"/>
  <c r="AC82" i="41"/>
  <c r="AB82" i="41"/>
  <c r="AA82" i="41"/>
  <c r="Z82" i="41"/>
  <c r="Y82" i="41"/>
  <c r="X82" i="41"/>
  <c r="W82" i="41"/>
  <c r="V82" i="41"/>
  <c r="U82" i="41"/>
  <c r="T82" i="41"/>
  <c r="S82" i="41"/>
  <c r="R82" i="41"/>
  <c r="Q82" i="41"/>
  <c r="P82" i="41"/>
  <c r="O82" i="41"/>
  <c r="N82" i="41"/>
  <c r="M82" i="41"/>
  <c r="L82" i="41"/>
  <c r="K82" i="41"/>
  <c r="J82" i="41"/>
  <c r="I82" i="41"/>
  <c r="H82" i="41"/>
  <c r="G82" i="41"/>
  <c r="F82" i="41"/>
  <c r="E82" i="41"/>
  <c r="BI81" i="41"/>
  <c r="BF81" i="41"/>
  <c r="BD81" i="41"/>
  <c r="BB81" i="41"/>
  <c r="AX81" i="41"/>
  <c r="AU81" i="41"/>
  <c r="AR81" i="41"/>
  <c r="AP81" i="41"/>
  <c r="AN81" i="41"/>
  <c r="AK81" i="41"/>
  <c r="AJ81" i="41"/>
  <c r="AE81" i="41"/>
  <c r="AB81" i="41"/>
  <c r="X81" i="41"/>
  <c r="U81" i="41"/>
  <c r="R81" i="41"/>
  <c r="L81" i="41"/>
  <c r="J81" i="41"/>
  <c r="H81" i="41"/>
  <c r="E81" i="41"/>
  <c r="BJ80" i="41"/>
  <c r="BI80" i="41"/>
  <c r="BH80" i="41"/>
  <c r="BG80" i="41"/>
  <c r="BF80" i="41"/>
  <c r="BE80" i="41"/>
  <c r="BD80" i="41"/>
  <c r="BC80" i="41"/>
  <c r="BB80" i="41"/>
  <c r="BA80" i="41"/>
  <c r="AY80" i="41"/>
  <c r="AX80" i="41"/>
  <c r="AW80" i="41"/>
  <c r="AV80" i="41"/>
  <c r="AU80" i="41"/>
  <c r="AT80" i="41"/>
  <c r="AS80" i="41"/>
  <c r="AR80" i="41"/>
  <c r="AQ80" i="41"/>
  <c r="AP80" i="41"/>
  <c r="AO80" i="41"/>
  <c r="AN80" i="41"/>
  <c r="AM80" i="41"/>
  <c r="AL80" i="41"/>
  <c r="AK80" i="41"/>
  <c r="AJ80" i="41"/>
  <c r="AI80" i="41"/>
  <c r="AH80" i="41"/>
  <c r="AG80" i="41"/>
  <c r="AF80" i="41"/>
  <c r="AE80" i="41"/>
  <c r="AD80" i="41"/>
  <c r="AC80" i="41"/>
  <c r="AB80" i="41"/>
  <c r="AA80" i="41"/>
  <c r="Z80" i="41"/>
  <c r="Y80" i="41"/>
  <c r="X80" i="41"/>
  <c r="W80" i="41"/>
  <c r="V80" i="41"/>
  <c r="U80" i="41"/>
  <c r="T80" i="41"/>
  <c r="S80" i="41"/>
  <c r="R80" i="41"/>
  <c r="Q80" i="41"/>
  <c r="P80" i="41"/>
  <c r="O80" i="41"/>
  <c r="N80" i="41"/>
  <c r="M80" i="41"/>
  <c r="L80" i="41"/>
  <c r="K80" i="41"/>
  <c r="J80" i="41"/>
  <c r="I80" i="41"/>
  <c r="H80" i="41"/>
  <c r="G80" i="41"/>
  <c r="F80" i="41"/>
  <c r="E80" i="41"/>
  <c r="BJ79" i="41"/>
  <c r="BI79" i="41"/>
  <c r="BH79" i="41"/>
  <c r="BG79" i="41"/>
  <c r="BF79" i="41"/>
  <c r="BE79" i="41"/>
  <c r="BD79" i="41"/>
  <c r="BC79" i="41"/>
  <c r="BB79" i="41"/>
  <c r="BA79" i="41"/>
  <c r="AY79" i="41"/>
  <c r="AX79" i="41"/>
  <c r="AW79" i="41"/>
  <c r="AV79" i="41"/>
  <c r="AU79" i="41"/>
  <c r="AT79" i="41"/>
  <c r="AS79" i="41"/>
  <c r="AR79" i="41"/>
  <c r="AQ79" i="41"/>
  <c r="AP79" i="41"/>
  <c r="AO79" i="41"/>
  <c r="AN79" i="41"/>
  <c r="AM79" i="41"/>
  <c r="AL79" i="41"/>
  <c r="AK79" i="41"/>
  <c r="AJ79" i="41"/>
  <c r="AI79" i="41"/>
  <c r="AH79" i="41"/>
  <c r="AG79" i="41"/>
  <c r="AF79" i="41"/>
  <c r="AE79" i="41"/>
  <c r="AD79" i="41"/>
  <c r="AC79" i="41"/>
  <c r="AB79" i="41"/>
  <c r="AA79" i="41"/>
  <c r="Z79" i="41"/>
  <c r="Y79" i="41"/>
  <c r="X79" i="41"/>
  <c r="W79" i="41"/>
  <c r="V79" i="41"/>
  <c r="U79" i="41"/>
  <c r="T79" i="41"/>
  <c r="S79" i="41"/>
  <c r="R79" i="41"/>
  <c r="Q79" i="41"/>
  <c r="P79" i="41"/>
  <c r="O79" i="41"/>
  <c r="N79" i="41"/>
  <c r="M79" i="41"/>
  <c r="L79" i="41"/>
  <c r="K79" i="41"/>
  <c r="J79" i="41"/>
  <c r="I79" i="41"/>
  <c r="H79" i="41"/>
  <c r="G79" i="41"/>
  <c r="F79" i="41"/>
  <c r="E79" i="41"/>
  <c r="BJ78" i="41"/>
  <c r="BI78" i="41"/>
  <c r="BH78" i="41"/>
  <c r="BG78" i="41"/>
  <c r="BF78" i="41"/>
  <c r="BE78" i="41"/>
  <c r="BD78" i="41"/>
  <c r="BC78" i="41"/>
  <c r="BB78" i="41"/>
  <c r="BA78" i="41"/>
  <c r="AY78" i="41"/>
  <c r="AX78" i="41"/>
  <c r="AW78" i="41"/>
  <c r="AV78" i="41"/>
  <c r="AU78" i="41"/>
  <c r="AT78" i="41"/>
  <c r="AS78" i="41"/>
  <c r="AR78" i="41"/>
  <c r="AQ78" i="41"/>
  <c r="AP78" i="41"/>
  <c r="AO78" i="41"/>
  <c r="AN78" i="41"/>
  <c r="AM78" i="41"/>
  <c r="AL78" i="41"/>
  <c r="AK78" i="41"/>
  <c r="AJ78" i="41"/>
  <c r="AI78" i="41"/>
  <c r="AH78" i="41"/>
  <c r="AG78" i="41"/>
  <c r="AF78" i="41"/>
  <c r="AE78" i="41"/>
  <c r="AD78" i="41"/>
  <c r="AC78" i="41"/>
  <c r="AB78" i="41"/>
  <c r="AA78" i="41"/>
  <c r="Z78" i="41"/>
  <c r="Y78" i="41"/>
  <c r="X78" i="41"/>
  <c r="W78" i="41"/>
  <c r="V78" i="41"/>
  <c r="U78" i="41"/>
  <c r="T78" i="41"/>
  <c r="S78" i="41"/>
  <c r="R78" i="41"/>
  <c r="Q78" i="41"/>
  <c r="P78" i="41"/>
  <c r="O78" i="41"/>
  <c r="N78" i="41"/>
  <c r="M78" i="41"/>
  <c r="L78" i="41"/>
  <c r="K78" i="41"/>
  <c r="J78" i="41"/>
  <c r="I78" i="41"/>
  <c r="H78" i="41"/>
  <c r="G78" i="41"/>
  <c r="F78" i="41"/>
  <c r="E78" i="41"/>
  <c r="BJ77" i="41"/>
  <c r="BI77" i="41"/>
  <c r="BF77" i="41"/>
  <c r="BE77" i="41"/>
  <c r="BD77" i="41"/>
  <c r="BC77" i="41"/>
  <c r="BB77" i="41"/>
  <c r="BA77" i="41"/>
  <c r="AX77" i="41"/>
  <c r="AW77" i="41"/>
  <c r="AV77" i="41"/>
  <c r="AU77" i="41"/>
  <c r="AT77" i="41"/>
  <c r="AS77" i="41"/>
  <c r="AR77" i="41"/>
  <c r="AP77" i="41"/>
  <c r="AO77" i="41"/>
  <c r="AN77" i="41"/>
  <c r="AM77" i="41"/>
  <c r="AL77" i="41"/>
  <c r="AK77" i="41"/>
  <c r="AJ77" i="41"/>
  <c r="AH77" i="41"/>
  <c r="AG77" i="41"/>
  <c r="AF77" i="41"/>
  <c r="AE77" i="41"/>
  <c r="AD77" i="41"/>
  <c r="AC77" i="41"/>
  <c r="AB77" i="41"/>
  <c r="Z77" i="41"/>
  <c r="Y77" i="41"/>
  <c r="X77" i="41"/>
  <c r="W77" i="41"/>
  <c r="V77" i="41"/>
  <c r="U77" i="41"/>
  <c r="T77" i="41"/>
  <c r="R77" i="41"/>
  <c r="Q77" i="41"/>
  <c r="P77" i="41"/>
  <c r="O77" i="41"/>
  <c r="N77" i="41"/>
  <c r="M77" i="41"/>
  <c r="L77" i="41"/>
  <c r="J77" i="41"/>
  <c r="I77" i="41"/>
  <c r="H77" i="41"/>
  <c r="G77" i="41"/>
  <c r="F77" i="41"/>
  <c r="E77" i="41"/>
  <c r="BJ76" i="41"/>
  <c r="BI76" i="41"/>
  <c r="BH76" i="41"/>
  <c r="BG76" i="41"/>
  <c r="BF76" i="41"/>
  <c r="BE76" i="41"/>
  <c r="BD76" i="41"/>
  <c r="BC76" i="41"/>
  <c r="BB76" i="41"/>
  <c r="BA76" i="41"/>
  <c r="AY76" i="41"/>
  <c r="AX76" i="41"/>
  <c r="AW76" i="41"/>
  <c r="AV76" i="41"/>
  <c r="AU76" i="41"/>
  <c r="AT76" i="41"/>
  <c r="AS76" i="41"/>
  <c r="AR76" i="41"/>
  <c r="AQ76" i="41"/>
  <c r="AP76" i="41"/>
  <c r="AO76" i="41"/>
  <c r="AN76" i="41"/>
  <c r="AM76" i="41"/>
  <c r="AL76" i="41"/>
  <c r="AK76" i="41"/>
  <c r="AJ76" i="41"/>
  <c r="AI76" i="41"/>
  <c r="AH76" i="41"/>
  <c r="AG76" i="41"/>
  <c r="AF76" i="41"/>
  <c r="AE76" i="41"/>
  <c r="AD76" i="41"/>
  <c r="AC76" i="41"/>
  <c r="AB76" i="41"/>
  <c r="AA76" i="41"/>
  <c r="Z76" i="41"/>
  <c r="Y76" i="41"/>
  <c r="X76" i="41"/>
  <c r="W76" i="41"/>
  <c r="V76" i="41"/>
  <c r="U76" i="41"/>
  <c r="T76" i="41"/>
  <c r="S76" i="41"/>
  <c r="R76" i="41"/>
  <c r="Q76" i="41"/>
  <c r="P76" i="41"/>
  <c r="O76" i="41"/>
  <c r="N76" i="41"/>
  <c r="M76" i="41"/>
  <c r="L76" i="41"/>
  <c r="K76" i="41"/>
  <c r="J76" i="41"/>
  <c r="I76" i="41"/>
  <c r="H76" i="41"/>
  <c r="G76" i="41"/>
  <c r="F76" i="41"/>
  <c r="E76" i="41"/>
  <c r="BJ75" i="41"/>
  <c r="BI75" i="41"/>
  <c r="BH75" i="41"/>
  <c r="BG75" i="41"/>
  <c r="BF75" i="41"/>
  <c r="BE75" i="41"/>
  <c r="BD75" i="41"/>
  <c r="BC75" i="41"/>
  <c r="BB75" i="41"/>
  <c r="BA75" i="41"/>
  <c r="AY75" i="41"/>
  <c r="AX75" i="41"/>
  <c r="AW75" i="41"/>
  <c r="AV75" i="41"/>
  <c r="AU75" i="41"/>
  <c r="AT75" i="41"/>
  <c r="AS75" i="41"/>
  <c r="AR75" i="41"/>
  <c r="AQ75" i="41"/>
  <c r="AP75" i="41"/>
  <c r="AO75" i="41"/>
  <c r="AN75" i="41"/>
  <c r="AM75" i="41"/>
  <c r="AL75" i="41"/>
  <c r="AK75" i="41"/>
  <c r="AJ75" i="41"/>
  <c r="AI75" i="41"/>
  <c r="AH75" i="41"/>
  <c r="AG75" i="41"/>
  <c r="AF75" i="41"/>
  <c r="AE75" i="41"/>
  <c r="AD75" i="41"/>
  <c r="AC75" i="41"/>
  <c r="AB75" i="41"/>
  <c r="AA75" i="41"/>
  <c r="Z75" i="41"/>
  <c r="Y75" i="41"/>
  <c r="X75" i="41"/>
  <c r="W75" i="41"/>
  <c r="V75" i="41"/>
  <c r="U75" i="41"/>
  <c r="T75" i="41"/>
  <c r="S75" i="41"/>
  <c r="R75" i="41"/>
  <c r="Q75" i="41"/>
  <c r="P75" i="41"/>
  <c r="O75" i="41"/>
  <c r="N75" i="41"/>
  <c r="M75" i="41"/>
  <c r="L75" i="41"/>
  <c r="K75" i="41"/>
  <c r="J75" i="41"/>
  <c r="I75" i="41"/>
  <c r="H75" i="41"/>
  <c r="G75" i="41"/>
  <c r="F75" i="41"/>
  <c r="E75" i="41"/>
  <c r="BM73" i="41"/>
  <c r="BK73" i="41"/>
  <c r="BJ73" i="41"/>
  <c r="BH73" i="41"/>
  <c r="BF73" i="41"/>
  <c r="BD73" i="41"/>
  <c r="BB73" i="41"/>
  <c r="AZ73" i="41"/>
  <c r="AX73" i="41"/>
  <c r="AV73" i="41"/>
  <c r="AT73" i="41"/>
  <c r="AR73" i="41"/>
  <c r="AP73" i="41"/>
  <c r="AN73" i="41"/>
  <c r="AL73" i="41"/>
  <c r="AJ73" i="41"/>
  <c r="AH73" i="41"/>
  <c r="AF73" i="41"/>
  <c r="AD73" i="41"/>
  <c r="AB73" i="41"/>
  <c r="Z73" i="41"/>
  <c r="X73" i="41"/>
  <c r="V73" i="41"/>
  <c r="T73" i="41"/>
  <c r="R73" i="41"/>
  <c r="P73" i="41"/>
  <c r="N73" i="41"/>
  <c r="L73" i="41"/>
  <c r="J73" i="41"/>
  <c r="H73" i="41"/>
  <c r="F73" i="41"/>
  <c r="B73" i="41"/>
  <c r="BP72" i="41"/>
  <c r="BJ70" i="41"/>
  <c r="BI70" i="41"/>
  <c r="BH70" i="41"/>
  <c r="BG70" i="41"/>
  <c r="BF70" i="41"/>
  <c r="BE70" i="41"/>
  <c r="BD70" i="41"/>
  <c r="BC70" i="41"/>
  <c r="BB70" i="41"/>
  <c r="BA70" i="41"/>
  <c r="AZ70" i="41"/>
  <c r="AY70" i="41"/>
  <c r="AX70" i="41"/>
  <c r="AW70" i="41"/>
  <c r="AV70" i="41"/>
  <c r="AU70" i="41"/>
  <c r="AT70" i="41"/>
  <c r="AS70" i="41"/>
  <c r="AR70" i="41"/>
  <c r="AQ70" i="41"/>
  <c r="AP70" i="41"/>
  <c r="AO70" i="41"/>
  <c r="AN70" i="41"/>
  <c r="AM70" i="41"/>
  <c r="AL70" i="41"/>
  <c r="AK70" i="41"/>
  <c r="AJ70" i="41"/>
  <c r="AI70" i="41"/>
  <c r="AH70" i="41"/>
  <c r="AG70" i="41"/>
  <c r="AF70" i="41"/>
  <c r="AE70" i="41"/>
  <c r="AD70" i="41"/>
  <c r="AC70" i="41"/>
  <c r="AB70" i="41"/>
  <c r="AA70" i="41"/>
  <c r="Z70" i="41"/>
  <c r="Y70" i="41"/>
  <c r="X70" i="41"/>
  <c r="W70" i="41"/>
  <c r="V70" i="41"/>
  <c r="U70" i="41"/>
  <c r="T70" i="41"/>
  <c r="S70" i="41"/>
  <c r="R70" i="41"/>
  <c r="Q70" i="41"/>
  <c r="P70" i="41"/>
  <c r="O70" i="41"/>
  <c r="N70" i="41"/>
  <c r="M70" i="41"/>
  <c r="L70" i="41"/>
  <c r="K70" i="41"/>
  <c r="J70" i="41"/>
  <c r="I70" i="41"/>
  <c r="H70" i="41"/>
  <c r="G70" i="41"/>
  <c r="F70" i="41"/>
  <c r="E70" i="41"/>
  <c r="BJ69" i="41"/>
  <c r="BI69" i="41"/>
  <c r="BH69" i="41"/>
  <c r="BG69" i="41"/>
  <c r="BF69" i="41"/>
  <c r="BE69" i="41"/>
  <c r="BD69" i="41"/>
  <c r="BC69" i="41"/>
  <c r="BB69" i="41"/>
  <c r="BA69" i="41"/>
  <c r="AZ69" i="41"/>
  <c r="AY69" i="41"/>
  <c r="AX69" i="41"/>
  <c r="AW69" i="41"/>
  <c r="AV69" i="41"/>
  <c r="AU69" i="41"/>
  <c r="AT69" i="41"/>
  <c r="AS69" i="41"/>
  <c r="AR69" i="41"/>
  <c r="AQ69" i="41"/>
  <c r="AP69" i="41"/>
  <c r="AO69" i="41"/>
  <c r="AN69" i="41"/>
  <c r="AM69" i="41"/>
  <c r="AL69" i="41"/>
  <c r="AK69" i="41"/>
  <c r="AJ69" i="41"/>
  <c r="AI69" i="41"/>
  <c r="AH69" i="41"/>
  <c r="AG69" i="41"/>
  <c r="AF69" i="41"/>
  <c r="AE69" i="41"/>
  <c r="AD69" i="41"/>
  <c r="AC69" i="41"/>
  <c r="AB69" i="41"/>
  <c r="AA69" i="41"/>
  <c r="Z69" i="41"/>
  <c r="Y69" i="41"/>
  <c r="X69" i="41"/>
  <c r="W69" i="41"/>
  <c r="V69" i="41"/>
  <c r="U69" i="41"/>
  <c r="T69" i="41"/>
  <c r="S69" i="41"/>
  <c r="R69" i="41"/>
  <c r="Q69" i="41"/>
  <c r="P69" i="41"/>
  <c r="O69" i="41"/>
  <c r="N69" i="41"/>
  <c r="M69" i="41"/>
  <c r="L69" i="41"/>
  <c r="K69" i="41"/>
  <c r="J69" i="41"/>
  <c r="I69" i="41"/>
  <c r="H69" i="41"/>
  <c r="G69" i="41"/>
  <c r="F69" i="41"/>
  <c r="E69" i="41"/>
  <c r="BF68" i="41"/>
  <c r="BD68" i="41"/>
  <c r="BB68" i="41"/>
  <c r="AW68" i="41"/>
  <c r="AU68" i="41"/>
  <c r="AT68" i="41"/>
  <c r="AP68" i="41"/>
  <c r="AO68" i="41"/>
  <c r="AM68" i="41"/>
  <c r="AL68" i="41"/>
  <c r="AJ68" i="41"/>
  <c r="AG68" i="41"/>
  <c r="AB68" i="41"/>
  <c r="Y68" i="41"/>
  <c r="W68" i="41"/>
  <c r="V68" i="41"/>
  <c r="T68" i="41"/>
  <c r="Q68" i="41"/>
  <c r="O68" i="41"/>
  <c r="L68" i="41"/>
  <c r="J68" i="41"/>
  <c r="G68" i="41"/>
  <c r="BJ67" i="41"/>
  <c r="BI67" i="41"/>
  <c r="BH67" i="41"/>
  <c r="BF67" i="41"/>
  <c r="BE67" i="41"/>
  <c r="BD67" i="41"/>
  <c r="BC67" i="41"/>
  <c r="BB67" i="41"/>
  <c r="BA67" i="41"/>
  <c r="AX67" i="41"/>
  <c r="AW67" i="41"/>
  <c r="AV67" i="41"/>
  <c r="AU67" i="41"/>
  <c r="AT67" i="41"/>
  <c r="AS67" i="41"/>
  <c r="AR67" i="41"/>
  <c r="AP67" i="41"/>
  <c r="AO67" i="41"/>
  <c r="AN67" i="41"/>
  <c r="AM67" i="41"/>
  <c r="AL67" i="41"/>
  <c r="AK67" i="41"/>
  <c r="AJ67" i="41"/>
  <c r="AH67" i="41"/>
  <c r="AG67" i="41"/>
  <c r="AF67" i="41"/>
  <c r="AE67" i="41"/>
  <c r="AD67" i="41"/>
  <c r="AC67" i="41"/>
  <c r="AB67" i="41"/>
  <c r="Z67" i="41"/>
  <c r="Y67" i="41"/>
  <c r="X67" i="41"/>
  <c r="W67" i="41"/>
  <c r="V67" i="41"/>
  <c r="U67" i="41"/>
  <c r="T67" i="41"/>
  <c r="R67" i="41"/>
  <c r="Q67" i="41"/>
  <c r="P67" i="41"/>
  <c r="O67" i="41"/>
  <c r="N67" i="41"/>
  <c r="M67" i="41"/>
  <c r="L67" i="41"/>
  <c r="J67" i="41"/>
  <c r="I67" i="41"/>
  <c r="H67" i="41"/>
  <c r="G67" i="41"/>
  <c r="F67" i="41"/>
  <c r="E67" i="41"/>
  <c r="BM66" i="41"/>
  <c r="BK66" i="41"/>
  <c r="BJ66" i="41"/>
  <c r="BI66" i="41"/>
  <c r="BH66" i="41"/>
  <c r="BG66" i="41"/>
  <c r="BF66" i="41"/>
  <c r="BE66" i="41"/>
  <c r="BD66" i="41"/>
  <c r="BC66" i="41"/>
  <c r="BB66" i="41"/>
  <c r="BA66" i="41"/>
  <c r="AZ66" i="41"/>
  <c r="AY66" i="41"/>
  <c r="AX66" i="41"/>
  <c r="AW66" i="41"/>
  <c r="AV66" i="41"/>
  <c r="AU66" i="41"/>
  <c r="AT66" i="41"/>
  <c r="AS66" i="41"/>
  <c r="AR66" i="41"/>
  <c r="AQ66" i="41"/>
  <c r="AP66" i="41"/>
  <c r="AO66" i="41"/>
  <c r="AN66" i="41"/>
  <c r="AM66" i="41"/>
  <c r="AL66" i="41"/>
  <c r="AK66" i="41"/>
  <c r="AJ66" i="41"/>
  <c r="AI66" i="41"/>
  <c r="AH66" i="41"/>
  <c r="AG66" i="41"/>
  <c r="AF66" i="41"/>
  <c r="AE66" i="41"/>
  <c r="AD66" i="41"/>
  <c r="AC66" i="41"/>
  <c r="AB66" i="41"/>
  <c r="AA66" i="41"/>
  <c r="Z66" i="41"/>
  <c r="Y66" i="41"/>
  <c r="X66" i="41"/>
  <c r="W66" i="41"/>
  <c r="V66" i="41"/>
  <c r="U66" i="41"/>
  <c r="T66" i="41"/>
  <c r="S66" i="41"/>
  <c r="R66" i="41"/>
  <c r="Q66" i="41"/>
  <c r="P66" i="41"/>
  <c r="O66" i="41"/>
  <c r="N66" i="41"/>
  <c r="M66" i="41"/>
  <c r="L66" i="41"/>
  <c r="K66" i="41"/>
  <c r="J66" i="41"/>
  <c r="I66" i="41"/>
  <c r="H66" i="41"/>
  <c r="G66" i="41"/>
  <c r="F66" i="41"/>
  <c r="E66" i="41"/>
  <c r="BM65" i="41"/>
  <c r="BK65" i="41"/>
  <c r="BJ65" i="41"/>
  <c r="BI65" i="41"/>
  <c r="BG65" i="41"/>
  <c r="BF65" i="41"/>
  <c r="BE65" i="41"/>
  <c r="BD65" i="41"/>
  <c r="BC65" i="41"/>
  <c r="BB65" i="41"/>
  <c r="BA65" i="41"/>
  <c r="AZ65" i="41"/>
  <c r="AY65" i="41"/>
  <c r="AX65" i="41"/>
  <c r="AW65" i="41"/>
  <c r="AV65" i="41"/>
  <c r="AU65" i="41"/>
  <c r="AT65" i="41"/>
  <c r="AS65" i="41"/>
  <c r="AR65" i="41"/>
  <c r="AQ65" i="41"/>
  <c r="AP65" i="41"/>
  <c r="AO65" i="41"/>
  <c r="AN65" i="41"/>
  <c r="AM65" i="41"/>
  <c r="AL65" i="41"/>
  <c r="AK65" i="41"/>
  <c r="AJ65" i="41"/>
  <c r="AI65" i="41"/>
  <c r="AH65" i="41"/>
  <c r="AG65" i="41"/>
  <c r="AF65" i="41"/>
  <c r="AE65" i="41"/>
  <c r="AD65" i="41"/>
  <c r="AC65" i="41"/>
  <c r="AB65" i="41"/>
  <c r="AA65" i="41"/>
  <c r="Z65" i="41"/>
  <c r="Y65" i="41"/>
  <c r="X65" i="41"/>
  <c r="W65" i="41"/>
  <c r="V65" i="41"/>
  <c r="U65" i="41"/>
  <c r="T65" i="41"/>
  <c r="S65" i="41"/>
  <c r="R65" i="41"/>
  <c r="Q65" i="41"/>
  <c r="P65" i="41"/>
  <c r="O65" i="41"/>
  <c r="N65" i="41"/>
  <c r="M65" i="41"/>
  <c r="L65" i="41"/>
  <c r="K65" i="41"/>
  <c r="J65" i="41"/>
  <c r="I65" i="41"/>
  <c r="H65" i="41"/>
  <c r="G65" i="41"/>
  <c r="F65" i="41"/>
  <c r="E65" i="41"/>
  <c r="BP64" i="41"/>
  <c r="BM64" i="41"/>
  <c r="BK64" i="41"/>
  <c r="BI64" i="41"/>
  <c r="BG64" i="41"/>
  <c r="BF64" i="41"/>
  <c r="BE64" i="41"/>
  <c r="BD64" i="41"/>
  <c r="BB64" i="41"/>
  <c r="BA64" i="41"/>
  <c r="AZ64" i="41"/>
  <c r="AY64" i="41"/>
  <c r="AX64" i="41"/>
  <c r="AW64" i="41"/>
  <c r="AV64" i="41"/>
  <c r="AT64" i="41"/>
  <c r="AS64" i="41"/>
  <c r="AR64" i="41"/>
  <c r="AQ64" i="41"/>
  <c r="AP64" i="41"/>
  <c r="AO64" i="41"/>
  <c r="AN64" i="41"/>
  <c r="AK64" i="41"/>
  <c r="AJ64" i="41"/>
  <c r="AI64" i="41"/>
  <c r="AH64" i="41"/>
  <c r="AG64" i="41"/>
  <c r="AF64" i="41"/>
  <c r="AC64" i="41"/>
  <c r="AB64" i="41"/>
  <c r="AA64" i="41"/>
  <c r="Z64" i="41"/>
  <c r="Y64" i="41"/>
  <c r="X64" i="41"/>
  <c r="U64" i="41"/>
  <c r="T64" i="41"/>
  <c r="S64" i="41"/>
  <c r="R64" i="41"/>
  <c r="Q64" i="41"/>
  <c r="P64" i="41"/>
  <c r="M64" i="41"/>
  <c r="L64" i="41"/>
  <c r="K64" i="41"/>
  <c r="J64" i="41"/>
  <c r="I64" i="41"/>
  <c r="H64" i="41"/>
  <c r="E64" i="41"/>
  <c r="BM63" i="41"/>
  <c r="BJ63" i="41"/>
  <c r="BI63" i="41"/>
  <c r="BH63" i="41"/>
  <c r="BG63" i="41"/>
  <c r="BF63" i="41"/>
  <c r="BE63" i="41"/>
  <c r="BD63" i="41"/>
  <c r="BC63" i="41"/>
  <c r="BB63" i="41"/>
  <c r="BA63" i="41"/>
  <c r="AZ63" i="41"/>
  <c r="AY63" i="41"/>
  <c r="AX63" i="41"/>
  <c r="AW63" i="41"/>
  <c r="AV63" i="41"/>
  <c r="AU63" i="41"/>
  <c r="AT63" i="41"/>
  <c r="AS63" i="41"/>
  <c r="AR63" i="41"/>
  <c r="AQ63" i="41"/>
  <c r="AP63" i="41"/>
  <c r="AO63" i="41"/>
  <c r="AN63" i="41"/>
  <c r="AM63" i="41"/>
  <c r="AL63" i="41"/>
  <c r="AK63" i="41"/>
  <c r="AJ63" i="41"/>
  <c r="AI63" i="41"/>
  <c r="AH63" i="41"/>
  <c r="AG63" i="41"/>
  <c r="AF63" i="41"/>
  <c r="AE63" i="41"/>
  <c r="AD63" i="41"/>
  <c r="AC63" i="41"/>
  <c r="AB63" i="41"/>
  <c r="AA63" i="41"/>
  <c r="Z63" i="41"/>
  <c r="Y63" i="41"/>
  <c r="X63" i="41"/>
  <c r="W63" i="41"/>
  <c r="V63" i="41"/>
  <c r="U63" i="41"/>
  <c r="T63" i="41"/>
  <c r="S63" i="41"/>
  <c r="R63" i="41"/>
  <c r="Q63" i="41"/>
  <c r="P63" i="41"/>
  <c r="O63" i="41"/>
  <c r="N63" i="41"/>
  <c r="M63" i="41"/>
  <c r="L63" i="41"/>
  <c r="K63" i="41"/>
  <c r="J63" i="41"/>
  <c r="I63" i="41"/>
  <c r="H63" i="41"/>
  <c r="G63" i="41"/>
  <c r="F63" i="41"/>
  <c r="E63" i="41"/>
  <c r="BF62" i="41"/>
  <c r="BE62" i="41"/>
  <c r="BD62" i="41"/>
  <c r="BC62" i="41"/>
  <c r="BB62" i="41"/>
  <c r="AX62" i="41"/>
  <c r="AU62" i="41"/>
  <c r="AT62" i="41"/>
  <c r="AP62" i="41"/>
  <c r="AO62" i="41"/>
  <c r="AL62" i="41"/>
  <c r="AJ62" i="41"/>
  <c r="AI62" i="41"/>
  <c r="AH62" i="41"/>
  <c r="Z62" i="41"/>
  <c r="W62" i="41"/>
  <c r="T62" i="41"/>
  <c r="S62" i="41"/>
  <c r="Q62" i="41"/>
  <c r="O62" i="41"/>
  <c r="J62" i="41"/>
  <c r="F62" i="41"/>
  <c r="BJ61" i="41"/>
  <c r="BI61" i="41"/>
  <c r="BH61" i="41"/>
  <c r="BG61" i="41"/>
  <c r="BF61" i="41"/>
  <c r="BE61" i="41"/>
  <c r="BD61" i="41"/>
  <c r="BC61" i="41"/>
  <c r="BB61" i="41"/>
  <c r="BA61" i="41"/>
  <c r="AZ61" i="41"/>
  <c r="AY61" i="41"/>
  <c r="AX61" i="41"/>
  <c r="AW61" i="41"/>
  <c r="AV61" i="41"/>
  <c r="AU61" i="41"/>
  <c r="AT61" i="41"/>
  <c r="AS61" i="41"/>
  <c r="AR61" i="41"/>
  <c r="AQ61" i="41"/>
  <c r="AP61" i="41"/>
  <c r="AO61" i="41"/>
  <c r="AN61" i="41"/>
  <c r="AM61" i="41"/>
  <c r="AL61" i="41"/>
  <c r="AK61" i="41"/>
  <c r="AJ61" i="41"/>
  <c r="AI61" i="41"/>
  <c r="AH61" i="41"/>
  <c r="AG61" i="41"/>
  <c r="AF61" i="41"/>
  <c r="AE61" i="41"/>
  <c r="AD61" i="41"/>
  <c r="AC61" i="41"/>
  <c r="AB61" i="41"/>
  <c r="AA61" i="41"/>
  <c r="Z61" i="41"/>
  <c r="Y61" i="41"/>
  <c r="X61" i="41"/>
  <c r="W61" i="41"/>
  <c r="V61" i="41"/>
  <c r="U61" i="41"/>
  <c r="T61" i="41"/>
  <c r="S61" i="41"/>
  <c r="R61" i="41"/>
  <c r="Q61" i="41"/>
  <c r="P61" i="41"/>
  <c r="O61" i="41"/>
  <c r="N61" i="41"/>
  <c r="M61" i="41"/>
  <c r="L61" i="41"/>
  <c r="K61" i="41"/>
  <c r="J61" i="41"/>
  <c r="I61" i="41"/>
  <c r="H61" i="41"/>
  <c r="G61" i="41"/>
  <c r="F61" i="41"/>
  <c r="E61" i="41"/>
  <c r="BJ60" i="41"/>
  <c r="BI60" i="41"/>
  <c r="BH60" i="41"/>
  <c r="BG60" i="41"/>
  <c r="BF60" i="41"/>
  <c r="BE60" i="41"/>
  <c r="BD60" i="41"/>
  <c r="BC60" i="41"/>
  <c r="BB60" i="41"/>
  <c r="BA60" i="41"/>
  <c r="AZ60" i="41"/>
  <c r="AY60" i="41"/>
  <c r="AX60" i="41"/>
  <c r="AW60" i="41"/>
  <c r="AV60" i="41"/>
  <c r="AU60" i="41"/>
  <c r="AT60" i="41"/>
  <c r="AS60" i="41"/>
  <c r="AR60" i="41"/>
  <c r="AQ60" i="41"/>
  <c r="AP60" i="41"/>
  <c r="AO60" i="41"/>
  <c r="AN60" i="41"/>
  <c r="AM60" i="41"/>
  <c r="AL60" i="41"/>
  <c r="AK60" i="41"/>
  <c r="AJ60" i="41"/>
  <c r="AI60" i="41"/>
  <c r="AH60" i="41"/>
  <c r="AG60" i="41"/>
  <c r="AF60" i="41"/>
  <c r="AE60" i="41"/>
  <c r="AD60" i="41"/>
  <c r="AC60" i="41"/>
  <c r="AB60" i="41"/>
  <c r="AA60" i="41"/>
  <c r="Z60" i="41"/>
  <c r="Y60" i="41"/>
  <c r="X60" i="41"/>
  <c r="W60" i="41"/>
  <c r="V60" i="41"/>
  <c r="U60" i="41"/>
  <c r="T60" i="41"/>
  <c r="S60" i="41"/>
  <c r="R60" i="41"/>
  <c r="Q60" i="41"/>
  <c r="P60" i="41"/>
  <c r="O60" i="41"/>
  <c r="N60" i="41"/>
  <c r="M60" i="41"/>
  <c r="L60" i="41"/>
  <c r="K60" i="41"/>
  <c r="J60" i="41"/>
  <c r="I60" i="41"/>
  <c r="H60" i="41"/>
  <c r="G60" i="41"/>
  <c r="F60" i="41"/>
  <c r="E60" i="41"/>
  <c r="BF59" i="41"/>
  <c r="BE59" i="41"/>
  <c r="BD59" i="41"/>
  <c r="BB59" i="41"/>
  <c r="AU59" i="41"/>
  <c r="AT59" i="41"/>
  <c r="AO59" i="41"/>
  <c r="AM59" i="41"/>
  <c r="AL59" i="41"/>
  <c r="AE59" i="41"/>
  <c r="AB59" i="41"/>
  <c r="Y59" i="41"/>
  <c r="V59" i="41"/>
  <c r="R59" i="41"/>
  <c r="O59" i="41"/>
  <c r="I59" i="41"/>
  <c r="G59" i="41"/>
  <c r="BJ58" i="41"/>
  <c r="BI58" i="41"/>
  <c r="BG58" i="41"/>
  <c r="BF58" i="41"/>
  <c r="BE58" i="41"/>
  <c r="BD58" i="41"/>
  <c r="BC58" i="41"/>
  <c r="BB58" i="41"/>
  <c r="BA58" i="41"/>
  <c r="AY58" i="41"/>
  <c r="AX58" i="41"/>
  <c r="AW58" i="41"/>
  <c r="AV58" i="41"/>
  <c r="AU58" i="41"/>
  <c r="AT58" i="41"/>
  <c r="AS58" i="41"/>
  <c r="AR58" i="41"/>
  <c r="AQ58" i="41"/>
  <c r="AP58" i="41"/>
  <c r="AO58" i="41"/>
  <c r="AN58" i="41"/>
  <c r="AM58" i="41"/>
  <c r="AL58" i="41"/>
  <c r="AK58" i="41"/>
  <c r="AJ58" i="41"/>
  <c r="AI58" i="41"/>
  <c r="AH58" i="41"/>
  <c r="AG58" i="41"/>
  <c r="AF58" i="41"/>
  <c r="AE58" i="41"/>
  <c r="AD58" i="41"/>
  <c r="AC58" i="41"/>
  <c r="AB58" i="41"/>
  <c r="AA58" i="41"/>
  <c r="Z58" i="41"/>
  <c r="Y58" i="41"/>
  <c r="X58" i="41"/>
  <c r="W58" i="41"/>
  <c r="V58" i="41"/>
  <c r="U58" i="41"/>
  <c r="T58" i="41"/>
  <c r="S58" i="41"/>
  <c r="R58" i="41"/>
  <c r="Q58" i="41"/>
  <c r="P58" i="41"/>
  <c r="O58" i="41"/>
  <c r="N58" i="41"/>
  <c r="M58" i="41"/>
  <c r="L58" i="41"/>
  <c r="K58" i="41"/>
  <c r="J58" i="41"/>
  <c r="I58" i="41"/>
  <c r="H58" i="41"/>
  <c r="G58" i="41"/>
  <c r="F58" i="41"/>
  <c r="E58" i="41"/>
  <c r="BJ57" i="41"/>
  <c r="BI57" i="41"/>
  <c r="BH57" i="41"/>
  <c r="BG57" i="41"/>
  <c r="BF57" i="41"/>
  <c r="BE57" i="41"/>
  <c r="BD57" i="41"/>
  <c r="BC57" i="41"/>
  <c r="BB57" i="41"/>
  <c r="BA57" i="41"/>
  <c r="AY57" i="41"/>
  <c r="AX57" i="41"/>
  <c r="AW57" i="41"/>
  <c r="AV57" i="41"/>
  <c r="AU57" i="41"/>
  <c r="AT57" i="41"/>
  <c r="AS57" i="41"/>
  <c r="AR57" i="41"/>
  <c r="AQ57" i="41"/>
  <c r="AP57" i="41"/>
  <c r="AO57" i="41"/>
  <c r="AN57" i="41"/>
  <c r="AM57" i="41"/>
  <c r="AL57" i="41"/>
  <c r="AK57" i="41"/>
  <c r="AJ57" i="41"/>
  <c r="AI57" i="41"/>
  <c r="AH57" i="41"/>
  <c r="AG57" i="41"/>
  <c r="AF57" i="41"/>
  <c r="AE57" i="41"/>
  <c r="AD57" i="41"/>
  <c r="AC57" i="41"/>
  <c r="AB57" i="41"/>
  <c r="AA57" i="41"/>
  <c r="Z57" i="41"/>
  <c r="Y57" i="41"/>
  <c r="X57" i="41"/>
  <c r="W57" i="41"/>
  <c r="V57" i="41"/>
  <c r="U57" i="41"/>
  <c r="T57" i="41"/>
  <c r="S57" i="41"/>
  <c r="R57" i="41"/>
  <c r="Q57" i="41"/>
  <c r="P57" i="41"/>
  <c r="O57" i="41"/>
  <c r="N57" i="41"/>
  <c r="M57" i="41"/>
  <c r="L57" i="41"/>
  <c r="K57" i="41"/>
  <c r="J57" i="41"/>
  <c r="I57" i="41"/>
  <c r="H57" i="41"/>
  <c r="G57" i="41"/>
  <c r="F57" i="41"/>
  <c r="E57" i="41"/>
  <c r="BJ56" i="41"/>
  <c r="BI56" i="41"/>
  <c r="BH56" i="41"/>
  <c r="BG56" i="41"/>
  <c r="BF56" i="41"/>
  <c r="BE56" i="41"/>
  <c r="BD56" i="41"/>
  <c r="BC56" i="41"/>
  <c r="BB56" i="41"/>
  <c r="BA56" i="41"/>
  <c r="AY56" i="41"/>
  <c r="AX56" i="41"/>
  <c r="AW56" i="41"/>
  <c r="AV56" i="41"/>
  <c r="AU56" i="41"/>
  <c r="AT56" i="41"/>
  <c r="AS56" i="41"/>
  <c r="AR56" i="41"/>
  <c r="AQ56" i="41"/>
  <c r="AP56" i="41"/>
  <c r="AO56" i="41"/>
  <c r="AN56" i="41"/>
  <c r="AM56" i="41"/>
  <c r="AL56" i="41"/>
  <c r="AK56" i="41"/>
  <c r="AJ56" i="41"/>
  <c r="AI56" i="41"/>
  <c r="AH56" i="41"/>
  <c r="AG56" i="41"/>
  <c r="AF56" i="41"/>
  <c r="AE56" i="41"/>
  <c r="AD56" i="41"/>
  <c r="AC56" i="41"/>
  <c r="AB56" i="41"/>
  <c r="AA56" i="41"/>
  <c r="Z56" i="41"/>
  <c r="Y56" i="41"/>
  <c r="X56" i="41"/>
  <c r="W56" i="41"/>
  <c r="V56" i="41"/>
  <c r="U56" i="41"/>
  <c r="T56" i="41"/>
  <c r="S56" i="41"/>
  <c r="R56" i="41"/>
  <c r="Q56" i="41"/>
  <c r="P56" i="41"/>
  <c r="O56" i="41"/>
  <c r="N56" i="41"/>
  <c r="M56" i="41"/>
  <c r="L56" i="41"/>
  <c r="K56" i="41"/>
  <c r="J56" i="41"/>
  <c r="I56" i="41"/>
  <c r="H56" i="41"/>
  <c r="G56" i="41"/>
  <c r="F56" i="41"/>
  <c r="E56" i="41"/>
  <c r="BJ55" i="41"/>
  <c r="BI55" i="41"/>
  <c r="BG55" i="41"/>
  <c r="BF55" i="41"/>
  <c r="BE55" i="41"/>
  <c r="BD55" i="41"/>
  <c r="BC55" i="41"/>
  <c r="BB55" i="41"/>
  <c r="BA55" i="41"/>
  <c r="AY55" i="41"/>
  <c r="AX55" i="41"/>
  <c r="AW55" i="41"/>
  <c r="AV55" i="41"/>
  <c r="AU55" i="41"/>
  <c r="AT55" i="41"/>
  <c r="AS55" i="41"/>
  <c r="AR55" i="41"/>
  <c r="AQ55" i="41"/>
  <c r="AP55" i="41"/>
  <c r="AO55" i="41"/>
  <c r="AN55" i="41"/>
  <c r="AM55" i="41"/>
  <c r="AL55" i="41"/>
  <c r="AK55" i="41"/>
  <c r="AJ55" i="41"/>
  <c r="AI55" i="41"/>
  <c r="AH55" i="41"/>
  <c r="AG55" i="41"/>
  <c r="AF55" i="41"/>
  <c r="AE55" i="41"/>
  <c r="AD55" i="41"/>
  <c r="AC55" i="41"/>
  <c r="AB55" i="41"/>
  <c r="AA55" i="41"/>
  <c r="Z55" i="41"/>
  <c r="Y55" i="41"/>
  <c r="X55" i="41"/>
  <c r="W55" i="41"/>
  <c r="V55" i="41"/>
  <c r="U55" i="41"/>
  <c r="T55" i="41"/>
  <c r="S55" i="41"/>
  <c r="R55" i="41"/>
  <c r="Q55" i="41"/>
  <c r="P55" i="41"/>
  <c r="O55" i="41"/>
  <c r="N55" i="41"/>
  <c r="M55" i="41"/>
  <c r="L55" i="41"/>
  <c r="K55" i="41"/>
  <c r="J55" i="41"/>
  <c r="I55" i="41"/>
  <c r="H55" i="41"/>
  <c r="G55" i="41"/>
  <c r="F55" i="41"/>
  <c r="E55" i="41"/>
  <c r="BJ54" i="41"/>
  <c r="BI54" i="41"/>
  <c r="BH54" i="41"/>
  <c r="BG54" i="41"/>
  <c r="BF54" i="41"/>
  <c r="BE54" i="41"/>
  <c r="BD54" i="41"/>
  <c r="BC54" i="41"/>
  <c r="BB54" i="41"/>
  <c r="BA54" i="41"/>
  <c r="AY54" i="41"/>
  <c r="AX54" i="41"/>
  <c r="AW54" i="41"/>
  <c r="AV54" i="41"/>
  <c r="AU54" i="41"/>
  <c r="AT54" i="41"/>
  <c r="AS54" i="41"/>
  <c r="AR54" i="41"/>
  <c r="AQ54" i="41"/>
  <c r="AP54" i="41"/>
  <c r="AO54" i="41"/>
  <c r="AN54" i="41"/>
  <c r="AM54" i="41"/>
  <c r="AL54" i="41"/>
  <c r="AK54" i="41"/>
  <c r="AJ54" i="41"/>
  <c r="AI54" i="41"/>
  <c r="AH54" i="41"/>
  <c r="AG54" i="41"/>
  <c r="AF54" i="41"/>
  <c r="AE54" i="41"/>
  <c r="AD54" i="41"/>
  <c r="AC54" i="41"/>
  <c r="AB54" i="41"/>
  <c r="AA54" i="41"/>
  <c r="Z54" i="41"/>
  <c r="Y54" i="41"/>
  <c r="X54" i="41"/>
  <c r="W54" i="41"/>
  <c r="V54" i="41"/>
  <c r="U54" i="41"/>
  <c r="T54" i="41"/>
  <c r="S54" i="41"/>
  <c r="R54" i="41"/>
  <c r="Q54" i="41"/>
  <c r="P54" i="41"/>
  <c r="O54" i="41"/>
  <c r="N54" i="41"/>
  <c r="M54" i="41"/>
  <c r="L54" i="41"/>
  <c r="K54" i="41"/>
  <c r="J54" i="41"/>
  <c r="I54" i="41"/>
  <c r="H54" i="41"/>
  <c r="G54" i="41"/>
  <c r="F54" i="41"/>
  <c r="E54" i="41"/>
  <c r="D54" i="41"/>
  <c r="BJ53" i="41"/>
  <c r="BI53" i="41"/>
  <c r="BH53" i="41"/>
  <c r="BG53" i="41"/>
  <c r="BF53" i="41"/>
  <c r="BE53" i="41"/>
  <c r="BD53" i="41"/>
  <c r="BC53" i="41"/>
  <c r="BB53" i="41"/>
  <c r="BA53" i="41"/>
  <c r="AY53" i="41"/>
  <c r="AX53" i="41"/>
  <c r="AW53" i="41"/>
  <c r="AV53" i="41"/>
  <c r="AU53" i="41"/>
  <c r="AT53" i="41"/>
  <c r="AS53" i="41"/>
  <c r="AR53" i="41"/>
  <c r="AQ53" i="41"/>
  <c r="AP53" i="41"/>
  <c r="AO53" i="41"/>
  <c r="AN53" i="41"/>
  <c r="AM53" i="41"/>
  <c r="AL53" i="41"/>
  <c r="AK53" i="41"/>
  <c r="AJ53" i="41"/>
  <c r="AI53" i="41"/>
  <c r="AH53" i="41"/>
  <c r="AG53" i="41"/>
  <c r="AF53" i="41"/>
  <c r="AE53" i="41"/>
  <c r="AD53" i="41"/>
  <c r="AC53" i="41"/>
  <c r="AB53" i="41"/>
  <c r="AA53" i="41"/>
  <c r="Z53" i="41"/>
  <c r="Y53" i="41"/>
  <c r="X53" i="41"/>
  <c r="W53" i="41"/>
  <c r="V53" i="41"/>
  <c r="U53" i="41"/>
  <c r="T53" i="41"/>
  <c r="S53" i="41"/>
  <c r="R53" i="41"/>
  <c r="Q53" i="41"/>
  <c r="P53" i="41"/>
  <c r="O53" i="41"/>
  <c r="N53" i="41"/>
  <c r="M53" i="41"/>
  <c r="L53" i="41"/>
  <c r="K53" i="41"/>
  <c r="J53" i="41"/>
  <c r="I53" i="41"/>
  <c r="H53" i="41"/>
  <c r="G53" i="41"/>
  <c r="F53" i="41"/>
  <c r="E53" i="41"/>
  <c r="D53" i="41"/>
  <c r="BM51" i="41"/>
  <c r="BK51" i="41"/>
  <c r="BJ51" i="41"/>
  <c r="BH51" i="41"/>
  <c r="BF51" i="41"/>
  <c r="BD51" i="41"/>
  <c r="BB51" i="41"/>
  <c r="AZ51" i="41"/>
  <c r="AX51" i="41"/>
  <c r="AV51" i="41"/>
  <c r="AT51" i="41"/>
  <c r="AR51" i="41"/>
  <c r="AP51" i="41"/>
  <c r="AN51" i="41"/>
  <c r="AL51" i="41"/>
  <c r="AJ51" i="41"/>
  <c r="AH51" i="41"/>
  <c r="AF51" i="41"/>
  <c r="AD51" i="41"/>
  <c r="AB51" i="41"/>
  <c r="Z51" i="41"/>
  <c r="X51" i="41"/>
  <c r="V51" i="41"/>
  <c r="T51" i="41"/>
  <c r="R51" i="41"/>
  <c r="P51" i="41"/>
  <c r="N51" i="41"/>
  <c r="L51" i="41"/>
  <c r="J51" i="41"/>
  <c r="H51" i="41"/>
  <c r="F51" i="41"/>
  <c r="B51" i="41"/>
  <c r="BP50" i="41"/>
  <c r="BJ48" i="41"/>
  <c r="BI48" i="41"/>
  <c r="BH48" i="41"/>
  <c r="BG48" i="41"/>
  <c r="BF48" i="41"/>
  <c r="BE48" i="41"/>
  <c r="BD48" i="41"/>
  <c r="BC48" i="41"/>
  <c r="BB48" i="41"/>
  <c r="BA48" i="41"/>
  <c r="AZ48" i="41"/>
  <c r="AY48" i="41"/>
  <c r="AX48" i="41"/>
  <c r="AW48" i="41"/>
  <c r="AV48" i="41"/>
  <c r="AU48" i="41"/>
  <c r="AT48" i="41"/>
  <c r="AS48" i="41"/>
  <c r="AR48" i="41"/>
  <c r="AQ48" i="41"/>
  <c r="AP48" i="41"/>
  <c r="AO48" i="41"/>
  <c r="AN48" i="41"/>
  <c r="AM48" i="41"/>
  <c r="AL48" i="41"/>
  <c r="AK48" i="41"/>
  <c r="AJ48" i="41"/>
  <c r="AI48" i="41"/>
  <c r="AH48" i="41"/>
  <c r="AG48" i="41"/>
  <c r="AF48" i="41"/>
  <c r="AE48" i="41"/>
  <c r="AD48" i="41"/>
  <c r="AC48" i="41"/>
  <c r="AB48" i="41"/>
  <c r="AA48" i="41"/>
  <c r="Z48" i="41"/>
  <c r="Y48" i="41"/>
  <c r="X48" i="41"/>
  <c r="W48" i="41"/>
  <c r="V48" i="41"/>
  <c r="U48" i="41"/>
  <c r="T48" i="41"/>
  <c r="S48" i="41"/>
  <c r="R48" i="41"/>
  <c r="Q48" i="41"/>
  <c r="P48" i="41"/>
  <c r="O48" i="41"/>
  <c r="N48" i="41"/>
  <c r="M48" i="41"/>
  <c r="L48" i="41"/>
  <c r="K48" i="41"/>
  <c r="J48" i="41"/>
  <c r="I48" i="41"/>
  <c r="H48" i="41"/>
  <c r="G48" i="41"/>
  <c r="F48" i="41"/>
  <c r="E48" i="41"/>
  <c r="B48" i="41"/>
  <c r="B70" i="41" s="1"/>
  <c r="B92" i="41" s="1"/>
  <c r="B114" i="41" s="1"/>
  <c r="BJ47" i="41"/>
  <c r="BI47" i="41"/>
  <c r="BH47" i="41"/>
  <c r="BG47" i="41"/>
  <c r="BF47" i="41"/>
  <c r="BE47" i="41"/>
  <c r="BD47" i="41"/>
  <c r="BC47" i="41"/>
  <c r="BB47" i="41"/>
  <c r="BA47" i="41"/>
  <c r="AZ47" i="41"/>
  <c r="AY47" i="41"/>
  <c r="AX47" i="41"/>
  <c r="AW47" i="41"/>
  <c r="AV47" i="41"/>
  <c r="AU47" i="41"/>
  <c r="AT47" i="41"/>
  <c r="AS47" i="41"/>
  <c r="AR47" i="41"/>
  <c r="AQ47" i="41"/>
  <c r="AP47" i="41"/>
  <c r="AO47" i="41"/>
  <c r="AN47" i="41"/>
  <c r="AM47" i="41"/>
  <c r="AL47" i="41"/>
  <c r="AK47" i="41"/>
  <c r="AJ47" i="41"/>
  <c r="AI47" i="41"/>
  <c r="AH47" i="41"/>
  <c r="AG47" i="41"/>
  <c r="AF47" i="41"/>
  <c r="AE47" i="41"/>
  <c r="AD47" i="41"/>
  <c r="AC47" i="41"/>
  <c r="AB47" i="41"/>
  <c r="AA47" i="41"/>
  <c r="Z47" i="41"/>
  <c r="Y47" i="41"/>
  <c r="X47" i="41"/>
  <c r="W47" i="41"/>
  <c r="V47" i="41"/>
  <c r="U47" i="41"/>
  <c r="T47" i="41"/>
  <c r="S47" i="41"/>
  <c r="R47" i="41"/>
  <c r="Q47" i="41"/>
  <c r="P47" i="41"/>
  <c r="O47" i="41"/>
  <c r="N47" i="41"/>
  <c r="M47" i="41"/>
  <c r="L47" i="41"/>
  <c r="K47" i="41"/>
  <c r="J47" i="41"/>
  <c r="I47" i="41"/>
  <c r="H47" i="41"/>
  <c r="G47" i="41"/>
  <c r="F47" i="41"/>
  <c r="E47" i="41"/>
  <c r="B47" i="41"/>
  <c r="B69" i="41"/>
  <c r="B91" i="41" s="1"/>
  <c r="B113" i="41" s="1"/>
  <c r="BF46" i="41"/>
  <c r="BD46" i="41"/>
  <c r="BB46" i="41"/>
  <c r="R46" i="41"/>
  <c r="B46" i="41"/>
  <c r="B68" i="41" s="1"/>
  <c r="B90" i="41" s="1"/>
  <c r="B112" i="41" s="1"/>
  <c r="BJ45" i="41"/>
  <c r="BI45" i="41"/>
  <c r="BG45" i="41"/>
  <c r="BF45" i="41"/>
  <c r="BE45" i="41"/>
  <c r="BD45" i="41"/>
  <c r="BC45" i="41"/>
  <c r="BB45" i="41"/>
  <c r="BA45" i="41"/>
  <c r="AY45" i="41"/>
  <c r="AX45" i="41"/>
  <c r="AW45" i="41"/>
  <c r="AV45" i="41"/>
  <c r="AU45" i="41"/>
  <c r="AT45" i="41"/>
  <c r="AS45" i="41"/>
  <c r="AR45" i="41"/>
  <c r="AQ45" i="41"/>
  <c r="AP45" i="41"/>
  <c r="AO45" i="41"/>
  <c r="AN45" i="41"/>
  <c r="AM45" i="41"/>
  <c r="AL45" i="41"/>
  <c r="AK45" i="41"/>
  <c r="AJ45" i="41"/>
  <c r="AI45" i="41"/>
  <c r="AH45" i="41"/>
  <c r="AG45" i="41"/>
  <c r="AF45" i="41"/>
  <c r="AE45" i="41"/>
  <c r="AD45" i="41"/>
  <c r="AC45" i="41"/>
  <c r="AB45" i="41"/>
  <c r="AA45" i="41"/>
  <c r="Z45" i="41"/>
  <c r="Y45" i="41"/>
  <c r="X45" i="41"/>
  <c r="W45" i="41"/>
  <c r="V45" i="41"/>
  <c r="U45" i="41"/>
  <c r="T45" i="41"/>
  <c r="S45" i="41"/>
  <c r="R45" i="41"/>
  <c r="Q45" i="41"/>
  <c r="P45" i="41"/>
  <c r="O45" i="41"/>
  <c r="N45" i="41"/>
  <c r="M45" i="41"/>
  <c r="L45" i="41"/>
  <c r="K45" i="41"/>
  <c r="J45" i="41"/>
  <c r="I45" i="41"/>
  <c r="H45" i="41"/>
  <c r="G45" i="41"/>
  <c r="F45" i="41"/>
  <c r="E45" i="41"/>
  <c r="B45" i="41"/>
  <c r="B67" i="41" s="1"/>
  <c r="B89" i="41" s="1"/>
  <c r="B111" i="41" s="1"/>
  <c r="BM44" i="41"/>
  <c r="BK44" i="41"/>
  <c r="BJ44" i="41"/>
  <c r="BI44" i="41"/>
  <c r="BH44" i="41"/>
  <c r="BG44" i="41"/>
  <c r="BF44" i="41"/>
  <c r="BE44" i="41"/>
  <c r="BD44" i="41"/>
  <c r="BC44" i="41"/>
  <c r="BB44" i="41"/>
  <c r="BA44" i="41"/>
  <c r="AZ44" i="41"/>
  <c r="AY44" i="41"/>
  <c r="AX44" i="41"/>
  <c r="AW44" i="41"/>
  <c r="AV44" i="41"/>
  <c r="AU44" i="41"/>
  <c r="AT44" i="41"/>
  <c r="AS44" i="41"/>
  <c r="AR44" i="41"/>
  <c r="AQ44" i="41"/>
  <c r="AP44" i="41"/>
  <c r="AO44" i="41"/>
  <c r="AN44" i="41"/>
  <c r="AM44" i="41"/>
  <c r="AL44" i="41"/>
  <c r="AK44" i="41"/>
  <c r="AJ44" i="41"/>
  <c r="AI44" i="41"/>
  <c r="AH44" i="41"/>
  <c r="AG44" i="41"/>
  <c r="AF44" i="41"/>
  <c r="AE44" i="41"/>
  <c r="AD44" i="41"/>
  <c r="AC44" i="41"/>
  <c r="AB44" i="41"/>
  <c r="AA44" i="41"/>
  <c r="Z44" i="41"/>
  <c r="Y44" i="41"/>
  <c r="X44" i="41"/>
  <c r="W44" i="41"/>
  <c r="V44" i="41"/>
  <c r="U44" i="41"/>
  <c r="T44" i="41"/>
  <c r="S44" i="41"/>
  <c r="R44" i="41"/>
  <c r="Q44" i="41"/>
  <c r="P44" i="41"/>
  <c r="O44" i="41"/>
  <c r="N44" i="41"/>
  <c r="M44" i="41"/>
  <c r="L44" i="41"/>
  <c r="K44" i="41"/>
  <c r="J44" i="41"/>
  <c r="I44" i="41"/>
  <c r="H44" i="41"/>
  <c r="G44" i="41"/>
  <c r="F44" i="41"/>
  <c r="E44" i="41"/>
  <c r="B44" i="41"/>
  <c r="B66" i="41" s="1"/>
  <c r="B88" i="41"/>
  <c r="B110" i="41" s="1"/>
  <c r="BM43" i="41"/>
  <c r="BK43" i="41"/>
  <c r="BJ43" i="41"/>
  <c r="BI43" i="41"/>
  <c r="BH43" i="41"/>
  <c r="BG43" i="41"/>
  <c r="BF43" i="41"/>
  <c r="BE43" i="41"/>
  <c r="BD43" i="41"/>
  <c r="BC43" i="41"/>
  <c r="BB43" i="41"/>
  <c r="BA43" i="41"/>
  <c r="AZ43" i="41"/>
  <c r="AY43" i="41"/>
  <c r="AX43" i="41"/>
  <c r="AW43" i="41"/>
  <c r="AV43" i="41"/>
  <c r="AU43" i="41"/>
  <c r="AT43" i="41"/>
  <c r="AS43" i="41"/>
  <c r="AR43" i="41"/>
  <c r="AQ43" i="41"/>
  <c r="AP43" i="41"/>
  <c r="AO43" i="41"/>
  <c r="AN43" i="41"/>
  <c r="AM43" i="41"/>
  <c r="AL43" i="41"/>
  <c r="AK43" i="41"/>
  <c r="AJ43" i="41"/>
  <c r="AI43" i="41"/>
  <c r="AH43" i="41"/>
  <c r="AG43" i="41"/>
  <c r="AF43" i="41"/>
  <c r="AE43" i="41"/>
  <c r="AD43" i="41"/>
  <c r="AC43" i="41"/>
  <c r="AB43" i="41"/>
  <c r="AA43" i="41"/>
  <c r="Y43" i="41"/>
  <c r="X43" i="41"/>
  <c r="W43" i="41"/>
  <c r="V43" i="41"/>
  <c r="U43" i="41"/>
  <c r="T43" i="41"/>
  <c r="S43" i="41"/>
  <c r="R43" i="41"/>
  <c r="Q43" i="41"/>
  <c r="P43" i="41"/>
  <c r="O43" i="41"/>
  <c r="N43" i="41"/>
  <c r="M43" i="41"/>
  <c r="L43" i="41"/>
  <c r="K43" i="41"/>
  <c r="J43" i="41"/>
  <c r="I43" i="41"/>
  <c r="H43" i="41"/>
  <c r="G43" i="41"/>
  <c r="F43" i="41"/>
  <c r="E43" i="41"/>
  <c r="B43" i="41"/>
  <c r="B65" i="41"/>
  <c r="B87" i="41" s="1"/>
  <c r="B109" i="41" s="1"/>
  <c r="BP42" i="41"/>
  <c r="BM42" i="41"/>
  <c r="BK42" i="41"/>
  <c r="BJ42" i="41"/>
  <c r="BI42" i="41"/>
  <c r="BG42" i="41"/>
  <c r="BF42" i="41"/>
  <c r="BE42" i="41"/>
  <c r="BD42" i="41"/>
  <c r="BC42" i="41"/>
  <c r="BB42" i="41"/>
  <c r="BA42" i="41"/>
  <c r="AZ42" i="41"/>
  <c r="AY42" i="41"/>
  <c r="AX42" i="41"/>
  <c r="AW42" i="41"/>
  <c r="AV42" i="41"/>
  <c r="AU42" i="41"/>
  <c r="AT42" i="41"/>
  <c r="AS42" i="41"/>
  <c r="AR42" i="41"/>
  <c r="AQ42" i="41"/>
  <c r="AP42" i="41"/>
  <c r="AO42" i="41"/>
  <c r="AN42" i="41"/>
  <c r="AM42" i="41"/>
  <c r="AL42" i="41"/>
  <c r="AK42" i="41"/>
  <c r="AJ42" i="41"/>
  <c r="AI42" i="41"/>
  <c r="AH42" i="41"/>
  <c r="AG42" i="41"/>
  <c r="AF42" i="41"/>
  <c r="AE42" i="41"/>
  <c r="AD42" i="41"/>
  <c r="AC42" i="41"/>
  <c r="AB42" i="41"/>
  <c r="AA42" i="41"/>
  <c r="Y42" i="41"/>
  <c r="X42" i="41"/>
  <c r="W42" i="41"/>
  <c r="V42" i="41"/>
  <c r="U42" i="41"/>
  <c r="T42" i="41"/>
  <c r="R42" i="41"/>
  <c r="Q42" i="41"/>
  <c r="P42" i="41"/>
  <c r="O42" i="41"/>
  <c r="N42" i="41"/>
  <c r="M42" i="41"/>
  <c r="L42" i="41"/>
  <c r="J42" i="41"/>
  <c r="I42" i="41"/>
  <c r="H42" i="41"/>
  <c r="G42" i="41"/>
  <c r="F42" i="41"/>
  <c r="E42" i="41"/>
  <c r="B42" i="41"/>
  <c r="B64" i="41" s="1"/>
  <c r="B86" i="41" s="1"/>
  <c r="B108" i="41" s="1"/>
  <c r="BM41" i="41"/>
  <c r="BJ41" i="41"/>
  <c r="BI41" i="41"/>
  <c r="BH41" i="41"/>
  <c r="BG41" i="41"/>
  <c r="BF41" i="41"/>
  <c r="BE41" i="41"/>
  <c r="BD41" i="41"/>
  <c r="BC41" i="41"/>
  <c r="BB41" i="41"/>
  <c r="BA41" i="41"/>
  <c r="AZ41" i="41"/>
  <c r="AY41" i="41"/>
  <c r="AX41" i="41"/>
  <c r="AW41" i="41"/>
  <c r="AV41" i="41"/>
  <c r="AU41" i="41"/>
  <c r="AT41" i="41"/>
  <c r="AT136" i="41" s="1"/>
  <c r="AS41" i="41"/>
  <c r="AR41" i="41"/>
  <c r="AQ41" i="41"/>
  <c r="AP41" i="41"/>
  <c r="AO41" i="41"/>
  <c r="AN41" i="41"/>
  <c r="AM41" i="41"/>
  <c r="AL41" i="41"/>
  <c r="AK41" i="41"/>
  <c r="AJ41" i="41"/>
  <c r="AI41" i="41"/>
  <c r="AH41" i="41"/>
  <c r="AH136" i="41" s="1"/>
  <c r="AG41" i="41"/>
  <c r="AF41" i="41"/>
  <c r="AE41" i="41"/>
  <c r="AD41" i="41"/>
  <c r="AC41" i="41"/>
  <c r="AB41" i="41"/>
  <c r="AA41" i="41"/>
  <c r="Y41" i="41"/>
  <c r="X41" i="41"/>
  <c r="W41" i="41"/>
  <c r="V41" i="41"/>
  <c r="U41" i="41"/>
  <c r="T41" i="41"/>
  <c r="S41" i="41"/>
  <c r="R41" i="41"/>
  <c r="Q41" i="41"/>
  <c r="P41" i="41"/>
  <c r="O41" i="41"/>
  <c r="N41" i="41"/>
  <c r="M41" i="41"/>
  <c r="M136" i="41" s="1"/>
  <c r="L41" i="41"/>
  <c r="K41" i="41"/>
  <c r="J41" i="41"/>
  <c r="I41" i="41"/>
  <c r="H41" i="41"/>
  <c r="G41" i="41"/>
  <c r="F41" i="41"/>
  <c r="E41" i="41"/>
  <c r="B41" i="41"/>
  <c r="B63" i="41" s="1"/>
  <c r="B85" i="41" s="1"/>
  <c r="B107" i="41" s="1"/>
  <c r="BF40" i="41"/>
  <c r="BE40" i="41"/>
  <c r="BD40" i="41"/>
  <c r="BB40" i="41"/>
  <c r="AX40" i="41"/>
  <c r="AW40" i="41"/>
  <c r="AT40" i="41"/>
  <c r="AJ40" i="41"/>
  <c r="AG40" i="41"/>
  <c r="T40" i="41"/>
  <c r="L40" i="41"/>
  <c r="B40" i="41"/>
  <c r="B62" i="41" s="1"/>
  <c r="B84" i="41" s="1"/>
  <c r="B106" i="41"/>
  <c r="BJ39" i="41"/>
  <c r="BI39" i="41"/>
  <c r="BH39" i="41"/>
  <c r="BG39" i="41"/>
  <c r="BF39" i="41"/>
  <c r="BE39" i="41"/>
  <c r="BD39" i="41"/>
  <c r="BC39" i="41"/>
  <c r="BB39" i="41"/>
  <c r="BA39" i="41"/>
  <c r="AZ39" i="41"/>
  <c r="AY39" i="41"/>
  <c r="AX39" i="41"/>
  <c r="AW39" i="41"/>
  <c r="AV39" i="41"/>
  <c r="AU39" i="41"/>
  <c r="AT39" i="41"/>
  <c r="AS39" i="41"/>
  <c r="AR39" i="41"/>
  <c r="AQ39" i="41"/>
  <c r="AP39" i="41"/>
  <c r="AO39" i="41"/>
  <c r="AN39" i="41"/>
  <c r="AM39" i="41"/>
  <c r="AL39" i="41"/>
  <c r="AK39" i="41"/>
  <c r="AJ39" i="41"/>
  <c r="AI39" i="41"/>
  <c r="AH39" i="41"/>
  <c r="AG39" i="41"/>
  <c r="AF39" i="41"/>
  <c r="AE39" i="41"/>
  <c r="AD39" i="41"/>
  <c r="AC39" i="41"/>
  <c r="AB39" i="41"/>
  <c r="AA39" i="41"/>
  <c r="Z39" i="41"/>
  <c r="Y39" i="41"/>
  <c r="X39" i="41"/>
  <c r="W39" i="41"/>
  <c r="V39" i="41"/>
  <c r="U39" i="41"/>
  <c r="T39" i="41"/>
  <c r="S39" i="41"/>
  <c r="R39" i="41"/>
  <c r="Q39" i="41"/>
  <c r="P39" i="41"/>
  <c r="O39" i="41"/>
  <c r="N39" i="41"/>
  <c r="M39" i="41"/>
  <c r="L39" i="41"/>
  <c r="K39" i="41"/>
  <c r="J39" i="41"/>
  <c r="I39" i="41"/>
  <c r="H39" i="41"/>
  <c r="G39" i="41"/>
  <c r="F39" i="41"/>
  <c r="E39" i="41"/>
  <c r="B39" i="41"/>
  <c r="B61" i="41"/>
  <c r="B83" i="41" s="1"/>
  <c r="B105" i="41" s="1"/>
  <c r="BJ38" i="41"/>
  <c r="BI38" i="41"/>
  <c r="BH38" i="41"/>
  <c r="BG38" i="41"/>
  <c r="BF38" i="41"/>
  <c r="BE38" i="41"/>
  <c r="BD38" i="41"/>
  <c r="BC38" i="41"/>
  <c r="BB38" i="41"/>
  <c r="BA38" i="41"/>
  <c r="AZ38" i="41"/>
  <c r="AY38" i="41"/>
  <c r="AX38" i="41"/>
  <c r="AW38" i="41"/>
  <c r="AV38" i="41"/>
  <c r="AU38" i="41"/>
  <c r="AT38" i="41"/>
  <c r="AS38" i="41"/>
  <c r="AR38" i="41"/>
  <c r="AQ38" i="41"/>
  <c r="AP38" i="41"/>
  <c r="AO38" i="41"/>
  <c r="AN38" i="41"/>
  <c r="AM38" i="41"/>
  <c r="AL38" i="41"/>
  <c r="AK38" i="41"/>
  <c r="AJ38" i="41"/>
  <c r="AI38" i="41"/>
  <c r="AH38" i="41"/>
  <c r="AG38" i="41"/>
  <c r="AF38" i="41"/>
  <c r="AE38" i="41"/>
  <c r="AD38" i="41"/>
  <c r="AC38" i="41"/>
  <c r="AB38" i="41"/>
  <c r="AA38" i="41"/>
  <c r="Z38" i="41"/>
  <c r="Y38" i="41"/>
  <c r="X38" i="41"/>
  <c r="W38" i="41"/>
  <c r="V38" i="41"/>
  <c r="U38" i="41"/>
  <c r="T38" i="41"/>
  <c r="S38" i="41"/>
  <c r="R38" i="41"/>
  <c r="Q38" i="41"/>
  <c r="P38" i="41"/>
  <c r="O38" i="41"/>
  <c r="N38" i="41"/>
  <c r="M38" i="41"/>
  <c r="L38" i="41"/>
  <c r="K38" i="41"/>
  <c r="J38" i="41"/>
  <c r="I38" i="41"/>
  <c r="H38" i="41"/>
  <c r="G38" i="41"/>
  <c r="F38" i="41"/>
  <c r="E38" i="41"/>
  <c r="B38" i="41"/>
  <c r="B60" i="41" s="1"/>
  <c r="B82" i="41" s="1"/>
  <c r="B104" i="41" s="1"/>
  <c r="BF37" i="41"/>
  <c r="BE37" i="41"/>
  <c r="BD37" i="41"/>
  <c r="BB37" i="41"/>
  <c r="AX37" i="41"/>
  <c r="AM37" i="41"/>
  <c r="AE37" i="41"/>
  <c r="Z37" i="41"/>
  <c r="Y37" i="41"/>
  <c r="W37" i="41"/>
  <c r="R37" i="41"/>
  <c r="O37" i="41"/>
  <c r="G37" i="41"/>
  <c r="B37" i="41"/>
  <c r="B59" i="41"/>
  <c r="B81" i="41"/>
  <c r="B103" i="41" s="1"/>
  <c r="BJ36" i="41"/>
  <c r="BI36" i="41"/>
  <c r="BH36" i="41"/>
  <c r="BG36" i="41"/>
  <c r="BF36" i="41"/>
  <c r="BE36" i="41"/>
  <c r="BD36" i="41"/>
  <c r="BC36" i="41"/>
  <c r="BB36" i="41"/>
  <c r="BA36" i="41"/>
  <c r="AY36" i="41"/>
  <c r="AX36" i="41"/>
  <c r="AW36" i="41"/>
  <c r="AV36" i="41"/>
  <c r="AU36" i="41"/>
  <c r="AU122" i="41" s="1"/>
  <c r="AT36" i="41"/>
  <c r="AS36" i="41"/>
  <c r="AR36" i="41"/>
  <c r="AQ36" i="41"/>
  <c r="AP36" i="41"/>
  <c r="AO36" i="41"/>
  <c r="AN36" i="41"/>
  <c r="AM36" i="41"/>
  <c r="AL36" i="41"/>
  <c r="AK36" i="41"/>
  <c r="AJ36" i="41"/>
  <c r="AI36" i="41"/>
  <c r="AH36" i="41"/>
  <c r="AG36" i="41"/>
  <c r="AF36" i="41"/>
  <c r="AE36" i="41"/>
  <c r="AD36" i="41"/>
  <c r="AC36" i="41"/>
  <c r="AB36" i="41"/>
  <c r="AA36" i="41"/>
  <c r="Z36" i="41"/>
  <c r="Y36" i="41"/>
  <c r="X36" i="41"/>
  <c r="W36" i="41"/>
  <c r="V36" i="41"/>
  <c r="U36" i="41"/>
  <c r="T36" i="41"/>
  <c r="S36" i="41"/>
  <c r="R36" i="41"/>
  <c r="Q36" i="41"/>
  <c r="P36" i="41"/>
  <c r="O36" i="41"/>
  <c r="N36" i="41"/>
  <c r="M36" i="41"/>
  <c r="L36" i="41"/>
  <c r="K36" i="41"/>
  <c r="J36" i="41"/>
  <c r="I36" i="41"/>
  <c r="H36" i="41"/>
  <c r="G36" i="41"/>
  <c r="F36" i="41"/>
  <c r="E36" i="41"/>
  <c r="B36" i="41"/>
  <c r="B58" i="41"/>
  <c r="B80" i="41" s="1"/>
  <c r="B102" i="41" s="1"/>
  <c r="BJ35" i="41"/>
  <c r="BI35" i="41"/>
  <c r="BH35" i="41"/>
  <c r="BG35" i="41"/>
  <c r="BF35" i="41"/>
  <c r="BE35" i="41"/>
  <c r="BD35" i="41"/>
  <c r="BC35" i="41"/>
  <c r="BB35" i="41"/>
  <c r="BA35" i="41"/>
  <c r="BA121" i="41" s="1"/>
  <c r="BA138" i="41" s="1"/>
  <c r="AY35" i="41"/>
  <c r="AX35" i="41"/>
  <c r="AW35" i="41"/>
  <c r="AV35" i="41"/>
  <c r="AU35" i="41"/>
  <c r="AT35" i="41"/>
  <c r="AS35" i="41"/>
  <c r="AR35" i="41"/>
  <c r="AQ35" i="41"/>
  <c r="AP35" i="41"/>
  <c r="AO35" i="41"/>
  <c r="AN35" i="41"/>
  <c r="AM35" i="41"/>
  <c r="AL35" i="41"/>
  <c r="AK35" i="41"/>
  <c r="AJ35" i="41"/>
  <c r="AJ121" i="41" s="1"/>
  <c r="AJ138" i="41" s="1"/>
  <c r="AI35" i="41"/>
  <c r="AH35" i="41"/>
  <c r="AG35" i="41"/>
  <c r="AF35" i="41"/>
  <c r="AE35" i="41"/>
  <c r="AD35" i="41"/>
  <c r="AC35" i="41"/>
  <c r="AB35" i="41"/>
  <c r="AA35" i="41"/>
  <c r="Z35" i="41"/>
  <c r="Y35" i="41"/>
  <c r="X35" i="41"/>
  <c r="W35" i="41"/>
  <c r="V35" i="41"/>
  <c r="U35" i="41"/>
  <c r="T35" i="41"/>
  <c r="S35" i="41"/>
  <c r="R35" i="41"/>
  <c r="R121" i="41" s="1"/>
  <c r="R138" i="41" s="1"/>
  <c r="Q35" i="41"/>
  <c r="P35" i="41"/>
  <c r="O35" i="41"/>
  <c r="N35" i="41"/>
  <c r="N121" i="41" s="1"/>
  <c r="N138" i="41" s="1"/>
  <c r="M35" i="41"/>
  <c r="L35" i="41"/>
  <c r="K35" i="41"/>
  <c r="J35" i="41"/>
  <c r="I35" i="41"/>
  <c r="H35" i="41"/>
  <c r="G35" i="41"/>
  <c r="F35" i="41"/>
  <c r="E35" i="41"/>
  <c r="B35" i="41"/>
  <c r="B57" i="41"/>
  <c r="B79" i="41"/>
  <c r="B101" i="41" s="1"/>
  <c r="BJ34" i="41"/>
  <c r="BI34" i="41"/>
  <c r="BH34" i="41"/>
  <c r="BG34" i="41"/>
  <c r="BF34" i="41"/>
  <c r="BE34" i="41"/>
  <c r="BD34" i="41"/>
  <c r="BD120" i="41" s="1"/>
  <c r="BD137" i="41" s="1"/>
  <c r="BC34" i="41"/>
  <c r="BB34" i="41"/>
  <c r="BA34" i="41"/>
  <c r="AY34" i="41"/>
  <c r="AX34" i="41"/>
  <c r="AW34" i="41"/>
  <c r="AV34" i="41"/>
  <c r="AU34" i="41"/>
  <c r="AT34" i="41"/>
  <c r="AS34" i="41"/>
  <c r="AR34" i="41"/>
  <c r="AQ34" i="41"/>
  <c r="AP34" i="41"/>
  <c r="AO34" i="41"/>
  <c r="AN34" i="41"/>
  <c r="AM34" i="41"/>
  <c r="AL34" i="41"/>
  <c r="AK34" i="41"/>
  <c r="AJ34" i="41"/>
  <c r="AI34" i="41"/>
  <c r="AH34" i="41"/>
  <c r="AG34" i="41"/>
  <c r="AF34" i="41"/>
  <c r="AE34" i="41"/>
  <c r="AD34" i="41"/>
  <c r="AC34" i="41"/>
  <c r="AB34" i="41"/>
  <c r="AA34" i="41"/>
  <c r="Z34" i="41"/>
  <c r="Y34" i="41"/>
  <c r="X34" i="41"/>
  <c r="W34" i="41"/>
  <c r="V34" i="41"/>
  <c r="U34" i="41"/>
  <c r="T34" i="41"/>
  <c r="S34" i="41"/>
  <c r="R34" i="41"/>
  <c r="Q34" i="41"/>
  <c r="P34" i="41"/>
  <c r="O34" i="41"/>
  <c r="N34" i="41"/>
  <c r="M34" i="41"/>
  <c r="L34" i="41"/>
  <c r="L120" i="41"/>
  <c r="L137" i="41" s="1"/>
  <c r="K34" i="41"/>
  <c r="J34" i="41"/>
  <c r="I34" i="41"/>
  <c r="H34" i="41"/>
  <c r="G34" i="41"/>
  <c r="F34" i="41"/>
  <c r="E34" i="41"/>
  <c r="B34" i="41"/>
  <c r="B56" i="41"/>
  <c r="B78" i="41" s="1"/>
  <c r="B100" i="41" s="1"/>
  <c r="BJ33" i="41"/>
  <c r="BG33" i="41"/>
  <c r="BF33" i="41"/>
  <c r="BE33" i="41"/>
  <c r="BD33" i="41"/>
  <c r="BC33" i="41"/>
  <c r="BB33" i="41"/>
  <c r="AY33" i="41"/>
  <c r="AX33" i="41"/>
  <c r="AW33" i="41"/>
  <c r="AV33" i="41"/>
  <c r="AU33" i="41"/>
  <c r="AT33" i="41"/>
  <c r="AR33" i="41"/>
  <c r="AQ33" i="41"/>
  <c r="AP33" i="41"/>
  <c r="AO33" i="41"/>
  <c r="AN33" i="41"/>
  <c r="AM33" i="41"/>
  <c r="AL33" i="41"/>
  <c r="AJ33" i="41"/>
  <c r="AI33" i="41"/>
  <c r="AH33" i="41"/>
  <c r="AG33" i="41"/>
  <c r="AF33" i="41"/>
  <c r="AE33" i="41"/>
  <c r="AD33" i="41"/>
  <c r="AB33" i="41"/>
  <c r="AA33" i="41"/>
  <c r="Z33" i="41"/>
  <c r="Y33" i="41"/>
  <c r="X33" i="41"/>
  <c r="W33" i="41"/>
  <c r="V33" i="41"/>
  <c r="T33" i="41"/>
  <c r="S33" i="41"/>
  <c r="R33" i="41"/>
  <c r="Q33" i="41"/>
  <c r="P33" i="41"/>
  <c r="O33" i="41"/>
  <c r="N33" i="41"/>
  <c r="L33" i="41"/>
  <c r="K33" i="41"/>
  <c r="J33" i="41"/>
  <c r="I33" i="41"/>
  <c r="H33" i="41"/>
  <c r="G33" i="41"/>
  <c r="F33" i="41"/>
  <c r="BJ32" i="41"/>
  <c r="BI32" i="41"/>
  <c r="BH32" i="41"/>
  <c r="BG32" i="41"/>
  <c r="BF32" i="41"/>
  <c r="BE32" i="41"/>
  <c r="BD32" i="41"/>
  <c r="BC32" i="41"/>
  <c r="BB32" i="41"/>
  <c r="BA32" i="41"/>
  <c r="AY32" i="41"/>
  <c r="AX32" i="41"/>
  <c r="AW32" i="41"/>
  <c r="AV32" i="41"/>
  <c r="AU32" i="41"/>
  <c r="AT32" i="41"/>
  <c r="AS32" i="41"/>
  <c r="AR32" i="41"/>
  <c r="AQ32" i="41"/>
  <c r="AP32" i="41"/>
  <c r="AO32" i="41"/>
  <c r="AN32" i="41"/>
  <c r="AM32" i="41"/>
  <c r="AL32" i="41"/>
  <c r="AK32" i="41"/>
  <c r="AJ32" i="41"/>
  <c r="AI32" i="41"/>
  <c r="AH32" i="41"/>
  <c r="AG32" i="41"/>
  <c r="AF32" i="41"/>
  <c r="AE32" i="41"/>
  <c r="AD32" i="41"/>
  <c r="AC32" i="41"/>
  <c r="AB32" i="41"/>
  <c r="AA32" i="41"/>
  <c r="Z32" i="41"/>
  <c r="Y32" i="41"/>
  <c r="X32" i="41"/>
  <c r="W32" i="41"/>
  <c r="V32" i="41"/>
  <c r="U32" i="41"/>
  <c r="T32" i="41"/>
  <c r="S32" i="41"/>
  <c r="R32" i="41"/>
  <c r="Q32" i="41"/>
  <c r="P32" i="41"/>
  <c r="O32" i="41"/>
  <c r="N32" i="41"/>
  <c r="M32" i="41"/>
  <c r="L32" i="41"/>
  <c r="K32" i="41"/>
  <c r="J32" i="41"/>
  <c r="I32" i="41"/>
  <c r="H32" i="41"/>
  <c r="G32" i="41"/>
  <c r="F32" i="41"/>
  <c r="E32" i="41"/>
  <c r="B32" i="41"/>
  <c r="B54" i="41" s="1"/>
  <c r="B76" i="41" s="1"/>
  <c r="B98" i="41" s="1"/>
  <c r="BJ31" i="41"/>
  <c r="BI31" i="41"/>
  <c r="BH31" i="41"/>
  <c r="BG31" i="41"/>
  <c r="BF31" i="41"/>
  <c r="BE31" i="41"/>
  <c r="BD31" i="41"/>
  <c r="BC31" i="41"/>
  <c r="BB31" i="41"/>
  <c r="BA31" i="41"/>
  <c r="AY31" i="41"/>
  <c r="AX31" i="41"/>
  <c r="AW31" i="41"/>
  <c r="AV31" i="41"/>
  <c r="AU31" i="41"/>
  <c r="AT31" i="41"/>
  <c r="AS31" i="41"/>
  <c r="AR31" i="41"/>
  <c r="AQ31" i="41"/>
  <c r="AP31" i="41"/>
  <c r="AO31" i="41"/>
  <c r="AN31" i="41"/>
  <c r="AM31" i="41"/>
  <c r="AL31" i="41"/>
  <c r="AK31" i="41"/>
  <c r="AJ31" i="41"/>
  <c r="AI31" i="41"/>
  <c r="AH31" i="41"/>
  <c r="AG31" i="41"/>
  <c r="AF31" i="41"/>
  <c r="AE31" i="41"/>
  <c r="AD31" i="41"/>
  <c r="AC31" i="41"/>
  <c r="AB31" i="41"/>
  <c r="AA31" i="41"/>
  <c r="Z31" i="41"/>
  <c r="Y31" i="41"/>
  <c r="X31" i="41"/>
  <c r="W31" i="41"/>
  <c r="V31" i="41"/>
  <c r="U31" i="41"/>
  <c r="T31" i="41"/>
  <c r="S31" i="41"/>
  <c r="R31" i="41"/>
  <c r="Q31" i="41"/>
  <c r="P31" i="41"/>
  <c r="O31" i="41"/>
  <c r="N31" i="41"/>
  <c r="M31" i="41"/>
  <c r="L31" i="41"/>
  <c r="K31" i="41"/>
  <c r="J31" i="41"/>
  <c r="I31" i="41"/>
  <c r="H31" i="41"/>
  <c r="G31" i="41"/>
  <c r="F31" i="41"/>
  <c r="E31" i="41"/>
  <c r="B31" i="41"/>
  <c r="B53" i="41"/>
  <c r="B75" i="41" s="1"/>
  <c r="B97" i="41" s="1"/>
  <c r="BM29" i="41"/>
  <c r="BK29" i="41"/>
  <c r="BJ29" i="41"/>
  <c r="BH29" i="41"/>
  <c r="BF29" i="41"/>
  <c r="BD29" i="41"/>
  <c r="BB29" i="41"/>
  <c r="AZ29" i="41"/>
  <c r="AX29" i="41"/>
  <c r="AV29" i="41"/>
  <c r="AT29" i="41"/>
  <c r="AR29" i="41"/>
  <c r="AP29" i="41"/>
  <c r="AN29" i="41"/>
  <c r="AL29" i="41"/>
  <c r="AJ29" i="41"/>
  <c r="AH29" i="41"/>
  <c r="AF29" i="41"/>
  <c r="AD29" i="41"/>
  <c r="AB29" i="41"/>
  <c r="Z29" i="41"/>
  <c r="X29" i="41"/>
  <c r="V29" i="41"/>
  <c r="T29" i="41"/>
  <c r="R29" i="41"/>
  <c r="P29" i="41"/>
  <c r="N29" i="41"/>
  <c r="L29" i="41"/>
  <c r="J29" i="41"/>
  <c r="H29" i="41"/>
  <c r="F29" i="41"/>
  <c r="BP28" i="41"/>
  <c r="BJ26" i="41"/>
  <c r="BI26" i="41"/>
  <c r="BH26" i="41"/>
  <c r="BG26" i="41"/>
  <c r="BF26" i="41"/>
  <c r="BE26" i="41"/>
  <c r="BD26" i="41"/>
  <c r="BC26" i="41"/>
  <c r="BB26" i="41"/>
  <c r="BA26" i="41"/>
  <c r="AZ26" i="41"/>
  <c r="AY26" i="41"/>
  <c r="AX26" i="41"/>
  <c r="AW26" i="41"/>
  <c r="AV26" i="41"/>
  <c r="AU26" i="41"/>
  <c r="AT26" i="41"/>
  <c r="AS26" i="41"/>
  <c r="AR26" i="41"/>
  <c r="AQ26" i="41"/>
  <c r="AP26" i="41"/>
  <c r="AO26" i="41"/>
  <c r="AN26" i="41"/>
  <c r="AM26" i="41"/>
  <c r="AL26" i="41"/>
  <c r="AK26" i="41"/>
  <c r="AJ26" i="41"/>
  <c r="AI26" i="41"/>
  <c r="AH26" i="41"/>
  <c r="AG26" i="41"/>
  <c r="AF26" i="41"/>
  <c r="AE26" i="41"/>
  <c r="AD26" i="41"/>
  <c r="AC26" i="41"/>
  <c r="AB26" i="41"/>
  <c r="AA26" i="41"/>
  <c r="Z26" i="41"/>
  <c r="Y26" i="41"/>
  <c r="X26" i="41"/>
  <c r="W26" i="41"/>
  <c r="V26" i="41"/>
  <c r="U26" i="41"/>
  <c r="T26" i="41"/>
  <c r="S26" i="41"/>
  <c r="R26" i="41"/>
  <c r="Q26" i="41"/>
  <c r="P26" i="41"/>
  <c r="O26" i="41"/>
  <c r="N26" i="41"/>
  <c r="M26" i="41"/>
  <c r="L26" i="41"/>
  <c r="K26" i="41"/>
  <c r="J26" i="41"/>
  <c r="I26" i="41"/>
  <c r="H26" i="41"/>
  <c r="G26" i="41"/>
  <c r="F26" i="41"/>
  <c r="E26" i="41"/>
  <c r="BJ25" i="41"/>
  <c r="BI25" i="41"/>
  <c r="BH25" i="41"/>
  <c r="BG25" i="41"/>
  <c r="BF25" i="41"/>
  <c r="BE25" i="41"/>
  <c r="BD25" i="41"/>
  <c r="BC25" i="41"/>
  <c r="BB25" i="41"/>
  <c r="BA25" i="41"/>
  <c r="AZ25" i="41"/>
  <c r="AY25" i="41"/>
  <c r="AX25" i="41"/>
  <c r="AW25" i="41"/>
  <c r="AV25" i="41"/>
  <c r="AU25" i="41"/>
  <c r="AT25" i="41"/>
  <c r="AS25" i="41"/>
  <c r="AR25" i="41"/>
  <c r="AQ25" i="41"/>
  <c r="AP25" i="41"/>
  <c r="AO25" i="41"/>
  <c r="AN25" i="41"/>
  <c r="AM25" i="41"/>
  <c r="AL25" i="41"/>
  <c r="AK25" i="41"/>
  <c r="AJ25" i="41"/>
  <c r="AI25" i="41"/>
  <c r="AH25" i="41"/>
  <c r="AG25" i="41"/>
  <c r="AF25" i="41"/>
  <c r="AE25" i="41"/>
  <c r="AD25" i="41"/>
  <c r="AC25" i="41"/>
  <c r="AB25" i="41"/>
  <c r="AA25" i="41"/>
  <c r="Z25" i="41"/>
  <c r="Y25" i="41"/>
  <c r="X25" i="41"/>
  <c r="W25" i="41"/>
  <c r="V25" i="41"/>
  <c r="U25" i="41"/>
  <c r="T25" i="41"/>
  <c r="S25" i="41"/>
  <c r="R25" i="41"/>
  <c r="Q25" i="41"/>
  <c r="P25" i="41"/>
  <c r="O25" i="41"/>
  <c r="N25" i="41"/>
  <c r="M25" i="41"/>
  <c r="L25" i="41"/>
  <c r="K25" i="41"/>
  <c r="J25" i="41"/>
  <c r="I25" i="41"/>
  <c r="H25" i="41"/>
  <c r="G25" i="41"/>
  <c r="F25" i="41"/>
  <c r="E25" i="41"/>
  <c r="BF24" i="41"/>
  <c r="BD24" i="41"/>
  <c r="BB24" i="41"/>
  <c r="BJ23" i="41"/>
  <c r="BF23" i="41"/>
  <c r="BF125" i="41" s="1"/>
  <c r="BD23" i="41"/>
  <c r="BD125" i="41" s="1"/>
  <c r="BB23" i="41"/>
  <c r="BB125" i="41" s="1"/>
  <c r="AX23" i="41"/>
  <c r="AT23" i="41"/>
  <c r="AP23" i="41"/>
  <c r="AL23" i="41"/>
  <c r="AJ23" i="41"/>
  <c r="AJ125" i="41" s="1"/>
  <c r="AH23" i="41"/>
  <c r="AD23" i="41"/>
  <c r="AB23" i="41"/>
  <c r="Z23" i="41"/>
  <c r="V23" i="41"/>
  <c r="T23" i="41"/>
  <c r="T125" i="41" s="1"/>
  <c r="R23" i="41"/>
  <c r="N23" i="41"/>
  <c r="L23" i="41"/>
  <c r="J23" i="41"/>
  <c r="J125" i="41" s="1"/>
  <c r="F23" i="41"/>
  <c r="BM22" i="41"/>
  <c r="BK22" i="41"/>
  <c r="BJ22" i="41"/>
  <c r="BI22" i="41"/>
  <c r="BG22" i="41"/>
  <c r="BF22" i="41"/>
  <c r="BE22" i="41"/>
  <c r="BD22" i="41"/>
  <c r="BC22" i="41"/>
  <c r="BB22" i="41"/>
  <c r="BA22" i="41"/>
  <c r="AZ22" i="41"/>
  <c r="AY22" i="41"/>
  <c r="AX22" i="41"/>
  <c r="AW22" i="41"/>
  <c r="AV22" i="41"/>
  <c r="AU22" i="41"/>
  <c r="AT22" i="41"/>
  <c r="AS22" i="41"/>
  <c r="AR22" i="41"/>
  <c r="AQ22" i="41"/>
  <c r="AP22" i="41"/>
  <c r="AO22" i="41"/>
  <c r="AN22" i="41"/>
  <c r="AM22" i="41"/>
  <c r="AL22" i="41"/>
  <c r="AK22" i="41"/>
  <c r="AJ22" i="41"/>
  <c r="AH22" i="41"/>
  <c r="AG22" i="41"/>
  <c r="AF22" i="41"/>
  <c r="AD22" i="41"/>
  <c r="AC22" i="41"/>
  <c r="AB22" i="41"/>
  <c r="Z22" i="41"/>
  <c r="Y22" i="41"/>
  <c r="X22" i="41"/>
  <c r="V22" i="41"/>
  <c r="U22" i="41"/>
  <c r="T22" i="41"/>
  <c r="R22" i="41"/>
  <c r="Q22" i="41"/>
  <c r="P22" i="41"/>
  <c r="N22" i="41"/>
  <c r="M22" i="41"/>
  <c r="L22" i="41"/>
  <c r="K22" i="41"/>
  <c r="J22" i="41"/>
  <c r="I22" i="41"/>
  <c r="H22" i="41"/>
  <c r="F22" i="41"/>
  <c r="BM21" i="41"/>
  <c r="BK21" i="41"/>
  <c r="BJ21" i="41"/>
  <c r="BF21" i="41"/>
  <c r="BD21" i="41"/>
  <c r="BB21" i="41"/>
  <c r="AZ21" i="41"/>
  <c r="AX21" i="41"/>
  <c r="AV21" i="41"/>
  <c r="AT21" i="41"/>
  <c r="AR21" i="41"/>
  <c r="AP21" i="41"/>
  <c r="AN21" i="41"/>
  <c r="AL21" i="41"/>
  <c r="AJ21" i="41"/>
  <c r="AH21" i="41"/>
  <c r="AF21" i="41"/>
  <c r="AD21" i="41"/>
  <c r="AB21" i="41"/>
  <c r="Z21" i="41"/>
  <c r="X21" i="41"/>
  <c r="V21" i="41"/>
  <c r="T21" i="41"/>
  <c r="R21" i="41"/>
  <c r="P21" i="41"/>
  <c r="N21" i="41"/>
  <c r="L21" i="41"/>
  <c r="J21" i="41"/>
  <c r="H21" i="41"/>
  <c r="F21" i="41"/>
  <c r="BM20" i="41"/>
  <c r="BF20" i="41"/>
  <c r="BD20" i="41"/>
  <c r="BB20" i="41"/>
  <c r="AZ20" i="41"/>
  <c r="AX20" i="41"/>
  <c r="AT20" i="41"/>
  <c r="AP20" i="41"/>
  <c r="AJ20" i="41"/>
  <c r="AH20" i="41"/>
  <c r="AB20" i="41"/>
  <c r="Z20" i="41"/>
  <c r="T20" i="41"/>
  <c r="R20" i="41"/>
  <c r="L20" i="41"/>
  <c r="J20" i="41"/>
  <c r="BM19" i="41"/>
  <c r="BM136" i="41" s="1"/>
  <c r="BJ19" i="41"/>
  <c r="BJ136" i="41"/>
  <c r="BI19" i="41"/>
  <c r="BI136" i="41" s="1"/>
  <c r="BH19" i="41"/>
  <c r="BG19" i="41"/>
  <c r="BG136" i="41" s="1"/>
  <c r="BF19" i="41"/>
  <c r="BF136" i="41" s="1"/>
  <c r="BE19" i="41"/>
  <c r="BE136" i="41"/>
  <c r="BD19" i="41"/>
  <c r="BC19" i="41"/>
  <c r="BC136" i="41"/>
  <c r="BB19" i="41"/>
  <c r="BB136" i="41" s="1"/>
  <c r="BA19" i="41"/>
  <c r="BA136" i="41"/>
  <c r="AZ19" i="41"/>
  <c r="AY19" i="41"/>
  <c r="AY136" i="41" s="1"/>
  <c r="AX19" i="41"/>
  <c r="AX136" i="41"/>
  <c r="AW19" i="41"/>
  <c r="AW136" i="41" s="1"/>
  <c r="AV19" i="41"/>
  <c r="AU19" i="41"/>
  <c r="AU136" i="41" s="1"/>
  <c r="AT19" i="41"/>
  <c r="AS19" i="41"/>
  <c r="AS136" i="41" s="1"/>
  <c r="AR19" i="41"/>
  <c r="AQ19" i="41"/>
  <c r="AQ136" i="41"/>
  <c r="AP19" i="41"/>
  <c r="AP136" i="41" s="1"/>
  <c r="AO19" i="41"/>
  <c r="AO136" i="41"/>
  <c r="AN19" i="41"/>
  <c r="AM19" i="41"/>
  <c r="AM136" i="41" s="1"/>
  <c r="AL19" i="41"/>
  <c r="AL136" i="41"/>
  <c r="AK19" i="41"/>
  <c r="AK136" i="41" s="1"/>
  <c r="AJ19" i="41"/>
  <c r="AI19" i="41"/>
  <c r="AI136" i="41" s="1"/>
  <c r="AH19" i="41"/>
  <c r="AG19" i="41"/>
  <c r="AG136" i="41" s="1"/>
  <c r="AF19" i="41"/>
  <c r="AE19" i="41"/>
  <c r="AE136" i="41"/>
  <c r="AD19" i="41"/>
  <c r="AD136" i="41" s="1"/>
  <c r="AC19" i="41"/>
  <c r="AC136" i="41"/>
  <c r="AB19" i="41"/>
  <c r="AA19" i="41"/>
  <c r="AA136" i="41"/>
  <c r="Z19" i="41"/>
  <c r="Z136" i="41" s="1"/>
  <c r="Y19" i="41"/>
  <c r="Y136" i="41" s="1"/>
  <c r="X19" i="41"/>
  <c r="W19" i="41"/>
  <c r="W136" i="41" s="1"/>
  <c r="V19" i="41"/>
  <c r="V136" i="41"/>
  <c r="U19" i="41"/>
  <c r="U136" i="41" s="1"/>
  <c r="T19" i="41"/>
  <c r="S19" i="41"/>
  <c r="S136" i="41"/>
  <c r="R19" i="41"/>
  <c r="R136" i="41" s="1"/>
  <c r="Q19" i="41"/>
  <c r="Q136" i="41"/>
  <c r="P19" i="41"/>
  <c r="O19" i="41"/>
  <c r="O136" i="41"/>
  <c r="N19" i="41"/>
  <c r="N136" i="41" s="1"/>
  <c r="M19" i="41"/>
  <c r="L19" i="41"/>
  <c r="K19" i="41"/>
  <c r="K136" i="41" s="1"/>
  <c r="J19" i="41"/>
  <c r="J136" i="41" s="1"/>
  <c r="I19" i="41"/>
  <c r="I136" i="41" s="1"/>
  <c r="H19" i="41"/>
  <c r="G19" i="41"/>
  <c r="G136" i="41"/>
  <c r="F19" i="41"/>
  <c r="F136" i="41" s="1"/>
  <c r="E19" i="41"/>
  <c r="E136" i="41"/>
  <c r="BF18" i="41"/>
  <c r="BF124" i="41" s="1"/>
  <c r="BD18" i="41"/>
  <c r="BB18" i="41"/>
  <c r="BB124" i="41" s="1"/>
  <c r="AV18" i="41"/>
  <c r="AR18" i="41"/>
  <c r="AF18" i="41"/>
  <c r="X18" i="41"/>
  <c r="P18" i="41"/>
  <c r="H18" i="41"/>
  <c r="BJ17" i="41"/>
  <c r="BI17" i="41"/>
  <c r="BH17" i="41"/>
  <c r="BG17" i="41"/>
  <c r="BF17" i="41"/>
  <c r="BE17" i="41"/>
  <c r="BD17" i="41"/>
  <c r="BC17" i="41"/>
  <c r="BB17" i="41"/>
  <c r="BA17" i="41"/>
  <c r="AZ17" i="41"/>
  <c r="AY17" i="41"/>
  <c r="AX17" i="41"/>
  <c r="AW17" i="41"/>
  <c r="AV17" i="41"/>
  <c r="AU17" i="41"/>
  <c r="AT17" i="41"/>
  <c r="AS17" i="41"/>
  <c r="AR17" i="41"/>
  <c r="AQ17" i="41"/>
  <c r="AP17" i="41"/>
  <c r="AO17" i="41"/>
  <c r="AN17" i="41"/>
  <c r="AM17" i="41"/>
  <c r="AL17" i="41"/>
  <c r="AK17" i="41"/>
  <c r="AJ17" i="41"/>
  <c r="AI17" i="41"/>
  <c r="AH17" i="41"/>
  <c r="AG17" i="41"/>
  <c r="AF17" i="41"/>
  <c r="AE17" i="41"/>
  <c r="AD17" i="41"/>
  <c r="AC17" i="41"/>
  <c r="AB17" i="41"/>
  <c r="AA17" i="41"/>
  <c r="Z17" i="41"/>
  <c r="Y17" i="41"/>
  <c r="X17" i="41"/>
  <c r="W17" i="41"/>
  <c r="V17" i="41"/>
  <c r="U17" i="41"/>
  <c r="T17" i="41"/>
  <c r="S17" i="41"/>
  <c r="R17" i="41"/>
  <c r="Q17" i="41"/>
  <c r="P17" i="41"/>
  <c r="O17" i="41"/>
  <c r="N17" i="41"/>
  <c r="M17" i="41"/>
  <c r="L17" i="41"/>
  <c r="K17" i="41"/>
  <c r="J17" i="41"/>
  <c r="I17" i="41"/>
  <c r="H17" i="41"/>
  <c r="G17" i="41"/>
  <c r="F17" i="41"/>
  <c r="E17" i="41"/>
  <c r="BJ16" i="41"/>
  <c r="BI16" i="41"/>
  <c r="BH16" i="41"/>
  <c r="BG16" i="41"/>
  <c r="BF16" i="41"/>
  <c r="BE16" i="41"/>
  <c r="BD16" i="41"/>
  <c r="BC16" i="41"/>
  <c r="BB16" i="41"/>
  <c r="BA16" i="41"/>
  <c r="AZ16" i="41"/>
  <c r="AY16" i="41"/>
  <c r="AX16" i="41"/>
  <c r="AW16" i="41"/>
  <c r="AV16" i="41"/>
  <c r="AU16" i="41"/>
  <c r="AT16" i="41"/>
  <c r="AS16" i="41"/>
  <c r="AR16" i="41"/>
  <c r="AQ16" i="41"/>
  <c r="AP16" i="41"/>
  <c r="AO16" i="41"/>
  <c r="AN16" i="41"/>
  <c r="AM16" i="41"/>
  <c r="AL16" i="41"/>
  <c r="AK16" i="41"/>
  <c r="AJ16" i="41"/>
  <c r="AI16" i="41"/>
  <c r="AH16" i="41"/>
  <c r="AG16" i="41"/>
  <c r="AF16" i="41"/>
  <c r="AE16" i="41"/>
  <c r="AD16" i="41"/>
  <c r="AC16" i="41"/>
  <c r="AB16" i="41"/>
  <c r="AA16" i="41"/>
  <c r="Z16" i="41"/>
  <c r="Y16" i="41"/>
  <c r="X16" i="41"/>
  <c r="W16" i="41"/>
  <c r="V16" i="41"/>
  <c r="U16" i="41"/>
  <c r="T16" i="41"/>
  <c r="S16" i="41"/>
  <c r="R16" i="41"/>
  <c r="Q16" i="41"/>
  <c r="P16" i="41"/>
  <c r="O16" i="41"/>
  <c r="N16" i="41"/>
  <c r="M16" i="41"/>
  <c r="L16" i="41"/>
  <c r="K16" i="41"/>
  <c r="J16" i="41"/>
  <c r="I16" i="41"/>
  <c r="H16" i="41"/>
  <c r="G16" i="41"/>
  <c r="F16" i="41"/>
  <c r="E16" i="41"/>
  <c r="BF15" i="41"/>
  <c r="BF123" i="41" s="1"/>
  <c r="BD15" i="41"/>
  <c r="BD123" i="41" s="1"/>
  <c r="BB15" i="41"/>
  <c r="BB123" i="41" s="1"/>
  <c r="AN15" i="41"/>
  <c r="AF15" i="41"/>
  <c r="BJ14" i="41"/>
  <c r="BJ122" i="41"/>
  <c r="BJ139" i="41" s="1"/>
  <c r="BI14" i="41"/>
  <c r="BH14" i="41"/>
  <c r="BG14" i="41"/>
  <c r="BG122" i="41" s="1"/>
  <c r="BG139" i="41" s="1"/>
  <c r="BF14" i="41"/>
  <c r="BF122" i="41" s="1"/>
  <c r="BF139" i="41" s="1"/>
  <c r="BE14" i="41"/>
  <c r="BD14" i="41"/>
  <c r="BC14" i="41"/>
  <c r="BC122" i="41"/>
  <c r="BC139" i="41" s="1"/>
  <c r="BB14" i="41"/>
  <c r="BB122" i="41"/>
  <c r="BB139" i="41"/>
  <c r="BA14" i="41"/>
  <c r="AY14" i="41"/>
  <c r="AY122" i="41" s="1"/>
  <c r="AY139" i="41" s="1"/>
  <c r="AX14" i="41"/>
  <c r="AX122" i="41" s="1"/>
  <c r="AX139" i="41" s="1"/>
  <c r="AW14" i="41"/>
  <c r="AV14" i="41"/>
  <c r="AU14" i="41"/>
  <c r="AU139" i="41"/>
  <c r="AT14" i="41"/>
  <c r="AT122" i="41" s="1"/>
  <c r="AT139" i="41" s="1"/>
  <c r="AS14" i="41"/>
  <c r="AR14" i="41"/>
  <c r="AQ14" i="41"/>
  <c r="AQ122" i="41" s="1"/>
  <c r="AQ139" i="41" s="1"/>
  <c r="AP14" i="41"/>
  <c r="AP122" i="41" s="1"/>
  <c r="AP139" i="41" s="1"/>
  <c r="AO14" i="41"/>
  <c r="AN14" i="41"/>
  <c r="AM14" i="41"/>
  <c r="AM122" i="41" s="1"/>
  <c r="AM139" i="41" s="1"/>
  <c r="AL14" i="41"/>
  <c r="AL122" i="41" s="1"/>
  <c r="AL139" i="41" s="1"/>
  <c r="AK14" i="41"/>
  <c r="AJ14" i="41"/>
  <c r="AI14" i="41"/>
  <c r="AI122" i="41" s="1"/>
  <c r="AI139" i="41" s="1"/>
  <c r="AH14" i="41"/>
  <c r="AH122" i="41" s="1"/>
  <c r="AH139" i="41" s="1"/>
  <c r="AG14" i="41"/>
  <c r="AF14" i="41"/>
  <c r="AE14" i="41"/>
  <c r="AE122" i="41" s="1"/>
  <c r="AE139" i="41" s="1"/>
  <c r="AD14" i="41"/>
  <c r="AD122" i="41" s="1"/>
  <c r="AD139" i="41" s="1"/>
  <c r="AC14" i="41"/>
  <c r="AB14" i="41"/>
  <c r="AA14" i="41"/>
  <c r="AA122" i="41" s="1"/>
  <c r="AA139" i="41" s="1"/>
  <c r="Z14" i="41"/>
  <c r="Z122" i="41" s="1"/>
  <c r="Z139" i="41" s="1"/>
  <c r="Y14" i="41"/>
  <c r="X14" i="41"/>
  <c r="W14" i="41"/>
  <c r="W122" i="41" s="1"/>
  <c r="W139" i="41" s="1"/>
  <c r="V14" i="41"/>
  <c r="V122" i="41"/>
  <c r="V139" i="41" s="1"/>
  <c r="U14" i="41"/>
  <c r="T14" i="41"/>
  <c r="S14" i="41"/>
  <c r="S122" i="41" s="1"/>
  <c r="S139" i="41" s="1"/>
  <c r="R14" i="41"/>
  <c r="R122" i="41" s="1"/>
  <c r="R139" i="41" s="1"/>
  <c r="Q14" i="41"/>
  <c r="P14" i="41"/>
  <c r="O14" i="41"/>
  <c r="O122" i="41" s="1"/>
  <c r="O139" i="41" s="1"/>
  <c r="N14" i="41"/>
  <c r="N122" i="41"/>
  <c r="N139" i="41" s="1"/>
  <c r="M14" i="41"/>
  <c r="L14" i="41"/>
  <c r="K14" i="41"/>
  <c r="K122" i="41" s="1"/>
  <c r="K139" i="41" s="1"/>
  <c r="J14" i="41"/>
  <c r="J122" i="41" s="1"/>
  <c r="J139" i="41" s="1"/>
  <c r="I14" i="41"/>
  <c r="H14" i="41"/>
  <c r="G14" i="41"/>
  <c r="G122" i="41"/>
  <c r="G139" i="41" s="1"/>
  <c r="F14" i="41"/>
  <c r="F122" i="41"/>
  <c r="F139" i="41"/>
  <c r="E14" i="41"/>
  <c r="BJ13" i="41"/>
  <c r="BI13" i="41"/>
  <c r="BI121" i="41"/>
  <c r="BI138" i="41" s="1"/>
  <c r="BH13" i="41"/>
  <c r="BG13" i="41"/>
  <c r="BG121" i="41"/>
  <c r="BG138" i="41" s="1"/>
  <c r="BF13" i="41"/>
  <c r="BE13" i="41"/>
  <c r="BE121" i="41"/>
  <c r="BE138" i="41" s="1"/>
  <c r="BD13" i="41"/>
  <c r="BD121" i="41" s="1"/>
  <c r="BD138" i="41" s="1"/>
  <c r="BC13" i="41"/>
  <c r="BC121" i="41" s="1"/>
  <c r="BC138" i="41" s="1"/>
  <c r="BB13" i="41"/>
  <c r="BA13" i="41"/>
  <c r="AY13" i="41"/>
  <c r="AX13" i="41"/>
  <c r="AX121" i="41"/>
  <c r="AX138" i="41"/>
  <c r="AW13" i="41"/>
  <c r="AW121" i="41" s="1"/>
  <c r="AW138" i="41" s="1"/>
  <c r="AV13" i="41"/>
  <c r="AV121" i="41" s="1"/>
  <c r="AV138" i="41" s="1"/>
  <c r="AU13" i="41"/>
  <c r="AT13" i="41"/>
  <c r="AT121" i="41"/>
  <c r="AT138" i="41"/>
  <c r="AS13" i="41"/>
  <c r="AS121" i="41" s="1"/>
  <c r="AS138" i="41" s="1"/>
  <c r="AR13" i="41"/>
  <c r="AR121" i="41"/>
  <c r="AR138" i="41" s="1"/>
  <c r="AQ13" i="41"/>
  <c r="AP13" i="41"/>
  <c r="AP121" i="41"/>
  <c r="AP138" i="41" s="1"/>
  <c r="AO13" i="41"/>
  <c r="AO121" i="41"/>
  <c r="AO138" i="41"/>
  <c r="AN13" i="41"/>
  <c r="AN121" i="41" s="1"/>
  <c r="AN138" i="41" s="1"/>
  <c r="AM13" i="41"/>
  <c r="AM121" i="41" s="1"/>
  <c r="AM138" i="41" s="1"/>
  <c r="AL13" i="41"/>
  <c r="AL121" i="41"/>
  <c r="AL138" i="41" s="1"/>
  <c r="AK13" i="41"/>
  <c r="AK121" i="41"/>
  <c r="AK138" i="41"/>
  <c r="AJ13" i="41"/>
  <c r="AI13" i="41"/>
  <c r="AH13" i="41"/>
  <c r="AH121" i="41"/>
  <c r="AH138" i="41"/>
  <c r="AG13" i="41"/>
  <c r="AG121" i="41" s="1"/>
  <c r="AG138" i="41" s="1"/>
  <c r="AF13" i="41"/>
  <c r="AF121" i="41" s="1"/>
  <c r="AF138" i="41" s="1"/>
  <c r="AE13" i="41"/>
  <c r="AD13" i="41"/>
  <c r="AD121" i="41"/>
  <c r="AD138" i="41"/>
  <c r="AC13" i="41"/>
  <c r="AC121" i="41" s="1"/>
  <c r="AC138" i="41" s="1"/>
  <c r="AB13" i="41"/>
  <c r="AB121" i="41"/>
  <c r="AB138" i="41" s="1"/>
  <c r="AA13" i="41"/>
  <c r="Z13" i="41"/>
  <c r="Z121" i="41"/>
  <c r="Z138" i="41" s="1"/>
  <c r="Y13" i="41"/>
  <c r="Y121" i="41"/>
  <c r="Y138" i="41"/>
  <c r="X13" i="41"/>
  <c r="X121" i="41" s="1"/>
  <c r="X138" i="41" s="1"/>
  <c r="W13" i="41"/>
  <c r="W121" i="41" s="1"/>
  <c r="W138" i="41" s="1"/>
  <c r="V13" i="41"/>
  <c r="V121" i="41"/>
  <c r="V138" i="41" s="1"/>
  <c r="U13" i="41"/>
  <c r="U121" i="41"/>
  <c r="U138" i="41"/>
  <c r="T13" i="41"/>
  <c r="T121" i="41"/>
  <c r="T138" i="41"/>
  <c r="S13" i="41"/>
  <c r="R13" i="41"/>
  <c r="Q13" i="41"/>
  <c r="Q121" i="41" s="1"/>
  <c r="Q138" i="41" s="1"/>
  <c r="P13" i="41"/>
  <c r="P121" i="41" s="1"/>
  <c r="P138" i="41" s="1"/>
  <c r="O13" i="41"/>
  <c r="N13" i="41"/>
  <c r="M13" i="41"/>
  <c r="M121" i="41" s="1"/>
  <c r="M138" i="41" s="1"/>
  <c r="L13" i="41"/>
  <c r="L121" i="41"/>
  <c r="L138" i="41" s="1"/>
  <c r="K13" i="41"/>
  <c r="J13" i="41"/>
  <c r="J121" i="41"/>
  <c r="J138" i="41" s="1"/>
  <c r="I13" i="41"/>
  <c r="I121" i="41"/>
  <c r="I138" i="41"/>
  <c r="H13" i="41"/>
  <c r="H121" i="41" s="1"/>
  <c r="H138" i="41" s="1"/>
  <c r="G13" i="41"/>
  <c r="G121" i="41" s="1"/>
  <c r="G138" i="41" s="1"/>
  <c r="F13" i="41"/>
  <c r="F121" i="41"/>
  <c r="F138" i="41" s="1"/>
  <c r="E13" i="41"/>
  <c r="E121" i="41"/>
  <c r="E138" i="41"/>
  <c r="BJ12" i="41"/>
  <c r="BJ120" i="41"/>
  <c r="BJ137" i="41"/>
  <c r="BI12" i="41"/>
  <c r="BI120" i="41" s="1"/>
  <c r="BI137" i="41" s="1"/>
  <c r="BH12" i="41"/>
  <c r="BH120" i="41" s="1"/>
  <c r="BH137" i="41" s="1"/>
  <c r="BG12" i="41"/>
  <c r="BG120" i="41"/>
  <c r="BG137" i="41"/>
  <c r="BF12" i="41"/>
  <c r="BF120" i="41"/>
  <c r="BF137" i="41"/>
  <c r="BE12" i="41"/>
  <c r="BD12" i="41"/>
  <c r="BC12" i="41"/>
  <c r="BC120" i="41" s="1"/>
  <c r="BC137" i="41" s="1"/>
  <c r="BB12" i="41"/>
  <c r="BB120" i="41"/>
  <c r="BB137" i="41" s="1"/>
  <c r="BA12" i="41"/>
  <c r="AY12" i="41"/>
  <c r="AY120" i="41"/>
  <c r="AY137" i="41" s="1"/>
  <c r="AX12" i="41"/>
  <c r="AX120" i="41"/>
  <c r="AX137" i="41"/>
  <c r="AW12" i="41"/>
  <c r="AV12" i="41"/>
  <c r="AU12" i="41"/>
  <c r="AU120" i="41"/>
  <c r="AU137" i="41" s="1"/>
  <c r="AT12" i="41"/>
  <c r="AT120" i="41"/>
  <c r="AT137" i="41"/>
  <c r="AS12" i="41"/>
  <c r="AS120" i="41" s="1"/>
  <c r="AS137" i="41" s="1"/>
  <c r="AR12" i="41"/>
  <c r="AR120" i="41" s="1"/>
  <c r="AR137" i="41" s="1"/>
  <c r="AQ12" i="41"/>
  <c r="AQ120" i="41"/>
  <c r="AQ137" i="41" s="1"/>
  <c r="AP12" i="41"/>
  <c r="AP120" i="41"/>
  <c r="AP137" i="41"/>
  <c r="AO12" i="41"/>
  <c r="AN12" i="41"/>
  <c r="AM12" i="41"/>
  <c r="AM120" i="41"/>
  <c r="AM137" i="41" s="1"/>
  <c r="AL12" i="41"/>
  <c r="AL120" i="41"/>
  <c r="AL137" i="41"/>
  <c r="AK12" i="41"/>
  <c r="AK120" i="41" s="1"/>
  <c r="AK137" i="41" s="1"/>
  <c r="AJ12" i="41"/>
  <c r="AJ120" i="41" s="1"/>
  <c r="AJ137" i="41" s="1"/>
  <c r="AI12" i="41"/>
  <c r="AI120" i="41"/>
  <c r="AI137" i="41" s="1"/>
  <c r="AH12" i="41"/>
  <c r="AH120" i="41"/>
  <c r="AH137" i="41"/>
  <c r="AG12" i="41"/>
  <c r="AF12" i="41"/>
  <c r="AE12" i="41"/>
  <c r="AE120" i="41"/>
  <c r="AE137" i="41" s="1"/>
  <c r="AD12" i="41"/>
  <c r="AD120" i="41"/>
  <c r="AD137" i="41"/>
  <c r="AC12" i="41"/>
  <c r="AC120" i="41" s="1"/>
  <c r="AC137" i="41" s="1"/>
  <c r="AB12" i="41"/>
  <c r="AB120" i="41" s="1"/>
  <c r="AB137" i="41" s="1"/>
  <c r="AA12" i="41"/>
  <c r="AA120" i="41"/>
  <c r="AA137" i="41" s="1"/>
  <c r="Z12" i="41"/>
  <c r="Z120" i="41"/>
  <c r="Z137" i="41"/>
  <c r="Y12" i="41"/>
  <c r="X12" i="41"/>
  <c r="W12" i="41"/>
  <c r="W120" i="41"/>
  <c r="W137" i="41" s="1"/>
  <c r="V12" i="41"/>
  <c r="V120" i="41"/>
  <c r="V137" i="41"/>
  <c r="U12" i="41"/>
  <c r="U120" i="41" s="1"/>
  <c r="U137" i="41" s="1"/>
  <c r="T12" i="41"/>
  <c r="T120" i="41" s="1"/>
  <c r="T137" i="41" s="1"/>
  <c r="S12" i="41"/>
  <c r="S120" i="41"/>
  <c r="S137" i="41" s="1"/>
  <c r="R12" i="41"/>
  <c r="R120" i="41"/>
  <c r="R137" i="41"/>
  <c r="Q12" i="41"/>
  <c r="P12" i="41"/>
  <c r="O12" i="41"/>
  <c r="O120" i="41"/>
  <c r="O137" i="41" s="1"/>
  <c r="N12" i="41"/>
  <c r="N120" i="41"/>
  <c r="N137" i="41"/>
  <c r="M12" i="41"/>
  <c r="M120" i="41" s="1"/>
  <c r="M137" i="41" s="1"/>
  <c r="L12" i="41"/>
  <c r="K12" i="41"/>
  <c r="K120" i="41"/>
  <c r="K137" i="41" s="1"/>
  <c r="J12" i="41"/>
  <c r="J120" i="41"/>
  <c r="J137" i="41"/>
  <c r="I12" i="41"/>
  <c r="H12" i="41"/>
  <c r="G12" i="41"/>
  <c r="G120" i="41"/>
  <c r="G137" i="41" s="1"/>
  <c r="F12" i="41"/>
  <c r="F120" i="41"/>
  <c r="F137" i="41"/>
  <c r="E12" i="41"/>
  <c r="E120" i="41" s="1"/>
  <c r="E137" i="41" s="1"/>
  <c r="BJ11" i="41"/>
  <c r="BJ119" i="41" s="1"/>
  <c r="BJ135" i="41" s="1"/>
  <c r="BF11" i="41"/>
  <c r="BF119" i="41" s="1"/>
  <c r="BF135" i="41" s="1"/>
  <c r="BD11" i="41"/>
  <c r="BD119" i="41" s="1"/>
  <c r="BD135" i="41" s="1"/>
  <c r="BB11" i="41"/>
  <c r="BB119" i="41" s="1"/>
  <c r="BB135" i="41" s="1"/>
  <c r="AV11" i="41"/>
  <c r="AV119" i="41" s="1"/>
  <c r="AV135" i="41" s="1"/>
  <c r="AR11" i="41"/>
  <c r="AR119" i="41" s="1"/>
  <c r="AR135" i="41" s="1"/>
  <c r="AN11" i="41"/>
  <c r="AN119" i="41" s="1"/>
  <c r="AN135" i="41" s="1"/>
  <c r="AL11" i="41"/>
  <c r="AL119" i="41" s="1"/>
  <c r="AL135" i="41" s="1"/>
  <c r="AJ11" i="41"/>
  <c r="AH11" i="41"/>
  <c r="AH119" i="41" s="1"/>
  <c r="AH135" i="41" s="1"/>
  <c r="AF11" i="41"/>
  <c r="AF119" i="41" s="1"/>
  <c r="AF135" i="41" s="1"/>
  <c r="AD11" i="41"/>
  <c r="AD119" i="41" s="1"/>
  <c r="AD135" i="41" s="1"/>
  <c r="AB11" i="41"/>
  <c r="Z11" i="41"/>
  <c r="Z119" i="41" s="1"/>
  <c r="Z135" i="41" s="1"/>
  <c r="X11" i="41"/>
  <c r="X119" i="41" s="1"/>
  <c r="X135" i="41" s="1"/>
  <c r="V11" i="41"/>
  <c r="V119" i="41" s="1"/>
  <c r="V135" i="41" s="1"/>
  <c r="T11" i="41"/>
  <c r="R11" i="41"/>
  <c r="P11" i="41"/>
  <c r="P119" i="41" s="1"/>
  <c r="P135" i="41" s="1"/>
  <c r="N11" i="41"/>
  <c r="L11" i="41"/>
  <c r="J11" i="41"/>
  <c r="J119" i="41" s="1"/>
  <c r="J135" i="41" s="1"/>
  <c r="H11" i="41"/>
  <c r="H119" i="41" s="1"/>
  <c r="H135" i="41" s="1"/>
  <c r="F11" i="41"/>
  <c r="F119" i="41" s="1"/>
  <c r="F135" i="41" s="1"/>
  <c r="BJ10" i="41"/>
  <c r="BF10" i="41"/>
  <c r="BD10" i="41"/>
  <c r="BB10" i="41"/>
  <c r="AX10" i="41"/>
  <c r="AV10" i="41"/>
  <c r="AT10" i="41"/>
  <c r="AR10" i="41"/>
  <c r="AP10" i="41"/>
  <c r="AN10" i="41"/>
  <c r="AL10" i="41"/>
  <c r="AJ10" i="41"/>
  <c r="AH10" i="41"/>
  <c r="AF10" i="41"/>
  <c r="AD10" i="41"/>
  <c r="AB10" i="41"/>
  <c r="Z10" i="41"/>
  <c r="X10" i="41"/>
  <c r="V10" i="41"/>
  <c r="T10" i="41"/>
  <c r="R10" i="41"/>
  <c r="P10" i="41"/>
  <c r="N10" i="41"/>
  <c r="L10" i="41"/>
  <c r="J10" i="41"/>
  <c r="H10" i="41"/>
  <c r="F10" i="41"/>
  <c r="BJ9" i="41"/>
  <c r="BF9" i="41"/>
  <c r="BD9" i="41"/>
  <c r="BB9" i="41"/>
  <c r="AX9" i="41"/>
  <c r="AV9" i="41"/>
  <c r="AT9" i="41"/>
  <c r="AR9" i="41"/>
  <c r="AP9" i="41"/>
  <c r="AN9" i="41"/>
  <c r="AL9" i="41"/>
  <c r="AJ9" i="41"/>
  <c r="AH9" i="41"/>
  <c r="AF9" i="41"/>
  <c r="AD9" i="41"/>
  <c r="AB9" i="41"/>
  <c r="Z9" i="41"/>
  <c r="X9" i="41"/>
  <c r="V9" i="41"/>
  <c r="T9" i="41"/>
  <c r="R9" i="41"/>
  <c r="P9" i="41"/>
  <c r="N9" i="41"/>
  <c r="L9" i="41"/>
  <c r="J9" i="41"/>
  <c r="H9" i="41"/>
  <c r="F9" i="41"/>
  <c r="BM7" i="41"/>
  <c r="BJ7" i="41"/>
  <c r="BJ117" i="41" s="1"/>
  <c r="BH7" i="41"/>
  <c r="BH117" i="41"/>
  <c r="BF7" i="41"/>
  <c r="BF117" i="41" s="1"/>
  <c r="BD7" i="41"/>
  <c r="BD117" i="41" s="1"/>
  <c r="BB7" i="41"/>
  <c r="BB117" i="41" s="1"/>
  <c r="AZ7" i="41"/>
  <c r="AZ117" i="41"/>
  <c r="AX7" i="41"/>
  <c r="AX117" i="41" s="1"/>
  <c r="AV7" i="41"/>
  <c r="AV117" i="41" s="1"/>
  <c r="AT7" i="41"/>
  <c r="AT117" i="41"/>
  <c r="AR7" i="41"/>
  <c r="AR117" i="41" s="1"/>
  <c r="AP7" i="41"/>
  <c r="AP117" i="41"/>
  <c r="AN7" i="41"/>
  <c r="AN117" i="41" s="1"/>
  <c r="AL7" i="41"/>
  <c r="AL117" i="41"/>
  <c r="AJ7" i="41"/>
  <c r="AJ117" i="41" s="1"/>
  <c r="AH7" i="41"/>
  <c r="AH117" i="41"/>
  <c r="AF7" i="41"/>
  <c r="AF117" i="41" s="1"/>
  <c r="AD7" i="41"/>
  <c r="AD117" i="41" s="1"/>
  <c r="AB7" i="41"/>
  <c r="AB117" i="41"/>
  <c r="Z7" i="41"/>
  <c r="Z117" i="41" s="1"/>
  <c r="X7" i="41"/>
  <c r="X117" i="41" s="1"/>
  <c r="V7" i="41"/>
  <c r="V117" i="41" s="1"/>
  <c r="T7" i="41"/>
  <c r="T117" i="41"/>
  <c r="R7" i="41"/>
  <c r="R117" i="41" s="1"/>
  <c r="P7" i="41"/>
  <c r="P117" i="41" s="1"/>
  <c r="N7" i="41"/>
  <c r="N117" i="41"/>
  <c r="L7" i="41"/>
  <c r="L117" i="41" s="1"/>
  <c r="J7" i="41"/>
  <c r="J117" i="41"/>
  <c r="H7" i="41"/>
  <c r="H117" i="41" s="1"/>
  <c r="F7" i="41"/>
  <c r="F117" i="41"/>
  <c r="B7" i="41"/>
  <c r="BP6" i="41"/>
  <c r="B4" i="41"/>
  <c r="AO68" i="40"/>
  <c r="C68" i="40"/>
  <c r="AO67" i="40"/>
  <c r="C67" i="40"/>
  <c r="AO66" i="40"/>
  <c r="C66" i="40"/>
  <c r="AO65" i="40"/>
  <c r="C65" i="40"/>
  <c r="AO64" i="40"/>
  <c r="D64" i="40"/>
  <c r="C64" i="40"/>
  <c r="AO63" i="40"/>
  <c r="C63" i="40"/>
  <c r="AO62" i="40"/>
  <c r="C62" i="40"/>
  <c r="AO61" i="40"/>
  <c r="C61" i="40"/>
  <c r="AO60" i="40"/>
  <c r="C60" i="40"/>
  <c r="AO59" i="40"/>
  <c r="C59" i="40"/>
  <c r="AO58" i="40"/>
  <c r="D58" i="40"/>
  <c r="C58" i="40"/>
  <c r="AO57" i="40"/>
  <c r="C57" i="40"/>
  <c r="AP56" i="40"/>
  <c r="AO56" i="40"/>
  <c r="C56" i="40"/>
  <c r="AO55" i="40"/>
  <c r="C55" i="40"/>
  <c r="AO54" i="40"/>
  <c r="C54" i="40"/>
  <c r="AO53" i="40"/>
  <c r="C53" i="40"/>
  <c r="AO52" i="40"/>
  <c r="C52" i="40"/>
  <c r="AO51" i="40"/>
  <c r="C51" i="40"/>
  <c r="AO50" i="40"/>
  <c r="C50" i="40"/>
  <c r="AO49" i="40"/>
  <c r="C49" i="40"/>
  <c r="AO48" i="40"/>
  <c r="D48" i="40"/>
  <c r="C48" i="40"/>
  <c r="AO47" i="40"/>
  <c r="C47" i="40"/>
  <c r="AO46" i="40"/>
  <c r="C46" i="40"/>
  <c r="AO45" i="40"/>
  <c r="C45" i="40"/>
  <c r="AO44" i="40"/>
  <c r="C44" i="40"/>
  <c r="AO43" i="40"/>
  <c r="C43" i="40"/>
  <c r="AO42" i="40"/>
  <c r="C42" i="40"/>
  <c r="AO41" i="40"/>
  <c r="C41" i="40"/>
  <c r="AP40" i="40"/>
  <c r="AO40" i="40"/>
  <c r="C40" i="40"/>
  <c r="AO39" i="40"/>
  <c r="AN39" i="40"/>
  <c r="C39" i="40"/>
  <c r="B39" i="40"/>
  <c r="BV36" i="40"/>
  <c r="BU36" i="40"/>
  <c r="BT36" i="40"/>
  <c r="BS36" i="40"/>
  <c r="BR36" i="40"/>
  <c r="BQ36" i="40"/>
  <c r="BP36" i="40"/>
  <c r="BO36" i="40"/>
  <c r="BN36" i="40"/>
  <c r="BM36" i="40"/>
  <c r="BL36" i="40"/>
  <c r="BK36" i="40"/>
  <c r="BJ36" i="40"/>
  <c r="BI36" i="40"/>
  <c r="BH36" i="40"/>
  <c r="BG36" i="40"/>
  <c r="BF36" i="40"/>
  <c r="BE36" i="40"/>
  <c r="BD36" i="40"/>
  <c r="BC36" i="40"/>
  <c r="BB36" i="40"/>
  <c r="BA36" i="40"/>
  <c r="AZ36" i="40"/>
  <c r="AY36" i="40"/>
  <c r="AX36" i="40"/>
  <c r="AW36" i="40"/>
  <c r="AV36" i="40"/>
  <c r="AU36" i="40"/>
  <c r="AT36" i="40"/>
  <c r="AJ36" i="40"/>
  <c r="AI36" i="40"/>
  <c r="AH36" i="40"/>
  <c r="AG36" i="40"/>
  <c r="AF36" i="40"/>
  <c r="AE36" i="40"/>
  <c r="AD36" i="40"/>
  <c r="AC36" i="40"/>
  <c r="AB36" i="40"/>
  <c r="AA36" i="40"/>
  <c r="Z36" i="40"/>
  <c r="Y36" i="40"/>
  <c r="X36" i="40"/>
  <c r="W36" i="40"/>
  <c r="V36" i="40"/>
  <c r="U36" i="40"/>
  <c r="T36" i="40"/>
  <c r="S36" i="40"/>
  <c r="R36" i="40"/>
  <c r="Q36" i="40"/>
  <c r="P36" i="40"/>
  <c r="O36" i="40"/>
  <c r="N36" i="40"/>
  <c r="M36" i="40"/>
  <c r="L36" i="40"/>
  <c r="K36" i="40"/>
  <c r="J36" i="40"/>
  <c r="I36" i="40"/>
  <c r="H36" i="40"/>
  <c r="BW35" i="40"/>
  <c r="AP68" i="40" s="1"/>
  <c r="AS35" i="40"/>
  <c r="AK35" i="40"/>
  <c r="D68" i="40" s="1"/>
  <c r="G35" i="40"/>
  <c r="BW34" i="40"/>
  <c r="AP67" i="40"/>
  <c r="AS34" i="40"/>
  <c r="AK34" i="40"/>
  <c r="D67" i="40"/>
  <c r="G34" i="40"/>
  <c r="BW33" i="40"/>
  <c r="AP66" i="40" s="1"/>
  <c r="AS33" i="40"/>
  <c r="AK33" i="40"/>
  <c r="D66" i="40" s="1"/>
  <c r="G33" i="40"/>
  <c r="BW32" i="40"/>
  <c r="AP65" i="40"/>
  <c r="AS32" i="40"/>
  <c r="AK32" i="40"/>
  <c r="D65" i="40" s="1"/>
  <c r="G32" i="40"/>
  <c r="BW31" i="40"/>
  <c r="AP64" i="40" s="1"/>
  <c r="AS31" i="40"/>
  <c r="AK31" i="40"/>
  <c r="G31" i="40"/>
  <c r="BW30" i="40"/>
  <c r="AP63" i="40" s="1"/>
  <c r="AS30" i="40"/>
  <c r="AK30" i="40"/>
  <c r="D63" i="40"/>
  <c r="G30" i="40"/>
  <c r="BW29" i="40"/>
  <c r="AP62" i="40"/>
  <c r="AS29" i="40"/>
  <c r="AK29" i="40"/>
  <c r="D62" i="40" s="1"/>
  <c r="G29" i="40"/>
  <c r="BW28" i="40"/>
  <c r="AP61" i="40"/>
  <c r="AS28" i="40"/>
  <c r="AK28" i="40"/>
  <c r="D61" i="40"/>
  <c r="G28" i="40"/>
  <c r="BW27" i="40"/>
  <c r="AP60" i="40" s="1"/>
  <c r="AS27" i="40"/>
  <c r="AK27" i="40"/>
  <c r="D60" i="40" s="1"/>
  <c r="G27" i="40"/>
  <c r="BW26" i="40"/>
  <c r="AP59" i="40" s="1"/>
  <c r="AS26" i="40"/>
  <c r="AK26" i="40"/>
  <c r="D59" i="40" s="1"/>
  <c r="G26" i="40"/>
  <c r="BW25" i="40"/>
  <c r="AP58" i="40"/>
  <c r="AS25" i="40"/>
  <c r="AK25" i="40"/>
  <c r="G25" i="40"/>
  <c r="BW24" i="40"/>
  <c r="AP57" i="40" s="1"/>
  <c r="AS24" i="40"/>
  <c r="AK24" i="40"/>
  <c r="D57" i="40"/>
  <c r="G24" i="40"/>
  <c r="BW23" i="40"/>
  <c r="AS23" i="40"/>
  <c r="AK23" i="40"/>
  <c r="D56" i="40" s="1"/>
  <c r="G23" i="40"/>
  <c r="BW22" i="40"/>
  <c r="AP55" i="40"/>
  <c r="AS22" i="40"/>
  <c r="AK22" i="40"/>
  <c r="D55" i="40" s="1"/>
  <c r="G22" i="40"/>
  <c r="BW21" i="40"/>
  <c r="AP54" i="40" s="1"/>
  <c r="AS21" i="40"/>
  <c r="AK21" i="40"/>
  <c r="D54" i="40" s="1"/>
  <c r="G21" i="40"/>
  <c r="BW20" i="40"/>
  <c r="AP53" i="40" s="1"/>
  <c r="AS20" i="40"/>
  <c r="AK20" i="40"/>
  <c r="D53" i="40" s="1"/>
  <c r="G20" i="40"/>
  <c r="BW19" i="40"/>
  <c r="AP52" i="40" s="1"/>
  <c r="AS19" i="40"/>
  <c r="AK19" i="40"/>
  <c r="D52" i="40" s="1"/>
  <c r="G19" i="40"/>
  <c r="BW18" i="40"/>
  <c r="AP51" i="40" s="1"/>
  <c r="AS18" i="40"/>
  <c r="AK18" i="40"/>
  <c r="D51" i="40"/>
  <c r="G18" i="40"/>
  <c r="BW17" i="40"/>
  <c r="AP50" i="40" s="1"/>
  <c r="AS17" i="40"/>
  <c r="AK17" i="40"/>
  <c r="D50" i="40" s="1"/>
  <c r="G17" i="40"/>
  <c r="BW16" i="40"/>
  <c r="AP49" i="40"/>
  <c r="AS16" i="40"/>
  <c r="AK16" i="40"/>
  <c r="D49" i="40" s="1"/>
  <c r="G16" i="40"/>
  <c r="BW15" i="40"/>
  <c r="AP48" i="40" s="1"/>
  <c r="AS15" i="40"/>
  <c r="AK15" i="40"/>
  <c r="G15" i="40"/>
  <c r="BW14" i="40"/>
  <c r="AP47" i="40" s="1"/>
  <c r="AS14" i="40"/>
  <c r="AK14" i="40"/>
  <c r="D47" i="40"/>
  <c r="G14" i="40"/>
  <c r="BW13" i="40"/>
  <c r="AP46" i="40"/>
  <c r="AS13" i="40"/>
  <c r="AK13" i="40"/>
  <c r="D46" i="40" s="1"/>
  <c r="G13" i="40"/>
  <c r="BW12" i="40"/>
  <c r="AP45" i="40"/>
  <c r="AS12" i="40"/>
  <c r="AK12" i="40"/>
  <c r="D45" i="40"/>
  <c r="G12" i="40"/>
  <c r="BW11" i="40"/>
  <c r="AP44" i="40" s="1"/>
  <c r="AS11" i="40"/>
  <c r="AK11" i="40"/>
  <c r="D44" i="40" s="1"/>
  <c r="G11" i="40"/>
  <c r="BW10" i="40"/>
  <c r="AP43" i="40" s="1"/>
  <c r="AS10" i="40"/>
  <c r="AK10" i="40"/>
  <c r="D43" i="40" s="1"/>
  <c r="G10" i="40"/>
  <c r="BW9" i="40"/>
  <c r="AP42" i="40" s="1"/>
  <c r="AS9" i="40"/>
  <c r="AK9" i="40"/>
  <c r="D42" i="40" s="1"/>
  <c r="G9" i="40"/>
  <c r="BW8" i="40"/>
  <c r="AP41" i="40" s="1"/>
  <c r="AS8" i="40"/>
  <c r="AK8" i="40"/>
  <c r="D41" i="40" s="1"/>
  <c r="G8" i="40"/>
  <c r="BW7" i="40"/>
  <c r="AS7" i="40"/>
  <c r="AN7" i="40"/>
  <c r="AN40" i="40" s="1"/>
  <c r="AK7" i="40"/>
  <c r="D40" i="40" s="1"/>
  <c r="G7" i="40"/>
  <c r="B7" i="40"/>
  <c r="BW6" i="40"/>
  <c r="AP39" i="40" s="1"/>
  <c r="AS6" i="40"/>
  <c r="AK6" i="40"/>
  <c r="G6" i="40"/>
  <c r="AN2" i="40"/>
  <c r="B576" i="39"/>
  <c r="B529" i="39"/>
  <c r="B482" i="39"/>
  <c r="B479" i="39"/>
  <c r="AQ369" i="39"/>
  <c r="G369" i="39"/>
  <c r="AB365" i="39"/>
  <c r="X365" i="39"/>
  <c r="AC364" i="39"/>
  <c r="F347" i="39"/>
  <c r="AU331" i="39"/>
  <c r="AS408" i="39" s="1"/>
  <c r="AR331" i="39"/>
  <c r="J408" i="39" s="1"/>
  <c r="AU330" i="39"/>
  <c r="AR330" i="39"/>
  <c r="BF329" i="39"/>
  <c r="BE329" i="39"/>
  <c r="AR369" i="39" s="1"/>
  <c r="AT329" i="39"/>
  <c r="AQ329" i="39"/>
  <c r="Z322" i="39"/>
  <c r="N322" i="39"/>
  <c r="BI321" i="39"/>
  <c r="AT321" i="39"/>
  <c r="BR319" i="39"/>
  <c r="AC319" i="39"/>
  <c r="BS318" i="39"/>
  <c r="BO318" i="39"/>
  <c r="BK318" i="39"/>
  <c r="AY318" i="39"/>
  <c r="BP316" i="39"/>
  <c r="BA316" i="39"/>
  <c r="AQ315" i="39"/>
  <c r="G315" i="39"/>
  <c r="F312" i="39"/>
  <c r="CD312" i="39" s="1"/>
  <c r="EL311" i="39"/>
  <c r="BW311" i="39"/>
  <c r="BT311" i="39"/>
  <c r="BS311" i="39"/>
  <c r="BR311" i="39"/>
  <c r="BQ311" i="39"/>
  <c r="BP311" i="39"/>
  <c r="BO311" i="39"/>
  <c r="BN311" i="39"/>
  <c r="BM311" i="39"/>
  <c r="BL311" i="39"/>
  <c r="BK311" i="39"/>
  <c r="BJ311" i="39"/>
  <c r="BI311" i="39"/>
  <c r="BH311" i="39"/>
  <c r="BG311" i="39"/>
  <c r="BF311" i="39"/>
  <c r="BE311" i="39"/>
  <c r="BD311" i="39"/>
  <c r="BC311" i="39"/>
  <c r="BB311" i="39"/>
  <c r="BA311" i="39"/>
  <c r="AZ311" i="39"/>
  <c r="AY311" i="39"/>
  <c r="AX311" i="39"/>
  <c r="AW311" i="39"/>
  <c r="AV311" i="39"/>
  <c r="AU311" i="39"/>
  <c r="AT311" i="39"/>
  <c r="AS311" i="39"/>
  <c r="AR311" i="39"/>
  <c r="AQ311" i="39"/>
  <c r="AP311" i="39"/>
  <c r="EP311" i="39" s="1"/>
  <c r="F311" i="39"/>
  <c r="CD311" i="39"/>
  <c r="BW310" i="39"/>
  <c r="BT310" i="39"/>
  <c r="BS310" i="39"/>
  <c r="BR310" i="39"/>
  <c r="BR318" i="39" s="1"/>
  <c r="BQ310" i="39"/>
  <c r="BQ318" i="39" s="1"/>
  <c r="BP310" i="39"/>
  <c r="BP318" i="39" s="1"/>
  <c r="BO310" i="39"/>
  <c r="BN310" i="39"/>
  <c r="BN318" i="39" s="1"/>
  <c r="BM310" i="39"/>
  <c r="BM318" i="39" s="1"/>
  <c r="BL310" i="39"/>
  <c r="BL318" i="39" s="1"/>
  <c r="BK310" i="39"/>
  <c r="BJ310" i="39"/>
  <c r="BJ318" i="39" s="1"/>
  <c r="BI310" i="39"/>
  <c r="BI318" i="39" s="1"/>
  <c r="BH310" i="39"/>
  <c r="BH318" i="39" s="1"/>
  <c r="BG310" i="39"/>
  <c r="BG318" i="39" s="1"/>
  <c r="BF310" i="39"/>
  <c r="BF318" i="39"/>
  <c r="BE310" i="39"/>
  <c r="BE318" i="39" s="1"/>
  <c r="BD310" i="39"/>
  <c r="BD318" i="39"/>
  <c r="BC310" i="39"/>
  <c r="BC318" i="39" s="1"/>
  <c r="BB310" i="39"/>
  <c r="BB318" i="39" s="1"/>
  <c r="BA310" i="39"/>
  <c r="BA318" i="39" s="1"/>
  <c r="AZ310" i="39"/>
  <c r="AZ318" i="39" s="1"/>
  <c r="AY310" i="39"/>
  <c r="AX310" i="39"/>
  <c r="AX318" i="39" s="1"/>
  <c r="AW310" i="39"/>
  <c r="AW318" i="39" s="1"/>
  <c r="AV310" i="39"/>
  <c r="AV318" i="39" s="1"/>
  <c r="AU310" i="39"/>
  <c r="AU318" i="39" s="1"/>
  <c r="AT310" i="39"/>
  <c r="AT318" i="39" s="1"/>
  <c r="AS310" i="39"/>
  <c r="AS318" i="39" s="1"/>
  <c r="AR310" i="39"/>
  <c r="AR318" i="39" s="1"/>
  <c r="AQ310" i="39"/>
  <c r="AQ318" i="39" s="1"/>
  <c r="AP310" i="39"/>
  <c r="BW309" i="39"/>
  <c r="BU309" i="39"/>
  <c r="BT309" i="39"/>
  <c r="BS309" i="39"/>
  <c r="BR309" i="39"/>
  <c r="BQ309" i="39"/>
  <c r="BP309" i="39"/>
  <c r="BO309" i="39"/>
  <c r="BN309" i="39"/>
  <c r="BM309" i="39"/>
  <c r="BL309" i="39"/>
  <c r="BK309" i="39"/>
  <c r="BJ309" i="39"/>
  <c r="BI309" i="39"/>
  <c r="BH309" i="39"/>
  <c r="BG309" i="39"/>
  <c r="BF309" i="39"/>
  <c r="BE309" i="39"/>
  <c r="BD309" i="39"/>
  <c r="BC309" i="39"/>
  <c r="BB309" i="39"/>
  <c r="BA309" i="39"/>
  <c r="AZ309" i="39"/>
  <c r="AY309" i="39"/>
  <c r="AX309" i="39"/>
  <c r="AW309" i="39"/>
  <c r="AV309" i="39"/>
  <c r="AU309" i="39"/>
  <c r="AT309" i="39"/>
  <c r="AS309" i="39"/>
  <c r="AR309" i="39"/>
  <c r="AQ309" i="39"/>
  <c r="AP309" i="39"/>
  <c r="EJ308" i="39"/>
  <c r="DX308" i="39"/>
  <c r="BW308" i="39"/>
  <c r="BU308" i="39"/>
  <c r="BT308" i="39"/>
  <c r="BS308" i="39"/>
  <c r="AI365" i="39" s="1"/>
  <c r="BR308" i="39"/>
  <c r="AH365" i="39" s="1"/>
  <c r="BQ308" i="39"/>
  <c r="AG365" i="39" s="1"/>
  <c r="BP308" i="39"/>
  <c r="AF365" i="39" s="1"/>
  <c r="BO308" i="39"/>
  <c r="AE365" i="39" s="1"/>
  <c r="BN308" i="39"/>
  <c r="AD365" i="39"/>
  <c r="BM308" i="39"/>
  <c r="AC365" i="39" s="1"/>
  <c r="BL308" i="39"/>
  <c r="BK308" i="39"/>
  <c r="AA365" i="39" s="1"/>
  <c r="BJ308" i="39"/>
  <c r="Z365" i="39" s="1"/>
  <c r="BI308" i="39"/>
  <c r="Y365" i="39" s="1"/>
  <c r="BH308" i="39"/>
  <c r="BG308" i="39"/>
  <c r="W365" i="39"/>
  <c r="BF308" i="39"/>
  <c r="V365" i="39" s="1"/>
  <c r="BE308" i="39"/>
  <c r="U365" i="39"/>
  <c r="BD308" i="39"/>
  <c r="T365" i="39" s="1"/>
  <c r="BC308" i="39"/>
  <c r="S365" i="39" s="1"/>
  <c r="BB308" i="39"/>
  <c r="R365" i="39" s="1"/>
  <c r="BA308" i="39"/>
  <c r="Q365" i="39" s="1"/>
  <c r="AZ308" i="39"/>
  <c r="P365" i="39" s="1"/>
  <c r="AY308" i="39"/>
  <c r="O365" i="39" s="1"/>
  <c r="AX308" i="39"/>
  <c r="N365" i="39"/>
  <c r="AW308" i="39"/>
  <c r="M365" i="39" s="1"/>
  <c r="AV308" i="39"/>
  <c r="L365" i="39" s="1"/>
  <c r="AU308" i="39"/>
  <c r="K365" i="39" s="1"/>
  <c r="AT308" i="39"/>
  <c r="J365" i="39" s="1"/>
  <c r="AS308" i="39"/>
  <c r="I365" i="39" s="1"/>
  <c r="AR308" i="39"/>
  <c r="H365" i="39" s="1"/>
  <c r="AQ308" i="39"/>
  <c r="AP308" i="39"/>
  <c r="AI308" i="39"/>
  <c r="AI364" i="39" s="1"/>
  <c r="AH308" i="39"/>
  <c r="AG308" i="39"/>
  <c r="AG364" i="39" s="1"/>
  <c r="AF308" i="39"/>
  <c r="ED308" i="39" s="1"/>
  <c r="AE308" i="39"/>
  <c r="AE364" i="39" s="1"/>
  <c r="EB308" i="39"/>
  <c r="AD308" i="39"/>
  <c r="AC308" i="39"/>
  <c r="AB308" i="39"/>
  <c r="AB364" i="39"/>
  <c r="AA308" i="39"/>
  <c r="DT308" i="39" s="1"/>
  <c r="J308" i="39"/>
  <c r="CL308" i="39"/>
  <c r="I308" i="39"/>
  <c r="I364" i="39" s="1"/>
  <c r="H308" i="39"/>
  <c r="CH308" i="39"/>
  <c r="G308" i="39"/>
  <c r="G364" i="39" s="1"/>
  <c r="EP307" i="39"/>
  <c r="EL307" i="39"/>
  <c r="BW307" i="39"/>
  <c r="BT307" i="39"/>
  <c r="BS307" i="39"/>
  <c r="BR307" i="39"/>
  <c r="BQ307" i="39"/>
  <c r="BP307" i="39"/>
  <c r="BO307" i="39"/>
  <c r="BN307" i="39"/>
  <c r="BM307" i="39"/>
  <c r="BL307" i="39"/>
  <c r="BK307" i="39"/>
  <c r="BJ307" i="39"/>
  <c r="BI307" i="39"/>
  <c r="BH307" i="39"/>
  <c r="BG307" i="39"/>
  <c r="BF307" i="39"/>
  <c r="BE307" i="39"/>
  <c r="BD307" i="39"/>
  <c r="BC307" i="39"/>
  <c r="BB307" i="39"/>
  <c r="BA307" i="39"/>
  <c r="AZ307" i="39"/>
  <c r="AY307" i="39"/>
  <c r="AX307" i="39"/>
  <c r="AW307" i="39"/>
  <c r="AV307" i="39"/>
  <c r="AU307" i="39"/>
  <c r="AT307" i="39"/>
  <c r="AS307" i="39"/>
  <c r="AR307" i="39"/>
  <c r="AQ307" i="39"/>
  <c r="F307" i="39"/>
  <c r="CD307" i="39" s="1"/>
  <c r="BW306" i="39"/>
  <c r="BT306" i="39"/>
  <c r="BS306" i="39"/>
  <c r="BR306" i="39"/>
  <c r="BQ306" i="39"/>
  <c r="BP306" i="39"/>
  <c r="BO306" i="39"/>
  <c r="BN306" i="39"/>
  <c r="BM306" i="39"/>
  <c r="BL306" i="39"/>
  <c r="BK306" i="39"/>
  <c r="BJ306" i="39"/>
  <c r="BI306" i="39"/>
  <c r="BH306" i="39"/>
  <c r="BG306" i="39"/>
  <c r="BF306" i="39"/>
  <c r="BE306" i="39"/>
  <c r="BD306" i="39"/>
  <c r="BC306" i="39"/>
  <c r="BB306" i="39"/>
  <c r="BA306" i="39"/>
  <c r="AZ306" i="39"/>
  <c r="AY306" i="39"/>
  <c r="AX306" i="39"/>
  <c r="AW306" i="39"/>
  <c r="AV306" i="39"/>
  <c r="AU306" i="39"/>
  <c r="AT306" i="39"/>
  <c r="AS306" i="39"/>
  <c r="AR306" i="39"/>
  <c r="AQ306" i="39"/>
  <c r="AP306" i="39"/>
  <c r="BW305" i="39"/>
  <c r="BU305" i="39"/>
  <c r="AE363" i="39"/>
  <c r="BT305" i="39"/>
  <c r="BS305" i="39"/>
  <c r="BR305" i="39"/>
  <c r="BQ305" i="39"/>
  <c r="BP305" i="39"/>
  <c r="BO305" i="39"/>
  <c r="BN305" i="39"/>
  <c r="BM305" i="39"/>
  <c r="BL305" i="39"/>
  <c r="BK305" i="39"/>
  <c r="BJ305" i="39"/>
  <c r="BI305" i="39"/>
  <c r="BH305" i="39"/>
  <c r="BG305" i="39"/>
  <c r="BF305" i="39"/>
  <c r="BE305" i="39"/>
  <c r="BD305" i="39"/>
  <c r="BC305" i="39"/>
  <c r="BB305" i="39"/>
  <c r="BA305" i="39"/>
  <c r="AZ305" i="39"/>
  <c r="AY305" i="39"/>
  <c r="AX305" i="39"/>
  <c r="AW305" i="39"/>
  <c r="AV305" i="39"/>
  <c r="AU305" i="39"/>
  <c r="AT305" i="39"/>
  <c r="AS305" i="39"/>
  <c r="AR305" i="39"/>
  <c r="AQ305" i="39"/>
  <c r="AP305" i="39"/>
  <c r="EJ304" i="39"/>
  <c r="EC304" i="39"/>
  <c r="DZ304" i="39"/>
  <c r="DT304" i="39"/>
  <c r="DE304" i="39"/>
  <c r="CG304" i="39"/>
  <c r="BW304" i="39"/>
  <c r="BU304" i="39"/>
  <c r="BT304" i="39"/>
  <c r="BS304" i="39"/>
  <c r="BR304" i="39"/>
  <c r="BQ304" i="39"/>
  <c r="BP304" i="39"/>
  <c r="BO304" i="39"/>
  <c r="BN304" i="39"/>
  <c r="BM304" i="39"/>
  <c r="BL304" i="39"/>
  <c r="BK304" i="39"/>
  <c r="BJ304" i="39"/>
  <c r="BI304" i="39"/>
  <c r="BH304" i="39"/>
  <c r="BG304" i="39"/>
  <c r="BF304" i="39"/>
  <c r="BE304" i="39"/>
  <c r="BD304" i="39"/>
  <c r="BC304" i="39"/>
  <c r="BB304" i="39"/>
  <c r="BA304" i="39"/>
  <c r="AZ304" i="39"/>
  <c r="AY304" i="39"/>
  <c r="AX304" i="39"/>
  <c r="AW304" i="39"/>
  <c r="AV304" i="39"/>
  <c r="AU304" i="39"/>
  <c r="AT304" i="39"/>
  <c r="AS304" i="39"/>
  <c r="AR304" i="39"/>
  <c r="AQ304" i="39"/>
  <c r="AP304" i="39"/>
  <c r="AK304" i="39"/>
  <c r="AI304" i="39"/>
  <c r="AH304" i="39"/>
  <c r="EH304" i="39" s="1"/>
  <c r="AG304" i="39"/>
  <c r="EF304" i="39" s="1"/>
  <c r="AF304" i="39"/>
  <c r="ED304" i="39" s="1"/>
  <c r="AE304" i="39"/>
  <c r="EB304" i="39" s="1"/>
  <c r="AD304" i="39"/>
  <c r="AC304" i="39"/>
  <c r="DX304" i="39" s="1"/>
  <c r="AB304" i="39"/>
  <c r="DV304" i="39" s="1"/>
  <c r="AA304" i="39"/>
  <c r="X304" i="39"/>
  <c r="DN304" i="39" s="1"/>
  <c r="J304" i="39"/>
  <c r="CL304" i="39" s="1"/>
  <c r="I304" i="39"/>
  <c r="CJ304" i="39" s="1"/>
  <c r="H304" i="39"/>
  <c r="CH304" i="39" s="1"/>
  <c r="G304" i="39"/>
  <c r="CF304" i="39" s="1"/>
  <c r="EP303" i="39"/>
  <c r="EL303" i="39"/>
  <c r="BW303" i="39"/>
  <c r="BU303" i="39"/>
  <c r="BT303" i="39"/>
  <c r="BS303" i="39"/>
  <c r="BR303" i="39"/>
  <c r="BQ303" i="39"/>
  <c r="BP303" i="39"/>
  <c r="BO303" i="39"/>
  <c r="BN303" i="39"/>
  <c r="BM303" i="39"/>
  <c r="BL303" i="39"/>
  <c r="BK303" i="39"/>
  <c r="BJ303" i="39"/>
  <c r="BI303" i="39"/>
  <c r="BH303" i="39"/>
  <c r="BG303" i="39"/>
  <c r="BF303" i="39"/>
  <c r="BE303" i="39"/>
  <c r="BD303" i="39"/>
  <c r="BC303" i="39"/>
  <c r="BB303" i="39"/>
  <c r="BA303" i="39"/>
  <c r="AZ303" i="39"/>
  <c r="AY303" i="39"/>
  <c r="AX303" i="39"/>
  <c r="AW303" i="39"/>
  <c r="AV303" i="39"/>
  <c r="AU303" i="39"/>
  <c r="AT303" i="39"/>
  <c r="AS303" i="39"/>
  <c r="AR303" i="39"/>
  <c r="AQ303" i="39"/>
  <c r="F303" i="39"/>
  <c r="CD303" i="39" s="1"/>
  <c r="BW302" i="39"/>
  <c r="BT302" i="39"/>
  <c r="BS302" i="39"/>
  <c r="BS321" i="39" s="1"/>
  <c r="BR302" i="39"/>
  <c r="BR321" i="39" s="1"/>
  <c r="BQ302" i="39"/>
  <c r="BQ321" i="39" s="1"/>
  <c r="BP302" i="39"/>
  <c r="BP321" i="39"/>
  <c r="BO302" i="39"/>
  <c r="BO321" i="39" s="1"/>
  <c r="BN302" i="39"/>
  <c r="BN321" i="39"/>
  <c r="BM302" i="39"/>
  <c r="BM321" i="39" s="1"/>
  <c r="BL302" i="39"/>
  <c r="BL321" i="39" s="1"/>
  <c r="BK302" i="39"/>
  <c r="BK321" i="39" s="1"/>
  <c r="BJ302" i="39"/>
  <c r="BJ321" i="39" s="1"/>
  <c r="BI302" i="39"/>
  <c r="BH302" i="39"/>
  <c r="BH321" i="39" s="1"/>
  <c r="BG302" i="39"/>
  <c r="BG321" i="39" s="1"/>
  <c r="BF302" i="39"/>
  <c r="BF321" i="39" s="1"/>
  <c r="BE302" i="39"/>
  <c r="BE321" i="39" s="1"/>
  <c r="BD302" i="39"/>
  <c r="BD321" i="39" s="1"/>
  <c r="BC302" i="39"/>
  <c r="BC321" i="39" s="1"/>
  <c r="BB302" i="39"/>
  <c r="BB321" i="39" s="1"/>
  <c r="BA302" i="39"/>
  <c r="BA321" i="39" s="1"/>
  <c r="AZ302" i="39"/>
  <c r="AZ321" i="39" s="1"/>
  <c r="AY302" i="39"/>
  <c r="AY321" i="39" s="1"/>
  <c r="AX302" i="39"/>
  <c r="AX321" i="39" s="1"/>
  <c r="AW302" i="39"/>
  <c r="AW321" i="39" s="1"/>
  <c r="AV302" i="39"/>
  <c r="AV321" i="39"/>
  <c r="AU302" i="39"/>
  <c r="AU321" i="39" s="1"/>
  <c r="AT302" i="39"/>
  <c r="AS302" i="39"/>
  <c r="AS321" i="39" s="1"/>
  <c r="AR302" i="39"/>
  <c r="AR321" i="39" s="1"/>
  <c r="AQ302" i="39"/>
  <c r="AQ321" i="39"/>
  <c r="AP302" i="39"/>
  <c r="BW301" i="39"/>
  <c r="BU301" i="39"/>
  <c r="BT301" i="39"/>
  <c r="BS301" i="39"/>
  <c r="BS319" i="39" s="1"/>
  <c r="BR301" i="39"/>
  <c r="AH363" i="39" s="1"/>
  <c r="BQ301" i="39"/>
  <c r="BP301" i="39"/>
  <c r="BP319" i="39" s="1"/>
  <c r="BO301" i="39"/>
  <c r="BO319" i="39"/>
  <c r="BN301" i="39"/>
  <c r="AD363" i="39" s="1"/>
  <c r="BM301" i="39"/>
  <c r="AC363" i="39"/>
  <c r="BL301" i="39"/>
  <c r="BL319" i="39" s="1"/>
  <c r="BK301" i="39"/>
  <c r="BK319" i="39"/>
  <c r="BJ301" i="39"/>
  <c r="Z363" i="39" s="1"/>
  <c r="BI301" i="39"/>
  <c r="BH301" i="39"/>
  <c r="BH319" i="39" s="1"/>
  <c r="BG301" i="39"/>
  <c r="BG319" i="39" s="1"/>
  <c r="BF301" i="39"/>
  <c r="V363" i="39"/>
  <c r="BE301" i="39"/>
  <c r="BD301" i="39"/>
  <c r="T363" i="39" s="1"/>
  <c r="BC301" i="39"/>
  <c r="BC319" i="39" s="1"/>
  <c r="BB301" i="39"/>
  <c r="BB319" i="39" s="1"/>
  <c r="BA301" i="39"/>
  <c r="AZ301" i="39"/>
  <c r="AZ319" i="39" s="1"/>
  <c r="AY301" i="39"/>
  <c r="O363" i="39" s="1"/>
  <c r="AY319" i="39"/>
  <c r="AX301" i="39"/>
  <c r="N363" i="39" s="1"/>
  <c r="AW301" i="39"/>
  <c r="M363" i="39"/>
  <c r="AV301" i="39"/>
  <c r="L363" i="39" s="1"/>
  <c r="AU301" i="39"/>
  <c r="AU319" i="39"/>
  <c r="AT301" i="39"/>
  <c r="AT320" i="39" s="1"/>
  <c r="AS301" i="39"/>
  <c r="AR301" i="39"/>
  <c r="AR319" i="39" s="1"/>
  <c r="AQ301" i="39"/>
  <c r="AQ319" i="39" s="1"/>
  <c r="AP301" i="39"/>
  <c r="AG301" i="39"/>
  <c r="AG362" i="39" s="1"/>
  <c r="AC301" i="39"/>
  <c r="Y301" i="39"/>
  <c r="Y362" i="39"/>
  <c r="BW300" i="39"/>
  <c r="BU300" i="39"/>
  <c r="BT300" i="39"/>
  <c r="BS300" i="39"/>
  <c r="BR300" i="39"/>
  <c r="BQ300" i="39"/>
  <c r="BP300" i="39"/>
  <c r="AF361" i="39" s="1"/>
  <c r="BO300" i="39"/>
  <c r="AE361" i="39" s="1"/>
  <c r="BN300" i="39"/>
  <c r="AD361" i="39" s="1"/>
  <c r="BM300" i="39"/>
  <c r="BL300" i="39"/>
  <c r="AB361" i="39" s="1"/>
  <c r="BK300" i="39"/>
  <c r="BJ300" i="39"/>
  <c r="BI300" i="39"/>
  <c r="BH300" i="39"/>
  <c r="X361" i="39" s="1"/>
  <c r="BG300" i="39"/>
  <c r="BF300" i="39"/>
  <c r="BE300" i="39"/>
  <c r="BD300" i="39"/>
  <c r="BC300" i="39"/>
  <c r="BB300" i="39"/>
  <c r="BB320" i="39" s="1"/>
  <c r="BA300" i="39"/>
  <c r="AZ300" i="39"/>
  <c r="P361" i="39" s="1"/>
  <c r="AY300" i="39"/>
  <c r="AY320" i="39" s="1"/>
  <c r="AX300" i="39"/>
  <c r="AW300" i="39"/>
  <c r="AV300" i="39"/>
  <c r="AV320" i="39" s="1"/>
  <c r="AU300" i="39"/>
  <c r="AT300" i="39"/>
  <c r="AS300" i="39"/>
  <c r="I361" i="39" s="1"/>
  <c r="AR300" i="39"/>
  <c r="H361" i="39" s="1"/>
  <c r="AQ300" i="39"/>
  <c r="AP300" i="39"/>
  <c r="EP299" i="39"/>
  <c r="EL299" i="39"/>
  <c r="BW299" i="39"/>
  <c r="BT299" i="39"/>
  <c r="BS299" i="39"/>
  <c r="BR299" i="39"/>
  <c r="BQ299" i="39"/>
  <c r="BP299" i="39"/>
  <c r="BO299" i="39"/>
  <c r="BN299" i="39"/>
  <c r="BM299" i="39"/>
  <c r="BL299" i="39"/>
  <c r="BK299" i="39"/>
  <c r="BJ299" i="39"/>
  <c r="BI299" i="39"/>
  <c r="BH299" i="39"/>
  <c r="BG299" i="39"/>
  <c r="BF299" i="39"/>
  <c r="BE299" i="39"/>
  <c r="BD299" i="39"/>
  <c r="BC299" i="39"/>
  <c r="BB299" i="39"/>
  <c r="BA299" i="39"/>
  <c r="AZ299" i="39"/>
  <c r="AY299" i="39"/>
  <c r="AX299" i="39"/>
  <c r="AW299" i="39"/>
  <c r="AV299" i="39"/>
  <c r="AU299" i="39"/>
  <c r="AT299" i="39"/>
  <c r="AS299" i="39"/>
  <c r="AR299" i="39"/>
  <c r="AQ299" i="39"/>
  <c r="F299" i="39"/>
  <c r="CD299" i="39" s="1"/>
  <c r="BW298" i="39"/>
  <c r="BT298" i="39"/>
  <c r="BS298" i="39"/>
  <c r="BR298" i="39"/>
  <c r="BQ298" i="39"/>
  <c r="BP298" i="39"/>
  <c r="BO298" i="39"/>
  <c r="BN298" i="39"/>
  <c r="BM298" i="39"/>
  <c r="BL298" i="39"/>
  <c r="BK298" i="39"/>
  <c r="BJ298" i="39"/>
  <c r="BI298" i="39"/>
  <c r="BH298" i="39"/>
  <c r="BG298" i="39"/>
  <c r="BF298" i="39"/>
  <c r="BE298" i="39"/>
  <c r="BD298" i="39"/>
  <c r="BC298" i="39"/>
  <c r="BB298" i="39"/>
  <c r="BA298" i="39"/>
  <c r="AZ298" i="39"/>
  <c r="AY298" i="39"/>
  <c r="AX298" i="39"/>
  <c r="AW298" i="39"/>
  <c r="AV298" i="39"/>
  <c r="AU298" i="39"/>
  <c r="AT298" i="39"/>
  <c r="AS298" i="39"/>
  <c r="AR298" i="39"/>
  <c r="AQ298" i="39"/>
  <c r="EB297" i="39"/>
  <c r="DG297" i="39"/>
  <c r="CO297" i="39"/>
  <c r="CN297" i="39"/>
  <c r="CG297" i="39"/>
  <c r="BW297" i="39"/>
  <c r="BU297" i="39"/>
  <c r="BT297" i="39"/>
  <c r="BS297" i="39"/>
  <c r="BR297" i="39"/>
  <c r="BQ297" i="39"/>
  <c r="BP297" i="39"/>
  <c r="BO297" i="39"/>
  <c r="BN297" i="39"/>
  <c r="BM297" i="39"/>
  <c r="BL297" i="39"/>
  <c r="BK297" i="39"/>
  <c r="BJ297" i="39"/>
  <c r="BI297" i="39"/>
  <c r="BH297" i="39"/>
  <c r="BG297" i="39"/>
  <c r="BF297" i="39"/>
  <c r="BE297" i="39"/>
  <c r="BD297" i="39"/>
  <c r="BC297" i="39"/>
  <c r="BB297" i="39"/>
  <c r="BA297" i="39"/>
  <c r="AZ297" i="39"/>
  <c r="AY297" i="39"/>
  <c r="AX297" i="39"/>
  <c r="AW297" i="39"/>
  <c r="AV297" i="39"/>
  <c r="AU297" i="39"/>
  <c r="AT297" i="39"/>
  <c r="AS297" i="39"/>
  <c r="AR297" i="39"/>
  <c r="BB322" i="39" s="1"/>
  <c r="AQ297" i="39"/>
  <c r="AP297" i="39"/>
  <c r="AI297" i="39"/>
  <c r="EJ297" i="39" s="1"/>
  <c r="AH297" i="39"/>
  <c r="EH297" i="39" s="1"/>
  <c r="AG297" i="39"/>
  <c r="EF297" i="39"/>
  <c r="AF297" i="39"/>
  <c r="ED297" i="39" s="1"/>
  <c r="AE297" i="39"/>
  <c r="AD297" i="39"/>
  <c r="DZ297" i="39" s="1"/>
  <c r="AC297" i="39"/>
  <c r="DX297" i="39" s="1"/>
  <c r="AB297" i="39"/>
  <c r="DV297" i="39" s="1"/>
  <c r="AA297" i="39"/>
  <c r="DT297" i="39" s="1"/>
  <c r="Z297" i="39"/>
  <c r="DR297" i="39"/>
  <c r="Y297" i="39"/>
  <c r="DP297" i="39" s="1"/>
  <c r="X297" i="39"/>
  <c r="DN297" i="39"/>
  <c r="W297" i="39"/>
  <c r="DL297" i="39" s="1"/>
  <c r="V297" i="39"/>
  <c r="DJ297" i="39" s="1"/>
  <c r="U297" i="39"/>
  <c r="DH297" i="39" s="1"/>
  <c r="T297" i="39"/>
  <c r="DF297" i="39" s="1"/>
  <c r="S297" i="39"/>
  <c r="DD297" i="39" s="1"/>
  <c r="R297" i="39"/>
  <c r="DB297" i="39" s="1"/>
  <c r="Q297" i="39"/>
  <c r="CZ297" i="39"/>
  <c r="P297" i="39"/>
  <c r="CX297" i="39" s="1"/>
  <c r="O297" i="39"/>
  <c r="CV297" i="39" s="1"/>
  <c r="N297" i="39"/>
  <c r="CT297" i="39" s="1"/>
  <c r="M297" i="39"/>
  <c r="CR297" i="39" s="1"/>
  <c r="L297" i="39"/>
  <c r="CP297" i="39" s="1"/>
  <c r="K297" i="39"/>
  <c r="J297" i="39"/>
  <c r="CL297" i="39"/>
  <c r="I297" i="39"/>
  <c r="CJ297" i="39" s="1"/>
  <c r="H297" i="39"/>
  <c r="CH297" i="39"/>
  <c r="G297" i="39"/>
  <c r="CF297" i="39" s="1"/>
  <c r="BW296" i="39"/>
  <c r="BU296" i="39"/>
  <c r="BT296" i="39"/>
  <c r="BS296" i="39"/>
  <c r="BR296" i="39"/>
  <c r="BQ296" i="39"/>
  <c r="BP296" i="39"/>
  <c r="BO296" i="39"/>
  <c r="BN296" i="39"/>
  <c r="BM296" i="39"/>
  <c r="BL296" i="39"/>
  <c r="BK296" i="39"/>
  <c r="BJ296" i="39"/>
  <c r="BI296" i="39"/>
  <c r="BH296" i="39"/>
  <c r="BG296" i="39"/>
  <c r="BF296" i="39"/>
  <c r="BE296" i="39"/>
  <c r="BD296" i="39"/>
  <c r="BC296" i="39"/>
  <c r="BB296" i="39"/>
  <c r="BA296" i="39"/>
  <c r="AZ296" i="39"/>
  <c r="AY296" i="39"/>
  <c r="AX296" i="39"/>
  <c r="AW296" i="39"/>
  <c r="AV296" i="39"/>
  <c r="AU296" i="39"/>
  <c r="AT296" i="39"/>
  <c r="AS296" i="39"/>
  <c r="AR296" i="39"/>
  <c r="AQ296" i="39"/>
  <c r="AP296" i="39"/>
  <c r="J296" i="39"/>
  <c r="CL296" i="39"/>
  <c r="I296" i="39"/>
  <c r="CJ296" i="39" s="1"/>
  <c r="F295" i="39"/>
  <c r="CD295" i="39"/>
  <c r="EP294" i="39"/>
  <c r="DZ294" i="39"/>
  <c r="DX294" i="39"/>
  <c r="DN294" i="39"/>
  <c r="DB294" i="39"/>
  <c r="CJ294" i="39"/>
  <c r="BW294" i="39"/>
  <c r="BT294" i="39"/>
  <c r="BS294" i="39"/>
  <c r="BR294" i="39"/>
  <c r="BQ294" i="39"/>
  <c r="BP294" i="39"/>
  <c r="BO294" i="39"/>
  <c r="BN294" i="39"/>
  <c r="BM294" i="39"/>
  <c r="BL294" i="39"/>
  <c r="BK294" i="39"/>
  <c r="BJ294" i="39"/>
  <c r="BI294" i="39"/>
  <c r="BH294" i="39"/>
  <c r="BG294" i="39"/>
  <c r="BF294" i="39"/>
  <c r="BE294" i="39"/>
  <c r="BD294" i="39"/>
  <c r="BC294" i="39"/>
  <c r="BB294" i="39"/>
  <c r="BA294" i="39"/>
  <c r="AZ294" i="39"/>
  <c r="AY294" i="39"/>
  <c r="AX294" i="39"/>
  <c r="AW294" i="39"/>
  <c r="AV294" i="39"/>
  <c r="AU294" i="39"/>
  <c r="AT294" i="39"/>
  <c r="AS294" i="39"/>
  <c r="AR294" i="39"/>
  <c r="AQ294" i="39"/>
  <c r="AM294" i="39"/>
  <c r="AJ294" i="39"/>
  <c r="EL294" i="39" s="1"/>
  <c r="AI294" i="39"/>
  <c r="EJ294" i="39" s="1"/>
  <c r="AH294" i="39"/>
  <c r="EH294" i="39" s="1"/>
  <c r="AG294" i="39"/>
  <c r="EF294" i="39"/>
  <c r="AF294" i="39"/>
  <c r="ED294" i="39" s="1"/>
  <c r="AE294" i="39"/>
  <c r="EB294" i="39"/>
  <c r="AD294" i="39"/>
  <c r="AC294" i="39"/>
  <c r="AB294" i="39"/>
  <c r="DV294" i="39"/>
  <c r="AA294" i="39"/>
  <c r="DT294" i="39" s="1"/>
  <c r="Z294" i="39"/>
  <c r="DR294" i="39" s="1"/>
  <c r="Y294" i="39"/>
  <c r="DP294" i="39" s="1"/>
  <c r="X294" i="39"/>
  <c r="W294" i="39"/>
  <c r="DL294" i="39" s="1"/>
  <c r="V294" i="39"/>
  <c r="DJ294" i="39" s="1"/>
  <c r="U294" i="39"/>
  <c r="DH294" i="39" s="1"/>
  <c r="T294" i="39"/>
  <c r="DF294" i="39" s="1"/>
  <c r="S294" i="39"/>
  <c r="DD294" i="39"/>
  <c r="R294" i="39"/>
  <c r="Q294" i="39"/>
  <c r="CZ294" i="39" s="1"/>
  <c r="P294" i="39"/>
  <c r="CX294" i="39" s="1"/>
  <c r="O294" i="39"/>
  <c r="CV294" i="39" s="1"/>
  <c r="N294" i="39"/>
  <c r="CT294" i="39" s="1"/>
  <c r="M294" i="39"/>
  <c r="CR294" i="39" s="1"/>
  <c r="L294" i="39"/>
  <c r="CP294" i="39"/>
  <c r="K294" i="39"/>
  <c r="CN294" i="39" s="1"/>
  <c r="J294" i="39"/>
  <c r="CL294" i="39" s="1"/>
  <c r="I294" i="39"/>
  <c r="H294" i="39"/>
  <c r="CH294" i="39" s="1"/>
  <c r="G294" i="39"/>
  <c r="CF294" i="39" s="1"/>
  <c r="F294" i="39"/>
  <c r="CD294" i="39" s="1"/>
  <c r="BW293" i="39"/>
  <c r="BT293" i="39"/>
  <c r="BS293" i="39"/>
  <c r="BR293" i="39"/>
  <c r="BQ293" i="39"/>
  <c r="BP293" i="39"/>
  <c r="BO293" i="39"/>
  <c r="BN293" i="39"/>
  <c r="BM293" i="39"/>
  <c r="BL293" i="39"/>
  <c r="BK293" i="39"/>
  <c r="BJ293" i="39"/>
  <c r="BI293" i="39"/>
  <c r="BH293" i="39"/>
  <c r="BG293" i="39"/>
  <c r="BF293" i="39"/>
  <c r="BE293" i="39"/>
  <c r="BD293" i="39"/>
  <c r="BC293" i="39"/>
  <c r="BB293" i="39"/>
  <c r="BA293" i="39"/>
  <c r="AZ293" i="39"/>
  <c r="AY293" i="39"/>
  <c r="AX293" i="39"/>
  <c r="AW293" i="39"/>
  <c r="AV293" i="39"/>
  <c r="AU293" i="39"/>
  <c r="AT293" i="39"/>
  <c r="AS293" i="39"/>
  <c r="AR293" i="39"/>
  <c r="AQ293" i="39"/>
  <c r="AK293" i="39"/>
  <c r="EM293" i="39"/>
  <c r="F293" i="39"/>
  <c r="CD293" i="39" s="1"/>
  <c r="BW292" i="39"/>
  <c r="BT292" i="39"/>
  <c r="BS292" i="39"/>
  <c r="BR292" i="39"/>
  <c r="BQ292" i="39"/>
  <c r="BP292" i="39"/>
  <c r="BO292" i="39"/>
  <c r="BN292" i="39"/>
  <c r="BM292" i="39"/>
  <c r="BL292" i="39"/>
  <c r="BK292" i="39"/>
  <c r="BJ292" i="39"/>
  <c r="BI292" i="39"/>
  <c r="BH292" i="39"/>
  <c r="BG292" i="39"/>
  <c r="BF292" i="39"/>
  <c r="BE292" i="39"/>
  <c r="BD292" i="39"/>
  <c r="BC292" i="39"/>
  <c r="BB292" i="39"/>
  <c r="BA292" i="39"/>
  <c r="AZ292" i="39"/>
  <c r="AY292" i="39"/>
  <c r="AX292" i="39"/>
  <c r="AW292" i="39"/>
  <c r="AV292" i="39"/>
  <c r="AU292" i="39"/>
  <c r="AT292" i="39"/>
  <c r="AS292" i="39"/>
  <c r="AR292" i="39"/>
  <c r="AQ292" i="39"/>
  <c r="AP292" i="39"/>
  <c r="BW290" i="39"/>
  <c r="BU290" i="39"/>
  <c r="BT290" i="39"/>
  <c r="BS290" i="39"/>
  <c r="BS316" i="39"/>
  <c r="BR290" i="39"/>
  <c r="BR316" i="39" s="1"/>
  <c r="BR339" i="39" s="1"/>
  <c r="BQ290" i="39"/>
  <c r="BQ316" i="39" s="1"/>
  <c r="BP290" i="39"/>
  <c r="BO290" i="39"/>
  <c r="BO316" i="39" s="1"/>
  <c r="BN290" i="39"/>
  <c r="BN316" i="39"/>
  <c r="BN339" i="39"/>
  <c r="BM290" i="39"/>
  <c r="BM316" i="39" s="1"/>
  <c r="BL290" i="39"/>
  <c r="BL316" i="39"/>
  <c r="BK290" i="39"/>
  <c r="BK316" i="39" s="1"/>
  <c r="BJ290" i="39"/>
  <c r="BJ316" i="39" s="1"/>
  <c r="BJ339" i="39" s="1"/>
  <c r="BI290" i="39"/>
  <c r="BI316" i="39" s="1"/>
  <c r="BI339" i="39" s="1"/>
  <c r="BH290" i="39"/>
  <c r="BH316" i="39"/>
  <c r="BG290" i="39"/>
  <c r="BG316" i="39" s="1"/>
  <c r="BF290" i="39"/>
  <c r="BF316" i="39" s="1"/>
  <c r="BF339" i="39" s="1"/>
  <c r="BF354" i="39" s="1"/>
  <c r="BE290" i="39"/>
  <c r="BE316" i="39" s="1"/>
  <c r="BD290" i="39"/>
  <c r="BD316" i="39" s="1"/>
  <c r="BC290" i="39"/>
  <c r="BC316" i="39"/>
  <c r="BB290" i="39"/>
  <c r="BB316" i="39" s="1"/>
  <c r="BB339" i="39" s="1"/>
  <c r="BA290" i="39"/>
  <c r="AZ290" i="39"/>
  <c r="AZ316" i="39" s="1"/>
  <c r="AY290" i="39"/>
  <c r="AY316" i="39" s="1"/>
  <c r="AX290" i="39"/>
  <c r="AX316" i="39"/>
  <c r="AX339" i="39" s="1"/>
  <c r="AW290" i="39"/>
  <c r="AW316" i="39" s="1"/>
  <c r="AW339" i="39" s="1"/>
  <c r="AV290" i="39"/>
  <c r="AV316" i="39"/>
  <c r="AU290" i="39"/>
  <c r="AU316" i="39" s="1"/>
  <c r="AT290" i="39"/>
  <c r="AT316" i="39" s="1"/>
  <c r="AS290" i="39"/>
  <c r="AS316" i="39"/>
  <c r="AR290" i="39"/>
  <c r="AR316" i="39" s="1"/>
  <c r="AQ290" i="39"/>
  <c r="AQ316" i="39"/>
  <c r="AP290" i="39"/>
  <c r="AK290" i="39"/>
  <c r="F290" i="39"/>
  <c r="AB48" i="39"/>
  <c r="AA48" i="39"/>
  <c r="AA47" i="39"/>
  <c r="AA46" i="39"/>
  <c r="AB44" i="39"/>
  <c r="AP406" i="39" s="1"/>
  <c r="AZ406" i="39" s="1"/>
  <c r="AA44" i="39"/>
  <c r="AA43" i="39"/>
  <c r="BT33" i="39"/>
  <c r="EK308" i="39" s="1"/>
  <c r="BS33" i="39"/>
  <c r="EI308" i="39"/>
  <c r="BR33" i="39"/>
  <c r="EG308" i="39" s="1"/>
  <c r="BQ33" i="39"/>
  <c r="EE308" i="39"/>
  <c r="BP33" i="39"/>
  <c r="EC308" i="39" s="1"/>
  <c r="BO33" i="39"/>
  <c r="EA308" i="39" s="1"/>
  <c r="BN33" i="39"/>
  <c r="DY308" i="39" s="1"/>
  <c r="BM33" i="39"/>
  <c r="DW308" i="39" s="1"/>
  <c r="BL33" i="39"/>
  <c r="DU308" i="39" s="1"/>
  <c r="BK33" i="39"/>
  <c r="DS308" i="39"/>
  <c r="BJ33" i="39"/>
  <c r="DQ308" i="39" s="1"/>
  <c r="BI33" i="39"/>
  <c r="DO308" i="39"/>
  <c r="BH33" i="39"/>
  <c r="DM308" i="39" s="1"/>
  <c r="BG33" i="39"/>
  <c r="DK308" i="39"/>
  <c r="BF33" i="39"/>
  <c r="DI308" i="39" s="1"/>
  <c r="BE33" i="39"/>
  <c r="DG308" i="39" s="1"/>
  <c r="BD33" i="39"/>
  <c r="DE308" i="39" s="1"/>
  <c r="BC33" i="39"/>
  <c r="DC308" i="39" s="1"/>
  <c r="BB33" i="39"/>
  <c r="DA308" i="39"/>
  <c r="BA33" i="39"/>
  <c r="CY308" i="39" s="1"/>
  <c r="AZ33" i="39"/>
  <c r="CW308" i="39" s="1"/>
  <c r="AY33" i="39"/>
  <c r="CU308" i="39"/>
  <c r="AX33" i="39"/>
  <c r="CS308" i="39" s="1"/>
  <c r="AW33" i="39"/>
  <c r="CQ308" i="39"/>
  <c r="AV33" i="39"/>
  <c r="CO308" i="39" s="1"/>
  <c r="AU33" i="39"/>
  <c r="CM308" i="39" s="1"/>
  <c r="AT33" i="39"/>
  <c r="CK308" i="39"/>
  <c r="AS33" i="39"/>
  <c r="CI308" i="39" s="1"/>
  <c r="AR33" i="39"/>
  <c r="CG308" i="39" s="1"/>
  <c r="BT29" i="39"/>
  <c r="EK304" i="39" s="1"/>
  <c r="BS29" i="39"/>
  <c r="EI304" i="39" s="1"/>
  <c r="BR29" i="39"/>
  <c r="EG304" i="39"/>
  <c r="BQ29" i="39"/>
  <c r="EE304" i="39" s="1"/>
  <c r="BP29" i="39"/>
  <c r="BO29" i="39"/>
  <c r="EA304" i="39" s="1"/>
  <c r="BN29" i="39"/>
  <c r="DY304" i="39" s="1"/>
  <c r="BM29" i="39"/>
  <c r="DW304" i="39"/>
  <c r="BL29" i="39"/>
  <c r="DU304" i="39" s="1"/>
  <c r="BK29" i="39"/>
  <c r="DS304" i="39"/>
  <c r="BJ29" i="39"/>
  <c r="DQ304" i="39" s="1"/>
  <c r="BI29" i="39"/>
  <c r="DO304" i="39"/>
  <c r="BH29" i="39"/>
  <c r="DM304" i="39" s="1"/>
  <c r="BG29" i="39"/>
  <c r="DK304" i="39" s="1"/>
  <c r="BF29" i="39"/>
  <c r="DI304" i="39" s="1"/>
  <c r="BE29" i="39"/>
  <c r="DG304" i="39" s="1"/>
  <c r="BD29" i="39"/>
  <c r="BC29" i="39"/>
  <c r="DC304" i="39"/>
  <c r="BB29" i="39"/>
  <c r="DA304" i="39" s="1"/>
  <c r="BA29" i="39"/>
  <c r="CY304" i="39"/>
  <c r="AZ29" i="39"/>
  <c r="CW304" i="39" s="1"/>
  <c r="AY29" i="39"/>
  <c r="CU304" i="39"/>
  <c r="AX29" i="39"/>
  <c r="CS304" i="39" s="1"/>
  <c r="AW29" i="39"/>
  <c r="CQ304" i="39" s="1"/>
  <c r="AV29" i="39"/>
  <c r="CO304" i="39" s="1"/>
  <c r="AU29" i="39"/>
  <c r="CM304" i="39" s="1"/>
  <c r="AT29" i="39"/>
  <c r="CK304" i="39"/>
  <c r="AS29" i="39"/>
  <c r="CI304" i="39" s="1"/>
  <c r="AR29" i="39"/>
  <c r="BT26" i="39"/>
  <c r="EK301" i="39" s="1"/>
  <c r="BS26" i="39"/>
  <c r="EI301" i="39" s="1"/>
  <c r="BR26" i="39"/>
  <c r="EG301" i="39" s="1"/>
  <c r="BQ26" i="39"/>
  <c r="EE301" i="39"/>
  <c r="BP26" i="39"/>
  <c r="EC301" i="39" s="1"/>
  <c r="BO26" i="39"/>
  <c r="EA301" i="39"/>
  <c r="BN26" i="39"/>
  <c r="DY301" i="39" s="1"/>
  <c r="BM26" i="39"/>
  <c r="DW301" i="39" s="1"/>
  <c r="BL26" i="39"/>
  <c r="DU301" i="39" s="1"/>
  <c r="BK26" i="39"/>
  <c r="DS301" i="39" s="1"/>
  <c r="BJ26" i="39"/>
  <c r="DQ301" i="39" s="1"/>
  <c r="BI26" i="39"/>
  <c r="DO301" i="39"/>
  <c r="BH26" i="39"/>
  <c r="DM301" i="39" s="1"/>
  <c r="BG26" i="39"/>
  <c r="DK301" i="39"/>
  <c r="BF26" i="39"/>
  <c r="DI301" i="39" s="1"/>
  <c r="BE26" i="39"/>
  <c r="DG301" i="39" s="1"/>
  <c r="BD26" i="39"/>
  <c r="DE301" i="39" s="1"/>
  <c r="BC26" i="39"/>
  <c r="DC301" i="39" s="1"/>
  <c r="BB26" i="39"/>
  <c r="DA301" i="39" s="1"/>
  <c r="BA26" i="39"/>
  <c r="CY301" i="39"/>
  <c r="AZ26" i="39"/>
  <c r="CW301" i="39" s="1"/>
  <c r="AY26" i="39"/>
  <c r="CU301" i="39"/>
  <c r="AX26" i="39"/>
  <c r="CS301" i="39" s="1"/>
  <c r="AW26" i="39"/>
  <c r="CQ301" i="39" s="1"/>
  <c r="AV26" i="39"/>
  <c r="CO301" i="39" s="1"/>
  <c r="AU26" i="39"/>
  <c r="CM301" i="39" s="1"/>
  <c r="AT26" i="39"/>
  <c r="CK301" i="39" s="1"/>
  <c r="AS26" i="39"/>
  <c r="CI301" i="39"/>
  <c r="AR26" i="39"/>
  <c r="CG301" i="39" s="1"/>
  <c r="BT25" i="39"/>
  <c r="EK300" i="39"/>
  <c r="BS25" i="39"/>
  <c r="EI300" i="39" s="1"/>
  <c r="BR25" i="39"/>
  <c r="EG300" i="39"/>
  <c r="BQ25" i="39"/>
  <c r="EE300" i="39" s="1"/>
  <c r="BP25" i="39"/>
  <c r="EC300" i="39" s="1"/>
  <c r="BO25" i="39"/>
  <c r="EA300" i="39" s="1"/>
  <c r="BN25" i="39"/>
  <c r="DY300" i="39" s="1"/>
  <c r="BM25" i="39"/>
  <c r="DW300" i="39"/>
  <c r="BL25" i="39"/>
  <c r="DU300" i="39" s="1"/>
  <c r="BK25" i="39"/>
  <c r="DS300" i="39"/>
  <c r="BJ25" i="39"/>
  <c r="DQ300" i="39" s="1"/>
  <c r="BI25" i="39"/>
  <c r="DO300" i="39" s="1"/>
  <c r="BH25" i="39"/>
  <c r="DM300" i="39"/>
  <c r="BG25" i="39"/>
  <c r="DK300" i="39" s="1"/>
  <c r="BF25" i="39"/>
  <c r="DI300" i="39"/>
  <c r="BE25" i="39"/>
  <c r="DG300" i="39" s="1"/>
  <c r="BD25" i="39"/>
  <c r="DE300" i="39" s="1"/>
  <c r="BC25" i="39"/>
  <c r="DC300" i="39" s="1"/>
  <c r="BB25" i="39"/>
  <c r="DA300" i="39" s="1"/>
  <c r="BA25" i="39"/>
  <c r="CY300" i="39" s="1"/>
  <c r="AZ25" i="39"/>
  <c r="CW300" i="39" s="1"/>
  <c r="AY25" i="39"/>
  <c r="CU300" i="39" s="1"/>
  <c r="AX25" i="39"/>
  <c r="CS300" i="39" s="1"/>
  <c r="AW25" i="39"/>
  <c r="CQ300" i="39" s="1"/>
  <c r="AV25" i="39"/>
  <c r="CO300" i="39" s="1"/>
  <c r="AU25" i="39"/>
  <c r="CM300" i="39" s="1"/>
  <c r="AT25" i="39"/>
  <c r="CK300" i="39" s="1"/>
  <c r="AS25" i="39"/>
  <c r="CI300" i="39" s="1"/>
  <c r="AR25" i="39"/>
  <c r="CG300" i="39"/>
  <c r="BT22" i="39"/>
  <c r="EK297" i="39" s="1"/>
  <c r="BS22" i="39"/>
  <c r="EI297" i="39" s="1"/>
  <c r="BR22" i="39"/>
  <c r="EG297" i="39" s="1"/>
  <c r="BQ22" i="39"/>
  <c r="EE297" i="39" s="1"/>
  <c r="BP22" i="39"/>
  <c r="EC297" i="39" s="1"/>
  <c r="BO22" i="39"/>
  <c r="EA297" i="39"/>
  <c r="BN22" i="39"/>
  <c r="DY297" i="39" s="1"/>
  <c r="BM22" i="39"/>
  <c r="DW297" i="39" s="1"/>
  <c r="BL22" i="39"/>
  <c r="DU297" i="39" s="1"/>
  <c r="BK22" i="39"/>
  <c r="DS297" i="39" s="1"/>
  <c r="BJ22" i="39"/>
  <c r="DQ297" i="39" s="1"/>
  <c r="BI22" i="39"/>
  <c r="DO297" i="39"/>
  <c r="BH22" i="39"/>
  <c r="DM297" i="39" s="1"/>
  <c r="BG22" i="39"/>
  <c r="DK297" i="39" s="1"/>
  <c r="BF22" i="39"/>
  <c r="DI297" i="39" s="1"/>
  <c r="BE22" i="39"/>
  <c r="BD22" i="39"/>
  <c r="DE297" i="39" s="1"/>
  <c r="BC22" i="39"/>
  <c r="DC297" i="39" s="1"/>
  <c r="BB22" i="39"/>
  <c r="DA297" i="39" s="1"/>
  <c r="BA22" i="39"/>
  <c r="CY297" i="39" s="1"/>
  <c r="AZ22" i="39"/>
  <c r="CW297" i="39" s="1"/>
  <c r="AY22" i="39"/>
  <c r="CU297" i="39" s="1"/>
  <c r="AX22" i="39"/>
  <c r="CS297" i="39"/>
  <c r="AW22" i="39"/>
  <c r="CQ297" i="39" s="1"/>
  <c r="AV22" i="39"/>
  <c r="AU22" i="39"/>
  <c r="CM297" i="39" s="1"/>
  <c r="AT22" i="39"/>
  <c r="CK297" i="39" s="1"/>
  <c r="AS22" i="39"/>
  <c r="CI297" i="39" s="1"/>
  <c r="AR22" i="39"/>
  <c r="BT21" i="39"/>
  <c r="EK296" i="39" s="1"/>
  <c r="BS21" i="39"/>
  <c r="EI296" i="39" s="1"/>
  <c r="BR21" i="39"/>
  <c r="EG296" i="39"/>
  <c r="BQ21" i="39"/>
  <c r="EE296" i="39" s="1"/>
  <c r="BP21" i="39"/>
  <c r="EC296" i="39"/>
  <c r="BO21" i="39"/>
  <c r="EA296" i="39" s="1"/>
  <c r="BN21" i="39"/>
  <c r="DY296" i="39"/>
  <c r="BM21" i="39"/>
  <c r="DW296" i="39" s="1"/>
  <c r="BL21" i="39"/>
  <c r="DU296" i="39"/>
  <c r="BK21" i="39"/>
  <c r="DS296" i="39" s="1"/>
  <c r="BJ21" i="39"/>
  <c r="DQ296" i="39" s="1"/>
  <c r="BI21" i="39"/>
  <c r="DO296" i="39" s="1"/>
  <c r="BH21" i="39"/>
  <c r="DM296" i="39" s="1"/>
  <c r="BG21" i="39"/>
  <c r="DK296" i="39" s="1"/>
  <c r="BF21" i="39"/>
  <c r="DI296" i="39" s="1"/>
  <c r="BE21" i="39"/>
  <c r="DG296" i="39" s="1"/>
  <c r="BD21" i="39"/>
  <c r="DE296" i="39" s="1"/>
  <c r="BC21" i="39"/>
  <c r="DC296" i="39" s="1"/>
  <c r="BB21" i="39"/>
  <c r="DA296" i="39" s="1"/>
  <c r="BA21" i="39"/>
  <c r="CY296" i="39"/>
  <c r="AZ21" i="39"/>
  <c r="CW296" i="39" s="1"/>
  <c r="AY21" i="39"/>
  <c r="CU296" i="39"/>
  <c r="AX21" i="39"/>
  <c r="CS296" i="39" s="1"/>
  <c r="AW21" i="39"/>
  <c r="CQ296" i="39"/>
  <c r="AV21" i="39"/>
  <c r="CO296" i="39" s="1"/>
  <c r="AU21" i="39"/>
  <c r="CM296" i="39" s="1"/>
  <c r="AT21" i="39"/>
  <c r="CK296" i="39" s="1"/>
  <c r="AS21" i="39"/>
  <c r="CI296" i="39" s="1"/>
  <c r="AR21" i="39"/>
  <c r="CG296" i="39" s="1"/>
  <c r="BW15" i="39"/>
  <c r="BU15" i="39"/>
  <c r="BT15" i="39"/>
  <c r="BS15" i="39"/>
  <c r="BR15" i="39"/>
  <c r="BQ15" i="39"/>
  <c r="BP15" i="39"/>
  <c r="BO15" i="39"/>
  <c r="BN15" i="39"/>
  <c r="BM15" i="39"/>
  <c r="BL15" i="39"/>
  <c r="BK15" i="39"/>
  <c r="BJ15" i="39"/>
  <c r="BI15" i="39"/>
  <c r="BH15" i="39"/>
  <c r="BG15" i="39"/>
  <c r="BF15" i="39"/>
  <c r="BE15" i="39"/>
  <c r="BD15" i="39"/>
  <c r="BC15" i="39"/>
  <c r="BB15" i="39"/>
  <c r="BA15" i="39"/>
  <c r="AZ15" i="39"/>
  <c r="AY15" i="39"/>
  <c r="AX15" i="39"/>
  <c r="AW15" i="39"/>
  <c r="AV15" i="39"/>
  <c r="AU15" i="39"/>
  <c r="AT15" i="39"/>
  <c r="AS15" i="39"/>
  <c r="AR15" i="39"/>
  <c r="AS226" i="38"/>
  <c r="H226" i="38"/>
  <c r="AT188" i="38"/>
  <c r="AR188" i="38"/>
  <c r="AQ188" i="38"/>
  <c r="AY188" i="38" s="1"/>
  <c r="AZ188" i="38" s="1"/>
  <c r="H188" i="38"/>
  <c r="J188" i="38"/>
  <c r="G188" i="38"/>
  <c r="O188" i="38" s="1"/>
  <c r="P188" i="38" s="1"/>
  <c r="AI184" i="38"/>
  <c r="AH184" i="38"/>
  <c r="AG184" i="38"/>
  <c r="AF184" i="38"/>
  <c r="AE184" i="38"/>
  <c r="AD184" i="38"/>
  <c r="AC184" i="38"/>
  <c r="AB184" i="38"/>
  <c r="AA184" i="38"/>
  <c r="Z184" i="38"/>
  <c r="Y184" i="38"/>
  <c r="X184" i="38"/>
  <c r="W184" i="38"/>
  <c r="V184" i="38"/>
  <c r="U184" i="38"/>
  <c r="T184" i="38"/>
  <c r="S184" i="38"/>
  <c r="R184" i="38"/>
  <c r="Q184" i="38"/>
  <c r="P184" i="38"/>
  <c r="O184" i="38"/>
  <c r="N184" i="38"/>
  <c r="M184" i="38"/>
  <c r="L184" i="38"/>
  <c r="K184" i="38"/>
  <c r="J184" i="38"/>
  <c r="I184" i="38"/>
  <c r="H184" i="38"/>
  <c r="G184" i="38"/>
  <c r="AI182" i="38"/>
  <c r="AH182" i="38"/>
  <c r="AG182" i="38"/>
  <c r="AF182" i="38"/>
  <c r="AE182" i="38"/>
  <c r="AD182" i="38"/>
  <c r="AC182" i="38"/>
  <c r="AB182" i="38"/>
  <c r="AA182" i="38"/>
  <c r="Z182" i="38"/>
  <c r="Y182" i="38"/>
  <c r="X182" i="38"/>
  <c r="W182" i="38"/>
  <c r="V182" i="38"/>
  <c r="U182" i="38"/>
  <c r="T182" i="38"/>
  <c r="S182" i="38"/>
  <c r="R182" i="38"/>
  <c r="Q182" i="38"/>
  <c r="P182" i="38"/>
  <c r="O182" i="38"/>
  <c r="N182" i="38"/>
  <c r="M182" i="38"/>
  <c r="L182" i="38"/>
  <c r="K182" i="38"/>
  <c r="J182" i="38"/>
  <c r="I182" i="38"/>
  <c r="H182" i="38"/>
  <c r="G182" i="38"/>
  <c r="AI180" i="38"/>
  <c r="AH180" i="38"/>
  <c r="AG180" i="38"/>
  <c r="AF180" i="38"/>
  <c r="AE180" i="38"/>
  <c r="AD180" i="38"/>
  <c r="AC180" i="38"/>
  <c r="AB180" i="38"/>
  <c r="AA180" i="38"/>
  <c r="Z180" i="38"/>
  <c r="Y180" i="38"/>
  <c r="X180" i="38"/>
  <c r="W180" i="38"/>
  <c r="V180" i="38"/>
  <c r="U180" i="38"/>
  <c r="T180" i="38"/>
  <c r="S180" i="38"/>
  <c r="R180" i="38"/>
  <c r="Q180" i="38"/>
  <c r="P180" i="38"/>
  <c r="O180" i="38"/>
  <c r="N180" i="38"/>
  <c r="M180" i="38"/>
  <c r="L180" i="38"/>
  <c r="K180" i="38"/>
  <c r="J180" i="38"/>
  <c r="I180" i="38"/>
  <c r="H180" i="38"/>
  <c r="G180" i="38"/>
  <c r="BM175" i="38"/>
  <c r="BM218" i="38" s="1"/>
  <c r="BH175" i="38"/>
  <c r="BD175" i="38"/>
  <c r="BD214" i="38" s="1"/>
  <c r="AY175" i="38"/>
  <c r="AY189" i="38" s="1"/>
  <c r="AR175" i="38"/>
  <c r="AR218" i="38" s="1"/>
  <c r="AC175" i="38"/>
  <c r="Y175" i="38"/>
  <c r="Y214" i="38" s="1"/>
  <c r="T175" i="38"/>
  <c r="T217" i="38" s="1"/>
  <c r="M175" i="38"/>
  <c r="BQ174" i="38"/>
  <c r="BP174" i="38"/>
  <c r="BF174" i="38"/>
  <c r="BE174" i="38"/>
  <c r="AV174" i="38"/>
  <c r="AT174" i="38"/>
  <c r="AD174" i="38"/>
  <c r="AC174" i="38"/>
  <c r="S174" i="38"/>
  <c r="R174" i="38"/>
  <c r="I174" i="38"/>
  <c r="G174" i="38"/>
  <c r="G198" i="38" s="1"/>
  <c r="BO173" i="38"/>
  <c r="BK173" i="38"/>
  <c r="BD173" i="38"/>
  <c r="AZ173" i="38"/>
  <c r="AT173" i="38"/>
  <c r="AI173" i="38"/>
  <c r="AB173" i="38"/>
  <c r="X173" i="38"/>
  <c r="Q173" i="38"/>
  <c r="M173" i="38"/>
  <c r="G173" i="38"/>
  <c r="AF172" i="38"/>
  <c r="Y172" i="38"/>
  <c r="U172" i="38"/>
  <c r="N172" i="38"/>
  <c r="J172" i="38"/>
  <c r="E141" i="38"/>
  <c r="AS134" i="38"/>
  <c r="H134" i="38"/>
  <c r="JM2" i="43"/>
  <c r="E134" i="38"/>
  <c r="E132" i="38"/>
  <c r="O132" i="38" s="1"/>
  <c r="AR96" i="38"/>
  <c r="AQ96" i="38"/>
  <c r="AY96" i="38" s="1"/>
  <c r="AZ96" i="38" s="1"/>
  <c r="H96" i="38"/>
  <c r="G96" i="38"/>
  <c r="AI92" i="38"/>
  <c r="AH92" i="38"/>
  <c r="AG92" i="38"/>
  <c r="AF92" i="38"/>
  <c r="AE92" i="38"/>
  <c r="AD92" i="38"/>
  <c r="AC92" i="38"/>
  <c r="AB92" i="38"/>
  <c r="AA92" i="38"/>
  <c r="Z92" i="38"/>
  <c r="Y92" i="38"/>
  <c r="X92" i="38"/>
  <c r="W92" i="38"/>
  <c r="V92" i="38"/>
  <c r="U92" i="38"/>
  <c r="T92" i="38"/>
  <c r="S92" i="38"/>
  <c r="R92" i="38"/>
  <c r="Q92" i="38"/>
  <c r="P92" i="38"/>
  <c r="O92" i="38"/>
  <c r="N92" i="38"/>
  <c r="M92" i="38"/>
  <c r="L92" i="38"/>
  <c r="K92" i="38"/>
  <c r="J92" i="38"/>
  <c r="I92" i="38"/>
  <c r="H92" i="38"/>
  <c r="G92" i="38"/>
  <c r="AI90" i="38"/>
  <c r="AH90" i="38"/>
  <c r="AG90" i="38"/>
  <c r="AF90" i="38"/>
  <c r="AE90" i="38"/>
  <c r="AD90" i="38"/>
  <c r="AC90" i="38"/>
  <c r="AB90" i="38"/>
  <c r="AA90" i="38"/>
  <c r="Z90" i="38"/>
  <c r="Y90" i="38"/>
  <c r="X90" i="38"/>
  <c r="W90" i="38"/>
  <c r="V90" i="38"/>
  <c r="U90" i="38"/>
  <c r="T90" i="38"/>
  <c r="S90" i="38"/>
  <c r="R90" i="38"/>
  <c r="Q90" i="38"/>
  <c r="P90" i="38"/>
  <c r="O90" i="38"/>
  <c r="N90" i="38"/>
  <c r="M90" i="38"/>
  <c r="L90" i="38"/>
  <c r="K90" i="38"/>
  <c r="J90" i="38"/>
  <c r="I90" i="38"/>
  <c r="H90" i="38"/>
  <c r="G90" i="38"/>
  <c r="AI88" i="38"/>
  <c r="AH88" i="38"/>
  <c r="AG88" i="38"/>
  <c r="AF88" i="38"/>
  <c r="AE88" i="38"/>
  <c r="AD88" i="38"/>
  <c r="AC88" i="38"/>
  <c r="AB88" i="38"/>
  <c r="AA88" i="38"/>
  <c r="Z88" i="38"/>
  <c r="Y88" i="38"/>
  <c r="X88" i="38"/>
  <c r="W88" i="38"/>
  <c r="V88" i="38"/>
  <c r="U88" i="38"/>
  <c r="T88" i="38"/>
  <c r="S88" i="38"/>
  <c r="R88" i="38"/>
  <c r="Q88" i="38"/>
  <c r="P88" i="38"/>
  <c r="O88" i="38"/>
  <c r="N88" i="38"/>
  <c r="M88" i="38"/>
  <c r="L88" i="38"/>
  <c r="K88" i="38"/>
  <c r="J88" i="38"/>
  <c r="I88" i="38"/>
  <c r="H88" i="38"/>
  <c r="G88" i="38"/>
  <c r="AE80" i="38"/>
  <c r="AB80" i="38"/>
  <c r="W80" i="38"/>
  <c r="T80" i="38"/>
  <c r="O80" i="38"/>
  <c r="L80" i="38"/>
  <c r="G80" i="38"/>
  <c r="X56" i="38"/>
  <c r="P56" i="38"/>
  <c r="H56" i="38"/>
  <c r="AG53" i="38"/>
  <c r="AC53" i="38"/>
  <c r="L44" i="38"/>
  <c r="K44" i="38"/>
  <c r="H44" i="38"/>
  <c r="BP42" i="38"/>
  <c r="AD42" i="38"/>
  <c r="AC42" i="38"/>
  <c r="L42" i="38"/>
  <c r="K42" i="38"/>
  <c r="H42" i="38"/>
  <c r="AD41" i="38"/>
  <c r="AC41" i="38"/>
  <c r="AD40" i="38"/>
  <c r="AC40" i="38"/>
  <c r="L40" i="38"/>
  <c r="K40" i="38"/>
  <c r="H40" i="38"/>
  <c r="AD38" i="38"/>
  <c r="AC38" i="38"/>
  <c r="L38" i="38"/>
  <c r="K38" i="38"/>
  <c r="H38" i="38"/>
  <c r="AD37" i="38"/>
  <c r="AC37" i="38"/>
  <c r="BH35" i="38"/>
  <c r="BG35" i="38"/>
  <c r="BC35" i="38"/>
  <c r="BB35" i="38"/>
  <c r="U35" i="38"/>
  <c r="Q35" i="38"/>
  <c r="BQ33" i="38"/>
  <c r="BO175" i="38" s="1"/>
  <c r="BP175" i="38"/>
  <c r="AI27" i="38"/>
  <c r="AH27" i="38"/>
  <c r="AH183" i="38" s="1"/>
  <c r="AG27" i="38"/>
  <c r="AG183" i="38" s="1"/>
  <c r="AF27" i="38"/>
  <c r="AF91" i="38" s="1"/>
  <c r="AE27" i="38"/>
  <c r="AE91" i="38"/>
  <c r="AD27" i="38"/>
  <c r="AD183" i="38" s="1"/>
  <c r="AC27" i="38"/>
  <c r="AC91" i="38" s="1"/>
  <c r="AC183" i="38"/>
  <c r="AB27" i="38"/>
  <c r="AB91" i="38" s="1"/>
  <c r="AA27" i="38"/>
  <c r="J27" i="38"/>
  <c r="I27" i="38"/>
  <c r="I91" i="38" s="1"/>
  <c r="H27" i="38"/>
  <c r="H91" i="38"/>
  <c r="G27" i="38"/>
  <c r="G183" i="38" s="1"/>
  <c r="AI23" i="38"/>
  <c r="AH23" i="38"/>
  <c r="AG23" i="38"/>
  <c r="AF23" i="38"/>
  <c r="AE23" i="38"/>
  <c r="AD23" i="38"/>
  <c r="AC23" i="38"/>
  <c r="AB23" i="38"/>
  <c r="AA23" i="38"/>
  <c r="K23" i="38"/>
  <c r="J23" i="38"/>
  <c r="I23" i="38"/>
  <c r="H23" i="38"/>
  <c r="G23" i="38"/>
  <c r="AG20" i="38"/>
  <c r="AC20" i="38"/>
  <c r="Y20" i="38"/>
  <c r="Y181" i="38"/>
  <c r="X20" i="38"/>
  <c r="AI16" i="38"/>
  <c r="AH16" i="38"/>
  <c r="AG16" i="38"/>
  <c r="AF16" i="38"/>
  <c r="AE16" i="38"/>
  <c r="AD16" i="38"/>
  <c r="AC16" i="38"/>
  <c r="AB16" i="38"/>
  <c r="AA16" i="38"/>
  <c r="Z16" i="38"/>
  <c r="Y16" i="38"/>
  <c r="X16" i="38"/>
  <c r="W16" i="38"/>
  <c r="V16" i="38"/>
  <c r="U16" i="38"/>
  <c r="T16" i="38"/>
  <c r="S16" i="38"/>
  <c r="R16" i="38"/>
  <c r="Q16" i="38"/>
  <c r="P16" i="38"/>
  <c r="O16" i="38"/>
  <c r="N16" i="38"/>
  <c r="M16" i="38"/>
  <c r="L16" i="38"/>
  <c r="K16" i="38"/>
  <c r="J16" i="38"/>
  <c r="I16" i="38"/>
  <c r="H16" i="38"/>
  <c r="G16" i="38"/>
  <c r="J15" i="38"/>
  <c r="AJ13" i="38"/>
  <c r="AI13" i="38"/>
  <c r="AH13" i="38"/>
  <c r="AG13" i="38"/>
  <c r="AF13" i="38"/>
  <c r="AE13" i="38"/>
  <c r="AD13" i="38"/>
  <c r="AC13" i="38"/>
  <c r="AB13" i="38"/>
  <c r="AA13" i="38"/>
  <c r="Z13" i="38"/>
  <c r="Y13" i="38"/>
  <c r="X13" i="38"/>
  <c r="W13" i="38"/>
  <c r="V13" i="38"/>
  <c r="U13" i="38"/>
  <c r="T13" i="38"/>
  <c r="S13" i="38"/>
  <c r="R13" i="38"/>
  <c r="Q13" i="38"/>
  <c r="P13" i="38"/>
  <c r="O13" i="38"/>
  <c r="N13" i="38"/>
  <c r="M13" i="38"/>
  <c r="L13" i="38"/>
  <c r="K13" i="38"/>
  <c r="J13" i="38"/>
  <c r="I13" i="38"/>
  <c r="H13" i="38"/>
  <c r="G13" i="38"/>
  <c r="C13" i="38"/>
  <c r="I288" i="37"/>
  <c r="F94" i="37"/>
  <c r="CL192" i="41" s="1"/>
  <c r="F93" i="37"/>
  <c r="F92" i="37"/>
  <c r="CL193" i="41"/>
  <c r="D89" i="37"/>
  <c r="FZ2" i="43" s="1"/>
  <c r="F88" i="37"/>
  <c r="CF203" i="41"/>
  <c r="B88" i="37"/>
  <c r="D87" i="37"/>
  <c r="F87" i="37" s="1"/>
  <c r="CF202" i="41" s="1"/>
  <c r="B87" i="37"/>
  <c r="CC202" i="41" s="1"/>
  <c r="D86" i="37"/>
  <c r="B86" i="37"/>
  <c r="CC201" i="41" s="1"/>
  <c r="D85" i="37"/>
  <c r="F85" i="37" s="1"/>
  <c r="CF200" i="41" s="1"/>
  <c r="B85" i="37"/>
  <c r="CC200" i="41" s="1"/>
  <c r="D84" i="37"/>
  <c r="B84" i="37"/>
  <c r="CC199" i="41" s="1"/>
  <c r="D83" i="37"/>
  <c r="F83" i="37" s="1"/>
  <c r="CF198" i="41" s="1"/>
  <c r="B83" i="37"/>
  <c r="CC198" i="41" s="1"/>
  <c r="D82" i="37"/>
  <c r="B82" i="37"/>
  <c r="CC197" i="41" s="1"/>
  <c r="L78" i="37"/>
  <c r="L77" i="37"/>
  <c r="L76" i="37"/>
  <c r="F74" i="37"/>
  <c r="F73" i="37"/>
  <c r="CL190" i="41"/>
  <c r="F72" i="37"/>
  <c r="CL189" i="41" s="1"/>
  <c r="X70" i="37"/>
  <c r="D69" i="37"/>
  <c r="B69" i="37"/>
  <c r="F68" i="37"/>
  <c r="L226" i="38" s="1"/>
  <c r="D67" i="37"/>
  <c r="FG2" i="43"/>
  <c r="B67" i="37"/>
  <c r="F66" i="37"/>
  <c r="U64" i="37"/>
  <c r="L63" i="37"/>
  <c r="O63" i="37" s="1"/>
  <c r="J63" i="37"/>
  <c r="N63" i="37" s="1"/>
  <c r="L62" i="37"/>
  <c r="J62" i="37"/>
  <c r="L61" i="37"/>
  <c r="J61" i="37"/>
  <c r="AR60" i="37"/>
  <c r="AM60" i="37"/>
  <c r="AH60" i="37"/>
  <c r="AC60" i="37"/>
  <c r="X60" i="37"/>
  <c r="F60" i="37"/>
  <c r="L59" i="37"/>
  <c r="J59" i="37"/>
  <c r="N59" i="37" s="1"/>
  <c r="L58" i="37"/>
  <c r="J58" i="37"/>
  <c r="L57" i="37"/>
  <c r="J57" i="37"/>
  <c r="F49" i="37"/>
  <c r="S36" i="38" s="1"/>
  <c r="F48" i="37"/>
  <c r="AJ66" i="38" s="1"/>
  <c r="F47" i="37"/>
  <c r="G210" i="36"/>
  <c r="F210" i="36"/>
  <c r="E210" i="36"/>
  <c r="D210" i="36"/>
  <c r="G209" i="36"/>
  <c r="F209" i="36"/>
  <c r="E209" i="36"/>
  <c r="D209" i="36"/>
  <c r="G208" i="36"/>
  <c r="F208" i="36"/>
  <c r="E208" i="36"/>
  <c r="D208" i="36"/>
  <c r="G207" i="36"/>
  <c r="F207" i="36"/>
  <c r="E207" i="36"/>
  <c r="D207" i="36"/>
  <c r="G206" i="36"/>
  <c r="F206" i="36"/>
  <c r="E206" i="36"/>
  <c r="D206" i="36"/>
  <c r="C206" i="36"/>
  <c r="C207" i="36" s="1"/>
  <c r="C208" i="36" s="1"/>
  <c r="C209" i="36" s="1"/>
  <c r="C210" i="36" s="1"/>
  <c r="F205" i="36"/>
  <c r="D205" i="36"/>
  <c r="G202" i="36"/>
  <c r="F202" i="36"/>
  <c r="E202" i="36"/>
  <c r="D202" i="36"/>
  <c r="C202" i="36"/>
  <c r="G201" i="36"/>
  <c r="F201" i="36"/>
  <c r="E201" i="36"/>
  <c r="D201" i="36"/>
  <c r="G197" i="36"/>
  <c r="F197" i="36"/>
  <c r="E197" i="36"/>
  <c r="D197" i="36"/>
  <c r="G196" i="36"/>
  <c r="F196" i="36"/>
  <c r="E196" i="36"/>
  <c r="D196" i="36"/>
  <c r="G195" i="36"/>
  <c r="F195" i="36"/>
  <c r="E195" i="36"/>
  <c r="D195" i="36"/>
  <c r="G191" i="36"/>
  <c r="F191" i="36"/>
  <c r="E191" i="36"/>
  <c r="D191" i="36"/>
  <c r="G189" i="36"/>
  <c r="F189" i="36"/>
  <c r="E189" i="36"/>
  <c r="D189" i="36"/>
  <c r="C189" i="36"/>
  <c r="G188" i="36"/>
  <c r="F188" i="36"/>
  <c r="E188" i="36"/>
  <c r="D188" i="36"/>
  <c r="G186" i="36"/>
  <c r="F186" i="36"/>
  <c r="E186" i="36"/>
  <c r="D186" i="36"/>
  <c r="C186" i="36"/>
  <c r="G185" i="36"/>
  <c r="F185" i="36"/>
  <c r="E185" i="36"/>
  <c r="D185" i="36"/>
  <c r="G181" i="36"/>
  <c r="F181" i="36"/>
  <c r="E181" i="36"/>
  <c r="D181" i="36"/>
  <c r="G180" i="36"/>
  <c r="F180" i="36"/>
  <c r="E180" i="36"/>
  <c r="D180" i="36"/>
  <c r="G179" i="36"/>
  <c r="F179" i="36"/>
  <c r="D179" i="36"/>
  <c r="G178" i="36"/>
  <c r="F178" i="36"/>
  <c r="D178" i="36"/>
  <c r="G177" i="36"/>
  <c r="F177" i="36"/>
  <c r="D177" i="36"/>
  <c r="G176" i="36"/>
  <c r="F176" i="36"/>
  <c r="D176" i="36"/>
  <c r="C176" i="36"/>
  <c r="C177" i="36" s="1"/>
  <c r="C178" i="36" s="1"/>
  <c r="C179" i="36" s="1"/>
  <c r="C180" i="36" s="1"/>
  <c r="C181" i="36" s="1"/>
  <c r="G175" i="36"/>
  <c r="F175" i="36"/>
  <c r="E175" i="36"/>
  <c r="D175" i="36"/>
  <c r="G172" i="36"/>
  <c r="F172" i="36"/>
  <c r="E172" i="36"/>
  <c r="D172" i="36"/>
  <c r="G169" i="36"/>
  <c r="F169" i="36"/>
  <c r="E169" i="36"/>
  <c r="D169" i="36"/>
  <c r="G168" i="36"/>
  <c r="F168" i="36"/>
  <c r="E168" i="36"/>
  <c r="D168" i="36"/>
  <c r="C168" i="36"/>
  <c r="C169" i="36" s="1"/>
  <c r="G167" i="36"/>
  <c r="F167" i="36"/>
  <c r="E167" i="36"/>
  <c r="D167" i="36"/>
  <c r="G163" i="36"/>
  <c r="F163" i="36"/>
  <c r="E163" i="36"/>
  <c r="D163" i="36"/>
  <c r="G162" i="36"/>
  <c r="F162" i="36"/>
  <c r="E162" i="36"/>
  <c r="D162" i="36"/>
  <c r="C162" i="36"/>
  <c r="C163" i="36" s="1"/>
  <c r="G161" i="36"/>
  <c r="F161" i="36"/>
  <c r="E161" i="36"/>
  <c r="D161" i="36"/>
  <c r="G156" i="36"/>
  <c r="F156" i="36"/>
  <c r="E156" i="36"/>
  <c r="D156" i="36"/>
  <c r="C156" i="36"/>
  <c r="G155" i="36"/>
  <c r="F155" i="36"/>
  <c r="D155" i="36"/>
  <c r="E153" i="36"/>
  <c r="D153" i="36"/>
  <c r="E152" i="36"/>
  <c r="D152" i="36"/>
  <c r="E151" i="36"/>
  <c r="D151" i="36"/>
  <c r="E150" i="36"/>
  <c r="D150" i="36"/>
  <c r="C150" i="36"/>
  <c r="C151" i="36" s="1"/>
  <c r="C152" i="36" s="1"/>
  <c r="C153" i="36" s="1"/>
  <c r="E149" i="36"/>
  <c r="D149" i="36"/>
  <c r="G146" i="36"/>
  <c r="F146" i="36"/>
  <c r="E146" i="36"/>
  <c r="D146" i="36"/>
  <c r="G145" i="36"/>
  <c r="F145" i="36"/>
  <c r="E145" i="36"/>
  <c r="D145" i="36"/>
  <c r="G144" i="36"/>
  <c r="F144" i="36"/>
  <c r="E144" i="36"/>
  <c r="D144" i="36"/>
  <c r="F143" i="36"/>
  <c r="E143" i="36"/>
  <c r="D143" i="36"/>
  <c r="F142" i="36"/>
  <c r="E142" i="36"/>
  <c r="D142" i="36"/>
  <c r="F141" i="36"/>
  <c r="E141" i="36"/>
  <c r="D141" i="36"/>
  <c r="F140" i="36"/>
  <c r="E140" i="36"/>
  <c r="D140" i="36"/>
  <c r="F139" i="36"/>
  <c r="E139" i="36"/>
  <c r="D139" i="36"/>
  <c r="C139" i="36"/>
  <c r="C140" i="36" s="1"/>
  <c r="C141" i="36" s="1"/>
  <c r="C142" i="36" s="1"/>
  <c r="C143" i="36" s="1"/>
  <c r="C144" i="36" s="1"/>
  <c r="C145" i="36" s="1"/>
  <c r="C146" i="36" s="1"/>
  <c r="F138" i="36"/>
  <c r="E138" i="36"/>
  <c r="D138" i="36"/>
  <c r="G133" i="36"/>
  <c r="F133" i="36"/>
  <c r="E133" i="36"/>
  <c r="D133" i="36"/>
  <c r="T129" i="36"/>
  <c r="S129" i="36"/>
  <c r="R129" i="36"/>
  <c r="Q129" i="36"/>
  <c r="P129" i="36"/>
  <c r="O129" i="36"/>
  <c r="N129" i="36"/>
  <c r="M129" i="36"/>
  <c r="L129" i="36"/>
  <c r="K129" i="36"/>
  <c r="J129" i="36"/>
  <c r="I129" i="36"/>
  <c r="I130" i="36"/>
  <c r="J130" i="36" s="1"/>
  <c r="K130" i="36" s="1"/>
  <c r="L130" i="36" s="1"/>
  <c r="M130" i="36" s="1"/>
  <c r="N130" i="36" s="1"/>
  <c r="O130" i="36" s="1"/>
  <c r="P130" i="36" s="1"/>
  <c r="Q130" i="36" s="1"/>
  <c r="R130" i="36" s="1"/>
  <c r="S130" i="36" s="1"/>
  <c r="T130" i="36" s="1"/>
  <c r="F126" i="36"/>
  <c r="E126" i="36"/>
  <c r="D126" i="36"/>
  <c r="G123" i="36"/>
  <c r="F123" i="36"/>
  <c r="E123" i="36"/>
  <c r="D123" i="36"/>
  <c r="G120" i="36"/>
  <c r="F120" i="36"/>
  <c r="E120" i="36"/>
  <c r="D120" i="36"/>
  <c r="G117" i="36"/>
  <c r="F117" i="36"/>
  <c r="E117" i="36"/>
  <c r="D117" i="36"/>
  <c r="F116" i="36"/>
  <c r="E116" i="36"/>
  <c r="D116" i="36"/>
  <c r="F115" i="36"/>
  <c r="E115" i="36"/>
  <c r="D115" i="36"/>
  <c r="F114" i="36"/>
  <c r="E114" i="36"/>
  <c r="D114" i="36"/>
  <c r="F113" i="36"/>
  <c r="E113" i="36"/>
  <c r="D113" i="36"/>
  <c r="G112" i="36"/>
  <c r="F112" i="36"/>
  <c r="E112" i="36"/>
  <c r="D112" i="36"/>
  <c r="F111" i="36"/>
  <c r="D111" i="36"/>
  <c r="F110" i="36"/>
  <c r="D110" i="36"/>
  <c r="F109" i="36"/>
  <c r="D109" i="36"/>
  <c r="F108" i="36"/>
  <c r="D108" i="36"/>
  <c r="G107" i="36"/>
  <c r="F107" i="36"/>
  <c r="D107" i="36"/>
  <c r="E106" i="36"/>
  <c r="D106" i="36"/>
  <c r="E105" i="36"/>
  <c r="D105" i="36"/>
  <c r="E104" i="36"/>
  <c r="D104" i="36"/>
  <c r="D103" i="36"/>
  <c r="F102" i="36"/>
  <c r="E102" i="36"/>
  <c r="D102" i="36"/>
  <c r="F101" i="36"/>
  <c r="E101" i="36"/>
  <c r="D101" i="36"/>
  <c r="F100" i="36"/>
  <c r="F99" i="36"/>
  <c r="F98" i="36"/>
  <c r="F97" i="36"/>
  <c r="F96" i="36"/>
  <c r="F95" i="36"/>
  <c r="F94" i="36"/>
  <c r="F93" i="36"/>
  <c r="F92" i="36"/>
  <c r="F91" i="36"/>
  <c r="F90" i="36"/>
  <c r="F89" i="36"/>
  <c r="F88" i="36"/>
  <c r="C88" i="36"/>
  <c r="C89" i="36" s="1"/>
  <c r="C90" i="36" s="1"/>
  <c r="C91" i="36" s="1"/>
  <c r="C92" i="36" s="1"/>
  <c r="C93" i="36" s="1"/>
  <c r="C94" i="36" s="1"/>
  <c r="C95" i="36" s="1"/>
  <c r="C96" i="36" s="1"/>
  <c r="C97" i="36" s="1"/>
  <c r="C98" i="36" s="1"/>
  <c r="C99" i="36" s="1"/>
  <c r="C100" i="36" s="1"/>
  <c r="C101" i="36" s="1"/>
  <c r="C102" i="36" s="1"/>
  <c r="C103" i="36" s="1"/>
  <c r="C104" i="36" s="1"/>
  <c r="C105" i="36" s="1"/>
  <c r="C106" i="36" s="1"/>
  <c r="C107" i="36" s="1"/>
  <c r="C108" i="36" s="1"/>
  <c r="C109" i="36" s="1"/>
  <c r="C110" i="36" s="1"/>
  <c r="C111" i="36" s="1"/>
  <c r="C112" i="36" s="1"/>
  <c r="C113" i="36" s="1"/>
  <c r="C114" i="36" s="1"/>
  <c r="C115" i="36" s="1"/>
  <c r="C116" i="36" s="1"/>
  <c r="C117" i="36" s="1"/>
  <c r="G87" i="36"/>
  <c r="F87" i="36"/>
  <c r="E83" i="36"/>
  <c r="D83" i="36"/>
  <c r="E82" i="36"/>
  <c r="D82" i="36"/>
  <c r="E81" i="36"/>
  <c r="D81" i="36"/>
  <c r="G80" i="36"/>
  <c r="F80" i="36"/>
  <c r="G79" i="36"/>
  <c r="F79" i="36"/>
  <c r="G78" i="36"/>
  <c r="F78" i="36"/>
  <c r="F77" i="36"/>
  <c r="F76" i="36"/>
  <c r="F75" i="36"/>
  <c r="F74" i="36"/>
  <c r="F73" i="36"/>
  <c r="F72" i="36"/>
  <c r="F71" i="36"/>
  <c r="F70" i="36"/>
  <c r="F69" i="36"/>
  <c r="F68" i="36"/>
  <c r="F67" i="36"/>
  <c r="F66" i="36"/>
  <c r="C66" i="36"/>
  <c r="C67" i="36" s="1"/>
  <c r="C68" i="36" s="1"/>
  <c r="C69" i="36" s="1"/>
  <c r="C70" i="36" s="1"/>
  <c r="C71" i="36" s="1"/>
  <c r="C72" i="36" s="1"/>
  <c r="C73" i="36" s="1"/>
  <c r="C74" i="36" s="1"/>
  <c r="C75" i="36" s="1"/>
  <c r="C76" i="36" s="1"/>
  <c r="C77" i="36" s="1"/>
  <c r="C78" i="36" s="1"/>
  <c r="C79" i="36" s="1"/>
  <c r="C80" i="36" s="1"/>
  <c r="C81" i="36" s="1"/>
  <c r="C82" i="36" s="1"/>
  <c r="C83" i="36" s="1"/>
  <c r="F65" i="36"/>
  <c r="G53" i="36"/>
  <c r="F53" i="36"/>
  <c r="E53" i="36"/>
  <c r="D53" i="36"/>
  <c r="F52" i="36"/>
  <c r="G51" i="36"/>
  <c r="F51" i="36"/>
  <c r="E51" i="36"/>
  <c r="D51" i="36"/>
  <c r="F50" i="36"/>
  <c r="F49" i="36"/>
  <c r="F48" i="36"/>
  <c r="F47" i="36"/>
  <c r="F46" i="36"/>
  <c r="D46" i="36"/>
  <c r="F45" i="36"/>
  <c r="F44" i="36"/>
  <c r="F43" i="36"/>
  <c r="F42" i="36"/>
  <c r="F41" i="36"/>
  <c r="F40" i="36"/>
  <c r="F39" i="36"/>
  <c r="D39" i="36"/>
  <c r="G38" i="36"/>
  <c r="F38" i="36"/>
  <c r="F37" i="36"/>
  <c r="F36" i="36"/>
  <c r="F35" i="36"/>
  <c r="F34" i="36"/>
  <c r="F33" i="36"/>
  <c r="F32" i="36"/>
  <c r="F31" i="36"/>
  <c r="F30" i="36"/>
  <c r="F29" i="36"/>
  <c r="G28" i="36"/>
  <c r="F28" i="36"/>
  <c r="E28" i="36"/>
  <c r="D28" i="36"/>
  <c r="F27" i="36"/>
  <c r="F26" i="36"/>
  <c r="F25" i="36"/>
  <c r="F24" i="36"/>
  <c r="F23" i="36"/>
  <c r="F22" i="36"/>
  <c r="F21" i="36"/>
  <c r="G20" i="36"/>
  <c r="F20" i="36"/>
  <c r="F19" i="36"/>
  <c r="F18" i="36"/>
  <c r="F17" i="36"/>
  <c r="F16" i="36"/>
  <c r="F15" i="36"/>
  <c r="F14" i="36"/>
  <c r="C14" i="36"/>
  <c r="C15" i="36" s="1"/>
  <c r="C16" i="36" s="1"/>
  <c r="C17" i="36" s="1"/>
  <c r="C19" i="36" s="1"/>
  <c r="C20" i="36" s="1"/>
  <c r="C21" i="36" s="1"/>
  <c r="C22" i="36" s="1"/>
  <c r="C23" i="36" s="1"/>
  <c r="C24" i="36" s="1"/>
  <c r="C25" i="36" s="1"/>
  <c r="C26" i="36" s="1"/>
  <c r="C27" i="36" s="1"/>
  <c r="C28" i="36" s="1"/>
  <c r="C29" i="36" s="1"/>
  <c r="C30" i="36" s="1"/>
  <c r="C31" i="36" s="1"/>
  <c r="C32" i="36" s="1"/>
  <c r="C33" i="36" s="1"/>
  <c r="C34" i="36" s="1"/>
  <c r="C35" i="36" s="1"/>
  <c r="C36" i="36" s="1"/>
  <c r="C37" i="36" s="1"/>
  <c r="C38" i="36" s="1"/>
  <c r="C39" i="36" s="1"/>
  <c r="C40" i="36" s="1"/>
  <c r="C41" i="36" s="1"/>
  <c r="C42" i="36" s="1"/>
  <c r="C43" i="36" s="1"/>
  <c r="C44" i="36" s="1"/>
  <c r="C45" i="36" s="1"/>
  <c r="C46" i="36" s="1"/>
  <c r="C47" i="36" s="1"/>
  <c r="C48" i="36" s="1"/>
  <c r="C49" i="36" s="1"/>
  <c r="C50" i="36" s="1"/>
  <c r="C51" i="36" s="1"/>
  <c r="C52" i="36" s="1"/>
  <c r="C53" i="36" s="1"/>
  <c r="F13" i="36"/>
  <c r="F12" i="36"/>
  <c r="C12" i="36"/>
  <c r="C13" i="36" s="1"/>
  <c r="G11" i="36"/>
  <c r="F11" i="36"/>
  <c r="E11" i="36"/>
  <c r="D11" i="36"/>
  <c r="C6" i="36"/>
  <c r="C7" i="36" s="1"/>
  <c r="K318" i="42"/>
  <c r="BN71" i="38"/>
  <c r="BJ253" i="42"/>
  <c r="AS252" i="42"/>
  <c r="AT253" i="42"/>
  <c r="BB252" i="42"/>
  <c r="BM252" i="42"/>
  <c r="BA252" i="42"/>
  <c r="BE249" i="42"/>
  <c r="AT249" i="42"/>
  <c r="BJ249" i="42"/>
  <c r="AW249" i="42"/>
  <c r="BM249" i="42"/>
  <c r="BB249" i="42"/>
  <c r="F67" i="37"/>
  <c r="AD301" i="39"/>
  <c r="Y89" i="38"/>
  <c r="H15" i="38"/>
  <c r="G143" i="41"/>
  <c r="H296" i="39"/>
  <c r="CH296" i="39" s="1"/>
  <c r="I249" i="42"/>
  <c r="I15" i="38"/>
  <c r="G249" i="42"/>
  <c r="G15" i="38"/>
  <c r="H249" i="42"/>
  <c r="E143" i="41"/>
  <c r="I143" i="41"/>
  <c r="E22" i="41"/>
  <c r="G22" i="41"/>
  <c r="S22" i="41"/>
  <c r="AA22" i="41"/>
  <c r="AI22" i="41"/>
  <c r="BP7" i="41"/>
  <c r="BN355" i="39"/>
  <c r="BN354" i="39"/>
  <c r="M217" i="38"/>
  <c r="M213" i="38"/>
  <c r="M189" i="38"/>
  <c r="M214" i="38"/>
  <c r="M218" i="38"/>
  <c r="BR163" i="38"/>
  <c r="BF163" i="38"/>
  <c r="BB163" i="38"/>
  <c r="BS163" i="38"/>
  <c r="BM163" i="38"/>
  <c r="AW163" i="38"/>
  <c r="AR163" i="38"/>
  <c r="BQ163" i="38"/>
  <c r="BL163" i="38"/>
  <c r="AV163" i="38"/>
  <c r="AQ163" i="38"/>
  <c r="AU163" i="38"/>
  <c r="U363" i="39"/>
  <c r="BE319" i="39"/>
  <c r="Y363" i="39"/>
  <c r="BI319" i="39"/>
  <c r="AG363" i="39"/>
  <c r="BQ319" i="39"/>
  <c r="BB325" i="39"/>
  <c r="AT339" i="39"/>
  <c r="BF355" i="39"/>
  <c r="AA91" i="38"/>
  <c r="AA183" i="38"/>
  <c r="AI183" i="38"/>
  <c r="AI91" i="38"/>
  <c r="KA2" i="43"/>
  <c r="AT134" i="38"/>
  <c r="AU135" i="38"/>
  <c r="BO163" i="38"/>
  <c r="V171" i="38"/>
  <c r="AR217" i="38"/>
  <c r="AR213" i="38"/>
  <c r="AR189" i="38"/>
  <c r="AR214" i="38"/>
  <c r="BM214" i="38"/>
  <c r="BM213" i="38"/>
  <c r="BM189" i="38"/>
  <c r="BM217" i="38"/>
  <c r="LA2" i="43"/>
  <c r="AT226" i="38"/>
  <c r="AU227" i="38"/>
  <c r="EF301" i="39"/>
  <c r="AD364" i="39"/>
  <c r="DZ308" i="39"/>
  <c r="EH308" i="39"/>
  <c r="AH364" i="39"/>
  <c r="AZ339" i="39"/>
  <c r="AW319" i="39"/>
  <c r="BM319" i="39"/>
  <c r="AV322" i="39"/>
  <c r="BR322" i="39"/>
  <c r="BB323" i="39"/>
  <c r="AS339" i="39"/>
  <c r="CY2" i="44"/>
  <c r="FU2" i="43"/>
  <c r="F84" i="37"/>
  <c r="CF199" i="41"/>
  <c r="BQ71" i="38"/>
  <c r="BE71" i="38"/>
  <c r="BA71" i="38"/>
  <c r="BO71" i="38"/>
  <c r="BG71" i="38"/>
  <c r="BP71" i="38"/>
  <c r="BL71" i="38"/>
  <c r="AZ71" i="38"/>
  <c r="AV71" i="38"/>
  <c r="BK71" i="38"/>
  <c r="BC71" i="38"/>
  <c r="BM339" i="39"/>
  <c r="I363" i="39"/>
  <c r="AS319" i="39"/>
  <c r="Q363" i="39"/>
  <c r="BA319" i="39"/>
  <c r="X176" i="42"/>
  <c r="T176" i="42"/>
  <c r="O151" i="42"/>
  <c r="K151" i="42"/>
  <c r="G151" i="42"/>
  <c r="F175" i="42"/>
  <c r="N151" i="42"/>
  <c r="J151" i="42"/>
  <c r="F151" i="42"/>
  <c r="BI9" i="43" s="1"/>
  <c r="AF196" i="42"/>
  <c r="K175" i="42"/>
  <c r="I151" i="42"/>
  <c r="DA9" i="42"/>
  <c r="CW9" i="42"/>
  <c r="CS9" i="42"/>
  <c r="CO9" i="42"/>
  <c r="CK9" i="42"/>
  <c r="CG9" i="42"/>
  <c r="CC9" i="42"/>
  <c r="BP9" i="42"/>
  <c r="BL9" i="42"/>
  <c r="BH9" i="42"/>
  <c r="BD9" i="42"/>
  <c r="AZ9" i="42"/>
  <c r="AV9" i="42"/>
  <c r="AR9" i="42"/>
  <c r="AI9" i="42"/>
  <c r="AE9" i="42"/>
  <c r="AA9" i="42"/>
  <c r="W9" i="42"/>
  <c r="S9" i="42"/>
  <c r="O9" i="42"/>
  <c r="K9" i="42"/>
  <c r="G9" i="42"/>
  <c r="AA176" i="42"/>
  <c r="P151" i="42"/>
  <c r="H151" i="42"/>
  <c r="CZ9" i="42"/>
  <c r="CV9" i="42"/>
  <c r="CR9" i="42"/>
  <c r="CN9" i="42"/>
  <c r="CJ9" i="42"/>
  <c r="CF9" i="42"/>
  <c r="CB9" i="42"/>
  <c r="BS9" i="42"/>
  <c r="BO9" i="42"/>
  <c r="BK9" i="42"/>
  <c r="BG9" i="42"/>
  <c r="BC9" i="42"/>
  <c r="AY9" i="42"/>
  <c r="AU9" i="42"/>
  <c r="AQ9" i="42"/>
  <c r="AH9" i="42"/>
  <c r="AD9" i="42"/>
  <c r="Z9" i="42"/>
  <c r="V9" i="42"/>
  <c r="R9" i="42"/>
  <c r="N9" i="42"/>
  <c r="J9" i="42"/>
  <c r="L151" i="42"/>
  <c r="CX9" i="42"/>
  <c r="CP9" i="42"/>
  <c r="CH9" i="42"/>
  <c r="BM9" i="42"/>
  <c r="BE9" i="42"/>
  <c r="AW9" i="42"/>
  <c r="AB9" i="42"/>
  <c r="T9" i="42"/>
  <c r="L9" i="42"/>
  <c r="AF200" i="42"/>
  <c r="DC9" i="42"/>
  <c r="CU9" i="42"/>
  <c r="CM9" i="42"/>
  <c r="CE9" i="42"/>
  <c r="BR9" i="42"/>
  <c r="BJ9" i="42"/>
  <c r="BB9" i="42"/>
  <c r="AT9" i="42"/>
  <c r="AG9" i="42"/>
  <c r="Y9" i="42"/>
  <c r="Q9" i="42"/>
  <c r="I9" i="42"/>
  <c r="M151" i="42"/>
  <c r="CQ9" i="42"/>
  <c r="CA9" i="42"/>
  <c r="BF9" i="42"/>
  <c r="U9" i="42"/>
  <c r="BV5" i="40"/>
  <c r="BV38" i="40"/>
  <c r="BR5" i="40"/>
  <c r="BR38" i="40" s="1"/>
  <c r="BN5" i="40"/>
  <c r="BN38" i="40"/>
  <c r="BJ5" i="40"/>
  <c r="BJ38" i="40" s="1"/>
  <c r="BF5" i="40"/>
  <c r="BF38" i="40"/>
  <c r="BB5" i="40"/>
  <c r="BB38" i="40" s="1"/>
  <c r="AX5" i="40"/>
  <c r="AX38" i="40"/>
  <c r="AT5" i="40"/>
  <c r="AT38" i="40" s="1"/>
  <c r="AG5" i="40"/>
  <c r="AG38" i="40"/>
  <c r="AC5" i="40"/>
  <c r="AC38" i="40" s="1"/>
  <c r="Y5" i="40"/>
  <c r="Y38" i="40"/>
  <c r="U5" i="40"/>
  <c r="U38" i="40" s="1"/>
  <c r="Q5" i="40"/>
  <c r="Q38" i="40"/>
  <c r="M5" i="40"/>
  <c r="M38" i="40" s="1"/>
  <c r="I5" i="40"/>
  <c r="I38" i="40"/>
  <c r="BT4" i="40"/>
  <c r="BP4" i="40"/>
  <c r="BL4" i="40"/>
  <c r="BH4" i="40"/>
  <c r="BD4" i="40"/>
  <c r="AZ4" i="40"/>
  <c r="AV4" i="40"/>
  <c r="AI4" i="40"/>
  <c r="AE4" i="40"/>
  <c r="AA4" i="40"/>
  <c r="W4" i="40"/>
  <c r="S4" i="40"/>
  <c r="O4" i="40"/>
  <c r="K4" i="40"/>
  <c r="DB9" i="42"/>
  <c r="CL9" i="42"/>
  <c r="BQ9" i="42"/>
  <c r="BA9" i="42"/>
  <c r="AF9" i="42"/>
  <c r="P9" i="42"/>
  <c r="BU5" i="40"/>
  <c r="BU38" i="40" s="1"/>
  <c r="BQ5" i="40"/>
  <c r="BQ38" i="40"/>
  <c r="BM5" i="40"/>
  <c r="BM38" i="40" s="1"/>
  <c r="BI5" i="40"/>
  <c r="BI38" i="40"/>
  <c r="BE5" i="40"/>
  <c r="BE38" i="40" s="1"/>
  <c r="BA5" i="40"/>
  <c r="BA38" i="40"/>
  <c r="AW5" i="40"/>
  <c r="AW38" i="40" s="1"/>
  <c r="AJ5" i="40"/>
  <c r="AJ38" i="40"/>
  <c r="AF5" i="40"/>
  <c r="AF38" i="40" s="1"/>
  <c r="AB5" i="40"/>
  <c r="AB38" i="40"/>
  <c r="X5" i="40"/>
  <c r="X38" i="40" s="1"/>
  <c r="T5" i="40"/>
  <c r="T38" i="40"/>
  <c r="P5" i="40"/>
  <c r="P38" i="40" s="1"/>
  <c r="L5" i="40"/>
  <c r="L38" i="40"/>
  <c r="H5" i="40"/>
  <c r="H38" i="40" s="1"/>
  <c r="BS4" i="40"/>
  <c r="BO4" i="40"/>
  <c r="BK4" i="40"/>
  <c r="BG4" i="40"/>
  <c r="BC4" i="40"/>
  <c r="AY4" i="40"/>
  <c r="AU4" i="40"/>
  <c r="AH4" i="40"/>
  <c r="AD4" i="40"/>
  <c r="Z4" i="40"/>
  <c r="V4" i="40"/>
  <c r="R4" i="40"/>
  <c r="N4" i="40"/>
  <c r="J4" i="40"/>
  <c r="CY9" i="42"/>
  <c r="BN9" i="42"/>
  <c r="AC9" i="42"/>
  <c r="BP5" i="40"/>
  <c r="BP38" i="40"/>
  <c r="BH5" i="40"/>
  <c r="BH38" i="40"/>
  <c r="AZ5" i="40"/>
  <c r="AZ38" i="40"/>
  <c r="AI5" i="40"/>
  <c r="AI38" i="40"/>
  <c r="AA5" i="40"/>
  <c r="AA38" i="40"/>
  <c r="S5" i="40"/>
  <c r="S38" i="40"/>
  <c r="K5" i="40"/>
  <c r="K38" i="40"/>
  <c r="BR4" i="40"/>
  <c r="BJ4" i="40"/>
  <c r="BB4" i="40"/>
  <c r="AT4" i="40"/>
  <c r="AC4" i="40"/>
  <c r="U4" i="40"/>
  <c r="M4" i="40"/>
  <c r="V176" i="42"/>
  <c r="CI9" i="42"/>
  <c r="AX9" i="42"/>
  <c r="M9" i="42"/>
  <c r="BT5" i="40"/>
  <c r="BT38" i="40" s="1"/>
  <c r="BL5" i="40"/>
  <c r="BL38" i="40"/>
  <c r="BD5" i="40"/>
  <c r="BD38" i="40" s="1"/>
  <c r="AV5" i="40"/>
  <c r="AV38" i="40"/>
  <c r="AE5" i="40"/>
  <c r="AE38" i="40" s="1"/>
  <c r="W5" i="40"/>
  <c r="W38" i="40"/>
  <c r="O5" i="40"/>
  <c r="O38" i="40" s="1"/>
  <c r="BV4" i="40"/>
  <c r="BN4" i="40"/>
  <c r="BF4" i="40"/>
  <c r="AX4" i="40"/>
  <c r="AG4" i="40"/>
  <c r="Y4" i="40"/>
  <c r="Q4" i="40"/>
  <c r="I4" i="40"/>
  <c r="BI9" i="42"/>
  <c r="BG5" i="40"/>
  <c r="BG38" i="40"/>
  <c r="AH5" i="40"/>
  <c r="AH38" i="40"/>
  <c r="R5" i="40"/>
  <c r="R38" i="40"/>
  <c r="BQ4" i="40"/>
  <c r="BA4" i="40"/>
  <c r="AB4" i="40"/>
  <c r="L4" i="40"/>
  <c r="CT9" i="42"/>
  <c r="X9" i="42"/>
  <c r="BO5" i="40"/>
  <c r="BO38" i="40"/>
  <c r="Z5" i="40"/>
  <c r="Z38" i="40"/>
  <c r="BI4" i="40"/>
  <c r="AJ4" i="40"/>
  <c r="CD9" i="42"/>
  <c r="AU5" i="40"/>
  <c r="AU38" i="40"/>
  <c r="BE4" i="40"/>
  <c r="P4" i="40"/>
  <c r="AS9" i="42"/>
  <c r="BS5" i="40"/>
  <c r="BS38" i="40"/>
  <c r="BC5" i="40"/>
  <c r="BC38" i="40"/>
  <c r="AD5" i="40"/>
  <c r="AD38" i="40"/>
  <c r="N5" i="40"/>
  <c r="N38" i="40"/>
  <c r="BM4" i="40"/>
  <c r="AW4" i="40"/>
  <c r="X4" i="40"/>
  <c r="H4" i="40"/>
  <c r="AY5" i="40"/>
  <c r="AY38" i="40"/>
  <c r="J5" i="40"/>
  <c r="J38" i="40"/>
  <c r="T4" i="40"/>
  <c r="H9" i="42"/>
  <c r="BK5" i="40"/>
  <c r="BK38" i="40"/>
  <c r="V5" i="40"/>
  <c r="V38" i="40"/>
  <c r="BU4" i="40"/>
  <c r="AF4" i="40"/>
  <c r="AI301" i="42"/>
  <c r="AE301" i="42"/>
  <c r="AA301" i="42"/>
  <c r="W301" i="42"/>
  <c r="S301" i="42"/>
  <c r="O301" i="42"/>
  <c r="K301" i="42"/>
  <c r="G301" i="42"/>
  <c r="AH301" i="42"/>
  <c r="AD301" i="42"/>
  <c r="Z301" i="42"/>
  <c r="V301" i="42"/>
  <c r="R301" i="42"/>
  <c r="N301" i="42"/>
  <c r="J301" i="42"/>
  <c r="AC301" i="42"/>
  <c r="U301" i="42"/>
  <c r="M301" i="42"/>
  <c r="AB301" i="42"/>
  <c r="T301" i="42"/>
  <c r="L301" i="42"/>
  <c r="AF301" i="42"/>
  <c r="P301" i="42"/>
  <c r="Y301" i="42"/>
  <c r="I301" i="42"/>
  <c r="Q301" i="42"/>
  <c r="T160" i="42"/>
  <c r="H301" i="42"/>
  <c r="X301" i="42"/>
  <c r="AF352" i="39"/>
  <c r="AB352" i="39"/>
  <c r="X352" i="39"/>
  <c r="T352" i="39"/>
  <c r="P352" i="39"/>
  <c r="L352" i="39"/>
  <c r="H352" i="39"/>
  <c r="AF171" i="38"/>
  <c r="AB171" i="38"/>
  <c r="X171" i="38"/>
  <c r="T171" i="38"/>
  <c r="P171" i="38"/>
  <c r="L171" i="38"/>
  <c r="H171" i="38"/>
  <c r="AE352" i="39"/>
  <c r="Z352" i="39"/>
  <c r="U352" i="39"/>
  <c r="O352" i="39"/>
  <c r="J352" i="39"/>
  <c r="AH352" i="39"/>
  <c r="AC352" i="39"/>
  <c r="W352" i="39"/>
  <c r="R352" i="39"/>
  <c r="M352" i="39"/>
  <c r="G352" i="39"/>
  <c r="AG352" i="39"/>
  <c r="V352" i="39"/>
  <c r="K352" i="39"/>
  <c r="AE171" i="38"/>
  <c r="Z171" i="38"/>
  <c r="U171" i="38"/>
  <c r="O171" i="38"/>
  <c r="J171" i="38"/>
  <c r="AI79" i="38"/>
  <c r="AE79" i="38"/>
  <c r="AA79" i="38"/>
  <c r="W79" i="38"/>
  <c r="S79" i="38"/>
  <c r="O79" i="38"/>
  <c r="K79" i="38"/>
  <c r="G79" i="38"/>
  <c r="Q352" i="39"/>
  <c r="AH171" i="38"/>
  <c r="W171" i="38"/>
  <c r="M171" i="38"/>
  <c r="G171" i="38"/>
  <c r="AC79" i="38"/>
  <c r="U79" i="38"/>
  <c r="M79" i="38"/>
  <c r="AG301" i="42"/>
  <c r="AD352" i="39"/>
  <c r="S352" i="39"/>
  <c r="I352" i="39"/>
  <c r="AI171" i="38"/>
  <c r="AD171" i="38"/>
  <c r="Y171" i="38"/>
  <c r="S171" i="38"/>
  <c r="N171" i="38"/>
  <c r="I171" i="38"/>
  <c r="AH79" i="38"/>
  <c r="AD79" i="38"/>
  <c r="Z79" i="38"/>
  <c r="V79" i="38"/>
  <c r="R79" i="38"/>
  <c r="N79" i="38"/>
  <c r="J79" i="38"/>
  <c r="AA352" i="39"/>
  <c r="AC171" i="38"/>
  <c r="R171" i="38"/>
  <c r="AG79" i="38"/>
  <c r="Y79" i="38"/>
  <c r="Q79" i="38"/>
  <c r="I79" i="38"/>
  <c r="BP217" i="38"/>
  <c r="BP213" i="38"/>
  <c r="BP189" i="38"/>
  <c r="BP214" i="38"/>
  <c r="BP218" i="38"/>
  <c r="BF71" i="38"/>
  <c r="H79" i="38"/>
  <c r="X79" i="38"/>
  <c r="AY163" i="38"/>
  <c r="AA171" i="38"/>
  <c r="AC217" i="38"/>
  <c r="AC213" i="38"/>
  <c r="AC189" i="38"/>
  <c r="AC214" i="38"/>
  <c r="AC218" i="38"/>
  <c r="L188" i="38"/>
  <c r="K188" i="38"/>
  <c r="AV188" i="38"/>
  <c r="AU188" i="38"/>
  <c r="AY203" i="38"/>
  <c r="AY202" i="38"/>
  <c r="AY193" i="38"/>
  <c r="AY206" i="38"/>
  <c r="AY197" i="38"/>
  <c r="AY196" i="38"/>
  <c r="AY205" i="38"/>
  <c r="AY204" i="38"/>
  <c r="AY195" i="38"/>
  <c r="AY194" i="38"/>
  <c r="AQ339" i="39"/>
  <c r="AU339" i="39"/>
  <c r="AY339" i="39"/>
  <c r="BC339" i="39"/>
  <c r="BG339" i="39"/>
  <c r="BK339" i="39"/>
  <c r="BO339" i="39"/>
  <c r="BS339" i="39"/>
  <c r="BP339" i="39"/>
  <c r="AX355" i="39"/>
  <c r="AX354" i="39"/>
  <c r="AG302" i="42"/>
  <c r="AC302" i="42"/>
  <c r="Y302" i="42"/>
  <c r="U302" i="42"/>
  <c r="Q302" i="42"/>
  <c r="M302" i="42"/>
  <c r="I302" i="42"/>
  <c r="AF302" i="42"/>
  <c r="AB302" i="42"/>
  <c r="X302" i="42"/>
  <c r="T302" i="42"/>
  <c r="P302" i="42"/>
  <c r="L302" i="42"/>
  <c r="H302" i="42"/>
  <c r="AE302" i="42"/>
  <c r="W302" i="42"/>
  <c r="O302" i="42"/>
  <c r="G302" i="42"/>
  <c r="T262" i="42"/>
  <c r="AD302" i="42"/>
  <c r="V302" i="42"/>
  <c r="N302" i="42"/>
  <c r="AA302" i="42"/>
  <c r="K302" i="42"/>
  <c r="Z302" i="42"/>
  <c r="J302" i="42"/>
  <c r="U160" i="42"/>
  <c r="R302" i="42"/>
  <c r="AI302" i="42"/>
  <c r="AH302" i="42"/>
  <c r="S302" i="42"/>
  <c r="CP2" i="44"/>
  <c r="FI2" i="43"/>
  <c r="F296" i="42"/>
  <c r="F69" i="37"/>
  <c r="AS176" i="42"/>
  <c r="AT71" i="38"/>
  <c r="BJ71" i="38"/>
  <c r="L79" i="38"/>
  <c r="AB79" i="38"/>
  <c r="O96" i="38"/>
  <c r="P96" i="38"/>
  <c r="J96" i="38"/>
  <c r="BD163" i="38"/>
  <c r="K171" i="38"/>
  <c r="AG171" i="38"/>
  <c r="BH217" i="38"/>
  <c r="BH213" i="38"/>
  <c r="BH189" i="38"/>
  <c r="BH214" i="38"/>
  <c r="AE183" i="38"/>
  <c r="AF163" i="38"/>
  <c r="AB163" i="38"/>
  <c r="X163" i="38"/>
  <c r="T163" i="38"/>
  <c r="P163" i="38"/>
  <c r="L163" i="38"/>
  <c r="H163" i="38"/>
  <c r="AG163" i="38"/>
  <c r="AA163" i="38"/>
  <c r="V163" i="38"/>
  <c r="Q163" i="38"/>
  <c r="K163" i="38"/>
  <c r="AI163" i="38"/>
  <c r="Y163" i="38"/>
  <c r="N163" i="38"/>
  <c r="I163" i="38"/>
  <c r="AE163" i="38"/>
  <c r="Z163" i="38"/>
  <c r="U163" i="38"/>
  <c r="O163" i="38"/>
  <c r="J163" i="38"/>
  <c r="AD163" i="38"/>
  <c r="S163" i="38"/>
  <c r="BH218" i="38"/>
  <c r="AR339" i="39"/>
  <c r="AV339" i="39"/>
  <c r="BH339" i="39"/>
  <c r="BL339" i="39"/>
  <c r="G361" i="39"/>
  <c r="AQ320" i="39"/>
  <c r="K361" i="39"/>
  <c r="AU320" i="39"/>
  <c r="S361" i="39"/>
  <c r="BC320" i="39"/>
  <c r="W361" i="39"/>
  <c r="BG320" i="39"/>
  <c r="AA361" i="39"/>
  <c r="BK320" i="39"/>
  <c r="AI361" i="39"/>
  <c r="BS320" i="39"/>
  <c r="BE339" i="39"/>
  <c r="BJ320" i="39"/>
  <c r="BG322" i="39"/>
  <c r="BD339" i="39"/>
  <c r="N352" i="39"/>
  <c r="V20" i="41"/>
  <c r="M100" i="42"/>
  <c r="CG96" i="42"/>
  <c r="M103" i="42"/>
  <c r="Q99" i="41"/>
  <c r="AC100" i="42"/>
  <c r="CW96" i="42"/>
  <c r="AC103" i="42"/>
  <c r="AW99" i="41"/>
  <c r="CB108" i="42"/>
  <c r="BH111" i="41"/>
  <c r="G111" i="41"/>
  <c r="H109" i="42"/>
  <c r="CF108" i="42"/>
  <c r="O111" i="41"/>
  <c r="L109" i="42"/>
  <c r="CN108" i="42"/>
  <c r="AE111" i="41"/>
  <c r="T109" i="42"/>
  <c r="CR108" i="42"/>
  <c r="AM111" i="41"/>
  <c r="X109" i="42"/>
  <c r="CV108" i="42"/>
  <c r="AU111" i="41"/>
  <c r="AB109" i="42"/>
  <c r="CZ108" i="42"/>
  <c r="BC111" i="41"/>
  <c r="AF109" i="42"/>
  <c r="AY218" i="38"/>
  <c r="BD218" i="38"/>
  <c r="BO218" i="38"/>
  <c r="CH2" i="44"/>
  <c r="KO2" i="43"/>
  <c r="I226" i="38"/>
  <c r="AI353" i="39"/>
  <c r="AE353" i="39"/>
  <c r="AA353" i="39"/>
  <c r="W353" i="39"/>
  <c r="S353" i="39"/>
  <c r="O353" i="39"/>
  <c r="K353" i="39"/>
  <c r="G353" i="39"/>
  <c r="AH353" i="39"/>
  <c r="AC353" i="39"/>
  <c r="X353" i="39"/>
  <c r="R353" i="39"/>
  <c r="M353" i="39"/>
  <c r="H353" i="39"/>
  <c r="AF353" i="39"/>
  <c r="Z353" i="39"/>
  <c r="U353" i="39"/>
  <c r="P353" i="39"/>
  <c r="J353" i="39"/>
  <c r="G365" i="39"/>
  <c r="BQ322" i="39"/>
  <c r="BQ325" i="39" s="1"/>
  <c r="BM322" i="39"/>
  <c r="BI322" i="39"/>
  <c r="BI323" i="39"/>
  <c r="BE322" i="39"/>
  <c r="BE325" i="39"/>
  <c r="BA322" i="39"/>
  <c r="BA325" i="39"/>
  <c r="AW322" i="39"/>
  <c r="AS322" i="39"/>
  <c r="AS325" i="39" s="1"/>
  <c r="AS323" i="39"/>
  <c r="AV325" i="39"/>
  <c r="BG323" i="39"/>
  <c r="AX319" i="39"/>
  <c r="AZ320" i="39"/>
  <c r="AR322" i="39"/>
  <c r="AR325" i="39" s="1"/>
  <c r="BC322" i="39"/>
  <c r="BN322" i="39"/>
  <c r="BN323" i="39" s="1"/>
  <c r="T353" i="39"/>
  <c r="L361" i="39"/>
  <c r="AG361" i="39"/>
  <c r="G363" i="39"/>
  <c r="R363" i="39"/>
  <c r="AX16" i="42"/>
  <c r="AX19" i="42"/>
  <c r="T18" i="41" s="1"/>
  <c r="T124" i="41" s="1"/>
  <c r="BF16" i="42"/>
  <c r="BF19" i="42"/>
  <c r="AJ18" i="41"/>
  <c r="BR16" i="42"/>
  <c r="AX11" i="41"/>
  <c r="AX119" i="41" s="1"/>
  <c r="AX135" i="41" s="1"/>
  <c r="BR19" i="42"/>
  <c r="AX18" i="41"/>
  <c r="X23" i="41"/>
  <c r="X125" i="41" s="1"/>
  <c r="AZ25" i="42"/>
  <c r="X24" i="41" s="1"/>
  <c r="AV23" i="41"/>
  <c r="AV125" i="41" s="1"/>
  <c r="BP25" i="42"/>
  <c r="AV24" i="41" s="1"/>
  <c r="G40" i="42"/>
  <c r="G37" i="42"/>
  <c r="CA33" i="42"/>
  <c r="E33" i="41"/>
  <c r="CI33" i="42"/>
  <c r="O37" i="42"/>
  <c r="U33" i="41"/>
  <c r="O40" i="42"/>
  <c r="W40" i="42"/>
  <c r="W37" i="42"/>
  <c r="CQ33" i="42"/>
  <c r="AK33" i="41"/>
  <c r="W46" i="42"/>
  <c r="CY33" i="42"/>
  <c r="BA33" i="41"/>
  <c r="AE40" i="42"/>
  <c r="AE37" i="42"/>
  <c r="CX61" i="42"/>
  <c r="AY62" i="41"/>
  <c r="J186" i="42"/>
  <c r="EW2" i="44" s="1"/>
  <c r="J180" i="42"/>
  <c r="HX2" i="43" s="1"/>
  <c r="AA179" i="42"/>
  <c r="V179" i="42"/>
  <c r="O179" i="42"/>
  <c r="O175" i="42"/>
  <c r="AF199" i="42"/>
  <c r="J185" i="42"/>
  <c r="S41" i="38" s="1"/>
  <c r="Y179" i="42"/>
  <c r="U179" i="42"/>
  <c r="AG199" i="42" s="1"/>
  <c r="J179" i="42"/>
  <c r="O178" i="42"/>
  <c r="FC2" i="44" s="1"/>
  <c r="O180" i="42"/>
  <c r="FH2" i="44" s="1"/>
  <c r="W179" i="42"/>
  <c r="AH199" i="42" s="1"/>
  <c r="J178" i="42"/>
  <c r="GX2" i="43" s="1"/>
  <c r="J177" i="42"/>
  <c r="S38" i="38" s="1"/>
  <c r="J181" i="42"/>
  <c r="HE2" i="43" s="1"/>
  <c r="T179" i="42"/>
  <c r="O177" i="42"/>
  <c r="EC2" i="43" s="1"/>
  <c r="J176" i="42"/>
  <c r="DX2" i="43" s="1"/>
  <c r="J175" i="42"/>
  <c r="J187" i="42"/>
  <c r="X179" i="42"/>
  <c r="O176" i="42"/>
  <c r="W37" i="38" s="1"/>
  <c r="AF203" i="42"/>
  <c r="G68" i="37"/>
  <c r="CW2" i="44"/>
  <c r="FS2" i="43"/>
  <c r="DA2" i="44"/>
  <c r="FW2" i="43"/>
  <c r="E89" i="37"/>
  <c r="Q36" i="38"/>
  <c r="V36" i="38"/>
  <c r="BT66" i="38"/>
  <c r="I80" i="38"/>
  <c r="M80" i="38"/>
  <c r="Q80" i="38"/>
  <c r="U80" i="38"/>
  <c r="Y80" i="38"/>
  <c r="AC80" i="38"/>
  <c r="AG80" i="38"/>
  <c r="AD91" i="38"/>
  <c r="AH91" i="38"/>
  <c r="I134" i="38"/>
  <c r="AJ158" i="38"/>
  <c r="L172" i="38"/>
  <c r="Q172" i="38"/>
  <c r="V172" i="38"/>
  <c r="AB172" i="38"/>
  <c r="AG172" i="38"/>
  <c r="I173" i="38"/>
  <c r="O173" i="38"/>
  <c r="T173" i="38"/>
  <c r="Y173" i="38"/>
  <c r="AE173" i="38"/>
  <c r="AQ173" i="38"/>
  <c r="AV173" i="38"/>
  <c r="BB173" i="38"/>
  <c r="BG173" i="38"/>
  <c r="BL173" i="38"/>
  <c r="BR173" i="38"/>
  <c r="J174" i="38"/>
  <c r="O174" i="38"/>
  <c r="U174" i="38"/>
  <c r="Z174" i="38"/>
  <c r="AE174" i="38"/>
  <c r="AR174" i="38"/>
  <c r="AW174" i="38"/>
  <c r="BB174" i="38"/>
  <c r="BH174" i="38"/>
  <c r="BM174" i="38"/>
  <c r="BR174" i="38"/>
  <c r="K175" i="38"/>
  <c r="P175" i="38"/>
  <c r="U175" i="38"/>
  <c r="AA175" i="38"/>
  <c r="AF175" i="38"/>
  <c r="AU175" i="38"/>
  <c r="AZ175" i="38"/>
  <c r="BE175" i="38"/>
  <c r="BK175" i="38"/>
  <c r="T189" i="38"/>
  <c r="AY214" i="38"/>
  <c r="BO214" i="38"/>
  <c r="AY217" i="38"/>
  <c r="BO217" i="38"/>
  <c r="AS320" i="39"/>
  <c r="AW320" i="39"/>
  <c r="M361" i="39"/>
  <c r="BA320" i="39"/>
  <c r="BE320" i="39"/>
  <c r="U361" i="39"/>
  <c r="BI320" i="39"/>
  <c r="BM320" i="39"/>
  <c r="AC361" i="39"/>
  <c r="BQ320" i="39"/>
  <c r="DV308" i="39"/>
  <c r="BC323" i="39"/>
  <c r="AT319" i="39"/>
  <c r="BL320" i="39"/>
  <c r="BR320" i="39"/>
  <c r="AT322" i="39"/>
  <c r="AT325" i="39" s="1"/>
  <c r="AY322" i="39"/>
  <c r="AY325" i="39" s="1"/>
  <c r="BD322" i="39"/>
  <c r="BD323" i="39" s="1"/>
  <c r="BJ322" i="39"/>
  <c r="BJ325" i="39" s="1"/>
  <c r="BO322" i="39"/>
  <c r="BO323" i="39" s="1"/>
  <c r="BE323" i="39"/>
  <c r="BC325" i="39"/>
  <c r="MZ2" i="43"/>
  <c r="K408" i="39"/>
  <c r="L409" i="39"/>
  <c r="AJ339" i="39"/>
  <c r="BA339" i="39"/>
  <c r="BQ339" i="39"/>
  <c r="L353" i="39"/>
  <c r="V353" i="39"/>
  <c r="AG353" i="39"/>
  <c r="N361" i="39"/>
  <c r="Y361" i="39"/>
  <c r="H369" i="39"/>
  <c r="G408" i="39"/>
  <c r="H122" i="41"/>
  <c r="H139" i="41" s="1"/>
  <c r="L122" i="41"/>
  <c r="L139" i="41" s="1"/>
  <c r="P122" i="41"/>
  <c r="P139" i="41" s="1"/>
  <c r="T122" i="41"/>
  <c r="T139" i="41" s="1"/>
  <c r="X122" i="41"/>
  <c r="X139" i="41" s="1"/>
  <c r="AB122" i="41"/>
  <c r="AB139" i="41" s="1"/>
  <c r="AF122" i="41"/>
  <c r="AF139" i="41" s="1"/>
  <c r="AJ122" i="41"/>
  <c r="AJ139" i="41" s="1"/>
  <c r="AN122" i="41"/>
  <c r="AN139" i="41" s="1"/>
  <c r="AR122" i="41"/>
  <c r="AR139" i="41" s="1"/>
  <c r="AV122" i="41"/>
  <c r="AV139" i="41" s="1"/>
  <c r="BD122" i="41"/>
  <c r="BD139" i="41" s="1"/>
  <c r="BH122" i="41"/>
  <c r="BH139" i="41" s="1"/>
  <c r="F20" i="41"/>
  <c r="BL25" i="42"/>
  <c r="AR24" i="41"/>
  <c r="CD66" i="42"/>
  <c r="J67" i="42"/>
  <c r="K67" i="41"/>
  <c r="CH66" i="42"/>
  <c r="S67" i="41"/>
  <c r="N67" i="42"/>
  <c r="CL66" i="42"/>
  <c r="R67" i="42"/>
  <c r="AA67" i="41"/>
  <c r="CP66" i="42"/>
  <c r="AI67" i="41"/>
  <c r="CT66" i="42"/>
  <c r="Z67" i="42"/>
  <c r="AQ67" i="41"/>
  <c r="CX66" i="42"/>
  <c r="AY67" i="41"/>
  <c r="AD67" i="42"/>
  <c r="DB66" i="42"/>
  <c r="AH67" i="42"/>
  <c r="BG67" i="41"/>
  <c r="CC67" i="42"/>
  <c r="I68" i="41"/>
  <c r="V67" i="42"/>
  <c r="CW88" i="42"/>
  <c r="AW90" i="41"/>
  <c r="I100" i="42"/>
  <c r="CC96" i="42"/>
  <c r="I103" i="42"/>
  <c r="I99" i="41"/>
  <c r="Q100" i="42"/>
  <c r="CK96" i="42"/>
  <c r="Q103" i="42"/>
  <c r="Y99" i="41"/>
  <c r="U100" i="42"/>
  <c r="CO96" i="42"/>
  <c r="U103" i="42"/>
  <c r="AG99" i="41"/>
  <c r="Y100" i="42"/>
  <c r="CS96" i="42"/>
  <c r="Y103" i="42"/>
  <c r="AO99" i="41"/>
  <c r="AG100" i="42"/>
  <c r="DA96" i="42"/>
  <c r="AG103" i="42"/>
  <c r="BE99" i="41"/>
  <c r="CJ108" i="42"/>
  <c r="W111" i="41"/>
  <c r="P109" i="42"/>
  <c r="BR253" i="42"/>
  <c r="AF202" i="42"/>
  <c r="G185" i="42"/>
  <c r="H181" i="42"/>
  <c r="DZ2" i="44" s="1"/>
  <c r="G179" i="42"/>
  <c r="L178" i="42"/>
  <c r="DQ2" i="44" s="1"/>
  <c r="H178" i="42"/>
  <c r="GR2" i="43" s="1"/>
  <c r="M177" i="42"/>
  <c r="M176" i="42"/>
  <c r="OH2" i="43" s="1"/>
  <c r="I175" i="42"/>
  <c r="BW125" i="42"/>
  <c r="AJ125" i="42"/>
  <c r="AJ290" i="39"/>
  <c r="EL290" i="39" s="1"/>
  <c r="DD93" i="42"/>
  <c r="DF72" i="42"/>
  <c r="BT72" i="42"/>
  <c r="BW51" i="42"/>
  <c r="AJ51" i="42"/>
  <c r="H187" i="42"/>
  <c r="DS2" i="44" s="1"/>
  <c r="G181" i="42"/>
  <c r="M180" i="42"/>
  <c r="HU2" i="43" s="1"/>
  <c r="AA178" i="42"/>
  <c r="V178" i="42"/>
  <c r="G178" i="42"/>
  <c r="DO2" i="44" s="1"/>
  <c r="L177" i="42"/>
  <c r="AS357" i="42" s="1"/>
  <c r="H177" i="42"/>
  <c r="Q38" i="38" s="1"/>
  <c r="L176" i="42"/>
  <c r="H176" i="42"/>
  <c r="AX2" i="44" s="1"/>
  <c r="N175" i="42"/>
  <c r="B147" i="42"/>
  <c r="DF125" i="42"/>
  <c r="BT125" i="42"/>
  <c r="AM93" i="42"/>
  <c r="DD72" i="42"/>
  <c r="DF51" i="42"/>
  <c r="BT51" i="42"/>
  <c r="AF198" i="42"/>
  <c r="H185" i="42"/>
  <c r="DM2" i="43" s="1"/>
  <c r="G180" i="42"/>
  <c r="L179" i="42"/>
  <c r="T178" i="42"/>
  <c r="AM125" i="42"/>
  <c r="AM290" i="39"/>
  <c r="EP290" i="39" s="1"/>
  <c r="BW93" i="42"/>
  <c r="AJ93" i="42"/>
  <c r="BW30" i="42"/>
  <c r="AJ30" i="42"/>
  <c r="DF9" i="42"/>
  <c r="BT9" i="42"/>
  <c r="BX175" i="41"/>
  <c r="BP117" i="41"/>
  <c r="BP95" i="41"/>
  <c r="H186" i="42"/>
  <c r="DO2" i="43" s="1"/>
  <c r="L180" i="42"/>
  <c r="G177" i="42"/>
  <c r="DH2" i="43" s="1"/>
  <c r="DD125" i="42"/>
  <c r="DF93" i="42"/>
  <c r="BT93" i="42"/>
  <c r="AM51" i="42"/>
  <c r="DF30" i="42"/>
  <c r="BT30" i="42"/>
  <c r="DD9" i="42"/>
  <c r="BV175" i="41"/>
  <c r="BX168" i="41"/>
  <c r="B159" i="41"/>
  <c r="BP133" i="41"/>
  <c r="H179" i="42"/>
  <c r="EF2" i="44" s="1"/>
  <c r="AM72" i="42"/>
  <c r="AM30" i="42"/>
  <c r="BW9" i="42"/>
  <c r="AJ9" i="42"/>
  <c r="BV168" i="41"/>
  <c r="BP73" i="41"/>
  <c r="BP29" i="41"/>
  <c r="G187" i="42"/>
  <c r="BW72" i="42"/>
  <c r="AJ72" i="42"/>
  <c r="DD30" i="42"/>
  <c r="BK133" i="41"/>
  <c r="BK7" i="41"/>
  <c r="BK117" i="41" s="1"/>
  <c r="X178" i="42"/>
  <c r="AM9" i="42"/>
  <c r="H180" i="42"/>
  <c r="HT2" i="43" s="1"/>
  <c r="DD51" i="42"/>
  <c r="G186" i="42"/>
  <c r="AU2" i="44" s="1"/>
  <c r="G176" i="42"/>
  <c r="DF2" i="43"/>
  <c r="BP51" i="41"/>
  <c r="K420" i="42"/>
  <c r="AQ420" i="42"/>
  <c r="AJ288" i="42"/>
  <c r="AP355" i="42"/>
  <c r="BD355" i="42"/>
  <c r="N418" i="42"/>
  <c r="R435" i="42"/>
  <c r="AF208" i="42"/>
  <c r="G357" i="42"/>
  <c r="AF201" i="42"/>
  <c r="BT288" i="42"/>
  <c r="AF209" i="42"/>
  <c r="X177" i="42"/>
  <c r="T177" i="42"/>
  <c r="AW176" i="42"/>
  <c r="AH209" i="42" s="1"/>
  <c r="BT128" i="42"/>
  <c r="W177" i="42"/>
  <c r="AD177" i="42" s="1"/>
  <c r="AI197" i="42" s="1"/>
  <c r="AV176" i="42"/>
  <c r="AR176" i="42"/>
  <c r="AO147" i="42"/>
  <c r="AF197" i="42"/>
  <c r="AA177" i="42"/>
  <c r="AY176" i="42"/>
  <c r="BZ168" i="41"/>
  <c r="G355" i="42"/>
  <c r="U355" i="42"/>
  <c r="Y177" i="42"/>
  <c r="AH201" i="42" s="1"/>
  <c r="AU176" i="42"/>
  <c r="AH208" i="42" s="1"/>
  <c r="AP357" i="42"/>
  <c r="AT176" i="42"/>
  <c r="V177" i="42"/>
  <c r="L174" i="42"/>
  <c r="J328" i="39"/>
  <c r="BZ175" i="41"/>
  <c r="AT418" i="42"/>
  <c r="AX435" i="42" s="1"/>
  <c r="U177" i="42"/>
  <c r="AG197" i="42" s="1"/>
  <c r="BW128" i="42"/>
  <c r="OM2" i="43"/>
  <c r="OE2" i="43"/>
  <c r="OA2" i="43"/>
  <c r="OG2" i="43"/>
  <c r="NY2" i="43"/>
  <c r="OK2" i="43"/>
  <c r="BY170" i="41"/>
  <c r="BV167" i="41"/>
  <c r="CL188" i="41"/>
  <c r="BW177" i="41"/>
  <c r="BY177" i="41"/>
  <c r="BV174" i="41"/>
  <c r="BW170" i="41"/>
  <c r="AW134" i="38"/>
  <c r="L134" i="38"/>
  <c r="CX2" i="44"/>
  <c r="FT2" i="43"/>
  <c r="DB2" i="44"/>
  <c r="FX2" i="43"/>
  <c r="U36" i="38"/>
  <c r="Y217" i="38"/>
  <c r="Y213" i="38"/>
  <c r="Y189" i="38"/>
  <c r="BD217" i="38"/>
  <c r="BD213" i="38"/>
  <c r="BD189" i="38"/>
  <c r="T213" i="38"/>
  <c r="AW226" i="38"/>
  <c r="AA363" i="39"/>
  <c r="K363" i="39"/>
  <c r="Z361" i="39"/>
  <c r="J361" i="39"/>
  <c r="AI363" i="39"/>
  <c r="S363" i="39"/>
  <c r="AH361" i="39"/>
  <c r="R361" i="39"/>
  <c r="BN319" i="39"/>
  <c r="BF320" i="39"/>
  <c r="BP320" i="39"/>
  <c r="AX322" i="39"/>
  <c r="AX323" i="39" s="1"/>
  <c r="BH322" i="39"/>
  <c r="BH325" i="39" s="1"/>
  <c r="BS322" i="39"/>
  <c r="BS323" i="39" s="1"/>
  <c r="BG325" i="39"/>
  <c r="I353" i="39"/>
  <c r="AD353" i="39"/>
  <c r="V361" i="39"/>
  <c r="AB363" i="39"/>
  <c r="G406" i="39"/>
  <c r="Q406" i="39"/>
  <c r="L15" i="41"/>
  <c r="BB16" i="42"/>
  <c r="BB19" i="42"/>
  <c r="AB18" i="41" s="1"/>
  <c r="BJ16" i="42"/>
  <c r="AP11" i="41"/>
  <c r="AP119" i="41" s="1"/>
  <c r="AP135" i="41" s="1"/>
  <c r="BJ19" i="42"/>
  <c r="AP18" i="41" s="1"/>
  <c r="BN16" i="42"/>
  <c r="BN19" i="42"/>
  <c r="AT18" i="41"/>
  <c r="AT11" i="41"/>
  <c r="AT119" i="41" s="1"/>
  <c r="AT135" i="41" s="1"/>
  <c r="AT19" i="42"/>
  <c r="L18" i="41"/>
  <c r="H23" i="41"/>
  <c r="H125" i="41" s="1"/>
  <c r="AR25" i="42"/>
  <c r="H24" i="41" s="1"/>
  <c r="P23" i="41"/>
  <c r="P125" i="41" s="1"/>
  <c r="AV25" i="42"/>
  <c r="P24" i="41"/>
  <c r="AF23" i="41"/>
  <c r="AF125" i="41" s="1"/>
  <c r="BD25" i="42"/>
  <c r="AF24" i="41" s="1"/>
  <c r="AN23" i="41"/>
  <c r="AN125" i="41" s="1"/>
  <c r="BH25" i="42"/>
  <c r="AN24" i="41"/>
  <c r="CE33" i="42"/>
  <c r="K40" i="42"/>
  <c r="K37" i="42"/>
  <c r="M33" i="41"/>
  <c r="CM33" i="42"/>
  <c r="AC33" i="41"/>
  <c r="S40" i="42"/>
  <c r="S37" i="42"/>
  <c r="CU33" i="42"/>
  <c r="AA40" i="42"/>
  <c r="AA37" i="42"/>
  <c r="AS33" i="41"/>
  <c r="DC33" i="42"/>
  <c r="AI40" i="42"/>
  <c r="BI33" i="41"/>
  <c r="AI37" i="42"/>
  <c r="CC61" i="42"/>
  <c r="I62" i="41"/>
  <c r="F82" i="37"/>
  <c r="CF197" i="41"/>
  <c r="CZ2" i="44"/>
  <c r="FV2" i="43"/>
  <c r="F86" i="37"/>
  <c r="CF201" i="41"/>
  <c r="B31" i="38"/>
  <c r="AP224" i="38"/>
  <c r="BD224" i="38" s="1"/>
  <c r="BR175" i="38"/>
  <c r="BN175" i="38"/>
  <c r="BJ175" i="38"/>
  <c r="BF175" i="38"/>
  <c r="BB175" i="38"/>
  <c r="AX175" i="38"/>
  <c r="AT175" i="38"/>
  <c r="AH175" i="38"/>
  <c r="AD175" i="38"/>
  <c r="Z175" i="38"/>
  <c r="V175" i="38"/>
  <c r="R175" i="38"/>
  <c r="N175" i="38"/>
  <c r="J175" i="38"/>
  <c r="BS174" i="38"/>
  <c r="BO174" i="38"/>
  <c r="BK174" i="38"/>
  <c r="BG174" i="38"/>
  <c r="BC174" i="38"/>
  <c r="AY174" i="38"/>
  <c r="AY198" i="38" s="1"/>
  <c r="AU174" i="38"/>
  <c r="AQ174" i="38"/>
  <c r="AQ198" i="38" s="1"/>
  <c r="AF174" i="38"/>
  <c r="AF208" i="38" s="1"/>
  <c r="AB174" i="38"/>
  <c r="X174" i="38"/>
  <c r="T174" i="38"/>
  <c r="P174" i="38"/>
  <c r="P199" i="38" s="1"/>
  <c r="L174" i="38"/>
  <c r="H174" i="38"/>
  <c r="BQ173" i="38"/>
  <c r="BM173" i="38"/>
  <c r="BI173" i="38"/>
  <c r="BE173" i="38"/>
  <c r="BA173" i="38"/>
  <c r="AW173" i="38"/>
  <c r="AS173" i="38"/>
  <c r="AH173" i="38"/>
  <c r="AD173" i="38"/>
  <c r="Z173" i="38"/>
  <c r="V173" i="38"/>
  <c r="R173" i="38"/>
  <c r="N173" i="38"/>
  <c r="J173" i="38"/>
  <c r="AI172" i="38"/>
  <c r="AE172" i="38"/>
  <c r="AA172" i="38"/>
  <c r="W172" i="38"/>
  <c r="S172" i="38"/>
  <c r="O172" i="38"/>
  <c r="K172" i="38"/>
  <c r="G172" i="38"/>
  <c r="R36" i="38"/>
  <c r="W36" i="38"/>
  <c r="J80" i="38"/>
  <c r="N80" i="38"/>
  <c r="R80" i="38"/>
  <c r="V80" i="38"/>
  <c r="Z80" i="38"/>
  <c r="AD80" i="38"/>
  <c r="AH80" i="38"/>
  <c r="AP132" i="38"/>
  <c r="AZ132" i="38"/>
  <c r="AP134" i="38"/>
  <c r="J135" i="38"/>
  <c r="BT158" i="38"/>
  <c r="H172" i="38"/>
  <c r="M172" i="38"/>
  <c r="R172" i="38"/>
  <c r="X172" i="38"/>
  <c r="AC172" i="38"/>
  <c r="AH172" i="38"/>
  <c r="K173" i="38"/>
  <c r="P173" i="38"/>
  <c r="U173" i="38"/>
  <c r="AA173" i="38"/>
  <c r="AF173" i="38"/>
  <c r="AR173" i="38"/>
  <c r="AX173" i="38"/>
  <c r="BC173" i="38"/>
  <c r="BH173" i="38"/>
  <c r="BN173" i="38"/>
  <c r="BS173" i="38"/>
  <c r="K174" i="38"/>
  <c r="Q174" i="38"/>
  <c r="V174" i="38"/>
  <c r="AA174" i="38"/>
  <c r="AA199" i="38" s="1"/>
  <c r="AG174" i="38"/>
  <c r="AS174" i="38"/>
  <c r="AX174" i="38"/>
  <c r="BD174" i="38"/>
  <c r="BI174" i="38"/>
  <c r="BN174" i="38"/>
  <c r="G175" i="38"/>
  <c r="L175" i="38"/>
  <c r="Q175" i="38"/>
  <c r="W175" i="38"/>
  <c r="AB175" i="38"/>
  <c r="AG175" i="38"/>
  <c r="AQ175" i="38"/>
  <c r="AV175" i="38"/>
  <c r="BA175" i="38"/>
  <c r="BG175" i="38"/>
  <c r="BL175" i="38"/>
  <c r="BQ175" i="38"/>
  <c r="Y218" i="38"/>
  <c r="AP226" i="38"/>
  <c r="J227" i="38"/>
  <c r="H363" i="39"/>
  <c r="P363" i="39"/>
  <c r="X363" i="39"/>
  <c r="AF363" i="39"/>
  <c r="AY323" i="39"/>
  <c r="AV319" i="39"/>
  <c r="BF319" i="39"/>
  <c r="AR320" i="39"/>
  <c r="AX320" i="39"/>
  <c r="BH320" i="39"/>
  <c r="BN320" i="39"/>
  <c r="AU322" i="39"/>
  <c r="AU325" i="39" s="1"/>
  <c r="AZ322" i="39"/>
  <c r="AZ325" i="39" s="1"/>
  <c r="BF322" i="39"/>
  <c r="BF323" i="39" s="1"/>
  <c r="BK322" i="39"/>
  <c r="BK323" i="39" s="1"/>
  <c r="BP322" i="39"/>
  <c r="BP325" i="39" s="1"/>
  <c r="AV323" i="39"/>
  <c r="AY369" i="39"/>
  <c r="AZ369" i="39"/>
  <c r="AT369" i="39"/>
  <c r="AW408" i="39"/>
  <c r="NL2" i="43"/>
  <c r="AT408" i="39"/>
  <c r="AU409" i="39"/>
  <c r="N353" i="39"/>
  <c r="Y353" i="39"/>
  <c r="Q361" i="39"/>
  <c r="W363" i="39"/>
  <c r="AP408" i="39"/>
  <c r="B40" i="40"/>
  <c r="B8" i="40"/>
  <c r="AL20" i="41"/>
  <c r="G46" i="42"/>
  <c r="J79" i="42"/>
  <c r="CD75" i="42"/>
  <c r="J82" i="42"/>
  <c r="K77" i="41"/>
  <c r="N79" i="42"/>
  <c r="CH75" i="42"/>
  <c r="N82" i="42"/>
  <c r="S77" i="41"/>
  <c r="R79" i="42"/>
  <c r="CL75" i="42"/>
  <c r="R82" i="42"/>
  <c r="AA77" i="41"/>
  <c r="V79" i="42"/>
  <c r="CP75" i="42"/>
  <c r="V82" i="42"/>
  <c r="AI77" i="41"/>
  <c r="Z79" i="42"/>
  <c r="CT75" i="42"/>
  <c r="Z82" i="42"/>
  <c r="AQ77" i="41"/>
  <c r="AD79" i="42"/>
  <c r="CX75" i="42"/>
  <c r="AD82" i="42"/>
  <c r="AY77" i="41"/>
  <c r="AH79" i="42"/>
  <c r="DB75" i="42"/>
  <c r="AH82" i="42"/>
  <c r="BG77" i="41"/>
  <c r="W106" i="41"/>
  <c r="BB121" i="41"/>
  <c r="BB138" i="41"/>
  <c r="BF121" i="41"/>
  <c r="BF138" i="41"/>
  <c r="BJ121" i="41"/>
  <c r="BJ138" i="41"/>
  <c r="O121" i="41"/>
  <c r="O138" i="41"/>
  <c r="AE121" i="41"/>
  <c r="AE138" i="41"/>
  <c r="AU121" i="41"/>
  <c r="AU138" i="41"/>
  <c r="BE68" i="41"/>
  <c r="AC84" i="41"/>
  <c r="BA84" i="41"/>
  <c r="BI84" i="41"/>
  <c r="AW109" i="42"/>
  <c r="R112" i="41"/>
  <c r="R111" i="41"/>
  <c r="Z111" i="41"/>
  <c r="BA109" i="42"/>
  <c r="Z112" i="41"/>
  <c r="BE109" i="42"/>
  <c r="AH112" i="41" s="1"/>
  <c r="AH111" i="41"/>
  <c r="H120" i="41"/>
  <c r="H137" i="41"/>
  <c r="P120" i="41"/>
  <c r="P137" i="41"/>
  <c r="X120" i="41"/>
  <c r="X137" i="41"/>
  <c r="AF120" i="41"/>
  <c r="AF137" i="41"/>
  <c r="AN120" i="41"/>
  <c r="AN137" i="41"/>
  <c r="AV120" i="41"/>
  <c r="AV137" i="41"/>
  <c r="BE120" i="41"/>
  <c r="BE137" i="41"/>
  <c r="BA120" i="41"/>
  <c r="BA137" i="41" s="1"/>
  <c r="I37" i="41"/>
  <c r="CI84" i="42"/>
  <c r="U86" i="41"/>
  <c r="CM84" i="42"/>
  <c r="AC86" i="41"/>
  <c r="CU84" i="42"/>
  <c r="AS86" i="41"/>
  <c r="CC87" i="42"/>
  <c r="I88" i="42"/>
  <c r="CG87" i="42"/>
  <c r="Q89" i="41"/>
  <c r="M88" i="42"/>
  <c r="CK87" i="42"/>
  <c r="Q88" i="42"/>
  <c r="CO87" i="42"/>
  <c r="AG89" i="41"/>
  <c r="U88" i="42"/>
  <c r="CS87" i="42"/>
  <c r="Y88" i="42"/>
  <c r="AO89" i="41"/>
  <c r="CW87" i="42"/>
  <c r="AW89" i="41"/>
  <c r="DA87" i="42"/>
  <c r="AG88" i="42"/>
  <c r="BE89" i="41"/>
  <c r="AS109" i="42"/>
  <c r="J112" i="41"/>
  <c r="I120" i="41"/>
  <c r="I137" i="41" s="1"/>
  <c r="Q120" i="41"/>
  <c r="Q137" i="41"/>
  <c r="Y120" i="41"/>
  <c r="Y137" i="41" s="1"/>
  <c r="AG120" i="41"/>
  <c r="AG137" i="41"/>
  <c r="AO120" i="41"/>
  <c r="AO137" i="41" s="1"/>
  <c r="AW120" i="41"/>
  <c r="AW137" i="41"/>
  <c r="K121" i="41"/>
  <c r="K138" i="41" s="1"/>
  <c r="S121" i="41"/>
  <c r="S138" i="41"/>
  <c r="AA121" i="41"/>
  <c r="AA138" i="41" s="1"/>
  <c r="AI121" i="41"/>
  <c r="AI138" i="41"/>
  <c r="AQ121" i="41"/>
  <c r="AQ138" i="41" s="1"/>
  <c r="AY121" i="41"/>
  <c r="AY138" i="41"/>
  <c r="BH121" i="41"/>
  <c r="BH138" i="41" s="1"/>
  <c r="E122" i="41"/>
  <c r="E139" i="41"/>
  <c r="I122" i="41"/>
  <c r="I139" i="41" s="1"/>
  <c r="M122" i="41"/>
  <c r="M139" i="41"/>
  <c r="Q122" i="41"/>
  <c r="Q139" i="41" s="1"/>
  <c r="U122" i="41"/>
  <c r="U139" i="41"/>
  <c r="Y122" i="41"/>
  <c r="Y139" i="41" s="1"/>
  <c r="AC122" i="41"/>
  <c r="AC139" i="41"/>
  <c r="AG122" i="41"/>
  <c r="AG139" i="41" s="1"/>
  <c r="AK122" i="41"/>
  <c r="AK139" i="41"/>
  <c r="AO122" i="41"/>
  <c r="AO139" i="41" s="1"/>
  <c r="AS122" i="41"/>
  <c r="AS139" i="41"/>
  <c r="AW122" i="41"/>
  <c r="AW139" i="41" s="1"/>
  <c r="BA122" i="41"/>
  <c r="BA139" i="41"/>
  <c r="BE122" i="41"/>
  <c r="BE139" i="41" s="1"/>
  <c r="BI122" i="41"/>
  <c r="BI139" i="41"/>
  <c r="AQ40" i="42"/>
  <c r="F40" i="41" s="1"/>
  <c r="AQ37" i="42"/>
  <c r="F37" i="41"/>
  <c r="AU46" i="42"/>
  <c r="N46" i="41" s="1"/>
  <c r="AU37" i="42"/>
  <c r="N37" i="41"/>
  <c r="AU40" i="42"/>
  <c r="N40" i="41" s="1"/>
  <c r="AY40" i="42"/>
  <c r="V40" i="41"/>
  <c r="AY46" i="42"/>
  <c r="V46" i="41" s="1"/>
  <c r="BC40" i="42"/>
  <c r="AD40" i="41"/>
  <c r="BC37" i="42"/>
  <c r="AD37" i="41" s="1"/>
  <c r="BC46" i="42"/>
  <c r="AD46" i="41"/>
  <c r="BG40" i="42"/>
  <c r="AL40" i="41" s="1"/>
  <c r="BG37" i="42"/>
  <c r="AL37" i="41"/>
  <c r="BK46" i="42"/>
  <c r="BK37" i="42"/>
  <c r="BO37" i="42"/>
  <c r="BO46" i="42"/>
  <c r="BS40" i="42"/>
  <c r="BJ40" i="41" s="1"/>
  <c r="BS37" i="42"/>
  <c r="BJ37" i="41"/>
  <c r="BS46" i="42"/>
  <c r="BJ46" i="41" s="1"/>
  <c r="BK40" i="42"/>
  <c r="CD42" i="42"/>
  <c r="K42" i="41"/>
  <c r="CH42" i="42"/>
  <c r="S42" i="41"/>
  <c r="AI46" i="41"/>
  <c r="BG46" i="42"/>
  <c r="AL46" i="41" s="1"/>
  <c r="CB63" i="42"/>
  <c r="BH64" i="41"/>
  <c r="G64" i="41"/>
  <c r="CF63" i="42"/>
  <c r="O64" i="41"/>
  <c r="CJ63" i="42"/>
  <c r="W64" i="41"/>
  <c r="CN63" i="42"/>
  <c r="AE64" i="41"/>
  <c r="CR63" i="42"/>
  <c r="AM64" i="41"/>
  <c r="CV63" i="42"/>
  <c r="AU64" i="41"/>
  <c r="CZ63" i="42"/>
  <c r="BC64" i="41"/>
  <c r="CG82" i="42"/>
  <c r="Q84" i="41"/>
  <c r="AG84" i="41"/>
  <c r="AW84" i="41"/>
  <c r="CD87" i="42"/>
  <c r="J88" i="42"/>
  <c r="K89" i="41"/>
  <c r="CH87" i="42"/>
  <c r="N88" i="42"/>
  <c r="S89" i="41"/>
  <c r="CL87" i="42"/>
  <c r="R88" i="42"/>
  <c r="AA89" i="41"/>
  <c r="CP87" i="42"/>
  <c r="V88" i="42"/>
  <c r="AI89" i="41"/>
  <c r="CT87" i="42"/>
  <c r="Z88" i="42"/>
  <c r="AQ89" i="41"/>
  <c r="CX87" i="42"/>
  <c r="AD88" i="42"/>
  <c r="AY89" i="41"/>
  <c r="DB87" i="42"/>
  <c r="AH88" i="42"/>
  <c r="BG89" i="41"/>
  <c r="CB88" i="42"/>
  <c r="BH90" i="41" s="1"/>
  <c r="G90" i="41"/>
  <c r="CZ88" i="42"/>
  <c r="CU100" i="42"/>
  <c r="AS103" i="41"/>
  <c r="CB103" i="42"/>
  <c r="BH106" i="41"/>
  <c r="BA106" i="41"/>
  <c r="CC108" i="42"/>
  <c r="I109" i="42"/>
  <c r="CG108" i="42"/>
  <c r="M109" i="42"/>
  <c r="Q111" i="41"/>
  <c r="CK108" i="42"/>
  <c r="Q109" i="42"/>
  <c r="CK109" i="42" s="1"/>
  <c r="CO108" i="42"/>
  <c r="U109" i="42"/>
  <c r="AG111" i="41"/>
  <c r="CS108" i="42"/>
  <c r="Y109" i="42"/>
  <c r="CW108" i="42"/>
  <c r="AC109" i="42"/>
  <c r="DA108" i="42"/>
  <c r="AG109" i="42"/>
  <c r="BE111" i="41"/>
  <c r="AT109" i="42"/>
  <c r="L111" i="41"/>
  <c r="AX109" i="42"/>
  <c r="T112" i="41" s="1"/>
  <c r="CH108" i="42"/>
  <c r="BB109" i="42"/>
  <c r="CL108" i="42"/>
  <c r="AB111" i="41"/>
  <c r="BF109" i="42"/>
  <c r="AJ112" i="41"/>
  <c r="CP108" i="42"/>
  <c r="BJ109" i="42"/>
  <c r="AP111" i="41"/>
  <c r="CT108" i="42"/>
  <c r="BN109" i="42"/>
  <c r="AT112" i="41" s="1"/>
  <c r="CX108" i="42"/>
  <c r="AT111" i="41"/>
  <c r="BR109" i="42"/>
  <c r="AX111" i="41"/>
  <c r="CM109" i="42"/>
  <c r="AC112" i="41"/>
  <c r="BW36" i="40"/>
  <c r="BO40" i="42"/>
  <c r="CB45" i="42"/>
  <c r="BH45" i="41"/>
  <c r="H46" i="42"/>
  <c r="CF45" i="42"/>
  <c r="L46" i="42"/>
  <c r="CJ45" i="42"/>
  <c r="P46" i="42"/>
  <c r="CN45" i="42"/>
  <c r="T46" i="42"/>
  <c r="CR45" i="42"/>
  <c r="X46" i="42"/>
  <c r="CV45" i="42"/>
  <c r="AB46" i="42"/>
  <c r="CZ45" i="42"/>
  <c r="AF46" i="42"/>
  <c r="CK61" i="42"/>
  <c r="Y62" i="41"/>
  <c r="AQ16" i="42"/>
  <c r="AQ19" i="42"/>
  <c r="F18" i="41"/>
  <c r="AU16" i="42"/>
  <c r="AU19" i="42"/>
  <c r="N18" i="41"/>
  <c r="AY16" i="42"/>
  <c r="AY19" i="42"/>
  <c r="V18" i="41" s="1"/>
  <c r="BC16" i="42"/>
  <c r="BC19" i="42"/>
  <c r="BG16" i="42"/>
  <c r="BG19" i="42"/>
  <c r="AL18" i="41"/>
  <c r="BK16" i="42"/>
  <c r="BK19" i="42"/>
  <c r="BO16" i="42"/>
  <c r="BO19" i="42"/>
  <c r="BS16" i="42"/>
  <c r="BS19" i="42"/>
  <c r="AR40" i="42"/>
  <c r="H40" i="41" s="1"/>
  <c r="AR37" i="42"/>
  <c r="CB37" i="42" s="1"/>
  <c r="BH37" i="41" s="1"/>
  <c r="H37" i="41"/>
  <c r="AV40" i="42"/>
  <c r="P40" i="41" s="1"/>
  <c r="AV37" i="42"/>
  <c r="BH40" i="42"/>
  <c r="AN40" i="41"/>
  <c r="BH37" i="42"/>
  <c r="AN37" i="41" s="1"/>
  <c r="BL40" i="42"/>
  <c r="AR40" i="41"/>
  <c r="BL37" i="42"/>
  <c r="N37" i="42"/>
  <c r="BP40" i="42"/>
  <c r="AV40" i="41" s="1"/>
  <c r="CJ42" i="42"/>
  <c r="CZ42" i="42"/>
  <c r="AV46" i="42"/>
  <c r="P46" i="41" s="1"/>
  <c r="BD46" i="42"/>
  <c r="AF46" i="41"/>
  <c r="BL46" i="42"/>
  <c r="AR46" i="41" s="1"/>
  <c r="CO45" i="42"/>
  <c r="N46" i="42"/>
  <c r="AD46" i="42"/>
  <c r="AU58" i="42"/>
  <c r="N59" i="41"/>
  <c r="AU67" i="42"/>
  <c r="N68" i="41" s="1"/>
  <c r="AU61" i="42"/>
  <c r="N62" i="41"/>
  <c r="BC58" i="42"/>
  <c r="AD59" i="41" s="1"/>
  <c r="BC67" i="42"/>
  <c r="AD68" i="41"/>
  <c r="BC61" i="42"/>
  <c r="AD62" i="41" s="1"/>
  <c r="BK58" i="42"/>
  <c r="BK67" i="42"/>
  <c r="BK61" i="42"/>
  <c r="BS58" i="42"/>
  <c r="BJ59" i="41"/>
  <c r="BS67" i="42"/>
  <c r="BJ68" i="41"/>
  <c r="BS61" i="42"/>
  <c r="BJ62" i="41"/>
  <c r="AY61" i="42"/>
  <c r="V62" i="41"/>
  <c r="CS67" i="42"/>
  <c r="AQ67" i="42"/>
  <c r="F68" i="41"/>
  <c r="CR88" i="42"/>
  <c r="AK106" i="41"/>
  <c r="CH109" i="42"/>
  <c r="CP109" i="42"/>
  <c r="CX109" i="42"/>
  <c r="DC109" i="42"/>
  <c r="BI112" i="41"/>
  <c r="H136" i="41"/>
  <c r="L136" i="41"/>
  <c r="P136" i="41"/>
  <c r="T136" i="41"/>
  <c r="X136" i="41"/>
  <c r="AB136" i="41"/>
  <c r="AF136" i="41"/>
  <c r="AJ136" i="41"/>
  <c r="AN136" i="41"/>
  <c r="AR136" i="41"/>
  <c r="AV136" i="41"/>
  <c r="AZ136" i="41"/>
  <c r="BD136" i="41"/>
  <c r="BH136" i="41"/>
  <c r="AT25" i="42"/>
  <c r="L24" i="41"/>
  <c r="AX25" i="42"/>
  <c r="T24" i="41"/>
  <c r="BB25" i="42"/>
  <c r="AB24" i="41"/>
  <c r="BF25" i="42"/>
  <c r="AJ24" i="41"/>
  <c r="BJ25" i="42"/>
  <c r="AP24" i="41"/>
  <c r="BN25" i="42"/>
  <c r="AT24" i="41"/>
  <c r="BR25" i="42"/>
  <c r="AX24" i="41"/>
  <c r="AU25" i="42"/>
  <c r="N24" i="41"/>
  <c r="BC25" i="42"/>
  <c r="AD24" i="41"/>
  <c r="BK25" i="42"/>
  <c r="BS25" i="42"/>
  <c r="BJ24" i="41"/>
  <c r="J46" i="42"/>
  <c r="CD33" i="42"/>
  <c r="R40" i="42"/>
  <c r="R37" i="42"/>
  <c r="R46" i="42"/>
  <c r="CL33" i="42"/>
  <c r="V40" i="42"/>
  <c r="V37" i="42"/>
  <c r="CP33" i="42"/>
  <c r="Z46" i="42"/>
  <c r="CT33" i="42"/>
  <c r="AH40" i="42"/>
  <c r="AH37" i="42"/>
  <c r="AH46" i="42"/>
  <c r="DB33" i="42"/>
  <c r="N40" i="42"/>
  <c r="CC42" i="42"/>
  <c r="CG42" i="42"/>
  <c r="CK42" i="42"/>
  <c r="CO42" i="42"/>
  <c r="CS42" i="42"/>
  <c r="CW42" i="42"/>
  <c r="DA42" i="42"/>
  <c r="CE45" i="42"/>
  <c r="K46" i="42"/>
  <c r="CM45" i="42"/>
  <c r="S46" i="42"/>
  <c r="CU45" i="42"/>
  <c r="AA46" i="42"/>
  <c r="DC45" i="42"/>
  <c r="AI46" i="42"/>
  <c r="O46" i="42"/>
  <c r="AE46" i="42"/>
  <c r="AR58" i="42"/>
  <c r="H59" i="41"/>
  <c r="AR61" i="42"/>
  <c r="H62" i="41" s="1"/>
  <c r="CB54" i="42"/>
  <c r="BH55" i="41"/>
  <c r="AV58" i="42"/>
  <c r="P59" i="41" s="1"/>
  <c r="AV61" i="42"/>
  <c r="CF61" i="42" s="1"/>
  <c r="P62" i="41"/>
  <c r="AZ58" i="42"/>
  <c r="X59" i="41" s="1"/>
  <c r="AZ61" i="42"/>
  <c r="CJ54" i="42"/>
  <c r="BD58" i="42"/>
  <c r="AF59" i="41" s="1"/>
  <c r="BD61" i="42"/>
  <c r="AF62" i="41"/>
  <c r="BH58" i="42"/>
  <c r="AN59" i="41" s="1"/>
  <c r="BH61" i="42"/>
  <c r="AN62" i="41"/>
  <c r="CR54" i="42"/>
  <c r="BL58" i="42"/>
  <c r="AR59" i="41"/>
  <c r="BL61" i="42"/>
  <c r="AR62" i="41"/>
  <c r="BP58" i="42"/>
  <c r="BP61" i="42"/>
  <c r="CZ54" i="42"/>
  <c r="CV54" i="42"/>
  <c r="CA63" i="42"/>
  <c r="CE63" i="42"/>
  <c r="CI63" i="42"/>
  <c r="CM63" i="42"/>
  <c r="CQ63" i="42"/>
  <c r="CU63" i="42"/>
  <c r="CY63" i="42"/>
  <c r="DC63" i="42"/>
  <c r="AR67" i="42"/>
  <c r="AV67" i="42"/>
  <c r="CF66" i="42"/>
  <c r="AZ67" i="42"/>
  <c r="BD67" i="42"/>
  <c r="CN66" i="42"/>
  <c r="BH67" i="42"/>
  <c r="BL67" i="42"/>
  <c r="CV66" i="42"/>
  <c r="BP67" i="42"/>
  <c r="CJ66" i="42"/>
  <c r="CK67" i="42"/>
  <c r="BO67" i="42"/>
  <c r="AQ88" i="42"/>
  <c r="F89" i="41"/>
  <c r="AU88" i="42"/>
  <c r="N90" i="41"/>
  <c r="CE87" i="42"/>
  <c r="N89" i="41"/>
  <c r="AY88" i="42"/>
  <c r="V89" i="41"/>
  <c r="BC88" i="42"/>
  <c r="CM88" i="42" s="1"/>
  <c r="AD90" i="41"/>
  <c r="CM87" i="42"/>
  <c r="AD89" i="41"/>
  <c r="BG88" i="42"/>
  <c r="AL89" i="41"/>
  <c r="BK88" i="42"/>
  <c r="CU88" i="42" s="1"/>
  <c r="CU87" i="42"/>
  <c r="BS88" i="42"/>
  <c r="BJ90" i="41"/>
  <c r="DC87" i="42"/>
  <c r="BJ89" i="41"/>
  <c r="CI87" i="42"/>
  <c r="CJ88" i="42"/>
  <c r="AT100" i="42"/>
  <c r="L103" i="41"/>
  <c r="AT103" i="42"/>
  <c r="L99" i="41"/>
  <c r="AX100" i="42"/>
  <c r="T103" i="41"/>
  <c r="AX103" i="42"/>
  <c r="CH103" i="42" s="1"/>
  <c r="T106" i="41"/>
  <c r="CH96" i="42"/>
  <c r="T99" i="41"/>
  <c r="BB100" i="42"/>
  <c r="AB103" i="41"/>
  <c r="BB103" i="42"/>
  <c r="AB106" i="41"/>
  <c r="AB99" i="41"/>
  <c r="BF100" i="42"/>
  <c r="AJ103" i="41" s="1"/>
  <c r="BF103" i="42"/>
  <c r="AJ106" i="41"/>
  <c r="CP96" i="42"/>
  <c r="AJ99" i="41"/>
  <c r="BJ100" i="42"/>
  <c r="AP103" i="41"/>
  <c r="BJ103" i="42"/>
  <c r="AP106" i="41" s="1"/>
  <c r="BN100" i="42"/>
  <c r="AT103" i="41"/>
  <c r="BN103" i="42"/>
  <c r="AT106" i="41" s="1"/>
  <c r="CX96" i="42"/>
  <c r="BR100" i="42"/>
  <c r="AX103" i="41"/>
  <c r="BR103" i="42"/>
  <c r="AX106" i="41"/>
  <c r="DB96" i="42"/>
  <c r="P40" i="42"/>
  <c r="AF40" i="42"/>
  <c r="BA40" i="42"/>
  <c r="BQ40" i="42"/>
  <c r="DA40" i="42"/>
  <c r="I46" i="42"/>
  <c r="M46" i="42"/>
  <c r="Q46" i="42"/>
  <c r="U46" i="42"/>
  <c r="Y46" i="42"/>
  <c r="AC46" i="42"/>
  <c r="AG46" i="42"/>
  <c r="AT46" i="42"/>
  <c r="L46" i="41" s="1"/>
  <c r="AX46" i="42"/>
  <c r="T46" i="41"/>
  <c r="BB46" i="42"/>
  <c r="AB46" i="41" s="1"/>
  <c r="BF46" i="42"/>
  <c r="AJ46" i="41"/>
  <c r="BJ46" i="42"/>
  <c r="AP46" i="41" s="1"/>
  <c r="BN46" i="42"/>
  <c r="AT46" i="41"/>
  <c r="BR46" i="42"/>
  <c r="AX46" i="41" s="1"/>
  <c r="CC45" i="42"/>
  <c r="CK45" i="42"/>
  <c r="CS45" i="42"/>
  <c r="DA45" i="42"/>
  <c r="J58" i="42"/>
  <c r="CD54" i="42"/>
  <c r="N58" i="42"/>
  <c r="CH54" i="42"/>
  <c r="R58" i="42"/>
  <c r="CL54" i="42"/>
  <c r="V58" i="42"/>
  <c r="CP54" i="42"/>
  <c r="Z58" i="42"/>
  <c r="CT54" i="42"/>
  <c r="AD58" i="42"/>
  <c r="CX54" i="42"/>
  <c r="AH58" i="42"/>
  <c r="DB54" i="42"/>
  <c r="CK58" i="42"/>
  <c r="CS58" i="42"/>
  <c r="DA58" i="42"/>
  <c r="J61" i="42"/>
  <c r="R61" i="42"/>
  <c r="Z61" i="42"/>
  <c r="AH61" i="42"/>
  <c r="CA66" i="42"/>
  <c r="G67" i="42"/>
  <c r="CE66" i="42"/>
  <c r="K67" i="42"/>
  <c r="CI66" i="42"/>
  <c r="O67" i="42"/>
  <c r="CM66" i="42"/>
  <c r="S67" i="42"/>
  <c r="CQ66" i="42"/>
  <c r="W67" i="42"/>
  <c r="CU66" i="42"/>
  <c r="AA67" i="42"/>
  <c r="CY66" i="42"/>
  <c r="AE67" i="42"/>
  <c r="DC66" i="42"/>
  <c r="AI67" i="42"/>
  <c r="CC82" i="42"/>
  <c r="CK82" i="42"/>
  <c r="CS82" i="42"/>
  <c r="DA82" i="42"/>
  <c r="AT82" i="42"/>
  <c r="L84" i="41"/>
  <c r="BB82" i="42"/>
  <c r="AB84" i="41" s="1"/>
  <c r="BJ82" i="42"/>
  <c r="AP84" i="41"/>
  <c r="BR82" i="42"/>
  <c r="AX84" i="41" s="1"/>
  <c r="AT88" i="42"/>
  <c r="L90" i="41"/>
  <c r="BB88" i="42"/>
  <c r="AB90" i="41" s="1"/>
  <c r="BJ88" i="42"/>
  <c r="AP90" i="41"/>
  <c r="BR88" i="42"/>
  <c r="AX90" i="41" s="1"/>
  <c r="CH100" i="42"/>
  <c r="CX100" i="42"/>
  <c r="CU103" i="42"/>
  <c r="M37" i="42"/>
  <c r="AC37" i="42"/>
  <c r="AX37" i="42"/>
  <c r="T37" i="41"/>
  <c r="BN37" i="42"/>
  <c r="AT37" i="41" s="1"/>
  <c r="L40" i="42"/>
  <c r="AB40" i="42"/>
  <c r="AW40" i="42"/>
  <c r="R40" i="41" s="1"/>
  <c r="BM40" i="42"/>
  <c r="CW40" i="42" s="1"/>
  <c r="CD45" i="42"/>
  <c r="CL45" i="42"/>
  <c r="G58" i="42"/>
  <c r="CA54" i="42"/>
  <c r="G61" i="42"/>
  <c r="K58" i="42"/>
  <c r="CE54" i="42"/>
  <c r="K61" i="42"/>
  <c r="O58" i="42"/>
  <c r="CI54" i="42"/>
  <c r="O61" i="42"/>
  <c r="S58" i="42"/>
  <c r="CM54" i="42"/>
  <c r="S61" i="42"/>
  <c r="W58" i="42"/>
  <c r="CQ54" i="42"/>
  <c r="W61" i="42"/>
  <c r="AA58" i="42"/>
  <c r="CU54" i="42"/>
  <c r="AA61" i="42"/>
  <c r="AE58" i="42"/>
  <c r="CY54" i="42"/>
  <c r="AE61" i="42"/>
  <c r="AI58" i="42"/>
  <c r="DC54" i="42"/>
  <c r="AI61" i="42"/>
  <c r="CG67" i="42"/>
  <c r="CW67" i="42"/>
  <c r="I79" i="42"/>
  <c r="CC75" i="42"/>
  <c r="M79" i="42"/>
  <c r="CG75" i="42"/>
  <c r="Q79" i="42"/>
  <c r="CK75" i="42"/>
  <c r="U79" i="42"/>
  <c r="CO75" i="42"/>
  <c r="Y79" i="42"/>
  <c r="CS75" i="42"/>
  <c r="AC79" i="42"/>
  <c r="CW75" i="42"/>
  <c r="AG79" i="42"/>
  <c r="DA75" i="42"/>
  <c r="AQ79" i="42"/>
  <c r="F81" i="41"/>
  <c r="AQ82" i="42"/>
  <c r="F84" i="41" s="1"/>
  <c r="AU79" i="42"/>
  <c r="N81" i="41"/>
  <c r="AU82" i="42"/>
  <c r="N84" i="41" s="1"/>
  <c r="AY79" i="42"/>
  <c r="CI79" i="42" s="1"/>
  <c r="V81" i="41"/>
  <c r="AY82" i="42"/>
  <c r="V84" i="41" s="1"/>
  <c r="BC79" i="42"/>
  <c r="AD81" i="41"/>
  <c r="BC82" i="42"/>
  <c r="AD84" i="41" s="1"/>
  <c r="BG79" i="42"/>
  <c r="AL81" i="41"/>
  <c r="BG82" i="42"/>
  <c r="AL84" i="41" s="1"/>
  <c r="BK79" i="42"/>
  <c r="BK82" i="42"/>
  <c r="BO79" i="42"/>
  <c r="BO82" i="42"/>
  <c r="CY82" i="42"/>
  <c r="BS79" i="42"/>
  <c r="BJ81" i="41" s="1"/>
  <c r="BS82" i="42"/>
  <c r="BJ84" i="41"/>
  <c r="CV79" i="42"/>
  <c r="CD84" i="42"/>
  <c r="CH84" i="42"/>
  <c r="CL84" i="42"/>
  <c r="CP84" i="42"/>
  <c r="CT84" i="42"/>
  <c r="CX84" i="42"/>
  <c r="DB84" i="42"/>
  <c r="CN88" i="42"/>
  <c r="H100" i="42"/>
  <c r="CB96" i="42"/>
  <c r="BH99" i="41"/>
  <c r="L100" i="42"/>
  <c r="CF96" i="42"/>
  <c r="P100" i="42"/>
  <c r="CJ96" i="42"/>
  <c r="T100" i="42"/>
  <c r="CN96" i="42"/>
  <c r="X100" i="42"/>
  <c r="CR96" i="42"/>
  <c r="AB100" i="42"/>
  <c r="CV96" i="42"/>
  <c r="AF100" i="42"/>
  <c r="CZ96" i="42"/>
  <c r="CA100" i="42"/>
  <c r="L103" i="42"/>
  <c r="T103" i="42"/>
  <c r="AB103" i="42"/>
  <c r="AW103" i="42"/>
  <c r="R106" i="41"/>
  <c r="BE103" i="42"/>
  <c r="AH106" i="41" s="1"/>
  <c r="BM103" i="42"/>
  <c r="CA109" i="42"/>
  <c r="CI109" i="42"/>
  <c r="CQ109" i="42"/>
  <c r="CY109" i="42"/>
  <c r="I253" i="42"/>
  <c r="K269" i="42"/>
  <c r="X268" i="42"/>
  <c r="R268" i="42"/>
  <c r="BP249" i="42"/>
  <c r="BL249" i="42"/>
  <c r="BM250" i="42" s="1"/>
  <c r="BH249" i="42"/>
  <c r="BD249" i="42"/>
  <c r="BE250" i="42" s="1"/>
  <c r="AZ249" i="42"/>
  <c r="AV249" i="42"/>
  <c r="AV250" i="42" s="1"/>
  <c r="AR249" i="42"/>
  <c r="BS249" i="42"/>
  <c r="BS250" i="42"/>
  <c r="BO249" i="42"/>
  <c r="BP250" i="42" s="1"/>
  <c r="BK249" i="42"/>
  <c r="BL250" i="42"/>
  <c r="BG249" i="42"/>
  <c r="BH250" i="42" s="1"/>
  <c r="BC249" i="42"/>
  <c r="BD250" i="42"/>
  <c r="AY249" i="42"/>
  <c r="AZ250" i="42" s="1"/>
  <c r="AU249" i="42"/>
  <c r="AQ249" i="42"/>
  <c r="AX249" i="42"/>
  <c r="AX250" i="42" s="1"/>
  <c r="BF249" i="42"/>
  <c r="BN249" i="42"/>
  <c r="BO250" i="42" s="1"/>
  <c r="AS249" i="42"/>
  <c r="BA249" i="42"/>
  <c r="BB250" i="42"/>
  <c r="BI249" i="42"/>
  <c r="BJ250" i="42" s="1"/>
  <c r="BQ249" i="42"/>
  <c r="BR250" i="42"/>
  <c r="BP252" i="42"/>
  <c r="BQ253" i="42" s="1"/>
  <c r="BL252" i="42"/>
  <c r="BH252" i="42"/>
  <c r="BI253" i="42"/>
  <c r="BD252" i="42"/>
  <c r="BE253" i="42"/>
  <c r="AZ252" i="42"/>
  <c r="BA253" i="42"/>
  <c r="AV252" i="42"/>
  <c r="AW253" i="42"/>
  <c r="AR252" i="42"/>
  <c r="AS253" i="42"/>
  <c r="BS252" i="42"/>
  <c r="BS253" i="42" s="1"/>
  <c r="BO252" i="42"/>
  <c r="BP253" i="42"/>
  <c r="BK252" i="42"/>
  <c r="BL253" i="42" s="1"/>
  <c r="BG252" i="42"/>
  <c r="BH253" i="42"/>
  <c r="BC252" i="42"/>
  <c r="BD253" i="42" s="1"/>
  <c r="AY252" i="42"/>
  <c r="AZ253" i="42"/>
  <c r="AU252" i="42"/>
  <c r="AV253" i="42" s="1"/>
  <c r="AQ252" i="42"/>
  <c r="AX252" i="42"/>
  <c r="AY253" i="42" s="1"/>
  <c r="BF252" i="42"/>
  <c r="BN252" i="42"/>
  <c r="P262" i="42"/>
  <c r="X267" i="42"/>
  <c r="R267" i="42"/>
  <c r="MX9" i="43"/>
  <c r="MT9" i="43"/>
  <c r="MP9" i="43"/>
  <c r="ML9" i="43"/>
  <c r="PU9" i="43"/>
  <c r="K9" i="43"/>
  <c r="MW9" i="43"/>
  <c r="MS9" i="43"/>
  <c r="MO9" i="43"/>
  <c r="BM9" i="43"/>
  <c r="MY9" i="43"/>
  <c r="MQ9" i="43"/>
  <c r="MV9" i="43"/>
  <c r="MR9" i="43"/>
  <c r="BS9" i="43"/>
  <c r="MU9" i="43"/>
  <c r="J249" i="42"/>
  <c r="J252" i="42"/>
  <c r="AT318" i="42"/>
  <c r="AY318" i="42"/>
  <c r="AZ318" i="42"/>
  <c r="MV2" i="43"/>
  <c r="MR2" i="43"/>
  <c r="PU2" i="43"/>
  <c r="K2" i="43" s="1"/>
  <c r="MY2" i="43"/>
  <c r="MU2" i="43"/>
  <c r="MQ2" i="43"/>
  <c r="MM2" i="43"/>
  <c r="MT2" i="43"/>
  <c r="MS2" i="43"/>
  <c r="ML2" i="43"/>
  <c r="MP2" i="43"/>
  <c r="MO2" i="43"/>
  <c r="MX7" i="43"/>
  <c r="MT7" i="43"/>
  <c r="MP7" i="43"/>
  <c r="ML7" i="43"/>
  <c r="PU7" i="43"/>
  <c r="K7" i="43" s="1"/>
  <c r="MW7" i="43"/>
  <c r="MS7" i="43"/>
  <c r="MO7" i="43"/>
  <c r="BM7" i="43"/>
  <c r="MV7" i="43"/>
  <c r="MU7" i="43"/>
  <c r="MM7" i="43"/>
  <c r="MX15" i="43"/>
  <c r="MT15" i="43"/>
  <c r="MP15" i="43"/>
  <c r="ML15" i="43"/>
  <c r="PU15" i="43"/>
  <c r="K15" i="43" s="1"/>
  <c r="MW15" i="43"/>
  <c r="MS15" i="43"/>
  <c r="MO15" i="43"/>
  <c r="MV15" i="43"/>
  <c r="MU15" i="43"/>
  <c r="MM15" i="43"/>
  <c r="PU18" i="43"/>
  <c r="K18" i="43" s="1"/>
  <c r="MW18" i="43"/>
  <c r="MS18" i="43"/>
  <c r="MO18" i="43"/>
  <c r="MX18" i="43"/>
  <c r="MR18" i="43"/>
  <c r="MM18" i="43"/>
  <c r="MV18" i="43"/>
  <c r="MQ18" i="43"/>
  <c r="ML18" i="43"/>
  <c r="MU18" i="43"/>
  <c r="MT18" i="43"/>
  <c r="MX5" i="43"/>
  <c r="MT5" i="43"/>
  <c r="MP5" i="43"/>
  <c r="ML5" i="43"/>
  <c r="BF5" i="43"/>
  <c r="PU5" i="43"/>
  <c r="K5" i="43"/>
  <c r="MW5" i="43"/>
  <c r="MS5" i="43"/>
  <c r="MO5" i="43"/>
  <c r="MQ11" i="43"/>
  <c r="MX13" i="43"/>
  <c r="MT13" i="43"/>
  <c r="MP13" i="43"/>
  <c r="ML13" i="43"/>
  <c r="PU13" i="43"/>
  <c r="K13" i="43" s="1"/>
  <c r="MW13" i="43"/>
  <c r="MS13" i="43"/>
  <c r="MO13" i="43"/>
  <c r="PU20" i="43"/>
  <c r="K20" i="43"/>
  <c r="MW20" i="43"/>
  <c r="MS20" i="43"/>
  <c r="MO20" i="43"/>
  <c r="MX20" i="43"/>
  <c r="MR20" i="43"/>
  <c r="MM20" i="43"/>
  <c r="MV20" i="43"/>
  <c r="MQ20" i="43"/>
  <c r="ML20" i="43"/>
  <c r="MU20" i="43"/>
  <c r="MT20" i="43"/>
  <c r="MX11" i="43"/>
  <c r="MT11" i="43"/>
  <c r="MP11" i="43"/>
  <c r="ML11" i="43"/>
  <c r="PU11" i="43"/>
  <c r="K11" i="43"/>
  <c r="MW11" i="43"/>
  <c r="MS11" i="43"/>
  <c r="MO11" i="43"/>
  <c r="MM13" i="43"/>
  <c r="MU13" i="43"/>
  <c r="MY21" i="43"/>
  <c r="MU21" i="43"/>
  <c r="MQ21" i="43"/>
  <c r="MM21" i="43"/>
  <c r="MX21" i="43"/>
  <c r="MT21" i="43"/>
  <c r="MP21" i="43"/>
  <c r="ML21" i="43"/>
  <c r="MW21" i="43"/>
  <c r="MO21" i="43"/>
  <c r="MV21" i="43"/>
  <c r="MR21" i="43"/>
  <c r="PU21" i="43"/>
  <c r="K21" i="43"/>
  <c r="MX24" i="43"/>
  <c r="MT24" i="43"/>
  <c r="MP24" i="43"/>
  <c r="ML24" i="43"/>
  <c r="PU24" i="43"/>
  <c r="K24" i="43" s="1"/>
  <c r="MW24" i="43"/>
  <c r="MS24" i="43"/>
  <c r="MO24" i="43"/>
  <c r="MV24" i="43"/>
  <c r="MU24" i="43"/>
  <c r="MM24" i="43"/>
  <c r="MO3" i="43"/>
  <c r="MS3" i="43"/>
  <c r="MW3" i="43"/>
  <c r="MO16" i="43"/>
  <c r="MS16" i="43"/>
  <c r="MW16" i="43"/>
  <c r="MQ24" i="43"/>
  <c r="MY25" i="43"/>
  <c r="MU25" i="43"/>
  <c r="MQ25" i="43"/>
  <c r="MM25" i="43"/>
  <c r="MX25" i="43"/>
  <c r="MT25" i="43"/>
  <c r="MP25" i="43"/>
  <c r="ML25" i="43"/>
  <c r="MW25" i="43"/>
  <c r="MO25" i="43"/>
  <c r="MV25" i="43"/>
  <c r="PU28" i="43"/>
  <c r="K28" i="43"/>
  <c r="MW28" i="43"/>
  <c r="MS28" i="43"/>
  <c r="MO28" i="43"/>
  <c r="MX28" i="43"/>
  <c r="MR28" i="43"/>
  <c r="MM28" i="43"/>
  <c r="MY28" i="43"/>
  <c r="MQ28" i="43"/>
  <c r="MV28" i="43"/>
  <c r="MP28" i="43"/>
  <c r="MT28" i="43"/>
  <c r="BP28" i="43"/>
  <c r="PU32" i="43"/>
  <c r="K32" i="43" s="1"/>
  <c r="MW32" i="43"/>
  <c r="MS32" i="43"/>
  <c r="MO32" i="43"/>
  <c r="MX32" i="43"/>
  <c r="MR32" i="43"/>
  <c r="MM32" i="43"/>
  <c r="MV32" i="43"/>
  <c r="MQ32" i="43"/>
  <c r="ML32" i="43"/>
  <c r="MY32" i="43"/>
  <c r="BF32" i="43"/>
  <c r="MU32" i="43"/>
  <c r="MT32" i="43"/>
  <c r="MP32" i="43"/>
  <c r="MM22" i="43"/>
  <c r="MQ22" i="43"/>
  <c r="MU22" i="43"/>
  <c r="MM26" i="43"/>
  <c r="MQ26" i="43"/>
  <c r="MU26" i="43"/>
  <c r="MX29" i="43"/>
  <c r="MT29" i="43"/>
  <c r="MP29" i="43"/>
  <c r="ML29" i="43"/>
  <c r="MY29" i="43"/>
  <c r="MS29" i="43"/>
  <c r="MW29" i="43"/>
  <c r="MR29" i="43"/>
  <c r="MM29" i="43"/>
  <c r="MU29" i="43"/>
  <c r="PU29" i="43"/>
  <c r="K29" i="43" s="1"/>
  <c r="MQ29" i="43"/>
  <c r="AG3" i="44"/>
  <c r="FR3" i="44"/>
  <c r="H3" i="44" s="1"/>
  <c r="MY34" i="43"/>
  <c r="MU34" i="43"/>
  <c r="MQ34" i="43"/>
  <c r="MM34" i="43"/>
  <c r="PU34" i="43"/>
  <c r="K34" i="43"/>
  <c r="MV34" i="43"/>
  <c r="MP34" i="43"/>
  <c r="MX34" i="43"/>
  <c r="MR34" i="43"/>
  <c r="MW34" i="43"/>
  <c r="MO34" i="43"/>
  <c r="FR2" i="44"/>
  <c r="H2" i="44"/>
  <c r="AG2" i="44"/>
  <c r="MY30" i="43"/>
  <c r="MU30" i="43"/>
  <c r="MQ30" i="43"/>
  <c r="MM30" i="43"/>
  <c r="MX33" i="43"/>
  <c r="MT33" i="43"/>
  <c r="MP33" i="43"/>
  <c r="ML33" i="43"/>
  <c r="FR23" i="44"/>
  <c r="H23" i="44"/>
  <c r="FR20" i="44"/>
  <c r="H20" i="44"/>
  <c r="FR28" i="44"/>
  <c r="H28" i="44"/>
  <c r="AK19" i="44"/>
  <c r="FR19" i="44"/>
  <c r="H19" i="44" s="1"/>
  <c r="FR22" i="44"/>
  <c r="H22" i="44"/>
  <c r="AI22" i="44"/>
  <c r="FR18" i="44"/>
  <c r="H18" i="44"/>
  <c r="FR26" i="44"/>
  <c r="H26" i="44"/>
  <c r="BB253" i="42"/>
  <c r="BO253" i="42"/>
  <c r="BM253" i="42"/>
  <c r="BC253" i="42"/>
  <c r="BK253" i="42"/>
  <c r="AT250" i="42"/>
  <c r="BA250" i="42"/>
  <c r="AW250" i="42"/>
  <c r="I250" i="42"/>
  <c r="CA131" i="42"/>
  <c r="G252" i="42"/>
  <c r="G296" i="39"/>
  <c r="CF296" i="39" s="1"/>
  <c r="G250" i="42"/>
  <c r="H250" i="42"/>
  <c r="J250" i="42"/>
  <c r="AA19" i="44"/>
  <c r="BN20" i="43"/>
  <c r="BL15" i="43"/>
  <c r="BN7" i="43"/>
  <c r="BT9" i="43"/>
  <c r="AF15" i="44"/>
  <c r="AB2" i="44"/>
  <c r="AE3" i="44"/>
  <c r="BF29" i="43"/>
  <c r="BH28" i="43"/>
  <c r="BP25" i="43"/>
  <c r="BS25" i="43"/>
  <c r="BT24" i="43"/>
  <c r="BI11" i="43"/>
  <c r="BN13" i="43"/>
  <c r="BL7" i="43"/>
  <c r="BR7" i="43"/>
  <c r="BL2" i="43"/>
  <c r="BR9" i="43"/>
  <c r="AI18" i="44"/>
  <c r="AA28" i="44"/>
  <c r="BM20" i="43"/>
  <c r="BR15" i="43"/>
  <c r="BO7" i="43"/>
  <c r="BN9" i="43"/>
  <c r="BS2" i="43"/>
  <c r="AJ22" i="44"/>
  <c r="AH20" i="44"/>
  <c r="AJ23" i="44"/>
  <c r="BK29" i="43"/>
  <c r="BG21" i="43"/>
  <c r="BK20" i="43"/>
  <c r="BI7" i="43"/>
  <c r="BO2" i="43"/>
  <c r="BO9" i="43"/>
  <c r="Z22" i="44"/>
  <c r="X19" i="44"/>
  <c r="AG28" i="44"/>
  <c r="AD23" i="44"/>
  <c r="Y2" i="44"/>
  <c r="AK3" i="44"/>
  <c r="BR29" i="43"/>
  <c r="BN28" i="43"/>
  <c r="BF25" i="43"/>
  <c r="BS21" i="43"/>
  <c r="BQ20" i="43"/>
  <c r="BH18" i="43"/>
  <c r="BM15" i="43"/>
  <c r="AI26" i="44"/>
  <c r="W18" i="44"/>
  <c r="AK16" i="44"/>
  <c r="AE22" i="44"/>
  <c r="AB15" i="44"/>
  <c r="AE19" i="44"/>
  <c r="AJ28" i="44"/>
  <c r="AH28" i="44"/>
  <c r="AF20" i="44"/>
  <c r="AK20" i="44"/>
  <c r="Z23" i="44"/>
  <c r="X23" i="44"/>
  <c r="AA2" i="44"/>
  <c r="X2" i="44"/>
  <c r="BS34" i="43"/>
  <c r="AD3" i="44"/>
  <c r="BG22" i="43"/>
  <c r="BR32" i="43"/>
  <c r="BS32" i="43"/>
  <c r="BI32" i="43"/>
  <c r="BL28" i="43"/>
  <c r="BH25" i="43"/>
  <c r="BO25" i="43"/>
  <c r="BI3" i="43"/>
  <c r="BG24" i="43"/>
  <c r="BJ24" i="43"/>
  <c r="BQ21" i="43"/>
  <c r="BR21" i="43"/>
  <c r="BR11" i="43"/>
  <c r="BG20" i="43"/>
  <c r="BH20" i="43"/>
  <c r="BJ13" i="43"/>
  <c r="BQ5" i="43"/>
  <c r="BQ18" i="43"/>
  <c r="BF15" i="43"/>
  <c r="BJ2" i="43"/>
  <c r="BH2" i="43"/>
  <c r="AG24" i="44"/>
  <c r="Y19" i="44"/>
  <c r="AI28" i="44"/>
  <c r="AC23" i="44"/>
  <c r="BO30" i="43"/>
  <c r="BM34" i="43"/>
  <c r="BP29" i="43"/>
  <c r="BS26" i="43"/>
  <c r="BM28" i="43"/>
  <c r="BQ24" i="43"/>
  <c r="BM11" i="43"/>
  <c r="BJ5" i="43"/>
  <c r="BG18" i="43"/>
  <c r="BT15" i="43"/>
  <c r="AE26" i="44"/>
  <c r="AK24" i="44"/>
  <c r="Y16" i="44"/>
  <c r="AF22" i="44"/>
  <c r="AI15" i="44"/>
  <c r="AJ19" i="44"/>
  <c r="AB28" i="44"/>
  <c r="AK28" i="44"/>
  <c r="Y20" i="44"/>
  <c r="AA23" i="44"/>
  <c r="AI23" i="44"/>
  <c r="BS30" i="43"/>
  <c r="BR34" i="43"/>
  <c r="BG34" i="43"/>
  <c r="X3" i="44"/>
  <c r="BG26" i="43"/>
  <c r="BK22" i="43"/>
  <c r="BO32" i="43"/>
  <c r="BL32" i="43"/>
  <c r="BF28" i="43"/>
  <c r="BQ28" i="43"/>
  <c r="BQ25" i="43"/>
  <c r="BR25" i="43"/>
  <c r="BP24" i="43"/>
  <c r="BI16" i="43"/>
  <c r="BM3" i="43"/>
  <c r="BF24" i="43"/>
  <c r="BF21" i="43"/>
  <c r="BN11" i="43"/>
  <c r="BI13" i="43"/>
  <c r="BP11" i="43"/>
  <c r="BK18" i="43"/>
  <c r="BN18" i="43"/>
  <c r="BM18" i="43"/>
  <c r="BQ15" i="43"/>
  <c r="BF9" i="43"/>
  <c r="CY61" i="42"/>
  <c r="BA62" i="41"/>
  <c r="CQ58" i="42"/>
  <c r="AK59" i="41"/>
  <c r="Y46" i="41"/>
  <c r="CI88" i="42"/>
  <c r="V90" i="41"/>
  <c r="BI46" i="41"/>
  <c r="DB40" i="42"/>
  <c r="BG40" i="41"/>
  <c r="CP37" i="42"/>
  <c r="AI37" i="41"/>
  <c r="CL37" i="42"/>
  <c r="AA37" i="41"/>
  <c r="AR37" i="41"/>
  <c r="AL15" i="41"/>
  <c r="CT109" i="42"/>
  <c r="AP112" i="41"/>
  <c r="CT88" i="42"/>
  <c r="AQ90" i="41"/>
  <c r="DA88" i="42"/>
  <c r="BE90" i="41"/>
  <c r="BG84" i="41"/>
  <c r="CP82" i="42"/>
  <c r="AI84" i="41"/>
  <c r="CH82" i="42"/>
  <c r="S84" i="41"/>
  <c r="BL217" i="38"/>
  <c r="BL213" i="38"/>
  <c r="BL189" i="38"/>
  <c r="BL218" i="38"/>
  <c r="BL214" i="38"/>
  <c r="Q217" i="38"/>
  <c r="Q213" i="38"/>
  <c r="Q189" i="38"/>
  <c r="Q214" i="38"/>
  <c r="Q218" i="38"/>
  <c r="J214" i="38"/>
  <c r="J213" i="38"/>
  <c r="J164" i="38" s="1"/>
  <c r="J189" i="38"/>
  <c r="J218" i="38"/>
  <c r="J217" i="38"/>
  <c r="AX218" i="38"/>
  <c r="AX214" i="38"/>
  <c r="AX189" i="38"/>
  <c r="AX213" i="38"/>
  <c r="AX217" i="38"/>
  <c r="CU40" i="42"/>
  <c r="AS40" i="41"/>
  <c r="BK217" i="38"/>
  <c r="BK214" i="38"/>
  <c r="BK218" i="38"/>
  <c r="BK189" i="38"/>
  <c r="BK213" i="38"/>
  <c r="K218" i="38"/>
  <c r="K214" i="38"/>
  <c r="K189" i="38"/>
  <c r="K217" i="38"/>
  <c r="K213" i="38"/>
  <c r="AJ15" i="41"/>
  <c r="CN109" i="42"/>
  <c r="AE112" i="41"/>
  <c r="AW103" i="41"/>
  <c r="CW100" i="42"/>
  <c r="Q103" i="41"/>
  <c r="CG100" i="42"/>
  <c r="BQ160" i="38"/>
  <c r="AG159" i="38"/>
  <c r="AG162" i="38"/>
  <c r="BQ159" i="38"/>
  <c r="BQ162" i="38"/>
  <c r="AG161" i="38"/>
  <c r="BQ161" i="38"/>
  <c r="AG160" i="38"/>
  <c r="AE208" i="38"/>
  <c r="AA208" i="38"/>
  <c r="S208" i="38"/>
  <c r="O208" i="38"/>
  <c r="K208" i="38"/>
  <c r="G208" i="38"/>
  <c r="AG199" i="38"/>
  <c r="AC199" i="38"/>
  <c r="U199" i="38"/>
  <c r="Q199" i="38"/>
  <c r="I199" i="38"/>
  <c r="Z208" i="38"/>
  <c r="U208" i="38"/>
  <c r="P208" i="38"/>
  <c r="J208" i="38"/>
  <c r="V199" i="38"/>
  <c r="K199" i="38"/>
  <c r="R208" i="38"/>
  <c r="H208" i="38"/>
  <c r="X199" i="38"/>
  <c r="H199" i="38"/>
  <c r="AD208" i="38"/>
  <c r="T208" i="38"/>
  <c r="I208" i="38"/>
  <c r="AE199" i="38"/>
  <c r="Z199" i="38"/>
  <c r="T199" i="38"/>
  <c r="O199" i="38"/>
  <c r="J199" i="38"/>
  <c r="AC208" i="38"/>
  <c r="X208" i="38"/>
  <c r="AD199" i="38"/>
  <c r="S199" i="38"/>
  <c r="AG208" i="38"/>
  <c r="L208" i="38"/>
  <c r="L199" i="38"/>
  <c r="AB208" i="38"/>
  <c r="AB199" i="38"/>
  <c r="G199" i="38"/>
  <c r="Q208" i="38"/>
  <c r="R199" i="38"/>
  <c r="V208" i="38"/>
  <c r="BB161" i="38"/>
  <c r="BB160" i="38"/>
  <c r="BB159" i="38"/>
  <c r="BB162" i="38" s="1"/>
  <c r="R161" i="38"/>
  <c r="R160" i="38"/>
  <c r="R159" i="38"/>
  <c r="R162" i="38" s="1"/>
  <c r="AD69" i="38"/>
  <c r="AD68" i="38"/>
  <c r="AD67" i="38"/>
  <c r="AD70" i="38"/>
  <c r="BN68" i="38"/>
  <c r="BN69" i="38"/>
  <c r="BN67" i="38"/>
  <c r="BN70" i="38"/>
  <c r="I342" i="39"/>
  <c r="I341" i="39"/>
  <c r="I340" i="39"/>
  <c r="I343" i="39"/>
  <c r="I349" i="39"/>
  <c r="AS342" i="39"/>
  <c r="AS340" i="39"/>
  <c r="AS343" i="39"/>
  <c r="AS349" i="39" s="1"/>
  <c r="AS341" i="39"/>
  <c r="AW159" i="38"/>
  <c r="AW162" i="38" s="1"/>
  <c r="M160" i="38"/>
  <c r="M161" i="38"/>
  <c r="AW161" i="38"/>
  <c r="M159" i="38"/>
  <c r="M162" i="38" s="1"/>
  <c r="AW160" i="38"/>
  <c r="W69" i="38"/>
  <c r="W68" i="38"/>
  <c r="W67" i="38"/>
  <c r="W70" i="38" s="1"/>
  <c r="BG69" i="38"/>
  <c r="BG68" i="38"/>
  <c r="BG67" i="38"/>
  <c r="BG70" i="38" s="1"/>
  <c r="AE160" i="38"/>
  <c r="BO160" i="38"/>
  <c r="BO161" i="38"/>
  <c r="AE159" i="38"/>
  <c r="AE162" i="38"/>
  <c r="BO159" i="38"/>
  <c r="BO162" i="38"/>
  <c r="AE161" i="38"/>
  <c r="U342" i="39"/>
  <c r="U341" i="39"/>
  <c r="U340" i="39"/>
  <c r="U343" i="39" s="1"/>
  <c r="BE342" i="39"/>
  <c r="BE341" i="39"/>
  <c r="BE340" i="39"/>
  <c r="BE343" i="39" s="1"/>
  <c r="BE349" i="39" s="1"/>
  <c r="AB161" i="38"/>
  <c r="AB160" i="38"/>
  <c r="AB159" i="38"/>
  <c r="AB162" i="38" s="1"/>
  <c r="BL160" i="38"/>
  <c r="BL159" i="38"/>
  <c r="BL162" i="38"/>
  <c r="BL161" i="38"/>
  <c r="BP342" i="39"/>
  <c r="BP341" i="39"/>
  <c r="AF341" i="39"/>
  <c r="AF342" i="39"/>
  <c r="BP340" i="39"/>
  <c r="BP343" i="39"/>
  <c r="AF340" i="39"/>
  <c r="AF343" i="39" s="1"/>
  <c r="AF291" i="42"/>
  <c r="AF290" i="42"/>
  <c r="AF289" i="42"/>
  <c r="AF292" i="42" s="1"/>
  <c r="AF298" i="42" s="1"/>
  <c r="BP290" i="42"/>
  <c r="BP289" i="42"/>
  <c r="BP292" i="42" s="1"/>
  <c r="BP291" i="42"/>
  <c r="AX291" i="42"/>
  <c r="AX290" i="42"/>
  <c r="AX289" i="42"/>
  <c r="AX292" i="42" s="1"/>
  <c r="AX298" i="42" s="1"/>
  <c r="N290" i="42"/>
  <c r="N289" i="42"/>
  <c r="N292" i="42" s="1"/>
  <c r="N298" i="42" s="1"/>
  <c r="N291" i="42"/>
  <c r="AY291" i="42"/>
  <c r="O289" i="42"/>
  <c r="O292" i="42" s="1"/>
  <c r="AY290" i="42"/>
  <c r="AY289" i="42"/>
  <c r="AY292" i="42" s="1"/>
  <c r="O290" i="42"/>
  <c r="O291" i="42"/>
  <c r="BF68" i="40"/>
  <c r="BF66" i="40"/>
  <c r="BF64" i="40"/>
  <c r="BF62" i="40"/>
  <c r="BF60" i="40"/>
  <c r="BF58" i="40"/>
  <c r="BF56" i="40"/>
  <c r="BF54" i="40"/>
  <c r="BF52" i="40"/>
  <c r="BF50" i="40"/>
  <c r="BF48" i="40"/>
  <c r="BF46" i="40"/>
  <c r="BF44" i="40"/>
  <c r="BF42" i="40"/>
  <c r="BF40" i="40"/>
  <c r="BF39" i="40"/>
  <c r="BF63" i="40"/>
  <c r="BF55" i="40"/>
  <c r="BF47" i="40"/>
  <c r="BF67" i="40"/>
  <c r="BF59" i="40"/>
  <c r="BF51" i="40"/>
  <c r="BF43" i="40"/>
  <c r="BF61" i="40"/>
  <c r="BF53" i="40"/>
  <c r="BF45" i="40"/>
  <c r="BF49" i="40"/>
  <c r="BF65" i="40"/>
  <c r="BF57" i="40"/>
  <c r="BF41" i="40"/>
  <c r="AC68" i="40"/>
  <c r="AC66" i="40"/>
  <c r="AC64" i="40"/>
  <c r="AC62" i="40"/>
  <c r="AC60" i="40"/>
  <c r="AC58" i="40"/>
  <c r="AC56" i="40"/>
  <c r="AC54" i="40"/>
  <c r="AC52" i="40"/>
  <c r="AC50" i="40"/>
  <c r="AC48" i="40"/>
  <c r="AC46" i="40"/>
  <c r="AC44" i="40"/>
  <c r="AC42" i="40"/>
  <c r="AC40" i="40"/>
  <c r="AC67" i="40"/>
  <c r="AC65" i="40"/>
  <c r="AC63" i="40"/>
  <c r="AC61" i="40"/>
  <c r="AC59" i="40"/>
  <c r="AC57" i="40"/>
  <c r="AC55" i="40"/>
  <c r="AC53" i="40"/>
  <c r="AC51" i="40"/>
  <c r="AC49" i="40"/>
  <c r="AC47" i="40"/>
  <c r="AC45" i="40"/>
  <c r="AC43" i="40"/>
  <c r="AC41" i="40"/>
  <c r="AC39" i="40"/>
  <c r="AD68" i="40"/>
  <c r="AD66" i="40"/>
  <c r="AD64" i="40"/>
  <c r="AD62" i="40"/>
  <c r="AD60" i="40"/>
  <c r="AD58" i="40"/>
  <c r="AD56" i="40"/>
  <c r="AD54" i="40"/>
  <c r="AD52" i="40"/>
  <c r="AD50" i="40"/>
  <c r="AD48" i="40"/>
  <c r="AD46" i="40"/>
  <c r="AD44" i="40"/>
  <c r="AD42" i="40"/>
  <c r="AD40" i="40"/>
  <c r="AD39" i="40"/>
  <c r="AD67" i="40"/>
  <c r="AD59" i="40"/>
  <c r="AD51" i="40"/>
  <c r="AD43" i="40"/>
  <c r="AD63" i="40"/>
  <c r="AD55" i="40"/>
  <c r="AD47" i="40"/>
  <c r="AD61" i="40"/>
  <c r="AD53" i="40"/>
  <c r="AD45" i="40"/>
  <c r="AD65" i="40"/>
  <c r="AD57" i="40"/>
  <c r="AD41" i="40"/>
  <c r="AD49" i="40"/>
  <c r="BS68" i="40"/>
  <c r="BS66" i="40"/>
  <c r="BS64" i="40"/>
  <c r="BS62" i="40"/>
  <c r="BS60" i="40"/>
  <c r="BS58" i="40"/>
  <c r="BS56" i="40"/>
  <c r="BS54" i="40"/>
  <c r="BS52" i="40"/>
  <c r="BS50" i="40"/>
  <c r="BS48" i="40"/>
  <c r="BS46" i="40"/>
  <c r="BS44" i="40"/>
  <c r="BS42" i="40"/>
  <c r="BS40" i="40"/>
  <c r="BS67" i="40"/>
  <c r="BS65" i="40"/>
  <c r="BS63" i="40"/>
  <c r="BS61" i="40"/>
  <c r="BS59" i="40"/>
  <c r="BS57" i="40"/>
  <c r="BS55" i="40"/>
  <c r="BS53" i="40"/>
  <c r="BS51" i="40"/>
  <c r="BS49" i="40"/>
  <c r="BS47" i="40"/>
  <c r="BS45" i="40"/>
  <c r="BS43" i="40"/>
  <c r="BS41" i="40"/>
  <c r="BS39" i="40"/>
  <c r="CL125" i="42"/>
  <c r="CL51" i="42"/>
  <c r="CL30" i="42"/>
  <c r="CL72" i="42"/>
  <c r="CL93" i="42"/>
  <c r="AI67" i="40"/>
  <c r="AI65" i="40"/>
  <c r="AI63" i="40"/>
  <c r="AI61" i="40"/>
  <c r="AI59" i="40"/>
  <c r="AI57" i="40"/>
  <c r="AI55" i="40"/>
  <c r="AI53" i="40"/>
  <c r="AI51" i="40"/>
  <c r="AI49" i="40"/>
  <c r="AI47" i="40"/>
  <c r="AI45" i="40"/>
  <c r="AI43" i="40"/>
  <c r="AI41" i="40"/>
  <c r="AI39" i="40"/>
  <c r="AI66" i="40"/>
  <c r="AI58" i="40"/>
  <c r="AI50" i="40"/>
  <c r="AI42" i="40"/>
  <c r="AI62" i="40"/>
  <c r="AI54" i="40"/>
  <c r="AI46" i="40"/>
  <c r="AI56" i="40"/>
  <c r="AI68" i="40"/>
  <c r="AI60" i="40"/>
  <c r="AI52" i="40"/>
  <c r="AI44" i="40"/>
  <c r="AI64" i="40"/>
  <c r="AI48" i="40"/>
  <c r="AI40" i="40"/>
  <c r="BJ93" i="42"/>
  <c r="BJ72" i="42"/>
  <c r="BJ125" i="42"/>
  <c r="BJ113" i="42" s="1"/>
  <c r="BJ51" i="42"/>
  <c r="BJ30" i="42"/>
  <c r="AW125" i="42"/>
  <c r="AW113" i="42" s="1"/>
  <c r="AW51" i="42"/>
  <c r="AW93" i="42"/>
  <c r="AW30" i="42"/>
  <c r="AW72" i="42"/>
  <c r="J93" i="42"/>
  <c r="J72" i="42"/>
  <c r="J125" i="42"/>
  <c r="J51" i="42"/>
  <c r="J30" i="42"/>
  <c r="K7" i="41"/>
  <c r="AU93" i="42"/>
  <c r="AU72" i="42"/>
  <c r="AU125" i="42"/>
  <c r="AU113" i="42"/>
  <c r="AU51" i="42"/>
  <c r="AU30" i="42"/>
  <c r="CF93" i="42"/>
  <c r="CF72" i="42"/>
  <c r="CF125" i="42"/>
  <c r="CF51" i="42"/>
  <c r="CF30" i="42"/>
  <c r="AI72" i="42"/>
  <c r="AI125" i="42"/>
  <c r="AI51" i="42"/>
  <c r="AI93" i="42"/>
  <c r="AI30" i="42"/>
  <c r="BI7" i="41"/>
  <c r="CC72" i="42"/>
  <c r="CC125" i="42"/>
  <c r="CC51" i="42"/>
  <c r="CC30" i="42"/>
  <c r="CC93" i="42"/>
  <c r="AS354" i="39"/>
  <c r="AS355" i="39"/>
  <c r="BJ355" i="39"/>
  <c r="BJ354" i="39"/>
  <c r="CJ100" i="42"/>
  <c r="W103" i="41"/>
  <c r="AG81" i="41"/>
  <c r="BI62" i="41"/>
  <c r="DC61" i="42"/>
  <c r="CU58" i="42"/>
  <c r="AS59" i="41"/>
  <c r="CE58" i="42"/>
  <c r="M59" i="41"/>
  <c r="AU40" i="41"/>
  <c r="CV40" i="42"/>
  <c r="CY67" i="42"/>
  <c r="BA68" i="41"/>
  <c r="CA67" i="42"/>
  <c r="E68" i="41"/>
  <c r="L106" i="41"/>
  <c r="CD103" i="42"/>
  <c r="CA79" i="42"/>
  <c r="AV62" i="41"/>
  <c r="CZ61" i="42"/>
  <c r="AA40" i="41"/>
  <c r="CN46" i="42"/>
  <c r="AE46" i="41"/>
  <c r="L112" i="41"/>
  <c r="CD109" i="42"/>
  <c r="CC109" i="42"/>
  <c r="I112" i="41"/>
  <c r="CX88" i="42"/>
  <c r="AY90" i="41"/>
  <c r="CS88" i="42"/>
  <c r="AO90" i="41"/>
  <c r="AG217" i="38"/>
  <c r="AG213" i="38"/>
  <c r="AG164" i="38" s="1"/>
  <c r="AG189" i="38"/>
  <c r="AG214" i="38"/>
  <c r="AG218" i="38"/>
  <c r="N218" i="38"/>
  <c r="N217" i="38"/>
  <c r="N189" i="38"/>
  <c r="N213" i="38"/>
  <c r="N214" i="38"/>
  <c r="BB218" i="38"/>
  <c r="BB214" i="38"/>
  <c r="BB213" i="38"/>
  <c r="BB164" i="38" s="1"/>
  <c r="BB189" i="38"/>
  <c r="BB217" i="38"/>
  <c r="BB165" i="38" s="1"/>
  <c r="CC312" i="39"/>
  <c r="B312" i="39"/>
  <c r="L375" i="42"/>
  <c r="AJ9" i="38"/>
  <c r="EE2" i="44"/>
  <c r="HI2" i="43"/>
  <c r="ED2" i="44"/>
  <c r="HH2" i="43"/>
  <c r="CX67" i="42"/>
  <c r="AY68" i="41"/>
  <c r="CT67" i="42"/>
  <c r="AQ68" i="41"/>
  <c r="BE214" i="38"/>
  <c r="BE213" i="38"/>
  <c r="BE218" i="38"/>
  <c r="BE217" i="38"/>
  <c r="BE189" i="38"/>
  <c r="CR109" i="42"/>
  <c r="AM112" i="41"/>
  <c r="AR323" i="39"/>
  <c r="BI325" i="39"/>
  <c r="AV355" i="39"/>
  <c r="AV354" i="39"/>
  <c r="BL69" i="38"/>
  <c r="BL68" i="38"/>
  <c r="BL67" i="38"/>
  <c r="BL70" i="38" s="1"/>
  <c r="AB68" i="38"/>
  <c r="AB69" i="38"/>
  <c r="AB67" i="38"/>
  <c r="AB70" i="38" s="1"/>
  <c r="BM159" i="38"/>
  <c r="BM162" i="38" s="1"/>
  <c r="BM161" i="38"/>
  <c r="AC161" i="38"/>
  <c r="AC160" i="38"/>
  <c r="BM160" i="38"/>
  <c r="AC159" i="38"/>
  <c r="AC162" i="38"/>
  <c r="AH69" i="38"/>
  <c r="AH68" i="38"/>
  <c r="AH67" i="38"/>
  <c r="AH70" i="38"/>
  <c r="BR69" i="38"/>
  <c r="BR67" i="38"/>
  <c r="BR70" i="38" s="1"/>
  <c r="BR68" i="38"/>
  <c r="BC342" i="39"/>
  <c r="BC341" i="39"/>
  <c r="BC340" i="39"/>
  <c r="BC343" i="39" s="1"/>
  <c r="S341" i="39"/>
  <c r="S340" i="39"/>
  <c r="S343" i="39" s="1"/>
  <c r="S342" i="39"/>
  <c r="BG160" i="38"/>
  <c r="W160" i="38"/>
  <c r="W161" i="38"/>
  <c r="BG159" i="38"/>
  <c r="BG162" i="38" s="1"/>
  <c r="BG161" i="38"/>
  <c r="W159" i="38"/>
  <c r="W162" i="38" s="1"/>
  <c r="AU342" i="39"/>
  <c r="AU341" i="39"/>
  <c r="AU340" i="39"/>
  <c r="AU343" i="39" s="1"/>
  <c r="K341" i="39"/>
  <c r="K342" i="39"/>
  <c r="K340" i="39"/>
  <c r="K343" i="39" s="1"/>
  <c r="K349" i="39" s="1"/>
  <c r="BR342" i="39"/>
  <c r="AH342" i="39"/>
  <c r="AH341" i="39"/>
  <c r="BR341" i="39"/>
  <c r="AH340" i="39"/>
  <c r="AH343" i="39"/>
  <c r="BR340" i="39"/>
  <c r="BR343" i="39" s="1"/>
  <c r="T340" i="39"/>
  <c r="T343" i="39" s="1"/>
  <c r="T349" i="39" s="1"/>
  <c r="BD340" i="39"/>
  <c r="BD343" i="39" s="1"/>
  <c r="BD349" i="39" s="1"/>
  <c r="BD342" i="39"/>
  <c r="BD341" i="39"/>
  <c r="T342" i="39"/>
  <c r="T341" i="39"/>
  <c r="L291" i="42"/>
  <c r="L290" i="42"/>
  <c r="L289" i="42"/>
  <c r="L292" i="42" s="1"/>
  <c r="AV289" i="42"/>
  <c r="AV292" i="42" s="1"/>
  <c r="AV290" i="42"/>
  <c r="AV291" i="42"/>
  <c r="BB291" i="42"/>
  <c r="BB290" i="42"/>
  <c r="BB289" i="42"/>
  <c r="BB292" i="42" s="1"/>
  <c r="BB298" i="42" s="1"/>
  <c r="R291" i="42"/>
  <c r="R290" i="42"/>
  <c r="R289" i="42"/>
  <c r="R292" i="42" s="1"/>
  <c r="R298" i="42" s="1"/>
  <c r="S290" i="42"/>
  <c r="BC291" i="42"/>
  <c r="S289" i="42"/>
  <c r="S292" i="42" s="1"/>
  <c r="BC289" i="42"/>
  <c r="BC292" i="42" s="1"/>
  <c r="BC298" i="42" s="1"/>
  <c r="BC290" i="42"/>
  <c r="S291" i="42"/>
  <c r="AJ67" i="40"/>
  <c r="AJ65" i="40"/>
  <c r="AJ63" i="40"/>
  <c r="AJ61" i="40"/>
  <c r="AJ59" i="40"/>
  <c r="AJ57" i="40"/>
  <c r="AJ55" i="40"/>
  <c r="AJ53" i="40"/>
  <c r="AJ51" i="40"/>
  <c r="AJ49" i="40"/>
  <c r="AJ47" i="40"/>
  <c r="AJ45" i="40"/>
  <c r="AJ43" i="40"/>
  <c r="AJ41" i="40"/>
  <c r="AJ39" i="40"/>
  <c r="AJ68" i="40"/>
  <c r="AJ66" i="40"/>
  <c r="AJ64" i="40"/>
  <c r="AJ62" i="40"/>
  <c r="AJ60" i="40"/>
  <c r="AJ58" i="40"/>
  <c r="AJ56" i="40"/>
  <c r="AJ54" i="40"/>
  <c r="AJ52" i="40"/>
  <c r="AJ50" i="40"/>
  <c r="AJ48" i="40"/>
  <c r="AJ46" i="40"/>
  <c r="AJ44" i="40"/>
  <c r="AJ42" i="40"/>
  <c r="AJ40" i="40"/>
  <c r="BA67" i="40"/>
  <c r="BA65" i="40"/>
  <c r="BA63" i="40"/>
  <c r="BA61" i="40"/>
  <c r="BA59" i="40"/>
  <c r="BA57" i="40"/>
  <c r="BA55" i="40"/>
  <c r="BA53" i="40"/>
  <c r="BA51" i="40"/>
  <c r="BA49" i="40"/>
  <c r="BA47" i="40"/>
  <c r="BA45" i="40"/>
  <c r="BA43" i="40"/>
  <c r="BA41" i="40"/>
  <c r="BA39" i="40"/>
  <c r="BA66" i="40"/>
  <c r="BA58" i="40"/>
  <c r="BA50" i="40"/>
  <c r="BA42" i="40"/>
  <c r="BA62" i="40"/>
  <c r="BA54" i="40"/>
  <c r="BA46" i="40"/>
  <c r="BA64" i="40"/>
  <c r="BA56" i="40"/>
  <c r="BA48" i="40"/>
  <c r="BA40" i="40"/>
  <c r="BA68" i="40"/>
  <c r="BA44" i="40"/>
  <c r="BA60" i="40"/>
  <c r="BA52" i="40"/>
  <c r="Y68" i="40"/>
  <c r="Y66" i="40"/>
  <c r="Y64" i="40"/>
  <c r="Y62" i="40"/>
  <c r="Y60" i="40"/>
  <c r="Y58" i="40"/>
  <c r="Y56" i="40"/>
  <c r="Y54" i="40"/>
  <c r="Y52" i="40"/>
  <c r="Y50" i="40"/>
  <c r="Y48" i="40"/>
  <c r="Y46" i="40"/>
  <c r="Y44" i="40"/>
  <c r="Y42" i="40"/>
  <c r="Y40" i="40"/>
  <c r="Y39" i="40"/>
  <c r="Y61" i="40"/>
  <c r="Y53" i="40"/>
  <c r="Y45" i="40"/>
  <c r="Y65" i="40"/>
  <c r="Y57" i="40"/>
  <c r="Y49" i="40"/>
  <c r="Y41" i="40"/>
  <c r="Y67" i="40"/>
  <c r="Y59" i="40"/>
  <c r="Y51" i="40"/>
  <c r="Y43" i="40"/>
  <c r="Y63" i="40"/>
  <c r="Y55" i="40"/>
  <c r="Y47" i="40"/>
  <c r="BN93" i="42"/>
  <c r="BN125" i="42"/>
  <c r="BN113" i="42" s="1"/>
  <c r="BN51" i="42"/>
  <c r="BN30" i="42"/>
  <c r="BN72" i="42"/>
  <c r="BG68" i="40"/>
  <c r="BG66" i="40"/>
  <c r="BG64" i="40"/>
  <c r="BG62" i="40"/>
  <c r="BG60" i="40"/>
  <c r="BG58" i="40"/>
  <c r="BG56" i="40"/>
  <c r="BG54" i="40"/>
  <c r="BG52" i="40"/>
  <c r="BG50" i="40"/>
  <c r="BG48" i="40"/>
  <c r="BG46" i="40"/>
  <c r="BG44" i="40"/>
  <c r="BG42" i="40"/>
  <c r="BG40" i="40"/>
  <c r="BG61" i="40"/>
  <c r="BG53" i="40"/>
  <c r="BG45" i="40"/>
  <c r="BG39" i="40"/>
  <c r="BG65" i="40"/>
  <c r="BG57" i="40"/>
  <c r="BG49" i="40"/>
  <c r="BG41" i="40"/>
  <c r="BG63" i="40"/>
  <c r="BG55" i="40"/>
  <c r="BG47" i="40"/>
  <c r="BG67" i="40"/>
  <c r="BG59" i="40"/>
  <c r="BG51" i="40"/>
  <c r="BG43" i="40"/>
  <c r="DB125" i="42"/>
  <c r="DB51" i="42"/>
  <c r="DB30" i="42"/>
  <c r="DB72" i="42"/>
  <c r="DB93" i="42"/>
  <c r="AV67" i="40"/>
  <c r="AV65" i="40"/>
  <c r="AV63" i="40"/>
  <c r="AV61" i="40"/>
  <c r="AV59" i="40"/>
  <c r="AV57" i="40"/>
  <c r="AV55" i="40"/>
  <c r="AV53" i="40"/>
  <c r="AV51" i="40"/>
  <c r="AV49" i="40"/>
  <c r="AV47" i="40"/>
  <c r="AV45" i="40"/>
  <c r="AV43" i="40"/>
  <c r="AV41" i="40"/>
  <c r="AV68" i="40"/>
  <c r="AV60" i="40"/>
  <c r="AV52" i="40"/>
  <c r="AV44" i="40"/>
  <c r="AV39" i="40"/>
  <c r="AV64" i="40"/>
  <c r="AV56" i="40"/>
  <c r="AV48" i="40"/>
  <c r="AV40" i="40"/>
  <c r="AV66" i="40"/>
  <c r="AV58" i="40"/>
  <c r="AV50" i="40"/>
  <c r="AV42" i="40"/>
  <c r="AV54" i="40"/>
  <c r="AV46" i="40"/>
  <c r="AV62" i="40"/>
  <c r="CA93" i="42"/>
  <c r="CA125" i="42"/>
  <c r="CA51" i="42"/>
  <c r="CA72" i="42"/>
  <c r="CA30" i="42"/>
  <c r="AG93" i="42"/>
  <c r="AG72" i="42"/>
  <c r="AG51" i="42"/>
  <c r="AG30" i="42"/>
  <c r="AG125" i="42"/>
  <c r="BE7" i="41"/>
  <c r="DC93" i="42"/>
  <c r="DC72" i="42"/>
  <c r="DC51" i="42"/>
  <c r="DC30" i="42"/>
  <c r="DC125" i="42"/>
  <c r="BE125" i="42"/>
  <c r="BE113" i="42" s="1"/>
  <c r="BE51" i="42"/>
  <c r="BE93" i="42"/>
  <c r="BE30" i="42"/>
  <c r="BE72" i="42"/>
  <c r="N93" i="42"/>
  <c r="N72" i="42"/>
  <c r="N51" i="42"/>
  <c r="S7" i="41"/>
  <c r="N125" i="42"/>
  <c r="N30" i="42"/>
  <c r="AY93" i="42"/>
  <c r="AY72" i="42"/>
  <c r="AY51" i="42"/>
  <c r="AY125" i="42"/>
  <c r="AY113" i="42" s="1"/>
  <c r="AY30" i="42"/>
  <c r="CJ93" i="42"/>
  <c r="CJ72" i="42"/>
  <c r="CJ51" i="42"/>
  <c r="CJ125" i="42"/>
  <c r="CJ30" i="42"/>
  <c r="G72" i="42"/>
  <c r="G125" i="42"/>
  <c r="G51" i="42"/>
  <c r="G30" i="42"/>
  <c r="G93" i="42"/>
  <c r="E7" i="41"/>
  <c r="AR72" i="42"/>
  <c r="AR125" i="42"/>
  <c r="AR113" i="42" s="1"/>
  <c r="AR51" i="42"/>
  <c r="AR30" i="42"/>
  <c r="AR93" i="42"/>
  <c r="CG72" i="42"/>
  <c r="CG125" i="42"/>
  <c r="CG51" i="42"/>
  <c r="CG93" i="42"/>
  <c r="CG30" i="42"/>
  <c r="CW72" i="42"/>
  <c r="CW125" i="42"/>
  <c r="CW51" i="42"/>
  <c r="CW93" i="42"/>
  <c r="CW30" i="42"/>
  <c r="BM354" i="39"/>
  <c r="BM355" i="39"/>
  <c r="W26" i="44"/>
  <c r="Y24" i="44"/>
  <c r="Y15" i="44"/>
  <c r="AJ15" i="44"/>
  <c r="AG19" i="44"/>
  <c r="AB19" i="44"/>
  <c r="Y28" i="44"/>
  <c r="W20" i="44"/>
  <c r="AC20" i="44"/>
  <c r="AK23" i="44"/>
  <c r="AG23" i="44"/>
  <c r="AB23" i="44"/>
  <c r="BG30" i="43"/>
  <c r="AD2" i="44"/>
  <c r="AF2" i="44"/>
  <c r="BI34" i="43"/>
  <c r="BJ34" i="43"/>
  <c r="BK34" i="43"/>
  <c r="AB3" i="44"/>
  <c r="Z3" i="44"/>
  <c r="AI3" i="44"/>
  <c r="Y3" i="44"/>
  <c r="AI19" i="44"/>
  <c r="BJ29" i="43"/>
  <c r="BQ29" i="43"/>
  <c r="BO26" i="43"/>
  <c r="BS22" i="43"/>
  <c r="BP32" i="43"/>
  <c r="BH32" i="43"/>
  <c r="BM32" i="43"/>
  <c r="BR28" i="43"/>
  <c r="BT28" i="43"/>
  <c r="BG28" i="43"/>
  <c r="BS28" i="43"/>
  <c r="BJ25" i="43"/>
  <c r="BG25" i="43"/>
  <c r="BQ16" i="43"/>
  <c r="BO24" i="43"/>
  <c r="BI24" i="43"/>
  <c r="BN24" i="43"/>
  <c r="BT21" i="43"/>
  <c r="BH21" i="43"/>
  <c r="BJ21" i="43"/>
  <c r="BK21" i="43"/>
  <c r="BQ11" i="43"/>
  <c r="BF11" i="43"/>
  <c r="BL20" i="43"/>
  <c r="BS20" i="43"/>
  <c r="BM13" i="43"/>
  <c r="BR13" i="43"/>
  <c r="BH11" i="43"/>
  <c r="BI5" i="43"/>
  <c r="BN5" i="43"/>
  <c r="BL18" i="43"/>
  <c r="BS18" i="43"/>
  <c r="BG15" i="43"/>
  <c r="BJ15" i="43"/>
  <c r="BT7" i="43"/>
  <c r="BQ7" i="43"/>
  <c r="BF7" i="43"/>
  <c r="BF2" i="43"/>
  <c r="BG2" i="43"/>
  <c r="BP2" i="43"/>
  <c r="BR293" i="42"/>
  <c r="BN293" i="42"/>
  <c r="BJ293" i="42"/>
  <c r="BF293" i="42"/>
  <c r="BB293" i="42"/>
  <c r="AX293" i="42"/>
  <c r="AT293" i="42"/>
  <c r="BQ293" i="42"/>
  <c r="BM293" i="42"/>
  <c r="BI293" i="42"/>
  <c r="BE293" i="42"/>
  <c r="BA293" i="42"/>
  <c r="AW293" i="42"/>
  <c r="BL293" i="42"/>
  <c r="BD293" i="42"/>
  <c r="AV293" i="42"/>
  <c r="AQ293" i="42"/>
  <c r="BS293" i="42"/>
  <c r="BK293" i="42"/>
  <c r="BC293" i="42"/>
  <c r="AU293" i="42"/>
  <c r="BO293" i="42"/>
  <c r="AY293" i="42"/>
  <c r="BH293" i="42"/>
  <c r="AS293" i="42"/>
  <c r="BP293" i="42"/>
  <c r="BG293" i="42"/>
  <c r="AZ293" i="42"/>
  <c r="AR293" i="42"/>
  <c r="BH9" i="43"/>
  <c r="BQ9" i="43"/>
  <c r="BG253" i="42"/>
  <c r="BF253" i="42"/>
  <c r="AX253" i="42"/>
  <c r="AY250" i="42"/>
  <c r="K270" i="42"/>
  <c r="R269" i="42"/>
  <c r="X269" i="42"/>
  <c r="CN103" i="42"/>
  <c r="AE106" i="41"/>
  <c r="CV58" i="42"/>
  <c r="BA59" i="41"/>
  <c r="CQ61" i="42"/>
  <c r="AK62" i="41"/>
  <c r="U59" i="41"/>
  <c r="CI58" i="42"/>
  <c r="CA61" i="42"/>
  <c r="E62" i="41"/>
  <c r="CF40" i="42"/>
  <c r="O40" i="41"/>
  <c r="CG37" i="42"/>
  <c r="Q37" i="41"/>
  <c r="BK250" i="42"/>
  <c r="CD61" i="42"/>
  <c r="K62" i="41"/>
  <c r="CX58" i="42"/>
  <c r="AY59" i="41"/>
  <c r="CP58" i="42"/>
  <c r="AI59" i="41"/>
  <c r="S59" i="41"/>
  <c r="AO46" i="41"/>
  <c r="I46" i="41"/>
  <c r="W40" i="41"/>
  <c r="AF68" i="41"/>
  <c r="H68" i="41"/>
  <c r="CB67" i="42"/>
  <c r="BH68" i="41" s="1"/>
  <c r="AV59" i="41"/>
  <c r="CY46" i="42"/>
  <c r="BA46" i="41"/>
  <c r="CU46" i="42"/>
  <c r="AS46" i="41"/>
  <c r="CE46" i="42"/>
  <c r="M46" i="41"/>
  <c r="DB46" i="42"/>
  <c r="BG46" i="41"/>
  <c r="CT46" i="42"/>
  <c r="AQ46" i="41"/>
  <c r="CE88" i="42"/>
  <c r="CV61" i="42"/>
  <c r="CH46" i="42"/>
  <c r="S46" i="41"/>
  <c r="BJ15" i="41"/>
  <c r="BK127" i="42"/>
  <c r="AD15" i="41"/>
  <c r="BC127" i="42"/>
  <c r="N15" i="41"/>
  <c r="AX112" i="41"/>
  <c r="DB109" i="42"/>
  <c r="AG112" i="41"/>
  <c r="CO109" i="42"/>
  <c r="DB88" i="42"/>
  <c r="BG90" i="41"/>
  <c r="AA90" i="41"/>
  <c r="CL88" i="42"/>
  <c r="CP46" i="42"/>
  <c r="CK88" i="42"/>
  <c r="Y90" i="41"/>
  <c r="DC82" i="42"/>
  <c r="CM82" i="42"/>
  <c r="DB79" i="42"/>
  <c r="BG81" i="41"/>
  <c r="AY81" i="41"/>
  <c r="AQ81" i="41"/>
  <c r="CT79" i="42"/>
  <c r="CP79" i="42"/>
  <c r="AI81" i="41"/>
  <c r="CL79" i="42"/>
  <c r="AA81" i="41"/>
  <c r="S81" i="41"/>
  <c r="CD79" i="42"/>
  <c r="K81" i="41"/>
  <c r="AV369" i="39"/>
  <c r="AU369" i="39"/>
  <c r="BA218" i="38"/>
  <c r="BA217" i="38"/>
  <c r="BA189" i="38"/>
  <c r="BA214" i="38"/>
  <c r="BA213" i="38"/>
  <c r="AB213" i="38"/>
  <c r="AB164" i="38" s="1"/>
  <c r="AB217" i="38"/>
  <c r="AB214" i="38"/>
  <c r="AB218" i="38"/>
  <c r="AB189" i="38"/>
  <c r="G218" i="38"/>
  <c r="G214" i="38"/>
  <c r="G213" i="38"/>
  <c r="G217" i="38"/>
  <c r="G165" i="38" s="1"/>
  <c r="G189" i="38"/>
  <c r="R214" i="38"/>
  <c r="R213" i="38"/>
  <c r="R218" i="38"/>
  <c r="R217" i="38"/>
  <c r="R189" i="38"/>
  <c r="AH214" i="38"/>
  <c r="AH213" i="38"/>
  <c r="AH218" i="38"/>
  <c r="AH217" i="38"/>
  <c r="AH189" i="38"/>
  <c r="BF218" i="38"/>
  <c r="BF214" i="38"/>
  <c r="BF217" i="38"/>
  <c r="BF189" i="38"/>
  <c r="BF213" i="38"/>
  <c r="DC37" i="42"/>
  <c r="BI37" i="41"/>
  <c r="CM37" i="42"/>
  <c r="AC37" i="41"/>
  <c r="AT15" i="41"/>
  <c r="BD207" i="38"/>
  <c r="BD205" i="38"/>
  <c r="BD203" i="38"/>
  <c r="BD197" i="38"/>
  <c r="BD195" i="38"/>
  <c r="BD193" i="38"/>
  <c r="BD202" i="38"/>
  <c r="BD204" i="38"/>
  <c r="BD194" i="38"/>
  <c r="BD206" i="38"/>
  <c r="BD196" i="38"/>
  <c r="BD198" i="38"/>
  <c r="BB176" i="42"/>
  <c r="AI208" i="42" s="1"/>
  <c r="AG208" i="42"/>
  <c r="BA176" i="42"/>
  <c r="BZ33" i="43"/>
  <c r="BX34" i="43"/>
  <c r="BY32" i="43"/>
  <c r="BX31" i="43"/>
  <c r="BZ29" i="43"/>
  <c r="BY28" i="43"/>
  <c r="BY34" i="43"/>
  <c r="BX32" i="43"/>
  <c r="BX28" i="43"/>
  <c r="BY27" i="43"/>
  <c r="BZ30" i="43"/>
  <c r="BX33" i="43"/>
  <c r="BY30" i="43"/>
  <c r="BZ34" i="43"/>
  <c r="BZ32" i="43"/>
  <c r="BX30" i="43"/>
  <c r="BY33" i="43"/>
  <c r="BZ31" i="43"/>
  <c r="BY29" i="43"/>
  <c r="BZ27" i="43"/>
  <c r="BX26" i="43"/>
  <c r="BZ24" i="43"/>
  <c r="BY23" i="43"/>
  <c r="BX22" i="43"/>
  <c r="BY31" i="43"/>
  <c r="BX29" i="43"/>
  <c r="BX27" i="43"/>
  <c r="BZ25" i="43"/>
  <c r="BY24" i="43"/>
  <c r="BX23" i="43"/>
  <c r="BZ21" i="43"/>
  <c r="BY20" i="43"/>
  <c r="BX19" i="43"/>
  <c r="BZ26" i="43"/>
  <c r="BY25" i="43"/>
  <c r="BZ22" i="43"/>
  <c r="BY21" i="43"/>
  <c r="BX20" i="43"/>
  <c r="BY26" i="43"/>
  <c r="BX25" i="43"/>
  <c r="BZ23" i="43"/>
  <c r="BY22" i="43"/>
  <c r="BX21" i="43"/>
  <c r="BY18" i="43"/>
  <c r="BZ20" i="43"/>
  <c r="BX18" i="43"/>
  <c r="BZ17" i="43"/>
  <c r="BY16" i="43"/>
  <c r="BZ15" i="43"/>
  <c r="BX14" i="43"/>
  <c r="BZ13" i="43"/>
  <c r="BX12" i="43"/>
  <c r="BZ11" i="43"/>
  <c r="BX10" i="43"/>
  <c r="BZ9" i="43"/>
  <c r="BX8" i="43"/>
  <c r="BZ7" i="43"/>
  <c r="BX6" i="43"/>
  <c r="BZ5" i="43"/>
  <c r="BX4" i="43"/>
  <c r="BY3" i="43"/>
  <c r="BX2" i="43"/>
  <c r="BZ19" i="43"/>
  <c r="BY17" i="43"/>
  <c r="BX16" i="43"/>
  <c r="BY15" i="43"/>
  <c r="BY13" i="43"/>
  <c r="BY11" i="43"/>
  <c r="BY9" i="43"/>
  <c r="BY7" i="43"/>
  <c r="BY5" i="43"/>
  <c r="BX3" i="43"/>
  <c r="BZ18" i="43"/>
  <c r="BZ12" i="43"/>
  <c r="BY10" i="43"/>
  <c r="BX9" i="43"/>
  <c r="BZ4" i="43"/>
  <c r="BZ2" i="43"/>
  <c r="BZ16" i="43"/>
  <c r="BZ14" i="43"/>
  <c r="BY12" i="43"/>
  <c r="BX11" i="43"/>
  <c r="BZ6" i="43"/>
  <c r="BY4" i="43"/>
  <c r="BX13" i="43"/>
  <c r="BZ10" i="43"/>
  <c r="BX24" i="43"/>
  <c r="BY19" i="43"/>
  <c r="BZ8" i="43"/>
  <c r="BZ28" i="43"/>
  <c r="BX15" i="43"/>
  <c r="BY14" i="43"/>
  <c r="BY8" i="43"/>
  <c r="BX7" i="43"/>
  <c r="BY6" i="43"/>
  <c r="BX5" i="43"/>
  <c r="BY2" i="43"/>
  <c r="BX17" i="43"/>
  <c r="BZ3" i="43"/>
  <c r="AQ421" i="42"/>
  <c r="AS420" i="42"/>
  <c r="AR420" i="42"/>
  <c r="EL2" i="44"/>
  <c r="HR2" i="43"/>
  <c r="AV2" i="44"/>
  <c r="OI2" i="43"/>
  <c r="DJ2" i="43"/>
  <c r="AW357" i="42"/>
  <c r="CA177" i="41"/>
  <c r="DA100" i="42"/>
  <c r="BE103" i="41"/>
  <c r="CS100" i="42"/>
  <c r="AO103" i="41"/>
  <c r="AG103" i="41"/>
  <c r="CO100" i="42"/>
  <c r="CK100" i="42"/>
  <c r="Y103" i="41"/>
  <c r="CC100" i="42"/>
  <c r="I103" i="41"/>
  <c r="CL67" i="42"/>
  <c r="AA68" i="41"/>
  <c r="BS325" i="39"/>
  <c r="AZ217" i="38"/>
  <c r="AZ213" i="38"/>
  <c r="AZ189" i="38"/>
  <c r="AZ214" i="38"/>
  <c r="AZ218" i="38"/>
  <c r="U217" i="38"/>
  <c r="U213" i="38"/>
  <c r="U189" i="38"/>
  <c r="U214" i="38"/>
  <c r="U218" i="38"/>
  <c r="CY37" i="42"/>
  <c r="BA37" i="41"/>
  <c r="CQ46" i="42"/>
  <c r="AK46" i="41"/>
  <c r="CQ40" i="42"/>
  <c r="AK40" i="41"/>
  <c r="CA40" i="42"/>
  <c r="E40" i="41"/>
  <c r="AX15" i="41"/>
  <c r="T15" i="41"/>
  <c r="AW325" i="39"/>
  <c r="AW323" i="39"/>
  <c r="BM325" i="39"/>
  <c r="BM323" i="39"/>
  <c r="CV109" i="42"/>
  <c r="AU112" i="41"/>
  <c r="CB109" i="42"/>
  <c r="BH112" i="41"/>
  <c r="G112" i="41"/>
  <c r="AW106" i="41"/>
  <c r="CW103" i="42"/>
  <c r="Q106" i="41"/>
  <c r="CG103" i="42"/>
  <c r="AX342" i="39"/>
  <c r="N341" i="39"/>
  <c r="AX341" i="39"/>
  <c r="N340" i="39"/>
  <c r="N343" i="39" s="1"/>
  <c r="AX340" i="39"/>
  <c r="AX343" i="39" s="1"/>
  <c r="AX348" i="39" s="1"/>
  <c r="N342" i="39"/>
  <c r="BE354" i="39"/>
  <c r="BE355" i="39"/>
  <c r="BH207" i="38"/>
  <c r="BH205" i="38"/>
  <c r="BH203" i="38"/>
  <c r="BH197" i="38"/>
  <c r="BH195" i="38"/>
  <c r="BH193" i="38"/>
  <c r="BH198" i="38"/>
  <c r="BH204" i="38"/>
  <c r="BH194" i="38"/>
  <c r="BH202" i="38"/>
  <c r="BH196" i="38"/>
  <c r="BH206" i="38"/>
  <c r="AV69" i="38"/>
  <c r="AV68" i="38"/>
  <c r="AV67" i="38"/>
  <c r="AV70" i="38" s="1"/>
  <c r="L68" i="38"/>
  <c r="L69" i="38"/>
  <c r="L67" i="38"/>
  <c r="L70" i="38" s="1"/>
  <c r="BH323" i="39"/>
  <c r="BS355" i="39"/>
  <c r="BS354" i="39"/>
  <c r="BK355" i="39"/>
  <c r="BK354" i="39"/>
  <c r="BC355" i="39"/>
  <c r="BC354" i="39"/>
  <c r="AU355" i="39"/>
  <c r="AU354" i="39"/>
  <c r="AY207" i="38"/>
  <c r="BR208" i="38"/>
  <c r="BN208" i="38"/>
  <c r="BF208" i="38"/>
  <c r="BB208" i="38"/>
  <c r="AX208" i="38"/>
  <c r="AT208" i="38"/>
  <c r="BP199" i="38"/>
  <c r="BH199" i="38"/>
  <c r="BD199" i="38"/>
  <c r="AV199" i="38"/>
  <c r="AR199" i="38"/>
  <c r="BS208" i="38"/>
  <c r="BM208" i="38"/>
  <c r="BH208" i="38"/>
  <c r="BC208" i="38"/>
  <c r="AW208" i="38"/>
  <c r="AR208" i="38"/>
  <c r="BS199" i="38"/>
  <c r="BN199" i="38"/>
  <c r="BI199" i="38"/>
  <c r="BC199" i="38"/>
  <c r="AX199" i="38"/>
  <c r="AS199" i="38"/>
  <c r="BK199" i="38"/>
  <c r="BQ208" i="38"/>
  <c r="BG208" i="38"/>
  <c r="AV208" i="38"/>
  <c r="AQ208" i="38"/>
  <c r="BR199" i="38"/>
  <c r="BM199" i="38"/>
  <c r="BG199" i="38"/>
  <c r="BB199" i="38"/>
  <c r="AW199" i="38"/>
  <c r="AQ199" i="38"/>
  <c r="BP208" i="38"/>
  <c r="BK208" i="38"/>
  <c r="BE208" i="38"/>
  <c r="AU208" i="38"/>
  <c r="BQ199" i="38"/>
  <c r="BF199" i="38"/>
  <c r="AU199" i="38"/>
  <c r="BI208" i="38"/>
  <c r="BD208" i="38"/>
  <c r="BE199" i="38"/>
  <c r="BO208" i="38"/>
  <c r="AS208" i="38"/>
  <c r="BO199" i="38"/>
  <c r="AY208" i="38"/>
  <c r="AY199" i="38"/>
  <c r="AT199" i="38"/>
  <c r="BI69" i="38"/>
  <c r="BI68" i="38"/>
  <c r="BI67" i="38"/>
  <c r="BI70" i="38"/>
  <c r="Y68" i="38"/>
  <c r="Y69" i="38"/>
  <c r="Y67" i="38"/>
  <c r="Y70" i="38"/>
  <c r="BK342" i="39"/>
  <c r="BK341" i="39"/>
  <c r="BK340" i="39"/>
  <c r="BK343" i="39"/>
  <c r="AA342" i="39"/>
  <c r="AA341" i="39"/>
  <c r="AA340" i="39"/>
  <c r="AA343" i="39"/>
  <c r="AA349" i="39" s="1"/>
  <c r="V69" i="38"/>
  <c r="V68" i="38"/>
  <c r="V67" i="38"/>
  <c r="V70" i="38" s="1"/>
  <c r="BF67" i="38"/>
  <c r="BF70" i="38" s="1"/>
  <c r="BF68" i="38"/>
  <c r="BF69" i="38"/>
  <c r="AD341" i="39"/>
  <c r="BN340" i="39"/>
  <c r="BN343" i="39"/>
  <c r="BN342" i="39"/>
  <c r="BN341" i="39"/>
  <c r="AD340" i="39"/>
  <c r="AD343" i="39"/>
  <c r="AD349" i="39" s="1"/>
  <c r="AD342" i="39"/>
  <c r="BM69" i="38"/>
  <c r="BM68" i="38"/>
  <c r="BM67" i="38"/>
  <c r="BM70" i="38"/>
  <c r="AC69" i="38"/>
  <c r="AC67" i="38"/>
  <c r="AC70" i="38"/>
  <c r="AC68" i="38"/>
  <c r="BR161" i="38"/>
  <c r="BR160" i="38"/>
  <c r="BR159" i="38"/>
  <c r="BR162" i="38" s="1"/>
  <c r="AH160" i="38"/>
  <c r="AH161" i="38"/>
  <c r="AH159" i="38"/>
  <c r="AH162" i="38" s="1"/>
  <c r="O69" i="38"/>
  <c r="O68" i="38"/>
  <c r="O67" i="38"/>
  <c r="O70" i="38" s="1"/>
  <c r="AY69" i="38"/>
  <c r="AY67" i="38"/>
  <c r="AY70" i="38" s="1"/>
  <c r="AY68" i="38"/>
  <c r="AE69" i="38"/>
  <c r="AE68" i="38"/>
  <c r="AE67" i="38"/>
  <c r="AE70" i="38" s="1"/>
  <c r="BO69" i="38"/>
  <c r="BO68" i="38"/>
  <c r="BO67" i="38"/>
  <c r="BO70" i="38" s="1"/>
  <c r="BE161" i="38"/>
  <c r="U160" i="38"/>
  <c r="BE159" i="38"/>
  <c r="BE162" i="38" s="1"/>
  <c r="BE160" i="38"/>
  <c r="U159" i="38"/>
  <c r="U162" i="38" s="1"/>
  <c r="U161" i="38"/>
  <c r="BF342" i="39"/>
  <c r="BF340" i="39"/>
  <c r="BF343" i="39" s="1"/>
  <c r="BF349" i="39" s="1"/>
  <c r="V341" i="39"/>
  <c r="V342" i="39"/>
  <c r="BF341" i="39"/>
  <c r="V340" i="39"/>
  <c r="V343" i="39" s="1"/>
  <c r="V349" i="39" s="1"/>
  <c r="R342" i="39"/>
  <c r="BB342" i="39"/>
  <c r="BB341" i="39"/>
  <c r="R340" i="39"/>
  <c r="R343" i="39" s="1"/>
  <c r="R341" i="39"/>
  <c r="BB340" i="39"/>
  <c r="BB343" i="39" s="1"/>
  <c r="AT341" i="39"/>
  <c r="J340" i="39"/>
  <c r="J343" i="39"/>
  <c r="J349" i="39" s="1"/>
  <c r="AT340" i="39"/>
  <c r="AT343" i="39"/>
  <c r="J342" i="39"/>
  <c r="AT342" i="39"/>
  <c r="J341" i="39"/>
  <c r="BO342" i="39"/>
  <c r="BO341" i="39"/>
  <c r="BO340" i="39"/>
  <c r="BO343" i="39" s="1"/>
  <c r="AE340" i="39"/>
  <c r="AE343" i="39" s="1"/>
  <c r="AE349" i="39" s="1"/>
  <c r="AE342" i="39"/>
  <c r="AE341" i="39"/>
  <c r="H341" i="39"/>
  <c r="AR342" i="39"/>
  <c r="H340" i="39"/>
  <c r="H343" i="39"/>
  <c r="H349" i="39" s="1"/>
  <c r="AR341" i="39"/>
  <c r="H342" i="39"/>
  <c r="AR340" i="39"/>
  <c r="AR343" i="39" s="1"/>
  <c r="AR349" i="39" s="1"/>
  <c r="BH342" i="39"/>
  <c r="X341" i="39"/>
  <c r="X340" i="39"/>
  <c r="X343" i="39" s="1"/>
  <c r="BH341" i="39"/>
  <c r="BH340" i="39"/>
  <c r="BH343" i="39"/>
  <c r="X342" i="39"/>
  <c r="H291" i="42"/>
  <c r="H290" i="42"/>
  <c r="H289" i="42"/>
  <c r="H292" i="42" s="1"/>
  <c r="AR291" i="42"/>
  <c r="AR289" i="42"/>
  <c r="AR292" i="42"/>
  <c r="AR290" i="42"/>
  <c r="BI291" i="42"/>
  <c r="Y290" i="42"/>
  <c r="BI290" i="42"/>
  <c r="Y289" i="42"/>
  <c r="Y292" i="42"/>
  <c r="Y298" i="42" s="1"/>
  <c r="Y291" i="42"/>
  <c r="BI289" i="42"/>
  <c r="BI292" i="42" s="1"/>
  <c r="T291" i="42"/>
  <c r="T290" i="42"/>
  <c r="T289" i="42"/>
  <c r="T292" i="42" s="1"/>
  <c r="T298" i="42" s="1"/>
  <c r="BD291" i="42"/>
  <c r="BD290" i="42"/>
  <c r="BD289" i="42"/>
  <c r="BD292" i="42" s="1"/>
  <c r="BD298" i="42" s="1"/>
  <c r="AC291" i="42"/>
  <c r="BM291" i="42"/>
  <c r="AC290" i="42"/>
  <c r="BM289" i="42"/>
  <c r="BM292" i="42"/>
  <c r="BM298" i="42" s="1"/>
  <c r="BM290" i="42"/>
  <c r="AC289" i="42"/>
  <c r="AC292" i="42"/>
  <c r="BF291" i="42"/>
  <c r="BF290" i="42"/>
  <c r="BF289" i="42"/>
  <c r="BF292" i="42" s="1"/>
  <c r="BF298" i="42" s="1"/>
  <c r="V291" i="42"/>
  <c r="V290" i="42"/>
  <c r="V289" i="42"/>
  <c r="V292" i="42" s="1"/>
  <c r="V298" i="42" s="1"/>
  <c r="G291" i="42"/>
  <c r="AQ289" i="42"/>
  <c r="AQ292" i="42" s="1"/>
  <c r="G290" i="42"/>
  <c r="AQ290" i="42"/>
  <c r="AQ291" i="42"/>
  <c r="G289" i="42"/>
  <c r="G292" i="42"/>
  <c r="W291" i="42"/>
  <c r="BG289" i="42"/>
  <c r="BG292" i="42" s="1"/>
  <c r="W290" i="42"/>
  <c r="BG290" i="42"/>
  <c r="BG291" i="42"/>
  <c r="W289" i="42"/>
  <c r="W292" i="42" s="1"/>
  <c r="W298" i="42" s="1"/>
  <c r="AF67" i="40"/>
  <c r="AF65" i="40"/>
  <c r="AF63" i="40"/>
  <c r="AF61" i="40"/>
  <c r="AF59" i="40"/>
  <c r="AF57" i="40"/>
  <c r="AF55" i="40"/>
  <c r="AF53" i="40"/>
  <c r="AF51" i="40"/>
  <c r="AF49" i="40"/>
  <c r="AF47" i="40"/>
  <c r="AF45" i="40"/>
  <c r="AF43" i="40"/>
  <c r="AF41" i="40"/>
  <c r="AF39" i="40"/>
  <c r="AF68" i="40"/>
  <c r="AF60" i="40"/>
  <c r="AF52" i="40"/>
  <c r="AF44" i="40"/>
  <c r="AF64" i="40"/>
  <c r="AF56" i="40"/>
  <c r="AF48" i="40"/>
  <c r="AF40" i="40"/>
  <c r="AF62" i="40"/>
  <c r="AF54" i="40"/>
  <c r="AF46" i="40"/>
  <c r="AF66" i="40"/>
  <c r="AF58" i="40"/>
  <c r="AF42" i="40"/>
  <c r="AF50" i="40"/>
  <c r="H125" i="42"/>
  <c r="H51" i="42"/>
  <c r="H30" i="42"/>
  <c r="H72" i="42"/>
  <c r="H93" i="42"/>
  <c r="G7" i="41"/>
  <c r="H67" i="40"/>
  <c r="H65" i="40"/>
  <c r="H63" i="40"/>
  <c r="H61" i="40"/>
  <c r="H59" i="40"/>
  <c r="H57" i="40"/>
  <c r="H55" i="40"/>
  <c r="H53" i="40"/>
  <c r="H51" i="40"/>
  <c r="H49" i="40"/>
  <c r="H47" i="40"/>
  <c r="H45" i="40"/>
  <c r="H43" i="40"/>
  <c r="H41" i="40"/>
  <c r="H39" i="40"/>
  <c r="H64" i="40"/>
  <c r="H56" i="40"/>
  <c r="H48" i="40"/>
  <c r="H40" i="40"/>
  <c r="H68" i="40"/>
  <c r="H60" i="40"/>
  <c r="H52" i="40"/>
  <c r="H44" i="40"/>
  <c r="H62" i="40"/>
  <c r="H54" i="40"/>
  <c r="H46" i="40"/>
  <c r="H66" i="40"/>
  <c r="H58" i="40"/>
  <c r="H50" i="40"/>
  <c r="H42" i="40"/>
  <c r="AS125" i="42"/>
  <c r="AS113" i="42"/>
  <c r="AS51" i="42"/>
  <c r="AS30" i="42"/>
  <c r="AS72" i="42"/>
  <c r="AS93" i="42"/>
  <c r="BI67" i="40"/>
  <c r="BI65" i="40"/>
  <c r="BI63" i="40"/>
  <c r="BI61" i="40"/>
  <c r="BI59" i="40"/>
  <c r="BI57" i="40"/>
  <c r="BI55" i="40"/>
  <c r="BI53" i="40"/>
  <c r="BI51" i="40"/>
  <c r="BI49" i="40"/>
  <c r="BI47" i="40"/>
  <c r="BI45" i="40"/>
  <c r="BI43" i="40"/>
  <c r="BI41" i="40"/>
  <c r="BI39" i="40"/>
  <c r="BI62" i="40"/>
  <c r="BI54" i="40"/>
  <c r="BI46" i="40"/>
  <c r="BI66" i="40"/>
  <c r="BI58" i="40"/>
  <c r="BI50" i="40"/>
  <c r="BI42" i="40"/>
  <c r="BI64" i="40"/>
  <c r="BI48" i="40"/>
  <c r="BI40" i="40"/>
  <c r="BI68" i="40"/>
  <c r="BI60" i="40"/>
  <c r="BI52" i="40"/>
  <c r="BI44" i="40"/>
  <c r="BI56" i="40"/>
  <c r="CT125" i="42"/>
  <c r="CT51" i="42"/>
  <c r="CT30" i="42"/>
  <c r="CT72" i="42"/>
  <c r="CT93" i="42"/>
  <c r="BQ67" i="40"/>
  <c r="BQ65" i="40"/>
  <c r="BQ63" i="40"/>
  <c r="BQ61" i="40"/>
  <c r="BQ59" i="40"/>
  <c r="BQ57" i="40"/>
  <c r="BQ55" i="40"/>
  <c r="BQ53" i="40"/>
  <c r="BQ51" i="40"/>
  <c r="BQ49" i="40"/>
  <c r="BQ47" i="40"/>
  <c r="BQ45" i="40"/>
  <c r="BQ43" i="40"/>
  <c r="BQ41" i="40"/>
  <c r="BQ39" i="40"/>
  <c r="BQ66" i="40"/>
  <c r="BQ58" i="40"/>
  <c r="BQ50" i="40"/>
  <c r="BQ42" i="40"/>
  <c r="BQ62" i="40"/>
  <c r="BQ54" i="40"/>
  <c r="BQ46" i="40"/>
  <c r="BQ68" i="40"/>
  <c r="BQ60" i="40"/>
  <c r="BQ52" i="40"/>
  <c r="BQ44" i="40"/>
  <c r="BQ56" i="40"/>
  <c r="BQ48" i="40"/>
  <c r="BQ64" i="40"/>
  <c r="BQ40" i="40"/>
  <c r="BI125" i="42"/>
  <c r="BI113" i="42" s="1"/>
  <c r="BI51" i="42"/>
  <c r="BI30" i="42"/>
  <c r="BI72" i="42"/>
  <c r="BI93" i="42"/>
  <c r="AG68" i="40"/>
  <c r="AG66" i="40"/>
  <c r="AG64" i="40"/>
  <c r="AG62" i="40"/>
  <c r="AG60" i="40"/>
  <c r="AG58" i="40"/>
  <c r="AG56" i="40"/>
  <c r="AG54" i="40"/>
  <c r="AG52" i="40"/>
  <c r="AG50" i="40"/>
  <c r="AG48" i="40"/>
  <c r="AG46" i="40"/>
  <c r="AG44" i="40"/>
  <c r="AG42" i="40"/>
  <c r="AG40" i="40"/>
  <c r="AG65" i="40"/>
  <c r="AG57" i="40"/>
  <c r="AG49" i="40"/>
  <c r="AG41" i="40"/>
  <c r="AG39" i="40"/>
  <c r="AG61" i="40"/>
  <c r="AG53" i="40"/>
  <c r="AG45" i="40"/>
  <c r="AG67" i="40"/>
  <c r="AG59" i="40"/>
  <c r="AG51" i="40"/>
  <c r="AG43" i="40"/>
  <c r="AG63" i="40"/>
  <c r="AG55" i="40"/>
  <c r="AG47" i="40"/>
  <c r="BV68" i="40"/>
  <c r="BV66" i="40"/>
  <c r="BV64" i="40"/>
  <c r="BV62" i="40"/>
  <c r="BV60" i="40"/>
  <c r="BV58" i="40"/>
  <c r="BV56" i="40"/>
  <c r="BV54" i="40"/>
  <c r="BV52" i="40"/>
  <c r="BV50" i="40"/>
  <c r="BV48" i="40"/>
  <c r="BV46" i="40"/>
  <c r="BV44" i="40"/>
  <c r="BV42" i="40"/>
  <c r="BV40" i="40"/>
  <c r="BV63" i="40"/>
  <c r="BV55" i="40"/>
  <c r="BV47" i="40"/>
  <c r="BV39" i="40"/>
  <c r="BV67" i="40"/>
  <c r="BV59" i="40"/>
  <c r="BV51" i="40"/>
  <c r="BV43" i="40"/>
  <c r="BV65" i="40"/>
  <c r="BV57" i="40"/>
  <c r="BV49" i="40"/>
  <c r="BV41" i="40"/>
  <c r="BV53" i="40"/>
  <c r="BV45" i="40"/>
  <c r="BV61" i="40"/>
  <c r="M93" i="42"/>
  <c r="M125" i="42"/>
  <c r="M51" i="42"/>
  <c r="M30" i="42"/>
  <c r="M72" i="42"/>
  <c r="Q7" i="41"/>
  <c r="M68" i="40"/>
  <c r="M66" i="40"/>
  <c r="M64" i="40"/>
  <c r="M62" i="40"/>
  <c r="M60" i="40"/>
  <c r="M58" i="40"/>
  <c r="M56" i="40"/>
  <c r="M54" i="40"/>
  <c r="M52" i="40"/>
  <c r="M50" i="40"/>
  <c r="M48" i="40"/>
  <c r="M46" i="40"/>
  <c r="M44" i="40"/>
  <c r="M42" i="40"/>
  <c r="M40" i="40"/>
  <c r="M67" i="40"/>
  <c r="M65" i="40"/>
  <c r="M63" i="40"/>
  <c r="M61" i="40"/>
  <c r="M59" i="40"/>
  <c r="M57" i="40"/>
  <c r="M55" i="40"/>
  <c r="M53" i="40"/>
  <c r="M51" i="40"/>
  <c r="M49" i="40"/>
  <c r="M47" i="40"/>
  <c r="M45" i="40"/>
  <c r="M43" i="40"/>
  <c r="M41" i="40"/>
  <c r="M39" i="40"/>
  <c r="BB68" i="40"/>
  <c r="BB66" i="40"/>
  <c r="BB64" i="40"/>
  <c r="BB62" i="40"/>
  <c r="BB60" i="40"/>
  <c r="BB58" i="40"/>
  <c r="BB56" i="40"/>
  <c r="BB54" i="40"/>
  <c r="BB52" i="40"/>
  <c r="BB50" i="40"/>
  <c r="BB48" i="40"/>
  <c r="BB46" i="40"/>
  <c r="BB44" i="40"/>
  <c r="BB42" i="40"/>
  <c r="BB40" i="40"/>
  <c r="BB67" i="40"/>
  <c r="BB65" i="40"/>
  <c r="BB63" i="40"/>
  <c r="BB61" i="40"/>
  <c r="BB59" i="40"/>
  <c r="BB57" i="40"/>
  <c r="BB55" i="40"/>
  <c r="BB53" i="40"/>
  <c r="BB51" i="40"/>
  <c r="BB49" i="40"/>
  <c r="BB47" i="40"/>
  <c r="BB45" i="40"/>
  <c r="BB43" i="40"/>
  <c r="BB41" i="40"/>
  <c r="BB39" i="40"/>
  <c r="CY93" i="42"/>
  <c r="CY125" i="42"/>
  <c r="CY51" i="42"/>
  <c r="CY30" i="42"/>
  <c r="CY72" i="42"/>
  <c r="V68" i="40"/>
  <c r="V66" i="40"/>
  <c r="V64" i="40"/>
  <c r="V62" i="40"/>
  <c r="V60" i="40"/>
  <c r="V58" i="40"/>
  <c r="V56" i="40"/>
  <c r="V54" i="40"/>
  <c r="V52" i="40"/>
  <c r="V50" i="40"/>
  <c r="V48" i="40"/>
  <c r="V46" i="40"/>
  <c r="V44" i="40"/>
  <c r="V42" i="40"/>
  <c r="V40" i="40"/>
  <c r="V63" i="40"/>
  <c r="V55" i="40"/>
  <c r="V47" i="40"/>
  <c r="V39" i="40"/>
  <c r="V67" i="40"/>
  <c r="V59" i="40"/>
  <c r="V51" i="40"/>
  <c r="V43" i="40"/>
  <c r="V57" i="40"/>
  <c r="V61" i="40"/>
  <c r="V53" i="40"/>
  <c r="V45" i="40"/>
  <c r="V65" i="40"/>
  <c r="V49" i="40"/>
  <c r="V41" i="40"/>
  <c r="AU68" i="40"/>
  <c r="AU66" i="40"/>
  <c r="AU64" i="40"/>
  <c r="AU62" i="40"/>
  <c r="AU60" i="40"/>
  <c r="AU58" i="40"/>
  <c r="AU56" i="40"/>
  <c r="AU54" i="40"/>
  <c r="AU52" i="40"/>
  <c r="AU50" i="40"/>
  <c r="AU48" i="40"/>
  <c r="AU46" i="40"/>
  <c r="AU44" i="40"/>
  <c r="AU42" i="40"/>
  <c r="AU40" i="40"/>
  <c r="AU67" i="40"/>
  <c r="AU65" i="40"/>
  <c r="AU63" i="40"/>
  <c r="AU61" i="40"/>
  <c r="AU59" i="40"/>
  <c r="AU57" i="40"/>
  <c r="AU55" i="40"/>
  <c r="AU53" i="40"/>
  <c r="AU51" i="40"/>
  <c r="AU49" i="40"/>
  <c r="AU47" i="40"/>
  <c r="AU45" i="40"/>
  <c r="AU43" i="40"/>
  <c r="AU41" i="40"/>
  <c r="AU39" i="40"/>
  <c r="BK68" i="40"/>
  <c r="BK66" i="40"/>
  <c r="BK64" i="40"/>
  <c r="BK62" i="40"/>
  <c r="BK60" i="40"/>
  <c r="BK58" i="40"/>
  <c r="BK56" i="40"/>
  <c r="BK54" i="40"/>
  <c r="BK52" i="40"/>
  <c r="BK50" i="40"/>
  <c r="BK48" i="40"/>
  <c r="BK46" i="40"/>
  <c r="BK44" i="40"/>
  <c r="BK42" i="40"/>
  <c r="BK40" i="40"/>
  <c r="BK67" i="40"/>
  <c r="BK65" i="40"/>
  <c r="BK63" i="40"/>
  <c r="BK61" i="40"/>
  <c r="BK59" i="40"/>
  <c r="BK57" i="40"/>
  <c r="BK55" i="40"/>
  <c r="BK53" i="40"/>
  <c r="BK51" i="40"/>
  <c r="BK49" i="40"/>
  <c r="BK47" i="40"/>
  <c r="BK45" i="40"/>
  <c r="BK43" i="40"/>
  <c r="BK41" i="40"/>
  <c r="BK39" i="40"/>
  <c r="BK69" i="40" s="1"/>
  <c r="BA125" i="42"/>
  <c r="BA113" i="42" s="1"/>
  <c r="BA51" i="42"/>
  <c r="BA30" i="42"/>
  <c r="BA72" i="42"/>
  <c r="BA93" i="42"/>
  <c r="K67" i="40"/>
  <c r="K65" i="40"/>
  <c r="K63" i="40"/>
  <c r="K61" i="40"/>
  <c r="K59" i="40"/>
  <c r="K57" i="40"/>
  <c r="K55" i="40"/>
  <c r="K53" i="40"/>
  <c r="K51" i="40"/>
  <c r="K49" i="40"/>
  <c r="K47" i="40"/>
  <c r="K45" i="40"/>
  <c r="K43" i="40"/>
  <c r="K41" i="40"/>
  <c r="K62" i="40"/>
  <c r="K54" i="40"/>
  <c r="K46" i="40"/>
  <c r="K39" i="40"/>
  <c r="K66" i="40"/>
  <c r="K58" i="40"/>
  <c r="K50" i="40"/>
  <c r="K42" i="40"/>
  <c r="K68" i="40"/>
  <c r="K60" i="40"/>
  <c r="K52" i="40"/>
  <c r="K44" i="40"/>
  <c r="K64" i="40"/>
  <c r="K40" i="40"/>
  <c r="K56" i="40"/>
  <c r="K48" i="40"/>
  <c r="AA67" i="40"/>
  <c r="AA65" i="40"/>
  <c r="AA63" i="40"/>
  <c r="AA61" i="40"/>
  <c r="AA59" i="40"/>
  <c r="AA57" i="40"/>
  <c r="AA55" i="40"/>
  <c r="AA53" i="40"/>
  <c r="AA51" i="40"/>
  <c r="AA49" i="40"/>
  <c r="AA47" i="40"/>
  <c r="AA45" i="40"/>
  <c r="AA43" i="40"/>
  <c r="AA41" i="40"/>
  <c r="AA62" i="40"/>
  <c r="AA54" i="40"/>
  <c r="AA46" i="40"/>
  <c r="AA66" i="40"/>
  <c r="AA58" i="40"/>
  <c r="AA50" i="40"/>
  <c r="AA42" i="40"/>
  <c r="AA39" i="40"/>
  <c r="AA64" i="40"/>
  <c r="AA56" i="40"/>
  <c r="AA48" i="40"/>
  <c r="AA40" i="40"/>
  <c r="AA60" i="40"/>
  <c r="AA52" i="40"/>
  <c r="AA68" i="40"/>
  <c r="AA44" i="40"/>
  <c r="AZ67" i="40"/>
  <c r="AZ65" i="40"/>
  <c r="AZ63" i="40"/>
  <c r="AZ61" i="40"/>
  <c r="AZ59" i="40"/>
  <c r="AZ57" i="40"/>
  <c r="AZ55" i="40"/>
  <c r="AZ53" i="40"/>
  <c r="AZ51" i="40"/>
  <c r="AZ49" i="40"/>
  <c r="AZ47" i="40"/>
  <c r="AZ45" i="40"/>
  <c r="AZ43" i="40"/>
  <c r="AZ41" i="40"/>
  <c r="AZ68" i="40"/>
  <c r="AZ66" i="40"/>
  <c r="AZ64" i="40"/>
  <c r="AZ62" i="40"/>
  <c r="AZ60" i="40"/>
  <c r="AZ58" i="40"/>
  <c r="AZ56" i="40"/>
  <c r="AZ54" i="40"/>
  <c r="AZ52" i="40"/>
  <c r="AZ50" i="40"/>
  <c r="AZ48" i="40"/>
  <c r="AZ46" i="40"/>
  <c r="AZ44" i="40"/>
  <c r="AZ42" i="40"/>
  <c r="AZ40" i="40"/>
  <c r="AZ39" i="40"/>
  <c r="BP67" i="40"/>
  <c r="BP65" i="40"/>
  <c r="BP63" i="40"/>
  <c r="BP61" i="40"/>
  <c r="BP59" i="40"/>
  <c r="BP57" i="40"/>
  <c r="BP55" i="40"/>
  <c r="BP53" i="40"/>
  <c r="BP51" i="40"/>
  <c r="BP49" i="40"/>
  <c r="BP47" i="40"/>
  <c r="BP45" i="40"/>
  <c r="BP43" i="40"/>
  <c r="BP41" i="40"/>
  <c r="BP39" i="40"/>
  <c r="BP68" i="40"/>
  <c r="BP66" i="40"/>
  <c r="BP64" i="40"/>
  <c r="BP62" i="40"/>
  <c r="BP60" i="40"/>
  <c r="BP58" i="40"/>
  <c r="BP56" i="40"/>
  <c r="BP54" i="40"/>
  <c r="BP52" i="40"/>
  <c r="BP50" i="40"/>
  <c r="BP48" i="40"/>
  <c r="BP46" i="40"/>
  <c r="BP44" i="40"/>
  <c r="BP42" i="40"/>
  <c r="BP40" i="40"/>
  <c r="CQ93" i="42"/>
  <c r="CQ125" i="42"/>
  <c r="CQ51" i="42"/>
  <c r="CQ72" i="42"/>
  <c r="CQ30" i="42"/>
  <c r="I93" i="42"/>
  <c r="I72" i="42"/>
  <c r="I125" i="42"/>
  <c r="I51" i="42"/>
  <c r="I7" i="41"/>
  <c r="I30" i="42"/>
  <c r="AT93" i="42"/>
  <c r="AT72" i="42"/>
  <c r="AT125" i="42"/>
  <c r="AT113" i="42"/>
  <c r="AT51" i="42"/>
  <c r="AT30" i="42"/>
  <c r="CE93" i="42"/>
  <c r="CE72" i="42"/>
  <c r="CE125" i="42"/>
  <c r="CE51" i="42"/>
  <c r="CE30" i="42"/>
  <c r="T125" i="42"/>
  <c r="T51" i="42"/>
  <c r="T93" i="42"/>
  <c r="T30" i="42"/>
  <c r="T72" i="42"/>
  <c r="AE7" i="41"/>
  <c r="BM125" i="42"/>
  <c r="BM113" i="42" s="1"/>
  <c r="BM51" i="42"/>
  <c r="BM93" i="42"/>
  <c r="BM30" i="42"/>
  <c r="BM72" i="42"/>
  <c r="R93" i="42"/>
  <c r="R72" i="42"/>
  <c r="R125" i="42"/>
  <c r="R30" i="42"/>
  <c r="AA7" i="41"/>
  <c r="R51" i="42"/>
  <c r="AH93" i="42"/>
  <c r="AH72" i="42"/>
  <c r="AH125" i="42"/>
  <c r="AH30" i="42"/>
  <c r="BG7" i="41"/>
  <c r="AH51" i="42"/>
  <c r="BC93" i="42"/>
  <c r="BC72" i="42"/>
  <c r="BC125" i="42"/>
  <c r="BC113" i="42" s="1"/>
  <c r="BC30" i="42"/>
  <c r="BC51" i="42"/>
  <c r="BS93" i="42"/>
  <c r="BS72" i="42"/>
  <c r="BS125" i="42"/>
  <c r="BS113" i="42" s="1"/>
  <c r="BS30" i="42"/>
  <c r="BS51" i="42"/>
  <c r="CN93" i="42"/>
  <c r="CN72" i="42"/>
  <c r="CN125" i="42"/>
  <c r="CN30" i="42"/>
  <c r="CN51" i="42"/>
  <c r="K72" i="42"/>
  <c r="K125" i="42"/>
  <c r="K51" i="42"/>
  <c r="K93" i="42"/>
  <c r="K30" i="42"/>
  <c r="M7" i="41"/>
  <c r="AA72" i="42"/>
  <c r="AA125" i="42"/>
  <c r="AA51" i="42"/>
  <c r="AA93" i="42"/>
  <c r="AA30" i="42"/>
  <c r="AS7" i="41"/>
  <c r="AV72" i="42"/>
  <c r="AV125" i="42"/>
  <c r="AV113" i="42" s="1"/>
  <c r="AV51" i="42"/>
  <c r="AV93" i="42"/>
  <c r="AV30" i="42"/>
  <c r="BL72" i="42"/>
  <c r="BL125" i="42"/>
  <c r="BL113" i="42" s="1"/>
  <c r="BL51" i="42"/>
  <c r="BL93" i="42"/>
  <c r="BL30" i="42"/>
  <c r="CK72" i="42"/>
  <c r="CK125" i="42"/>
  <c r="CK51" i="42"/>
  <c r="CK30" i="42"/>
  <c r="CK93" i="42"/>
  <c r="DA72" i="42"/>
  <c r="DA125" i="42"/>
  <c r="DA51" i="42"/>
  <c r="DA30" i="42"/>
  <c r="DA93" i="42"/>
  <c r="BP323" i="39"/>
  <c r="AZ354" i="39"/>
  <c r="AZ355" i="39"/>
  <c r="BB354" i="39"/>
  <c r="BB355" i="39"/>
  <c r="BM207" i="38"/>
  <c r="BM198" i="38"/>
  <c r="BM197" i="38"/>
  <c r="BM203" i="38"/>
  <c r="BM202" i="38"/>
  <c r="BM204" i="38"/>
  <c r="BM194" i="38"/>
  <c r="BM193" i="38"/>
  <c r="BM205" i="38"/>
  <c r="BM196" i="38"/>
  <c r="BM206" i="38"/>
  <c r="BM195" i="38"/>
  <c r="AR207" i="38"/>
  <c r="AR205" i="38"/>
  <c r="AR203" i="38"/>
  <c r="AR197" i="38"/>
  <c r="AR195" i="38"/>
  <c r="AR193" i="38"/>
  <c r="AR198" i="38"/>
  <c r="AR194" i="38"/>
  <c r="AR202" i="38"/>
  <c r="AR204" i="38"/>
  <c r="AR196" i="38"/>
  <c r="AR206" i="38"/>
  <c r="BI354" i="39"/>
  <c r="BI355" i="39"/>
  <c r="AT354" i="39"/>
  <c r="AT355" i="39"/>
  <c r="AX325" i="39"/>
  <c r="M205" i="38"/>
  <c r="M203" i="38"/>
  <c r="M197" i="38"/>
  <c r="M195" i="38"/>
  <c r="M193" i="38"/>
  <c r="M204" i="38"/>
  <c r="M194" i="38"/>
  <c r="M206" i="38"/>
  <c r="M196" i="38"/>
  <c r="M202" i="38"/>
  <c r="Q262" i="42"/>
  <c r="AQ253" i="42"/>
  <c r="AR253" i="42"/>
  <c r="BN250" i="42"/>
  <c r="CI61" i="42"/>
  <c r="U62" i="41"/>
  <c r="E59" i="41"/>
  <c r="CT61" i="42"/>
  <c r="AQ62" i="41"/>
  <c r="BG59" i="41"/>
  <c r="AQ59" i="41"/>
  <c r="CL58" i="42"/>
  <c r="AA59" i="41"/>
  <c r="K59" i="41"/>
  <c r="BE46" i="41"/>
  <c r="Z40" i="41"/>
  <c r="AN68" i="41"/>
  <c r="CR67" i="42"/>
  <c r="CM46" i="42"/>
  <c r="AC46" i="41"/>
  <c r="CH40" i="42"/>
  <c r="S40" i="41"/>
  <c r="P37" i="41"/>
  <c r="CF37" i="42"/>
  <c r="V15" i="41"/>
  <c r="F15" i="41"/>
  <c r="CD88" i="42"/>
  <c r="K90" i="41"/>
  <c r="Q90" i="41"/>
  <c r="CX82" i="42"/>
  <c r="AY84" i="41"/>
  <c r="AQ84" i="41"/>
  <c r="CT82" i="42"/>
  <c r="CL82" i="42"/>
  <c r="AA84" i="41"/>
  <c r="K84" i="41"/>
  <c r="CD82" i="42"/>
  <c r="AQ218" i="38"/>
  <c r="AQ213" i="38"/>
  <c r="AQ189" i="38"/>
  <c r="AQ190" i="38"/>
  <c r="AQ214" i="38"/>
  <c r="AQ217" i="38"/>
  <c r="Z189" i="38"/>
  <c r="Z214" i="38"/>
  <c r="Z213" i="38"/>
  <c r="Z217" i="38"/>
  <c r="Z218" i="38"/>
  <c r="BN218" i="38"/>
  <c r="BN214" i="38"/>
  <c r="BN189" i="38"/>
  <c r="BN213" i="38"/>
  <c r="BN217" i="38"/>
  <c r="DC40" i="42"/>
  <c r="BI40" i="41"/>
  <c r="CE40" i="42"/>
  <c r="M40" i="41"/>
  <c r="EM2" i="44"/>
  <c r="HS2" i="43"/>
  <c r="CJ109" i="42"/>
  <c r="W112" i="41"/>
  <c r="BE106" i="41"/>
  <c r="DA103" i="42"/>
  <c r="AO106" i="41"/>
  <c r="CS103" i="42"/>
  <c r="AG106" i="41"/>
  <c r="CO103" i="42"/>
  <c r="Y106" i="41"/>
  <c r="CK103" i="42"/>
  <c r="I106" i="41"/>
  <c r="CH67" i="42"/>
  <c r="S68" i="41"/>
  <c r="CD67" i="42"/>
  <c r="K68" i="41"/>
  <c r="BA354" i="39"/>
  <c r="BA355" i="39"/>
  <c r="AF189" i="38"/>
  <c r="AF214" i="38"/>
  <c r="AF213" i="38"/>
  <c r="AF217" i="38"/>
  <c r="AF218" i="38"/>
  <c r="AU323" i="39"/>
  <c r="AI71" i="38"/>
  <c r="AE71" i="38"/>
  <c r="AA71" i="38"/>
  <c r="W71" i="38"/>
  <c r="S71" i="38"/>
  <c r="O71" i="38"/>
  <c r="K71" i="38"/>
  <c r="G71" i="38"/>
  <c r="AC71" i="38"/>
  <c r="U71" i="38"/>
  <c r="M71" i="38"/>
  <c r="AH71" i="38"/>
  <c r="AD71" i="38"/>
  <c r="Z71" i="38"/>
  <c r="V71" i="38"/>
  <c r="R71" i="38"/>
  <c r="N71" i="38"/>
  <c r="J71" i="38"/>
  <c r="AG71" i="38"/>
  <c r="Y71" i="38"/>
  <c r="Q71" i="38"/>
  <c r="I71" i="38"/>
  <c r="X71" i="38"/>
  <c r="H71" i="38"/>
  <c r="T71" i="38"/>
  <c r="AB71" i="38"/>
  <c r="L71" i="38"/>
  <c r="AF71" i="38"/>
  <c r="P71" i="38"/>
  <c r="BO355" i="39"/>
  <c r="BO354" i="39"/>
  <c r="BG355" i="39"/>
  <c r="BG354" i="39"/>
  <c r="AY355" i="39"/>
  <c r="AY354" i="39"/>
  <c r="AQ355" i="39"/>
  <c r="AQ354" i="39"/>
  <c r="AS69" i="38"/>
  <c r="AS68" i="38"/>
  <c r="AS67" i="38"/>
  <c r="AS70" i="38" s="1"/>
  <c r="I68" i="38"/>
  <c r="I69" i="38"/>
  <c r="I67" i="38"/>
  <c r="I70" i="38" s="1"/>
  <c r="N69" i="38"/>
  <c r="N68" i="38"/>
  <c r="N67" i="38"/>
  <c r="N70" i="38" s="1"/>
  <c r="AX68" i="38"/>
  <c r="AX69" i="38"/>
  <c r="AX67" i="38"/>
  <c r="AX70" i="38" s="1"/>
  <c r="S161" i="38"/>
  <c r="BC159" i="38"/>
  <c r="BC162" i="38" s="1"/>
  <c r="BC161" i="38"/>
  <c r="S160" i="38"/>
  <c r="S159" i="38"/>
  <c r="S162" i="38" s="1"/>
  <c r="BC160" i="38"/>
  <c r="AW69" i="38"/>
  <c r="AW68" i="38"/>
  <c r="AW67" i="38"/>
  <c r="AW70" i="38" s="1"/>
  <c r="M69" i="38"/>
  <c r="M67" i="38"/>
  <c r="M70" i="38" s="1"/>
  <c r="M68" i="38"/>
  <c r="G69" i="38"/>
  <c r="G68" i="38"/>
  <c r="G67" i="38"/>
  <c r="G70" i="38" s="1"/>
  <c r="AQ69" i="38"/>
  <c r="AQ67" i="38"/>
  <c r="AQ70" i="38"/>
  <c r="AQ68" i="38"/>
  <c r="AT161" i="38"/>
  <c r="AT160" i="38"/>
  <c r="AT159" i="38"/>
  <c r="AT162" i="38" s="1"/>
  <c r="J160" i="38"/>
  <c r="J159" i="38"/>
  <c r="J162" i="38"/>
  <c r="J161" i="38"/>
  <c r="AQ342" i="39"/>
  <c r="AQ341" i="39"/>
  <c r="AQ340" i="39"/>
  <c r="AQ343" i="39" s="1"/>
  <c r="AQ349" i="39" s="1"/>
  <c r="G342" i="39"/>
  <c r="G340" i="39"/>
  <c r="G343" i="39"/>
  <c r="G341" i="39"/>
  <c r="AC342" i="39"/>
  <c r="AC341" i="39"/>
  <c r="AC340" i="39"/>
  <c r="AC343" i="39" s="1"/>
  <c r="AC349" i="39" s="1"/>
  <c r="BM342" i="39"/>
  <c r="BM341" i="39"/>
  <c r="BM340" i="39"/>
  <c r="BM343" i="39"/>
  <c r="BM349" i="39" s="1"/>
  <c r="L161" i="38"/>
  <c r="L160" i="38"/>
  <c r="L159" i="38"/>
  <c r="L162" i="38" s="1"/>
  <c r="AV160" i="38"/>
  <c r="AV159" i="38"/>
  <c r="AV162" i="38" s="1"/>
  <c r="AV161" i="38"/>
  <c r="AZ342" i="39"/>
  <c r="AZ341" i="39"/>
  <c r="P342" i="39"/>
  <c r="AZ340" i="39"/>
  <c r="AZ343" i="39" s="1"/>
  <c r="AZ348" i="39" s="1"/>
  <c r="P341" i="39"/>
  <c r="P340" i="39"/>
  <c r="P343" i="39" s="1"/>
  <c r="P349" i="39" s="1"/>
  <c r="BA289" i="42"/>
  <c r="BA292" i="42" s="1"/>
  <c r="Q291" i="42"/>
  <c r="Q289" i="42"/>
  <c r="Q292" i="42" s="1"/>
  <c r="Q298" i="42" s="1"/>
  <c r="Q290" i="42"/>
  <c r="BA291" i="42"/>
  <c r="BA290" i="42"/>
  <c r="M291" i="42"/>
  <c r="AW291" i="42"/>
  <c r="M290" i="42"/>
  <c r="M289" i="42"/>
  <c r="M292" i="42" s="1"/>
  <c r="AW290" i="42"/>
  <c r="AW289" i="42"/>
  <c r="AW292" i="42" s="1"/>
  <c r="BN291" i="42"/>
  <c r="BN290" i="42"/>
  <c r="BN289" i="42"/>
  <c r="BN292" i="42" s="1"/>
  <c r="AD290" i="42"/>
  <c r="AD289" i="42"/>
  <c r="AD292" i="42"/>
  <c r="AD291" i="42"/>
  <c r="BO291" i="42"/>
  <c r="AE289" i="42"/>
  <c r="AE292" i="42"/>
  <c r="BO290" i="42"/>
  <c r="AE290" i="42"/>
  <c r="AE291" i="42"/>
  <c r="BO289" i="42"/>
  <c r="BO292" i="42" s="1"/>
  <c r="BO298" i="42" s="1"/>
  <c r="AW67" i="40"/>
  <c r="AW65" i="40"/>
  <c r="AW63" i="40"/>
  <c r="AW61" i="40"/>
  <c r="AW59" i="40"/>
  <c r="AW57" i="40"/>
  <c r="AW55" i="40"/>
  <c r="AW53" i="40"/>
  <c r="AW51" i="40"/>
  <c r="AW49" i="40"/>
  <c r="AW47" i="40"/>
  <c r="AW45" i="40"/>
  <c r="AW43" i="40"/>
  <c r="AW41" i="40"/>
  <c r="AW39" i="40"/>
  <c r="AW68" i="40"/>
  <c r="AW66" i="40"/>
  <c r="AW64" i="40"/>
  <c r="AW62" i="40"/>
  <c r="AW60" i="40"/>
  <c r="AW58" i="40"/>
  <c r="AW56" i="40"/>
  <c r="AW54" i="40"/>
  <c r="AW52" i="40"/>
  <c r="AW50" i="40"/>
  <c r="AW48" i="40"/>
  <c r="AW46" i="40"/>
  <c r="AW44" i="40"/>
  <c r="AW42" i="40"/>
  <c r="AW40" i="40"/>
  <c r="P67" i="40"/>
  <c r="P65" i="40"/>
  <c r="P63" i="40"/>
  <c r="P61" i="40"/>
  <c r="P59" i="40"/>
  <c r="P57" i="40"/>
  <c r="P55" i="40"/>
  <c r="P53" i="40"/>
  <c r="P51" i="40"/>
  <c r="P49" i="40"/>
  <c r="P47" i="40"/>
  <c r="P45" i="40"/>
  <c r="P43" i="40"/>
  <c r="P41" i="40"/>
  <c r="P39" i="40"/>
  <c r="P68" i="40"/>
  <c r="P60" i="40"/>
  <c r="P52" i="40"/>
  <c r="P44" i="40"/>
  <c r="P64" i="40"/>
  <c r="P56" i="40"/>
  <c r="P48" i="40"/>
  <c r="P40" i="40"/>
  <c r="P66" i="40"/>
  <c r="P58" i="40"/>
  <c r="P50" i="40"/>
  <c r="P42" i="40"/>
  <c r="P62" i="40"/>
  <c r="P54" i="40"/>
  <c r="P46" i="40"/>
  <c r="AB67" i="40"/>
  <c r="AB65" i="40"/>
  <c r="AB63" i="40"/>
  <c r="AB61" i="40"/>
  <c r="AB59" i="40"/>
  <c r="AB57" i="40"/>
  <c r="AB55" i="40"/>
  <c r="AB53" i="40"/>
  <c r="AB51" i="40"/>
  <c r="AB49" i="40"/>
  <c r="AB47" i="40"/>
  <c r="AB45" i="40"/>
  <c r="AB43" i="40"/>
  <c r="AB41" i="40"/>
  <c r="AB39" i="40"/>
  <c r="AB68" i="40"/>
  <c r="AB66" i="40"/>
  <c r="AB64" i="40"/>
  <c r="AB62" i="40"/>
  <c r="AB60" i="40"/>
  <c r="AB58" i="40"/>
  <c r="AB56" i="40"/>
  <c r="AB54" i="40"/>
  <c r="AB52" i="40"/>
  <c r="AB50" i="40"/>
  <c r="AB48" i="40"/>
  <c r="AB46" i="40"/>
  <c r="AB44" i="40"/>
  <c r="AB42" i="40"/>
  <c r="AB40" i="40"/>
  <c r="Q68" i="40"/>
  <c r="Q66" i="40"/>
  <c r="Q64" i="40"/>
  <c r="Q62" i="40"/>
  <c r="Q60" i="40"/>
  <c r="Q58" i="40"/>
  <c r="Q56" i="40"/>
  <c r="Q54" i="40"/>
  <c r="Q52" i="40"/>
  <c r="Q50" i="40"/>
  <c r="Q48" i="40"/>
  <c r="Q46" i="40"/>
  <c r="Q44" i="40"/>
  <c r="Q42" i="40"/>
  <c r="Q40" i="40"/>
  <c r="Q65" i="40"/>
  <c r="Q57" i="40"/>
  <c r="Q49" i="40"/>
  <c r="Q41" i="40"/>
  <c r="Q61" i="40"/>
  <c r="Q53" i="40"/>
  <c r="Q45" i="40"/>
  <c r="Q39" i="40"/>
  <c r="Q63" i="40"/>
  <c r="Q55" i="40"/>
  <c r="Q47" i="40"/>
  <c r="Q67" i="40"/>
  <c r="Q59" i="40"/>
  <c r="Q51" i="40"/>
  <c r="Q43" i="40"/>
  <c r="CI93" i="42"/>
  <c r="CI125" i="42"/>
  <c r="CI51" i="42"/>
  <c r="CI30" i="42"/>
  <c r="CI72" i="42"/>
  <c r="BR68" i="40"/>
  <c r="BR66" i="40"/>
  <c r="BR64" i="40"/>
  <c r="BR62" i="40"/>
  <c r="BR60" i="40"/>
  <c r="BR58" i="40"/>
  <c r="BR56" i="40"/>
  <c r="BR54" i="40"/>
  <c r="BR52" i="40"/>
  <c r="BR50" i="40"/>
  <c r="BR48" i="40"/>
  <c r="BR46" i="40"/>
  <c r="BR44" i="40"/>
  <c r="BR42" i="40"/>
  <c r="BR40" i="40"/>
  <c r="BR67" i="40"/>
  <c r="BR65" i="40"/>
  <c r="BR63" i="40"/>
  <c r="BR61" i="40"/>
  <c r="BR59" i="40"/>
  <c r="BR57" i="40"/>
  <c r="BR55" i="40"/>
  <c r="BR53" i="40"/>
  <c r="BR51" i="40"/>
  <c r="BR49" i="40"/>
  <c r="BR47" i="40"/>
  <c r="BR45" i="40"/>
  <c r="BR43" i="40"/>
  <c r="BR41" i="40"/>
  <c r="BR39" i="40"/>
  <c r="AC93" i="42"/>
  <c r="AC125" i="42"/>
  <c r="AC51" i="42"/>
  <c r="AC30" i="42"/>
  <c r="AC72" i="42"/>
  <c r="AW7" i="41"/>
  <c r="N68" i="40"/>
  <c r="N66" i="40"/>
  <c r="N64" i="40"/>
  <c r="N62" i="40"/>
  <c r="N60" i="40"/>
  <c r="N58" i="40"/>
  <c r="N56" i="40"/>
  <c r="N54" i="40"/>
  <c r="N52" i="40"/>
  <c r="N50" i="40"/>
  <c r="N48" i="40"/>
  <c r="N46" i="40"/>
  <c r="N44" i="40"/>
  <c r="N42" i="40"/>
  <c r="N40" i="40"/>
  <c r="N39" i="40"/>
  <c r="N67" i="40"/>
  <c r="N59" i="40"/>
  <c r="N51" i="40"/>
  <c r="N43" i="40"/>
  <c r="N63" i="40"/>
  <c r="N55" i="40"/>
  <c r="N47" i="40"/>
  <c r="N65" i="40"/>
  <c r="N57" i="40"/>
  <c r="N49" i="40"/>
  <c r="N41" i="40"/>
  <c r="N61" i="40"/>
  <c r="N53" i="40"/>
  <c r="N45" i="40"/>
  <c r="BC68" i="40"/>
  <c r="BC66" i="40"/>
  <c r="BC64" i="40"/>
  <c r="BC62" i="40"/>
  <c r="BC60" i="40"/>
  <c r="BC58" i="40"/>
  <c r="BC56" i="40"/>
  <c r="BC54" i="40"/>
  <c r="BC52" i="40"/>
  <c r="BC50" i="40"/>
  <c r="BC48" i="40"/>
  <c r="BC46" i="40"/>
  <c r="BC44" i="40"/>
  <c r="BC42" i="40"/>
  <c r="BC40" i="40"/>
  <c r="BC67" i="40"/>
  <c r="BC65" i="40"/>
  <c r="BC63" i="40"/>
  <c r="BC61" i="40"/>
  <c r="BC59" i="40"/>
  <c r="BC57" i="40"/>
  <c r="BC55" i="40"/>
  <c r="BC53" i="40"/>
  <c r="BC51" i="40"/>
  <c r="BC49" i="40"/>
  <c r="BC47" i="40"/>
  <c r="BC45" i="40"/>
  <c r="BC43" i="40"/>
  <c r="BC41" i="40"/>
  <c r="BC39" i="40"/>
  <c r="P125" i="42"/>
  <c r="P51" i="42"/>
  <c r="P30" i="42"/>
  <c r="P72" i="42"/>
  <c r="W7" i="41"/>
  <c r="P93" i="42"/>
  <c r="S67" i="40"/>
  <c r="S65" i="40"/>
  <c r="S63" i="40"/>
  <c r="S61" i="40"/>
  <c r="S59" i="40"/>
  <c r="S57" i="40"/>
  <c r="S55" i="40"/>
  <c r="S53" i="40"/>
  <c r="S51" i="40"/>
  <c r="S49" i="40"/>
  <c r="S47" i="40"/>
  <c r="S45" i="40"/>
  <c r="S43" i="40"/>
  <c r="S41" i="40"/>
  <c r="S39" i="40"/>
  <c r="S66" i="40"/>
  <c r="S58" i="40"/>
  <c r="S50" i="40"/>
  <c r="S42" i="40"/>
  <c r="S62" i="40"/>
  <c r="S54" i="40"/>
  <c r="S46" i="40"/>
  <c r="S68" i="40"/>
  <c r="S64" i="40"/>
  <c r="S56" i="40"/>
  <c r="S48" i="40"/>
  <c r="S40" i="40"/>
  <c r="S60" i="40"/>
  <c r="S52" i="40"/>
  <c r="S44" i="40"/>
  <c r="BH67" i="40"/>
  <c r="BH65" i="40"/>
  <c r="BH63" i="40"/>
  <c r="BH61" i="40"/>
  <c r="BH59" i="40"/>
  <c r="BH57" i="40"/>
  <c r="BH55" i="40"/>
  <c r="BH53" i="40"/>
  <c r="BH51" i="40"/>
  <c r="BH49" i="40"/>
  <c r="BH47" i="40"/>
  <c r="BH45" i="40"/>
  <c r="BH43" i="40"/>
  <c r="BH41" i="40"/>
  <c r="BH68" i="40"/>
  <c r="BH66" i="40"/>
  <c r="BH64" i="40"/>
  <c r="BH62" i="40"/>
  <c r="BH60" i="40"/>
  <c r="BH58" i="40"/>
  <c r="BH56" i="40"/>
  <c r="BH54" i="40"/>
  <c r="BH52" i="40"/>
  <c r="BH50" i="40"/>
  <c r="BH48" i="40"/>
  <c r="BH46" i="40"/>
  <c r="BH44" i="40"/>
  <c r="BH42" i="40"/>
  <c r="BH40" i="40"/>
  <c r="BH39" i="40"/>
  <c r="BF93" i="42"/>
  <c r="BF125" i="42"/>
  <c r="BF113" i="42"/>
  <c r="BF51" i="42"/>
  <c r="BF72" i="42"/>
  <c r="BF30" i="42"/>
  <c r="Y93" i="42"/>
  <c r="Y72" i="42"/>
  <c r="Y125" i="42"/>
  <c r="AO7" i="41"/>
  <c r="Y51" i="42"/>
  <c r="Y30" i="42"/>
  <c r="CU93" i="42"/>
  <c r="CU72" i="42"/>
  <c r="CU125" i="42"/>
  <c r="CU51" i="42"/>
  <c r="CU30" i="42"/>
  <c r="CP125" i="42"/>
  <c r="CP51" i="42"/>
  <c r="CP93" i="42"/>
  <c r="CP30" i="42"/>
  <c r="CP72" i="42"/>
  <c r="Z93" i="42"/>
  <c r="Z72" i="42"/>
  <c r="Z125" i="42"/>
  <c r="Z51" i="42"/>
  <c r="Z30" i="42"/>
  <c r="AQ7" i="41"/>
  <c r="BK93" i="42"/>
  <c r="BK72" i="42"/>
  <c r="BK125" i="42"/>
  <c r="BK113" i="42" s="1"/>
  <c r="BK51" i="42"/>
  <c r="BK30" i="42"/>
  <c r="CV93" i="42"/>
  <c r="CV72" i="42"/>
  <c r="CV125" i="42"/>
  <c r="CV51" i="42"/>
  <c r="CV30" i="42"/>
  <c r="S72" i="42"/>
  <c r="S125" i="42"/>
  <c r="S51" i="42"/>
  <c r="S93" i="42"/>
  <c r="S30" i="42"/>
  <c r="AC7" i="41"/>
  <c r="BD72" i="42"/>
  <c r="BD125" i="42"/>
  <c r="BD113" i="42" s="1"/>
  <c r="BD51" i="42"/>
  <c r="BD93" i="42"/>
  <c r="BD30" i="42"/>
  <c r="CS72" i="42"/>
  <c r="CS125" i="42"/>
  <c r="CS51" i="42"/>
  <c r="CS30" i="42"/>
  <c r="CS93" i="42"/>
  <c r="BW34" i="43"/>
  <c r="BV33" i="43"/>
  <c r="BW33" i="43"/>
  <c r="BU32" i="43"/>
  <c r="BW30" i="43"/>
  <c r="BV29" i="43"/>
  <c r="BU28" i="43"/>
  <c r="BU33" i="43"/>
  <c r="BW31" i="43"/>
  <c r="BV30" i="43"/>
  <c r="BU29" i="43"/>
  <c r="BV34" i="43"/>
  <c r="BW32" i="43"/>
  <c r="BV31" i="43"/>
  <c r="BU30" i="43"/>
  <c r="BU31" i="43"/>
  <c r="BV28" i="43"/>
  <c r="BU27" i="43"/>
  <c r="BW25" i="43"/>
  <c r="BV24" i="43"/>
  <c r="BU23" i="43"/>
  <c r="BV32" i="43"/>
  <c r="BW26" i="43"/>
  <c r="BV25" i="43"/>
  <c r="BU24" i="43"/>
  <c r="BU20" i="43"/>
  <c r="BU34" i="43"/>
  <c r="BW29" i="43"/>
  <c r="BW24" i="43"/>
  <c r="BW19" i="43"/>
  <c r="BW20" i="43"/>
  <c r="BV19" i="43"/>
  <c r="BU18" i="43"/>
  <c r="BV26" i="43"/>
  <c r="BV23" i="43"/>
  <c r="BU21" i="43"/>
  <c r="BV15" i="43"/>
  <c r="BV13" i="43"/>
  <c r="BV11" i="43"/>
  <c r="BV9" i="43"/>
  <c r="BV7" i="43"/>
  <c r="BV5" i="43"/>
  <c r="BU3" i="43"/>
  <c r="BW27" i="43"/>
  <c r="BU26" i="43"/>
  <c r="BV20" i="43"/>
  <c r="BW18" i="43"/>
  <c r="BU15" i="43"/>
  <c r="BW14" i="43"/>
  <c r="BU13" i="43"/>
  <c r="BW12" i="43"/>
  <c r="BU11" i="43"/>
  <c r="BW10" i="43"/>
  <c r="BU9" i="43"/>
  <c r="BW8" i="43"/>
  <c r="BU7" i="43"/>
  <c r="BW6" i="43"/>
  <c r="BU5" i="43"/>
  <c r="BW4" i="43"/>
  <c r="BW28" i="43"/>
  <c r="BU25" i="43"/>
  <c r="BU19" i="43"/>
  <c r="BW15" i="43"/>
  <c r="BU14" i="43"/>
  <c r="BV8" i="43"/>
  <c r="BW7" i="43"/>
  <c r="BU6" i="43"/>
  <c r="BW3" i="43"/>
  <c r="BU2" i="43"/>
  <c r="BV27" i="43"/>
  <c r="BV18" i="43"/>
  <c r="BV10" i="43"/>
  <c r="BW9" i="43"/>
  <c r="BU8" i="43"/>
  <c r="BV3" i="43"/>
  <c r="BV14" i="43"/>
  <c r="BV6" i="43"/>
  <c r="BV4" i="43"/>
  <c r="BV2" i="43"/>
  <c r="BW13" i="43"/>
  <c r="BU10" i="43"/>
  <c r="BU4" i="43"/>
  <c r="BV12" i="43"/>
  <c r="BW23" i="43"/>
  <c r="BU12" i="43"/>
  <c r="BW11" i="43"/>
  <c r="BW5" i="43"/>
  <c r="BW2" i="43"/>
  <c r="BU22" i="43"/>
  <c r="BR355" i="39"/>
  <c r="BR354" i="39"/>
  <c r="BN253" i="42"/>
  <c r="BQ250" i="42"/>
  <c r="CV103" i="42"/>
  <c r="AU106" i="41"/>
  <c r="CZ100" i="42"/>
  <c r="BC103" i="41"/>
  <c r="CR100" i="42"/>
  <c r="AM103" i="41"/>
  <c r="G103" i="41"/>
  <c r="CW79" i="42"/>
  <c r="AW81" i="41"/>
  <c r="CG79" i="42"/>
  <c r="Q81" i="41"/>
  <c r="AC62" i="41"/>
  <c r="CM61" i="42"/>
  <c r="AW37" i="41"/>
  <c r="CP100" i="42"/>
  <c r="CQ67" i="42"/>
  <c r="AK68" i="41"/>
  <c r="CI67" i="42"/>
  <c r="U68" i="41"/>
  <c r="AA62" i="41"/>
  <c r="CW46" i="42"/>
  <c r="AW46" i="41"/>
  <c r="CG46" i="42"/>
  <c r="Q46" i="41"/>
  <c r="BC40" i="41"/>
  <c r="CZ40" i="42"/>
  <c r="F90" i="41"/>
  <c r="CA88" i="42"/>
  <c r="AV68" i="41"/>
  <c r="CF67" i="42"/>
  <c r="P68" i="41"/>
  <c r="CP40" i="42"/>
  <c r="AI40" i="41"/>
  <c r="CB58" i="42"/>
  <c r="BH59" i="41"/>
  <c r="CX46" i="42"/>
  <c r="AY46" i="41"/>
  <c r="BJ18" i="41"/>
  <c r="BJ124" i="41" s="1"/>
  <c r="AD18" i="41"/>
  <c r="AD124" i="41" s="1"/>
  <c r="CV46" i="42"/>
  <c r="AU46" i="41"/>
  <c r="CF46" i="42"/>
  <c r="O46" i="41"/>
  <c r="AB112" i="41"/>
  <c r="CL109" i="42"/>
  <c r="AW112" i="41"/>
  <c r="CW109" i="42"/>
  <c r="CX103" i="42"/>
  <c r="CH88" i="42"/>
  <c r="S90" i="41"/>
  <c r="CI82" i="42"/>
  <c r="BG218" i="38"/>
  <c r="BG189" i="38"/>
  <c r="BG213" i="38"/>
  <c r="BG217" i="38"/>
  <c r="BG214" i="38"/>
  <c r="L213" i="38"/>
  <c r="L217" i="38"/>
  <c r="L214" i="38"/>
  <c r="L218" i="38"/>
  <c r="L189" i="38"/>
  <c r="AD218" i="38"/>
  <c r="AD217" i="38"/>
  <c r="AD189" i="38"/>
  <c r="AD213" i="38"/>
  <c r="AD164" i="38" s="1"/>
  <c r="AD214" i="38"/>
  <c r="BR218" i="38"/>
  <c r="BR214" i="38"/>
  <c r="BR189" i="38"/>
  <c r="BR213" i="38"/>
  <c r="BR164" i="38" s="1"/>
  <c r="BR217" i="38"/>
  <c r="BR165" i="38" s="1"/>
  <c r="AP15" i="41"/>
  <c r="Y205" i="38"/>
  <c r="Y203" i="38"/>
  <c r="Y197" i="38"/>
  <c r="Y195" i="38"/>
  <c r="Y193" i="38"/>
  <c r="Y206" i="38"/>
  <c r="Y196" i="38"/>
  <c r="Y202" i="38"/>
  <c r="Y194" i="38"/>
  <c r="Y204" i="38"/>
  <c r="OC2" i="43"/>
  <c r="N357" i="42"/>
  <c r="CA170" i="41"/>
  <c r="Q375" i="42"/>
  <c r="AM9" i="38"/>
  <c r="DP2" i="44"/>
  <c r="GP2" i="43"/>
  <c r="J369" i="39"/>
  <c r="O369" i="39"/>
  <c r="P369" i="39" s="1"/>
  <c r="T207" i="38"/>
  <c r="T206" i="38"/>
  <c r="T197" i="38"/>
  <c r="T196" i="38"/>
  <c r="T202" i="38"/>
  <c r="T193" i="38"/>
  <c r="T198" i="38"/>
  <c r="T203" i="38"/>
  <c r="T194" i="38"/>
  <c r="T205" i="38"/>
  <c r="T204" i="38"/>
  <c r="T195" i="38"/>
  <c r="AA218" i="38"/>
  <c r="AA214" i="38"/>
  <c r="AA189" i="38"/>
  <c r="AA190" i="38" s="1"/>
  <c r="AA217" i="38"/>
  <c r="AA213" i="38"/>
  <c r="AA164" i="38" s="1"/>
  <c r="AK37" i="41"/>
  <c r="CQ37" i="42"/>
  <c r="CI37" i="42"/>
  <c r="U37" i="41"/>
  <c r="CA37" i="42"/>
  <c r="E37" i="41"/>
  <c r="BL355" i="39"/>
  <c r="BL354" i="39"/>
  <c r="AU161" i="38"/>
  <c r="K159" i="38"/>
  <c r="K162" i="38" s="1"/>
  <c r="K161" i="38"/>
  <c r="AU160" i="38"/>
  <c r="AU159" i="38"/>
  <c r="AU162" i="38" s="1"/>
  <c r="K160" i="38"/>
  <c r="K190" i="38"/>
  <c r="G190" i="38"/>
  <c r="AG190" i="38"/>
  <c r="AB190" i="38"/>
  <c r="Q190" i="38"/>
  <c r="Y190" i="38"/>
  <c r="N190" i="38"/>
  <c r="AF190" i="38"/>
  <c r="U190" i="38"/>
  <c r="J190" i="38"/>
  <c r="T190" i="38"/>
  <c r="AH190" i="38"/>
  <c r="M190" i="38"/>
  <c r="AC190" i="38"/>
  <c r="BK161" i="38"/>
  <c r="AA159" i="38"/>
  <c r="AA162" i="38"/>
  <c r="AA161" i="38"/>
  <c r="BK160" i="38"/>
  <c r="BK159" i="38"/>
  <c r="BK162" i="38"/>
  <c r="AA160" i="38"/>
  <c r="BP207" i="38"/>
  <c r="BP205" i="38"/>
  <c r="BP203" i="38"/>
  <c r="BP197" i="38"/>
  <c r="BP195" i="38"/>
  <c r="BP193" i="38"/>
  <c r="BP204" i="38"/>
  <c r="BP194" i="38"/>
  <c r="BP206" i="38"/>
  <c r="BP196" i="38"/>
  <c r="BP198" i="38"/>
  <c r="BP202" i="38"/>
  <c r="BA69" i="38"/>
  <c r="BA68" i="38"/>
  <c r="BA67" i="38"/>
  <c r="BA70" i="38" s="1"/>
  <c r="Q68" i="38"/>
  <c r="Q69" i="38"/>
  <c r="Q67" i="38"/>
  <c r="Q70" i="38" s="1"/>
  <c r="R69" i="38"/>
  <c r="R68" i="38"/>
  <c r="R67" i="38"/>
  <c r="R70" i="38" s="1"/>
  <c r="BB69" i="38"/>
  <c r="BB68" i="38"/>
  <c r="BB67" i="38"/>
  <c r="BB70" i="38" s="1"/>
  <c r="Y161" i="38"/>
  <c r="BI160" i="38"/>
  <c r="Y159" i="38"/>
  <c r="Y162" i="38" s="1"/>
  <c r="BI161" i="38"/>
  <c r="Y160" i="38"/>
  <c r="BI159" i="38"/>
  <c r="BI162" i="38" s="1"/>
  <c r="BE69" i="38"/>
  <c r="BE68" i="38"/>
  <c r="BE67" i="38"/>
  <c r="BE70" i="38" s="1"/>
  <c r="U69" i="38"/>
  <c r="U67" i="38"/>
  <c r="U70" i="38" s="1"/>
  <c r="U68" i="38"/>
  <c r="O160" i="38"/>
  <c r="AY161" i="38"/>
  <c r="O159" i="38"/>
  <c r="O162" i="38" s="1"/>
  <c r="AY160" i="38"/>
  <c r="O161" i="38"/>
  <c r="AY159" i="38"/>
  <c r="AY162" i="38" s="1"/>
  <c r="M342" i="39"/>
  <c r="M341" i="39"/>
  <c r="M340" i="39"/>
  <c r="M343" i="39" s="1"/>
  <c r="M349" i="39" s="1"/>
  <c r="AW341" i="39"/>
  <c r="AW342" i="39"/>
  <c r="AW340" i="39"/>
  <c r="AW343" i="39" s="1"/>
  <c r="AW349" i="39" s="1"/>
  <c r="BJ342" i="39"/>
  <c r="BJ341" i="39"/>
  <c r="Z340" i="39"/>
  <c r="Z343" i="39" s="1"/>
  <c r="BJ340" i="39"/>
  <c r="BJ343" i="39" s="1"/>
  <c r="BJ348" i="39" s="1"/>
  <c r="Z342" i="39"/>
  <c r="Z341" i="39"/>
  <c r="AF161" i="38"/>
  <c r="AF160" i="38"/>
  <c r="AF159" i="38"/>
  <c r="AF162" i="38" s="1"/>
  <c r="BP161" i="38"/>
  <c r="BP159" i="38"/>
  <c r="BP162" i="38"/>
  <c r="BP160" i="38"/>
  <c r="X291" i="42"/>
  <c r="X290" i="42"/>
  <c r="X289" i="42"/>
  <c r="X292" i="42" s="1"/>
  <c r="X298" i="42" s="1"/>
  <c r="BH291" i="42"/>
  <c r="BH289" i="42"/>
  <c r="BH292" i="42"/>
  <c r="BH290" i="42"/>
  <c r="AS291" i="42"/>
  <c r="I290" i="42"/>
  <c r="AS290" i="42"/>
  <c r="I289" i="42"/>
  <c r="I292" i="42"/>
  <c r="I298" i="42" s="1"/>
  <c r="AS289" i="42"/>
  <c r="AS292" i="42"/>
  <c r="I291" i="42"/>
  <c r="BE290" i="42"/>
  <c r="U289" i="42"/>
  <c r="U292" i="42" s="1"/>
  <c r="U298" i="42" s="1"/>
  <c r="BE289" i="42"/>
  <c r="BE292" i="42" s="1"/>
  <c r="BE298" i="42" s="1"/>
  <c r="U290" i="42"/>
  <c r="U291" i="42"/>
  <c r="BE291" i="42"/>
  <c r="BR291" i="42"/>
  <c r="BR290" i="42"/>
  <c r="BR289" i="42"/>
  <c r="BR292" i="42" s="1"/>
  <c r="BR298" i="42" s="1"/>
  <c r="AH291" i="42"/>
  <c r="AH290" i="42"/>
  <c r="AH289" i="42"/>
  <c r="AH292" i="42"/>
  <c r="AI290" i="42"/>
  <c r="BS291" i="42"/>
  <c r="AI289" i="42"/>
  <c r="AI292" i="42"/>
  <c r="AI298" i="42" s="1"/>
  <c r="AI291" i="42"/>
  <c r="BS290" i="42"/>
  <c r="BS289" i="42"/>
  <c r="BS292" i="42" s="1"/>
  <c r="BS298" i="42" s="1"/>
  <c r="BM67" i="40"/>
  <c r="BM65" i="40"/>
  <c r="BM63" i="40"/>
  <c r="BM61" i="40"/>
  <c r="BM59" i="40"/>
  <c r="BM57" i="40"/>
  <c r="BM55" i="40"/>
  <c r="BM53" i="40"/>
  <c r="BM51" i="40"/>
  <c r="BM49" i="40"/>
  <c r="BM47" i="40"/>
  <c r="BM45" i="40"/>
  <c r="BM43" i="40"/>
  <c r="BM41" i="40"/>
  <c r="BM39" i="40"/>
  <c r="BM68" i="40"/>
  <c r="BM66" i="40"/>
  <c r="BM64" i="40"/>
  <c r="BM62" i="40"/>
  <c r="BM60" i="40"/>
  <c r="BM58" i="40"/>
  <c r="BM56" i="40"/>
  <c r="BM54" i="40"/>
  <c r="BM52" i="40"/>
  <c r="BM50" i="40"/>
  <c r="BM48" i="40"/>
  <c r="BM46" i="40"/>
  <c r="BM44" i="40"/>
  <c r="BM42" i="40"/>
  <c r="BM40" i="40"/>
  <c r="BE67" i="40"/>
  <c r="BE65" i="40"/>
  <c r="BE63" i="40"/>
  <c r="BE61" i="40"/>
  <c r="BE59" i="40"/>
  <c r="BE57" i="40"/>
  <c r="BE55" i="40"/>
  <c r="BE53" i="40"/>
  <c r="BE51" i="40"/>
  <c r="BE49" i="40"/>
  <c r="BE47" i="40"/>
  <c r="BE45" i="40"/>
  <c r="BE43" i="40"/>
  <c r="BE41" i="40"/>
  <c r="BE39" i="40"/>
  <c r="BE68" i="40"/>
  <c r="BE66" i="40"/>
  <c r="BE64" i="40"/>
  <c r="BE62" i="40"/>
  <c r="BE60" i="40"/>
  <c r="BE58" i="40"/>
  <c r="BE56" i="40"/>
  <c r="BE54" i="40"/>
  <c r="BE52" i="40"/>
  <c r="BE50" i="40"/>
  <c r="BE48" i="40"/>
  <c r="BE46" i="40"/>
  <c r="BE44" i="40"/>
  <c r="BE42" i="40"/>
  <c r="BE40" i="40"/>
  <c r="X125" i="42"/>
  <c r="X51" i="42"/>
  <c r="X30" i="42"/>
  <c r="X72" i="42"/>
  <c r="X93" i="42"/>
  <c r="AM7" i="41"/>
  <c r="BN68" i="40"/>
  <c r="BN66" i="40"/>
  <c r="BN64" i="40"/>
  <c r="BN62" i="40"/>
  <c r="BN60" i="40"/>
  <c r="BN58" i="40"/>
  <c r="BN56" i="40"/>
  <c r="BN54" i="40"/>
  <c r="BN52" i="40"/>
  <c r="BN50" i="40"/>
  <c r="BN48" i="40"/>
  <c r="BN46" i="40"/>
  <c r="BN44" i="40"/>
  <c r="BN42" i="40"/>
  <c r="BN40" i="40"/>
  <c r="BN67" i="40"/>
  <c r="BN59" i="40"/>
  <c r="BN51" i="40"/>
  <c r="BN43" i="40"/>
  <c r="BN63" i="40"/>
  <c r="BN55" i="40"/>
  <c r="BN47" i="40"/>
  <c r="BN39" i="40"/>
  <c r="BN65" i="40"/>
  <c r="BN57" i="40"/>
  <c r="BN49" i="40"/>
  <c r="BN41" i="40"/>
  <c r="BN61" i="40"/>
  <c r="BN53" i="40"/>
  <c r="BN45" i="40"/>
  <c r="AT68" i="40"/>
  <c r="AT66" i="40"/>
  <c r="AT64" i="40"/>
  <c r="AT62" i="40"/>
  <c r="AT60" i="40"/>
  <c r="AT58" i="40"/>
  <c r="AT56" i="40"/>
  <c r="AT54" i="40"/>
  <c r="AT52" i="40"/>
  <c r="AT50" i="40"/>
  <c r="AT48" i="40"/>
  <c r="AT46" i="40"/>
  <c r="AT44" i="40"/>
  <c r="AT42" i="40"/>
  <c r="AT40" i="40"/>
  <c r="AT67" i="40"/>
  <c r="AT65" i="40"/>
  <c r="AT63" i="40"/>
  <c r="AT61" i="40"/>
  <c r="AT59" i="40"/>
  <c r="AT57" i="40"/>
  <c r="AT55" i="40"/>
  <c r="AT53" i="40"/>
  <c r="AT51" i="40"/>
  <c r="AT49" i="40"/>
  <c r="AT47" i="40"/>
  <c r="AT45" i="40"/>
  <c r="AT43" i="40"/>
  <c r="AT41" i="40"/>
  <c r="AT39" i="40"/>
  <c r="R68" i="40"/>
  <c r="R66" i="40"/>
  <c r="R64" i="40"/>
  <c r="R62" i="40"/>
  <c r="R60" i="40"/>
  <c r="R58" i="40"/>
  <c r="R56" i="40"/>
  <c r="R54" i="40"/>
  <c r="R52" i="40"/>
  <c r="R50" i="40"/>
  <c r="R48" i="40"/>
  <c r="R46" i="40"/>
  <c r="R44" i="40"/>
  <c r="R42" i="40"/>
  <c r="R40" i="40"/>
  <c r="R67" i="40"/>
  <c r="R65" i="40"/>
  <c r="R63" i="40"/>
  <c r="R61" i="40"/>
  <c r="R59" i="40"/>
  <c r="R57" i="40"/>
  <c r="R55" i="40"/>
  <c r="R53" i="40"/>
  <c r="R51" i="40"/>
  <c r="R49" i="40"/>
  <c r="R47" i="40"/>
  <c r="R45" i="40"/>
  <c r="R43" i="40"/>
  <c r="R41" i="40"/>
  <c r="R39" i="40"/>
  <c r="AH68" i="40"/>
  <c r="AH66" i="40"/>
  <c r="AH64" i="40"/>
  <c r="AH62" i="40"/>
  <c r="AH60" i="40"/>
  <c r="AH58" i="40"/>
  <c r="AH56" i="40"/>
  <c r="AH54" i="40"/>
  <c r="AH52" i="40"/>
  <c r="AH50" i="40"/>
  <c r="AH48" i="40"/>
  <c r="AH46" i="40"/>
  <c r="AH44" i="40"/>
  <c r="AH42" i="40"/>
  <c r="AH40" i="40"/>
  <c r="AH67" i="40"/>
  <c r="AH65" i="40"/>
  <c r="AH63" i="40"/>
  <c r="AH61" i="40"/>
  <c r="AH59" i="40"/>
  <c r="AH57" i="40"/>
  <c r="AH55" i="40"/>
  <c r="AH53" i="40"/>
  <c r="AH51" i="40"/>
  <c r="AH49" i="40"/>
  <c r="AH47" i="40"/>
  <c r="AH45" i="40"/>
  <c r="AH43" i="40"/>
  <c r="AH41" i="40"/>
  <c r="AH39" i="40"/>
  <c r="AF125" i="42"/>
  <c r="AF51" i="42"/>
  <c r="AF30" i="42"/>
  <c r="AF72" i="42"/>
  <c r="BC7" i="41"/>
  <c r="AF93" i="42"/>
  <c r="W67" i="40"/>
  <c r="W65" i="40"/>
  <c r="W63" i="40"/>
  <c r="W61" i="40"/>
  <c r="W59" i="40"/>
  <c r="W57" i="40"/>
  <c r="W55" i="40"/>
  <c r="W53" i="40"/>
  <c r="W51" i="40"/>
  <c r="W49" i="40"/>
  <c r="W47" i="40"/>
  <c r="W45" i="40"/>
  <c r="W43" i="40"/>
  <c r="W41" i="40"/>
  <c r="W68" i="40"/>
  <c r="W66" i="40"/>
  <c r="W64" i="40"/>
  <c r="W62" i="40"/>
  <c r="W60" i="40"/>
  <c r="W58" i="40"/>
  <c r="W56" i="40"/>
  <c r="W54" i="40"/>
  <c r="W52" i="40"/>
  <c r="W50" i="40"/>
  <c r="W48" i="40"/>
  <c r="W46" i="40"/>
  <c r="W44" i="40"/>
  <c r="W42" i="40"/>
  <c r="W40" i="40"/>
  <c r="W39" i="40"/>
  <c r="BL67" i="40"/>
  <c r="BL65" i="40"/>
  <c r="BL63" i="40"/>
  <c r="BL61" i="40"/>
  <c r="BL59" i="40"/>
  <c r="BL57" i="40"/>
  <c r="BL55" i="40"/>
  <c r="BL53" i="40"/>
  <c r="BL51" i="40"/>
  <c r="BL49" i="40"/>
  <c r="BL47" i="40"/>
  <c r="BL45" i="40"/>
  <c r="BL43" i="40"/>
  <c r="BL41" i="40"/>
  <c r="BL39" i="40"/>
  <c r="BL68" i="40"/>
  <c r="BL60" i="40"/>
  <c r="BL52" i="40"/>
  <c r="BL44" i="40"/>
  <c r="BL64" i="40"/>
  <c r="BL56" i="40"/>
  <c r="BL48" i="40"/>
  <c r="BL40" i="40"/>
  <c r="BL62" i="40"/>
  <c r="BL54" i="40"/>
  <c r="BL46" i="40"/>
  <c r="BL50" i="40"/>
  <c r="BL42" i="40"/>
  <c r="BL66" i="40"/>
  <c r="BL58" i="40"/>
  <c r="BR93" i="42"/>
  <c r="BR72" i="42"/>
  <c r="BR51" i="42"/>
  <c r="BR30" i="42"/>
  <c r="BR125" i="42"/>
  <c r="BR113" i="42"/>
  <c r="L125" i="42"/>
  <c r="L51" i="42"/>
  <c r="L93" i="42"/>
  <c r="L30" i="42"/>
  <c r="O7" i="41"/>
  <c r="L72" i="42"/>
  <c r="CX125" i="42"/>
  <c r="CX51" i="42"/>
  <c r="CX93" i="42"/>
  <c r="CX30" i="42"/>
  <c r="CX72" i="42"/>
  <c r="AD93" i="42"/>
  <c r="AD72" i="42"/>
  <c r="AD51" i="42"/>
  <c r="AY7" i="41"/>
  <c r="AD30" i="42"/>
  <c r="AD125" i="42"/>
  <c r="BO93" i="42"/>
  <c r="BO72" i="42"/>
  <c r="BO51" i="42"/>
  <c r="BO30" i="42"/>
  <c r="BO125" i="42"/>
  <c r="BO113" i="42" s="1"/>
  <c r="CZ93" i="42"/>
  <c r="CZ72" i="42"/>
  <c r="CZ51" i="42"/>
  <c r="CZ30" i="42"/>
  <c r="CZ125" i="42"/>
  <c r="W72" i="42"/>
  <c r="W125" i="42"/>
  <c r="W51" i="42"/>
  <c r="W30" i="42"/>
  <c r="W93" i="42"/>
  <c r="AK7" i="41"/>
  <c r="BH72" i="42"/>
  <c r="BH125" i="42"/>
  <c r="BH113" i="42" s="1"/>
  <c r="BH51" i="42"/>
  <c r="BH30" i="42"/>
  <c r="BH93" i="42"/>
  <c r="AJ27" i="44"/>
  <c r="AF27" i="44"/>
  <c r="AB27" i="44"/>
  <c r="X27" i="44"/>
  <c r="AH25" i="44"/>
  <c r="AD25" i="44"/>
  <c r="Z25" i="44"/>
  <c r="AH21" i="44"/>
  <c r="AD21" i="44"/>
  <c r="Z21" i="44"/>
  <c r="AH17" i="44"/>
  <c r="AD17" i="44"/>
  <c r="Z17" i="44"/>
  <c r="AK27" i="44"/>
  <c r="AE27" i="44"/>
  <c r="Z27" i="44"/>
  <c r="AG26" i="44"/>
  <c r="AB26" i="44"/>
  <c r="AJ25" i="44"/>
  <c r="AE25" i="44"/>
  <c r="Y25" i="44"/>
  <c r="AF24" i="44"/>
  <c r="AA24" i="44"/>
  <c r="AI21" i="44"/>
  <c r="AC21" i="44"/>
  <c r="X21" i="44"/>
  <c r="AH27" i="44"/>
  <c r="AA27" i="44"/>
  <c r="AF26" i="44"/>
  <c r="Y26" i="44"/>
  <c r="AK25" i="44"/>
  <c r="AC25" i="44"/>
  <c r="W25" i="44"/>
  <c r="AI24" i="44"/>
  <c r="AB24" i="44"/>
  <c r="AJ21" i="44"/>
  <c r="AB21" i="44"/>
  <c r="AG18" i="44"/>
  <c r="AB18" i="44"/>
  <c r="AJ17" i="44"/>
  <c r="AE17" i="44"/>
  <c r="Y17" i="44"/>
  <c r="AF16" i="44"/>
  <c r="AA16" i="44"/>
  <c r="AH14" i="44"/>
  <c r="AD14" i="44"/>
  <c r="Z14" i="44"/>
  <c r="AH13" i="44"/>
  <c r="AD13" i="44"/>
  <c r="Z13" i="44"/>
  <c r="AH12" i="44"/>
  <c r="AD12" i="44"/>
  <c r="Z12" i="44"/>
  <c r="AH11" i="44"/>
  <c r="AD11" i="44"/>
  <c r="Z11" i="44"/>
  <c r="AH10" i="44"/>
  <c r="AD10" i="44"/>
  <c r="Z10" i="44"/>
  <c r="AH9" i="44"/>
  <c r="AD9" i="44"/>
  <c r="Z9" i="44"/>
  <c r="AH8" i="44"/>
  <c r="AD8" i="44"/>
  <c r="Z8" i="44"/>
  <c r="AH7" i="44"/>
  <c r="AD7" i="44"/>
  <c r="Z7" i="44"/>
  <c r="AH6" i="44"/>
  <c r="AD6" i="44"/>
  <c r="Z6" i="44"/>
  <c r="AH5" i="44"/>
  <c r="AD5" i="44"/>
  <c r="Z5" i="44"/>
  <c r="AH4" i="44"/>
  <c r="AD4" i="44"/>
  <c r="Z4" i="44"/>
  <c r="AD27" i="44"/>
  <c r="AK26" i="44"/>
  <c r="AC26" i="44"/>
  <c r="AF25" i="44"/>
  <c r="AH24" i="44"/>
  <c r="X24" i="44"/>
  <c r="AB22" i="44"/>
  <c r="AF21" i="44"/>
  <c r="W21" i="44"/>
  <c r="AK18" i="44"/>
  <c r="AD18" i="44"/>
  <c r="X18" i="44"/>
  <c r="AI17" i="44"/>
  <c r="AB17" i="44"/>
  <c r="AH16" i="44"/>
  <c r="Z16" i="44"/>
  <c r="AE15" i="44"/>
  <c r="W15" i="44"/>
  <c r="AJ14" i="44"/>
  <c r="AE14" i="44"/>
  <c r="Y14" i="44"/>
  <c r="AI13" i="44"/>
  <c r="AC13" i="44"/>
  <c r="X13" i="44"/>
  <c r="AG12" i="44"/>
  <c r="AB12" i="44"/>
  <c r="W12" i="44"/>
  <c r="AK11" i="44"/>
  <c r="AF11" i="44"/>
  <c r="AA11" i="44"/>
  <c r="AJ10" i="44"/>
  <c r="AE10" i="44"/>
  <c r="Y10" i="44"/>
  <c r="AI9" i="44"/>
  <c r="AC9" i="44"/>
  <c r="X9" i="44"/>
  <c r="AG8" i="44"/>
  <c r="AB8" i="44"/>
  <c r="W8" i="44"/>
  <c r="AK7" i="44"/>
  <c r="AF7" i="44"/>
  <c r="AA7" i="44"/>
  <c r="AJ6" i="44"/>
  <c r="AE6" i="44"/>
  <c r="Y6" i="44"/>
  <c r="AI5" i="44"/>
  <c r="AC5" i="44"/>
  <c r="X5" i="44"/>
  <c r="AG4" i="44"/>
  <c r="AB4" i="44"/>
  <c r="W4" i="44"/>
  <c r="AD28" i="44"/>
  <c r="AI27" i="44"/>
  <c r="W27" i="44"/>
  <c r="AH26" i="44"/>
  <c r="AA25" i="44"/>
  <c r="AD24" i="44"/>
  <c r="AH22" i="44"/>
  <c r="X22" i="44"/>
  <c r="AE21" i="44"/>
  <c r="AE20" i="44"/>
  <c r="AC19" i="44"/>
  <c r="AF18" i="44"/>
  <c r="AG17" i="44"/>
  <c r="X17" i="44"/>
  <c r="AE16" i="44"/>
  <c r="W16" i="44"/>
  <c r="AC15" i="44"/>
  <c r="AF14" i="44"/>
  <c r="X14" i="44"/>
  <c r="AF13" i="44"/>
  <c r="Y13" i="44"/>
  <c r="AJ12" i="44"/>
  <c r="AC12" i="44"/>
  <c r="AI11" i="44"/>
  <c r="AB11" i="44"/>
  <c r="AG10" i="44"/>
  <c r="AA10" i="44"/>
  <c r="AG9" i="44"/>
  <c r="AA9" i="44"/>
  <c r="AK8" i="44"/>
  <c r="AE8" i="44"/>
  <c r="X8" i="44"/>
  <c r="AJ7" i="44"/>
  <c r="AC7" i="44"/>
  <c r="W7" i="44"/>
  <c r="X28" i="44"/>
  <c r="AG27" i="44"/>
  <c r="AD26" i="44"/>
  <c r="AI25" i="44"/>
  <c r="X25" i="44"/>
  <c r="Z24" i="44"/>
  <c r="AG22" i="44"/>
  <c r="AA21" i="44"/>
  <c r="AD20" i="44"/>
  <c r="AC18" i="44"/>
  <c r="AF17" i="44"/>
  <c r="W17" i="44"/>
  <c r="AD16" i="44"/>
  <c r="AK15" i="44"/>
  <c r="AA15" i="44"/>
  <c r="AK14" i="44"/>
  <c r="AC14" i="44"/>
  <c r="W14" i="44"/>
  <c r="AK13" i="44"/>
  <c r="AE13" i="44"/>
  <c r="W13" i="44"/>
  <c r="AI12" i="44"/>
  <c r="AA12" i="44"/>
  <c r="AG11" i="44"/>
  <c r="Y11" i="44"/>
  <c r="AF10" i="44"/>
  <c r="X10" i="44"/>
  <c r="AF9" i="44"/>
  <c r="X26" i="44"/>
  <c r="AE24" i="44"/>
  <c r="Y21" i="44"/>
  <c r="AJ20" i="44"/>
  <c r="AH19" i="44"/>
  <c r="Y18" i="44"/>
  <c r="AK17" i="44"/>
  <c r="X16" i="44"/>
  <c r="Z15" i="44"/>
  <c r="AA14" i="44"/>
  <c r="AB13" i="44"/>
  <c r="AK12" i="44"/>
  <c r="X12" i="44"/>
  <c r="AC11" i="44"/>
  <c r="AK10" i="44"/>
  <c r="W10" i="44"/>
  <c r="AE9" i="44"/>
  <c r="AI8" i="44"/>
  <c r="Y8" i="44"/>
  <c r="AB7" i="44"/>
  <c r="AF6" i="44"/>
  <c r="X6" i="44"/>
  <c r="AF5" i="44"/>
  <c r="Y5" i="44"/>
  <c r="AJ4" i="44"/>
  <c r="AC4" i="44"/>
  <c r="AE28" i="44"/>
  <c r="AC27" i="44"/>
  <c r="AJ26" i="44"/>
  <c r="AG25" i="44"/>
  <c r="AD22" i="44"/>
  <c r="AK21" i="44"/>
  <c r="AA20" i="44"/>
  <c r="W19" i="44"/>
  <c r="AH18" i="44"/>
  <c r="AA17" i="44"/>
  <c r="AI16" i="44"/>
  <c r="AH15" i="44"/>
  <c r="AG14" i="44"/>
  <c r="AJ13" i="44"/>
  <c r="AE12" i="44"/>
  <c r="AJ11" i="44"/>
  <c r="W11" i="44"/>
  <c r="AC10" i="44"/>
  <c r="AK9" i="44"/>
  <c r="Y9" i="44"/>
  <c r="AC8" i="44"/>
  <c r="AG7" i="44"/>
  <c r="X7" i="44"/>
  <c r="AI6" i="44"/>
  <c r="AB6" i="44"/>
  <c r="AJ5" i="44"/>
  <c r="AB5" i="44"/>
  <c r="AF4" i="44"/>
  <c r="Y4" i="44"/>
  <c r="BR33" i="43"/>
  <c r="BN33" i="43"/>
  <c r="BJ33" i="43"/>
  <c r="BF33" i="43"/>
  <c r="BT31" i="43"/>
  <c r="BP31" i="43"/>
  <c r="BL31" i="43"/>
  <c r="BH31" i="43"/>
  <c r="AB25" i="44"/>
  <c r="Y22" i="44"/>
  <c r="AI20" i="44"/>
  <c r="AJ18" i="44"/>
  <c r="AB16" i="44"/>
  <c r="AG15" i="44"/>
  <c r="AB14" i="44"/>
  <c r="AA13" i="44"/>
  <c r="Y12" i="44"/>
  <c r="X11" i="44"/>
  <c r="AB10" i="44"/>
  <c r="AJ9" i="44"/>
  <c r="AE7" i="44"/>
  <c r="AC6" i="44"/>
  <c r="AA5" i="44"/>
  <c r="AK4" i="44"/>
  <c r="X4" i="44"/>
  <c r="AH2" i="44"/>
  <c r="W2" i="44"/>
  <c r="BP33" i="43"/>
  <c r="BK33" i="43"/>
  <c r="BR31" i="43"/>
  <c r="BM31" i="43"/>
  <c r="BG31" i="43"/>
  <c r="BQ30" i="43"/>
  <c r="BL30" i="43"/>
  <c r="BF30" i="43"/>
  <c r="Y27" i="44"/>
  <c r="AG21" i="44"/>
  <c r="X20" i="44"/>
  <c r="Z18" i="44"/>
  <c r="AB9" i="44"/>
  <c r="AJ8" i="44"/>
  <c r="Y7" i="44"/>
  <c r="AA6" i="44"/>
  <c r="AK5" i="44"/>
  <c r="W5" i="44"/>
  <c r="AI4" i="44"/>
  <c r="AE2" i="44"/>
  <c r="BT33" i="43"/>
  <c r="BO33" i="43"/>
  <c r="BI33" i="43"/>
  <c r="BQ31" i="43"/>
  <c r="BK31" i="43"/>
  <c r="BF31" i="43"/>
  <c r="BP30" i="43"/>
  <c r="BJ30" i="43"/>
  <c r="W24" i="44"/>
  <c r="AG13" i="44"/>
  <c r="W9" i="44"/>
  <c r="AG6" i="44"/>
  <c r="AA4" i="44"/>
  <c r="Z2" i="44"/>
  <c r="BN34" i="43"/>
  <c r="BL33" i="43"/>
  <c r="BJ31" i="43"/>
  <c r="BN30" i="43"/>
  <c r="AJ16" i="44"/>
  <c r="AF12" i="44"/>
  <c r="AF8" i="44"/>
  <c r="W6" i="44"/>
  <c r="AG5" i="44"/>
  <c r="BL34" i="43"/>
  <c r="BS33" i="43"/>
  <c r="BH33" i="43"/>
  <c r="BS31" i="43"/>
  <c r="BI31" i="43"/>
  <c r="BM30" i="43"/>
  <c r="AH23" i="44"/>
  <c r="AC17" i="44"/>
  <c r="BF34" i="43"/>
  <c r="BI30" i="43"/>
  <c r="BS29" i="43"/>
  <c r="BL29" i="43"/>
  <c r="BQ27" i="43"/>
  <c r="BM27" i="43"/>
  <c r="BI27" i="43"/>
  <c r="BT26" i="43"/>
  <c r="BP26" i="43"/>
  <c r="BL26" i="43"/>
  <c r="BH26" i="43"/>
  <c r="BQ23" i="43"/>
  <c r="BM23" i="43"/>
  <c r="BI23" i="43"/>
  <c r="BT22" i="43"/>
  <c r="BP22" i="43"/>
  <c r="BL22" i="43"/>
  <c r="BH22" i="43"/>
  <c r="Z26" i="44"/>
  <c r="AJ24" i="44"/>
  <c r="AD19" i="44"/>
  <c r="AK2" i="44"/>
  <c r="BQ33" i="43"/>
  <c r="BH30" i="43"/>
  <c r="BT27" i="43"/>
  <c r="BP27" i="43"/>
  <c r="BL27" i="43"/>
  <c r="BH27" i="43"/>
  <c r="BT23" i="43"/>
  <c r="BP23" i="43"/>
  <c r="BL23" i="43"/>
  <c r="BH23" i="43"/>
  <c r="BT19" i="43"/>
  <c r="BP19" i="43"/>
  <c r="BL19" i="43"/>
  <c r="BH19" i="43"/>
  <c r="AI10" i="44"/>
  <c r="BN31" i="43"/>
  <c r="BT30" i="43"/>
  <c r="BH29" i="43"/>
  <c r="BS27" i="43"/>
  <c r="BK27" i="43"/>
  <c r="BR26" i="43"/>
  <c r="BJ26" i="43"/>
  <c r="BS23" i="43"/>
  <c r="BK23" i="43"/>
  <c r="BR22" i="43"/>
  <c r="BJ22" i="43"/>
  <c r="AE5" i="44"/>
  <c r="AE4" i="44"/>
  <c r="AA3" i="44"/>
  <c r="BT34" i="43"/>
  <c r="BT32" i="43"/>
  <c r="BR30" i="43"/>
  <c r="BT29" i="43"/>
  <c r="BG29" i="43"/>
  <c r="BR27" i="43"/>
  <c r="BJ27" i="43"/>
  <c r="BQ26" i="43"/>
  <c r="BI26" i="43"/>
  <c r="BR23" i="43"/>
  <c r="BJ23" i="43"/>
  <c r="BQ22" i="43"/>
  <c r="BI22" i="43"/>
  <c r="BQ19" i="43"/>
  <c r="BK19" i="43"/>
  <c r="BF19" i="43"/>
  <c r="AE11" i="44"/>
  <c r="AC2" i="44"/>
  <c r="BM33" i="43"/>
  <c r="BK28" i="43"/>
  <c r="BN27" i="43"/>
  <c r="BF26" i="43"/>
  <c r="BM25" i="43"/>
  <c r="BF23" i="43"/>
  <c r="BN22" i="43"/>
  <c r="BS19" i="43"/>
  <c r="BM19" i="43"/>
  <c r="BR17" i="43"/>
  <c r="BN17" i="43"/>
  <c r="BJ17" i="43"/>
  <c r="BF17" i="43"/>
  <c r="BT14" i="43"/>
  <c r="BP14" i="43"/>
  <c r="BL14" i="43"/>
  <c r="BH14" i="43"/>
  <c r="BT12" i="43"/>
  <c r="BP12" i="43"/>
  <c r="BL12" i="43"/>
  <c r="BH12" i="43"/>
  <c r="BT10" i="43"/>
  <c r="BP10" i="43"/>
  <c r="BL10" i="43"/>
  <c r="BH10" i="43"/>
  <c r="BT8" i="43"/>
  <c r="BP8" i="43"/>
  <c r="BL8" i="43"/>
  <c r="BH8" i="43"/>
  <c r="BT6" i="43"/>
  <c r="BP6" i="43"/>
  <c r="BL6" i="43"/>
  <c r="BH6" i="43"/>
  <c r="BT4" i="43"/>
  <c r="BP4" i="43"/>
  <c r="BL4" i="43"/>
  <c r="BH4" i="43"/>
  <c r="AF28" i="44"/>
  <c r="AI14" i="44"/>
  <c r="BG33" i="43"/>
  <c r="BO29" i="43"/>
  <c r="BJ28" i="43"/>
  <c r="BG27" i="43"/>
  <c r="BL25" i="43"/>
  <c r="BK24" i="43"/>
  <c r="BO23" i="43"/>
  <c r="BM22" i="43"/>
  <c r="BR19" i="43"/>
  <c r="BJ19" i="43"/>
  <c r="BQ17" i="43"/>
  <c r="BM17" i="43"/>
  <c r="BI17" i="43"/>
  <c r="BT16" i="43"/>
  <c r="BP16" i="43"/>
  <c r="BL16" i="43"/>
  <c r="BH16" i="43"/>
  <c r="BS14" i="43"/>
  <c r="BO14" i="43"/>
  <c r="BK14" i="43"/>
  <c r="BG14" i="43"/>
  <c r="BS12" i="43"/>
  <c r="BO12" i="43"/>
  <c r="BK12" i="43"/>
  <c r="BG12" i="43"/>
  <c r="BS10" i="43"/>
  <c r="BO10" i="43"/>
  <c r="BK10" i="43"/>
  <c r="BG10" i="43"/>
  <c r="BS8" i="43"/>
  <c r="BO8" i="43"/>
  <c r="BK8" i="43"/>
  <c r="BG8" i="43"/>
  <c r="BS6" i="43"/>
  <c r="BO6" i="43"/>
  <c r="BK6" i="43"/>
  <c r="BG6" i="43"/>
  <c r="BS4" i="43"/>
  <c r="BO4" i="43"/>
  <c r="BK4" i="43"/>
  <c r="BG4" i="43"/>
  <c r="BT3" i="43"/>
  <c r="BP3" i="43"/>
  <c r="BL3" i="43"/>
  <c r="BH3" i="43"/>
  <c r="BM29" i="43"/>
  <c r="BH24" i="43"/>
  <c r="BN23" i="43"/>
  <c r="BL21" i="43"/>
  <c r="BJ20" i="43"/>
  <c r="BG19" i="43"/>
  <c r="BO17" i="43"/>
  <c r="BG17" i="43"/>
  <c r="BS16" i="43"/>
  <c r="BK16" i="43"/>
  <c r="BM14" i="43"/>
  <c r="BT13" i="43"/>
  <c r="BL13" i="43"/>
  <c r="BR12" i="43"/>
  <c r="BJ12" i="43"/>
  <c r="BS11" i="43"/>
  <c r="BK11" i="43"/>
  <c r="BQ10" i="43"/>
  <c r="BI10" i="43"/>
  <c r="BN8" i="43"/>
  <c r="BF8" i="43"/>
  <c r="BM6" i="43"/>
  <c r="BT5" i="43"/>
  <c r="BL5" i="43"/>
  <c r="BR4" i="43"/>
  <c r="BJ4" i="43"/>
  <c r="BO3" i="43"/>
  <c r="BG3" i="43"/>
  <c r="AA8" i="44"/>
  <c r="AI7" i="44"/>
  <c r="W3" i="44"/>
  <c r="BT25" i="43"/>
  <c r="BG23" i="43"/>
  <c r="BF20" i="43"/>
  <c r="BO19" i="43"/>
  <c r="BT17" i="43"/>
  <c r="BL17" i="43"/>
  <c r="BR16" i="43"/>
  <c r="BJ16" i="43"/>
  <c r="BR14" i="43"/>
  <c r="BJ14" i="43"/>
  <c r="BS13" i="43"/>
  <c r="BK13" i="43"/>
  <c r="BQ12" i="43"/>
  <c r="BI12" i="43"/>
  <c r="BN10" i="43"/>
  <c r="BF10" i="43"/>
  <c r="BM8" i="43"/>
  <c r="BR6" i="43"/>
  <c r="BJ6" i="43"/>
  <c r="BS5" i="43"/>
  <c r="BK5" i="43"/>
  <c r="BQ4" i="43"/>
  <c r="BI4" i="43"/>
  <c r="BN3" i="43"/>
  <c r="BF3" i="43"/>
  <c r="BO31" i="43"/>
  <c r="BF27" i="43"/>
  <c r="BF18" i="43"/>
  <c r="BS17" i="43"/>
  <c r="BN16" i="43"/>
  <c r="BP15" i="43"/>
  <c r="BF14" i="43"/>
  <c r="BH13" i="43"/>
  <c r="BN12" i="43"/>
  <c r="BO11" i="43"/>
  <c r="BJ10" i="43"/>
  <c r="BQ8" i="43"/>
  <c r="BP7" i="43"/>
  <c r="BF6" i="43"/>
  <c r="BP5" i="43"/>
  <c r="BF4" i="43"/>
  <c r="BR3" i="43"/>
  <c r="BM21" i="43"/>
  <c r="BT18" i="43"/>
  <c r="BP17" i="43"/>
  <c r="BG16" i="43"/>
  <c r="BK15" i="43"/>
  <c r="BQ14" i="43"/>
  <c r="BG13" i="43"/>
  <c r="BM12" i="43"/>
  <c r="BL11" i="43"/>
  <c r="BJ8" i="43"/>
  <c r="BK7" i="43"/>
  <c r="BQ6" i="43"/>
  <c r="BO5" i="43"/>
  <c r="BK3" i="43"/>
  <c r="AK6" i="44"/>
  <c r="BK32" i="43"/>
  <c r="BN26" i="43"/>
  <c r="BS24" i="43"/>
  <c r="BN19" i="43"/>
  <c r="BK17" i="43"/>
  <c r="BO13" i="43"/>
  <c r="BT11" i="43"/>
  <c r="BR10" i="43"/>
  <c r="BG5" i="43"/>
  <c r="BN4" i="43"/>
  <c r="BJ3" i="43"/>
  <c r="BQ2" i="43"/>
  <c r="BO27" i="43"/>
  <c r="BM26" i="43"/>
  <c r="BI19" i="43"/>
  <c r="BH17" i="43"/>
  <c r="BS15" i="43"/>
  <c r="BN14" i="43"/>
  <c r="BG11" i="43"/>
  <c r="BM10" i="43"/>
  <c r="BR8" i="43"/>
  <c r="BS7" i="43"/>
  <c r="BN6" i="43"/>
  <c r="BM4" i="43"/>
  <c r="BK2" i="43"/>
  <c r="BJ18" i="43"/>
  <c r="BP13" i="43"/>
  <c r="BK9" i="43"/>
  <c r="BF16" i="43"/>
  <c r="BH15" i="43"/>
  <c r="BR2" i="43"/>
  <c r="BT20" i="43"/>
  <c r="BI14" i="43"/>
  <c r="BF12" i="43"/>
  <c r="BH7" i="43"/>
  <c r="BI2" i="43"/>
  <c r="BF22" i="43"/>
  <c r="BO16" i="43"/>
  <c r="BI8" i="43"/>
  <c r="BI6" i="43"/>
  <c r="BP20" i="43"/>
  <c r="BP18" i="43"/>
  <c r="BH5" i="43"/>
  <c r="BS3" i="43"/>
  <c r="BL9" i="43"/>
  <c r="AA18" i="44"/>
  <c r="AC16" i="44"/>
  <c r="AK22" i="44"/>
  <c r="W22" i="44"/>
  <c r="AA26" i="44"/>
  <c r="AC24" i="44"/>
  <c r="AE18" i="44"/>
  <c r="AG16" i="44"/>
  <c r="AC22" i="44"/>
  <c r="AA22" i="44"/>
  <c r="AD15" i="44"/>
  <c r="X15" i="44"/>
  <c r="Z19" i="44"/>
  <c r="AF19" i="44"/>
  <c r="Z28" i="44"/>
  <c r="W28" i="44"/>
  <c r="AC28" i="44"/>
  <c r="Z20" i="44"/>
  <c r="AB20" i="44"/>
  <c r="AG20" i="44"/>
  <c r="W23" i="44"/>
  <c r="AE23" i="44"/>
  <c r="Y23" i="44"/>
  <c r="AF23" i="44"/>
  <c r="BK30" i="43"/>
  <c r="AI2" i="44"/>
  <c r="AJ2" i="44"/>
  <c r="BP34" i="43"/>
  <c r="BQ34" i="43"/>
  <c r="BH34" i="43"/>
  <c r="BO34" i="43"/>
  <c r="AH3" i="44"/>
  <c r="AJ3" i="44"/>
  <c r="AF3" i="44"/>
  <c r="AC3" i="44"/>
  <c r="BN29" i="43"/>
  <c r="BI29" i="43"/>
  <c r="BK26" i="43"/>
  <c r="BO22" i="43"/>
  <c r="BJ32" i="43"/>
  <c r="BG32" i="43"/>
  <c r="BN32" i="43"/>
  <c r="BQ32" i="43"/>
  <c r="BO28" i="43"/>
  <c r="BI28" i="43"/>
  <c r="BI25" i="43"/>
  <c r="BN25" i="43"/>
  <c r="BK25" i="43"/>
  <c r="BM16" i="43"/>
  <c r="BQ3" i="43"/>
  <c r="BL24" i="43"/>
  <c r="BM24" i="43"/>
  <c r="BR24" i="43"/>
  <c r="BP21" i="43"/>
  <c r="BI21" i="43"/>
  <c r="BN21" i="43"/>
  <c r="BO21" i="43"/>
  <c r="BJ11" i="43"/>
  <c r="BO20" i="43"/>
  <c r="BR20" i="43"/>
  <c r="BI20" i="43"/>
  <c r="BQ13" i="43"/>
  <c r="BF13" i="43"/>
  <c r="BM5" i="43"/>
  <c r="BR5" i="43"/>
  <c r="BO18" i="43"/>
  <c r="BR18" i="43"/>
  <c r="BI18" i="43"/>
  <c r="BO15" i="43"/>
  <c r="BI15" i="43"/>
  <c r="BN15" i="43"/>
  <c r="BG7" i="43"/>
  <c r="BJ7" i="43"/>
  <c r="BM2" i="43"/>
  <c r="BN2" i="43"/>
  <c r="BT2" i="43"/>
  <c r="AV318" i="42"/>
  <c r="AU318" i="42"/>
  <c r="BG9" i="43"/>
  <c r="BP9" i="43"/>
  <c r="BJ9" i="43"/>
  <c r="J253" i="42"/>
  <c r="AR250" i="42"/>
  <c r="AQ250" i="42"/>
  <c r="AS250" i="42"/>
  <c r="AU253" i="42"/>
  <c r="O106" i="41"/>
  <c r="AU103" i="41"/>
  <c r="AE103" i="41"/>
  <c r="CF100" i="42"/>
  <c r="O103" i="41"/>
  <c r="BE81" i="41"/>
  <c r="AO81" i="41"/>
  <c r="Y81" i="41"/>
  <c r="I81" i="41"/>
  <c r="CC79" i="42"/>
  <c r="CN58" i="42"/>
  <c r="DC58" i="42"/>
  <c r="BI59" i="41"/>
  <c r="CU61" i="42"/>
  <c r="AS62" i="41"/>
  <c r="CM58" i="42"/>
  <c r="AC59" i="41"/>
  <c r="CE61" i="42"/>
  <c r="M62" i="41"/>
  <c r="AU250" i="42"/>
  <c r="DC79" i="42"/>
  <c r="BI68" i="41"/>
  <c r="DC67" i="42"/>
  <c r="AS68" i="41"/>
  <c r="CU67" i="42"/>
  <c r="AC68" i="41"/>
  <c r="CM67" i="42"/>
  <c r="M68" i="41"/>
  <c r="CE67" i="42"/>
  <c r="DB61" i="42"/>
  <c r="BG62" i="41"/>
  <c r="AG46" i="41"/>
  <c r="AL90" i="41"/>
  <c r="CQ79" i="42"/>
  <c r="CV67" i="42"/>
  <c r="AR68" i="41"/>
  <c r="CJ67" i="42"/>
  <c r="X68" i="41"/>
  <c r="X62" i="41"/>
  <c r="CJ61" i="42"/>
  <c r="CI46" i="42"/>
  <c r="U46" i="41"/>
  <c r="DB37" i="42"/>
  <c r="BG37" i="41"/>
  <c r="CL46" i="42"/>
  <c r="AA46" i="41"/>
  <c r="CD46" i="42"/>
  <c r="K46" i="41"/>
  <c r="DC88" i="42"/>
  <c r="CR58" i="42"/>
  <c r="CH37" i="42"/>
  <c r="S37" i="41"/>
  <c r="BF250" i="42"/>
  <c r="CZ46" i="42"/>
  <c r="BC46" i="41"/>
  <c r="AM46" i="41"/>
  <c r="CJ46" i="42"/>
  <c r="W46" i="41"/>
  <c r="G46" i="41"/>
  <c r="CB46" i="42"/>
  <c r="BH46" i="41"/>
  <c r="BC250" i="42"/>
  <c r="DA109" i="42"/>
  <c r="BE112" i="41"/>
  <c r="CS109" i="42"/>
  <c r="AO112" i="41"/>
  <c r="Q112" i="41"/>
  <c r="CG109" i="42"/>
  <c r="CP88" i="42"/>
  <c r="AI90" i="41"/>
  <c r="CO88" i="42"/>
  <c r="AG90" i="41"/>
  <c r="CC88" i="42"/>
  <c r="I90" i="41"/>
  <c r="BH127" i="42"/>
  <c r="E46" i="41"/>
  <c r="B41" i="40"/>
  <c r="B9" i="40"/>
  <c r="BS344" i="39"/>
  <c r="BO344" i="39"/>
  <c r="BK344" i="39"/>
  <c r="BG344" i="39"/>
  <c r="BC344" i="39"/>
  <c r="AY344" i="39"/>
  <c r="AU344" i="39"/>
  <c r="AQ344" i="39"/>
  <c r="BP344" i="39"/>
  <c r="BJ344" i="39"/>
  <c r="BE344" i="39"/>
  <c r="AZ344" i="39"/>
  <c r="AT344" i="39"/>
  <c r="BR344" i="39"/>
  <c r="BM344" i="39"/>
  <c r="BH344" i="39"/>
  <c r="BB344" i="39"/>
  <c r="AW344" i="39"/>
  <c r="AR344" i="39"/>
  <c r="BN344" i="39"/>
  <c r="BD344" i="39"/>
  <c r="AS344" i="39"/>
  <c r="BI344" i="39"/>
  <c r="AX344" i="39"/>
  <c r="BL344" i="39"/>
  <c r="BA344" i="39"/>
  <c r="AV344" i="39"/>
  <c r="BQ344" i="39"/>
  <c r="BF344" i="39"/>
  <c r="BQ218" i="38"/>
  <c r="BQ217" i="38"/>
  <c r="BQ189" i="38"/>
  <c r="BQ214" i="38"/>
  <c r="BQ213" i="38"/>
  <c r="AV217" i="38"/>
  <c r="AV213" i="38"/>
  <c r="AV189" i="38"/>
  <c r="AV190" i="38" s="1"/>
  <c r="AV218" i="38"/>
  <c r="AV214" i="38"/>
  <c r="W218" i="38"/>
  <c r="W214" i="38"/>
  <c r="W213" i="38"/>
  <c r="W217" i="38"/>
  <c r="W189" i="38"/>
  <c r="W190" i="38" s="1"/>
  <c r="V189" i="38"/>
  <c r="V218" i="38"/>
  <c r="V217" i="38"/>
  <c r="V214" i="38"/>
  <c r="V213" i="38"/>
  <c r="V164" i="38" s="1"/>
  <c r="AT218" i="38"/>
  <c r="AT214" i="38"/>
  <c r="AT213" i="38"/>
  <c r="AT217" i="38"/>
  <c r="AT189" i="38"/>
  <c r="BJ218" i="38"/>
  <c r="BJ214" i="38"/>
  <c r="BJ213" i="38"/>
  <c r="BJ217" i="38"/>
  <c r="BJ189" i="38"/>
  <c r="BJ190" i="38" s="1"/>
  <c r="AS37" i="41"/>
  <c r="CU37" i="42"/>
  <c r="CM40" i="42"/>
  <c r="AC40" i="41"/>
  <c r="M37" i="41"/>
  <c r="CE37" i="42"/>
  <c r="BB127" i="42"/>
  <c r="AB15" i="41"/>
  <c r="AB123" i="41" s="1"/>
  <c r="BC176" i="42"/>
  <c r="AI209" i="42"/>
  <c r="L420" i="42"/>
  <c r="K421" i="42"/>
  <c r="M420" i="42"/>
  <c r="DY2" i="44"/>
  <c r="HB2" i="43"/>
  <c r="GQ2" i="43"/>
  <c r="CP67" i="42"/>
  <c r="AI68" i="41"/>
  <c r="DB67" i="42"/>
  <c r="BG68" i="41"/>
  <c r="BQ354" i="39"/>
  <c r="BQ355" i="39"/>
  <c r="AU217" i="38"/>
  <c r="AU214" i="38"/>
  <c r="AU189" i="38"/>
  <c r="AU218" i="38"/>
  <c r="AU213" i="38"/>
  <c r="P189" i="38"/>
  <c r="P190" i="38" s="1"/>
  <c r="P213" i="38"/>
  <c r="P217" i="38"/>
  <c r="P214" i="38"/>
  <c r="P218" i="38"/>
  <c r="CY40" i="42"/>
  <c r="BA40" i="41"/>
  <c r="CI40" i="42"/>
  <c r="U40" i="41"/>
  <c r="CZ109" i="42"/>
  <c r="BC112" i="41"/>
  <c r="CF109" i="42"/>
  <c r="O112" i="41"/>
  <c r="BD355" i="39"/>
  <c r="BD354" i="39"/>
  <c r="BA323" i="39"/>
  <c r="BH354" i="39"/>
  <c r="BH355" i="39"/>
  <c r="AR354" i="39"/>
  <c r="AR355" i="39"/>
  <c r="K96" i="38"/>
  <c r="L96" i="38"/>
  <c r="BZ167" i="41"/>
  <c r="BZ174" i="41"/>
  <c r="BT347" i="39"/>
  <c r="AS419" i="39" s="1"/>
  <c r="N408" i="39"/>
  <c r="U262" i="42"/>
  <c r="BP354" i="39"/>
  <c r="BP355" i="39"/>
  <c r="BR190" i="38"/>
  <c r="BF190" i="38"/>
  <c r="BB190" i="38"/>
  <c r="AX190" i="38"/>
  <c r="BD190" i="38"/>
  <c r="AY190" i="38"/>
  <c r="BQ190" i="38"/>
  <c r="BM190" i="38"/>
  <c r="BH190" i="38"/>
  <c r="AR190" i="38"/>
  <c r="BL190" i="38"/>
  <c r="BK190" i="38"/>
  <c r="BE190" i="38"/>
  <c r="AU190" i="38"/>
  <c r="AZ190" i="38"/>
  <c r="BP190" i="38"/>
  <c r="AC207" i="38"/>
  <c r="AC205" i="38"/>
  <c r="AC203" i="38"/>
  <c r="AC197" i="38"/>
  <c r="AC195" i="38"/>
  <c r="AC193" i="38"/>
  <c r="AC204" i="38"/>
  <c r="AC194" i="38"/>
  <c r="AC206" i="38"/>
  <c r="AC196" i="38"/>
  <c r="AC198" i="38"/>
  <c r="AC202" i="38"/>
  <c r="BQ69" i="38"/>
  <c r="BQ68" i="38"/>
  <c r="BQ67" i="38"/>
  <c r="BQ70" i="38"/>
  <c r="AG68" i="38"/>
  <c r="AG69" i="38"/>
  <c r="AG67" i="38"/>
  <c r="AG70" i="38"/>
  <c r="J69" i="38"/>
  <c r="J68" i="38"/>
  <c r="J67" i="38"/>
  <c r="J70" i="38"/>
  <c r="AT67" i="38"/>
  <c r="AT70" i="38"/>
  <c r="AT68" i="38"/>
  <c r="AT69" i="38"/>
  <c r="Z69" i="38"/>
  <c r="Z68" i="38"/>
  <c r="Z67" i="38"/>
  <c r="Z70" i="38"/>
  <c r="BJ67" i="38"/>
  <c r="BJ70" i="38"/>
  <c r="BJ68" i="38"/>
  <c r="BJ69" i="38"/>
  <c r="AX161" i="38"/>
  <c r="AX160" i="38"/>
  <c r="AX159" i="38"/>
  <c r="AX162" i="38" s="1"/>
  <c r="N161" i="38"/>
  <c r="N159" i="38"/>
  <c r="N162" i="38" s="1"/>
  <c r="N160" i="38"/>
  <c r="AI161" i="38"/>
  <c r="BS159" i="38"/>
  <c r="BS162" i="38" s="1"/>
  <c r="AI159" i="38"/>
  <c r="AI162" i="38" s="1"/>
  <c r="AI160" i="38"/>
  <c r="BS161" i="38"/>
  <c r="BS160" i="38"/>
  <c r="BQ289" i="42"/>
  <c r="BQ292" i="42"/>
  <c r="BQ298" i="42" s="1"/>
  <c r="AG291" i="42"/>
  <c r="BQ290" i="42"/>
  <c r="BQ291" i="42"/>
  <c r="AG289" i="42"/>
  <c r="AG292" i="42"/>
  <c r="AG290" i="42"/>
  <c r="AQ160" i="38"/>
  <c r="G161" i="38"/>
  <c r="AQ159" i="38"/>
  <c r="AQ162" i="38" s="1"/>
  <c r="G160" i="38"/>
  <c r="AQ161" i="38"/>
  <c r="G159" i="38"/>
  <c r="G162" i="38" s="1"/>
  <c r="AG342" i="39"/>
  <c r="AG341" i="39"/>
  <c r="AG340" i="39"/>
  <c r="AG343" i="39" s="1"/>
  <c r="AG349" i="39" s="1"/>
  <c r="BQ342" i="39"/>
  <c r="BQ340" i="39"/>
  <c r="BQ343" i="39" s="1"/>
  <c r="BQ341" i="39"/>
  <c r="BG342" i="39"/>
  <c r="BG341" i="39"/>
  <c r="BG340" i="39"/>
  <c r="BG343" i="39" s="1"/>
  <c r="BG349" i="39" s="1"/>
  <c r="W342" i="39"/>
  <c r="W341" i="39"/>
  <c r="W340" i="39"/>
  <c r="W343" i="39" s="1"/>
  <c r="W349" i="39" s="1"/>
  <c r="AY342" i="39"/>
  <c r="AY341" i="39"/>
  <c r="AY340" i="39"/>
  <c r="AY343" i="39" s="1"/>
  <c r="AY348" i="39" s="1"/>
  <c r="O340" i="39"/>
  <c r="O343" i="39" s="1"/>
  <c r="O342" i="39"/>
  <c r="O341" i="39"/>
  <c r="H161" i="38"/>
  <c r="H160" i="38"/>
  <c r="H159" i="38"/>
  <c r="H162" i="38" s="1"/>
  <c r="AR159" i="38"/>
  <c r="AR162" i="38" s="1"/>
  <c r="AR161" i="38"/>
  <c r="AR160" i="38"/>
  <c r="X161" i="38"/>
  <c r="X160" i="38"/>
  <c r="X159" i="38"/>
  <c r="X162" i="38" s="1"/>
  <c r="BH159" i="38"/>
  <c r="BH162" i="38" s="1"/>
  <c r="BH161" i="38"/>
  <c r="BH160" i="38"/>
  <c r="L342" i="39"/>
  <c r="AV340" i="39"/>
  <c r="AV343" i="39" s="1"/>
  <c r="AV348" i="39" s="1"/>
  <c r="L341" i="39"/>
  <c r="AV342" i="39"/>
  <c r="L340" i="39"/>
  <c r="L343" i="39" s="1"/>
  <c r="L349" i="39" s="1"/>
  <c r="AV341" i="39"/>
  <c r="P291" i="42"/>
  <c r="P290" i="42"/>
  <c r="P289" i="42"/>
  <c r="P292" i="42" s="1"/>
  <c r="P298" i="42" s="1"/>
  <c r="AZ290" i="42"/>
  <c r="AZ289" i="42"/>
  <c r="AZ292" i="42" s="1"/>
  <c r="AZ298" i="42" s="1"/>
  <c r="AZ291" i="42"/>
  <c r="AB291" i="42"/>
  <c r="AB290" i="42"/>
  <c r="AB289" i="42"/>
  <c r="AB292" i="42"/>
  <c r="BL289" i="42"/>
  <c r="BL292" i="42" s="1"/>
  <c r="BL298" i="42" s="1"/>
  <c r="BL290" i="42"/>
  <c r="BL291" i="42"/>
  <c r="AT291" i="42"/>
  <c r="AT290" i="42"/>
  <c r="AT289" i="42"/>
  <c r="AT292" i="42"/>
  <c r="J289" i="42"/>
  <c r="J292" i="42"/>
  <c r="J298" i="42" s="1"/>
  <c r="J290" i="42"/>
  <c r="J291" i="42"/>
  <c r="BJ291" i="42"/>
  <c r="BJ290" i="42"/>
  <c r="BJ289" i="42"/>
  <c r="BJ292" i="42" s="1"/>
  <c r="BJ298" i="42" s="1"/>
  <c r="Z289" i="42"/>
  <c r="Z292" i="42" s="1"/>
  <c r="Z298" i="42" s="1"/>
  <c r="Z291" i="42"/>
  <c r="Z290" i="42"/>
  <c r="AU290" i="42"/>
  <c r="K291" i="42"/>
  <c r="AU289" i="42"/>
  <c r="AU292" i="42" s="1"/>
  <c r="AU291" i="42"/>
  <c r="K289" i="42"/>
  <c r="K292" i="42" s="1"/>
  <c r="K290" i="42"/>
  <c r="BK290" i="42"/>
  <c r="AA291" i="42"/>
  <c r="BK289" i="42"/>
  <c r="BK292" i="42" s="1"/>
  <c r="BK291" i="42"/>
  <c r="AA289" i="42"/>
  <c r="AA292" i="42"/>
  <c r="AA298" i="42" s="1"/>
  <c r="AA290" i="42"/>
  <c r="BU67" i="40"/>
  <c r="BU65" i="40"/>
  <c r="BU63" i="40"/>
  <c r="BU61" i="40"/>
  <c r="BU59" i="40"/>
  <c r="BU57" i="40"/>
  <c r="BU55" i="40"/>
  <c r="BU53" i="40"/>
  <c r="BU51" i="40"/>
  <c r="BU49" i="40"/>
  <c r="BU47" i="40"/>
  <c r="BU45" i="40"/>
  <c r="BU43" i="40"/>
  <c r="BU41" i="40"/>
  <c r="BU39" i="40"/>
  <c r="BU68" i="40"/>
  <c r="BU66" i="40"/>
  <c r="BU64" i="40"/>
  <c r="BU62" i="40"/>
  <c r="BU60" i="40"/>
  <c r="BU58" i="40"/>
  <c r="BU56" i="40"/>
  <c r="BU54" i="40"/>
  <c r="BU52" i="40"/>
  <c r="BU50" i="40"/>
  <c r="BU48" i="40"/>
  <c r="BU46" i="40"/>
  <c r="BU44" i="40"/>
  <c r="BU42" i="40"/>
  <c r="BU40" i="40"/>
  <c r="T67" i="40"/>
  <c r="T65" i="40"/>
  <c r="T63" i="40"/>
  <c r="T61" i="40"/>
  <c r="T59" i="40"/>
  <c r="T57" i="40"/>
  <c r="T55" i="40"/>
  <c r="T53" i="40"/>
  <c r="T51" i="40"/>
  <c r="T49" i="40"/>
  <c r="T47" i="40"/>
  <c r="T45" i="40"/>
  <c r="T43" i="40"/>
  <c r="T41" i="40"/>
  <c r="T39" i="40"/>
  <c r="T68" i="40"/>
  <c r="T66" i="40"/>
  <c r="T64" i="40"/>
  <c r="T62" i="40"/>
  <c r="T60" i="40"/>
  <c r="T58" i="40"/>
  <c r="T56" i="40"/>
  <c r="T54" i="40"/>
  <c r="T52" i="40"/>
  <c r="T50" i="40"/>
  <c r="T48" i="40"/>
  <c r="T46" i="40"/>
  <c r="T44" i="40"/>
  <c r="T42" i="40"/>
  <c r="T40" i="40"/>
  <c r="X67" i="40"/>
  <c r="X65" i="40"/>
  <c r="X63" i="40"/>
  <c r="X61" i="40"/>
  <c r="X59" i="40"/>
  <c r="X57" i="40"/>
  <c r="X55" i="40"/>
  <c r="X53" i="40"/>
  <c r="X51" i="40"/>
  <c r="X49" i="40"/>
  <c r="X47" i="40"/>
  <c r="X45" i="40"/>
  <c r="X43" i="40"/>
  <c r="X41" i="40"/>
  <c r="X39" i="40"/>
  <c r="X64" i="40"/>
  <c r="X56" i="40"/>
  <c r="X48" i="40"/>
  <c r="X40" i="40"/>
  <c r="X68" i="40"/>
  <c r="X60" i="40"/>
  <c r="X52" i="40"/>
  <c r="X44" i="40"/>
  <c r="X66" i="40"/>
  <c r="X42" i="40"/>
  <c r="X62" i="40"/>
  <c r="X54" i="40"/>
  <c r="X46" i="40"/>
  <c r="X58" i="40"/>
  <c r="X50" i="40"/>
  <c r="CD125" i="42"/>
  <c r="CD51" i="42"/>
  <c r="CD30" i="42"/>
  <c r="CD72" i="42"/>
  <c r="CD93" i="42"/>
  <c r="L67" i="40"/>
  <c r="L65" i="40"/>
  <c r="L63" i="40"/>
  <c r="L61" i="40"/>
  <c r="L59" i="40"/>
  <c r="L57" i="40"/>
  <c r="L55" i="40"/>
  <c r="L53" i="40"/>
  <c r="L51" i="40"/>
  <c r="L49" i="40"/>
  <c r="L47" i="40"/>
  <c r="L45" i="40"/>
  <c r="L43" i="40"/>
  <c r="L41" i="40"/>
  <c r="L39" i="40"/>
  <c r="L68" i="40"/>
  <c r="L66" i="40"/>
  <c r="L64" i="40"/>
  <c r="L62" i="40"/>
  <c r="L60" i="40"/>
  <c r="L58" i="40"/>
  <c r="L56" i="40"/>
  <c r="L54" i="40"/>
  <c r="L52" i="40"/>
  <c r="L50" i="40"/>
  <c r="L48" i="40"/>
  <c r="L46" i="40"/>
  <c r="L44" i="40"/>
  <c r="L42" i="40"/>
  <c r="L40" i="40"/>
  <c r="I68" i="40"/>
  <c r="I66" i="40"/>
  <c r="I64" i="40"/>
  <c r="I62" i="40"/>
  <c r="I60" i="40"/>
  <c r="I58" i="40"/>
  <c r="I56" i="40"/>
  <c r="I54" i="40"/>
  <c r="I52" i="40"/>
  <c r="I50" i="40"/>
  <c r="I48" i="40"/>
  <c r="I46" i="40"/>
  <c r="I44" i="40"/>
  <c r="I42" i="40"/>
  <c r="I40" i="40"/>
  <c r="I39" i="40"/>
  <c r="I61" i="40"/>
  <c r="I53" i="40"/>
  <c r="I45" i="40"/>
  <c r="I65" i="40"/>
  <c r="I57" i="40"/>
  <c r="I49" i="40"/>
  <c r="I41" i="40"/>
  <c r="I67" i="40"/>
  <c r="I59" i="40"/>
  <c r="I43" i="40"/>
  <c r="I63" i="40"/>
  <c r="I55" i="40"/>
  <c r="I47" i="40"/>
  <c r="I51" i="40"/>
  <c r="AX68" i="40"/>
  <c r="AX66" i="40"/>
  <c r="AX64" i="40"/>
  <c r="AX62" i="40"/>
  <c r="AX60" i="40"/>
  <c r="AX58" i="40"/>
  <c r="AX56" i="40"/>
  <c r="AX54" i="40"/>
  <c r="AX52" i="40"/>
  <c r="AX50" i="40"/>
  <c r="AX48" i="40"/>
  <c r="AX46" i="40"/>
  <c r="AX44" i="40"/>
  <c r="AX42" i="40"/>
  <c r="AX40" i="40"/>
  <c r="AX67" i="40"/>
  <c r="AX59" i="40"/>
  <c r="AX51" i="40"/>
  <c r="AX43" i="40"/>
  <c r="AX63" i="40"/>
  <c r="AX55" i="40"/>
  <c r="AX47" i="40"/>
  <c r="AX65" i="40"/>
  <c r="AX57" i="40"/>
  <c r="AX49" i="40"/>
  <c r="AX41" i="40"/>
  <c r="AX61" i="40"/>
  <c r="AX53" i="40"/>
  <c r="AX45" i="40"/>
  <c r="AX39" i="40"/>
  <c r="AX93" i="42"/>
  <c r="AX125" i="42"/>
  <c r="AX113" i="42"/>
  <c r="AX51" i="42"/>
  <c r="AX30" i="42"/>
  <c r="AX72" i="42"/>
  <c r="U68" i="40"/>
  <c r="U66" i="40"/>
  <c r="U64" i="40"/>
  <c r="U62" i="40"/>
  <c r="U60" i="40"/>
  <c r="U58" i="40"/>
  <c r="U56" i="40"/>
  <c r="U54" i="40"/>
  <c r="U52" i="40"/>
  <c r="U50" i="40"/>
  <c r="U48" i="40"/>
  <c r="U46" i="40"/>
  <c r="U44" i="40"/>
  <c r="U42" i="40"/>
  <c r="U40" i="40"/>
  <c r="U67" i="40"/>
  <c r="U65" i="40"/>
  <c r="U63" i="40"/>
  <c r="U61" i="40"/>
  <c r="U59" i="40"/>
  <c r="U57" i="40"/>
  <c r="U55" i="40"/>
  <c r="U53" i="40"/>
  <c r="U51" i="40"/>
  <c r="U49" i="40"/>
  <c r="U47" i="40"/>
  <c r="U45" i="40"/>
  <c r="U43" i="40"/>
  <c r="U41" i="40"/>
  <c r="U39" i="40"/>
  <c r="BJ68" i="40"/>
  <c r="BJ66" i="40"/>
  <c r="BJ64" i="40"/>
  <c r="BJ62" i="40"/>
  <c r="BJ60" i="40"/>
  <c r="BJ58" i="40"/>
  <c r="BJ56" i="40"/>
  <c r="BJ54" i="40"/>
  <c r="BJ52" i="40"/>
  <c r="BJ50" i="40"/>
  <c r="BJ48" i="40"/>
  <c r="BJ46" i="40"/>
  <c r="BJ44" i="40"/>
  <c r="BJ42" i="40"/>
  <c r="BJ40" i="40"/>
  <c r="BJ67" i="40"/>
  <c r="BJ65" i="40"/>
  <c r="BJ63" i="40"/>
  <c r="BJ61" i="40"/>
  <c r="BJ59" i="40"/>
  <c r="BJ57" i="40"/>
  <c r="BJ55" i="40"/>
  <c r="BJ53" i="40"/>
  <c r="BJ51" i="40"/>
  <c r="BJ49" i="40"/>
  <c r="BJ47" i="40"/>
  <c r="BJ45" i="40"/>
  <c r="BJ43" i="40"/>
  <c r="BJ41" i="40"/>
  <c r="BJ39" i="40"/>
  <c r="J68" i="40"/>
  <c r="J66" i="40"/>
  <c r="J64" i="40"/>
  <c r="J62" i="40"/>
  <c r="J60" i="40"/>
  <c r="J58" i="40"/>
  <c r="J56" i="40"/>
  <c r="J54" i="40"/>
  <c r="J52" i="40"/>
  <c r="J50" i="40"/>
  <c r="J48" i="40"/>
  <c r="J46" i="40"/>
  <c r="J44" i="40"/>
  <c r="J42" i="40"/>
  <c r="J40" i="40"/>
  <c r="J39" i="40"/>
  <c r="J67" i="40"/>
  <c r="J65" i="40"/>
  <c r="J63" i="40"/>
  <c r="J61" i="40"/>
  <c r="J59" i="40"/>
  <c r="J57" i="40"/>
  <c r="J55" i="40"/>
  <c r="J53" i="40"/>
  <c r="J51" i="40"/>
  <c r="J49" i="40"/>
  <c r="J47" i="40"/>
  <c r="J45" i="40"/>
  <c r="J43" i="40"/>
  <c r="J41" i="40"/>
  <c r="Z68" i="40"/>
  <c r="Z66" i="40"/>
  <c r="Z64" i="40"/>
  <c r="Z62" i="40"/>
  <c r="Z60" i="40"/>
  <c r="Z58" i="40"/>
  <c r="Z56" i="40"/>
  <c r="Z54" i="40"/>
  <c r="Z52" i="40"/>
  <c r="Z50" i="40"/>
  <c r="Z48" i="40"/>
  <c r="Z46" i="40"/>
  <c r="Z44" i="40"/>
  <c r="Z42" i="40"/>
  <c r="Z40" i="40"/>
  <c r="Z39" i="40"/>
  <c r="Z67" i="40"/>
  <c r="Z65" i="40"/>
  <c r="Z63" i="40"/>
  <c r="Z61" i="40"/>
  <c r="Z59" i="40"/>
  <c r="Z57" i="40"/>
  <c r="Z55" i="40"/>
  <c r="Z53" i="40"/>
  <c r="Z51" i="40"/>
  <c r="Z49" i="40"/>
  <c r="Z47" i="40"/>
  <c r="Z45" i="40"/>
  <c r="Z43" i="40"/>
  <c r="Z41" i="40"/>
  <c r="AY68" i="40"/>
  <c r="AY66" i="40"/>
  <c r="AY64" i="40"/>
  <c r="AY62" i="40"/>
  <c r="AY60" i="40"/>
  <c r="AY58" i="40"/>
  <c r="AY56" i="40"/>
  <c r="AY54" i="40"/>
  <c r="AY52" i="40"/>
  <c r="AY50" i="40"/>
  <c r="AY48" i="40"/>
  <c r="AY46" i="40"/>
  <c r="AY44" i="40"/>
  <c r="AY42" i="40"/>
  <c r="AY40" i="40"/>
  <c r="AY39" i="40"/>
  <c r="AY65" i="40"/>
  <c r="AY57" i="40"/>
  <c r="AY49" i="40"/>
  <c r="AY41" i="40"/>
  <c r="AY61" i="40"/>
  <c r="AY53" i="40"/>
  <c r="AY45" i="40"/>
  <c r="AY63" i="40"/>
  <c r="AY55" i="40"/>
  <c r="AY47" i="40"/>
  <c r="AY51" i="40"/>
  <c r="AY43" i="40"/>
  <c r="AY67" i="40"/>
  <c r="AY59" i="40"/>
  <c r="BO68" i="40"/>
  <c r="BO66" i="40"/>
  <c r="BO64" i="40"/>
  <c r="BO62" i="40"/>
  <c r="BO60" i="40"/>
  <c r="BO58" i="40"/>
  <c r="BO56" i="40"/>
  <c r="BO54" i="40"/>
  <c r="BO52" i="40"/>
  <c r="BO50" i="40"/>
  <c r="BO48" i="40"/>
  <c r="BO46" i="40"/>
  <c r="BO44" i="40"/>
  <c r="BO42" i="40"/>
  <c r="BO40" i="40"/>
  <c r="BO65" i="40"/>
  <c r="BO57" i="40"/>
  <c r="BO49" i="40"/>
  <c r="BO41" i="40"/>
  <c r="BO61" i="40"/>
  <c r="BO53" i="40"/>
  <c r="BO45" i="40"/>
  <c r="BO67" i="40"/>
  <c r="BO59" i="40"/>
  <c r="BO51" i="40"/>
  <c r="BO43" i="40"/>
  <c r="BO55" i="40"/>
  <c r="BO47" i="40"/>
  <c r="BO63" i="40"/>
  <c r="BO39" i="40"/>
  <c r="BQ125" i="42"/>
  <c r="BQ113" i="42" s="1"/>
  <c r="BQ51" i="42"/>
  <c r="BQ30" i="42"/>
  <c r="BQ72" i="42"/>
  <c r="BQ93" i="42"/>
  <c r="O67" i="40"/>
  <c r="O65" i="40"/>
  <c r="O63" i="40"/>
  <c r="O61" i="40"/>
  <c r="O59" i="40"/>
  <c r="O57" i="40"/>
  <c r="O55" i="40"/>
  <c r="O53" i="40"/>
  <c r="O51" i="40"/>
  <c r="O49" i="40"/>
  <c r="O47" i="40"/>
  <c r="O45" i="40"/>
  <c r="O43" i="40"/>
  <c r="O41" i="40"/>
  <c r="O68" i="40"/>
  <c r="O66" i="40"/>
  <c r="O64" i="40"/>
  <c r="O62" i="40"/>
  <c r="O60" i="40"/>
  <c r="O58" i="40"/>
  <c r="O56" i="40"/>
  <c r="O54" i="40"/>
  <c r="O52" i="40"/>
  <c r="O50" i="40"/>
  <c r="O48" i="40"/>
  <c r="O46" i="40"/>
  <c r="O44" i="40"/>
  <c r="O42" i="40"/>
  <c r="O40" i="40"/>
  <c r="O39" i="40"/>
  <c r="AE67" i="40"/>
  <c r="AE65" i="40"/>
  <c r="AE63" i="40"/>
  <c r="AE61" i="40"/>
  <c r="AE59" i="40"/>
  <c r="AE57" i="40"/>
  <c r="AE55" i="40"/>
  <c r="AE53" i="40"/>
  <c r="AE51" i="40"/>
  <c r="AE49" i="40"/>
  <c r="AE47" i="40"/>
  <c r="AE45" i="40"/>
  <c r="AE43" i="40"/>
  <c r="AE41" i="40"/>
  <c r="AE68" i="40"/>
  <c r="AE66" i="40"/>
  <c r="AE64" i="40"/>
  <c r="AE62" i="40"/>
  <c r="AE60" i="40"/>
  <c r="AE58" i="40"/>
  <c r="AE56" i="40"/>
  <c r="AE54" i="40"/>
  <c r="AE52" i="40"/>
  <c r="AE50" i="40"/>
  <c r="AE48" i="40"/>
  <c r="AE46" i="40"/>
  <c r="AE44" i="40"/>
  <c r="AE42" i="40"/>
  <c r="AE40" i="40"/>
  <c r="AE39" i="40"/>
  <c r="BD67" i="40"/>
  <c r="BD65" i="40"/>
  <c r="BD63" i="40"/>
  <c r="BD61" i="40"/>
  <c r="BD59" i="40"/>
  <c r="BD57" i="40"/>
  <c r="BD55" i="40"/>
  <c r="BD53" i="40"/>
  <c r="BD51" i="40"/>
  <c r="BD49" i="40"/>
  <c r="BD47" i="40"/>
  <c r="BD45" i="40"/>
  <c r="BD43" i="40"/>
  <c r="BD41" i="40"/>
  <c r="BD39" i="40"/>
  <c r="BD64" i="40"/>
  <c r="BD56" i="40"/>
  <c r="BD48" i="40"/>
  <c r="BD40" i="40"/>
  <c r="BD68" i="40"/>
  <c r="BD60" i="40"/>
  <c r="BD52" i="40"/>
  <c r="BD44" i="40"/>
  <c r="BD58" i="40"/>
  <c r="BD50" i="40"/>
  <c r="BD62" i="40"/>
  <c r="BD54" i="40"/>
  <c r="BD46" i="40"/>
  <c r="BD66" i="40"/>
  <c r="BD42" i="40"/>
  <c r="BT67" i="40"/>
  <c r="BT65" i="40"/>
  <c r="BT63" i="40"/>
  <c r="BT61" i="40"/>
  <c r="BT59" i="40"/>
  <c r="BT57" i="40"/>
  <c r="BT55" i="40"/>
  <c r="BT53" i="40"/>
  <c r="BT51" i="40"/>
  <c r="BT49" i="40"/>
  <c r="BT47" i="40"/>
  <c r="BT45" i="40"/>
  <c r="BT43" i="40"/>
  <c r="BT41" i="40"/>
  <c r="BT39" i="40"/>
  <c r="BT64" i="40"/>
  <c r="BT56" i="40"/>
  <c r="BT48" i="40"/>
  <c r="BT40" i="40"/>
  <c r="BT68" i="40"/>
  <c r="BT60" i="40"/>
  <c r="BT52" i="40"/>
  <c r="BT44" i="40"/>
  <c r="BT62" i="40"/>
  <c r="BT54" i="40"/>
  <c r="BT46" i="40"/>
  <c r="BT66" i="40"/>
  <c r="BT58" i="40"/>
  <c r="BT50" i="40"/>
  <c r="BT42" i="40"/>
  <c r="U93" i="42"/>
  <c r="U125" i="42"/>
  <c r="U51" i="42"/>
  <c r="U72" i="42"/>
  <c r="U30" i="42"/>
  <c r="AG7" i="41"/>
  <c r="Q93" i="42"/>
  <c r="Q72" i="42"/>
  <c r="Q51" i="42"/>
  <c r="Q30" i="42"/>
  <c r="Y7" i="41"/>
  <c r="Q125" i="42"/>
  <c r="BB93" i="42"/>
  <c r="BB72" i="42"/>
  <c r="BB51" i="42"/>
  <c r="BB30" i="42"/>
  <c r="BB125" i="42"/>
  <c r="BB113" i="42" s="1"/>
  <c r="CM93" i="42"/>
  <c r="CM72" i="42"/>
  <c r="CM51" i="42"/>
  <c r="CM30" i="42"/>
  <c r="CM125" i="42"/>
  <c r="AB125" i="42"/>
  <c r="AB51" i="42"/>
  <c r="AB93" i="42"/>
  <c r="AB30" i="42"/>
  <c r="AU7" i="41"/>
  <c r="AB72" i="42"/>
  <c r="CH125" i="42"/>
  <c r="CH51" i="42"/>
  <c r="CH93" i="42"/>
  <c r="CH30" i="42"/>
  <c r="CH72" i="42"/>
  <c r="V93" i="42"/>
  <c r="V72" i="42"/>
  <c r="V51" i="42"/>
  <c r="V125" i="42"/>
  <c r="AI7" i="41"/>
  <c r="V30" i="42"/>
  <c r="AQ93" i="42"/>
  <c r="AQ72" i="42"/>
  <c r="AQ51" i="42"/>
  <c r="AQ125" i="42"/>
  <c r="AQ30" i="42"/>
  <c r="CY3" i="43" s="1"/>
  <c r="BG93" i="42"/>
  <c r="BG72" i="42"/>
  <c r="BG51" i="42"/>
  <c r="BG125" i="42"/>
  <c r="BG113" i="42" s="1"/>
  <c r="BG30" i="42"/>
  <c r="CB93" i="42"/>
  <c r="CB72" i="42"/>
  <c r="CB51" i="42"/>
  <c r="CB125" i="42"/>
  <c r="CB30" i="42"/>
  <c r="CR93" i="42"/>
  <c r="CR72" i="42"/>
  <c r="CR51" i="42"/>
  <c r="CR125" i="42"/>
  <c r="CR30" i="42"/>
  <c r="O72" i="42"/>
  <c r="O125" i="42"/>
  <c r="O51" i="42"/>
  <c r="O30" i="42"/>
  <c r="U7" i="41"/>
  <c r="O93" i="42"/>
  <c r="AE72" i="42"/>
  <c r="AE125" i="42"/>
  <c r="AE51" i="42"/>
  <c r="AE30" i="42"/>
  <c r="BA7" i="41"/>
  <c r="AE93" i="42"/>
  <c r="AZ72" i="42"/>
  <c r="AZ125" i="42"/>
  <c r="AZ113" i="42" s="1"/>
  <c r="AZ51" i="42"/>
  <c r="AZ30" i="42"/>
  <c r="AZ93" i="42"/>
  <c r="BP72" i="42"/>
  <c r="BP125" i="42"/>
  <c r="BP113" i="42" s="1"/>
  <c r="BP51" i="42"/>
  <c r="BP30" i="42"/>
  <c r="BP93" i="42"/>
  <c r="CO72" i="42"/>
  <c r="CO125" i="42"/>
  <c r="CO51" i="42"/>
  <c r="CO93" i="42"/>
  <c r="CO30" i="42"/>
  <c r="AW354" i="39"/>
  <c r="AW355" i="39"/>
  <c r="BF161" i="38"/>
  <c r="BF160" i="38"/>
  <c r="BF159" i="38"/>
  <c r="BF162" i="38" s="1"/>
  <c r="V159" i="38"/>
  <c r="V162" i="38" s="1"/>
  <c r="V161" i="38"/>
  <c r="V160" i="38"/>
  <c r="AY147" i="41"/>
  <c r="AG235" i="42"/>
  <c r="AF19" i="38"/>
  <c r="CZ135" i="42"/>
  <c r="AH300" i="39"/>
  <c r="AH360" i="39"/>
  <c r="DB135" i="42"/>
  <c r="BG147" i="41"/>
  <c r="AH19" i="38"/>
  <c r="Z300" i="39"/>
  <c r="AQ147" i="41"/>
  <c r="Z19" i="38"/>
  <c r="CT135" i="42"/>
  <c r="AW147" i="41"/>
  <c r="AC19" i="38"/>
  <c r="AC179" i="38"/>
  <c r="AC235" i="42"/>
  <c r="CW135" i="42"/>
  <c r="AC300" i="39"/>
  <c r="DX300" i="39"/>
  <c r="AB300" i="39"/>
  <c r="AB19" i="38"/>
  <c r="AB87" i="38" s="1"/>
  <c r="G253" i="42"/>
  <c r="H253" i="42"/>
  <c r="BS69" i="40"/>
  <c r="AC69" i="40"/>
  <c r="R52" i="41"/>
  <c r="AE69" i="40"/>
  <c r="W69" i="40"/>
  <c r="AH69" i="40"/>
  <c r="BW47" i="40"/>
  <c r="BW63" i="40"/>
  <c r="BW42" i="40"/>
  <c r="BW58" i="40"/>
  <c r="BI69" i="40"/>
  <c r="AK46" i="40"/>
  <c r="AK48" i="40"/>
  <c r="AK49" i="40"/>
  <c r="AK65" i="40"/>
  <c r="AV69" i="40"/>
  <c r="AI69" i="40"/>
  <c r="AD69" i="40"/>
  <c r="BO69" i="40"/>
  <c r="J69" i="40"/>
  <c r="BJ69" i="40"/>
  <c r="BL69" i="40"/>
  <c r="BW41" i="40"/>
  <c r="BW57" i="40"/>
  <c r="BW44" i="40"/>
  <c r="BW60" i="40"/>
  <c r="BE69" i="40"/>
  <c r="AB69" i="40"/>
  <c r="AW69" i="40"/>
  <c r="K69" i="40"/>
  <c r="M69" i="40"/>
  <c r="AG69" i="40"/>
  <c r="AK50" i="40"/>
  <c r="AK60" i="40"/>
  <c r="AK43" i="40"/>
  <c r="AK59" i="40"/>
  <c r="AK67" i="40"/>
  <c r="Y69" i="40"/>
  <c r="CX2" i="43"/>
  <c r="O69" i="40"/>
  <c r="AX69" i="40"/>
  <c r="I69" i="40"/>
  <c r="X69" i="40"/>
  <c r="BU69" i="40"/>
  <c r="R69" i="40"/>
  <c r="BW43" i="40"/>
  <c r="BW51" i="40"/>
  <c r="BW59" i="40"/>
  <c r="BW67" i="40"/>
  <c r="BW46" i="40"/>
  <c r="BW54" i="40"/>
  <c r="BW62" i="40"/>
  <c r="S69" i="40"/>
  <c r="BP69" i="40"/>
  <c r="AU69" i="40"/>
  <c r="AK58" i="40"/>
  <c r="AK62" i="40"/>
  <c r="AK68" i="40"/>
  <c r="AK64" i="40"/>
  <c r="AK45" i="40"/>
  <c r="AK53" i="40"/>
  <c r="AK61" i="40"/>
  <c r="AJ69" i="40"/>
  <c r="T69" i="40"/>
  <c r="BW55" i="40"/>
  <c r="BW50" i="40"/>
  <c r="BW66" i="40"/>
  <c r="BV69" i="40"/>
  <c r="AK42" i="40"/>
  <c r="AK52" i="40"/>
  <c r="AK41" i="40"/>
  <c r="AK57" i="40"/>
  <c r="BA69" i="40"/>
  <c r="BF69" i="40"/>
  <c r="BD69" i="40"/>
  <c r="AY69" i="40"/>
  <c r="L69" i="40"/>
  <c r="BW49" i="40"/>
  <c r="BW65" i="40"/>
  <c r="BW52" i="40"/>
  <c r="BW68" i="40"/>
  <c r="BN69" i="40"/>
  <c r="BH69" i="40"/>
  <c r="BR69" i="40"/>
  <c r="AZ69" i="40"/>
  <c r="BQ69" i="40"/>
  <c r="AK54" i="40"/>
  <c r="AK56" i="40"/>
  <c r="AK51" i="40"/>
  <c r="BT69" i="40"/>
  <c r="Z69" i="40"/>
  <c r="U69" i="40"/>
  <c r="BW45" i="40"/>
  <c r="BW53" i="40"/>
  <c r="BW61" i="40"/>
  <c r="BW40" i="40"/>
  <c r="BW48" i="40"/>
  <c r="BW56" i="40"/>
  <c r="BW64" i="40"/>
  <c r="BM69" i="40"/>
  <c r="BC69" i="40"/>
  <c r="N69" i="40"/>
  <c r="Q69" i="40"/>
  <c r="P69" i="40"/>
  <c r="CX33" i="43"/>
  <c r="AA69" i="40"/>
  <c r="V69" i="40"/>
  <c r="BB69" i="40"/>
  <c r="AK66" i="40"/>
  <c r="AK44" i="40"/>
  <c r="AK40" i="40"/>
  <c r="AK47" i="40"/>
  <c r="AK55" i="40"/>
  <c r="AK63" i="40"/>
  <c r="AF69" i="40"/>
  <c r="BG69" i="40"/>
  <c r="O113" i="42"/>
  <c r="O9" i="38"/>
  <c r="AY9" i="38"/>
  <c r="O290" i="39"/>
  <c r="CV290" i="39"/>
  <c r="CW25" i="43"/>
  <c r="CW4" i="43"/>
  <c r="CW10" i="43"/>
  <c r="CY14" i="43"/>
  <c r="CW27" i="43"/>
  <c r="CY33" i="43"/>
  <c r="CW13" i="43"/>
  <c r="W113" i="42"/>
  <c r="W290" i="39"/>
  <c r="DL290" i="39"/>
  <c r="W9" i="38"/>
  <c r="BG9" i="38"/>
  <c r="O117" i="41"/>
  <c r="O133" i="41"/>
  <c r="P131" i="41" s="1"/>
  <c r="O51" i="41"/>
  <c r="O73" i="41"/>
  <c r="O95" i="41"/>
  <c r="O29" i="41"/>
  <c r="BR206" i="38"/>
  <c r="BR204" i="38"/>
  <c r="BR202" i="38"/>
  <c r="BR198" i="38"/>
  <c r="BR196" i="38"/>
  <c r="BR194" i="38"/>
  <c r="BR207" i="38"/>
  <c r="BR197" i="38"/>
  <c r="BR193" i="38"/>
  <c r="BR203" i="38"/>
  <c r="BR205" i="38"/>
  <c r="BR195" i="38"/>
  <c r="CY21" i="43"/>
  <c r="Z113" i="42"/>
  <c r="Z290" i="39"/>
  <c r="DR290" i="39" s="1"/>
  <c r="Z9" i="38"/>
  <c r="BJ9" i="38" s="1"/>
  <c r="Y113" i="42"/>
  <c r="Y9" i="38"/>
  <c r="BI9" i="38"/>
  <c r="Y290" i="39"/>
  <c r="DP290" i="39"/>
  <c r="T113" i="42"/>
  <c r="T290" i="39"/>
  <c r="DF290" i="39"/>
  <c r="T9" i="38"/>
  <c r="BD9" i="38"/>
  <c r="M113" i="42"/>
  <c r="M290" i="39"/>
  <c r="CR290" i="39" s="1"/>
  <c r="M9" i="38"/>
  <c r="AW9" i="38" s="1"/>
  <c r="AS244" i="42"/>
  <c r="AS231" i="42"/>
  <c r="AS117" i="42"/>
  <c r="AS118" i="42" s="1"/>
  <c r="AS115" i="42"/>
  <c r="AS116" i="42"/>
  <c r="AS114" i="42"/>
  <c r="H69" i="40"/>
  <c r="AK39" i="40"/>
  <c r="R204" i="38"/>
  <c r="R203" i="38"/>
  <c r="R194" i="38"/>
  <c r="R193" i="38"/>
  <c r="R207" i="38"/>
  <c r="R198" i="38"/>
  <c r="R197" i="38"/>
  <c r="R206" i="38"/>
  <c r="R205" i="38"/>
  <c r="R196" i="38"/>
  <c r="R195" i="38"/>
  <c r="R202" i="38"/>
  <c r="BA206" i="38"/>
  <c r="BA205" i="38"/>
  <c r="BA196" i="38"/>
  <c r="BA195" i="38"/>
  <c r="BA202" i="38"/>
  <c r="BA197" i="38"/>
  <c r="BA203" i="38"/>
  <c r="BA194" i="38"/>
  <c r="BA204" i="38"/>
  <c r="BA193" i="38"/>
  <c r="BK246" i="42"/>
  <c r="BK133" i="42"/>
  <c r="BL17" i="39"/>
  <c r="DU292" i="39" s="1"/>
  <c r="CX18" i="43"/>
  <c r="CY20" i="43"/>
  <c r="CW16" i="43"/>
  <c r="CY28" i="43"/>
  <c r="AR244" i="42"/>
  <c r="AR116" i="42"/>
  <c r="AR114" i="42"/>
  <c r="AR231" i="42"/>
  <c r="AR117" i="42"/>
  <c r="AR118" i="42" s="1"/>
  <c r="AR115" i="42"/>
  <c r="S95" i="41"/>
  <c r="S51" i="41"/>
  <c r="S133" i="41"/>
  <c r="T131" i="41"/>
  <c r="S29" i="41"/>
  <c r="S117" i="41"/>
  <c r="S73" i="41"/>
  <c r="BE244" i="42"/>
  <c r="BE117" i="42"/>
  <c r="BE118" i="42"/>
  <c r="BE115" i="42"/>
  <c r="BE231" i="42"/>
  <c r="BE114" i="42"/>
  <c r="BE116" i="42"/>
  <c r="BB206" i="38"/>
  <c r="BB204" i="38"/>
  <c r="BB202" i="38"/>
  <c r="BB198" i="38"/>
  <c r="BB196" i="38"/>
  <c r="BB194" i="38"/>
  <c r="BB207" i="38"/>
  <c r="BB197" i="38"/>
  <c r="BB203" i="38"/>
  <c r="BB193" i="38"/>
  <c r="BB195" i="38"/>
  <c r="BB205" i="38"/>
  <c r="CW15" i="43"/>
  <c r="CY34" i="43"/>
  <c r="J113" i="42"/>
  <c r="J290" i="39"/>
  <c r="CL290" i="39"/>
  <c r="J9" i="38"/>
  <c r="AT9" i="38"/>
  <c r="BL205" i="38"/>
  <c r="BL203" i="38"/>
  <c r="BL197" i="38"/>
  <c r="BL195" i="38"/>
  <c r="BL193" i="38"/>
  <c r="BL206" i="38"/>
  <c r="BL196" i="38"/>
  <c r="BL202" i="38"/>
  <c r="BL204" i="38"/>
  <c r="BL194" i="38"/>
  <c r="U95" i="41"/>
  <c r="U133" i="41"/>
  <c r="V131" i="41" s="1"/>
  <c r="U117" i="41"/>
  <c r="U73" i="41"/>
  <c r="U29" i="41"/>
  <c r="U51" i="41"/>
  <c r="CX7" i="43"/>
  <c r="CY15" i="43"/>
  <c r="CW21" i="43"/>
  <c r="CW24" i="43"/>
  <c r="CY26" i="43"/>
  <c r="CX34" i="43"/>
  <c r="CX9" i="43"/>
  <c r="CW5" i="43"/>
  <c r="CX11" i="43"/>
  <c r="CY32" i="43"/>
  <c r="CX32" i="43"/>
  <c r="CY29" i="43"/>
  <c r="CW8" i="43"/>
  <c r="CX10" i="43"/>
  <c r="CX6" i="43"/>
  <c r="CY19" i="43"/>
  <c r="CX12" i="43"/>
  <c r="CY8" i="43"/>
  <c r="CW17" i="43"/>
  <c r="CW22" i="43"/>
  <c r="CX19" i="43"/>
  <c r="CY27" i="43"/>
  <c r="CW34" i="43"/>
  <c r="CX27" i="43"/>
  <c r="AI95" i="41"/>
  <c r="AI51" i="41"/>
  <c r="AI29" i="41"/>
  <c r="AI117" i="41"/>
  <c r="AI73" i="41"/>
  <c r="AI133" i="41"/>
  <c r="AJ131" i="41" s="1"/>
  <c r="AG95" i="41"/>
  <c r="AG133" i="41"/>
  <c r="AH131" i="41"/>
  <c r="AG117" i="41"/>
  <c r="AG73" i="41"/>
  <c r="AG29" i="41"/>
  <c r="AG51" i="41"/>
  <c r="U113" i="42"/>
  <c r="U290" i="39"/>
  <c r="DH290" i="39" s="1"/>
  <c r="U9" i="38"/>
  <c r="BE9" i="38" s="1"/>
  <c r="BA190" i="38"/>
  <c r="AU205" i="38"/>
  <c r="AU204" i="38"/>
  <c r="AU195" i="38"/>
  <c r="AU194" i="38"/>
  <c r="AU207" i="38"/>
  <c r="AU206" i="38"/>
  <c r="AU197" i="38"/>
  <c r="AU196" i="38"/>
  <c r="AU198" i="38"/>
  <c r="AU202" i="38"/>
  <c r="AU193" i="38"/>
  <c r="AU203" i="38"/>
  <c r="BB246" i="42"/>
  <c r="BB133" i="42"/>
  <c r="AB140" i="41"/>
  <c r="BC17" i="39"/>
  <c r="DC292" i="39"/>
  <c r="V202" i="38"/>
  <c r="V206" i="38"/>
  <c r="V205" i="38"/>
  <c r="V196" i="38"/>
  <c r="V195" i="38"/>
  <c r="V204" i="38"/>
  <c r="V203" i="38"/>
  <c r="V194" i="38"/>
  <c r="V193" i="38"/>
  <c r="V197" i="38"/>
  <c r="V207" i="38"/>
  <c r="V198" i="38"/>
  <c r="AV207" i="38"/>
  <c r="AV205" i="38"/>
  <c r="AV203" i="38"/>
  <c r="AV197" i="38"/>
  <c r="AV195" i="38"/>
  <c r="AV193" i="38"/>
  <c r="AV206" i="38"/>
  <c r="AV196" i="38"/>
  <c r="AV198" i="38"/>
  <c r="AV202" i="38"/>
  <c r="AV194" i="38"/>
  <c r="AV204" i="38"/>
  <c r="CY2" i="43"/>
  <c r="CW3" i="43"/>
  <c r="CW32" i="43"/>
  <c r="CX29" i="43"/>
  <c r="BR231" i="42"/>
  <c r="BR244" i="42"/>
  <c r="BR117" i="42"/>
  <c r="BR118" i="42"/>
  <c r="BR115" i="42"/>
  <c r="BR116" i="42"/>
  <c r="BR114" i="42"/>
  <c r="BC117" i="41"/>
  <c r="BC95" i="41"/>
  <c r="BC51" i="41"/>
  <c r="BC133" i="41"/>
  <c r="BD131" i="41"/>
  <c r="BC29" i="41"/>
  <c r="BC73" i="41"/>
  <c r="AF113" i="42"/>
  <c r="AF290" i="39"/>
  <c r="ED290" i="39" s="1"/>
  <c r="AF9" i="38"/>
  <c r="BP9" i="38" s="1"/>
  <c r="V190" i="38"/>
  <c r="AD206" i="38"/>
  <c r="AD205" i="38"/>
  <c r="AD196" i="38"/>
  <c r="AD195" i="38"/>
  <c r="AD202" i="38"/>
  <c r="AD207" i="38"/>
  <c r="AD198" i="38"/>
  <c r="AD197" i="38"/>
  <c r="AD204" i="38"/>
  <c r="AD203" i="38"/>
  <c r="AD193" i="38"/>
  <c r="AD194" i="38"/>
  <c r="CW2" i="43"/>
  <c r="CY22" i="43"/>
  <c r="AC95" i="41"/>
  <c r="AC133" i="41"/>
  <c r="AD131" i="41" s="1"/>
  <c r="AC117" i="41"/>
  <c r="AC73" i="41"/>
  <c r="AC29" i="41"/>
  <c r="AC51" i="41"/>
  <c r="S113" i="42"/>
  <c r="S9" i="38"/>
  <c r="BC9" i="38"/>
  <c r="S290" i="39"/>
  <c r="DD290" i="39"/>
  <c r="AQ133" i="41"/>
  <c r="AR131" i="41"/>
  <c r="AQ51" i="41"/>
  <c r="AQ95" i="41"/>
  <c r="AQ73" i="41"/>
  <c r="AQ117" i="41"/>
  <c r="AQ29" i="41"/>
  <c r="W117" i="41"/>
  <c r="W95" i="41"/>
  <c r="W51" i="41"/>
  <c r="W133" i="41"/>
  <c r="X131" i="41"/>
  <c r="W29" i="41"/>
  <c r="W73" i="41"/>
  <c r="P113" i="42"/>
  <c r="P290" i="39"/>
  <c r="CX290" i="39" s="1"/>
  <c r="P9" i="38"/>
  <c r="AZ9" i="38" s="1"/>
  <c r="Z207" i="38"/>
  <c r="Z198" i="38"/>
  <c r="Z197" i="38"/>
  <c r="Z203" i="38"/>
  <c r="Z194" i="38"/>
  <c r="Z193" i="38"/>
  <c r="Z202" i="38"/>
  <c r="Z204" i="38"/>
  <c r="Z195" i="38"/>
  <c r="Z206" i="38"/>
  <c r="Z205" i="38"/>
  <c r="Z196" i="38"/>
  <c r="M95" i="41"/>
  <c r="M133" i="41"/>
  <c r="N131" i="41" s="1"/>
  <c r="M117" i="41"/>
  <c r="M73" i="41"/>
  <c r="M29" i="41"/>
  <c r="M51" i="41"/>
  <c r="K113" i="42"/>
  <c r="K9" i="38"/>
  <c r="AU9" i="38"/>
  <c r="K290" i="39"/>
  <c r="CN290" i="39"/>
  <c r="AH113" i="42"/>
  <c r="AH290" i="39"/>
  <c r="EH290" i="39" s="1"/>
  <c r="AH9" i="38"/>
  <c r="BR9" i="38" s="1"/>
  <c r="AA133" i="41"/>
  <c r="AB131" i="41" s="1"/>
  <c r="AA51" i="41"/>
  <c r="AA95" i="41"/>
  <c r="AA73" i="41"/>
  <c r="AA29" i="41"/>
  <c r="AA117" i="41"/>
  <c r="AB203" i="38"/>
  <c r="AB202" i="38"/>
  <c r="AB193" i="38"/>
  <c r="AB197" i="38"/>
  <c r="AB205" i="38"/>
  <c r="AB204" i="38"/>
  <c r="AB195" i="38"/>
  <c r="AB194" i="38"/>
  <c r="AB207" i="38"/>
  <c r="AB206" i="38"/>
  <c r="AB196" i="38"/>
  <c r="AB198" i="38"/>
  <c r="CY9" i="43"/>
  <c r="CW7" i="43"/>
  <c r="CW11" i="43"/>
  <c r="CY25" i="43"/>
  <c r="BN231" i="42"/>
  <c r="BN117" i="42"/>
  <c r="BN118" i="42" s="1"/>
  <c r="BN115" i="42"/>
  <c r="BN244" i="42"/>
  <c r="BN114" i="42"/>
  <c r="BN116" i="42"/>
  <c r="BE204" i="38"/>
  <c r="BE203" i="38"/>
  <c r="BE194" i="38"/>
  <c r="BE193" i="38"/>
  <c r="BE206" i="38"/>
  <c r="BE205" i="38"/>
  <c r="BE196" i="38"/>
  <c r="BE195" i="38"/>
  <c r="BE207" i="38"/>
  <c r="BE198" i="38"/>
  <c r="BE197" i="38"/>
  <c r="BE202" i="38"/>
  <c r="CX13" i="43"/>
  <c r="BI95" i="41"/>
  <c r="BI133" i="41"/>
  <c r="BJ131" i="41" s="1"/>
  <c r="BI117" i="41"/>
  <c r="BI73" i="41"/>
  <c r="BI29" i="41"/>
  <c r="BI51" i="41"/>
  <c r="AI113" i="42"/>
  <c r="AI9" i="38"/>
  <c r="BS9" i="38"/>
  <c r="AI290" i="39"/>
  <c r="EJ290" i="39"/>
  <c r="K133" i="41"/>
  <c r="L131" i="41"/>
  <c r="K51" i="41"/>
  <c r="K95" i="41"/>
  <c r="K117" i="41"/>
  <c r="K73" i="41"/>
  <c r="K29" i="41"/>
  <c r="AX206" i="38"/>
  <c r="AX204" i="38"/>
  <c r="AX202" i="38"/>
  <c r="AX198" i="38"/>
  <c r="AX196" i="38"/>
  <c r="AX194" i="38"/>
  <c r="AX205" i="38"/>
  <c r="AX195" i="38"/>
  <c r="AX203" i="38"/>
  <c r="AX193" i="38"/>
  <c r="AX197" i="38"/>
  <c r="AX207" i="38"/>
  <c r="CW6" i="43"/>
  <c r="CX16" i="43"/>
  <c r="CY6" i="43"/>
  <c r="CW19" i="43"/>
  <c r="CX26" i="43"/>
  <c r="CW31" i="43"/>
  <c r="Y95" i="41"/>
  <c r="Y133" i="41"/>
  <c r="Z131" i="41"/>
  <c r="Y117" i="41"/>
  <c r="Y73" i="41"/>
  <c r="Y29" i="41"/>
  <c r="Y51" i="41"/>
  <c r="AT206" i="38"/>
  <c r="AT204" i="38"/>
  <c r="AT202" i="38"/>
  <c r="AT198" i="38"/>
  <c r="AT196" i="38"/>
  <c r="AT194" i="38"/>
  <c r="AT203" i="38"/>
  <c r="AT193" i="38"/>
  <c r="AT197" i="38"/>
  <c r="AT205" i="38"/>
  <c r="AT195" i="38"/>
  <c r="AT207" i="38"/>
  <c r="CX21" i="43"/>
  <c r="CX25" i="43"/>
  <c r="AK95" i="41"/>
  <c r="AK133" i="41"/>
  <c r="AL131" i="41" s="1"/>
  <c r="AK117" i="41"/>
  <c r="AK73" i="41"/>
  <c r="AK29" i="41"/>
  <c r="AK51" i="41"/>
  <c r="AD113" i="42"/>
  <c r="AD9" i="38"/>
  <c r="BN9" i="38"/>
  <c r="AD290" i="39"/>
  <c r="DZ290" i="39"/>
  <c r="L113" i="42"/>
  <c r="L290" i="39"/>
  <c r="CP290" i="39" s="1"/>
  <c r="L9" i="38"/>
  <c r="AV9" i="38" s="1"/>
  <c r="L203" i="38"/>
  <c r="L202" i="38"/>
  <c r="L193" i="38"/>
  <c r="L206" i="38"/>
  <c r="L196" i="38"/>
  <c r="L205" i="38"/>
  <c r="L204" i="38"/>
  <c r="L195" i="38"/>
  <c r="L194" i="38"/>
  <c r="L207" i="38"/>
  <c r="L197" i="38"/>
  <c r="L198" i="38"/>
  <c r="BG207" i="38"/>
  <c r="BG206" i="38"/>
  <c r="BG197" i="38"/>
  <c r="BG196" i="38"/>
  <c r="BG202" i="38"/>
  <c r="BG193" i="38"/>
  <c r="BG198" i="38"/>
  <c r="BG203" i="38"/>
  <c r="BG204" i="38"/>
  <c r="BG195" i="38"/>
  <c r="BG205" i="38"/>
  <c r="BG194" i="38"/>
  <c r="AQ379" i="39"/>
  <c r="AQ207" i="38"/>
  <c r="AQ206" i="38"/>
  <c r="AQ197" i="38"/>
  <c r="AQ196" i="38"/>
  <c r="AQ203" i="38"/>
  <c r="AQ202" i="38"/>
  <c r="AQ193" i="38"/>
  <c r="AQ205" i="38"/>
  <c r="AQ194" i="38"/>
  <c r="AQ204" i="38"/>
  <c r="AQ195" i="38"/>
  <c r="I113" i="42"/>
  <c r="I9" i="38"/>
  <c r="AS9" i="38"/>
  <c r="I290" i="39"/>
  <c r="CJ290" i="39"/>
  <c r="Q95" i="41"/>
  <c r="Q133" i="41"/>
  <c r="R131" i="41"/>
  <c r="Q117" i="41"/>
  <c r="Q73" i="41"/>
  <c r="Q29" i="41"/>
  <c r="Q51" i="41"/>
  <c r="H113" i="42"/>
  <c r="H290" i="39"/>
  <c r="CH290" i="39" s="1"/>
  <c r="H9" i="38"/>
  <c r="AR9" i="38" s="1"/>
  <c r="AE113" i="42"/>
  <c r="AE9" i="38"/>
  <c r="BO9" i="38"/>
  <c r="AE290" i="39"/>
  <c r="EB290" i="39"/>
  <c r="CJ31" i="43"/>
  <c r="CJ33" i="43"/>
  <c r="CS31" i="43"/>
  <c r="CS27" i="43"/>
  <c r="CO27" i="43"/>
  <c r="CK27" i="43"/>
  <c r="CS33" i="43"/>
  <c r="CP30" i="43"/>
  <c r="CK30" i="43"/>
  <c r="CO34" i="43"/>
  <c r="CK33" i="43"/>
  <c r="CO31" i="43"/>
  <c r="CS30" i="43"/>
  <c r="CJ30" i="43"/>
  <c r="CO30" i="43"/>
  <c r="CJ34" i="43"/>
  <c r="CP31" i="43"/>
  <c r="CJ29" i="43"/>
  <c r="CP27" i="43"/>
  <c r="CJ27" i="43"/>
  <c r="CJ26" i="43"/>
  <c r="CS23" i="43"/>
  <c r="CO23" i="43"/>
  <c r="CK23" i="43"/>
  <c r="CJ22" i="43"/>
  <c r="CO33" i="43"/>
  <c r="CJ23" i="43"/>
  <c r="CJ19" i="43"/>
  <c r="CP26" i="43"/>
  <c r="CP22" i="43"/>
  <c r="CS19" i="43"/>
  <c r="CM19" i="43"/>
  <c r="CK31" i="43"/>
  <c r="CO26" i="43"/>
  <c r="CP23" i="43"/>
  <c r="CO22" i="43"/>
  <c r="CJ17" i="43"/>
  <c r="CP34" i="43"/>
  <c r="CM28" i="43"/>
  <c r="CO25" i="43"/>
  <c r="CS17" i="43"/>
  <c r="CJ14" i="43"/>
  <c r="CJ12" i="43"/>
  <c r="CJ10" i="43"/>
  <c r="CJ8" i="43"/>
  <c r="CV6" i="43"/>
  <c r="CR6" i="43"/>
  <c r="CN6" i="43"/>
  <c r="CJ6" i="43"/>
  <c r="CV4" i="43"/>
  <c r="CR4" i="43"/>
  <c r="CN4" i="43"/>
  <c r="CJ4" i="43"/>
  <c r="CS29" i="43"/>
  <c r="CK26" i="43"/>
  <c r="CS22" i="43"/>
  <c r="CK19" i="43"/>
  <c r="CJ16" i="43"/>
  <c r="CU6" i="43"/>
  <c r="CQ6" i="43"/>
  <c r="CM6" i="43"/>
  <c r="CI6" i="43"/>
  <c r="CU4" i="43"/>
  <c r="CQ4" i="43"/>
  <c r="CM4" i="43"/>
  <c r="CI4" i="43"/>
  <c r="CV3" i="43"/>
  <c r="CR3" i="43"/>
  <c r="CN3" i="43"/>
  <c r="CJ3" i="43"/>
  <c r="CK22" i="43"/>
  <c r="CS14" i="43"/>
  <c r="CK14" i="43"/>
  <c r="CJ13" i="43"/>
  <c r="CP12" i="43"/>
  <c r="CO10" i="43"/>
  <c r="CS6" i="43"/>
  <c r="CK6" i="43"/>
  <c r="CQ5" i="43"/>
  <c r="CJ5" i="43"/>
  <c r="CP4" i="43"/>
  <c r="CU3" i="43"/>
  <c r="CM3" i="43"/>
  <c r="CI19" i="43"/>
  <c r="CK17" i="43"/>
  <c r="CP16" i="43"/>
  <c r="CP14" i="43"/>
  <c r="CO12" i="43"/>
  <c r="CS8" i="43"/>
  <c r="CK8" i="43"/>
  <c r="CP6" i="43"/>
  <c r="CV5" i="43"/>
  <c r="CN5" i="43"/>
  <c r="CI5" i="43"/>
  <c r="CO4" i="43"/>
  <c r="CT3" i="43"/>
  <c r="CS26" i="43"/>
  <c r="CK25" i="43"/>
  <c r="CP20" i="43"/>
  <c r="CP8" i="43"/>
  <c r="CN7" i="43"/>
  <c r="CU5" i="43"/>
  <c r="CQ3" i="43"/>
  <c r="CJ25" i="43"/>
  <c r="CP19" i="43"/>
  <c r="CP18" i="43"/>
  <c r="CP17" i="43"/>
  <c r="CS12" i="43"/>
  <c r="CK10" i="43"/>
  <c r="CO8" i="43"/>
  <c r="CM7" i="43"/>
  <c r="CR5" i="43"/>
  <c r="CK4" i="43"/>
  <c r="CP3" i="43"/>
  <c r="CO17" i="43"/>
  <c r="CK12" i="43"/>
  <c r="CP10" i="43"/>
  <c r="CT6" i="43"/>
  <c r="CS4" i="43"/>
  <c r="CS2" i="43"/>
  <c r="CO14" i="43"/>
  <c r="CU7" i="43"/>
  <c r="CO6" i="43"/>
  <c r="CI3" i="43"/>
  <c r="CQ2" i="43"/>
  <c r="CO21" i="43"/>
  <c r="CJ11" i="43"/>
  <c r="CI7" i="43"/>
  <c r="CO19" i="43"/>
  <c r="CS10" i="43"/>
  <c r="CM5" i="43"/>
  <c r="AQ113" i="42"/>
  <c r="CT4" i="43"/>
  <c r="CK9" i="43"/>
  <c r="CV2" i="43"/>
  <c r="CP2" i="43"/>
  <c r="CT7" i="43"/>
  <c r="CK7" i="43"/>
  <c r="CJ7" i="43"/>
  <c r="CO15" i="43"/>
  <c r="CO18" i="43"/>
  <c r="CS5" i="43"/>
  <c r="CP13" i="43"/>
  <c r="CO20" i="43"/>
  <c r="CI20" i="43"/>
  <c r="CK11" i="43"/>
  <c r="CK21" i="43"/>
  <c r="CJ21" i="43"/>
  <c r="CS24" i="43"/>
  <c r="CS16" i="43"/>
  <c r="CO28" i="43"/>
  <c r="CI28" i="43"/>
  <c r="CP28" i="43"/>
  <c r="CP32" i="43"/>
  <c r="CO29" i="43"/>
  <c r="CS34" i="43"/>
  <c r="CS9" i="43"/>
  <c r="CN2" i="43"/>
  <c r="CO2" i="43"/>
  <c r="CR7" i="43"/>
  <c r="CP15" i="43"/>
  <c r="CT5" i="43"/>
  <c r="CO13" i="43"/>
  <c r="CP21" i="43"/>
  <c r="CP25" i="43"/>
  <c r="CJ32" i="43"/>
  <c r="CP29" i="43"/>
  <c r="CJ2" i="43"/>
  <c r="CI2" i="43"/>
  <c r="CQ7" i="43"/>
  <c r="CS15" i="43"/>
  <c r="CP5" i="43"/>
  <c r="CO11" i="43"/>
  <c r="CS3" i="43"/>
  <c r="CJ28" i="43"/>
  <c r="CK32" i="43"/>
  <c r="CK34" i="43"/>
  <c r="CP9" i="43"/>
  <c r="CR2" i="43"/>
  <c r="CK2" i="43"/>
  <c r="CT2" i="43"/>
  <c r="CP7" i="43"/>
  <c r="CK15" i="43"/>
  <c r="CJ15" i="43"/>
  <c r="CK18" i="43"/>
  <c r="CO5" i="43"/>
  <c r="CS13" i="43"/>
  <c r="CK20" i="43"/>
  <c r="CP11" i="43"/>
  <c r="CO24" i="43"/>
  <c r="CK3" i="43"/>
  <c r="CI25" i="43"/>
  <c r="CS25" i="43"/>
  <c r="CK28" i="43"/>
  <c r="CS32" i="43"/>
  <c r="CK29" i="43"/>
  <c r="CJ9" i="43"/>
  <c r="CS7" i="43"/>
  <c r="CK5" i="43"/>
  <c r="CS11" i="43"/>
  <c r="CK24" i="43"/>
  <c r="CJ24" i="43"/>
  <c r="CO3" i="43"/>
  <c r="CK16" i="43"/>
  <c r="CO32" i="43"/>
  <c r="CP33" i="43"/>
  <c r="CO9" i="43"/>
  <c r="CU2" i="43"/>
  <c r="CM2" i="43"/>
  <c r="CO7" i="43"/>
  <c r="CS18" i="43"/>
  <c r="CJ18" i="43"/>
  <c r="CK13" i="43"/>
  <c r="CS20" i="43"/>
  <c r="CJ20" i="43"/>
  <c r="CS21" i="43"/>
  <c r="CP24" i="43"/>
  <c r="CO16" i="43"/>
  <c r="CS28" i="43"/>
  <c r="CX8" i="43"/>
  <c r="CW14" i="43"/>
  <c r="CW12" i="43"/>
  <c r="CX4" i="43"/>
  <c r="CY16" i="43"/>
  <c r="CY10" i="43"/>
  <c r="CX17" i="43"/>
  <c r="CX23" i="43"/>
  <c r="CX22" i="43"/>
  <c r="CW23" i="43"/>
  <c r="CY31" i="43"/>
  <c r="CW30" i="43"/>
  <c r="V113" i="42"/>
  <c r="V290" i="39"/>
  <c r="DJ290" i="39"/>
  <c r="V9" i="38"/>
  <c r="BF9" i="38"/>
  <c r="AU117" i="41"/>
  <c r="AU133" i="41"/>
  <c r="AV131" i="41" s="1"/>
  <c r="AU51" i="41"/>
  <c r="AU73" i="41"/>
  <c r="AU95" i="41"/>
  <c r="AU29" i="41"/>
  <c r="AB113" i="42"/>
  <c r="AB290" i="39"/>
  <c r="DV290" i="39"/>
  <c r="AB9" i="38"/>
  <c r="BL9" i="38"/>
  <c r="AT190" i="38"/>
  <c r="P198" i="38"/>
  <c r="P205" i="38"/>
  <c r="P195" i="38"/>
  <c r="P194" i="38"/>
  <c r="P203" i="38"/>
  <c r="P202" i="38"/>
  <c r="P193" i="38"/>
  <c r="P204" i="38"/>
  <c r="P196" i="38"/>
  <c r="P206" i="38"/>
  <c r="P197" i="38"/>
  <c r="P207" i="38"/>
  <c r="M421" i="42"/>
  <c r="K422" i="42"/>
  <c r="L421" i="42"/>
  <c r="W206" i="38"/>
  <c r="W204" i="38"/>
  <c r="W202" i="38"/>
  <c r="W196" i="38"/>
  <c r="W194" i="38"/>
  <c r="W203" i="38"/>
  <c r="W193" i="38"/>
  <c r="W205" i="38"/>
  <c r="W195" i="38"/>
  <c r="W197" i="38"/>
  <c r="BQ206" i="38"/>
  <c r="BQ205" i="38"/>
  <c r="BQ196" i="38"/>
  <c r="BQ195" i="38"/>
  <c r="BQ202" i="38"/>
  <c r="BQ207" i="38"/>
  <c r="BQ198" i="38"/>
  <c r="BQ197" i="38"/>
  <c r="BQ193" i="38"/>
  <c r="BQ203" i="38"/>
  <c r="BQ194" i="38"/>
  <c r="BQ204" i="38"/>
  <c r="B42" i="40"/>
  <c r="B10" i="40"/>
  <c r="CX15" i="43"/>
  <c r="CY13" i="43"/>
  <c r="CY24" i="43"/>
  <c r="AY95" i="41"/>
  <c r="AY51" i="41"/>
  <c r="AY133" i="41"/>
  <c r="AZ131" i="41" s="1"/>
  <c r="AY29" i="41"/>
  <c r="AY117" i="41"/>
  <c r="AY73" i="41"/>
  <c r="AT69" i="40"/>
  <c r="BW39" i="40"/>
  <c r="AM117" i="41"/>
  <c r="AM95" i="41"/>
  <c r="AM51" i="41"/>
  <c r="AM29" i="41"/>
  <c r="AM133" i="41"/>
  <c r="AN131" i="41"/>
  <c r="AM73" i="41"/>
  <c r="CY7" i="43"/>
  <c r="BF231" i="42"/>
  <c r="BF117" i="42"/>
  <c r="BF118" i="42"/>
  <c r="BF115" i="42"/>
  <c r="BF114" i="42"/>
  <c r="BF244" i="42"/>
  <c r="BF116" i="42"/>
  <c r="AW95" i="41"/>
  <c r="AW133" i="41"/>
  <c r="AX131" i="41" s="1"/>
  <c r="AW117" i="41"/>
  <c r="AW73" i="41"/>
  <c r="AW29" i="41"/>
  <c r="AW51" i="41"/>
  <c r="AC113" i="42"/>
  <c r="AC290" i="39"/>
  <c r="DX290" i="39"/>
  <c r="AC9" i="38"/>
  <c r="BM9" i="38"/>
  <c r="BN206" i="38"/>
  <c r="BN204" i="38"/>
  <c r="BN202" i="38"/>
  <c r="BN198" i="38"/>
  <c r="BN196" i="38"/>
  <c r="BN194" i="38"/>
  <c r="BN205" i="38"/>
  <c r="BN195" i="38"/>
  <c r="BN203" i="38"/>
  <c r="BN193" i="38"/>
  <c r="BN197" i="38"/>
  <c r="BN207" i="38"/>
  <c r="R262" i="42"/>
  <c r="R265" i="42" s="1"/>
  <c r="Q265" i="42"/>
  <c r="AT231" i="42"/>
  <c r="AT244" i="42"/>
  <c r="AT117" i="42"/>
  <c r="AT118" i="42"/>
  <c r="AT115" i="42"/>
  <c r="AT116" i="42"/>
  <c r="AT114" i="42"/>
  <c r="I95" i="41"/>
  <c r="I133" i="41"/>
  <c r="J131" i="41"/>
  <c r="I117" i="41"/>
  <c r="I73" i="41"/>
  <c r="I29" i="41"/>
  <c r="I51" i="41"/>
  <c r="U207" i="38"/>
  <c r="U205" i="38"/>
  <c r="U203" i="38"/>
  <c r="U197" i="38"/>
  <c r="U195" i="38"/>
  <c r="U193" i="38"/>
  <c r="U198" i="38"/>
  <c r="U204" i="38"/>
  <c r="U202" i="38"/>
  <c r="U194" i="38"/>
  <c r="U206" i="38"/>
  <c r="U196" i="38"/>
  <c r="AS421" i="42"/>
  <c r="AR421" i="42"/>
  <c r="AQ422" i="42"/>
  <c r="BC246" i="42"/>
  <c r="BC128" i="42"/>
  <c r="BC133" i="42"/>
  <c r="CM20" i="43" s="1"/>
  <c r="AD140" i="41"/>
  <c r="BD17" i="39"/>
  <c r="DE292" i="39" s="1"/>
  <c r="CW9" i="43"/>
  <c r="CY18" i="43"/>
  <c r="CX5" i="43"/>
  <c r="CX20" i="43"/>
  <c r="CX28" i="43"/>
  <c r="E95" i="41"/>
  <c r="E133" i="41"/>
  <c r="E117" i="41"/>
  <c r="E73" i="41"/>
  <c r="E29" i="41"/>
  <c r="E51" i="41"/>
  <c r="P27" i="44"/>
  <c r="L27" i="44"/>
  <c r="Q26" i="44"/>
  <c r="L26" i="44"/>
  <c r="L24" i="44"/>
  <c r="L18" i="44"/>
  <c r="L16" i="44"/>
  <c r="V7" i="44"/>
  <c r="R7" i="44"/>
  <c r="N7" i="44"/>
  <c r="J7" i="44"/>
  <c r="V6" i="44"/>
  <c r="R6" i="44"/>
  <c r="N6" i="44"/>
  <c r="J6" i="44"/>
  <c r="V5" i="44"/>
  <c r="R5" i="44"/>
  <c r="N5" i="44"/>
  <c r="J5" i="44"/>
  <c r="V4" i="44"/>
  <c r="R4" i="44"/>
  <c r="N4" i="44"/>
  <c r="J4" i="44"/>
  <c r="L25" i="44"/>
  <c r="L12" i="44"/>
  <c r="T10" i="44"/>
  <c r="L8" i="44"/>
  <c r="U7" i="44"/>
  <c r="P7" i="44"/>
  <c r="K7" i="44"/>
  <c r="T6" i="44"/>
  <c r="O6" i="44"/>
  <c r="S5" i="44"/>
  <c r="Q4" i="44"/>
  <c r="L4" i="44"/>
  <c r="L22" i="44"/>
  <c r="L15" i="44"/>
  <c r="L13" i="44"/>
  <c r="T11" i="44"/>
  <c r="L10" i="44"/>
  <c r="T9" i="44"/>
  <c r="L11" i="44"/>
  <c r="Q27" i="44"/>
  <c r="L14" i="44"/>
  <c r="S7" i="44"/>
  <c r="L7" i="44"/>
  <c r="Q6" i="44"/>
  <c r="K6" i="44"/>
  <c r="Q5" i="44"/>
  <c r="L5" i="44"/>
  <c r="U4" i="44"/>
  <c r="O4" i="44"/>
  <c r="L28" i="44"/>
  <c r="L17" i="44"/>
  <c r="T8" i="44"/>
  <c r="O7" i="44"/>
  <c r="U6" i="44"/>
  <c r="U5" i="44"/>
  <c r="O5" i="44"/>
  <c r="S4" i="44"/>
  <c r="K4" i="44"/>
  <c r="X31" i="43"/>
  <c r="T31" i="43"/>
  <c r="L21" i="44"/>
  <c r="L20" i="44"/>
  <c r="P6" i="44"/>
  <c r="AE33" i="43"/>
  <c r="T33" i="43"/>
  <c r="K5" i="44"/>
  <c r="T4" i="44"/>
  <c r="U2" i="44"/>
  <c r="J2" i="44"/>
  <c r="AI33" i="43"/>
  <c r="X33" i="43"/>
  <c r="AE31" i="43"/>
  <c r="T30" i="43"/>
  <c r="T7" i="44"/>
  <c r="L6" i="44"/>
  <c r="P5" i="44"/>
  <c r="X34" i="43"/>
  <c r="X30" i="43"/>
  <c r="Q7" i="44"/>
  <c r="P4" i="44"/>
  <c r="K3" i="44"/>
  <c r="R2" i="44"/>
  <c r="S6" i="44"/>
  <c r="AI31" i="43"/>
  <c r="AI29" i="43"/>
  <c r="AB26" i="43"/>
  <c r="X26" i="43"/>
  <c r="T26" i="43"/>
  <c r="X22" i="43"/>
  <c r="T22" i="43"/>
  <c r="L9" i="44"/>
  <c r="X27" i="43"/>
  <c r="T27" i="43"/>
  <c r="X23" i="43"/>
  <c r="T23" i="43"/>
  <c r="X19" i="43"/>
  <c r="T19" i="43"/>
  <c r="AB30" i="43"/>
  <c r="AI28" i="43"/>
  <c r="X14" i="43"/>
  <c r="T14" i="43"/>
  <c r="X12" i="43"/>
  <c r="T12" i="43"/>
  <c r="X10" i="43"/>
  <c r="T10" i="43"/>
  <c r="X8" i="43"/>
  <c r="T8" i="43"/>
  <c r="AJ6" i="43"/>
  <c r="AF6" i="43"/>
  <c r="AB6" i="43"/>
  <c r="X6" i="43"/>
  <c r="T6" i="43"/>
  <c r="AJ4" i="43"/>
  <c r="AF4" i="43"/>
  <c r="AB4" i="43"/>
  <c r="X4" i="43"/>
  <c r="T4" i="43"/>
  <c r="T5" i="44"/>
  <c r="O2" i="44"/>
  <c r="AA27" i="43"/>
  <c r="X16" i="43"/>
  <c r="T16" i="43"/>
  <c r="AI10" i="43"/>
  <c r="AE10" i="43"/>
  <c r="W10" i="43"/>
  <c r="AI8" i="43"/>
  <c r="AE8" i="43"/>
  <c r="W8" i="43"/>
  <c r="AM6" i="43"/>
  <c r="AI6" i="43"/>
  <c r="AE6" i="43"/>
  <c r="AA6" i="43"/>
  <c r="W6" i="43"/>
  <c r="AM4" i="43"/>
  <c r="AI4" i="43"/>
  <c r="AE4" i="43"/>
  <c r="AA4" i="43"/>
  <c r="W4" i="43"/>
  <c r="AJ3" i="43"/>
  <c r="AF3" i="43"/>
  <c r="AB3" i="43"/>
  <c r="X3" i="43"/>
  <c r="T3" i="43"/>
  <c r="T28" i="43"/>
  <c r="T17" i="43"/>
  <c r="X13" i="43"/>
  <c r="AE11" i="43"/>
  <c r="W11" i="43"/>
  <c r="AG6" i="43"/>
  <c r="Y6" i="43"/>
  <c r="Q6" i="43"/>
  <c r="AF5" i="43"/>
  <c r="X5" i="43"/>
  <c r="AL4" i="43"/>
  <c r="AD4" i="43"/>
  <c r="V4" i="43"/>
  <c r="AI3" i="43"/>
  <c r="AA3" i="43"/>
  <c r="T20" i="43"/>
  <c r="X17" i="43"/>
  <c r="AL6" i="43"/>
  <c r="AD6" i="43"/>
  <c r="V6" i="43"/>
  <c r="AM5" i="43"/>
  <c r="AE5" i="43"/>
  <c r="W5" i="43"/>
  <c r="AK4" i="43"/>
  <c r="AC4" i="43"/>
  <c r="AH3" i="43"/>
  <c r="Z3" i="43"/>
  <c r="T18" i="43"/>
  <c r="AI11" i="43"/>
  <c r="AJ7" i="43"/>
  <c r="Z6" i="43"/>
  <c r="AJ5" i="43"/>
  <c r="Z4" i="43"/>
  <c r="Q4" i="43"/>
  <c r="AL3" i="43"/>
  <c r="V3" i="43"/>
  <c r="X29" i="43"/>
  <c r="X25" i="43"/>
  <c r="T11" i="43"/>
  <c r="AE7" i="43"/>
  <c r="AK6" i="43"/>
  <c r="AI5" i="43"/>
  <c r="T5" i="43"/>
  <c r="Y4" i="43"/>
  <c r="AE3" i="43"/>
  <c r="AA5" i="43"/>
  <c r="AH4" i="43"/>
  <c r="AD3" i="43"/>
  <c r="AM2" i="43"/>
  <c r="Z2" i="43"/>
  <c r="AH6" i="43"/>
  <c r="AG4" i="43"/>
  <c r="W3" i="43"/>
  <c r="AH2" i="43"/>
  <c r="T13" i="43"/>
  <c r="X11" i="43"/>
  <c r="AB5" i="43"/>
  <c r="AA2" i="43"/>
  <c r="G113" i="42"/>
  <c r="AB7" i="43"/>
  <c r="AC6" i="43"/>
  <c r="AM3" i="43"/>
  <c r="AE9" i="43"/>
  <c r="W7" i="43"/>
  <c r="AG2" i="43"/>
  <c r="G290" i="39"/>
  <c r="CF290" i="39" s="1"/>
  <c r="G9" i="38"/>
  <c r="AQ9" i="38" s="1"/>
  <c r="X2" i="43"/>
  <c r="AI2" i="43"/>
  <c r="AL2" i="43"/>
  <c r="AK2" i="43"/>
  <c r="AD7" i="43"/>
  <c r="Y7" i="43"/>
  <c r="AA7" i="43"/>
  <c r="X15" i="43"/>
  <c r="X18" i="43"/>
  <c r="AL5" i="43"/>
  <c r="V5" i="43"/>
  <c r="AG5" i="43"/>
  <c r="X20" i="43"/>
  <c r="Q3" i="43"/>
  <c r="AK3" i="43"/>
  <c r="T25" i="43"/>
  <c r="S3" i="44"/>
  <c r="AI34" i="43"/>
  <c r="T2" i="44"/>
  <c r="N2" i="44"/>
  <c r="V2" i="44"/>
  <c r="AE30" i="43"/>
  <c r="T28" i="44"/>
  <c r="X9" i="43"/>
  <c r="W9" i="43"/>
  <c r="Y2" i="43"/>
  <c r="AL7" i="43"/>
  <c r="AG7" i="43"/>
  <c r="AD5" i="43"/>
  <c r="Y5" i="43"/>
  <c r="X21" i="43"/>
  <c r="AC3" i="43"/>
  <c r="AE32" i="43"/>
  <c r="R3" i="44"/>
  <c r="L2" i="44"/>
  <c r="AI9" i="43"/>
  <c r="AH7" i="43"/>
  <c r="AC7" i="43"/>
  <c r="AI7" i="43"/>
  <c r="AK5" i="43"/>
  <c r="L3" i="44"/>
  <c r="O3" i="44"/>
  <c r="T34" i="43"/>
  <c r="T9" i="43"/>
  <c r="AJ2" i="43"/>
  <c r="T2" i="43"/>
  <c r="AD2" i="43"/>
  <c r="AE2" i="43"/>
  <c r="AC2" i="43"/>
  <c r="Z7" i="43"/>
  <c r="AK7" i="43"/>
  <c r="Q7" i="43"/>
  <c r="T7" i="43"/>
  <c r="AH5" i="43"/>
  <c r="AC5" i="43"/>
  <c r="X24" i="43"/>
  <c r="Y3" i="43"/>
  <c r="AE28" i="43"/>
  <c r="AE29" i="43"/>
  <c r="N3" i="44"/>
  <c r="T3" i="44"/>
  <c r="AE34" i="43"/>
  <c r="P2" i="44"/>
  <c r="Q2" i="44"/>
  <c r="AA30" i="43"/>
  <c r="L23" i="44"/>
  <c r="L19" i="44"/>
  <c r="AF2" i="43"/>
  <c r="W2" i="43"/>
  <c r="V2" i="43"/>
  <c r="V7" i="43"/>
  <c r="AF7" i="43"/>
  <c r="T15" i="43"/>
  <c r="T21" i="43"/>
  <c r="X28" i="43"/>
  <c r="AI32" i="43"/>
  <c r="T32" i="43"/>
  <c r="U3" i="44"/>
  <c r="J3" i="44"/>
  <c r="V3" i="44"/>
  <c r="AB34" i="43"/>
  <c r="K2" i="44"/>
  <c r="AB2" i="43"/>
  <c r="Q2" i="43"/>
  <c r="X7" i="43"/>
  <c r="Z5" i="43"/>
  <c r="Q5" i="43"/>
  <c r="T24" i="43"/>
  <c r="AG3" i="43"/>
  <c r="X32" i="43"/>
  <c r="AA29" i="43"/>
  <c r="T29" i="43"/>
  <c r="Q3" i="44"/>
  <c r="P3" i="44"/>
  <c r="S2" i="44"/>
  <c r="AI30" i="43"/>
  <c r="AY231" i="42"/>
  <c r="AY244" i="42"/>
  <c r="AY116" i="42"/>
  <c r="AY114" i="42"/>
  <c r="AY117" i="42"/>
  <c r="AY118" i="42" s="1"/>
  <c r="AY115" i="42"/>
  <c r="BE95" i="41"/>
  <c r="BE133" i="41"/>
  <c r="BF131" i="41" s="1"/>
  <c r="BE117" i="41"/>
  <c r="BE73" i="41"/>
  <c r="BE29" i="41"/>
  <c r="BE51" i="41"/>
  <c r="N206" i="38"/>
  <c r="N205" i="38"/>
  <c r="N196" i="38"/>
  <c r="N195" i="38"/>
  <c r="N197" i="38"/>
  <c r="N202" i="38"/>
  <c r="N193" i="38"/>
  <c r="N204" i="38"/>
  <c r="N203" i="38"/>
  <c r="N194" i="38"/>
  <c r="CW20" i="43"/>
  <c r="AU231" i="42"/>
  <c r="AU116" i="42"/>
  <c r="AU114" i="42"/>
  <c r="AU244" i="42"/>
  <c r="AU115" i="42"/>
  <c r="AU117" i="42"/>
  <c r="AU118" i="42" s="1"/>
  <c r="BJ231" i="42"/>
  <c r="BJ244" i="42"/>
  <c r="BJ117" i="42"/>
  <c r="BJ118" i="42" s="1"/>
  <c r="BJ115" i="42"/>
  <c r="BJ116" i="42"/>
  <c r="BJ114" i="42"/>
  <c r="J207" i="38"/>
  <c r="J198" i="38"/>
  <c r="J197" i="38"/>
  <c r="J204" i="38"/>
  <c r="J193" i="38"/>
  <c r="J202" i="38"/>
  <c r="J203" i="38"/>
  <c r="J194" i="38"/>
  <c r="J195" i="38"/>
  <c r="J205" i="38"/>
  <c r="J196" i="38"/>
  <c r="J206" i="38"/>
  <c r="BA95" i="41"/>
  <c r="BA133" i="41"/>
  <c r="BB131" i="41"/>
  <c r="BA117" i="41"/>
  <c r="BA73" i="41"/>
  <c r="BA29" i="41"/>
  <c r="BA51" i="41"/>
  <c r="CX3" i="43"/>
  <c r="CY11" i="43"/>
  <c r="CY17" i="43"/>
  <c r="CX14" i="43"/>
  <c r="CY5" i="43"/>
  <c r="CY4" i="43"/>
  <c r="CY12" i="43"/>
  <c r="CW29" i="43"/>
  <c r="CW26" i="43"/>
  <c r="CY23" i="43"/>
  <c r="CX30" i="43"/>
  <c r="CW33" i="43"/>
  <c r="CX31" i="43"/>
  <c r="Q113" i="42"/>
  <c r="Q9" i="38"/>
  <c r="BA9" i="38"/>
  <c r="Q290" i="39"/>
  <c r="CZ290" i="39"/>
  <c r="AX231" i="42"/>
  <c r="AX117" i="42"/>
  <c r="AX118" i="42"/>
  <c r="AX115" i="42"/>
  <c r="AX244" i="42"/>
  <c r="AX114" i="42"/>
  <c r="AX116" i="42"/>
  <c r="BG190" i="38"/>
  <c r="BN190" i="38"/>
  <c r="V262" i="42"/>
  <c r="U265" i="42"/>
  <c r="BJ206" i="38"/>
  <c r="BJ204" i="38"/>
  <c r="BJ202" i="38"/>
  <c r="BJ196" i="38"/>
  <c r="BJ194" i="38"/>
  <c r="BJ203" i="38"/>
  <c r="BJ193" i="38"/>
  <c r="BJ197" i="38"/>
  <c r="BJ205" i="38"/>
  <c r="BJ195" i="38"/>
  <c r="BH246" i="42"/>
  <c r="BH133" i="42"/>
  <c r="CM25" i="43" s="1"/>
  <c r="AN140" i="41"/>
  <c r="BI17" i="39"/>
  <c r="DO292" i="39" s="1"/>
  <c r="X290" i="39"/>
  <c r="DN290" i="39"/>
  <c r="X113" i="42"/>
  <c r="X9" i="38"/>
  <c r="BH9" i="38" s="1"/>
  <c r="R190" i="38"/>
  <c r="AD190" i="38"/>
  <c r="Z190" i="38"/>
  <c r="L190" i="38"/>
  <c r="AA206" i="38"/>
  <c r="AA204" i="38"/>
  <c r="AA202" i="38"/>
  <c r="AA198" i="38"/>
  <c r="AA196" i="38"/>
  <c r="AA194" i="38"/>
  <c r="AA203" i="38"/>
  <c r="AA193" i="38"/>
  <c r="AA205" i="38"/>
  <c r="AA195" i="38"/>
  <c r="AA207" i="38"/>
  <c r="AA197" i="38"/>
  <c r="L369" i="39"/>
  <c r="K369" i="39"/>
  <c r="CW18" i="43"/>
  <c r="AO95" i="41"/>
  <c r="AO133" i="41"/>
  <c r="AP131" i="41"/>
  <c r="AO117" i="41"/>
  <c r="AO73" i="41"/>
  <c r="AO29" i="41"/>
  <c r="AO51" i="41"/>
  <c r="BT345" i="39"/>
  <c r="AS411" i="39" s="1"/>
  <c r="NO2" i="43" s="1"/>
  <c r="BT346" i="39"/>
  <c r="AS412" i="39" s="1"/>
  <c r="NP2" i="43" s="1"/>
  <c r="BT343" i="39"/>
  <c r="AS409" i="39" s="1"/>
  <c r="BT348" i="39"/>
  <c r="BT341" i="39"/>
  <c r="AS417" i="39" s="1"/>
  <c r="AQ417" i="39" s="1"/>
  <c r="BT349" i="39"/>
  <c r="BT344" i="39"/>
  <c r="AS410" i="39"/>
  <c r="BT340" i="39"/>
  <c r="AS416" i="39" s="1"/>
  <c r="AQ416" i="39" s="1"/>
  <c r="BT342" i="39"/>
  <c r="AS418" i="39" s="1"/>
  <c r="AF198" i="38"/>
  <c r="AF205" i="38"/>
  <c r="AF204" i="38"/>
  <c r="AF195" i="38"/>
  <c r="AF203" i="38"/>
  <c r="AF202" i="38"/>
  <c r="AF193" i="38"/>
  <c r="AF194" i="38"/>
  <c r="AF196" i="38"/>
  <c r="AF207" i="38"/>
  <c r="AF206" i="38"/>
  <c r="AF197" i="38"/>
  <c r="AS95" i="41"/>
  <c r="AS133" i="41"/>
  <c r="AT131" i="41" s="1"/>
  <c r="AS117" i="41"/>
  <c r="AS73" i="41"/>
  <c r="AS29" i="41"/>
  <c r="AS51" i="41"/>
  <c r="AA113" i="42"/>
  <c r="AA9" i="38"/>
  <c r="BK9" i="38"/>
  <c r="AA290" i="39"/>
  <c r="DT290" i="39" s="1"/>
  <c r="BC116" i="42"/>
  <c r="BC117" i="42"/>
  <c r="BC118" i="42" s="1"/>
  <c r="BG133" i="41"/>
  <c r="BH131" i="41"/>
  <c r="BG51" i="41"/>
  <c r="BG95" i="41"/>
  <c r="BG73" i="41"/>
  <c r="BG117" i="41"/>
  <c r="BG29" i="41"/>
  <c r="R113" i="42"/>
  <c r="R290" i="39"/>
  <c r="DB290" i="39"/>
  <c r="R9" i="38"/>
  <c r="BB9" i="38" s="1"/>
  <c r="AE117" i="41"/>
  <c r="AE133" i="41"/>
  <c r="AF131" i="41"/>
  <c r="AE51" i="41"/>
  <c r="AE73" i="41"/>
  <c r="AE29" i="41"/>
  <c r="AE95" i="41"/>
  <c r="G117" i="41"/>
  <c r="G95" i="41"/>
  <c r="G51" i="41"/>
  <c r="G29" i="41"/>
  <c r="G133" i="41"/>
  <c r="H131" i="41" s="1"/>
  <c r="G73" i="41"/>
  <c r="AZ205" i="38"/>
  <c r="AZ203" i="38"/>
  <c r="AZ197" i="38"/>
  <c r="AZ195" i="38"/>
  <c r="AZ193" i="38"/>
  <c r="AZ204" i="38"/>
  <c r="AZ194" i="38"/>
  <c r="AZ206" i="38"/>
  <c r="AZ196" i="38"/>
  <c r="AZ202" i="38"/>
  <c r="BF206" i="38"/>
  <c r="BF204" i="38"/>
  <c r="BF202" i="38"/>
  <c r="BF198" i="38"/>
  <c r="BF196" i="38"/>
  <c r="BF194" i="38"/>
  <c r="BF205" i="38"/>
  <c r="BF195" i="38"/>
  <c r="BF207" i="38"/>
  <c r="BF197" i="38"/>
  <c r="BF193" i="38"/>
  <c r="BF203" i="38"/>
  <c r="AH204" i="38"/>
  <c r="AH203" i="38"/>
  <c r="AH194" i="38"/>
  <c r="AH193" i="38"/>
  <c r="AH206" i="38"/>
  <c r="AH205" i="38"/>
  <c r="AH196" i="38"/>
  <c r="AH195" i="38"/>
  <c r="AH197" i="38"/>
  <c r="AH202" i="38"/>
  <c r="G206" i="38"/>
  <c r="G204" i="38"/>
  <c r="G202" i="38"/>
  <c r="G196" i="38"/>
  <c r="G194" i="38"/>
  <c r="G203" i="38"/>
  <c r="G193" i="38"/>
  <c r="G207" i="38"/>
  <c r="G197" i="38"/>
  <c r="G205" i="38"/>
  <c r="G195" i="38"/>
  <c r="BR389" i="39"/>
  <c r="BN389" i="39"/>
  <c r="BJ389" i="39"/>
  <c r="BF389" i="39"/>
  <c r="BB389" i="39"/>
  <c r="AX389" i="39"/>
  <c r="AT389" i="39"/>
  <c r="BP380" i="39"/>
  <c r="BL380" i="39"/>
  <c r="BH380" i="39"/>
  <c r="BD380" i="39"/>
  <c r="AZ380" i="39"/>
  <c r="AV380" i="39"/>
  <c r="AR380" i="39"/>
  <c r="BQ389" i="39"/>
  <c r="BM389" i="39"/>
  <c r="BI389" i="39"/>
  <c r="BE389" i="39"/>
  <c r="BA389" i="39"/>
  <c r="AW389" i="39"/>
  <c r="AS389" i="39"/>
  <c r="BS380" i="39"/>
  <c r="BO380" i="39"/>
  <c r="BK380" i="39"/>
  <c r="BG380" i="39"/>
  <c r="BC380" i="39"/>
  <c r="AY380" i="39"/>
  <c r="AU380" i="39"/>
  <c r="AQ380" i="39"/>
  <c r="BO389" i="39"/>
  <c r="BG389" i="39"/>
  <c r="AY389" i="39"/>
  <c r="AQ389" i="39"/>
  <c r="BM380" i="39"/>
  <c r="BE380" i="39"/>
  <c r="AW380" i="39"/>
  <c r="BS389" i="39"/>
  <c r="BK389" i="39"/>
  <c r="BC389" i="39"/>
  <c r="AU389" i="39"/>
  <c r="BQ380" i="39"/>
  <c r="BI380" i="39"/>
  <c r="BA380" i="39"/>
  <c r="AS380" i="39"/>
  <c r="BH389" i="39"/>
  <c r="AR389" i="39"/>
  <c r="BN380" i="39"/>
  <c r="AX380" i="39"/>
  <c r="AZ389" i="39"/>
  <c r="BL389" i="39"/>
  <c r="BB380" i="39"/>
  <c r="BD389" i="39"/>
  <c r="BJ380" i="39"/>
  <c r="AT380" i="39"/>
  <c r="BP389" i="39"/>
  <c r="BF380" i="39"/>
  <c r="AV389" i="39"/>
  <c r="BR380" i="39"/>
  <c r="R270" i="42"/>
  <c r="K271" i="42"/>
  <c r="X270" i="42"/>
  <c r="CX24" i="43"/>
  <c r="CY30" i="43"/>
  <c r="BM348" i="39"/>
  <c r="N113" i="42"/>
  <c r="N9" i="38"/>
  <c r="AX9" i="38" s="1"/>
  <c r="N290" i="39"/>
  <c r="CT290" i="39"/>
  <c r="AG113" i="42"/>
  <c r="AG9" i="38"/>
  <c r="BQ9" i="38" s="1"/>
  <c r="AG290" i="39"/>
  <c r="EF290" i="39"/>
  <c r="AG207" i="38"/>
  <c r="AG205" i="38"/>
  <c r="AG203" i="38"/>
  <c r="AG197" i="38"/>
  <c r="AG195" i="38"/>
  <c r="AG193" i="38"/>
  <c r="AG202" i="38"/>
  <c r="AG206" i="38"/>
  <c r="AG196" i="38"/>
  <c r="AG204" i="38"/>
  <c r="AG194" i="38"/>
  <c r="AG198" i="38"/>
  <c r="CW28" i="43"/>
  <c r="AW244" i="42"/>
  <c r="AW117" i="42"/>
  <c r="AW118" i="42"/>
  <c r="AW115" i="42"/>
  <c r="AW114" i="42"/>
  <c r="AW231" i="42"/>
  <c r="AW50" i="38" s="1"/>
  <c r="AW66" i="38" s="1"/>
  <c r="AW82" i="38" s="1"/>
  <c r="AW116" i="42"/>
  <c r="K206" i="38"/>
  <c r="K204" i="38"/>
  <c r="K202" i="38"/>
  <c r="K198" i="38"/>
  <c r="K196" i="38"/>
  <c r="K194" i="38"/>
  <c r="K203" i="38"/>
  <c r="K193" i="38"/>
  <c r="K205" i="38"/>
  <c r="K195" i="38"/>
  <c r="K197" i="38"/>
  <c r="K207" i="38"/>
  <c r="BK205" i="38"/>
  <c r="BK204" i="38"/>
  <c r="BK195" i="38"/>
  <c r="BK194" i="38"/>
  <c r="BK198" i="38"/>
  <c r="BK207" i="38"/>
  <c r="BK206" i="38"/>
  <c r="BK197" i="38"/>
  <c r="BK196" i="38"/>
  <c r="BK202" i="38"/>
  <c r="BK193" i="38"/>
  <c r="BK203" i="38"/>
  <c r="Q207" i="38"/>
  <c r="Q205" i="38"/>
  <c r="Q203" i="38"/>
  <c r="Q197" i="38"/>
  <c r="Q195" i="38"/>
  <c r="Q193" i="38"/>
  <c r="Q202" i="38"/>
  <c r="Q204" i="38"/>
  <c r="Q194" i="38"/>
  <c r="Q206" i="38"/>
  <c r="Q196" i="38"/>
  <c r="Q198" i="38"/>
  <c r="AA31" i="43"/>
  <c r="CX135" i="42"/>
  <c r="AG19" i="38"/>
  <c r="AG179" i="38" s="1"/>
  <c r="AD235" i="42"/>
  <c r="AD54" i="38"/>
  <c r="AD19" i="38"/>
  <c r="AD87" i="38" s="1"/>
  <c r="AD300" i="39"/>
  <c r="DZ300" i="39"/>
  <c r="DA135" i="42"/>
  <c r="AA34" i="43"/>
  <c r="BE147" i="41"/>
  <c r="AG300" i="39"/>
  <c r="AG360" i="39"/>
  <c r="EH300" i="39"/>
  <c r="AC87" i="38"/>
  <c r="AC360" i="39"/>
  <c r="DR300" i="39"/>
  <c r="Z360" i="39"/>
  <c r="AB179" i="38"/>
  <c r="AK69" i="40"/>
  <c r="BW69" i="40"/>
  <c r="X271" i="42"/>
  <c r="R271" i="42"/>
  <c r="K272" i="42"/>
  <c r="V265" i="42"/>
  <c r="W262" i="42"/>
  <c r="AX50" i="38"/>
  <c r="AX66" i="38"/>
  <c r="AU50" i="38"/>
  <c r="AU66" i="38" s="1"/>
  <c r="AT50" i="38"/>
  <c r="AT66" i="38" s="1"/>
  <c r="H288" i="42"/>
  <c r="AR288" i="42"/>
  <c r="H231" i="42"/>
  <c r="H116" i="42"/>
  <c r="H114" i="42"/>
  <c r="H244" i="42"/>
  <c r="I119" i="42"/>
  <c r="J119" i="42" s="1"/>
  <c r="K119" i="42" s="1"/>
  <c r="L119" i="42" s="1"/>
  <c r="M119" i="42" s="1"/>
  <c r="N119" i="42" s="1"/>
  <c r="O119" i="42" s="1"/>
  <c r="P119" i="42" s="1"/>
  <c r="Q119" i="42" s="1"/>
  <c r="R119" i="42" s="1"/>
  <c r="S119" i="42" s="1"/>
  <c r="T119" i="42" s="1"/>
  <c r="U119" i="42" s="1"/>
  <c r="V119" i="42" s="1"/>
  <c r="W119" i="42" s="1"/>
  <c r="X119" i="42" s="1"/>
  <c r="Y119" i="42" s="1"/>
  <c r="Z119" i="42" s="1"/>
  <c r="AA119" i="42" s="1"/>
  <c r="AB119" i="42" s="1"/>
  <c r="AC119" i="42" s="1"/>
  <c r="AD119" i="42" s="1"/>
  <c r="AE119" i="42" s="1"/>
  <c r="AF119" i="42" s="1"/>
  <c r="AG119" i="42" s="1"/>
  <c r="AH119" i="42" s="1"/>
  <c r="AI119" i="42" s="1"/>
  <c r="H115" i="42"/>
  <c r="H117" i="42"/>
  <c r="H118" i="42" s="1"/>
  <c r="H8" i="42"/>
  <c r="G6" i="41"/>
  <c r="O265" i="42"/>
  <c r="BN50" i="38"/>
  <c r="BN66" i="38" s="1"/>
  <c r="BN82" i="38" s="1"/>
  <c r="BB137" i="42"/>
  <c r="CQ19" i="43" s="1"/>
  <c r="BB134" i="42"/>
  <c r="CN19" i="43" s="1"/>
  <c r="AB145" i="41"/>
  <c r="BC23" i="39"/>
  <c r="DC298" i="39" s="1"/>
  <c r="U288" i="42"/>
  <c r="U244" i="42"/>
  <c r="U116" i="42"/>
  <c r="U114" i="42"/>
  <c r="BE288" i="42"/>
  <c r="U231" i="42"/>
  <c r="U117" i="42"/>
  <c r="U118" i="42" s="1"/>
  <c r="AG6" i="41"/>
  <c r="U115" i="42"/>
  <c r="U8" i="42"/>
  <c r="AS50" i="38"/>
  <c r="AS66" i="38" s="1"/>
  <c r="AW288" i="42"/>
  <c r="M244" i="42"/>
  <c r="M288" i="42"/>
  <c r="M116" i="42"/>
  <c r="M114" i="42"/>
  <c r="M231" i="42"/>
  <c r="M117" i="42"/>
  <c r="M118" i="42" s="1"/>
  <c r="Q6" i="41"/>
  <c r="M115" i="42"/>
  <c r="M8" i="42"/>
  <c r="BJ288" i="42"/>
  <c r="Z244" i="42"/>
  <c r="Z288" i="42"/>
  <c r="Z117" i="42"/>
  <c r="Z118" i="42" s="1"/>
  <c r="Z115" i="42"/>
  <c r="Z114" i="42"/>
  <c r="Z231" i="42"/>
  <c r="Z116" i="42"/>
  <c r="AQ6" i="41"/>
  <c r="Q288" i="42"/>
  <c r="BA288" i="42"/>
  <c r="Q244" i="42"/>
  <c r="Q116" i="42"/>
  <c r="Q114" i="42"/>
  <c r="Q115" i="42"/>
  <c r="Q8" i="42"/>
  <c r="Y6" i="41"/>
  <c r="Q231" i="42"/>
  <c r="Q316" i="39" s="1"/>
  <c r="Q117" i="42"/>
  <c r="Q118" i="42" s="1"/>
  <c r="J213" i="42"/>
  <c r="AQ288" i="42"/>
  <c r="G231" i="42"/>
  <c r="AQ213" i="42"/>
  <c r="N213" i="42"/>
  <c r="G244" i="42"/>
  <c r="BK196" i="42"/>
  <c r="BK197" i="42" s="1"/>
  <c r="BK198" i="42" s="1"/>
  <c r="BK199" i="42" s="1"/>
  <c r="BK200" i="42"/>
  <c r="BK201" i="42" s="1"/>
  <c r="BK202" i="42" s="1"/>
  <c r="BK203" i="42" s="1"/>
  <c r="BK204" i="42"/>
  <c r="BK205" i="42" s="1"/>
  <c r="BK206" i="42" s="1"/>
  <c r="BK207" i="42" s="1"/>
  <c r="BK208" i="42" s="1"/>
  <c r="AU196" i="42"/>
  <c r="R196" i="42"/>
  <c r="F127" i="42"/>
  <c r="G119" i="42"/>
  <c r="H119" i="42" s="1"/>
  <c r="G117" i="42"/>
  <c r="G118" i="42" s="1"/>
  <c r="G115" i="42"/>
  <c r="AY213" i="42"/>
  <c r="AY214" i="42" s="1"/>
  <c r="AY215" i="42" s="1"/>
  <c r="AY216" i="42" s="1"/>
  <c r="AY217" i="42" s="1"/>
  <c r="AY218" i="42" s="1"/>
  <c r="AY219" i="42" s="1"/>
  <c r="AY220" i="42" s="1"/>
  <c r="AY221" i="42" s="1"/>
  <c r="AY222" i="42" s="1"/>
  <c r="AY223" i="42" s="1"/>
  <c r="AY224" i="42" s="1"/>
  <c r="AY225" i="42" s="1"/>
  <c r="V213" i="42"/>
  <c r="AY196" i="42"/>
  <c r="AY197" i="42"/>
  <c r="AY198" i="42"/>
  <c r="AY199" i="42" s="1"/>
  <c r="AY200" i="42" s="1"/>
  <c r="AY201" i="42" s="1"/>
  <c r="AY202" i="42"/>
  <c r="AY203" i="42" s="1"/>
  <c r="AY204" i="42" s="1"/>
  <c r="AY205" i="42" s="1"/>
  <c r="AY206" i="42" s="1"/>
  <c r="AY207" i="42" s="1"/>
  <c r="AY208" i="42" s="1"/>
  <c r="V196" i="42"/>
  <c r="F196" i="42"/>
  <c r="F144" i="42"/>
  <c r="C156" i="41" s="1"/>
  <c r="F143" i="42"/>
  <c r="C155" i="41" s="1"/>
  <c r="F140" i="42"/>
  <c r="F24" i="38" s="1"/>
  <c r="F136" i="42"/>
  <c r="F135" i="42"/>
  <c r="F300" i="39" s="1"/>
  <c r="CD300" i="39" s="1"/>
  <c r="F213" i="42"/>
  <c r="BG196" i="42"/>
  <c r="G116" i="42"/>
  <c r="G8" i="42"/>
  <c r="G288" i="42"/>
  <c r="R213" i="42"/>
  <c r="BC196" i="42"/>
  <c r="BC197" i="42" s="1"/>
  <c r="BC198" i="42" s="1"/>
  <c r="BC199" i="42" s="1"/>
  <c r="BC200" i="42"/>
  <c r="BC201" i="42" s="1"/>
  <c r="BC202" i="42" s="1"/>
  <c r="BC203" i="42" s="1"/>
  <c r="BC204" i="42" s="1"/>
  <c r="BC205" i="42" s="1"/>
  <c r="BC206" i="42" s="1"/>
  <c r="BC207" i="42" s="1"/>
  <c r="BC208" i="42" s="1"/>
  <c r="Z196" i="42"/>
  <c r="F132" i="42"/>
  <c r="AU213" i="42"/>
  <c r="AQ196" i="42"/>
  <c r="N196" i="42"/>
  <c r="F139" i="42"/>
  <c r="F23" i="38" s="1"/>
  <c r="J196" i="42"/>
  <c r="G114" i="42"/>
  <c r="E6" i="41"/>
  <c r="F131" i="42"/>
  <c r="AK83" i="38"/>
  <c r="AK175" i="38"/>
  <c r="N265" i="42"/>
  <c r="AB288" i="42"/>
  <c r="AB231" i="42"/>
  <c r="BL288" i="42"/>
  <c r="AB244" i="42"/>
  <c r="AB116" i="42"/>
  <c r="AB114" i="42"/>
  <c r="AB117" i="42"/>
  <c r="AB118" i="42"/>
  <c r="AB115" i="42"/>
  <c r="AU6" i="41"/>
  <c r="AQ231" i="42"/>
  <c r="AP140" i="42"/>
  <c r="D152" i="41" s="1"/>
  <c r="AQ244" i="42"/>
  <c r="AQ116" i="42"/>
  <c r="AQ114" i="42"/>
  <c r="AQ117" i="42"/>
  <c r="AQ118" i="42" s="1"/>
  <c r="AQ115" i="42"/>
  <c r="T265" i="42"/>
  <c r="U278" i="42"/>
  <c r="U161" i="42"/>
  <c r="K288" i="42"/>
  <c r="K231" i="42"/>
  <c r="K117" i="42"/>
  <c r="K118" i="42" s="1"/>
  <c r="K115" i="42"/>
  <c r="AU288" i="42"/>
  <c r="K244" i="42"/>
  <c r="K114" i="42"/>
  <c r="K8" i="42"/>
  <c r="K116" i="42"/>
  <c r="M6" i="41"/>
  <c r="BC288" i="42"/>
  <c r="S231" i="42"/>
  <c r="S117" i="42"/>
  <c r="S118" i="42"/>
  <c r="S115" i="42"/>
  <c r="S288" i="42"/>
  <c r="S114" i="42"/>
  <c r="S8" i="42"/>
  <c r="S244" i="42"/>
  <c r="S116" i="42"/>
  <c r="AC6" i="41"/>
  <c r="AF288" i="42"/>
  <c r="AF231" i="42"/>
  <c r="BP288" i="42"/>
  <c r="BP303" i="42" s="1"/>
  <c r="AF116" i="42"/>
  <c r="AF114" i="42"/>
  <c r="AF115" i="42"/>
  <c r="BC6" i="41"/>
  <c r="AF117" i="42"/>
  <c r="AF118" i="42" s="1"/>
  <c r="AF244" i="42"/>
  <c r="BR50" i="38"/>
  <c r="BR66" i="38"/>
  <c r="BR82" i="38" s="1"/>
  <c r="BC247" i="42"/>
  <c r="BC255" i="42"/>
  <c r="AT288" i="42"/>
  <c r="J244" i="42"/>
  <c r="J288" i="42"/>
  <c r="J117" i="42"/>
  <c r="J118" i="42"/>
  <c r="J115" i="42"/>
  <c r="J114" i="42"/>
  <c r="J8" i="42"/>
  <c r="J231" i="42"/>
  <c r="K6" i="41"/>
  <c r="J116" i="42"/>
  <c r="BE50" i="38"/>
  <c r="BE66" i="38"/>
  <c r="AR50" i="38"/>
  <c r="AR66" i="38" s="1"/>
  <c r="BK137" i="42"/>
  <c r="CQ28" i="43" s="1"/>
  <c r="BK134" i="42"/>
  <c r="CN28" i="43" s="1"/>
  <c r="BL23" i="39"/>
  <c r="DU298" i="39" s="1"/>
  <c r="Y244" i="42"/>
  <c r="BI288" i="42"/>
  <c r="Y116" i="42"/>
  <c r="Y114" i="42"/>
  <c r="Y231" i="42"/>
  <c r="Y115" i="42"/>
  <c r="AO6" i="41"/>
  <c r="Y288" i="42"/>
  <c r="Y117" i="42"/>
  <c r="Y118" i="42"/>
  <c r="AX288" i="42"/>
  <c r="N244" i="42"/>
  <c r="N231" i="42"/>
  <c r="N117" i="42"/>
  <c r="N118" i="42" s="1"/>
  <c r="N115" i="42"/>
  <c r="N288" i="42"/>
  <c r="N116" i="42"/>
  <c r="N8" i="42"/>
  <c r="N114" i="42"/>
  <c r="S6" i="41"/>
  <c r="AA288" i="42"/>
  <c r="AA231" i="42"/>
  <c r="AA117" i="42"/>
  <c r="AA118" i="42"/>
  <c r="AA115" i="42"/>
  <c r="BK288" i="42"/>
  <c r="AA244" i="42"/>
  <c r="AA114" i="42"/>
  <c r="AA116" i="42"/>
  <c r="AS6" i="41"/>
  <c r="NN2" i="43"/>
  <c r="BJ50" i="38"/>
  <c r="BJ66" i="38"/>
  <c r="I6" i="44"/>
  <c r="I5" i="44"/>
  <c r="I4" i="44"/>
  <c r="I7" i="44"/>
  <c r="L6" i="43"/>
  <c r="L4" i="43"/>
  <c r="L3" i="43"/>
  <c r="L5" i="43"/>
  <c r="I3" i="44"/>
  <c r="L2" i="43"/>
  <c r="I2" i="44"/>
  <c r="L7" i="43"/>
  <c r="BF288" i="42"/>
  <c r="V288" i="42"/>
  <c r="V244" i="42"/>
  <c r="V231" i="42"/>
  <c r="V117" i="42"/>
  <c r="V118" i="42"/>
  <c r="V115" i="42"/>
  <c r="V116" i="42"/>
  <c r="V8" i="42"/>
  <c r="V114" i="42"/>
  <c r="AI6" i="41"/>
  <c r="BN288" i="42"/>
  <c r="AD244" i="42"/>
  <c r="AD231" i="42"/>
  <c r="AD288" i="42"/>
  <c r="AD117" i="42"/>
  <c r="AD118" i="42"/>
  <c r="AD115" i="42"/>
  <c r="AD116" i="42"/>
  <c r="AY6" i="41"/>
  <c r="AD114" i="42"/>
  <c r="BR288" i="42"/>
  <c r="AH244" i="42"/>
  <c r="AH288" i="42"/>
  <c r="AH117" i="42"/>
  <c r="AH118" i="42" s="1"/>
  <c r="AH115" i="42"/>
  <c r="AH231" i="42"/>
  <c r="AH114" i="42"/>
  <c r="AH116" i="42"/>
  <c r="BG6" i="41"/>
  <c r="P288" i="42"/>
  <c r="P231" i="42"/>
  <c r="P116" i="42"/>
  <c r="P114" i="42"/>
  <c r="P115" i="42"/>
  <c r="AZ288" i="42"/>
  <c r="P244" i="42"/>
  <c r="P8" i="42"/>
  <c r="W6" i="41"/>
  <c r="P117" i="42"/>
  <c r="P118" i="42"/>
  <c r="AG288" i="42"/>
  <c r="BQ288" i="42"/>
  <c r="AG244" i="42"/>
  <c r="AG114" i="42"/>
  <c r="AG115" i="42"/>
  <c r="BE6" i="41"/>
  <c r="AG231" i="42"/>
  <c r="BB288" i="42"/>
  <c r="R244" i="42"/>
  <c r="R117" i="42"/>
  <c r="R118" i="42" s="1"/>
  <c r="R115" i="42"/>
  <c r="R231" i="42"/>
  <c r="R114" i="42"/>
  <c r="R8" i="42"/>
  <c r="R288" i="42"/>
  <c r="R116" i="42"/>
  <c r="AA6" i="41"/>
  <c r="X288" i="42"/>
  <c r="BH288" i="42"/>
  <c r="X231" i="42"/>
  <c r="X116" i="42"/>
  <c r="X114" i="42"/>
  <c r="X244" i="42"/>
  <c r="X115" i="42"/>
  <c r="X117" i="42"/>
  <c r="X118" i="42"/>
  <c r="X8" i="42"/>
  <c r="AM6" i="41"/>
  <c r="BH137" i="42"/>
  <c r="CQ25" i="43" s="1"/>
  <c r="AN145" i="41"/>
  <c r="BH134" i="42"/>
  <c r="CN25" i="43" s="1"/>
  <c r="BI23" i="39"/>
  <c r="DO298" i="39" s="1"/>
  <c r="AY50" i="38"/>
  <c r="AY66" i="38" s="1"/>
  <c r="JK33" i="43"/>
  <c r="JC31" i="43"/>
  <c r="IY27" i="43"/>
  <c r="JH27" i="43"/>
  <c r="JF31" i="43"/>
  <c r="IZ30" i="43"/>
  <c r="JL30" i="43"/>
  <c r="JH30" i="43"/>
  <c r="IZ29" i="43"/>
  <c r="JG26" i="43"/>
  <c r="JH23" i="43"/>
  <c r="JG22" i="43"/>
  <c r="JG30" i="43"/>
  <c r="JK23" i="43"/>
  <c r="JK19" i="43"/>
  <c r="JE34" i="43"/>
  <c r="JJ27" i="43"/>
  <c r="JL22" i="43"/>
  <c r="JI27" i="43"/>
  <c r="JL19" i="43"/>
  <c r="JG17" i="43"/>
  <c r="JG28" i="43"/>
  <c r="JE22" i="43"/>
  <c r="JK14" i="43"/>
  <c r="JG14" i="43"/>
  <c r="JC14" i="43"/>
  <c r="IY14" i="43"/>
  <c r="JK12" i="43"/>
  <c r="JG12" i="43"/>
  <c r="JC12" i="43"/>
  <c r="IY12" i="43"/>
  <c r="JK10" i="43"/>
  <c r="JG10" i="43"/>
  <c r="JC10" i="43"/>
  <c r="IY10" i="43"/>
  <c r="JK8" i="43"/>
  <c r="JG8" i="43"/>
  <c r="JC8" i="43"/>
  <c r="IY8" i="43"/>
  <c r="JG6" i="43"/>
  <c r="JG4" i="43"/>
  <c r="JH26" i="43"/>
  <c r="JJ23" i="43"/>
  <c r="JA17" i="43"/>
  <c r="JK16" i="43"/>
  <c r="JG16" i="43"/>
  <c r="JC16" i="43"/>
  <c r="IY16" i="43"/>
  <c r="JJ14" i="43"/>
  <c r="JF14" i="43"/>
  <c r="JJ12" i="43"/>
  <c r="JF12" i="43"/>
  <c r="JJ10" i="43"/>
  <c r="JF10" i="43"/>
  <c r="JJ8" i="43"/>
  <c r="JF8" i="43"/>
  <c r="JF4" i="43"/>
  <c r="IY3" i="43"/>
  <c r="JJ24" i="43"/>
  <c r="JD17" i="43"/>
  <c r="JF16" i="43"/>
  <c r="JE14" i="43"/>
  <c r="IZ14" i="43"/>
  <c r="JL12" i="43"/>
  <c r="JD12" i="43"/>
  <c r="JK11" i="43"/>
  <c r="JC11" i="43"/>
  <c r="JI10" i="43"/>
  <c r="JH8" i="43"/>
  <c r="JA8" i="43"/>
  <c r="IZ6" i="43"/>
  <c r="JJ3" i="43"/>
  <c r="JI23" i="43"/>
  <c r="JJ17" i="43"/>
  <c r="JE16" i="43"/>
  <c r="JL14" i="43"/>
  <c r="JD14" i="43"/>
  <c r="JK13" i="43"/>
  <c r="JC13" i="43"/>
  <c r="JI12" i="43"/>
  <c r="JH10" i="43"/>
  <c r="JA10" i="43"/>
  <c r="JE8" i="43"/>
  <c r="IZ8" i="43"/>
  <c r="JD6" i="43"/>
  <c r="JI3" i="43"/>
  <c r="JF18" i="43"/>
  <c r="JI16" i="43"/>
  <c r="JC15" i="43"/>
  <c r="JA14" i="43"/>
  <c r="JE12" i="43"/>
  <c r="JF11" i="43"/>
  <c r="JL10" i="43"/>
  <c r="IZ10" i="43"/>
  <c r="JD8" i="43"/>
  <c r="JJ5" i="43"/>
  <c r="JE18" i="43"/>
  <c r="JI14" i="43"/>
  <c r="IY13" i="43"/>
  <c r="JE10" i="43"/>
  <c r="IZ4" i="43"/>
  <c r="JG13" i="43"/>
  <c r="JF3" i="43"/>
  <c r="JA16" i="43"/>
  <c r="JK15" i="43"/>
  <c r="JA12" i="43"/>
  <c r="JG11" i="43"/>
  <c r="JD10" i="43"/>
  <c r="JL8" i="43"/>
  <c r="JK7" i="43"/>
  <c r="IY18" i="43"/>
  <c r="JH12" i="43"/>
  <c r="JJ16" i="43"/>
  <c r="JJ13" i="43"/>
  <c r="IY11" i="43"/>
  <c r="JJ15" i="43"/>
  <c r="JJ7" i="43"/>
  <c r="JK9" i="43"/>
  <c r="JI8" i="43"/>
  <c r="JH6" i="43"/>
  <c r="IZ12" i="43"/>
  <c r="JH14" i="43"/>
  <c r="JI9" i="43"/>
  <c r="IZ9" i="43"/>
  <c r="JG9" i="43"/>
  <c r="JF9" i="43"/>
  <c r="JC9" i="43"/>
  <c r="IZ7" i="43"/>
  <c r="JD15" i="43"/>
  <c r="JC18" i="43"/>
  <c r="JH5" i="43"/>
  <c r="JE13" i="43"/>
  <c r="JL13" i="43"/>
  <c r="JC20" i="43"/>
  <c r="JI11" i="43"/>
  <c r="IZ11" i="43"/>
  <c r="JH24" i="43"/>
  <c r="JH16" i="43"/>
  <c r="JH25" i="43"/>
  <c r="JE28" i="43"/>
  <c r="JF26" i="43"/>
  <c r="JJ34" i="43"/>
  <c r="JA9" i="43"/>
  <c r="JH9" i="43"/>
  <c r="IY15" i="43"/>
  <c r="JF15" i="43"/>
  <c r="JD21" i="43"/>
  <c r="IZ16" i="43"/>
  <c r="JJ28" i="43"/>
  <c r="IY29" i="43"/>
  <c r="JD9" i="43"/>
  <c r="IZ2" i="43"/>
  <c r="JH15" i="43"/>
  <c r="JE5" i="43"/>
  <c r="JD11" i="43"/>
  <c r="JL24" i="43"/>
  <c r="JD16" i="43"/>
  <c r="IZ32" i="43"/>
  <c r="JE9" i="43"/>
  <c r="JL9" i="43"/>
  <c r="JJ9" i="43"/>
  <c r="IY9" i="43"/>
  <c r="JH2" i="43"/>
  <c r="JE7" i="43"/>
  <c r="JI15" i="43"/>
  <c r="IZ15" i="43"/>
  <c r="JG15" i="43"/>
  <c r="JK18" i="43"/>
  <c r="JJ11" i="43"/>
  <c r="JA13" i="43"/>
  <c r="JH13" i="43"/>
  <c r="JE11" i="43"/>
  <c r="JL11" i="43"/>
  <c r="JF13" i="43"/>
  <c r="JG21" i="43"/>
  <c r="JL16" i="43"/>
  <c r="JC24" i="43"/>
  <c r="JI32" i="43"/>
  <c r="JC29" i="43"/>
  <c r="IY34" i="43"/>
  <c r="JH7" i="43"/>
  <c r="JE15" i="43"/>
  <c r="JL15" i="43"/>
  <c r="IZ5" i="43"/>
  <c r="JD13" i="43"/>
  <c r="JA11" i="43"/>
  <c r="JH11" i="43"/>
  <c r="JG24" i="43"/>
  <c r="JG32" i="43"/>
  <c r="JA15" i="43"/>
  <c r="JI13" i="43"/>
  <c r="IZ13" i="43"/>
  <c r="JE24" i="43"/>
  <c r="JA25" i="43"/>
  <c r="JF28" i="43"/>
  <c r="JJ30" i="43"/>
  <c r="N33" i="43"/>
  <c r="P31" i="43"/>
  <c r="O33" i="43"/>
  <c r="P30" i="43"/>
  <c r="S33" i="43"/>
  <c r="M33" i="43"/>
  <c r="O31" i="43"/>
  <c r="N30" i="43"/>
  <c r="M31" i="43"/>
  <c r="S31" i="43"/>
  <c r="M30" i="43"/>
  <c r="N34" i="43"/>
  <c r="P33" i="43"/>
  <c r="M29" i="43"/>
  <c r="M27" i="43"/>
  <c r="P26" i="43"/>
  <c r="M23" i="43"/>
  <c r="P22" i="43"/>
  <c r="P27" i="43"/>
  <c r="P23" i="43"/>
  <c r="P19" i="43"/>
  <c r="N26" i="43"/>
  <c r="N22" i="43"/>
  <c r="P34" i="43"/>
  <c r="O27" i="43"/>
  <c r="M26" i="43"/>
  <c r="O23" i="43"/>
  <c r="M22" i="43"/>
  <c r="O19" i="43"/>
  <c r="S27" i="43"/>
  <c r="N17" i="43"/>
  <c r="P14" i="43"/>
  <c r="P12" i="43"/>
  <c r="P10" i="43"/>
  <c r="P8" i="43"/>
  <c r="P6" i="43"/>
  <c r="P4" i="43"/>
  <c r="N27" i="43"/>
  <c r="P24" i="43"/>
  <c r="N19" i="43"/>
  <c r="M17" i="43"/>
  <c r="P16" i="43"/>
  <c r="S14" i="43"/>
  <c r="O14" i="43"/>
  <c r="S12" i="43"/>
  <c r="O12" i="43"/>
  <c r="S10" i="43"/>
  <c r="O10" i="43"/>
  <c r="S8" i="43"/>
  <c r="O8" i="43"/>
  <c r="S6" i="43"/>
  <c r="O6" i="43"/>
  <c r="S4" i="43"/>
  <c r="O4" i="43"/>
  <c r="P3" i="43"/>
  <c r="N31" i="43"/>
  <c r="N23" i="43"/>
  <c r="S19" i="43"/>
  <c r="S13" i="43"/>
  <c r="N12" i="43"/>
  <c r="P11" i="43"/>
  <c r="M10" i="43"/>
  <c r="S5" i="43"/>
  <c r="N4" i="43"/>
  <c r="N3" i="43"/>
  <c r="P29" i="43"/>
  <c r="P25" i="43"/>
  <c r="S17" i="43"/>
  <c r="O16" i="43"/>
  <c r="N14" i="43"/>
  <c r="P13" i="43"/>
  <c r="M12" i="43"/>
  <c r="O11" i="43"/>
  <c r="N6" i="43"/>
  <c r="P5" i="43"/>
  <c r="M4" i="43"/>
  <c r="S3" i="43"/>
  <c r="S16" i="43"/>
  <c r="O13" i="43"/>
  <c r="P20" i="43"/>
  <c r="P18" i="43"/>
  <c r="N16" i="43"/>
  <c r="P15" i="43"/>
  <c r="N10" i="43"/>
  <c r="N8" i="43"/>
  <c r="P7" i="43"/>
  <c r="O17" i="43"/>
  <c r="S11" i="43"/>
  <c r="R6" i="43"/>
  <c r="O3" i="43"/>
  <c r="S23" i="43"/>
  <c r="M19" i="43"/>
  <c r="O15" i="43"/>
  <c r="M14" i="43"/>
  <c r="M8" i="43"/>
  <c r="O7" i="43"/>
  <c r="M6" i="43"/>
  <c r="O24" i="43"/>
  <c r="R4" i="43"/>
  <c r="R3" i="43"/>
  <c r="R2" i="43"/>
  <c r="P17" i="43"/>
  <c r="O5" i="43"/>
  <c r="M2" i="43"/>
  <c r="F131" i="41"/>
  <c r="N9" i="43"/>
  <c r="N2" i="43"/>
  <c r="N7" i="43"/>
  <c r="S7" i="43"/>
  <c r="N18" i="43"/>
  <c r="M5" i="43"/>
  <c r="N20" i="43"/>
  <c r="N11" i="43"/>
  <c r="M21" i="43"/>
  <c r="M24" i="43"/>
  <c r="M16" i="43"/>
  <c r="O25" i="43"/>
  <c r="N28" i="43"/>
  <c r="O32" i="43"/>
  <c r="S22" i="43"/>
  <c r="O26" i="43"/>
  <c r="O29" i="43"/>
  <c r="S34" i="43"/>
  <c r="M34" i="43"/>
  <c r="O30" i="43"/>
  <c r="O9" i="43"/>
  <c r="P2" i="43"/>
  <c r="N32" i="43"/>
  <c r="S29" i="43"/>
  <c r="P9" i="43"/>
  <c r="S2" i="43"/>
  <c r="O2" i="43"/>
  <c r="M15" i="43"/>
  <c r="S20" i="43"/>
  <c r="O21" i="43"/>
  <c r="M3" i="43"/>
  <c r="S28" i="43"/>
  <c r="O22" i="43"/>
  <c r="S30" i="43"/>
  <c r="N15" i="43"/>
  <c r="S15" i="43"/>
  <c r="O18" i="43"/>
  <c r="R5" i="43"/>
  <c r="M13" i="43"/>
  <c r="O20" i="43"/>
  <c r="N21" i="43"/>
  <c r="P21" i="43"/>
  <c r="N25" i="43"/>
  <c r="M25" i="43"/>
  <c r="P28" i="43"/>
  <c r="O28" i="43"/>
  <c r="M32" i="43"/>
  <c r="S32" i="43"/>
  <c r="S26" i="43"/>
  <c r="N29" i="43"/>
  <c r="O34" i="43"/>
  <c r="M9" i="43"/>
  <c r="M7" i="43"/>
  <c r="N5" i="43"/>
  <c r="M11" i="43"/>
  <c r="N24" i="43"/>
  <c r="S24" i="43"/>
  <c r="P32" i="43"/>
  <c r="S9" i="43"/>
  <c r="R7" i="43"/>
  <c r="M18" i="43"/>
  <c r="S18" i="43"/>
  <c r="N13" i="43"/>
  <c r="M20" i="43"/>
  <c r="S21" i="43"/>
  <c r="S25" i="43"/>
  <c r="M28" i="43"/>
  <c r="BC137" i="42"/>
  <c r="CQ20" i="43" s="1"/>
  <c r="BC134" i="42"/>
  <c r="CN20" i="43" s="1"/>
  <c r="AD145" i="41"/>
  <c r="BD23" i="39"/>
  <c r="DE298" i="39" s="1"/>
  <c r="AQ423" i="42"/>
  <c r="AS422" i="42"/>
  <c r="AR422" i="42"/>
  <c r="BM288" i="42"/>
  <c r="AC244" i="42"/>
  <c r="AC116" i="42"/>
  <c r="AC114" i="42"/>
  <c r="AC231" i="42"/>
  <c r="AC117" i="42"/>
  <c r="AC118" i="42" s="1"/>
  <c r="AC288" i="42"/>
  <c r="AC304" i="42" s="1"/>
  <c r="AW6" i="41"/>
  <c r="AC115" i="42"/>
  <c r="BF50" i="38"/>
  <c r="BF66" i="38"/>
  <c r="BF81" i="38" s="1"/>
  <c r="B43" i="40"/>
  <c r="B11" i="40"/>
  <c r="B44" i="40" s="1"/>
  <c r="L422" i="42"/>
  <c r="K423" i="42"/>
  <c r="L423" i="42" s="1"/>
  <c r="M422" i="42"/>
  <c r="AE288" i="42"/>
  <c r="AE231" i="42"/>
  <c r="AE244" i="42"/>
  <c r="AE117" i="42"/>
  <c r="AE118" i="42"/>
  <c r="AE115" i="42"/>
  <c r="AE116" i="42"/>
  <c r="BO288" i="42"/>
  <c r="AE114" i="42"/>
  <c r="BA6" i="41"/>
  <c r="I244" i="42"/>
  <c r="I116" i="42"/>
  <c r="I114" i="42"/>
  <c r="I288" i="42"/>
  <c r="I231" i="42"/>
  <c r="I115" i="42"/>
  <c r="I8" i="42"/>
  <c r="I6" i="41"/>
  <c r="AS288" i="42"/>
  <c r="I117" i="42"/>
  <c r="I118" i="42" s="1"/>
  <c r="P265" i="42"/>
  <c r="L288" i="42"/>
  <c r="L231" i="42"/>
  <c r="AV288" i="42"/>
  <c r="L244" i="42"/>
  <c r="L116" i="42"/>
  <c r="L114" i="42"/>
  <c r="L117" i="42"/>
  <c r="L118" i="42"/>
  <c r="L115" i="42"/>
  <c r="O6" i="41"/>
  <c r="L8" i="42"/>
  <c r="BS288" i="42"/>
  <c r="BS303" i="42" s="1"/>
  <c r="AI231" i="42"/>
  <c r="AI117" i="42"/>
  <c r="AI118" i="42" s="1"/>
  <c r="AI115" i="42"/>
  <c r="AI288" i="42"/>
  <c r="AI114" i="42"/>
  <c r="AI8" i="42"/>
  <c r="AI116" i="42"/>
  <c r="AI244" i="42"/>
  <c r="BI6" i="41"/>
  <c r="T288" i="42"/>
  <c r="T231" i="42"/>
  <c r="T244" i="42"/>
  <c r="T116" i="42"/>
  <c r="T114" i="42"/>
  <c r="BD288" i="42"/>
  <c r="T117" i="42"/>
  <c r="T118" i="42" s="1"/>
  <c r="AE6" i="41"/>
  <c r="T115" i="42"/>
  <c r="T8" i="42"/>
  <c r="BG288" i="42"/>
  <c r="W231" i="42"/>
  <c r="W288" i="42"/>
  <c r="W244" i="42"/>
  <c r="W117" i="42"/>
  <c r="W118" i="42"/>
  <c r="W115" i="42"/>
  <c r="W116" i="42"/>
  <c r="W8" i="42"/>
  <c r="AK6" i="41"/>
  <c r="W114" i="42"/>
  <c r="O288" i="42"/>
  <c r="O231" i="42"/>
  <c r="AY288" i="42"/>
  <c r="O244" i="42"/>
  <c r="O117" i="42"/>
  <c r="O118" i="42" s="1"/>
  <c r="O115" i="42"/>
  <c r="O116" i="42"/>
  <c r="O8" i="42"/>
  <c r="O114" i="42"/>
  <c r="U6" i="41"/>
  <c r="AD320" i="39"/>
  <c r="AG87" i="38"/>
  <c r="AD360" i="39"/>
  <c r="EF300" i="39"/>
  <c r="CS135" i="42"/>
  <c r="Y19" i="38"/>
  <c r="Y87" i="38" s="1"/>
  <c r="Y300" i="39"/>
  <c r="AO147" i="41"/>
  <c r="P26" i="44"/>
  <c r="AA26" i="43"/>
  <c r="CR135" i="42"/>
  <c r="X300" i="39"/>
  <c r="AM147" i="41"/>
  <c r="P25" i="44"/>
  <c r="V214" i="42"/>
  <c r="V215" i="42" s="1"/>
  <c r="V216" i="42"/>
  <c r="V217" i="42" s="1"/>
  <c r="V218" i="42" s="1"/>
  <c r="V219" i="42" s="1"/>
  <c r="V220" i="42"/>
  <c r="V221" i="42" s="1"/>
  <c r="V222" i="42" s="1"/>
  <c r="V223" i="42" s="1"/>
  <c r="V224" i="42" s="1"/>
  <c r="V225" i="42" s="1"/>
  <c r="W176" i="42"/>
  <c r="AH196" i="42" s="1"/>
  <c r="BV17" i="43" s="1"/>
  <c r="O305" i="42"/>
  <c r="AI305" i="42"/>
  <c r="AI303" i="42"/>
  <c r="BS305" i="42"/>
  <c r="AI304" i="42"/>
  <c r="AI389" i="42"/>
  <c r="AI316" i="39"/>
  <c r="AI50" i="38"/>
  <c r="AI66" i="38"/>
  <c r="M423" i="42"/>
  <c r="BF82" i="38"/>
  <c r="AW116" i="41"/>
  <c r="AW94" i="41"/>
  <c r="AW50" i="41"/>
  <c r="AW72" i="41"/>
  <c r="AW28" i="41"/>
  <c r="AW132" i="41"/>
  <c r="AP33" i="43"/>
  <c r="AO31" i="43"/>
  <c r="AO27" i="43"/>
  <c r="AR27" i="43"/>
  <c r="AP32" i="43"/>
  <c r="AU19" i="43"/>
  <c r="AW25" i="43"/>
  <c r="AX17" i="43"/>
  <c r="AR10" i="43"/>
  <c r="AR8" i="43"/>
  <c r="AV6" i="43"/>
  <c r="AZ4" i="43"/>
  <c r="AQ27" i="43"/>
  <c r="AO17" i="43"/>
  <c r="AU12" i="43"/>
  <c r="AU8" i="43"/>
  <c r="AQ8" i="43"/>
  <c r="AU6" i="43"/>
  <c r="AU4" i="43"/>
  <c r="AV3" i="43"/>
  <c r="AO25" i="43"/>
  <c r="AU11" i="43"/>
  <c r="AX8" i="43"/>
  <c r="AP8" i="43"/>
  <c r="AW6" i="43"/>
  <c r="AN5" i="43"/>
  <c r="AQ3" i="43"/>
  <c r="AR11" i="43"/>
  <c r="AW8" i="43"/>
  <c r="AO8" i="43"/>
  <c r="BB6" i="43"/>
  <c r="BA4" i="43"/>
  <c r="AX23" i="43"/>
  <c r="AT10" i="43"/>
  <c r="AP4" i="43"/>
  <c r="AQ16" i="43"/>
  <c r="AT8" i="43"/>
  <c r="BE4" i="43"/>
  <c r="AR15" i="43"/>
  <c r="AU28" i="43"/>
  <c r="AR5" i="43"/>
  <c r="BC7" i="43"/>
  <c r="AR17" i="43"/>
  <c r="AW4" i="43"/>
  <c r="AO12" i="43"/>
  <c r="AN2" i="43"/>
  <c r="AO7" i="43"/>
  <c r="BB5" i="43"/>
  <c r="AT11" i="43"/>
  <c r="BA3" i="43"/>
  <c r="AR32" i="43"/>
  <c r="AU9" i="43"/>
  <c r="AR18" i="43"/>
  <c r="AP25" i="43"/>
  <c r="AU29" i="43"/>
  <c r="AQ15" i="43"/>
  <c r="AW3" i="43"/>
  <c r="AQ32" i="43"/>
  <c r="AP9" i="43"/>
  <c r="BA7" i="43"/>
  <c r="AO18" i="43"/>
  <c r="AS5" i="43"/>
  <c r="AP11" i="43"/>
  <c r="BE3" i="43"/>
  <c r="AX28" i="43"/>
  <c r="AZ29" i="43"/>
  <c r="AX2" i="43"/>
  <c r="AO5" i="43"/>
  <c r="AO21" i="43"/>
  <c r="AR28" i="43"/>
  <c r="AO2" i="43"/>
  <c r="BA5" i="43"/>
  <c r="AU22" i="43"/>
  <c r="AY81" i="38"/>
  <c r="AY82" i="38"/>
  <c r="AM116" i="41"/>
  <c r="X316" i="39"/>
  <c r="R389" i="42"/>
  <c r="R50" i="38"/>
  <c r="R66" i="38" s="1"/>
  <c r="R316" i="39"/>
  <c r="AG389" i="42"/>
  <c r="AG316" i="39"/>
  <c r="AG50" i="38"/>
  <c r="AG66" i="38"/>
  <c r="BQ304" i="42"/>
  <c r="BQ303" i="42"/>
  <c r="AH389" i="42"/>
  <c r="AH316" i="39"/>
  <c r="AH50" i="38"/>
  <c r="AH66" i="38" s="1"/>
  <c r="AH304" i="42"/>
  <c r="AH305" i="42"/>
  <c r="AH303" i="42"/>
  <c r="BR305" i="42"/>
  <c r="V389" i="42"/>
  <c r="V316" i="39"/>
  <c r="V50" i="38"/>
  <c r="V66" i="38"/>
  <c r="AS132" i="41"/>
  <c r="AS94" i="41"/>
  <c r="AS116" i="41"/>
  <c r="AS28" i="41"/>
  <c r="AS50" i="41"/>
  <c r="AS72" i="41"/>
  <c r="BK303" i="42"/>
  <c r="BK304" i="42"/>
  <c r="AA389" i="42"/>
  <c r="AA316" i="39"/>
  <c r="AA50" i="38"/>
  <c r="AA66" i="38"/>
  <c r="S116" i="41"/>
  <c r="S94" i="41"/>
  <c r="S72" i="41"/>
  <c r="S28" i="41"/>
  <c r="S132" i="41"/>
  <c r="S50" i="41"/>
  <c r="N304" i="42"/>
  <c r="N305" i="42"/>
  <c r="AX305" i="42"/>
  <c r="N303" i="42"/>
  <c r="N389" i="42"/>
  <c r="N316" i="39"/>
  <c r="N50" i="38"/>
  <c r="N66" i="38"/>
  <c r="BK236" i="42"/>
  <c r="BK138" i="42"/>
  <c r="BK140" i="42"/>
  <c r="BL30" i="39"/>
  <c r="DU305" i="39" s="1"/>
  <c r="BL27" i="39"/>
  <c r="DU302" i="39" s="1"/>
  <c r="K132" i="41"/>
  <c r="AF389" i="42"/>
  <c r="AF316" i="39"/>
  <c r="AF50" i="38"/>
  <c r="AF66" i="38" s="1"/>
  <c r="AC132" i="41"/>
  <c r="AC94" i="41"/>
  <c r="AC28" i="41"/>
  <c r="AC116" i="41"/>
  <c r="AC72" i="41"/>
  <c r="AC50" i="41"/>
  <c r="AK176" i="38"/>
  <c r="AQ197" i="42"/>
  <c r="F197" i="42"/>
  <c r="AQ303" i="42"/>
  <c r="AQ304" i="42"/>
  <c r="Y116" i="41"/>
  <c r="Y94" i="41"/>
  <c r="Y50" i="41"/>
  <c r="Y132" i="41"/>
  <c r="Y72" i="41"/>
  <c r="Y28" i="41"/>
  <c r="Q304" i="42"/>
  <c r="Z304" i="42"/>
  <c r="Z305" i="42"/>
  <c r="Z303" i="42"/>
  <c r="BJ305" i="42"/>
  <c r="M389" i="42"/>
  <c r="M50" i="38"/>
  <c r="M66" i="38" s="1"/>
  <c r="M316" i="39"/>
  <c r="AG116" i="41"/>
  <c r="AG94" i="41"/>
  <c r="AG50" i="41"/>
  <c r="AG72" i="41"/>
  <c r="AG28" i="41"/>
  <c r="AG132" i="41"/>
  <c r="G132" i="41"/>
  <c r="G50" i="41"/>
  <c r="G94" i="41"/>
  <c r="G116" i="41"/>
  <c r="G28" i="41"/>
  <c r="G72" i="41"/>
  <c r="H389" i="42"/>
  <c r="H316" i="39"/>
  <c r="H50" i="38"/>
  <c r="H66" i="38" s="1"/>
  <c r="AT82" i="38"/>
  <c r="AT81" i="38"/>
  <c r="W124" i="42"/>
  <c r="W92" i="42"/>
  <c r="W50" i="42"/>
  <c r="W71" i="42"/>
  <c r="W29" i="42"/>
  <c r="BG303" i="42"/>
  <c r="BG304" i="42"/>
  <c r="T29" i="42"/>
  <c r="L92" i="42"/>
  <c r="L71" i="42"/>
  <c r="L124" i="42"/>
  <c r="L50" i="42"/>
  <c r="L29" i="42"/>
  <c r="AV304" i="42"/>
  <c r="AV303" i="42"/>
  <c r="AS304" i="42"/>
  <c r="AS303" i="42"/>
  <c r="BA132" i="41"/>
  <c r="BA116" i="41"/>
  <c r="BA72" i="41"/>
  <c r="BA50" i="41"/>
  <c r="BA28" i="41"/>
  <c r="BA94" i="41"/>
  <c r="AE389" i="42"/>
  <c r="AE316" i="39"/>
  <c r="AE50" i="38"/>
  <c r="AE66" i="38" s="1"/>
  <c r="BM305" i="42"/>
  <c r="AC303" i="42"/>
  <c r="X92" i="42"/>
  <c r="X71" i="42"/>
  <c r="X124" i="42"/>
  <c r="X50" i="42"/>
  <c r="X29" i="42"/>
  <c r="BH304" i="42"/>
  <c r="BH303" i="42"/>
  <c r="R304" i="42"/>
  <c r="R305" i="42"/>
  <c r="R303" i="42"/>
  <c r="BB305" i="42"/>
  <c r="BB303" i="42"/>
  <c r="BB304" i="42"/>
  <c r="BQ305" i="42"/>
  <c r="AG304" i="42"/>
  <c r="AG305" i="42"/>
  <c r="AG303" i="42"/>
  <c r="AZ304" i="42"/>
  <c r="AZ303" i="42"/>
  <c r="BG116" i="41"/>
  <c r="BG94" i="41"/>
  <c r="BG132" i="41"/>
  <c r="BG72" i="41"/>
  <c r="BG28" i="41"/>
  <c r="BG50" i="41"/>
  <c r="AI94" i="41"/>
  <c r="AI132" i="41"/>
  <c r="AA305" i="42"/>
  <c r="AA303" i="42"/>
  <c r="BK305" i="42"/>
  <c r="AA304" i="42"/>
  <c r="BI304" i="42"/>
  <c r="BI303" i="42"/>
  <c r="J389" i="42"/>
  <c r="J316" i="39"/>
  <c r="J50" i="38"/>
  <c r="J66" i="38" s="1"/>
  <c r="AT303" i="42"/>
  <c r="AT304" i="42"/>
  <c r="AF303" i="42"/>
  <c r="BP305" i="42"/>
  <c r="AF304" i="42"/>
  <c r="AF305" i="42"/>
  <c r="S303" i="42"/>
  <c r="S316" i="39"/>
  <c r="M132" i="41"/>
  <c r="M94" i="41"/>
  <c r="M116" i="41"/>
  <c r="M28" i="41"/>
  <c r="M50" i="41"/>
  <c r="M72" i="41"/>
  <c r="AQ50" i="38"/>
  <c r="AQ66" i="38"/>
  <c r="BL304" i="42"/>
  <c r="BL303" i="42"/>
  <c r="AK84" i="38"/>
  <c r="J197" i="42"/>
  <c r="AU214" i="42"/>
  <c r="R214" i="42"/>
  <c r="R215" i="42" s="1"/>
  <c r="BG197" i="42"/>
  <c r="V197" i="42"/>
  <c r="AJ98" i="42"/>
  <c r="AM77" i="42"/>
  <c r="AJ75" i="42"/>
  <c r="AM54" i="42"/>
  <c r="AJ36" i="42"/>
  <c r="AM94" i="42"/>
  <c r="AM78" i="42"/>
  <c r="AJ66" i="42"/>
  <c r="AJ55" i="42"/>
  <c r="AJ132" i="42"/>
  <c r="AM97" i="42"/>
  <c r="AJ94" i="42"/>
  <c r="AJ35" i="42"/>
  <c r="AM33" i="42"/>
  <c r="AM14" i="42"/>
  <c r="AM98" i="42"/>
  <c r="AM75" i="42"/>
  <c r="AJ56" i="42"/>
  <c r="AM45" i="42"/>
  <c r="AJ33" i="42"/>
  <c r="AJ14" i="42"/>
  <c r="AM73" i="42"/>
  <c r="AM31" i="42"/>
  <c r="AM76" i="42"/>
  <c r="AM35" i="42"/>
  <c r="AJ78" i="42"/>
  <c r="AM36" i="42"/>
  <c r="BP36" i="41" s="1"/>
  <c r="AJ108" i="42"/>
  <c r="R197" i="42"/>
  <c r="N214" i="42"/>
  <c r="J214" i="42"/>
  <c r="Q71" i="42"/>
  <c r="Q50" i="42"/>
  <c r="Q29" i="42"/>
  <c r="Q92" i="42"/>
  <c r="Q124" i="42"/>
  <c r="AQ116" i="41"/>
  <c r="AQ94" i="41"/>
  <c r="AQ132" i="41"/>
  <c r="AQ72" i="41"/>
  <c r="AQ28" i="41"/>
  <c r="AQ50" i="41"/>
  <c r="AW304" i="42"/>
  <c r="AW303" i="42"/>
  <c r="BB236" i="42"/>
  <c r="BB140" i="42"/>
  <c r="BB138" i="42"/>
  <c r="AB149" i="41"/>
  <c r="AY19" i="43" s="1"/>
  <c r="BC27" i="39"/>
  <c r="DC302" i="39"/>
  <c r="BN81" i="38"/>
  <c r="H92" i="42"/>
  <c r="H71" i="42"/>
  <c r="H124" i="42"/>
  <c r="H50" i="42"/>
  <c r="H29" i="42"/>
  <c r="AR304" i="42"/>
  <c r="AR303" i="42"/>
  <c r="AK132" i="41"/>
  <c r="AK116" i="41"/>
  <c r="AK72" i="41"/>
  <c r="AK94" i="41"/>
  <c r="AK50" i="41"/>
  <c r="AK28" i="41"/>
  <c r="W389" i="42"/>
  <c r="W50" i="38"/>
  <c r="W66" i="38"/>
  <c r="W316" i="39"/>
  <c r="U132" i="41"/>
  <c r="U116" i="41"/>
  <c r="U72" i="41"/>
  <c r="U50" i="41"/>
  <c r="U28" i="41"/>
  <c r="U94" i="41"/>
  <c r="AY303" i="42"/>
  <c r="AY304" i="42"/>
  <c r="BD304" i="42"/>
  <c r="BD303" i="42"/>
  <c r="T389" i="42"/>
  <c r="T316" i="39"/>
  <c r="T50" i="38"/>
  <c r="T66" i="38" s="1"/>
  <c r="T82" i="38" s="1"/>
  <c r="T116" i="38" s="1"/>
  <c r="AI92" i="42"/>
  <c r="AI50" i="42"/>
  <c r="AI29" i="42"/>
  <c r="AI124" i="42"/>
  <c r="AI71" i="42"/>
  <c r="L389" i="42"/>
  <c r="L316" i="39"/>
  <c r="L50" i="38"/>
  <c r="L66" i="38"/>
  <c r="L82" i="38" s="1"/>
  <c r="L107" i="38" s="1"/>
  <c r="I94" i="41"/>
  <c r="I132" i="41"/>
  <c r="I28" i="41"/>
  <c r="I389" i="42"/>
  <c r="I50" i="38"/>
  <c r="I66" i="38" s="1"/>
  <c r="I316" i="39"/>
  <c r="AE303" i="42"/>
  <c r="BO305" i="42"/>
  <c r="BO347" i="42" s="1"/>
  <c r="B12" i="40"/>
  <c r="AQ424" i="42"/>
  <c r="AR423" i="42"/>
  <c r="AS423" i="42"/>
  <c r="X303" i="42"/>
  <c r="BH305" i="42"/>
  <c r="X304" i="42"/>
  <c r="X338" i="42" s="1"/>
  <c r="X305" i="42"/>
  <c r="R50" i="42"/>
  <c r="R124" i="42"/>
  <c r="R29" i="42"/>
  <c r="R92" i="42"/>
  <c r="R71" i="42"/>
  <c r="BE116" i="41"/>
  <c r="BE94" i="41"/>
  <c r="BE50" i="41"/>
  <c r="BE132" i="41"/>
  <c r="BE72" i="41"/>
  <c r="BE28" i="41"/>
  <c r="W50" i="41"/>
  <c r="W94" i="41"/>
  <c r="W116" i="41"/>
  <c r="P389" i="42"/>
  <c r="P316" i="39"/>
  <c r="P50" i="38"/>
  <c r="P66" i="38"/>
  <c r="BR303" i="42"/>
  <c r="BR304" i="42"/>
  <c r="AY116" i="41"/>
  <c r="AY94" i="41"/>
  <c r="AY72" i="41"/>
  <c r="AY28" i="41"/>
  <c r="AY132" i="41"/>
  <c r="AY50" i="41"/>
  <c r="BN303" i="42"/>
  <c r="BN304" i="42"/>
  <c r="V304" i="42"/>
  <c r="V305" i="42"/>
  <c r="BF305" i="42"/>
  <c r="V303" i="42"/>
  <c r="BJ82" i="38"/>
  <c r="BJ81" i="38"/>
  <c r="N50" i="42"/>
  <c r="N124" i="42"/>
  <c r="N29" i="42"/>
  <c r="N92" i="42"/>
  <c r="N71" i="42"/>
  <c r="AX303" i="42"/>
  <c r="AX304" i="42"/>
  <c r="BI305" i="42"/>
  <c r="BI348" i="42" s="1"/>
  <c r="Y304" i="42"/>
  <c r="Y305" i="42"/>
  <c r="Y303" i="42"/>
  <c r="Y389" i="42"/>
  <c r="Y50" i="38"/>
  <c r="Y66" i="38"/>
  <c r="Y316" i="39"/>
  <c r="J50" i="42"/>
  <c r="J124" i="42"/>
  <c r="J29" i="42"/>
  <c r="J92" i="42"/>
  <c r="J71" i="42"/>
  <c r="BR81" i="38"/>
  <c r="BC50" i="41"/>
  <c r="BC116" i="41"/>
  <c r="BC94" i="41"/>
  <c r="BC303" i="42"/>
  <c r="BC304" i="42"/>
  <c r="AU303" i="42"/>
  <c r="AU304" i="42"/>
  <c r="K389" i="42"/>
  <c r="K316" i="39"/>
  <c r="K50" i="38"/>
  <c r="K66" i="38"/>
  <c r="BU2" i="44"/>
  <c r="EM2" i="43"/>
  <c r="CF211" i="41"/>
  <c r="AB389" i="42"/>
  <c r="AB316" i="39"/>
  <c r="AB50" i="38"/>
  <c r="AB66" i="38" s="1"/>
  <c r="AZ33" i="43"/>
  <c r="C144" i="41"/>
  <c r="F297" i="39"/>
  <c r="CD297" i="39"/>
  <c r="F16" i="38"/>
  <c r="G305" i="42"/>
  <c r="G303" i="42"/>
  <c r="G304" i="42"/>
  <c r="G329" i="42" s="1"/>
  <c r="AQ305" i="42"/>
  <c r="F214" i="42"/>
  <c r="AU197" i="42"/>
  <c r="AQ214" i="42"/>
  <c r="BJ303" i="42"/>
  <c r="BJ304" i="42"/>
  <c r="BJ329" i="42" s="1"/>
  <c r="Q116" i="41"/>
  <c r="Q94" i="41"/>
  <c r="Q50" i="41"/>
  <c r="Q72" i="41"/>
  <c r="Q28" i="41"/>
  <c r="Q132" i="41"/>
  <c r="AS82" i="38"/>
  <c r="AS81" i="38"/>
  <c r="U71" i="42"/>
  <c r="U50" i="42"/>
  <c r="U92" i="42"/>
  <c r="U124" i="42"/>
  <c r="U29" i="42"/>
  <c r="U50" i="38"/>
  <c r="U66" i="38" s="1"/>
  <c r="U389" i="42"/>
  <c r="U316" i="39"/>
  <c r="H303" i="42"/>
  <c r="AR305" i="42"/>
  <c r="H304" i="42"/>
  <c r="H329" i="42" s="1"/>
  <c r="H305" i="42"/>
  <c r="AU81" i="38"/>
  <c r="AU82" i="38"/>
  <c r="X262" i="42"/>
  <c r="X265" i="42" s="1"/>
  <c r="W265" i="42"/>
  <c r="AW81" i="38"/>
  <c r="O389" i="42"/>
  <c r="O50" i="38"/>
  <c r="O66" i="38" s="1"/>
  <c r="O316" i="39"/>
  <c r="W305" i="42"/>
  <c r="W303" i="42"/>
  <c r="W304" i="42"/>
  <c r="BG305" i="42"/>
  <c r="AE132" i="41"/>
  <c r="AE94" i="41"/>
  <c r="AE116" i="41"/>
  <c r="AE50" i="41"/>
  <c r="AE72" i="41"/>
  <c r="AE28" i="41"/>
  <c r="T303" i="42"/>
  <c r="BD305" i="42"/>
  <c r="T305" i="42"/>
  <c r="T304" i="42"/>
  <c r="T329" i="42" s="1"/>
  <c r="BI132" i="41"/>
  <c r="BI94" i="41"/>
  <c r="BI28" i="41"/>
  <c r="BI72" i="41"/>
  <c r="BI116" i="41"/>
  <c r="BI50" i="41"/>
  <c r="O132" i="41"/>
  <c r="O94" i="41"/>
  <c r="O116" i="41"/>
  <c r="O50" i="41"/>
  <c r="O72" i="41"/>
  <c r="O28" i="41"/>
  <c r="L303" i="42"/>
  <c r="AV305" i="42"/>
  <c r="L305" i="42"/>
  <c r="L304" i="42"/>
  <c r="L338" i="42" s="1"/>
  <c r="I71" i="42"/>
  <c r="I50" i="42"/>
  <c r="I29" i="42"/>
  <c r="I92" i="42"/>
  <c r="I124" i="42"/>
  <c r="AS305" i="42"/>
  <c r="I305" i="42"/>
  <c r="BO303" i="42"/>
  <c r="BO304" i="42"/>
  <c r="AC389" i="42"/>
  <c r="AC50" i="38"/>
  <c r="AC66" i="38"/>
  <c r="AC316" i="39"/>
  <c r="BM304" i="42"/>
  <c r="BM329" i="42" s="1"/>
  <c r="BM303" i="42"/>
  <c r="BC236" i="42"/>
  <c r="BC138" i="42"/>
  <c r="BC140" i="42"/>
  <c r="AD152" i="41" s="1"/>
  <c r="BA20" i="43" s="1"/>
  <c r="AD149" i="41"/>
  <c r="BD27" i="39"/>
  <c r="DE302" i="39" s="1"/>
  <c r="BH138" i="42"/>
  <c r="AN149" i="41"/>
  <c r="BH236" i="42"/>
  <c r="BH140" i="42"/>
  <c r="BI27" i="39"/>
  <c r="DO302" i="39" s="1"/>
  <c r="AA116" i="41"/>
  <c r="AA132" i="41"/>
  <c r="AA28" i="41"/>
  <c r="P92" i="42"/>
  <c r="P71" i="42"/>
  <c r="P124" i="42"/>
  <c r="P50" i="42"/>
  <c r="P29" i="42"/>
  <c r="AZ305" i="42"/>
  <c r="AZ348" i="42" s="1"/>
  <c r="P305" i="42"/>
  <c r="AD304" i="42"/>
  <c r="AD305" i="42"/>
  <c r="AD348" i="42" s="1"/>
  <c r="BN305" i="42"/>
  <c r="AD303" i="42"/>
  <c r="V50" i="42"/>
  <c r="V124" i="42"/>
  <c r="V29" i="42"/>
  <c r="V92" i="42"/>
  <c r="V71" i="42"/>
  <c r="BF303" i="42"/>
  <c r="BT295" i="42" s="1"/>
  <c r="AS361" i="42" s="1"/>
  <c r="IP2" i="43" s="1"/>
  <c r="BF304" i="42"/>
  <c r="AO116" i="41"/>
  <c r="AO94" i="41"/>
  <c r="AO50" i="41"/>
  <c r="AO132" i="41"/>
  <c r="AO72" i="41"/>
  <c r="AO28" i="41"/>
  <c r="BE82" i="38"/>
  <c r="BE81" i="38"/>
  <c r="J304" i="42"/>
  <c r="J305" i="42"/>
  <c r="J303" i="42"/>
  <c r="AT305" i="42"/>
  <c r="BP304" i="42"/>
  <c r="S124" i="42"/>
  <c r="S92" i="42"/>
  <c r="S71" i="42"/>
  <c r="S50" i="42"/>
  <c r="S29" i="42"/>
  <c r="K124" i="42"/>
  <c r="K92" i="42"/>
  <c r="K71" i="42"/>
  <c r="K50" i="42"/>
  <c r="K29" i="42"/>
  <c r="K305" i="42"/>
  <c r="K303" i="42"/>
  <c r="AU305" i="42"/>
  <c r="K304" i="42"/>
  <c r="AQ30" i="39"/>
  <c r="CE305" i="39" s="1"/>
  <c r="AU132" i="41"/>
  <c r="AU94" i="41"/>
  <c r="AU116" i="41"/>
  <c r="AU50" i="41"/>
  <c r="AU72" i="41"/>
  <c r="AU28" i="41"/>
  <c r="AB303" i="42"/>
  <c r="BL305" i="42"/>
  <c r="AB305" i="42"/>
  <c r="AB304" i="42"/>
  <c r="E132" i="41"/>
  <c r="E116" i="41"/>
  <c r="E72" i="41"/>
  <c r="E94" i="41"/>
  <c r="E50" i="41"/>
  <c r="E28" i="41"/>
  <c r="N197" i="42"/>
  <c r="Z197" i="42"/>
  <c r="G124" i="42"/>
  <c r="G92" i="42"/>
  <c r="G50" i="42"/>
  <c r="G71" i="42"/>
  <c r="G29" i="42"/>
  <c r="G389" i="42"/>
  <c r="G397" i="42"/>
  <c r="G398" i="42" s="1"/>
  <c r="G50" i="38"/>
  <c r="G66" i="38"/>
  <c r="G316" i="39"/>
  <c r="Q389" i="42"/>
  <c r="Q50" i="38"/>
  <c r="Q66" i="38" s="1"/>
  <c r="BA304" i="42"/>
  <c r="BA303" i="42"/>
  <c r="Z389" i="42"/>
  <c r="Z316" i="39"/>
  <c r="Z50" i="38"/>
  <c r="Z66" i="38" s="1"/>
  <c r="BJ83" i="38" s="1"/>
  <c r="M71" i="42"/>
  <c r="M50" i="42"/>
  <c r="M92" i="42"/>
  <c r="M124" i="42"/>
  <c r="M29" i="42"/>
  <c r="AW305" i="42"/>
  <c r="M304" i="42"/>
  <c r="M303" i="42"/>
  <c r="M305" i="42"/>
  <c r="M348" i="42" s="1"/>
  <c r="BE304" i="42"/>
  <c r="BE303" i="42"/>
  <c r="BE305" i="42"/>
  <c r="U304" i="42"/>
  <c r="U305" i="42"/>
  <c r="U303" i="42"/>
  <c r="K273" i="42"/>
  <c r="X272" i="42"/>
  <c r="R272" i="42"/>
  <c r="Y179" i="38"/>
  <c r="M329" i="42"/>
  <c r="M338" i="42"/>
  <c r="M319" i="42"/>
  <c r="Q339" i="39"/>
  <c r="BL319" i="42"/>
  <c r="BL327" i="42"/>
  <c r="BL343" i="42"/>
  <c r="BL294" i="42" s="1"/>
  <c r="BL344" i="42"/>
  <c r="BL347" i="42"/>
  <c r="BL348" i="42"/>
  <c r="AU347" i="42"/>
  <c r="J319" i="42"/>
  <c r="J335" i="42" s="1"/>
  <c r="J348" i="42"/>
  <c r="J343" i="42"/>
  <c r="J347" i="42"/>
  <c r="J344" i="42"/>
  <c r="AS319" i="42"/>
  <c r="AS348" i="42"/>
  <c r="AS343" i="42"/>
  <c r="AS294" i="42" s="1"/>
  <c r="AS347" i="42"/>
  <c r="AS344" i="42"/>
  <c r="AV319" i="42"/>
  <c r="AV343" i="42"/>
  <c r="AV294" i="42" s="1"/>
  <c r="AV344" i="42"/>
  <c r="AV347" i="42"/>
  <c r="AV348" i="42"/>
  <c r="W347" i="42"/>
  <c r="W348" i="42"/>
  <c r="W319" i="42"/>
  <c r="W344" i="42"/>
  <c r="W343" i="42"/>
  <c r="H348" i="42"/>
  <c r="H347" i="42"/>
  <c r="H319" i="42"/>
  <c r="AQ215" i="42"/>
  <c r="AU198" i="42"/>
  <c r="AQ348" i="42"/>
  <c r="AQ347" i="42"/>
  <c r="AQ344" i="42"/>
  <c r="AQ343" i="42"/>
  <c r="AQ319" i="42"/>
  <c r="BC329" i="42"/>
  <c r="BC338" i="42"/>
  <c r="BI83" i="38"/>
  <c r="Y83" i="38"/>
  <c r="Y81" i="38"/>
  <c r="Y82" i="38"/>
  <c r="Y348" i="42"/>
  <c r="Y347" i="42"/>
  <c r="Y319" i="42"/>
  <c r="AX329" i="42"/>
  <c r="AX338" i="42"/>
  <c r="V338" i="42"/>
  <c r="V329" i="42"/>
  <c r="X329" i="42"/>
  <c r="AY329" i="42"/>
  <c r="AY338" i="42"/>
  <c r="W339" i="39"/>
  <c r="BK111" i="41"/>
  <c r="AM46" i="42"/>
  <c r="BP45" i="41"/>
  <c r="BP77" i="41"/>
  <c r="AM74" i="42"/>
  <c r="BK35" i="41"/>
  <c r="BP100" i="41"/>
  <c r="V198" i="42"/>
  <c r="AU215" i="42"/>
  <c r="AF348" i="42"/>
  <c r="AF347" i="42"/>
  <c r="AF319" i="42"/>
  <c r="J82" i="38"/>
  <c r="J81" i="38"/>
  <c r="AT83" i="38"/>
  <c r="J83" i="38"/>
  <c r="AA348" i="42"/>
  <c r="AA347" i="42"/>
  <c r="AA319" i="42"/>
  <c r="BB338" i="42"/>
  <c r="BB329" i="42"/>
  <c r="R319" i="42"/>
  <c r="R348" i="42"/>
  <c r="R347" i="42"/>
  <c r="AC338" i="42"/>
  <c r="AC329" i="42"/>
  <c r="AR83" i="38"/>
  <c r="H83" i="38"/>
  <c r="H81" i="38"/>
  <c r="H82" i="38"/>
  <c r="Z329" i="42"/>
  <c r="Z338" i="42"/>
  <c r="F198" i="42"/>
  <c r="BP83" i="38"/>
  <c r="AF83" i="38"/>
  <c r="AF81" i="38"/>
  <c r="AF82" i="38"/>
  <c r="N338" i="42"/>
  <c r="N329" i="42"/>
  <c r="AA339" i="39"/>
  <c r="AH339" i="39"/>
  <c r="BQ329" i="42"/>
  <c r="BQ338" i="42"/>
  <c r="X339" i="39"/>
  <c r="U348" i="42"/>
  <c r="U347" i="42"/>
  <c r="U344" i="42"/>
  <c r="U343" i="42"/>
  <c r="U319" i="42"/>
  <c r="BE338" i="42"/>
  <c r="BE329" i="42"/>
  <c r="Z82" i="38"/>
  <c r="G339" i="39"/>
  <c r="N198" i="42"/>
  <c r="J329" i="42"/>
  <c r="J338" i="42"/>
  <c r="BN348" i="42"/>
  <c r="BN347" i="42"/>
  <c r="BN344" i="42"/>
  <c r="BN343" i="42"/>
  <c r="BN294" i="42" s="1"/>
  <c r="BN319" i="42"/>
  <c r="P348" i="42"/>
  <c r="P347" i="42"/>
  <c r="P344" i="42"/>
  <c r="P343" i="42"/>
  <c r="P319" i="42"/>
  <c r="BO338" i="42"/>
  <c r="BO329" i="42"/>
  <c r="T338" i="42"/>
  <c r="BG348" i="42"/>
  <c r="BG347" i="42"/>
  <c r="BG344" i="42"/>
  <c r="BG343" i="42"/>
  <c r="BG319" i="42"/>
  <c r="O339" i="39"/>
  <c r="H338" i="42"/>
  <c r="BE83" i="38"/>
  <c r="U83" i="38"/>
  <c r="U81" i="38"/>
  <c r="U82" i="38"/>
  <c r="G338" i="42"/>
  <c r="BL83" i="38"/>
  <c r="AB83" i="38"/>
  <c r="AB81" i="38"/>
  <c r="AB82" i="38"/>
  <c r="Y329" i="42"/>
  <c r="Y338" i="42"/>
  <c r="BN338" i="42"/>
  <c r="BN329" i="42"/>
  <c r="BH319" i="42"/>
  <c r="BH337" i="42" s="1"/>
  <c r="BH347" i="42"/>
  <c r="BH348" i="42"/>
  <c r="BH343" i="42"/>
  <c r="BH294" i="42" s="1"/>
  <c r="BH344" i="42"/>
  <c r="AQ425" i="42"/>
  <c r="AS424" i="42"/>
  <c r="AR424" i="42"/>
  <c r="B45" i="40"/>
  <c r="B13" i="40"/>
  <c r="BO348" i="42"/>
  <c r="BO319" i="42"/>
  <c r="BO334" i="42" s="1"/>
  <c r="I339" i="39"/>
  <c r="L81" i="38"/>
  <c r="W82" i="38"/>
  <c r="W83" i="38"/>
  <c r="BG83" i="38"/>
  <c r="W81" i="38"/>
  <c r="BP35" i="41"/>
  <c r="BP75" i="41"/>
  <c r="BK13" i="41"/>
  <c r="BK56" i="41"/>
  <c r="BP80" i="41"/>
  <c r="BP79" i="41"/>
  <c r="BG198" i="42"/>
  <c r="J198" i="42"/>
  <c r="AK85" i="38"/>
  <c r="S339" i="39"/>
  <c r="AF329" i="42"/>
  <c r="AF338" i="42"/>
  <c r="J339" i="39"/>
  <c r="AA329" i="42"/>
  <c r="AA338" i="42"/>
  <c r="AZ329" i="42"/>
  <c r="AZ338" i="42"/>
  <c r="AG348" i="42"/>
  <c r="AG347" i="42"/>
  <c r="AG319" i="42"/>
  <c r="R329" i="42"/>
  <c r="R338" i="42"/>
  <c r="BH338" i="42"/>
  <c r="BH329" i="42"/>
  <c r="BM319" i="42"/>
  <c r="BM344" i="42"/>
  <c r="BM347" i="42"/>
  <c r="BM348" i="42"/>
  <c r="BM343" i="42"/>
  <c r="BM294" i="42" s="1"/>
  <c r="AS329" i="42"/>
  <c r="AS338" i="42"/>
  <c r="BG329" i="42"/>
  <c r="BG338" i="42"/>
  <c r="H339" i="39"/>
  <c r="H355" i="39" s="1"/>
  <c r="M339" i="39"/>
  <c r="BJ348" i="42"/>
  <c r="BJ347" i="42"/>
  <c r="BJ344" i="42"/>
  <c r="BJ343" i="42"/>
  <c r="BJ319" i="42"/>
  <c r="AQ328" i="42"/>
  <c r="AQ338" i="42"/>
  <c r="AQ329" i="42"/>
  <c r="AF339" i="39"/>
  <c r="N82" i="38"/>
  <c r="AX83" i="38"/>
  <c r="N83" i="38"/>
  <c r="N81" i="38"/>
  <c r="V82" i="38"/>
  <c r="V81" i="38"/>
  <c r="BF83" i="38"/>
  <c r="V83" i="38"/>
  <c r="V125" i="38" s="1"/>
  <c r="AH319" i="42"/>
  <c r="AH348" i="42"/>
  <c r="AH347" i="42"/>
  <c r="BQ83" i="38"/>
  <c r="AG83" i="38"/>
  <c r="AG81" i="38"/>
  <c r="AG82" i="38"/>
  <c r="AG116" i="38" s="1"/>
  <c r="R339" i="39"/>
  <c r="AI343" i="42"/>
  <c r="AI344" i="42"/>
  <c r="AI348" i="42"/>
  <c r="AI347" i="42"/>
  <c r="AI319" i="42"/>
  <c r="AI326" i="42" s="1"/>
  <c r="U329" i="42"/>
  <c r="U338" i="42"/>
  <c r="Z339" i="39"/>
  <c r="BA338" i="42"/>
  <c r="BA329" i="42"/>
  <c r="G82" i="38"/>
  <c r="G83" i="38"/>
  <c r="G81" i="38"/>
  <c r="AQ83" i="38"/>
  <c r="Z198" i="42"/>
  <c r="AB338" i="42"/>
  <c r="AB329" i="42"/>
  <c r="K343" i="42"/>
  <c r="K344" i="42"/>
  <c r="K348" i="42"/>
  <c r="K347" i="42"/>
  <c r="K319" i="42"/>
  <c r="K332" i="42" s="1"/>
  <c r="BP329" i="42"/>
  <c r="BP338" i="42"/>
  <c r="AT348" i="42"/>
  <c r="AT347" i="42"/>
  <c r="AT344" i="42"/>
  <c r="AT343" i="42"/>
  <c r="AT319" i="42"/>
  <c r="BF338" i="42"/>
  <c r="BF329" i="42"/>
  <c r="AD347" i="42"/>
  <c r="AC339" i="39"/>
  <c r="I348" i="42"/>
  <c r="I347" i="42"/>
  <c r="I319" i="42"/>
  <c r="I327" i="42" s="1"/>
  <c r="T348" i="42"/>
  <c r="T347" i="42"/>
  <c r="T344" i="42"/>
  <c r="T343" i="42"/>
  <c r="T319" i="42"/>
  <c r="W338" i="42"/>
  <c r="W329" i="42"/>
  <c r="O82" i="38"/>
  <c r="O83" i="38"/>
  <c r="AY83" i="38"/>
  <c r="AY121" i="38" s="1"/>
  <c r="O81" i="38"/>
  <c r="AR319" i="42"/>
  <c r="AR337" i="42" s="1"/>
  <c r="AR347" i="42"/>
  <c r="AR348" i="42"/>
  <c r="AR343" i="42"/>
  <c r="AR294" i="42" s="1"/>
  <c r="AR344" i="42"/>
  <c r="AB339" i="39"/>
  <c r="AB356" i="39" s="1"/>
  <c r="K82" i="38"/>
  <c r="AU83" i="38"/>
  <c r="K81" i="38"/>
  <c r="K83" i="38"/>
  <c r="K122" i="38" s="1"/>
  <c r="AU338" i="42"/>
  <c r="AU329" i="42"/>
  <c r="BI319" i="42"/>
  <c r="BI347" i="42"/>
  <c r="BI344" i="42"/>
  <c r="BF348" i="42"/>
  <c r="BF347" i="42"/>
  <c r="BF319" i="42"/>
  <c r="BR338" i="42"/>
  <c r="BR329" i="42"/>
  <c r="BR297" i="42"/>
  <c r="AZ83" i="38"/>
  <c r="AZ97" i="38" s="1"/>
  <c r="P83" i="38"/>
  <c r="P81" i="38"/>
  <c r="P82" i="38"/>
  <c r="AS83" i="38"/>
  <c r="I83" i="38"/>
  <c r="I81" i="38"/>
  <c r="I82" i="38"/>
  <c r="L339" i="39"/>
  <c r="T83" i="38"/>
  <c r="T126" i="38" s="1"/>
  <c r="T81" i="38"/>
  <c r="AB152" i="41"/>
  <c r="BA19" i="43" s="1"/>
  <c r="BC30" i="39"/>
  <c r="DC305" i="39" s="1"/>
  <c r="AW338" i="42"/>
  <c r="AW329" i="42"/>
  <c r="J215" i="42"/>
  <c r="N215" i="42"/>
  <c r="R198" i="42"/>
  <c r="BK33" i="41"/>
  <c r="BK57" i="41"/>
  <c r="BP101" i="41"/>
  <c r="AM32" i="42"/>
  <c r="BP33" i="41"/>
  <c r="BK97" i="41"/>
  <c r="BL329" i="42"/>
  <c r="BL338" i="42"/>
  <c r="BP319" i="42"/>
  <c r="BP347" i="42"/>
  <c r="BP348" i="42"/>
  <c r="BP344" i="42"/>
  <c r="BP343" i="42"/>
  <c r="BP294" i="42" s="1"/>
  <c r="AT329" i="42"/>
  <c r="AT338" i="42"/>
  <c r="BI329" i="42"/>
  <c r="BI338" i="42"/>
  <c r="BK348" i="42"/>
  <c r="BK347" i="42"/>
  <c r="BK344" i="42"/>
  <c r="BK343" i="42"/>
  <c r="BK294" i="42" s="1"/>
  <c r="BK319" i="42"/>
  <c r="BK332" i="42" s="1"/>
  <c r="AG338" i="42"/>
  <c r="AG329" i="42"/>
  <c r="BB348" i="42"/>
  <c r="BB347" i="42"/>
  <c r="BB344" i="42"/>
  <c r="BB343" i="42"/>
  <c r="BB319" i="42"/>
  <c r="BB324" i="42"/>
  <c r="AE82" i="38"/>
  <c r="BO83" i="38"/>
  <c r="BO126" i="38" s="1"/>
  <c r="AE83" i="38"/>
  <c r="AE81" i="38"/>
  <c r="AW83" i="38"/>
  <c r="M83" i="38"/>
  <c r="M122" i="38" s="1"/>
  <c r="M81" i="38"/>
  <c r="M82" i="38"/>
  <c r="Q329" i="42"/>
  <c r="Q338" i="42"/>
  <c r="BT298" i="42"/>
  <c r="BT290" i="42"/>
  <c r="AS366" i="42" s="1"/>
  <c r="BT297" i="42"/>
  <c r="AS362" i="42" s="1"/>
  <c r="IQ2" i="43" s="1"/>
  <c r="BT292" i="42"/>
  <c r="AQ198" i="42"/>
  <c r="N339" i="39"/>
  <c r="AX348" i="42"/>
  <c r="AX347" i="42"/>
  <c r="AX344" i="42"/>
  <c r="AX343" i="42"/>
  <c r="AX319" i="42"/>
  <c r="V339" i="39"/>
  <c r="AH338" i="42"/>
  <c r="AH329" i="42"/>
  <c r="AG339" i="39"/>
  <c r="R82" i="38"/>
  <c r="BB83" i="38"/>
  <c r="R83" i="38"/>
  <c r="R81" i="38"/>
  <c r="AI82" i="38"/>
  <c r="BS83" i="38"/>
  <c r="AI83" i="38"/>
  <c r="AI81" i="38"/>
  <c r="AI329" i="42"/>
  <c r="AI338" i="42"/>
  <c r="K274" i="42"/>
  <c r="X273" i="42"/>
  <c r="R273" i="42"/>
  <c r="BE319" i="42"/>
  <c r="BE344" i="42"/>
  <c r="BE347" i="42"/>
  <c r="BE343" i="42"/>
  <c r="BE294" i="42" s="1"/>
  <c r="BE348" i="42"/>
  <c r="AW319" i="42"/>
  <c r="AW344" i="42"/>
  <c r="AW347" i="42"/>
  <c r="AW348" i="42"/>
  <c r="AW343" i="42"/>
  <c r="BA83" i="38"/>
  <c r="Q83" i="38"/>
  <c r="Q81" i="38"/>
  <c r="Q82" i="38"/>
  <c r="AB348" i="42"/>
  <c r="AB347" i="42"/>
  <c r="AB319" i="42"/>
  <c r="AB336" i="42" s="1"/>
  <c r="K338" i="42"/>
  <c r="K329" i="42"/>
  <c r="AD329" i="42"/>
  <c r="AD338" i="42"/>
  <c r="AZ319" i="42"/>
  <c r="AZ347" i="42"/>
  <c r="AZ343" i="42"/>
  <c r="AN152" i="41"/>
  <c r="BA25" i="43" s="1"/>
  <c r="BI30" i="39"/>
  <c r="DO305" i="39" s="1"/>
  <c r="BH141" i="42"/>
  <c r="BM83" i="38"/>
  <c r="AC83" i="38"/>
  <c r="AC81" i="38"/>
  <c r="AC82" i="38"/>
  <c r="L348" i="42"/>
  <c r="L347" i="42"/>
  <c r="L344" i="42"/>
  <c r="L343" i="42"/>
  <c r="L319" i="42"/>
  <c r="BD319" i="42"/>
  <c r="BD343" i="42"/>
  <c r="BD294" i="42" s="1"/>
  <c r="BD344" i="42"/>
  <c r="BD347" i="42"/>
  <c r="BD348" i="42"/>
  <c r="U339" i="39"/>
  <c r="F215" i="42"/>
  <c r="G347" i="42"/>
  <c r="G348" i="42"/>
  <c r="G319" i="42"/>
  <c r="G344" i="42"/>
  <c r="G343" i="42"/>
  <c r="K339" i="39"/>
  <c r="Y339" i="39"/>
  <c r="V319" i="42"/>
  <c r="V327" i="42"/>
  <c r="V344" i="42"/>
  <c r="V347" i="42"/>
  <c r="V343" i="42"/>
  <c r="V348" i="42"/>
  <c r="P339" i="39"/>
  <c r="X348" i="42"/>
  <c r="X347" i="42"/>
  <c r="X344" i="42"/>
  <c r="X343" i="42"/>
  <c r="X319" i="42"/>
  <c r="X334" i="42" s="1"/>
  <c r="T339" i="39"/>
  <c r="BD329" i="42"/>
  <c r="BD338" i="42"/>
  <c r="AR329" i="42"/>
  <c r="AR338" i="42"/>
  <c r="BB141" i="42"/>
  <c r="CR19" i="43"/>
  <c r="BK80" i="41"/>
  <c r="BP31" i="41"/>
  <c r="BP13" i="41"/>
  <c r="BK144" i="41"/>
  <c r="AJ297" i="39"/>
  <c r="EL297" i="39"/>
  <c r="AJ16" i="38"/>
  <c r="BK67" i="41"/>
  <c r="BP97" i="41"/>
  <c r="BK36" i="41"/>
  <c r="BP55" i="41"/>
  <c r="BK77" i="41"/>
  <c r="BK101" i="41"/>
  <c r="AQ81" i="38"/>
  <c r="AQ82" i="38"/>
  <c r="BQ319" i="42"/>
  <c r="BQ332" i="42" s="1"/>
  <c r="BQ348" i="42"/>
  <c r="BQ343" i="42"/>
  <c r="BQ294" i="42" s="1"/>
  <c r="BQ344" i="42"/>
  <c r="BQ347" i="42"/>
  <c r="AE339" i="39"/>
  <c r="AV338" i="42"/>
  <c r="AV329" i="42"/>
  <c r="Z319" i="42"/>
  <c r="Z333" i="42" s="1"/>
  <c r="Z348" i="42"/>
  <c r="Z343" i="42"/>
  <c r="Z344" i="42"/>
  <c r="Z347" i="42"/>
  <c r="AK177" i="38"/>
  <c r="BK141" i="42"/>
  <c r="CR28" i="43"/>
  <c r="N319" i="42"/>
  <c r="N333" i="42"/>
  <c r="N344" i="42"/>
  <c r="N347" i="42"/>
  <c r="N348" i="42"/>
  <c r="N343" i="42"/>
  <c r="AA82" i="38"/>
  <c r="BK83" i="38"/>
  <c r="AA83" i="38"/>
  <c r="AA81" i="38"/>
  <c r="BK338" i="42"/>
  <c r="BK329" i="42"/>
  <c r="BR348" i="42"/>
  <c r="BR347" i="42"/>
  <c r="BR344" i="42"/>
  <c r="BR343" i="42"/>
  <c r="BR294" i="42" s="1"/>
  <c r="BR319" i="42"/>
  <c r="AH82" i="38"/>
  <c r="BR83" i="38"/>
  <c r="AH83" i="38"/>
  <c r="AH81" i="38"/>
  <c r="AI339" i="39"/>
  <c r="BS348" i="42"/>
  <c r="BS347" i="42"/>
  <c r="BS344" i="42"/>
  <c r="BS343" i="42"/>
  <c r="BS319" i="42"/>
  <c r="O347" i="42"/>
  <c r="O348" i="42"/>
  <c r="O319" i="42"/>
  <c r="BU16" i="43"/>
  <c r="AZ30" i="43"/>
  <c r="AU30" i="43"/>
  <c r="BC30" i="43"/>
  <c r="BW21" i="43"/>
  <c r="BV16" i="43"/>
  <c r="AW30" i="43"/>
  <c r="AX30" i="43"/>
  <c r="BV21" i="43"/>
  <c r="BW16" i="43"/>
  <c r="BK126" i="38"/>
  <c r="BK122" i="38"/>
  <c r="BK125" i="38"/>
  <c r="BK97" i="38"/>
  <c r="BK121" i="38"/>
  <c r="BO356" i="39"/>
  <c r="AE356" i="39"/>
  <c r="AE355" i="39"/>
  <c r="AE354" i="39"/>
  <c r="BI356" i="39"/>
  <c r="Y356" i="39"/>
  <c r="Y355" i="39"/>
  <c r="Y354" i="39"/>
  <c r="F216" i="42"/>
  <c r="BM97" i="38"/>
  <c r="AB332" i="42"/>
  <c r="AB328" i="42"/>
  <c r="AB326" i="42"/>
  <c r="AB333" i="42"/>
  <c r="AB327" i="42"/>
  <c r="AB335" i="42"/>
  <c r="AB320" i="42"/>
  <c r="BA125" i="38"/>
  <c r="BA121" i="38"/>
  <c r="BA126" i="38"/>
  <c r="BA97" i="38"/>
  <c r="BA122" i="38"/>
  <c r="AI126" i="38"/>
  <c r="AI125" i="38"/>
  <c r="AI97" i="38"/>
  <c r="AI121" i="38"/>
  <c r="AI72" i="38" s="1"/>
  <c r="AI122" i="38"/>
  <c r="R125" i="38"/>
  <c r="R121" i="38"/>
  <c r="R122" i="38"/>
  <c r="R126" i="38"/>
  <c r="R97" i="38"/>
  <c r="AG356" i="39"/>
  <c r="N356" i="39"/>
  <c r="N354" i="39"/>
  <c r="N355" i="39"/>
  <c r="AX356" i="39"/>
  <c r="M116" i="38"/>
  <c r="M107" i="38"/>
  <c r="AE97" i="38"/>
  <c r="AE122" i="38"/>
  <c r="AE121" i="38"/>
  <c r="AE126" i="38"/>
  <c r="AE125" i="38"/>
  <c r="R199" i="42"/>
  <c r="T121" i="38"/>
  <c r="I116" i="38"/>
  <c r="I107" i="38"/>
  <c r="P126" i="38"/>
  <c r="P122" i="38"/>
  <c r="P97" i="38"/>
  <c r="P121" i="38"/>
  <c r="P125" i="38"/>
  <c r="P73" i="38" s="1"/>
  <c r="BF336" i="42"/>
  <c r="BF334" i="42"/>
  <c r="BF332" i="42"/>
  <c r="BF328" i="42"/>
  <c r="BF326" i="42"/>
  <c r="BF324" i="42"/>
  <c r="BF337" i="42"/>
  <c r="BF333" i="42"/>
  <c r="BF327" i="42"/>
  <c r="BF323" i="42"/>
  <c r="BF335" i="42"/>
  <c r="BF325" i="42"/>
  <c r="BF320" i="42"/>
  <c r="K107" i="38"/>
  <c r="K116" i="38"/>
  <c r="AY126" i="38"/>
  <c r="AY122" i="38"/>
  <c r="AY125" i="38"/>
  <c r="I335" i="42"/>
  <c r="I336" i="42"/>
  <c r="I332" i="42"/>
  <c r="BB144" i="42"/>
  <c r="BB145" i="42"/>
  <c r="BK144" i="42"/>
  <c r="BK145" i="42" s="1"/>
  <c r="AT336" i="42"/>
  <c r="AT334" i="42"/>
  <c r="AT332" i="42"/>
  <c r="AT328" i="42"/>
  <c r="AT326" i="42"/>
  <c r="AT324" i="42"/>
  <c r="AT335" i="42"/>
  <c r="AT325" i="42"/>
  <c r="AT333" i="42"/>
  <c r="AT323" i="42"/>
  <c r="AT337" i="42"/>
  <c r="AT327" i="42"/>
  <c r="AT320" i="42"/>
  <c r="K336" i="42"/>
  <c r="K334" i="42"/>
  <c r="K326" i="42"/>
  <c r="K324" i="42"/>
  <c r="K327" i="42"/>
  <c r="K323" i="42"/>
  <c r="K320" i="42"/>
  <c r="G106" i="38"/>
  <c r="G107" i="38"/>
  <c r="G116" i="38"/>
  <c r="AG107" i="38"/>
  <c r="V116" i="38"/>
  <c r="V107" i="38"/>
  <c r="BJ336" i="42"/>
  <c r="BJ334" i="42"/>
  <c r="BJ332" i="42"/>
  <c r="BJ328" i="42"/>
  <c r="BJ326" i="42"/>
  <c r="BJ324" i="42"/>
  <c r="BJ335" i="42"/>
  <c r="BJ325" i="42"/>
  <c r="BJ333" i="42"/>
  <c r="BJ323" i="42"/>
  <c r="BJ327" i="42"/>
  <c r="BJ337" i="42"/>
  <c r="BJ320" i="42"/>
  <c r="H356" i="39"/>
  <c r="AR356" i="39"/>
  <c r="AG337" i="42"/>
  <c r="AG335" i="42"/>
  <c r="AG333" i="42"/>
  <c r="AG327" i="42"/>
  <c r="AG325" i="42"/>
  <c r="AG323" i="42"/>
  <c r="AG334" i="42"/>
  <c r="AG328" i="42"/>
  <c r="AG324" i="42"/>
  <c r="AG332" i="42"/>
  <c r="AG320" i="42"/>
  <c r="AG336" i="42"/>
  <c r="AG326" i="42"/>
  <c r="AK86" i="38"/>
  <c r="BO337" i="42"/>
  <c r="BL126" i="38"/>
  <c r="BL97" i="38"/>
  <c r="BL121" i="38"/>
  <c r="BL122" i="38"/>
  <c r="BL125" i="38"/>
  <c r="U116" i="38"/>
  <c r="U107" i="38"/>
  <c r="AY356" i="39"/>
  <c r="O356" i="39"/>
  <c r="O354" i="39"/>
  <c r="O355" i="39"/>
  <c r="Z116" i="38"/>
  <c r="Z107" i="38"/>
  <c r="U337" i="42"/>
  <c r="U333" i="42"/>
  <c r="U325" i="42"/>
  <c r="U336" i="42"/>
  <c r="U332" i="42"/>
  <c r="U334" i="42"/>
  <c r="U324" i="42"/>
  <c r="U320" i="42"/>
  <c r="BP125" i="38"/>
  <c r="BP122" i="38"/>
  <c r="BP97" i="38"/>
  <c r="BP126" i="38"/>
  <c r="BP121" i="38"/>
  <c r="F199" i="42"/>
  <c r="AR122" i="38"/>
  <c r="AR121" i="38"/>
  <c r="AR125" i="38"/>
  <c r="AR97" i="38"/>
  <c r="AR126" i="38"/>
  <c r="J107" i="38"/>
  <c r="J116" i="38"/>
  <c r="V199" i="42"/>
  <c r="Y126" i="38"/>
  <c r="Y121" i="38"/>
  <c r="Y125" i="38"/>
  <c r="Y122" i="38"/>
  <c r="Y97" i="38"/>
  <c r="H332" i="42"/>
  <c r="H328" i="42"/>
  <c r="H326" i="42"/>
  <c r="H325" i="42"/>
  <c r="H333" i="42"/>
  <c r="H337" i="42"/>
  <c r="H320" i="42"/>
  <c r="AV328" i="42"/>
  <c r="BA356" i="39"/>
  <c r="Q356" i="39"/>
  <c r="Q355" i="39"/>
  <c r="Q354" i="39"/>
  <c r="BS324" i="42"/>
  <c r="BR332" i="42"/>
  <c r="BR335" i="42"/>
  <c r="BR323" i="42"/>
  <c r="AA116" i="38"/>
  <c r="AA107" i="38"/>
  <c r="AK178" i="38"/>
  <c r="BQ320" i="42"/>
  <c r="AQ106" i="38"/>
  <c r="BD337" i="42"/>
  <c r="BD333" i="42"/>
  <c r="BD327" i="42"/>
  <c r="BD325" i="42"/>
  <c r="BD334" i="42"/>
  <c r="BD328" i="42"/>
  <c r="BD324" i="42"/>
  <c r="BD326" i="42"/>
  <c r="BD336" i="42"/>
  <c r="BD320" i="42"/>
  <c r="AC107" i="38"/>
  <c r="AC116" i="38"/>
  <c r="AZ333" i="42"/>
  <c r="AZ327" i="42"/>
  <c r="AZ336" i="42"/>
  <c r="AZ332" i="42"/>
  <c r="AZ324" i="42"/>
  <c r="AZ328" i="42"/>
  <c r="Q107" i="38"/>
  <c r="Q116" i="38"/>
  <c r="AW337" i="42"/>
  <c r="AW335" i="42"/>
  <c r="AW333" i="42"/>
  <c r="AW327" i="42"/>
  <c r="AW325" i="42"/>
  <c r="AW323" i="42"/>
  <c r="AW334" i="42"/>
  <c r="AW328" i="42"/>
  <c r="AW324" i="42"/>
  <c r="AW336" i="42"/>
  <c r="AW326" i="42"/>
  <c r="AW332" i="42"/>
  <c r="AW320" i="42"/>
  <c r="BS126" i="38"/>
  <c r="BS122" i="38"/>
  <c r="BS97" i="38"/>
  <c r="BS121" i="38"/>
  <c r="BS125" i="38"/>
  <c r="BB122" i="38"/>
  <c r="BB121" i="38"/>
  <c r="BB97" i="38"/>
  <c r="BB125" i="38"/>
  <c r="BB126" i="38"/>
  <c r="V356" i="39"/>
  <c r="V354" i="39"/>
  <c r="BO121" i="38"/>
  <c r="BO125" i="38"/>
  <c r="AZ122" i="38"/>
  <c r="AZ126" i="38"/>
  <c r="BI325" i="42"/>
  <c r="K126" i="38"/>
  <c r="K125" i="38"/>
  <c r="K97" i="38"/>
  <c r="AB355" i="39"/>
  <c r="AB354" i="39"/>
  <c r="O122" i="38"/>
  <c r="O121" i="38"/>
  <c r="O97" i="38"/>
  <c r="O126" i="38"/>
  <c r="O125" i="38"/>
  <c r="T336" i="42"/>
  <c r="T332" i="42"/>
  <c r="T328" i="42"/>
  <c r="T326" i="42"/>
  <c r="T337" i="42"/>
  <c r="T333" i="42"/>
  <c r="T327" i="42"/>
  <c r="T335" i="42"/>
  <c r="T325" i="42"/>
  <c r="T320" i="42"/>
  <c r="AQ126" i="38"/>
  <c r="AQ122" i="38"/>
  <c r="AQ97" i="38"/>
  <c r="AQ121" i="38"/>
  <c r="AQ125" i="38"/>
  <c r="V121" i="38"/>
  <c r="V126" i="38"/>
  <c r="V97" i="38"/>
  <c r="N125" i="38"/>
  <c r="N121" i="38"/>
  <c r="N72" i="38" s="1"/>
  <c r="N126" i="38"/>
  <c r="N97" i="38"/>
  <c r="N122" i="38"/>
  <c r="AF355" i="39"/>
  <c r="AF354" i="39"/>
  <c r="BP356" i="39"/>
  <c r="AF356" i="39"/>
  <c r="S355" i="39"/>
  <c r="S354" i="39"/>
  <c r="S356" i="39"/>
  <c r="BC356" i="39"/>
  <c r="BG126" i="38"/>
  <c r="BG122" i="38"/>
  <c r="BG121" i="38"/>
  <c r="BG97" i="38"/>
  <c r="BG125" i="38"/>
  <c r="B46" i="40"/>
  <c r="B14" i="40"/>
  <c r="AQ426" i="42"/>
  <c r="AS425" i="42"/>
  <c r="AR425" i="42"/>
  <c r="AB107" i="38"/>
  <c r="AB116" i="38"/>
  <c r="N199" i="42"/>
  <c r="AF107" i="38"/>
  <c r="AF116" i="38"/>
  <c r="H116" i="38"/>
  <c r="H107" i="38"/>
  <c r="J125" i="38"/>
  <c r="J121" i="38"/>
  <c r="J72" i="38" s="1"/>
  <c r="J122" i="38"/>
  <c r="J97" i="38"/>
  <c r="J126" i="38"/>
  <c r="AF334" i="42"/>
  <c r="AF328" i="42"/>
  <c r="AF324" i="42"/>
  <c r="AF335" i="42"/>
  <c r="AF327" i="42"/>
  <c r="AF323" i="42"/>
  <c r="AF333" i="42"/>
  <c r="BP46" i="41"/>
  <c r="Y335" i="42"/>
  <c r="Y333" i="42"/>
  <c r="Y325" i="42"/>
  <c r="Y334" i="42"/>
  <c r="Y324" i="42"/>
  <c r="Y336" i="42"/>
  <c r="Y332" i="42"/>
  <c r="BI125" i="38"/>
  <c r="BI121" i="38"/>
  <c r="BI97" i="38"/>
  <c r="BI126" i="38"/>
  <c r="BI122" i="38"/>
  <c r="W336" i="42"/>
  <c r="W334" i="42"/>
  <c r="W332" i="42"/>
  <c r="W328" i="42"/>
  <c r="W326" i="42"/>
  <c r="W324" i="42"/>
  <c r="W335" i="42"/>
  <c r="W325" i="42"/>
  <c r="W333" i="42"/>
  <c r="W323" i="42"/>
  <c r="W327" i="42"/>
  <c r="W337" i="42"/>
  <c r="W320" i="42"/>
  <c r="AS337" i="42"/>
  <c r="AS335" i="42"/>
  <c r="AS333" i="42"/>
  <c r="AS327" i="42"/>
  <c r="AS325" i="42"/>
  <c r="AS323" i="42"/>
  <c r="AS336" i="42"/>
  <c r="AS332" i="42"/>
  <c r="AS326" i="42"/>
  <c r="AS328" i="42"/>
  <c r="AS324" i="42"/>
  <c r="AS334" i="42"/>
  <c r="AS320" i="42"/>
  <c r="G399" i="42"/>
  <c r="M337" i="42"/>
  <c r="M335" i="42"/>
  <c r="M333" i="42"/>
  <c r="M327" i="42"/>
  <c r="M325" i="42"/>
  <c r="M323" i="42"/>
  <c r="M336" i="42"/>
  <c r="M332" i="42"/>
  <c r="M326" i="42"/>
  <c r="M334" i="42"/>
  <c r="M324" i="42"/>
  <c r="M328" i="42"/>
  <c r="M320" i="42"/>
  <c r="AH107" i="38"/>
  <c r="AH116" i="38"/>
  <c r="O334" i="42"/>
  <c r="O332" i="42"/>
  <c r="O324" i="42"/>
  <c r="O335" i="42"/>
  <c r="O327" i="42"/>
  <c r="O333" i="42"/>
  <c r="AH125" i="38"/>
  <c r="AH121" i="38"/>
  <c r="AH122" i="38"/>
  <c r="AH126" i="38"/>
  <c r="AH97" i="38"/>
  <c r="N335" i="42"/>
  <c r="N327" i="42"/>
  <c r="N323" i="42"/>
  <c r="N336" i="42"/>
  <c r="N334" i="42"/>
  <c r="N324" i="42"/>
  <c r="N328" i="42"/>
  <c r="X332" i="42"/>
  <c r="X328" i="42"/>
  <c r="X324" i="42"/>
  <c r="X325" i="42"/>
  <c r="X323" i="42"/>
  <c r="X327" i="42"/>
  <c r="V337" i="42"/>
  <c r="V335" i="42"/>
  <c r="V333" i="42"/>
  <c r="V325" i="42"/>
  <c r="V323" i="42"/>
  <c r="V336" i="42"/>
  <c r="V332" i="42"/>
  <c r="V326" i="42"/>
  <c r="V328" i="42"/>
  <c r="V334" i="42"/>
  <c r="V324" i="42"/>
  <c r="V320" i="42"/>
  <c r="K355" i="39"/>
  <c r="K354" i="39"/>
  <c r="AU356" i="39"/>
  <c r="K356" i="39"/>
  <c r="G332" i="42"/>
  <c r="G325" i="42"/>
  <c r="BE356" i="39"/>
  <c r="U354" i="39"/>
  <c r="U356" i="39"/>
  <c r="U355" i="39"/>
  <c r="L334" i="42"/>
  <c r="L324" i="42"/>
  <c r="BH142" i="42"/>
  <c r="AN153" i="41"/>
  <c r="BB25" i="43" s="1"/>
  <c r="BE337" i="42"/>
  <c r="BE335" i="42"/>
  <c r="BE333" i="42"/>
  <c r="BE327" i="42"/>
  <c r="BE325" i="42"/>
  <c r="BE323" i="42"/>
  <c r="BE334" i="42"/>
  <c r="BE328" i="42"/>
  <c r="BE324" i="42"/>
  <c r="BE332" i="42"/>
  <c r="BE326" i="42"/>
  <c r="BE336" i="42"/>
  <c r="BE320" i="42"/>
  <c r="R274" i="42"/>
  <c r="X274" i="42"/>
  <c r="K275" i="42"/>
  <c r="AI107" i="38"/>
  <c r="AI116" i="38"/>
  <c r="R107" i="38"/>
  <c r="R116" i="38"/>
  <c r="AQ199" i="42"/>
  <c r="M125" i="38"/>
  <c r="M121" i="38"/>
  <c r="M72" i="38" s="1"/>
  <c r="M97" i="38"/>
  <c r="AE107" i="38"/>
  <c r="AE116" i="38"/>
  <c r="BB327" i="42"/>
  <c r="BP337" i="42"/>
  <c r="BP335" i="42"/>
  <c r="BP333" i="42"/>
  <c r="BP327" i="42"/>
  <c r="BP325" i="42"/>
  <c r="BP323" i="42"/>
  <c r="BP336" i="42"/>
  <c r="BP332" i="42"/>
  <c r="BP326" i="42"/>
  <c r="BP334" i="42"/>
  <c r="BP324" i="42"/>
  <c r="BP328" i="42"/>
  <c r="BP320" i="42"/>
  <c r="J216" i="42"/>
  <c r="T107" i="38"/>
  <c r="L355" i="39"/>
  <c r="L356" i="39"/>
  <c r="AV356" i="39"/>
  <c r="L354" i="39"/>
  <c r="I126" i="38"/>
  <c r="I121" i="38"/>
  <c r="I125" i="38"/>
  <c r="I122" i="38"/>
  <c r="I97" i="38"/>
  <c r="P116" i="38"/>
  <c r="P107" i="38"/>
  <c r="AR335" i="42"/>
  <c r="AR333" i="42"/>
  <c r="AR327" i="42"/>
  <c r="AR323" i="42"/>
  <c r="AR336" i="42"/>
  <c r="AR332" i="42"/>
  <c r="AR328" i="42"/>
  <c r="AR324" i="42"/>
  <c r="AR334" i="42"/>
  <c r="O107" i="38"/>
  <c r="O116" i="38"/>
  <c r="Z199" i="42"/>
  <c r="Z356" i="39"/>
  <c r="Z354" i="39"/>
  <c r="BJ356" i="39"/>
  <c r="Z355" i="39"/>
  <c r="R356" i="39"/>
  <c r="R354" i="39"/>
  <c r="BB356" i="39"/>
  <c r="R355" i="39"/>
  <c r="AG121" i="38"/>
  <c r="AG72" i="38" s="1"/>
  <c r="AG126" i="38"/>
  <c r="AG125" i="38"/>
  <c r="AG122" i="38"/>
  <c r="AG97" i="38"/>
  <c r="AH337" i="42"/>
  <c r="AH335" i="42"/>
  <c r="AH333" i="42"/>
  <c r="AH327" i="42"/>
  <c r="AH325" i="42"/>
  <c r="AH323" i="42"/>
  <c r="AH334" i="42"/>
  <c r="AH328" i="42"/>
  <c r="AH324" i="42"/>
  <c r="AH332" i="42"/>
  <c r="AH320" i="42"/>
  <c r="AH336" i="42"/>
  <c r="AH326" i="42"/>
  <c r="BF126" i="38"/>
  <c r="BF125" i="38"/>
  <c r="BF97" i="38"/>
  <c r="BF121" i="38"/>
  <c r="BF72" i="38" s="1"/>
  <c r="BF122" i="38"/>
  <c r="AX125" i="38"/>
  <c r="AX122" i="38"/>
  <c r="AX121" i="38"/>
  <c r="AX97" i="38"/>
  <c r="AX126" i="38"/>
  <c r="AW356" i="39"/>
  <c r="M354" i="39"/>
  <c r="M355" i="39"/>
  <c r="M356" i="39"/>
  <c r="J356" i="39"/>
  <c r="J354" i="39"/>
  <c r="AT356" i="39"/>
  <c r="J355" i="39"/>
  <c r="J199" i="42"/>
  <c r="W122" i="38"/>
  <c r="W121" i="38"/>
  <c r="W126" i="38"/>
  <c r="W125" i="38"/>
  <c r="W97" i="38"/>
  <c r="L116" i="38"/>
  <c r="BH335" i="42"/>
  <c r="BH333" i="42"/>
  <c r="BH327" i="42"/>
  <c r="BH323" i="42"/>
  <c r="BH336" i="42"/>
  <c r="BH332" i="42"/>
  <c r="BH328" i="42"/>
  <c r="BH334" i="42"/>
  <c r="BH324" i="42"/>
  <c r="U125" i="38"/>
  <c r="U121" i="38"/>
  <c r="U72" i="38" s="1"/>
  <c r="U122" i="38"/>
  <c r="U126" i="38"/>
  <c r="U97" i="38"/>
  <c r="BG336" i="42"/>
  <c r="BG334" i="42"/>
  <c r="BG332" i="42"/>
  <c r="BG328" i="42"/>
  <c r="BG326" i="42"/>
  <c r="BG324" i="42"/>
  <c r="BG337" i="42"/>
  <c r="BG333" i="42"/>
  <c r="BG327" i="42"/>
  <c r="BG323" i="42"/>
  <c r="BG335" i="42"/>
  <c r="BG325" i="42"/>
  <c r="BG320" i="42"/>
  <c r="P336" i="42"/>
  <c r="P334" i="42"/>
  <c r="P332" i="42"/>
  <c r="P326" i="42"/>
  <c r="P324" i="42"/>
  <c r="P335" i="42"/>
  <c r="P325" i="42"/>
  <c r="P327" i="42"/>
  <c r="P333" i="42"/>
  <c r="P323" i="42"/>
  <c r="P320" i="42"/>
  <c r="X355" i="39"/>
  <c r="X354" i="39"/>
  <c r="X356" i="39"/>
  <c r="BH356" i="39"/>
  <c r="AH356" i="39"/>
  <c r="AH354" i="39"/>
  <c r="BR356" i="39"/>
  <c r="AH355" i="39"/>
  <c r="R337" i="42"/>
  <c r="R335" i="42"/>
  <c r="R333" i="42"/>
  <c r="R327" i="42"/>
  <c r="R325" i="42"/>
  <c r="R323" i="42"/>
  <c r="R334" i="42"/>
  <c r="R328" i="42"/>
  <c r="R324" i="42"/>
  <c r="R332" i="42"/>
  <c r="R320" i="42"/>
  <c r="R326" i="42"/>
  <c r="R336" i="42"/>
  <c r="AA336" i="42"/>
  <c r="AA334" i="42"/>
  <c r="AA332" i="42"/>
  <c r="AA328" i="42"/>
  <c r="AA326" i="42"/>
  <c r="AA324" i="42"/>
  <c r="AA337" i="42"/>
  <c r="AA333" i="42"/>
  <c r="AA327" i="42"/>
  <c r="AA323" i="42"/>
  <c r="AA335" i="42"/>
  <c r="AA325" i="42"/>
  <c r="AA320" i="42"/>
  <c r="AT122" i="38"/>
  <c r="AT121" i="38"/>
  <c r="AT72" i="38" s="1"/>
  <c r="AT126" i="38"/>
  <c r="AT125" i="38"/>
  <c r="AT97" i="38"/>
  <c r="AU216" i="42"/>
  <c r="Y116" i="38"/>
  <c r="Y107" i="38"/>
  <c r="AQ336" i="42"/>
  <c r="AQ334" i="42"/>
  <c r="AQ332" i="42"/>
  <c r="AQ326" i="42"/>
  <c r="AQ324" i="42"/>
  <c r="AQ337" i="42"/>
  <c r="AQ333" i="42"/>
  <c r="AQ327" i="42"/>
  <c r="AQ323" i="42"/>
  <c r="AQ335" i="42"/>
  <c r="AQ325" i="42"/>
  <c r="AQ320" i="42"/>
  <c r="AQ216" i="42"/>
  <c r="J337" i="42"/>
  <c r="J333" i="42"/>
  <c r="J327" i="42"/>
  <c r="J325" i="42"/>
  <c r="J334" i="42"/>
  <c r="J328" i="42"/>
  <c r="J324" i="42"/>
  <c r="J326" i="42"/>
  <c r="J332" i="42"/>
  <c r="J320" i="42"/>
  <c r="AI355" i="39"/>
  <c r="AI354" i="39"/>
  <c r="BS356" i="39"/>
  <c r="AI356" i="39"/>
  <c r="BR121" i="38"/>
  <c r="BR97" i="38"/>
  <c r="BR122" i="38"/>
  <c r="BR125" i="38"/>
  <c r="BR126" i="38"/>
  <c r="AA122" i="38"/>
  <c r="AA121" i="38"/>
  <c r="AA72" i="38" s="1"/>
  <c r="AA97" i="38"/>
  <c r="AA126" i="38"/>
  <c r="AA125" i="38"/>
  <c r="BK142" i="42"/>
  <c r="CU28" i="43"/>
  <c r="BL31" i="39"/>
  <c r="DU306" i="39" s="1"/>
  <c r="Z337" i="42"/>
  <c r="Z335" i="42"/>
  <c r="Z327" i="42"/>
  <c r="Z325" i="42"/>
  <c r="Z323" i="42"/>
  <c r="Z328" i="42"/>
  <c r="Z324" i="42"/>
  <c r="Z336" i="42"/>
  <c r="Z320" i="42"/>
  <c r="Z332" i="42"/>
  <c r="CT19" i="43"/>
  <c r="BB142" i="42"/>
  <c r="AB153" i="41"/>
  <c r="BB19" i="43" s="1"/>
  <c r="BC31" i="39"/>
  <c r="DC306" i="39" s="1"/>
  <c r="T355" i="39"/>
  <c r="BD356" i="39"/>
  <c r="T356" i="39"/>
  <c r="T354" i="39"/>
  <c r="P355" i="39"/>
  <c r="P354" i="39"/>
  <c r="AZ356" i="39"/>
  <c r="P356" i="39"/>
  <c r="AC125" i="38"/>
  <c r="AC122" i="38"/>
  <c r="AC126" i="38"/>
  <c r="AC121" i="38"/>
  <c r="AC72" i="38" s="1"/>
  <c r="AC97" i="38"/>
  <c r="Q121" i="38"/>
  <c r="Q125" i="38"/>
  <c r="Q122" i="38"/>
  <c r="Q126" i="38"/>
  <c r="Q97" i="38"/>
  <c r="AX336" i="42"/>
  <c r="AX334" i="42"/>
  <c r="AX332" i="42"/>
  <c r="AX328" i="42"/>
  <c r="AX326" i="42"/>
  <c r="AX324" i="42"/>
  <c r="AX337" i="42"/>
  <c r="AX333" i="42"/>
  <c r="AX327" i="42"/>
  <c r="AX323" i="42"/>
  <c r="AX325" i="42"/>
  <c r="AX335" i="42"/>
  <c r="AX320" i="42"/>
  <c r="AW125" i="38"/>
  <c r="AW121" i="38"/>
  <c r="AW122" i="38"/>
  <c r="AW97" i="38"/>
  <c r="AW126" i="38"/>
  <c r="BK336" i="42"/>
  <c r="BK334" i="42"/>
  <c r="BK328" i="42"/>
  <c r="BK326" i="42"/>
  <c r="BK324" i="42"/>
  <c r="BK325" i="42"/>
  <c r="BK333" i="42"/>
  <c r="BK323" i="42"/>
  <c r="BK337" i="42"/>
  <c r="BK320" i="42"/>
  <c r="N216" i="42"/>
  <c r="BB233" i="42"/>
  <c r="AS125" i="38"/>
  <c r="AS121" i="38"/>
  <c r="AS126" i="38"/>
  <c r="AS97" i="38"/>
  <c r="AS122" i="38"/>
  <c r="AU126" i="38"/>
  <c r="AU122" i="38"/>
  <c r="AU125" i="38"/>
  <c r="AU97" i="38"/>
  <c r="AU121" i="38"/>
  <c r="BM356" i="39"/>
  <c r="AC354" i="39"/>
  <c r="AC356" i="39"/>
  <c r="AC355" i="39"/>
  <c r="G122" i="38"/>
  <c r="G121" i="38"/>
  <c r="G126" i="38"/>
  <c r="G125" i="38"/>
  <c r="G97" i="38"/>
  <c r="BQ125" i="38"/>
  <c r="BQ121" i="38"/>
  <c r="BQ97" i="38"/>
  <c r="BQ126" i="38"/>
  <c r="BQ122" i="38"/>
  <c r="N107" i="38"/>
  <c r="N116" i="38"/>
  <c r="BM337" i="42"/>
  <c r="BM335" i="42"/>
  <c r="BM333" i="42"/>
  <c r="BM327" i="42"/>
  <c r="BM325" i="42"/>
  <c r="BM323" i="42"/>
  <c r="BM334" i="42"/>
  <c r="BM328" i="42"/>
  <c r="BM324" i="42"/>
  <c r="BM336" i="42"/>
  <c r="BM326" i="42"/>
  <c r="BM332" i="42"/>
  <c r="BM320" i="42"/>
  <c r="R216" i="42"/>
  <c r="BG199" i="42"/>
  <c r="W107" i="38"/>
  <c r="W116" i="38"/>
  <c r="AS356" i="39"/>
  <c r="I356" i="39"/>
  <c r="I355" i="39"/>
  <c r="I354" i="39"/>
  <c r="AB126" i="38"/>
  <c r="AB122" i="38"/>
  <c r="AB121" i="38"/>
  <c r="AB72" i="38" s="1"/>
  <c r="AB97" i="38"/>
  <c r="AB125" i="38"/>
  <c r="AB73" i="38" s="1"/>
  <c r="BE125" i="38"/>
  <c r="BE121" i="38"/>
  <c r="BE72" i="38" s="1"/>
  <c r="BE97" i="38"/>
  <c r="BE122" i="38"/>
  <c r="BE126" i="38"/>
  <c r="BN333" i="42"/>
  <c r="BN325" i="42"/>
  <c r="G356" i="39"/>
  <c r="AQ356" i="39"/>
  <c r="G354" i="39"/>
  <c r="G355" i="39"/>
  <c r="BJ122" i="38"/>
  <c r="BJ121" i="38"/>
  <c r="BJ126" i="38"/>
  <c r="BJ125" i="38"/>
  <c r="BJ97" i="38"/>
  <c r="AA355" i="39"/>
  <c r="AA354" i="39"/>
  <c r="AA356" i="39"/>
  <c r="AA398" i="39" s="1"/>
  <c r="BK356" i="39"/>
  <c r="AF126" i="38"/>
  <c r="AF122" i="38"/>
  <c r="AF97" i="38"/>
  <c r="AF125" i="38"/>
  <c r="AF121" i="38"/>
  <c r="H126" i="38"/>
  <c r="H122" i="38"/>
  <c r="H125" i="38"/>
  <c r="H97" i="38"/>
  <c r="H121" i="38"/>
  <c r="H72" i="38" s="1"/>
  <c r="W356" i="39"/>
  <c r="BG356" i="39"/>
  <c r="W355" i="39"/>
  <c r="W354" i="39"/>
  <c r="AU199" i="42"/>
  <c r="BL337" i="42"/>
  <c r="BL335" i="42"/>
  <c r="BL333" i="42"/>
  <c r="BL325" i="42"/>
  <c r="BL323" i="42"/>
  <c r="BL334" i="42"/>
  <c r="BL324" i="42"/>
  <c r="BL336" i="42"/>
  <c r="BL326" i="42"/>
  <c r="BL320" i="42"/>
  <c r="CU19" i="43"/>
  <c r="BL34" i="39"/>
  <c r="DU309" i="39" s="1"/>
  <c r="CT28" i="43"/>
  <c r="AQ30" i="43"/>
  <c r="AP30" i="43"/>
  <c r="AR30" i="43"/>
  <c r="CV7" i="43"/>
  <c r="W389" i="39"/>
  <c r="W380" i="39"/>
  <c r="AA399" i="39"/>
  <c r="AA395" i="39"/>
  <c r="AA370" i="39"/>
  <c r="AA394" i="39"/>
  <c r="P398" i="39"/>
  <c r="P394" i="39"/>
  <c r="P370" i="39"/>
  <c r="P399" i="39"/>
  <c r="P395" i="39"/>
  <c r="T389" i="39"/>
  <c r="T380" i="39"/>
  <c r="BR115" i="38"/>
  <c r="BR106" i="38"/>
  <c r="BR105" i="38"/>
  <c r="BR112" i="38"/>
  <c r="BR101" i="38"/>
  <c r="BR110" i="38"/>
  <c r="BR111" i="38"/>
  <c r="BR102" i="38"/>
  <c r="BR114" i="38"/>
  <c r="BR113" i="38"/>
  <c r="BR103" i="38"/>
  <c r="BR104" i="38"/>
  <c r="AQ217" i="42"/>
  <c r="X398" i="39"/>
  <c r="X394" i="39"/>
  <c r="X370" i="39"/>
  <c r="X399" i="39"/>
  <c r="X395" i="39"/>
  <c r="AT399" i="39"/>
  <c r="AT395" i="39"/>
  <c r="AT394" i="39"/>
  <c r="AT345" i="39" s="1"/>
  <c r="AT398" i="39"/>
  <c r="AT370" i="39"/>
  <c r="AG111" i="38"/>
  <c r="AG110" i="38"/>
  <c r="AG101" i="38"/>
  <c r="AG115" i="38"/>
  <c r="AG105" i="38"/>
  <c r="AG104" i="38"/>
  <c r="AG113" i="38"/>
  <c r="AG112" i="38"/>
  <c r="AG103" i="38"/>
  <c r="AG102" i="38"/>
  <c r="AG114" i="38"/>
  <c r="AG106" i="38"/>
  <c r="AG98" i="38"/>
  <c r="R399" i="39"/>
  <c r="R395" i="39"/>
  <c r="R398" i="39"/>
  <c r="R370" i="39"/>
  <c r="R394" i="39"/>
  <c r="Z399" i="39"/>
  <c r="Z395" i="39"/>
  <c r="Z398" i="39"/>
  <c r="Z370" i="39"/>
  <c r="Z394" i="39"/>
  <c r="Z200" i="42"/>
  <c r="L398" i="39"/>
  <c r="L394" i="39"/>
  <c r="L370" i="39"/>
  <c r="L395" i="39"/>
  <c r="L399" i="39"/>
  <c r="M113" i="38"/>
  <c r="M112" i="38"/>
  <c r="M103" i="38"/>
  <c r="M102" i="38"/>
  <c r="M115" i="38"/>
  <c r="M114" i="38"/>
  <c r="M105" i="38"/>
  <c r="M104" i="38"/>
  <c r="M106" i="38"/>
  <c r="M110" i="38"/>
  <c r="M101" i="38"/>
  <c r="M111" i="38"/>
  <c r="M98" i="38"/>
  <c r="BI113" i="38"/>
  <c r="BI111" i="38"/>
  <c r="BI105" i="38"/>
  <c r="BI103" i="38"/>
  <c r="BI101" i="38"/>
  <c r="BI110" i="38"/>
  <c r="BI104" i="38"/>
  <c r="BI112" i="38"/>
  <c r="BI102" i="38"/>
  <c r="BI114" i="38"/>
  <c r="BG114" i="38"/>
  <c r="BG112" i="38"/>
  <c r="BG110" i="38"/>
  <c r="BG104" i="38"/>
  <c r="BG102" i="38"/>
  <c r="BG105" i="38"/>
  <c r="BG101" i="38"/>
  <c r="BG111" i="38"/>
  <c r="BG103" i="38"/>
  <c r="BG113" i="38"/>
  <c r="BC398" i="39"/>
  <c r="BC394" i="39"/>
  <c r="BC370" i="39"/>
  <c r="BC399" i="39"/>
  <c r="BC395" i="39"/>
  <c r="V115" i="38"/>
  <c r="V113" i="38"/>
  <c r="V111" i="38"/>
  <c r="V105" i="38"/>
  <c r="V103" i="38"/>
  <c r="V101" i="38"/>
  <c r="V110" i="38"/>
  <c r="V104" i="38"/>
  <c r="V112" i="38"/>
  <c r="V102" i="38"/>
  <c r="V114" i="38"/>
  <c r="V106" i="38"/>
  <c r="V98" i="38"/>
  <c r="AB380" i="39"/>
  <c r="AB389" i="39"/>
  <c r="BB105" i="38"/>
  <c r="BB112" i="38"/>
  <c r="BB111" i="38"/>
  <c r="BB102" i="38"/>
  <c r="BB110" i="38"/>
  <c r="BB101" i="38"/>
  <c r="BB103" i="38"/>
  <c r="BB114" i="38"/>
  <c r="BB113" i="38"/>
  <c r="BB104" i="38"/>
  <c r="Q398" i="39"/>
  <c r="Q394" i="39"/>
  <c r="Q370" i="39"/>
  <c r="Q399" i="39"/>
  <c r="Q395" i="39"/>
  <c r="AR112" i="38"/>
  <c r="AR103" i="38"/>
  <c r="AR102" i="38"/>
  <c r="AR111" i="38"/>
  <c r="AR110" i="38"/>
  <c r="AR101" i="38"/>
  <c r="AR113" i="38"/>
  <c r="AR104" i="38"/>
  <c r="AR114" i="38"/>
  <c r="AR105" i="38"/>
  <c r="AY398" i="39"/>
  <c r="AY394" i="39"/>
  <c r="AY345" i="39" s="1"/>
  <c r="AY370" i="39"/>
  <c r="AY395" i="39"/>
  <c r="AY399" i="39"/>
  <c r="BL114" i="38"/>
  <c r="BL105" i="38"/>
  <c r="BL104" i="38"/>
  <c r="BL111" i="38"/>
  <c r="BL110" i="38"/>
  <c r="BL101" i="38"/>
  <c r="BL113" i="38"/>
  <c r="BL103" i="38"/>
  <c r="BL102" i="38"/>
  <c r="BL112" i="38"/>
  <c r="H389" i="39"/>
  <c r="H380" i="39"/>
  <c r="N399" i="39"/>
  <c r="N395" i="39"/>
  <c r="N394" i="39"/>
  <c r="N398" i="39"/>
  <c r="N370" i="39"/>
  <c r="AI114" i="38"/>
  <c r="AI113" i="38"/>
  <c r="AI104" i="38"/>
  <c r="AI103" i="38"/>
  <c r="AI115" i="38"/>
  <c r="AI106" i="38"/>
  <c r="AI105" i="38"/>
  <c r="AI110" i="38"/>
  <c r="AI101" i="38"/>
  <c r="AI112" i="38"/>
  <c r="AI111" i="38"/>
  <c r="AI102" i="38"/>
  <c r="AI98" i="38"/>
  <c r="BA113" i="38"/>
  <c r="BA111" i="38"/>
  <c r="BA105" i="38"/>
  <c r="BA103" i="38"/>
  <c r="BA101" i="38"/>
  <c r="BA114" i="38"/>
  <c r="BA104" i="38"/>
  <c r="BA110" i="38"/>
  <c r="BA102" i="38"/>
  <c r="BA112" i="38"/>
  <c r="BM113" i="38"/>
  <c r="BM111" i="38"/>
  <c r="BM105" i="38"/>
  <c r="BM103" i="38"/>
  <c r="BM101" i="38"/>
  <c r="BM112" i="38"/>
  <c r="BM102" i="38"/>
  <c r="BM110" i="38"/>
  <c r="BM104" i="38"/>
  <c r="BM114" i="38"/>
  <c r="Y380" i="39"/>
  <c r="Y389" i="39"/>
  <c r="BO398" i="39"/>
  <c r="BO394" i="39"/>
  <c r="BO345" i="39" s="1"/>
  <c r="BO370" i="39"/>
  <c r="BO395" i="39"/>
  <c r="BO399" i="39"/>
  <c r="BK114" i="38"/>
  <c r="BK112" i="38"/>
  <c r="BK110" i="38"/>
  <c r="BK104" i="38"/>
  <c r="BK102" i="38"/>
  <c r="BK113" i="38"/>
  <c r="BK103" i="38"/>
  <c r="BK105" i="38"/>
  <c r="BK101" i="38"/>
  <c r="BK111" i="38"/>
  <c r="BG398" i="39"/>
  <c r="BG394" i="39"/>
  <c r="BG370" i="39"/>
  <c r="BG395" i="39"/>
  <c r="BG399" i="39"/>
  <c r="BJ112" i="38"/>
  <c r="BJ111" i="38"/>
  <c r="BJ102" i="38"/>
  <c r="BJ101" i="38"/>
  <c r="BJ115" i="38"/>
  <c r="BJ105" i="38"/>
  <c r="BJ114" i="38"/>
  <c r="BJ113" i="38"/>
  <c r="BJ104" i="38"/>
  <c r="BJ103" i="38"/>
  <c r="BJ106" i="38"/>
  <c r="BJ110" i="38"/>
  <c r="G399" i="39"/>
  <c r="G395" i="39"/>
  <c r="G394" i="39"/>
  <c r="G398" i="39"/>
  <c r="G370" i="39"/>
  <c r="BE115" i="38"/>
  <c r="BE113" i="38"/>
  <c r="BE111" i="38"/>
  <c r="BE105" i="38"/>
  <c r="BE103" i="38"/>
  <c r="BE101" i="38"/>
  <c r="BE112" i="38"/>
  <c r="BE102" i="38"/>
  <c r="BE106" i="38"/>
  <c r="BE114" i="38"/>
  <c r="BE104" i="38"/>
  <c r="BE110" i="38"/>
  <c r="AB114" i="38"/>
  <c r="AB112" i="38"/>
  <c r="AB110" i="38"/>
  <c r="AB106" i="38"/>
  <c r="AB104" i="38"/>
  <c r="AB102" i="38"/>
  <c r="AB111" i="38"/>
  <c r="AB101" i="38"/>
  <c r="AB113" i="38"/>
  <c r="AB103" i="38"/>
  <c r="AB115" i="38"/>
  <c r="AB105" i="38"/>
  <c r="AB98" i="38"/>
  <c r="AS399" i="39"/>
  <c r="AS395" i="39"/>
  <c r="AS394" i="39"/>
  <c r="AS398" i="39"/>
  <c r="AS370" i="39"/>
  <c r="BM399" i="39"/>
  <c r="BM395" i="39"/>
  <c r="BM398" i="39"/>
  <c r="BM370" i="39"/>
  <c r="BM394" i="39"/>
  <c r="BM345" i="39" s="1"/>
  <c r="AU112" i="38"/>
  <c r="AU102" i="38"/>
  <c r="AU105" i="38"/>
  <c r="N217" i="42"/>
  <c r="AC113" i="38"/>
  <c r="AC112" i="38"/>
  <c r="AC103" i="38"/>
  <c r="AC102" i="38"/>
  <c r="AC115" i="38"/>
  <c r="AC114" i="38"/>
  <c r="AC105" i="38"/>
  <c r="AC104" i="38"/>
  <c r="AC106" i="38"/>
  <c r="AC110" i="38"/>
  <c r="AC101" i="38"/>
  <c r="AC111" i="38"/>
  <c r="AC98" i="38"/>
  <c r="AZ398" i="39"/>
  <c r="AZ394" i="39"/>
  <c r="AZ370" i="39"/>
  <c r="AZ395" i="39"/>
  <c r="AZ399" i="39"/>
  <c r="AB156" i="41"/>
  <c r="BD19" i="43" s="1"/>
  <c r="BC34" i="39"/>
  <c r="DC309" i="39" s="1"/>
  <c r="AX110" i="38"/>
  <c r="AX113" i="38"/>
  <c r="AX104" i="38"/>
  <c r="AX112" i="38"/>
  <c r="AX111" i="38"/>
  <c r="AX102" i="38"/>
  <c r="AX101" i="38"/>
  <c r="AX114" i="38"/>
  <c r="AX103" i="38"/>
  <c r="AX105" i="38"/>
  <c r="R380" i="39"/>
  <c r="R389" i="39"/>
  <c r="Z389" i="39"/>
  <c r="Z380" i="39"/>
  <c r="I115" i="38"/>
  <c r="I114" i="38"/>
  <c r="I105" i="38"/>
  <c r="I104" i="38"/>
  <c r="I106" i="38"/>
  <c r="I111" i="38"/>
  <c r="I110" i="38"/>
  <c r="I101" i="38"/>
  <c r="I112" i="38"/>
  <c r="I103" i="38"/>
  <c r="I113" i="38"/>
  <c r="I102" i="38"/>
  <c r="I98" i="38"/>
  <c r="L380" i="39"/>
  <c r="L389" i="39"/>
  <c r="J217" i="42"/>
  <c r="BE399" i="39"/>
  <c r="BE395" i="39"/>
  <c r="BE398" i="39"/>
  <c r="BE370" i="39"/>
  <c r="BE394" i="39"/>
  <c r="BE345" i="39" s="1"/>
  <c r="K389" i="39"/>
  <c r="K380" i="39"/>
  <c r="AH115" i="38"/>
  <c r="AH113" i="38"/>
  <c r="AH111" i="38"/>
  <c r="AH105" i="38"/>
  <c r="AH103" i="38"/>
  <c r="AH101" i="38"/>
  <c r="AH112" i="38"/>
  <c r="AH102" i="38"/>
  <c r="AH106" i="38"/>
  <c r="AH114" i="38"/>
  <c r="AH104" i="38"/>
  <c r="AH110" i="38"/>
  <c r="AH98" i="38"/>
  <c r="J115" i="38"/>
  <c r="J113" i="38"/>
  <c r="J111" i="38"/>
  <c r="J105" i="38"/>
  <c r="J103" i="38"/>
  <c r="J101" i="38"/>
  <c r="J106" i="38"/>
  <c r="J112" i="38"/>
  <c r="J110" i="38"/>
  <c r="J102" i="38"/>
  <c r="J104" i="38"/>
  <c r="J114" i="38"/>
  <c r="J98" i="38"/>
  <c r="AQ427" i="42"/>
  <c r="AS426" i="42"/>
  <c r="AR426" i="42"/>
  <c r="S399" i="39"/>
  <c r="S395" i="39"/>
  <c r="S398" i="39"/>
  <c r="S370" i="39"/>
  <c r="S394" i="39"/>
  <c r="AF380" i="39"/>
  <c r="AF389" i="39"/>
  <c r="AQ114" i="38"/>
  <c r="AQ112" i="38"/>
  <c r="AQ110" i="38"/>
  <c r="AQ104" i="38"/>
  <c r="AQ102" i="38"/>
  <c r="AQ115" i="38"/>
  <c r="AQ105" i="38"/>
  <c r="AQ111" i="38"/>
  <c r="AQ101" i="38"/>
  <c r="AQ113" i="38"/>
  <c r="AQ103" i="38"/>
  <c r="O115" i="38"/>
  <c r="O106" i="38"/>
  <c r="O105" i="38"/>
  <c r="O112" i="38"/>
  <c r="O111" i="38"/>
  <c r="O102" i="38"/>
  <c r="O101" i="38"/>
  <c r="O110" i="38"/>
  <c r="O113" i="38"/>
  <c r="O104" i="38"/>
  <c r="O114" i="38"/>
  <c r="O103" i="38"/>
  <c r="O98" i="38"/>
  <c r="K110" i="38"/>
  <c r="K104" i="38"/>
  <c r="K103" i="38"/>
  <c r="K112" i="38"/>
  <c r="K111" i="38"/>
  <c r="K102" i="38"/>
  <c r="K101" i="38"/>
  <c r="K114" i="38"/>
  <c r="K113" i="38"/>
  <c r="K106" i="38"/>
  <c r="K105" i="38"/>
  <c r="K115" i="38"/>
  <c r="K98" i="38"/>
  <c r="V399" i="39"/>
  <c r="V395" i="39"/>
  <c r="V394" i="39"/>
  <c r="V398" i="39"/>
  <c r="V370" i="39"/>
  <c r="BS114" i="38"/>
  <c r="BS112" i="38"/>
  <c r="BS110" i="38"/>
  <c r="BS104" i="38"/>
  <c r="BS102" i="38"/>
  <c r="BS113" i="38"/>
  <c r="BS111" i="38"/>
  <c r="BS101" i="38"/>
  <c r="BS103" i="38"/>
  <c r="BS105" i="38"/>
  <c r="BA399" i="39"/>
  <c r="BA395" i="39"/>
  <c r="BA394" i="39"/>
  <c r="BA398" i="39"/>
  <c r="BA370" i="39"/>
  <c r="Y115" i="38"/>
  <c r="Y114" i="38"/>
  <c r="Y105" i="38"/>
  <c r="Y104" i="38"/>
  <c r="Y101" i="38"/>
  <c r="Y106" i="38"/>
  <c r="Y111" i="38"/>
  <c r="Y110" i="38"/>
  <c r="Y102" i="38"/>
  <c r="Y112" i="38"/>
  <c r="Y103" i="38"/>
  <c r="Y113" i="38"/>
  <c r="Y98" i="38"/>
  <c r="F200" i="42"/>
  <c r="BP113" i="38"/>
  <c r="BP112" i="38"/>
  <c r="BP103" i="38"/>
  <c r="BP102" i="38"/>
  <c r="BP114" i="38"/>
  <c r="BP105" i="38"/>
  <c r="BP104" i="38"/>
  <c r="BP110" i="38"/>
  <c r="BP101" i="38"/>
  <c r="BP111" i="38"/>
  <c r="O389" i="39"/>
  <c r="O380" i="39"/>
  <c r="AK87" i="38"/>
  <c r="AR398" i="39"/>
  <c r="AR394" i="39"/>
  <c r="AR370" i="39"/>
  <c r="AR399" i="39"/>
  <c r="AR395" i="39"/>
  <c r="AX399" i="39"/>
  <c r="AX395" i="39"/>
  <c r="AX370" i="39"/>
  <c r="AX398" i="39"/>
  <c r="AX394" i="39"/>
  <c r="R115" i="38"/>
  <c r="R113" i="38"/>
  <c r="R111" i="38"/>
  <c r="R105" i="38"/>
  <c r="R103" i="38"/>
  <c r="R101" i="38"/>
  <c r="R112" i="38"/>
  <c r="R102" i="38"/>
  <c r="R106" i="38"/>
  <c r="R114" i="38"/>
  <c r="R104" i="38"/>
  <c r="R110" i="38"/>
  <c r="R98" i="38"/>
  <c r="Y398" i="39"/>
  <c r="Y394" i="39"/>
  <c r="Y370" i="39"/>
  <c r="Y399" i="39"/>
  <c r="Y395" i="39"/>
  <c r="AF114" i="38"/>
  <c r="AF112" i="38"/>
  <c r="AF110" i="38"/>
  <c r="AF106" i="38"/>
  <c r="AF104" i="38"/>
  <c r="AF102" i="38"/>
  <c r="AF113" i="38"/>
  <c r="AF103" i="38"/>
  <c r="AF111" i="38"/>
  <c r="AF101" i="38"/>
  <c r="AF115" i="38"/>
  <c r="AF105" i="38"/>
  <c r="AF98" i="38"/>
  <c r="AQ398" i="39"/>
  <c r="AQ394" i="39"/>
  <c r="AQ345" i="39" s="1"/>
  <c r="AQ370" i="39"/>
  <c r="AQ395" i="39"/>
  <c r="AQ399" i="39"/>
  <c r="I398" i="39"/>
  <c r="I394" i="39"/>
  <c r="I370" i="39"/>
  <c r="I399" i="39"/>
  <c r="I395" i="39"/>
  <c r="BG200" i="42"/>
  <c r="BQ113" i="38"/>
  <c r="BQ111" i="38"/>
  <c r="BQ105" i="38"/>
  <c r="BQ103" i="38"/>
  <c r="BQ101" i="38"/>
  <c r="BQ114" i="38"/>
  <c r="BQ104" i="38"/>
  <c r="BQ110" i="38"/>
  <c r="BQ102" i="38"/>
  <c r="BQ112" i="38"/>
  <c r="BK233" i="42"/>
  <c r="BK146" i="42"/>
  <c r="BL35" i="39"/>
  <c r="DU310" i="39" s="1"/>
  <c r="BS398" i="39"/>
  <c r="BS394" i="39"/>
  <c r="BS370" i="39"/>
  <c r="BS399" i="39"/>
  <c r="BS395" i="39"/>
  <c r="AU217" i="42"/>
  <c r="BR399" i="39"/>
  <c r="BR395" i="39"/>
  <c r="BR398" i="39"/>
  <c r="BR394" i="39"/>
  <c r="BR345" i="39" s="1"/>
  <c r="BR370" i="39"/>
  <c r="J200" i="42"/>
  <c r="M389" i="39"/>
  <c r="M380" i="39"/>
  <c r="AU200" i="42"/>
  <c r="W399" i="39"/>
  <c r="W395" i="39"/>
  <c r="W394" i="39"/>
  <c r="W370" i="39"/>
  <c r="W398" i="39"/>
  <c r="W346" i="39" s="1"/>
  <c r="H114" i="38"/>
  <c r="H112" i="38"/>
  <c r="H110" i="38"/>
  <c r="H106" i="38"/>
  <c r="H104" i="38"/>
  <c r="H102" i="38"/>
  <c r="H113" i="38"/>
  <c r="H103" i="38"/>
  <c r="H115" i="38"/>
  <c r="H105" i="38"/>
  <c r="H111" i="38"/>
  <c r="H101" i="38"/>
  <c r="H98" i="38"/>
  <c r="AA389" i="39"/>
  <c r="AA380" i="39"/>
  <c r="AA348" i="39"/>
  <c r="G379" i="39"/>
  <c r="G389" i="39"/>
  <c r="G380" i="39"/>
  <c r="G112" i="38"/>
  <c r="G111" i="38"/>
  <c r="G102" i="38"/>
  <c r="G101" i="38"/>
  <c r="G105" i="38"/>
  <c r="G114" i="38"/>
  <c r="G113" i="38"/>
  <c r="G104" i="38"/>
  <c r="G103" i="38"/>
  <c r="G115" i="38"/>
  <c r="G110" i="38"/>
  <c r="G98" i="38"/>
  <c r="AC389" i="39"/>
  <c r="AC380" i="39"/>
  <c r="AC348" i="39"/>
  <c r="AS115" i="38"/>
  <c r="AS111" i="38"/>
  <c r="AS103" i="38"/>
  <c r="AS110" i="38"/>
  <c r="AS112" i="38"/>
  <c r="AS104" i="38"/>
  <c r="AW115" i="38"/>
  <c r="AW113" i="38"/>
  <c r="AW111" i="38"/>
  <c r="AW105" i="38"/>
  <c r="AW103" i="38"/>
  <c r="AW101" i="38"/>
  <c r="AW106" i="38"/>
  <c r="AW110" i="38"/>
  <c r="AW112" i="38"/>
  <c r="AW102" i="38"/>
  <c r="AW114" i="38"/>
  <c r="AW104" i="38"/>
  <c r="Q111" i="38"/>
  <c r="Q110" i="38"/>
  <c r="Q101" i="38"/>
  <c r="Q114" i="38"/>
  <c r="Q105" i="38"/>
  <c r="Q113" i="38"/>
  <c r="Q112" i="38"/>
  <c r="Q103" i="38"/>
  <c r="Q102" i="38"/>
  <c r="Q115" i="38"/>
  <c r="Q104" i="38"/>
  <c r="Q106" i="38"/>
  <c r="Q98" i="38"/>
  <c r="T398" i="39"/>
  <c r="T394" i="39"/>
  <c r="T370" i="39"/>
  <c r="T395" i="39"/>
  <c r="T399" i="39"/>
  <c r="BB146" i="42"/>
  <c r="AB157" i="41"/>
  <c r="BE19" i="43" s="1"/>
  <c r="BC35" i="39"/>
  <c r="DC310" i="39"/>
  <c r="AA110" i="38"/>
  <c r="AA114" i="38"/>
  <c r="AA113" i="38"/>
  <c r="AA112" i="38"/>
  <c r="AA111" i="38"/>
  <c r="AA102" i="38"/>
  <c r="AA101" i="38"/>
  <c r="AA104" i="38"/>
  <c r="AA103" i="38"/>
  <c r="AA115" i="38"/>
  <c r="AA106" i="38"/>
  <c r="AA105" i="38"/>
  <c r="AA98" i="38"/>
  <c r="AI380" i="39"/>
  <c r="AI389" i="39"/>
  <c r="AT112" i="38"/>
  <c r="AT111" i="38"/>
  <c r="AT102" i="38"/>
  <c r="AT101" i="38"/>
  <c r="AT114" i="38"/>
  <c r="AT113" i="38"/>
  <c r="AT104" i="38"/>
  <c r="AT103" i="38"/>
  <c r="AT115" i="38"/>
  <c r="AT106" i="38"/>
  <c r="AT105" i="38"/>
  <c r="AT110" i="38"/>
  <c r="AH399" i="39"/>
  <c r="AH395" i="39"/>
  <c r="AH398" i="39"/>
  <c r="AH370" i="39"/>
  <c r="AH394" i="39"/>
  <c r="X380" i="39"/>
  <c r="X389" i="39"/>
  <c r="J399" i="39"/>
  <c r="J395" i="39"/>
  <c r="J398" i="39"/>
  <c r="J370" i="39"/>
  <c r="J394" i="39"/>
  <c r="AW399" i="39"/>
  <c r="AW395" i="39"/>
  <c r="AW398" i="39"/>
  <c r="AW370" i="39"/>
  <c r="AW394" i="39"/>
  <c r="AW345" i="39" s="1"/>
  <c r="BB399" i="39"/>
  <c r="BB395" i="39"/>
  <c r="BB394" i="39"/>
  <c r="BB370" i="39"/>
  <c r="BB398" i="39"/>
  <c r="BB346" i="39" s="1"/>
  <c r="BJ399" i="39"/>
  <c r="BJ395" i="39"/>
  <c r="BJ394" i="39"/>
  <c r="BJ345" i="39" s="1"/>
  <c r="BJ370" i="39"/>
  <c r="BJ398" i="39"/>
  <c r="BJ346" i="39" s="1"/>
  <c r="AQ200" i="42"/>
  <c r="U380" i="39"/>
  <c r="U389" i="39"/>
  <c r="K399" i="39"/>
  <c r="K395" i="39"/>
  <c r="K370" i="39"/>
  <c r="K398" i="39"/>
  <c r="K394" i="39"/>
  <c r="N200" i="42"/>
  <c r="N201" i="42" s="1"/>
  <c r="B47" i="40"/>
  <c r="B15" i="40"/>
  <c r="B16" i="40" s="1"/>
  <c r="AF398" i="39"/>
  <c r="AF394" i="39"/>
  <c r="AF370" i="39"/>
  <c r="AF399" i="39"/>
  <c r="AF395" i="39"/>
  <c r="AZ113" i="38"/>
  <c r="AZ112" i="38"/>
  <c r="AZ103" i="38"/>
  <c r="AZ102" i="38"/>
  <c r="AZ114" i="38"/>
  <c r="AZ105" i="38"/>
  <c r="AZ104" i="38"/>
  <c r="AZ111" i="38"/>
  <c r="AZ101" i="38"/>
  <c r="AZ110" i="38"/>
  <c r="V200" i="42"/>
  <c r="H398" i="39"/>
  <c r="H394" i="39"/>
  <c r="H370" i="39"/>
  <c r="H399" i="39"/>
  <c r="H395" i="39"/>
  <c r="AE115" i="38"/>
  <c r="AE106" i="38"/>
  <c r="AE105" i="38"/>
  <c r="AE111" i="38"/>
  <c r="AE101" i="38"/>
  <c r="AE110" i="38"/>
  <c r="AE112" i="38"/>
  <c r="AE102" i="38"/>
  <c r="AE103" i="38"/>
  <c r="AE113" i="38"/>
  <c r="AE104" i="38"/>
  <c r="AE114" i="38"/>
  <c r="AE98" i="38"/>
  <c r="N380" i="39"/>
  <c r="N389" i="39"/>
  <c r="BI399" i="39"/>
  <c r="BI395" i="39"/>
  <c r="BI394" i="39"/>
  <c r="BI345" i="39" s="1"/>
  <c r="BI398" i="39"/>
  <c r="BI370" i="39"/>
  <c r="AE389" i="39"/>
  <c r="AE380" i="39"/>
  <c r="AE348" i="39"/>
  <c r="BK398" i="39"/>
  <c r="BK394" i="39"/>
  <c r="BK370" i="39"/>
  <c r="BK399" i="39"/>
  <c r="BK395" i="39"/>
  <c r="I380" i="39"/>
  <c r="R217" i="42"/>
  <c r="AC398" i="39"/>
  <c r="AC370" i="39"/>
  <c r="AC399" i="39"/>
  <c r="P380" i="39"/>
  <c r="P389" i="39"/>
  <c r="BD398" i="39"/>
  <c r="BD394" i="39"/>
  <c r="BD370" i="39"/>
  <c r="BD399" i="39"/>
  <c r="BD395" i="39"/>
  <c r="AI399" i="39"/>
  <c r="AI395" i="39"/>
  <c r="AI398" i="39"/>
  <c r="AI394" i="39"/>
  <c r="AI370" i="39"/>
  <c r="AH389" i="39"/>
  <c r="AH380" i="39"/>
  <c r="BH398" i="39"/>
  <c r="BH394" i="39"/>
  <c r="BH345" i="39" s="1"/>
  <c r="BH370" i="39"/>
  <c r="BH395" i="39"/>
  <c r="BH399" i="39"/>
  <c r="U106" i="38"/>
  <c r="U103" i="38"/>
  <c r="U111" i="38"/>
  <c r="U110" i="38"/>
  <c r="U101" i="38"/>
  <c r="U113" i="38"/>
  <c r="U112" i="38"/>
  <c r="U102" i="38"/>
  <c r="U114" i="38"/>
  <c r="U105" i="38"/>
  <c r="U115" i="38"/>
  <c r="U104" i="38"/>
  <c r="U98" i="38"/>
  <c r="W112" i="38"/>
  <c r="W111" i="38"/>
  <c r="W102" i="38"/>
  <c r="W101" i="38"/>
  <c r="W115" i="38"/>
  <c r="W106" i="38"/>
  <c r="W105" i="38"/>
  <c r="W114" i="38"/>
  <c r="W113" i="38"/>
  <c r="W104" i="38"/>
  <c r="W103" i="38"/>
  <c r="W110" i="38"/>
  <c r="W98" i="38"/>
  <c r="J380" i="39"/>
  <c r="J389" i="39"/>
  <c r="J348" i="39"/>
  <c r="M398" i="39"/>
  <c r="M394" i="39"/>
  <c r="M370" i="39"/>
  <c r="M395" i="39"/>
  <c r="M399" i="39"/>
  <c r="BF114" i="38"/>
  <c r="BF113" i="38"/>
  <c r="BF104" i="38"/>
  <c r="BF103" i="38"/>
  <c r="BF110" i="38"/>
  <c r="BF115" i="38"/>
  <c r="BF106" i="38"/>
  <c r="BF105" i="38"/>
  <c r="BF112" i="38"/>
  <c r="BF111" i="38"/>
  <c r="BF101" i="38"/>
  <c r="BF102" i="38"/>
  <c r="AV398" i="39"/>
  <c r="AV394" i="39"/>
  <c r="AV345" i="39" s="1"/>
  <c r="AV370" i="39"/>
  <c r="AV399" i="39"/>
  <c r="AV395" i="39"/>
  <c r="X275" i="42"/>
  <c r="R275" i="42"/>
  <c r="K276" i="42"/>
  <c r="X276" i="42" s="1"/>
  <c r="U398" i="39"/>
  <c r="U394" i="39"/>
  <c r="U370" i="39"/>
  <c r="U374" i="39" s="1"/>
  <c r="U395" i="39"/>
  <c r="U399" i="39"/>
  <c r="AU398" i="39"/>
  <c r="AU394" i="39"/>
  <c r="AU345" i="39" s="1"/>
  <c r="AU370" i="39"/>
  <c r="AU399" i="39"/>
  <c r="AU395" i="39"/>
  <c r="G400" i="42"/>
  <c r="S380" i="39"/>
  <c r="S389" i="39"/>
  <c r="BP398" i="39"/>
  <c r="BP394" i="39"/>
  <c r="BP370" i="39"/>
  <c r="BP395" i="39"/>
  <c r="BP399" i="39"/>
  <c r="N115" i="38"/>
  <c r="N113" i="38"/>
  <c r="N111" i="38"/>
  <c r="N105" i="38"/>
  <c r="N103" i="38"/>
  <c r="N101" i="38"/>
  <c r="N114" i="38"/>
  <c r="N104" i="38"/>
  <c r="N110" i="38"/>
  <c r="N106" i="38"/>
  <c r="N102" i="38"/>
  <c r="N112" i="38"/>
  <c r="N98" i="38"/>
  <c r="AB398" i="39"/>
  <c r="AB394" i="39"/>
  <c r="AB370" i="39"/>
  <c r="AB395" i="39"/>
  <c r="AB399" i="39"/>
  <c r="AK179" i="38"/>
  <c r="Q389" i="39"/>
  <c r="Q380" i="39"/>
  <c r="O399" i="39"/>
  <c r="O395" i="39"/>
  <c r="O394" i="39"/>
  <c r="O370" i="39"/>
  <c r="O398" i="39"/>
  <c r="O346" i="39" s="1"/>
  <c r="P114" i="38"/>
  <c r="P112" i="38"/>
  <c r="P110" i="38"/>
  <c r="P106" i="38"/>
  <c r="P104" i="38"/>
  <c r="P102" i="38"/>
  <c r="P113" i="38"/>
  <c r="P111" i="38"/>
  <c r="P101" i="38"/>
  <c r="P103" i="38"/>
  <c r="P105" i="38"/>
  <c r="P115" i="38"/>
  <c r="P98" i="38"/>
  <c r="R200" i="42"/>
  <c r="AG398" i="39"/>
  <c r="AG394" i="39"/>
  <c r="AG370" i="39"/>
  <c r="AG395" i="39"/>
  <c r="AG399" i="39"/>
  <c r="F217" i="42"/>
  <c r="F218" i="42" s="1"/>
  <c r="F219" i="42" s="1"/>
  <c r="F220" i="42" s="1"/>
  <c r="F221" i="42" s="1"/>
  <c r="F222" i="42" s="1"/>
  <c r="F223" i="42" s="1"/>
  <c r="F224" i="42" s="1"/>
  <c r="F225" i="42" s="1"/>
  <c r="AE399" i="39"/>
  <c r="AE395" i="39"/>
  <c r="AE398" i="39"/>
  <c r="AE394" i="39"/>
  <c r="AE370" i="39"/>
  <c r="U378" i="39"/>
  <c r="U385" i="39"/>
  <c r="U377" i="39"/>
  <c r="R218" i="42"/>
  <c r="H388" i="39"/>
  <c r="H386" i="39"/>
  <c r="H384" i="39"/>
  <c r="H378" i="39"/>
  <c r="H376" i="39"/>
  <c r="H374" i="39"/>
  <c r="H387" i="39"/>
  <c r="H383" i="39"/>
  <c r="H377" i="39"/>
  <c r="H385" i="39"/>
  <c r="H379" i="39"/>
  <c r="H375" i="39"/>
  <c r="H371" i="39"/>
  <c r="V201" i="42"/>
  <c r="K387" i="39"/>
  <c r="K383" i="39"/>
  <c r="K377" i="39"/>
  <c r="K388" i="39"/>
  <c r="K386" i="39"/>
  <c r="K384" i="39"/>
  <c r="K371" i="39"/>
  <c r="BB385" i="39"/>
  <c r="BB379" i="39"/>
  <c r="BB375" i="39"/>
  <c r="BB378" i="39"/>
  <c r="BB386" i="39"/>
  <c r="BB374" i="39"/>
  <c r="BB239" i="42"/>
  <c r="BB240" i="42" s="1"/>
  <c r="BB238" i="42"/>
  <c r="R392" i="42"/>
  <c r="AU201" i="42"/>
  <c r="AQ388" i="39"/>
  <c r="AQ386" i="39"/>
  <c r="AQ384" i="39"/>
  <c r="AQ378" i="39"/>
  <c r="AQ376" i="39"/>
  <c r="AQ374" i="39"/>
  <c r="AQ385" i="39"/>
  <c r="AQ375" i="39"/>
  <c r="AQ387" i="39"/>
  <c r="AQ383" i="39"/>
  <c r="AQ377" i="39"/>
  <c r="AQ371" i="39"/>
  <c r="J218" i="42"/>
  <c r="N218" i="42"/>
  <c r="BG386" i="39"/>
  <c r="BG378" i="39"/>
  <c r="BG374" i="39"/>
  <c r="BG379" i="39"/>
  <c r="BG387" i="39"/>
  <c r="BG377" i="39"/>
  <c r="Q388" i="39"/>
  <c r="Q386" i="39"/>
  <c r="Q384" i="39"/>
  <c r="Q378" i="39"/>
  <c r="Q376" i="39"/>
  <c r="Q374" i="39"/>
  <c r="Q383" i="39"/>
  <c r="Q379" i="39"/>
  <c r="Q387" i="39"/>
  <c r="Q377" i="39"/>
  <c r="Q385" i="39"/>
  <c r="Q375" i="39"/>
  <c r="Q371" i="39"/>
  <c r="Z385" i="39"/>
  <c r="Z379" i="39"/>
  <c r="Z375" i="39"/>
  <c r="Z376" i="39"/>
  <c r="Z384" i="39"/>
  <c r="Z374" i="39"/>
  <c r="AV388" i="39"/>
  <c r="AV386" i="39"/>
  <c r="AV384" i="39"/>
  <c r="AV378" i="39"/>
  <c r="AV376" i="39"/>
  <c r="AV374" i="39"/>
  <c r="AV387" i="39"/>
  <c r="AV377" i="39"/>
  <c r="AV383" i="39"/>
  <c r="AV379" i="39"/>
  <c r="AV385" i="39"/>
  <c r="AV375" i="39"/>
  <c r="AV371" i="39"/>
  <c r="M388" i="39"/>
  <c r="M384" i="39"/>
  <c r="M376" i="39"/>
  <c r="M385" i="39"/>
  <c r="M383" i="39"/>
  <c r="M387" i="39"/>
  <c r="M371" i="39"/>
  <c r="BH386" i="39"/>
  <c r="BH378" i="39"/>
  <c r="BH374" i="39"/>
  <c r="BH385" i="39"/>
  <c r="BH383" i="39"/>
  <c r="BH377" i="39"/>
  <c r="AI387" i="39"/>
  <c r="AI383" i="39"/>
  <c r="AI377" i="39"/>
  <c r="AI386" i="39"/>
  <c r="AI378" i="39"/>
  <c r="AI374" i="39"/>
  <c r="AI371" i="39"/>
  <c r="BD386" i="39"/>
  <c r="BD378" i="39"/>
  <c r="BD374" i="39"/>
  <c r="BD377" i="39"/>
  <c r="BD387" i="39"/>
  <c r="BD375" i="39"/>
  <c r="BI387" i="39"/>
  <c r="BI383" i="39"/>
  <c r="BI377" i="39"/>
  <c r="BI388" i="39"/>
  <c r="BI378" i="39"/>
  <c r="BI386" i="39"/>
  <c r="BI371" i="39"/>
  <c r="BR385" i="39"/>
  <c r="BR379" i="39"/>
  <c r="BR375" i="39"/>
  <c r="BR378" i="39"/>
  <c r="BR386" i="39"/>
  <c r="BR384" i="39"/>
  <c r="BS388" i="39"/>
  <c r="BS384" i="39"/>
  <c r="BS376" i="39"/>
  <c r="BS387" i="39"/>
  <c r="BS377" i="39"/>
  <c r="BS379" i="39"/>
  <c r="BS371" i="39"/>
  <c r="V385" i="39"/>
  <c r="V375" i="39"/>
  <c r="V384" i="39"/>
  <c r="V374" i="39"/>
  <c r="V376" i="39"/>
  <c r="AZ386" i="39"/>
  <c r="AZ378" i="39"/>
  <c r="AZ374" i="39"/>
  <c r="AZ375" i="39"/>
  <c r="AZ383" i="39"/>
  <c r="AZ377" i="39"/>
  <c r="BM387" i="39"/>
  <c r="BM385" i="39"/>
  <c r="BM383" i="39"/>
  <c r="BM379" i="39"/>
  <c r="BM377" i="39"/>
  <c r="BM375" i="39"/>
  <c r="BM386" i="39"/>
  <c r="BM376" i="39"/>
  <c r="BM388" i="39"/>
  <c r="BM384" i="39"/>
  <c r="BM378" i="39"/>
  <c r="BM374" i="39"/>
  <c r="BM371" i="39"/>
  <c r="G387" i="39"/>
  <c r="G385" i="39"/>
  <c r="G383" i="39"/>
  <c r="G377" i="39"/>
  <c r="G375" i="39"/>
  <c r="G384" i="39"/>
  <c r="G374" i="39"/>
  <c r="G388" i="39"/>
  <c r="G386" i="39"/>
  <c r="G376" i="39"/>
  <c r="G378" i="39"/>
  <c r="G371" i="39"/>
  <c r="R387" i="39"/>
  <c r="R385" i="39"/>
  <c r="R383" i="39"/>
  <c r="R379" i="39"/>
  <c r="R377" i="39"/>
  <c r="R375" i="39"/>
  <c r="R386" i="39"/>
  <c r="R376" i="39"/>
  <c r="R388" i="39"/>
  <c r="R384" i="39"/>
  <c r="R378" i="39"/>
  <c r="R374" i="39"/>
  <c r="R371" i="39"/>
  <c r="X388" i="39"/>
  <c r="X386" i="39"/>
  <c r="X384" i="39"/>
  <c r="X378" i="39"/>
  <c r="X376" i="39"/>
  <c r="X374" i="39"/>
  <c r="X387" i="39"/>
  <c r="X383" i="39"/>
  <c r="X377" i="39"/>
  <c r="X385" i="39"/>
  <c r="X379" i="39"/>
  <c r="X375" i="39"/>
  <c r="X371" i="39"/>
  <c r="P388" i="39"/>
  <c r="P386" i="39"/>
  <c r="P384" i="39"/>
  <c r="P378" i="39"/>
  <c r="P376" i="39"/>
  <c r="P374" i="39"/>
  <c r="P387" i="39"/>
  <c r="P383" i="39"/>
  <c r="P377" i="39"/>
  <c r="P385" i="39"/>
  <c r="P379" i="39"/>
  <c r="P375" i="39"/>
  <c r="P371" i="39"/>
  <c r="AA387" i="39"/>
  <c r="AA385" i="39"/>
  <c r="AA383" i="39"/>
  <c r="AA379" i="39"/>
  <c r="AA377" i="39"/>
  <c r="AA375" i="39"/>
  <c r="AA386" i="39"/>
  <c r="AA376" i="39"/>
  <c r="AA384" i="39"/>
  <c r="AA374" i="39"/>
  <c r="AA388" i="39"/>
  <c r="AA378" i="39"/>
  <c r="AA371" i="39"/>
  <c r="O385" i="39"/>
  <c r="O379" i="39"/>
  <c r="O375" i="39"/>
  <c r="O378" i="39"/>
  <c r="O386" i="39"/>
  <c r="O374" i="39"/>
  <c r="K277" i="42"/>
  <c r="R276" i="42"/>
  <c r="R201" i="42"/>
  <c r="BP388" i="39"/>
  <c r="BP384" i="39"/>
  <c r="BP376" i="39"/>
  <c r="BP385" i="39"/>
  <c r="BP379" i="39"/>
  <c r="BP383" i="39"/>
  <c r="BP371" i="39"/>
  <c r="AC386" i="39"/>
  <c r="AC378" i="39"/>
  <c r="AC374" i="39"/>
  <c r="AC375" i="39"/>
  <c r="AC387" i="39"/>
  <c r="AC383" i="39"/>
  <c r="B48" i="40"/>
  <c r="AQ201" i="42"/>
  <c r="AW387" i="39"/>
  <c r="AW385" i="39"/>
  <c r="AW383" i="39"/>
  <c r="AW379" i="39"/>
  <c r="AW377" i="39"/>
  <c r="AW375" i="39"/>
  <c r="AW386" i="39"/>
  <c r="AW376" i="39"/>
  <c r="AW388" i="39"/>
  <c r="AW384" i="39"/>
  <c r="AW378" i="39"/>
  <c r="AW374" i="39"/>
  <c r="AW371" i="39"/>
  <c r="T388" i="39"/>
  <c r="T384" i="39"/>
  <c r="T376" i="39"/>
  <c r="T385" i="39"/>
  <c r="T375" i="39"/>
  <c r="T383" i="39"/>
  <c r="T371" i="39"/>
  <c r="J201" i="42"/>
  <c r="AU218" i="42"/>
  <c r="I386" i="39"/>
  <c r="I384" i="39"/>
  <c r="I378" i="39"/>
  <c r="I376" i="39"/>
  <c r="I374" i="39"/>
  <c r="I387" i="39"/>
  <c r="I377" i="39"/>
  <c r="I383" i="39"/>
  <c r="I379" i="39"/>
  <c r="I385" i="39"/>
  <c r="I375" i="39"/>
  <c r="I371" i="39"/>
  <c r="Y388" i="39"/>
  <c r="Y386" i="39"/>
  <c r="Y384" i="39"/>
  <c r="Y378" i="39"/>
  <c r="Y376" i="39"/>
  <c r="Y374" i="39"/>
  <c r="Y387" i="39"/>
  <c r="Y377" i="39"/>
  <c r="Y385" i="39"/>
  <c r="Y375" i="39"/>
  <c r="Y383" i="39"/>
  <c r="Y379" i="39"/>
  <c r="Y371" i="39"/>
  <c r="AX387" i="39"/>
  <c r="AX385" i="39"/>
  <c r="AX383" i="39"/>
  <c r="AX379" i="39"/>
  <c r="AX377" i="39"/>
  <c r="AX375" i="39"/>
  <c r="AX388" i="39"/>
  <c r="AX378" i="39"/>
  <c r="AX386" i="39"/>
  <c r="AX376" i="39"/>
  <c r="AX384" i="39"/>
  <c r="AX374" i="39"/>
  <c r="AX371" i="39"/>
  <c r="AK88" i="38"/>
  <c r="F201" i="42"/>
  <c r="BA387" i="39"/>
  <c r="BA385" i="39"/>
  <c r="BA383" i="39"/>
  <c r="BA379" i="39"/>
  <c r="BA377" i="39"/>
  <c r="BA375" i="39"/>
  <c r="BA388" i="39"/>
  <c r="BA384" i="39"/>
  <c r="BA378" i="39"/>
  <c r="BA374" i="39"/>
  <c r="BA386" i="39"/>
  <c r="BA376" i="39"/>
  <c r="BA371" i="39"/>
  <c r="AQ428" i="42"/>
  <c r="AS387" i="39"/>
  <c r="AS385" i="39"/>
  <c r="AS383" i="39"/>
  <c r="AS379" i="39"/>
  <c r="AS377" i="39"/>
  <c r="AS375" i="39"/>
  <c r="AS388" i="39"/>
  <c r="AS384" i="39"/>
  <c r="AS378" i="39"/>
  <c r="AS374" i="39"/>
  <c r="AS386" i="39"/>
  <c r="AS376" i="39"/>
  <c r="AS371" i="39"/>
  <c r="AY388" i="39"/>
  <c r="AY386" i="39"/>
  <c r="AY384" i="39"/>
  <c r="AY378" i="39"/>
  <c r="AY376" i="39"/>
  <c r="AY374" i="39"/>
  <c r="AY385" i="39"/>
  <c r="AY379" i="39"/>
  <c r="AY375" i="39"/>
  <c r="AY387" i="39"/>
  <c r="AY383" i="39"/>
  <c r="AY377" i="39"/>
  <c r="AY371" i="39"/>
  <c r="AT387" i="39"/>
  <c r="AT385" i="39"/>
  <c r="AT383" i="39"/>
  <c r="AT379" i="39"/>
  <c r="AT377" i="39"/>
  <c r="AT375" i="39"/>
  <c r="AT384" i="39"/>
  <c r="AT374" i="39"/>
  <c r="AT388" i="39"/>
  <c r="AT386" i="39"/>
  <c r="AT378" i="39"/>
  <c r="AT376" i="39"/>
  <c r="AT371" i="39"/>
  <c r="AQ218" i="42"/>
  <c r="AE387" i="39"/>
  <c r="AE385" i="39"/>
  <c r="AE383" i="39"/>
  <c r="AE379" i="39"/>
  <c r="AE377" i="39"/>
  <c r="AE375" i="39"/>
  <c r="AE388" i="39"/>
  <c r="AE378" i="39"/>
  <c r="AE374" i="39"/>
  <c r="AE386" i="39"/>
  <c r="AE376" i="39"/>
  <c r="AE384" i="39"/>
  <c r="AE371" i="39"/>
  <c r="AG386" i="39"/>
  <c r="AG384" i="39"/>
  <c r="AG378" i="39"/>
  <c r="AG376" i="39"/>
  <c r="AG374" i="39"/>
  <c r="AG383" i="39"/>
  <c r="AG387" i="39"/>
  <c r="AG377" i="39"/>
  <c r="AG385" i="39"/>
  <c r="AG375" i="39"/>
  <c r="AG371" i="39"/>
  <c r="AK180" i="38"/>
  <c r="AB386" i="39"/>
  <c r="AB378" i="39"/>
  <c r="AB374" i="39"/>
  <c r="AB379" i="39"/>
  <c r="AB387" i="39"/>
  <c r="AB377" i="39"/>
  <c r="G401" i="42"/>
  <c r="AU388" i="39"/>
  <c r="AU386" i="39"/>
  <c r="AU384" i="39"/>
  <c r="AU378" i="39"/>
  <c r="AU376" i="39"/>
  <c r="AU374" i="39"/>
  <c r="AU387" i="39"/>
  <c r="AU383" i="39"/>
  <c r="AU377" i="39"/>
  <c r="AU385" i="39"/>
  <c r="AU379" i="39"/>
  <c r="AU375" i="39"/>
  <c r="AU371" i="39"/>
  <c r="BK388" i="39"/>
  <c r="BK384" i="39"/>
  <c r="BK376" i="39"/>
  <c r="BK387" i="39"/>
  <c r="BK377" i="39"/>
  <c r="BK379" i="39"/>
  <c r="BK371" i="39"/>
  <c r="AF388" i="39"/>
  <c r="AF386" i="39"/>
  <c r="AF384" i="39"/>
  <c r="AF378" i="39"/>
  <c r="AF376" i="39"/>
  <c r="AF374" i="39"/>
  <c r="AF387" i="39"/>
  <c r="AF383" i="39"/>
  <c r="AF377" i="39"/>
  <c r="AF385" i="39"/>
  <c r="AF379" i="39"/>
  <c r="AF375" i="39"/>
  <c r="AF371" i="39"/>
  <c r="BJ387" i="39"/>
  <c r="BJ385" i="39"/>
  <c r="BJ383" i="39"/>
  <c r="BJ379" i="39"/>
  <c r="BJ377" i="39"/>
  <c r="BJ375" i="39"/>
  <c r="BJ384" i="39"/>
  <c r="BJ374" i="39"/>
  <c r="BJ378" i="39"/>
  <c r="BJ386" i="39"/>
  <c r="BJ376" i="39"/>
  <c r="BJ388" i="39"/>
  <c r="BJ371" i="39"/>
  <c r="J385" i="39"/>
  <c r="J379" i="39"/>
  <c r="J375" i="39"/>
  <c r="J376" i="39"/>
  <c r="J384" i="39"/>
  <c r="J374" i="39"/>
  <c r="AH387" i="39"/>
  <c r="AH385" i="39"/>
  <c r="AH383" i="39"/>
  <c r="AH379" i="39"/>
  <c r="AH377" i="39"/>
  <c r="AH375" i="39"/>
  <c r="AH386" i="39"/>
  <c r="AH376" i="39"/>
  <c r="AH388" i="39"/>
  <c r="AH384" i="39"/>
  <c r="AH378" i="39"/>
  <c r="AH374" i="39"/>
  <c r="AH371" i="39"/>
  <c r="W385" i="39"/>
  <c r="W383" i="39"/>
  <c r="W379" i="39"/>
  <c r="W375" i="39"/>
  <c r="W384" i="39"/>
  <c r="W374" i="39"/>
  <c r="W376" i="39"/>
  <c r="W388" i="39"/>
  <c r="W386" i="39"/>
  <c r="BK238" i="42"/>
  <c r="BK239" i="42"/>
  <c r="BK240" i="42" s="1"/>
  <c r="BG201" i="42"/>
  <c r="AR388" i="39"/>
  <c r="AR386" i="39"/>
  <c r="AR378" i="39"/>
  <c r="AR376" i="39"/>
  <c r="AR374" i="39"/>
  <c r="AR387" i="39"/>
  <c r="AR377" i="39"/>
  <c r="AR385" i="39"/>
  <c r="AR383" i="39"/>
  <c r="AR371" i="39"/>
  <c r="S387" i="39"/>
  <c r="S385" i="39"/>
  <c r="S383" i="39"/>
  <c r="S379" i="39"/>
  <c r="S377" i="39"/>
  <c r="S375" i="39"/>
  <c r="S386" i="39"/>
  <c r="S376" i="39"/>
  <c r="S388" i="39"/>
  <c r="S384" i="39"/>
  <c r="S374" i="39"/>
  <c r="S378" i="39"/>
  <c r="S371" i="39"/>
  <c r="BE387" i="39"/>
  <c r="BE385" i="39"/>
  <c r="BE383" i="39"/>
  <c r="BE379" i="39"/>
  <c r="BE377" i="39"/>
  <c r="BE375" i="39"/>
  <c r="BE386" i="39"/>
  <c r="BE376" i="39"/>
  <c r="BE388" i="39"/>
  <c r="BE384" i="39"/>
  <c r="BE378" i="39"/>
  <c r="BE374" i="39"/>
  <c r="BE371" i="39"/>
  <c r="BO388" i="39"/>
  <c r="BO386" i="39"/>
  <c r="BO384" i="39"/>
  <c r="BO378" i="39"/>
  <c r="BO376" i="39"/>
  <c r="BO374" i="39"/>
  <c r="BO385" i="39"/>
  <c r="BO379" i="39"/>
  <c r="BO375" i="39"/>
  <c r="BO387" i="39"/>
  <c r="BO383" i="39"/>
  <c r="BO377" i="39"/>
  <c r="BO371" i="39"/>
  <c r="N387" i="39"/>
  <c r="N385" i="39"/>
  <c r="N383" i="39"/>
  <c r="N379" i="39"/>
  <c r="N377" i="39"/>
  <c r="N375" i="39"/>
  <c r="N388" i="39"/>
  <c r="N384" i="39"/>
  <c r="N378" i="39"/>
  <c r="N374" i="39"/>
  <c r="N386" i="39"/>
  <c r="N376" i="39"/>
  <c r="N371" i="39"/>
  <c r="BC388" i="39"/>
  <c r="BC386" i="39"/>
  <c r="BC384" i="39"/>
  <c r="BC378" i="39"/>
  <c r="BC376" i="39"/>
  <c r="BC374" i="39"/>
  <c r="BC387" i="39"/>
  <c r="BC383" i="39"/>
  <c r="BC377" i="39"/>
  <c r="BC385" i="39"/>
  <c r="BC379" i="39"/>
  <c r="BC375" i="39"/>
  <c r="BC371" i="39"/>
  <c r="L388" i="39"/>
  <c r="L386" i="39"/>
  <c r="L384" i="39"/>
  <c r="L378" i="39"/>
  <c r="L376" i="39"/>
  <c r="L374" i="39"/>
  <c r="L385" i="39"/>
  <c r="L379" i="39"/>
  <c r="L375" i="39"/>
  <c r="L387" i="39"/>
  <c r="L383" i="39"/>
  <c r="L377" i="39"/>
  <c r="L371" i="39"/>
  <c r="Z201" i="42"/>
  <c r="AM7" i="43"/>
  <c r="AQ219" i="42"/>
  <c r="AQ429" i="42"/>
  <c r="AS428" i="42"/>
  <c r="AR428" i="42"/>
  <c r="AU219" i="42"/>
  <c r="N219" i="42"/>
  <c r="AU202" i="42"/>
  <c r="N202" i="42"/>
  <c r="V202" i="42"/>
  <c r="R219" i="42"/>
  <c r="BG202" i="42"/>
  <c r="AQ202" i="42"/>
  <c r="B49" i="40"/>
  <c r="B17" i="40"/>
  <c r="AK89" i="38"/>
  <c r="R277" i="42"/>
  <c r="X277" i="42"/>
  <c r="K278" i="42"/>
  <c r="J219" i="42"/>
  <c r="Z202" i="42"/>
  <c r="G402" i="42"/>
  <c r="AK181" i="38"/>
  <c r="AK182" i="38" s="1"/>
  <c r="AK183" i="38" s="1"/>
  <c r="AK184" i="38" s="1"/>
  <c r="AK185" i="38" s="1"/>
  <c r="AK186" i="38" s="1"/>
  <c r="AK187" i="38" s="1"/>
  <c r="F202" i="42"/>
  <c r="J202" i="42"/>
  <c r="R202" i="42"/>
  <c r="J203" i="42"/>
  <c r="Z203" i="42"/>
  <c r="R220" i="42"/>
  <c r="R221" i="42" s="1"/>
  <c r="R222" i="42" s="1"/>
  <c r="R223" i="42" s="1"/>
  <c r="R224" i="42" s="1"/>
  <c r="R225" i="42" s="1"/>
  <c r="V203" i="42"/>
  <c r="V204" i="42" s="1"/>
  <c r="V205" i="42" s="1"/>
  <c r="V206" i="42" s="1"/>
  <c r="V207" i="42" s="1"/>
  <c r="V208" i="42" s="1"/>
  <c r="AU220" i="42"/>
  <c r="F203" i="42"/>
  <c r="R203" i="42"/>
  <c r="G403" i="42"/>
  <c r="AK90" i="38"/>
  <c r="AQ203" i="42"/>
  <c r="BG203" i="42"/>
  <c r="AU203" i="42"/>
  <c r="N220" i="42"/>
  <c r="AS429" i="42"/>
  <c r="AR429" i="42"/>
  <c r="AQ430" i="42"/>
  <c r="AS430" i="42" s="1"/>
  <c r="J220" i="42"/>
  <c r="J221" i="42" s="1"/>
  <c r="J222" i="42" s="1"/>
  <c r="J223" i="42" s="1"/>
  <c r="J224" i="42" s="1"/>
  <c r="J225" i="42" s="1"/>
  <c r="B50" i="40"/>
  <c r="B18" i="40"/>
  <c r="N203" i="42"/>
  <c r="N204" i="42" s="1"/>
  <c r="AQ220" i="42"/>
  <c r="AQ221" i="42"/>
  <c r="AR430" i="42"/>
  <c r="AU204" i="42"/>
  <c r="BG204" i="42"/>
  <c r="AK91" i="38"/>
  <c r="AK92" i="38" s="1"/>
  <c r="AK93" i="38" s="1"/>
  <c r="AK94" i="38" s="1"/>
  <c r="AK95" i="38" s="1"/>
  <c r="AQ204" i="42"/>
  <c r="R204" i="42"/>
  <c r="AU221" i="42"/>
  <c r="Z204" i="42"/>
  <c r="B51" i="40"/>
  <c r="B19" i="40"/>
  <c r="N221" i="42"/>
  <c r="G404" i="42"/>
  <c r="G405" i="42" s="1"/>
  <c r="F204" i="42"/>
  <c r="J204" i="42"/>
  <c r="J205" i="42" s="1"/>
  <c r="J206" i="42" s="1"/>
  <c r="J207" i="42" s="1"/>
  <c r="J208" i="42" s="1"/>
  <c r="F205" i="42"/>
  <c r="N222" i="42"/>
  <c r="R205" i="42"/>
  <c r="Z205" i="42"/>
  <c r="AQ205" i="42"/>
  <c r="B52" i="40"/>
  <c r="B20" i="40"/>
  <c r="AU222" i="42"/>
  <c r="BG205" i="42"/>
  <c r="AU205" i="42"/>
  <c r="AQ222" i="42"/>
  <c r="R206" i="42"/>
  <c r="AU223" i="42"/>
  <c r="B53" i="40"/>
  <c r="B21" i="40"/>
  <c r="AQ206" i="42"/>
  <c r="Z206" i="42"/>
  <c r="Z207" i="42" s="1"/>
  <c r="Z208" i="42" s="1"/>
  <c r="F206" i="42"/>
  <c r="F207" i="42" s="1"/>
  <c r="F208" i="42" s="1"/>
  <c r="AQ223" i="42"/>
  <c r="AQ224" i="42" s="1"/>
  <c r="AU206" i="42"/>
  <c r="AU207" i="42" s="1"/>
  <c r="N223" i="42"/>
  <c r="N224" i="42"/>
  <c r="AQ207" i="42"/>
  <c r="B54" i="40"/>
  <c r="B22" i="40"/>
  <c r="AU224" i="42"/>
  <c r="R207" i="42"/>
  <c r="N225" i="42"/>
  <c r="R208" i="42"/>
  <c r="B55" i="40"/>
  <c r="B23" i="40"/>
  <c r="AQ208" i="42"/>
  <c r="B56" i="40"/>
  <c r="B24" i="40"/>
  <c r="B25" i="40" s="1"/>
  <c r="B57" i="40"/>
  <c r="O14" i="35"/>
  <c r="V101" i="35"/>
  <c r="W101" i="35" s="1"/>
  <c r="X101" i="35" s="1"/>
  <c r="Y101" i="35" s="1"/>
  <c r="Z101" i="35" s="1"/>
  <c r="AA101" i="35" s="1"/>
  <c r="AB101" i="35" s="1"/>
  <c r="AC101" i="35" s="1"/>
  <c r="AD101" i="35" s="1"/>
  <c r="V98" i="35"/>
  <c r="W98" i="35" s="1"/>
  <c r="X98" i="35" s="1"/>
  <c r="Y98" i="35" s="1"/>
  <c r="Z98" i="35" s="1"/>
  <c r="AA98" i="35" s="1"/>
  <c r="AB98" i="35" s="1"/>
  <c r="AC98" i="35" s="1"/>
  <c r="AD98" i="35" s="1"/>
  <c r="AA59" i="22"/>
  <c r="AB59" i="22"/>
  <c r="AC59" i="22"/>
  <c r="AD59" i="22"/>
  <c r="AE59" i="22"/>
  <c r="AF59" i="22"/>
  <c r="AA60" i="22"/>
  <c r="AB60" i="22"/>
  <c r="AC60" i="22"/>
  <c r="AD60" i="22"/>
  <c r="AE60" i="22"/>
  <c r="AF60" i="22"/>
  <c r="AA61" i="22"/>
  <c r="AB61" i="22"/>
  <c r="AC61" i="22"/>
  <c r="AD61" i="22"/>
  <c r="AE61" i="22"/>
  <c r="AF61" i="22"/>
  <c r="AA43" i="22"/>
  <c r="AA51" i="22" s="1"/>
  <c r="AB43" i="22"/>
  <c r="AB51" i="22" s="1"/>
  <c r="AC43" i="22"/>
  <c r="AC51" i="22" s="1"/>
  <c r="AD43" i="22"/>
  <c r="AD51" i="22" s="1"/>
  <c r="AE43" i="22"/>
  <c r="AE51" i="22" s="1"/>
  <c r="AF43" i="22"/>
  <c r="AF51" i="22" s="1"/>
  <c r="AA44" i="22"/>
  <c r="AA52" i="22" s="1"/>
  <c r="AB44" i="22"/>
  <c r="AB52" i="22" s="1"/>
  <c r="AC44" i="22"/>
  <c r="AC52" i="22" s="1"/>
  <c r="AD44" i="22"/>
  <c r="AD52" i="22" s="1"/>
  <c r="AE44" i="22"/>
  <c r="AE52" i="22" s="1"/>
  <c r="AF44" i="22"/>
  <c r="AF52" i="22" s="1"/>
  <c r="AA45" i="22"/>
  <c r="AA53" i="22" s="1"/>
  <c r="AB45" i="22"/>
  <c r="AB53" i="22" s="1"/>
  <c r="AC45" i="22"/>
  <c r="AC53" i="22" s="1"/>
  <c r="AD45" i="22"/>
  <c r="AD53" i="22" s="1"/>
  <c r="AE45" i="22"/>
  <c r="AE53" i="22" s="1"/>
  <c r="AF45" i="22"/>
  <c r="AF53" i="22" s="1"/>
  <c r="AA38" i="22"/>
  <c r="AB38" i="22"/>
  <c r="AC39" i="22" s="1"/>
  <c r="AC38" i="22"/>
  <c r="AD39" i="22" s="1"/>
  <c r="AD38" i="22"/>
  <c r="AE39" i="22" s="1"/>
  <c r="AE38" i="22"/>
  <c r="AF38" i="22"/>
  <c r="AG39" i="22" s="1"/>
  <c r="AB39" i="22"/>
  <c r="AF39" i="22"/>
  <c r="AA22" i="22"/>
  <c r="AB22" i="22"/>
  <c r="AC23" i="22"/>
  <c r="AC22" i="22"/>
  <c r="AD23" i="22" s="1"/>
  <c r="AD22" i="22"/>
  <c r="AE23" i="22"/>
  <c r="AE22" i="22"/>
  <c r="AF22" i="22"/>
  <c r="AG23" i="22" s="1"/>
  <c r="AB23" i="22"/>
  <c r="AF23" i="22"/>
  <c r="N14" i="22"/>
  <c r="O14" i="22"/>
  <c r="P14" i="22"/>
  <c r="Q14" i="22"/>
  <c r="R14" i="22"/>
  <c r="S14" i="22"/>
  <c r="T14" i="22"/>
  <c r="U14" i="22"/>
  <c r="V14" i="22"/>
  <c r="W14" i="22"/>
  <c r="X14" i="22"/>
  <c r="Y14" i="22"/>
  <c r="Z14" i="22"/>
  <c r="AA14" i="22"/>
  <c r="AA62" i="22" s="1"/>
  <c r="AB14" i="22"/>
  <c r="AB62" i="22" s="1"/>
  <c r="AC14" i="22"/>
  <c r="AC62" i="22" s="1"/>
  <c r="AD14" i="22"/>
  <c r="AD62" i="22" s="1"/>
  <c r="AE14" i="22"/>
  <c r="AE62" i="22" s="1"/>
  <c r="AF14" i="22"/>
  <c r="AG15" i="22" s="1"/>
  <c r="M14" i="22"/>
  <c r="O5" i="35"/>
  <c r="P5" i="35" s="1"/>
  <c r="Q5" i="35" s="1"/>
  <c r="R5" i="35" s="1"/>
  <c r="S5" i="35" s="1"/>
  <c r="T5" i="35" s="1"/>
  <c r="U5" i="35" s="1"/>
  <c r="V5" i="35" s="1"/>
  <c r="W5" i="35" s="1"/>
  <c r="X5" i="35" s="1"/>
  <c r="Y5" i="35" s="1"/>
  <c r="Z5" i="35" s="1"/>
  <c r="AA5" i="35" s="1"/>
  <c r="AB5" i="35" s="1"/>
  <c r="AC5" i="35" s="1"/>
  <c r="AD5" i="35" s="1"/>
  <c r="AH11" i="23"/>
  <c r="N15" i="22"/>
  <c r="O15" i="22"/>
  <c r="S136" i="42"/>
  <c r="U136" i="42"/>
  <c r="V136" i="42"/>
  <c r="W136" i="42"/>
  <c r="Q24" i="44"/>
  <c r="L41" i="23"/>
  <c r="B31" i="6"/>
  <c r="C31" i="6" s="1"/>
  <c r="B33" i="6" s="1"/>
  <c r="B32" i="6"/>
  <c r="C32" i="6" s="1"/>
  <c r="DO13" i="20"/>
  <c r="DP13" i="20"/>
  <c r="DQ13" i="20"/>
  <c r="DR13" i="20"/>
  <c r="EE13" i="20"/>
  <c r="EE18" i="20"/>
  <c r="EF13" i="20"/>
  <c r="EF18" i="20"/>
  <c r="EG13" i="20"/>
  <c r="EG18" i="20"/>
  <c r="EH13" i="20"/>
  <c r="EH18" i="20"/>
  <c r="F41" i="23"/>
  <c r="G41" i="23"/>
  <c r="H41" i="23"/>
  <c r="I41" i="23"/>
  <c r="J41" i="23"/>
  <c r="K41" i="23"/>
  <c r="AL29" i="6"/>
  <c r="AM29" i="6"/>
  <c r="AN29" i="6"/>
  <c r="AO29" i="6"/>
  <c r="AP29" i="6"/>
  <c r="AQ29" i="6"/>
  <c r="AR29" i="6"/>
  <c r="AS29" i="6"/>
  <c r="AT29" i="6"/>
  <c r="AU29" i="6"/>
  <c r="AV29" i="6"/>
  <c r="AW29" i="6"/>
  <c r="AX29" i="6"/>
  <c r="AY29" i="6"/>
  <c r="AZ29" i="6"/>
  <c r="BA29" i="6"/>
  <c r="BB29" i="6"/>
  <c r="BC29" i="6"/>
  <c r="AF34" i="6"/>
  <c r="AG34" i="6" s="1"/>
  <c r="AH34" i="6" s="1"/>
  <c r="AI34" i="6" s="1"/>
  <c r="AJ34" i="6" s="1"/>
  <c r="AK34" i="6" s="1"/>
  <c r="AL34" i="6" s="1"/>
  <c r="AM34" i="6" s="1"/>
  <c r="AN34" i="6" s="1"/>
  <c r="AO34" i="6" s="1"/>
  <c r="AP34" i="6" s="1"/>
  <c r="AQ34" i="6" s="1"/>
  <c r="AR34" i="6" s="1"/>
  <c r="AS34" i="6" s="1"/>
  <c r="AT34" i="6" s="1"/>
  <c r="AU34" i="6" s="1"/>
  <c r="AV34" i="6" s="1"/>
  <c r="AW34" i="6" s="1"/>
  <c r="AX34" i="6" s="1"/>
  <c r="AY34" i="6" s="1"/>
  <c r="AZ34" i="6" s="1"/>
  <c r="BA34" i="6" s="1"/>
  <c r="BB34" i="6" s="1"/>
  <c r="BC34" i="6" s="1"/>
  <c r="BD34" i="6" s="1"/>
  <c r="EO10" i="20"/>
  <c r="EO62" i="20"/>
  <c r="FK62" i="20" s="1"/>
  <c r="HA62" i="20" s="1"/>
  <c r="J26" i="9" s="1"/>
  <c r="L26" i="9" s="1"/>
  <c r="S13" i="6" s="1"/>
  <c r="L49" i="9"/>
  <c r="S7" i="6" s="1"/>
  <c r="U43" i="22"/>
  <c r="S17" i="23" s="1"/>
  <c r="U44" i="22"/>
  <c r="S24" i="23" s="1"/>
  <c r="S26" i="23" s="1"/>
  <c r="U45" i="22"/>
  <c r="S32" i="23" s="1"/>
  <c r="S34" i="23" s="1"/>
  <c r="L43" i="9"/>
  <c r="M7" i="6" s="1"/>
  <c r="L44" i="9"/>
  <c r="N7" i="6" s="1"/>
  <c r="C116" i="9"/>
  <c r="Q116" i="9" s="1"/>
  <c r="L45" i="9"/>
  <c r="O7" i="6" s="1"/>
  <c r="L46" i="9"/>
  <c r="P7" i="6" s="1"/>
  <c r="C118" i="9"/>
  <c r="Q118" i="9" s="1"/>
  <c r="W118" i="9" s="1"/>
  <c r="H30" i="22"/>
  <c r="B156" i="9" s="1"/>
  <c r="C156" i="9" s="1"/>
  <c r="D156" i="9" s="1"/>
  <c r="I30" i="22"/>
  <c r="B157" i="9" s="1"/>
  <c r="C157" i="9" s="1"/>
  <c r="E157" i="9" s="1"/>
  <c r="W157" i="9" s="1"/>
  <c r="J30" i="22"/>
  <c r="B158" i="9" s="1"/>
  <c r="C158" i="9" s="1"/>
  <c r="F158" i="9" s="1"/>
  <c r="W158" i="9" s="1"/>
  <c r="K30" i="22"/>
  <c r="B159" i="9" s="1"/>
  <c r="C159" i="9" s="1"/>
  <c r="G159" i="9" s="1"/>
  <c r="W159" i="9" s="1"/>
  <c r="L30" i="22"/>
  <c r="B160" i="9" s="1"/>
  <c r="C160" i="9" s="1"/>
  <c r="H160" i="9" s="1"/>
  <c r="W160" i="9" s="1"/>
  <c r="M30" i="22"/>
  <c r="B161" i="9" s="1"/>
  <c r="C161" i="9" s="1"/>
  <c r="I161" i="9" s="1"/>
  <c r="W161" i="9" s="1"/>
  <c r="N30" i="22"/>
  <c r="B162" i="9" s="1"/>
  <c r="C162" i="9" s="1"/>
  <c r="J162" i="9" s="1"/>
  <c r="W162" i="9" s="1"/>
  <c r="O30" i="22"/>
  <c r="B163" i="9" s="1"/>
  <c r="C163" i="9" s="1"/>
  <c r="K163" i="9" s="1"/>
  <c r="W163" i="9" s="1"/>
  <c r="P30" i="22"/>
  <c r="B164" i="9" s="1"/>
  <c r="C164" i="9" s="1"/>
  <c r="L164" i="9" s="1"/>
  <c r="W164" i="9" s="1"/>
  <c r="Q30" i="22"/>
  <c r="B165" i="9" s="1"/>
  <c r="C165" i="9" s="1"/>
  <c r="M165" i="9" s="1"/>
  <c r="W165" i="9" s="1"/>
  <c r="R30" i="22"/>
  <c r="B166" i="9" s="1"/>
  <c r="C166" i="9" s="1"/>
  <c r="N166" i="9" s="1"/>
  <c r="W166" i="9" s="1"/>
  <c r="S30" i="22"/>
  <c r="B167" i="9" s="1"/>
  <c r="C167" i="9" s="1"/>
  <c r="O167" i="9" s="1"/>
  <c r="W167" i="9" s="1"/>
  <c r="Q178" i="9"/>
  <c r="W172" i="9"/>
  <c r="Q179" i="9"/>
  <c r="Q180" i="9"/>
  <c r="Q181" i="9"/>
  <c r="Q182" i="9"/>
  <c r="Q183" i="9"/>
  <c r="Q184" i="9"/>
  <c r="Q185" i="9"/>
  <c r="Q186" i="9"/>
  <c r="Q187" i="9"/>
  <c r="Q188" i="9"/>
  <c r="Q189" i="9"/>
  <c r="Q190" i="9"/>
  <c r="Q191" i="9"/>
  <c r="Q192" i="9"/>
  <c r="Q193" i="9"/>
  <c r="Q56" i="9"/>
  <c r="Q57" i="9"/>
  <c r="Q58" i="9"/>
  <c r="Q59" i="9"/>
  <c r="Q60" i="9"/>
  <c r="Q61" i="9"/>
  <c r="Q62" i="9"/>
  <c r="Q63" i="9"/>
  <c r="Q66" i="9"/>
  <c r="Q68" i="9"/>
  <c r="EI13" i="20"/>
  <c r="EI14" i="20"/>
  <c r="EI15" i="20"/>
  <c r="EI16" i="20"/>
  <c r="EI17" i="20"/>
  <c r="EI18" i="20"/>
  <c r="EI19" i="20"/>
  <c r="CE20" i="20"/>
  <c r="EI20" i="20" s="1"/>
  <c r="CE24" i="20"/>
  <c r="EI24" i="20" s="1"/>
  <c r="CE25" i="20"/>
  <c r="EF25" i="20" s="1"/>
  <c r="EI25" i="20"/>
  <c r="CE26" i="20"/>
  <c r="EE26" i="20" s="1"/>
  <c r="CE27" i="20"/>
  <c r="EI27" i="20"/>
  <c r="CE28" i="20"/>
  <c r="EI28" i="20" s="1"/>
  <c r="FH28" i="20" s="1"/>
  <c r="CE29" i="20"/>
  <c r="EI29" i="20"/>
  <c r="CE39" i="20"/>
  <c r="EI39" i="20" s="1"/>
  <c r="CE40" i="20"/>
  <c r="EK40" i="20" s="1"/>
  <c r="CE41" i="20"/>
  <c r="EI41" i="20" s="1"/>
  <c r="FH41" i="20" s="1"/>
  <c r="CE42" i="20"/>
  <c r="EI42" i="20"/>
  <c r="CE56" i="20"/>
  <c r="EI56" i="20" s="1"/>
  <c r="EI58" i="20" s="1"/>
  <c r="CE57" i="20"/>
  <c r="EI57" i="20"/>
  <c r="EI10" i="20"/>
  <c r="EI33" i="20"/>
  <c r="EI34" i="20"/>
  <c r="EI36" i="20" s="1"/>
  <c r="CE35" i="20"/>
  <c r="EI35" i="20" s="1"/>
  <c r="EJ13" i="20"/>
  <c r="EJ14" i="20"/>
  <c r="EJ15" i="20"/>
  <c r="EJ16" i="20"/>
  <c r="EJ17" i="20"/>
  <c r="EJ18" i="20"/>
  <c r="EJ19" i="20"/>
  <c r="EJ20" i="20"/>
  <c r="EJ21" i="20"/>
  <c r="EJ24" i="20"/>
  <c r="EJ25" i="20"/>
  <c r="EJ26" i="20"/>
  <c r="EJ27" i="20"/>
  <c r="EJ30" i="20" s="1"/>
  <c r="EJ28" i="20"/>
  <c r="EJ29" i="20"/>
  <c r="EJ39" i="20"/>
  <c r="EJ41" i="20"/>
  <c r="EJ42" i="20"/>
  <c r="EJ56" i="20"/>
  <c r="EJ57" i="20"/>
  <c r="EJ58" i="20" s="1"/>
  <c r="EJ10" i="20"/>
  <c r="EJ33" i="20"/>
  <c r="EJ36" i="20" s="1"/>
  <c r="EJ34" i="20"/>
  <c r="EJ35" i="20"/>
  <c r="EK13" i="20"/>
  <c r="EK14" i="20"/>
  <c r="EK15" i="20"/>
  <c r="EK16" i="20"/>
  <c r="EK17" i="20"/>
  <c r="EK18" i="20"/>
  <c r="EK21" i="20" s="1"/>
  <c r="EK61" i="20" s="1"/>
  <c r="EK19" i="20"/>
  <c r="EK20" i="20"/>
  <c r="EK24" i="20"/>
  <c r="EK30" i="20" s="1"/>
  <c r="EK25" i="20"/>
  <c r="EK26" i="20"/>
  <c r="EK27" i="20"/>
  <c r="EK28" i="20"/>
  <c r="EK29" i="20"/>
  <c r="EK39" i="20"/>
  <c r="EK43" i="20" s="1"/>
  <c r="EK41" i="20"/>
  <c r="EK42" i="20"/>
  <c r="EK56" i="20"/>
  <c r="EK57" i="20"/>
  <c r="EK58" i="20"/>
  <c r="EK10" i="20"/>
  <c r="EK33" i="20"/>
  <c r="EK34" i="20"/>
  <c r="EK35" i="20"/>
  <c r="EK36" i="20" s="1"/>
  <c r="EL13" i="20"/>
  <c r="EL14" i="20"/>
  <c r="EL21" i="20" s="1"/>
  <c r="EL15" i="20"/>
  <c r="EL16" i="20"/>
  <c r="EL17" i="20"/>
  <c r="EL18" i="20"/>
  <c r="EL19" i="20"/>
  <c r="EL20" i="20"/>
  <c r="EL24" i="20"/>
  <c r="EL25" i="20"/>
  <c r="EL26" i="20"/>
  <c r="EL27" i="20"/>
  <c r="EL28" i="20"/>
  <c r="EL29" i="20"/>
  <c r="EL30" i="20" s="1"/>
  <c r="EL39" i="20"/>
  <c r="EL41" i="20"/>
  <c r="EL42" i="20"/>
  <c r="EL56" i="20"/>
  <c r="EL58" i="20" s="1"/>
  <c r="EL57" i="20"/>
  <c r="EL10" i="20"/>
  <c r="EL33" i="20"/>
  <c r="EL36" i="20" s="1"/>
  <c r="EL34" i="20"/>
  <c r="EL35" i="20"/>
  <c r="CE46" i="20"/>
  <c r="EE46" i="20" s="1"/>
  <c r="CE47" i="20"/>
  <c r="EI47" i="20"/>
  <c r="CE48" i="20"/>
  <c r="EI48" i="20" s="1"/>
  <c r="FH48" i="20" s="1"/>
  <c r="CE49" i="20"/>
  <c r="EI49" i="20"/>
  <c r="CE50" i="20"/>
  <c r="EI50" i="20" s="1"/>
  <c r="CE51" i="20"/>
  <c r="EI51" i="20"/>
  <c r="CE52" i="20"/>
  <c r="EI52" i="20" s="1"/>
  <c r="FH52" i="20" s="1"/>
  <c r="EJ46" i="20"/>
  <c r="EJ47" i="20"/>
  <c r="EJ48" i="20"/>
  <c r="EJ49" i="20"/>
  <c r="EJ50" i="20"/>
  <c r="EJ51" i="20"/>
  <c r="EJ52" i="20"/>
  <c r="EJ53" i="20"/>
  <c r="EJ63" i="20" s="1"/>
  <c r="EK46" i="20"/>
  <c r="EK47" i="20"/>
  <c r="EK48" i="20"/>
  <c r="EK49" i="20"/>
  <c r="EK50" i="20"/>
  <c r="EK51" i="20"/>
  <c r="EK52" i="20"/>
  <c r="EK53" i="20" s="1"/>
  <c r="EK63" i="20" s="1"/>
  <c r="EL46" i="20"/>
  <c r="EL53" i="20" s="1"/>
  <c r="EL63" i="20" s="1"/>
  <c r="EL47" i="20"/>
  <c r="EL48" i="20"/>
  <c r="EL49" i="20"/>
  <c r="EL50" i="20"/>
  <c r="EL51" i="20"/>
  <c r="EL52" i="20"/>
  <c r="Q79" i="9"/>
  <c r="Q80" i="9"/>
  <c r="Q81" i="9"/>
  <c r="Q82" i="9"/>
  <c r="Q83" i="9"/>
  <c r="Q84" i="9"/>
  <c r="Q85" i="9"/>
  <c r="Q86" i="9"/>
  <c r="Q87" i="9"/>
  <c r="Q88" i="9"/>
  <c r="Q89" i="9"/>
  <c r="Q90" i="9"/>
  <c r="Q99" i="9" s="1"/>
  <c r="Q91" i="9"/>
  <c r="Q92" i="9"/>
  <c r="V43" i="22"/>
  <c r="T17" i="23" s="1"/>
  <c r="V44" i="22"/>
  <c r="T24" i="23" s="1"/>
  <c r="T26" i="23" s="1"/>
  <c r="V45" i="22"/>
  <c r="T32" i="23" s="1"/>
  <c r="T34" i="23" s="1"/>
  <c r="R116" i="9"/>
  <c r="R118" i="9"/>
  <c r="L47" i="9"/>
  <c r="Q7" i="6" s="1"/>
  <c r="C119" i="9"/>
  <c r="R119" i="9"/>
  <c r="R178" i="9"/>
  <c r="R179" i="9"/>
  <c r="R180" i="9"/>
  <c r="R181" i="9"/>
  <c r="R182" i="9"/>
  <c r="R183" i="9"/>
  <c r="R184" i="9"/>
  <c r="R185" i="9"/>
  <c r="R186" i="9"/>
  <c r="R187" i="9"/>
  <c r="R188" i="9"/>
  <c r="R189" i="9"/>
  <c r="R190" i="9"/>
  <c r="R191" i="9"/>
  <c r="R192" i="9"/>
  <c r="R193" i="9"/>
  <c r="R56" i="9"/>
  <c r="R57" i="9"/>
  <c r="R58" i="9"/>
  <c r="R59" i="9"/>
  <c r="R60" i="9"/>
  <c r="R61" i="9"/>
  <c r="R62" i="9"/>
  <c r="R63" i="9"/>
  <c r="R65" i="9"/>
  <c r="R66" i="9"/>
  <c r="R68" i="9"/>
  <c r="R70" i="9"/>
  <c r="EM13" i="20"/>
  <c r="EM14" i="20"/>
  <c r="EM21" i="20" s="1"/>
  <c r="EM15" i="20"/>
  <c r="EM16" i="20"/>
  <c r="EM17" i="20"/>
  <c r="EM18" i="20"/>
  <c r="EM19" i="20"/>
  <c r="EM20" i="20"/>
  <c r="EM24" i="20"/>
  <c r="EM30" i="20" s="1"/>
  <c r="EM25" i="20"/>
  <c r="EM26" i="20"/>
  <c r="EM27" i="20"/>
  <c r="EM28" i="20"/>
  <c r="EM29" i="20"/>
  <c r="EM39" i="20"/>
  <c r="EM41" i="20"/>
  <c r="EM42" i="20"/>
  <c r="EM56" i="20"/>
  <c r="EM57" i="20"/>
  <c r="EM58" i="20"/>
  <c r="EM10" i="20"/>
  <c r="EM33" i="20"/>
  <c r="EM34" i="20"/>
  <c r="EM35" i="20"/>
  <c r="EM36" i="20" s="1"/>
  <c r="EM46" i="20"/>
  <c r="FI46" i="20" s="1"/>
  <c r="EM47" i="20"/>
  <c r="FI47" i="20" s="1"/>
  <c r="EM48" i="20"/>
  <c r="FI48" i="20" s="1"/>
  <c r="EM49" i="20"/>
  <c r="FI49" i="20" s="1"/>
  <c r="EM50" i="20"/>
  <c r="FI50" i="20" s="1"/>
  <c r="EM51" i="20"/>
  <c r="FI51" i="20" s="1"/>
  <c r="EM52" i="20"/>
  <c r="FI52" i="20" s="1"/>
  <c r="R79" i="9"/>
  <c r="R80" i="9"/>
  <c r="R81" i="9"/>
  <c r="R82" i="9"/>
  <c r="R83" i="9"/>
  <c r="R84" i="9"/>
  <c r="R85" i="9"/>
  <c r="R86" i="9"/>
  <c r="R87" i="9"/>
  <c r="R88" i="9"/>
  <c r="R89" i="9"/>
  <c r="R90" i="9"/>
  <c r="R91" i="9"/>
  <c r="R92" i="9"/>
  <c r="R99" i="9" s="1"/>
  <c r="R93" i="9"/>
  <c r="W43" i="22"/>
  <c r="U17" i="23" s="1"/>
  <c r="W44" i="22"/>
  <c r="U24" i="23" s="1"/>
  <c r="U26" i="23" s="1"/>
  <c r="W45" i="22"/>
  <c r="U32" i="23" s="1"/>
  <c r="U34" i="23" s="1"/>
  <c r="S118" i="9"/>
  <c r="S119" i="9"/>
  <c r="L48" i="9"/>
  <c r="R7" i="6" s="1"/>
  <c r="S178" i="9"/>
  <c r="S179" i="9"/>
  <c r="S180" i="9"/>
  <c r="S181" i="9"/>
  <c r="S182" i="9"/>
  <c r="S183" i="9"/>
  <c r="S184" i="9"/>
  <c r="S185" i="9"/>
  <c r="S186" i="9"/>
  <c r="S187" i="9"/>
  <c r="S188" i="9"/>
  <c r="S189" i="9"/>
  <c r="S190" i="9"/>
  <c r="S191" i="9"/>
  <c r="S192" i="9"/>
  <c r="S193" i="9"/>
  <c r="S56" i="9"/>
  <c r="S57" i="9"/>
  <c r="S58" i="9"/>
  <c r="S59" i="9"/>
  <c r="S60" i="9"/>
  <c r="S61" i="9"/>
  <c r="S62" i="9"/>
  <c r="S63" i="9"/>
  <c r="S65" i="9"/>
  <c r="S66" i="9"/>
  <c r="S70" i="9"/>
  <c r="S71" i="9"/>
  <c r="EN13" i="20"/>
  <c r="EN14" i="20"/>
  <c r="EN15" i="20"/>
  <c r="EN16" i="20"/>
  <c r="EN17" i="20"/>
  <c r="EN18" i="20"/>
  <c r="EN19" i="20"/>
  <c r="EN20" i="20"/>
  <c r="EN21" i="20"/>
  <c r="EN24" i="20"/>
  <c r="EN25" i="20"/>
  <c r="EN26" i="20"/>
  <c r="EN27" i="20"/>
  <c r="EN30" i="20" s="1"/>
  <c r="EN28" i="20"/>
  <c r="EN29" i="20"/>
  <c r="EN39" i="20"/>
  <c r="EN41" i="20"/>
  <c r="EN42" i="20"/>
  <c r="EN56" i="20"/>
  <c r="EN58" i="20" s="1"/>
  <c r="EN57" i="20"/>
  <c r="EN10" i="20"/>
  <c r="EN33" i="20"/>
  <c r="EN36" i="20" s="1"/>
  <c r="EN34" i="20"/>
  <c r="EN35" i="20"/>
  <c r="EN46" i="20"/>
  <c r="FJ46" i="20"/>
  <c r="EN47" i="20"/>
  <c r="FJ47" i="20"/>
  <c r="EN48" i="20"/>
  <c r="FJ48" i="20" s="1"/>
  <c r="EN49" i="20"/>
  <c r="FJ49" i="20" s="1"/>
  <c r="EN50" i="20"/>
  <c r="FJ50" i="20" s="1"/>
  <c r="EN51" i="20"/>
  <c r="FJ51" i="20" s="1"/>
  <c r="EN52" i="20"/>
  <c r="FJ52" i="20" s="1"/>
  <c r="S79" i="9"/>
  <c r="S80" i="9"/>
  <c r="S81" i="9"/>
  <c r="S82" i="9"/>
  <c r="S83" i="9"/>
  <c r="S84" i="9"/>
  <c r="S85" i="9"/>
  <c r="S86" i="9"/>
  <c r="S87" i="9"/>
  <c r="S88" i="9"/>
  <c r="S89" i="9"/>
  <c r="S90" i="9"/>
  <c r="S91" i="9"/>
  <c r="S92" i="9"/>
  <c r="S93" i="9"/>
  <c r="S94" i="9"/>
  <c r="S99" i="9" s="1"/>
  <c r="X43" i="22"/>
  <c r="V17" i="23" s="1"/>
  <c r="X44" i="22"/>
  <c r="V24" i="23" s="1"/>
  <c r="V26" i="23" s="1"/>
  <c r="X45" i="22"/>
  <c r="V32" i="23" s="1"/>
  <c r="V34" i="23" s="1"/>
  <c r="T118" i="9"/>
  <c r="T119" i="9"/>
  <c r="C121" i="9"/>
  <c r="T121" i="9" s="1"/>
  <c r="W121" i="9" s="1"/>
  <c r="T178" i="9"/>
  <c r="T179" i="9"/>
  <c r="T180" i="9"/>
  <c r="T181" i="9"/>
  <c r="T182" i="9"/>
  <c r="T183" i="9"/>
  <c r="T184" i="9"/>
  <c r="T185" i="9"/>
  <c r="T186" i="9"/>
  <c r="T187" i="9"/>
  <c r="T188" i="9"/>
  <c r="T189" i="9"/>
  <c r="T190" i="9"/>
  <c r="T191" i="9"/>
  <c r="T192" i="9"/>
  <c r="T193" i="9"/>
  <c r="T56" i="9"/>
  <c r="T57" i="9"/>
  <c r="T58" i="9"/>
  <c r="T59" i="9"/>
  <c r="T60" i="9"/>
  <c r="T61" i="9"/>
  <c r="T62" i="9"/>
  <c r="T63" i="9"/>
  <c r="T66" i="9"/>
  <c r="T68" i="9"/>
  <c r="T69" i="9"/>
  <c r="T70" i="9"/>
  <c r="T71" i="9"/>
  <c r="T72" i="9"/>
  <c r="EO13" i="20"/>
  <c r="EO14" i="20"/>
  <c r="EO15" i="20"/>
  <c r="EO16" i="20"/>
  <c r="EO21" i="20" s="1"/>
  <c r="EO17" i="20"/>
  <c r="EO18" i="20"/>
  <c r="EO19" i="20"/>
  <c r="EO20" i="20"/>
  <c r="EO24" i="20"/>
  <c r="EO25" i="20"/>
  <c r="EO26" i="20"/>
  <c r="EO27" i="20"/>
  <c r="EO28" i="20"/>
  <c r="EO29" i="20"/>
  <c r="EO30" i="20"/>
  <c r="EO39" i="20"/>
  <c r="EO41" i="20"/>
  <c r="EO42" i="20"/>
  <c r="EO56" i="20"/>
  <c r="EO58" i="20" s="1"/>
  <c r="EO57" i="20"/>
  <c r="EO33" i="20"/>
  <c r="EO36" i="20" s="1"/>
  <c r="EO34" i="20"/>
  <c r="EO35" i="20"/>
  <c r="EO46" i="20"/>
  <c r="FK46" i="20"/>
  <c r="EO47" i="20"/>
  <c r="FK47" i="20" s="1"/>
  <c r="EO48" i="20"/>
  <c r="FK48" i="20"/>
  <c r="EO49" i="20"/>
  <c r="FK49" i="20" s="1"/>
  <c r="EO50" i="20"/>
  <c r="FK50" i="20"/>
  <c r="EO51" i="20"/>
  <c r="FK51" i="20" s="1"/>
  <c r="EO52" i="20"/>
  <c r="FK52" i="20"/>
  <c r="T79" i="9"/>
  <c r="T80" i="9"/>
  <c r="T81" i="9"/>
  <c r="T82" i="9"/>
  <c r="T83" i="9"/>
  <c r="T84" i="9"/>
  <c r="T85" i="9"/>
  <c r="T86" i="9"/>
  <c r="T87" i="9"/>
  <c r="T88" i="9"/>
  <c r="T89" i="9"/>
  <c r="T90" i="9"/>
  <c r="T91" i="9"/>
  <c r="T92" i="9"/>
  <c r="T93" i="9"/>
  <c r="T94" i="9"/>
  <c r="T95" i="9"/>
  <c r="T99" i="9" s="1"/>
  <c r="L34" i="9"/>
  <c r="D7" i="6" s="1"/>
  <c r="C106" i="9"/>
  <c r="G106" i="9" s="1"/>
  <c r="W106" i="9" s="1"/>
  <c r="E106" i="9"/>
  <c r="F106" i="9"/>
  <c r="H106" i="9"/>
  <c r="L35" i="9"/>
  <c r="E7" i="6" s="1"/>
  <c r="L36" i="9"/>
  <c r="F7" i="6" s="1"/>
  <c r="L37" i="9"/>
  <c r="G7" i="6" s="1"/>
  <c r="C109" i="9"/>
  <c r="I109" i="9" s="1"/>
  <c r="K109" i="9"/>
  <c r="L38" i="9"/>
  <c r="H7" i="6" s="1"/>
  <c r="C110" i="9"/>
  <c r="K110" i="9" s="1"/>
  <c r="W110" i="9" s="1"/>
  <c r="I110" i="9"/>
  <c r="J110" i="9"/>
  <c r="L110" i="9"/>
  <c r="L39" i="9"/>
  <c r="I7" i="6" s="1"/>
  <c r="L40" i="9"/>
  <c r="J7" i="6" s="1"/>
  <c r="L41" i="9"/>
  <c r="K7" i="6" s="1"/>
  <c r="C113" i="9"/>
  <c r="M113" i="9" s="1"/>
  <c r="O113" i="9"/>
  <c r="L42" i="9"/>
  <c r="L7" i="6" s="1"/>
  <c r="C114" i="9"/>
  <c r="O114" i="9" s="1"/>
  <c r="W114" i="9" s="1"/>
  <c r="M114" i="9"/>
  <c r="N114" i="9"/>
  <c r="P114" i="9"/>
  <c r="O116" i="9"/>
  <c r="W116" i="9" s="1"/>
  <c r="P116" i="9"/>
  <c r="W119" i="9"/>
  <c r="L50" i="9"/>
  <c r="C122" i="9"/>
  <c r="W122" i="9"/>
  <c r="L51" i="9"/>
  <c r="C123" i="9" s="1"/>
  <c r="L33" i="9"/>
  <c r="C7" i="6" s="1"/>
  <c r="C80" i="9"/>
  <c r="E80" i="9"/>
  <c r="F80" i="9"/>
  <c r="G80" i="9"/>
  <c r="H80" i="9"/>
  <c r="I80" i="9"/>
  <c r="J80" i="9"/>
  <c r="K80" i="9"/>
  <c r="L80" i="9"/>
  <c r="M80" i="9"/>
  <c r="N80" i="9"/>
  <c r="O80" i="9"/>
  <c r="W80" i="9" s="1"/>
  <c r="P80" i="9"/>
  <c r="C81" i="9"/>
  <c r="F81" i="9"/>
  <c r="W81" i="9" s="1"/>
  <c r="G81" i="9"/>
  <c r="H81" i="9"/>
  <c r="I81" i="9"/>
  <c r="J81" i="9"/>
  <c r="K81" i="9"/>
  <c r="L81" i="9"/>
  <c r="M81" i="9"/>
  <c r="N81" i="9"/>
  <c r="O81" i="9"/>
  <c r="P81" i="9"/>
  <c r="C82" i="9"/>
  <c r="W82" i="9" s="1"/>
  <c r="G82" i="9"/>
  <c r="H82" i="9"/>
  <c r="I82" i="9"/>
  <c r="J82" i="9"/>
  <c r="K82" i="9"/>
  <c r="L82" i="9"/>
  <c r="M82" i="9"/>
  <c r="N82" i="9"/>
  <c r="O82" i="9"/>
  <c r="P82" i="9"/>
  <c r="C83" i="9"/>
  <c r="H83" i="9"/>
  <c r="I83" i="9"/>
  <c r="J83" i="9"/>
  <c r="K83" i="9"/>
  <c r="L83" i="9"/>
  <c r="M83" i="9"/>
  <c r="N83" i="9"/>
  <c r="O83" i="9"/>
  <c r="P83" i="9"/>
  <c r="W83" i="9"/>
  <c r="C84" i="9"/>
  <c r="I84" i="9"/>
  <c r="J84" i="9"/>
  <c r="K84" i="9"/>
  <c r="W84" i="9" s="1"/>
  <c r="L84" i="9"/>
  <c r="M84" i="9"/>
  <c r="N84" i="9"/>
  <c r="O84" i="9"/>
  <c r="P84" i="9"/>
  <c r="C85" i="9"/>
  <c r="J85" i="9"/>
  <c r="W85" i="9" s="1"/>
  <c r="K85" i="9"/>
  <c r="L85" i="9"/>
  <c r="M85" i="9"/>
  <c r="N85" i="9"/>
  <c r="O85" i="9"/>
  <c r="P85" i="9"/>
  <c r="C86" i="9"/>
  <c r="W86" i="9" s="1"/>
  <c r="K86" i="9"/>
  <c r="L86" i="9"/>
  <c r="M86" i="9"/>
  <c r="N86" i="9"/>
  <c r="O86" i="9"/>
  <c r="P86" i="9"/>
  <c r="C87" i="9"/>
  <c r="W87" i="9" s="1"/>
  <c r="L87" i="9"/>
  <c r="M87" i="9"/>
  <c r="N87" i="9"/>
  <c r="O87" i="9"/>
  <c r="P87" i="9"/>
  <c r="C88" i="9"/>
  <c r="M88" i="9"/>
  <c r="N88" i="9"/>
  <c r="O88" i="9"/>
  <c r="P88" i="9"/>
  <c r="W88" i="9"/>
  <c r="C89" i="9"/>
  <c r="N89" i="9"/>
  <c r="W89" i="9" s="1"/>
  <c r="O89" i="9"/>
  <c r="P89" i="9"/>
  <c r="C90" i="9"/>
  <c r="W90" i="9" s="1"/>
  <c r="O90" i="9"/>
  <c r="P90" i="9"/>
  <c r="C91" i="9"/>
  <c r="P91" i="9"/>
  <c r="W91" i="9"/>
  <c r="C92" i="9"/>
  <c r="W92" i="9"/>
  <c r="C93" i="9"/>
  <c r="W93" i="9"/>
  <c r="C94" i="9"/>
  <c r="W94" i="9"/>
  <c r="C95" i="9"/>
  <c r="W95" i="9"/>
  <c r="C96" i="9"/>
  <c r="W96" i="9"/>
  <c r="C97" i="9"/>
  <c r="W97" i="9"/>
  <c r="C79" i="9"/>
  <c r="D79" i="9"/>
  <c r="W79" i="9" s="1"/>
  <c r="E79" i="9"/>
  <c r="F79" i="9"/>
  <c r="G79" i="9"/>
  <c r="H79" i="9"/>
  <c r="I79" i="9"/>
  <c r="J79" i="9"/>
  <c r="K79" i="9"/>
  <c r="L79" i="9"/>
  <c r="M79" i="9"/>
  <c r="N79" i="9"/>
  <c r="O79" i="9"/>
  <c r="P79" i="9"/>
  <c r="C57" i="9"/>
  <c r="W57" i="9" s="1"/>
  <c r="E57" i="9"/>
  <c r="F57" i="9"/>
  <c r="G57" i="9"/>
  <c r="H57" i="9"/>
  <c r="I57" i="9"/>
  <c r="J57" i="9"/>
  <c r="K57" i="9"/>
  <c r="L57" i="9"/>
  <c r="M57" i="9"/>
  <c r="N57" i="9"/>
  <c r="O57" i="9"/>
  <c r="P57" i="9"/>
  <c r="C58" i="9"/>
  <c r="F58" i="9"/>
  <c r="G58" i="9"/>
  <c r="W58" i="9" s="1"/>
  <c r="H58" i="9"/>
  <c r="I58" i="9"/>
  <c r="J58" i="9"/>
  <c r="K58" i="9"/>
  <c r="L58" i="9"/>
  <c r="M58" i="9"/>
  <c r="N58" i="9"/>
  <c r="O58" i="9"/>
  <c r="P58" i="9"/>
  <c r="C59" i="9"/>
  <c r="G59" i="9"/>
  <c r="W59" i="9" s="1"/>
  <c r="H59" i="9"/>
  <c r="I59" i="9"/>
  <c r="J59" i="9"/>
  <c r="K59" i="9"/>
  <c r="L59" i="9"/>
  <c r="M59" i="9"/>
  <c r="N59" i="9"/>
  <c r="O59" i="9"/>
  <c r="P59" i="9"/>
  <c r="C60" i="9"/>
  <c r="W60" i="9" s="1"/>
  <c r="H60" i="9"/>
  <c r="I60" i="9"/>
  <c r="J60" i="9"/>
  <c r="K60" i="9"/>
  <c r="L60" i="9"/>
  <c r="M60" i="9"/>
  <c r="N60" i="9"/>
  <c r="O60" i="9"/>
  <c r="P60" i="9"/>
  <c r="C61" i="9"/>
  <c r="W61" i="9" s="1"/>
  <c r="I61" i="9"/>
  <c r="J61" i="9"/>
  <c r="K61" i="9"/>
  <c r="L61" i="9"/>
  <c r="M61" i="9"/>
  <c r="N61" i="9"/>
  <c r="O61" i="9"/>
  <c r="P61" i="9"/>
  <c r="C62" i="9"/>
  <c r="J62" i="9"/>
  <c r="K62" i="9"/>
  <c r="L62" i="9"/>
  <c r="M62" i="9"/>
  <c r="N62" i="9"/>
  <c r="O62" i="9"/>
  <c r="P62" i="9"/>
  <c r="W62" i="9"/>
  <c r="C63" i="9"/>
  <c r="K63" i="9"/>
  <c r="L63" i="9"/>
  <c r="M63" i="9"/>
  <c r="N63" i="9"/>
  <c r="O63" i="9"/>
  <c r="P63" i="9"/>
  <c r="W63" i="9"/>
  <c r="C64" i="9"/>
  <c r="L64" i="9"/>
  <c r="O64" i="9"/>
  <c r="C65" i="9"/>
  <c r="M65" i="9"/>
  <c r="N65" i="9"/>
  <c r="P65" i="9"/>
  <c r="C66" i="9"/>
  <c r="N66" i="9"/>
  <c r="O66" i="9"/>
  <c r="P66" i="9"/>
  <c r="C67" i="9"/>
  <c r="T67" i="9"/>
  <c r="C68" i="9"/>
  <c r="S68" i="9"/>
  <c r="P68" i="9"/>
  <c r="C69" i="9"/>
  <c r="Q69" i="9"/>
  <c r="C70" i="9"/>
  <c r="W70" i="9" s="1"/>
  <c r="C71" i="9"/>
  <c r="W71" i="9" s="1"/>
  <c r="C72" i="9"/>
  <c r="W72" i="9" s="1"/>
  <c r="C73" i="9"/>
  <c r="W73" i="9" s="1"/>
  <c r="C74" i="9"/>
  <c r="W74" i="9" s="1"/>
  <c r="C56" i="9"/>
  <c r="D56" i="9"/>
  <c r="E56" i="9"/>
  <c r="F56" i="9"/>
  <c r="G56" i="9"/>
  <c r="H56" i="9"/>
  <c r="I56" i="9"/>
  <c r="J56" i="9"/>
  <c r="K56" i="9"/>
  <c r="L56" i="9"/>
  <c r="L75" i="9" s="1"/>
  <c r="J20" i="29" s="1"/>
  <c r="M56" i="9"/>
  <c r="N56" i="9"/>
  <c r="O56" i="9"/>
  <c r="P56" i="9"/>
  <c r="W56" i="9"/>
  <c r="CQ13" i="20"/>
  <c r="CP57" i="20"/>
  <c r="CO57" i="20"/>
  <c r="CN57" i="20"/>
  <c r="CM57" i="20"/>
  <c r="CP56" i="20"/>
  <c r="CO56" i="20"/>
  <c r="CN56" i="20"/>
  <c r="CM56" i="20"/>
  <c r="CP52" i="20"/>
  <c r="CO52" i="20"/>
  <c r="CN52" i="20"/>
  <c r="CM52" i="20"/>
  <c r="CP51" i="20"/>
  <c r="CO51" i="20"/>
  <c r="CN51" i="20"/>
  <c r="CM51" i="20"/>
  <c r="CP50" i="20"/>
  <c r="CO50" i="20"/>
  <c r="CN50" i="20"/>
  <c r="CM50" i="20"/>
  <c r="CP49" i="20"/>
  <c r="CO49" i="20"/>
  <c r="CN49" i="20"/>
  <c r="CM49" i="20"/>
  <c r="CP48" i="20"/>
  <c r="CO48" i="20"/>
  <c r="CN48" i="20"/>
  <c r="CM48" i="20"/>
  <c r="CP47" i="20"/>
  <c r="CO47" i="20"/>
  <c r="CN47" i="20"/>
  <c r="CM47" i="20"/>
  <c r="CP46" i="20"/>
  <c r="CO46" i="20"/>
  <c r="CN46" i="20"/>
  <c r="CM46" i="20"/>
  <c r="CP42" i="20"/>
  <c r="CO42" i="20"/>
  <c r="CN42" i="20"/>
  <c r="CM42" i="20"/>
  <c r="CP41" i="20"/>
  <c r="CO41" i="20"/>
  <c r="CN41" i="20"/>
  <c r="CM41" i="20"/>
  <c r="CP40" i="20"/>
  <c r="CO40" i="20"/>
  <c r="CN40" i="20"/>
  <c r="CM40" i="20"/>
  <c r="CP39" i="20"/>
  <c r="CO39" i="20"/>
  <c r="CN39" i="20"/>
  <c r="CM39" i="20"/>
  <c r="CP35" i="20"/>
  <c r="CO35" i="20"/>
  <c r="CN35" i="20"/>
  <c r="CM35" i="20"/>
  <c r="CP34" i="20"/>
  <c r="CO34" i="20"/>
  <c r="CN34" i="20"/>
  <c r="CM34" i="20"/>
  <c r="CP33" i="20"/>
  <c r="CO33" i="20"/>
  <c r="CN33" i="20"/>
  <c r="CM33" i="20"/>
  <c r="CP29" i="20"/>
  <c r="CO29" i="20"/>
  <c r="CN29" i="20"/>
  <c r="CM29" i="20"/>
  <c r="CP28" i="20"/>
  <c r="CO28" i="20"/>
  <c r="CN28" i="20"/>
  <c r="CM28" i="20"/>
  <c r="CP27" i="20"/>
  <c r="CO27" i="20"/>
  <c r="CN27" i="20"/>
  <c r="CM27" i="20"/>
  <c r="CP26" i="20"/>
  <c r="CO26" i="20"/>
  <c r="CN26" i="20"/>
  <c r="CM26" i="20"/>
  <c r="CP25" i="20"/>
  <c r="CO25" i="20"/>
  <c r="CN25" i="20"/>
  <c r="CM25" i="20"/>
  <c r="CP24" i="20"/>
  <c r="CO24" i="20"/>
  <c r="CN24" i="20"/>
  <c r="CM24" i="20"/>
  <c r="CP20" i="20"/>
  <c r="CO20" i="20"/>
  <c r="CN20" i="20"/>
  <c r="CM20" i="20"/>
  <c r="CP19" i="20"/>
  <c r="CO19" i="20"/>
  <c r="CN19" i="20"/>
  <c r="CM19" i="20"/>
  <c r="CP18" i="20"/>
  <c r="CO18" i="20"/>
  <c r="CN18" i="20"/>
  <c r="CM18" i="20"/>
  <c r="CP17" i="20"/>
  <c r="CO17" i="20"/>
  <c r="CN17" i="20"/>
  <c r="CM17" i="20"/>
  <c r="CP16" i="20"/>
  <c r="CO16" i="20"/>
  <c r="CN16" i="20"/>
  <c r="CM16" i="20"/>
  <c r="CP15" i="20"/>
  <c r="CO15" i="20"/>
  <c r="CN15" i="20"/>
  <c r="CM15" i="20"/>
  <c r="CP14" i="20"/>
  <c r="CO14" i="20"/>
  <c r="CN14" i="20"/>
  <c r="CM14" i="20"/>
  <c r="CP13" i="20"/>
  <c r="CL57" i="20"/>
  <c r="CK57" i="20"/>
  <c r="CJ57" i="20"/>
  <c r="CI57" i="20"/>
  <c r="CL56" i="20"/>
  <c r="CK56" i="20"/>
  <c r="CJ56" i="20"/>
  <c r="CI56" i="20"/>
  <c r="CL52" i="20"/>
  <c r="CK52" i="20"/>
  <c r="CJ52" i="20"/>
  <c r="CI52" i="20"/>
  <c r="CL51" i="20"/>
  <c r="CK51" i="20"/>
  <c r="CJ51" i="20"/>
  <c r="CI51" i="20"/>
  <c r="CL50" i="20"/>
  <c r="CK50" i="20"/>
  <c r="CJ50" i="20"/>
  <c r="CI50" i="20"/>
  <c r="CL49" i="20"/>
  <c r="CK49" i="20"/>
  <c r="CJ49" i="20"/>
  <c r="CI49" i="20"/>
  <c r="CL48" i="20"/>
  <c r="CK48" i="20"/>
  <c r="CJ48" i="20"/>
  <c r="CI48" i="20"/>
  <c r="CL47" i="20"/>
  <c r="CK47" i="20"/>
  <c r="CJ47" i="20"/>
  <c r="CI47" i="20"/>
  <c r="CL46" i="20"/>
  <c r="CK46" i="20"/>
  <c r="CJ46" i="20"/>
  <c r="CI46" i="20"/>
  <c r="CL42" i="20"/>
  <c r="CK42" i="20"/>
  <c r="CJ42" i="20"/>
  <c r="CI42" i="20"/>
  <c r="CL41" i="20"/>
  <c r="CK41" i="20"/>
  <c r="CJ41" i="20"/>
  <c r="CI41" i="20"/>
  <c r="CL40" i="20"/>
  <c r="CK40" i="20"/>
  <c r="CJ40" i="20"/>
  <c r="CI40" i="20"/>
  <c r="CL39" i="20"/>
  <c r="CK39" i="20"/>
  <c r="CJ39" i="20"/>
  <c r="CI39" i="20"/>
  <c r="CL35" i="20"/>
  <c r="CK35" i="20"/>
  <c r="CJ35" i="20"/>
  <c r="CI35" i="20"/>
  <c r="CL34" i="20"/>
  <c r="CK34" i="20"/>
  <c r="CJ34" i="20"/>
  <c r="CI34" i="20"/>
  <c r="CL33" i="20"/>
  <c r="CK33" i="20"/>
  <c r="CJ33" i="20"/>
  <c r="CI33" i="20"/>
  <c r="CL29" i="20"/>
  <c r="CK29" i="20"/>
  <c r="CJ29" i="20"/>
  <c r="CI29" i="20"/>
  <c r="CL28" i="20"/>
  <c r="CK28" i="20"/>
  <c r="CJ28" i="20"/>
  <c r="CI28" i="20"/>
  <c r="CL27" i="20"/>
  <c r="CK27" i="20"/>
  <c r="CJ27" i="20"/>
  <c r="CI27" i="20"/>
  <c r="CL26" i="20"/>
  <c r="CK26" i="20"/>
  <c r="CJ26" i="20"/>
  <c r="CI26" i="20"/>
  <c r="CL25" i="20"/>
  <c r="CK25" i="20"/>
  <c r="CJ25" i="20"/>
  <c r="CI25" i="20"/>
  <c r="CL24" i="20"/>
  <c r="CK24" i="20"/>
  <c r="CJ24" i="20"/>
  <c r="CI24" i="20"/>
  <c r="CI20" i="20"/>
  <c r="CI13" i="20"/>
  <c r="CI19" i="20"/>
  <c r="CI18" i="20"/>
  <c r="CI17" i="20"/>
  <c r="CI16" i="20"/>
  <c r="CI15" i="20"/>
  <c r="CI14" i="20"/>
  <c r="CJ13" i="20"/>
  <c r="CL13" i="20"/>
  <c r="J75" i="9"/>
  <c r="H20" i="29" s="1"/>
  <c r="J99" i="9"/>
  <c r="K75" i="9"/>
  <c r="I20" i="29" s="1"/>
  <c r="K99" i="9"/>
  <c r="L99" i="9"/>
  <c r="M99" i="9"/>
  <c r="N99" i="9"/>
  <c r="O99" i="9"/>
  <c r="P99" i="9"/>
  <c r="R11" i="29"/>
  <c r="Q11" i="29"/>
  <c r="P11" i="29"/>
  <c r="O11" i="29"/>
  <c r="N11" i="29"/>
  <c r="M11" i="29"/>
  <c r="L11" i="29"/>
  <c r="K11" i="29"/>
  <c r="B18" i="30"/>
  <c r="T43" i="22"/>
  <c r="R17" i="23" s="1"/>
  <c r="T44" i="22"/>
  <c r="R24" i="23" s="1"/>
  <c r="R26" i="23" s="1"/>
  <c r="T45" i="22"/>
  <c r="R32" i="23" s="1"/>
  <c r="R34" i="23" s="1"/>
  <c r="S42" i="22"/>
  <c r="Q10" i="23" s="1"/>
  <c r="Q12" i="23" s="1"/>
  <c r="S43" i="22"/>
  <c r="Q17" i="23" s="1"/>
  <c r="S44" i="22"/>
  <c r="Q24" i="23" s="1"/>
  <c r="Q26" i="23" s="1"/>
  <c r="S45" i="22"/>
  <c r="Q32" i="23" s="1"/>
  <c r="Q34" i="23" s="1"/>
  <c r="R42" i="22"/>
  <c r="P10" i="23" s="1"/>
  <c r="P12" i="23" s="1"/>
  <c r="R43" i="22"/>
  <c r="P17" i="23" s="1"/>
  <c r="R44" i="22"/>
  <c r="P24" i="23" s="1"/>
  <c r="P26" i="23" s="1"/>
  <c r="R45" i="22"/>
  <c r="P32" i="23" s="1"/>
  <c r="P34" i="23" s="1"/>
  <c r="Q42" i="22"/>
  <c r="O10" i="23" s="1"/>
  <c r="O12" i="23" s="1"/>
  <c r="Q43" i="22"/>
  <c r="O17" i="23" s="1"/>
  <c r="Q44" i="22"/>
  <c r="O24" i="23" s="1"/>
  <c r="O26" i="23" s="1"/>
  <c r="Q45" i="22"/>
  <c r="O32" i="23" s="1"/>
  <c r="O34" i="23" s="1"/>
  <c r="P42" i="22"/>
  <c r="N10" i="23" s="1"/>
  <c r="N12" i="23" s="1"/>
  <c r="P43" i="22"/>
  <c r="N17" i="23" s="1"/>
  <c r="P44" i="22"/>
  <c r="N24" i="23" s="1"/>
  <c r="N26" i="23" s="1"/>
  <c r="P45" i="22"/>
  <c r="N32" i="23" s="1"/>
  <c r="N34" i="23" s="1"/>
  <c r="O42" i="22"/>
  <c r="M10" i="23" s="1"/>
  <c r="M12" i="23" s="1"/>
  <c r="O43" i="22"/>
  <c r="M17" i="23" s="1"/>
  <c r="O44" i="22"/>
  <c r="M24" i="23" s="1"/>
  <c r="M26" i="23" s="1"/>
  <c r="O45" i="22"/>
  <c r="M32" i="23" s="1"/>
  <c r="M34" i="23" s="1"/>
  <c r="N42" i="22"/>
  <c r="L10" i="23" s="1"/>
  <c r="L12" i="23" s="1"/>
  <c r="N43" i="22"/>
  <c r="L17" i="23" s="1"/>
  <c r="L19" i="23" s="1"/>
  <c r="N44" i="22"/>
  <c r="L24" i="23" s="1"/>
  <c r="L26" i="23" s="1"/>
  <c r="N45" i="22"/>
  <c r="L32" i="23" s="1"/>
  <c r="L34" i="23" s="1"/>
  <c r="L42" i="23" s="1"/>
  <c r="M42" i="22"/>
  <c r="K10" i="23" s="1"/>
  <c r="K12" i="23" s="1"/>
  <c r="M43" i="22"/>
  <c r="K17" i="23" s="1"/>
  <c r="K19" i="23" s="1"/>
  <c r="M44" i="22"/>
  <c r="K24" i="23" s="1"/>
  <c r="K26" i="23" s="1"/>
  <c r="M45" i="22"/>
  <c r="K32" i="23" s="1"/>
  <c r="K34" i="23" s="1"/>
  <c r="L42" i="22"/>
  <c r="J10" i="23" s="1"/>
  <c r="J12" i="23" s="1"/>
  <c r="L43" i="22"/>
  <c r="J17" i="23" s="1"/>
  <c r="J19" i="23" s="1"/>
  <c r="L44" i="22"/>
  <c r="J24" i="23" s="1"/>
  <c r="J26" i="23" s="1"/>
  <c r="L45" i="22"/>
  <c r="J32" i="23" s="1"/>
  <c r="J34" i="23" s="1"/>
  <c r="K42" i="22"/>
  <c r="I10" i="23" s="1"/>
  <c r="I12" i="23" s="1"/>
  <c r="K43" i="22"/>
  <c r="I17" i="23" s="1"/>
  <c r="I19" i="23" s="1"/>
  <c r="I21" i="23"/>
  <c r="K44" i="22"/>
  <c r="I24" i="23" s="1"/>
  <c r="I26" i="23" s="1"/>
  <c r="K45" i="22"/>
  <c r="I32" i="23" s="1"/>
  <c r="I34" i="23" s="1"/>
  <c r="J42" i="22"/>
  <c r="H10" i="23" s="1"/>
  <c r="H12" i="23" s="1"/>
  <c r="J43" i="22"/>
  <c r="H17" i="23" s="1"/>
  <c r="H19" i="23" s="1"/>
  <c r="J44" i="22"/>
  <c r="H24" i="23" s="1"/>
  <c r="H26" i="23" s="1"/>
  <c r="J45" i="22"/>
  <c r="H32" i="23" s="1"/>
  <c r="H34" i="23" s="1"/>
  <c r="H37" i="23"/>
  <c r="I42" i="22"/>
  <c r="G10" i="23" s="1"/>
  <c r="G12" i="23" s="1"/>
  <c r="I43" i="22"/>
  <c r="G17" i="23" s="1"/>
  <c r="G19" i="23" s="1"/>
  <c r="I44" i="22"/>
  <c r="G24" i="23" s="1"/>
  <c r="G26" i="23" s="1"/>
  <c r="I45" i="22"/>
  <c r="G32" i="23" s="1"/>
  <c r="G34" i="23" s="1"/>
  <c r="H42" i="22"/>
  <c r="F10" i="23" s="1"/>
  <c r="F12" i="23" s="1"/>
  <c r="H43" i="22"/>
  <c r="F17" i="23" s="1"/>
  <c r="F19" i="23" s="1"/>
  <c r="H44" i="22"/>
  <c r="F24" i="23" s="1"/>
  <c r="F26" i="23" s="1"/>
  <c r="H45" i="22"/>
  <c r="F32" i="23" s="1"/>
  <c r="F34" i="23" s="1"/>
  <c r="L3" i="31"/>
  <c r="J11" i="34"/>
  <c r="B7" i="31"/>
  <c r="C7" i="31" s="1"/>
  <c r="D7" i="31" s="1"/>
  <c r="E7" i="31" s="1"/>
  <c r="F7" i="31" s="1"/>
  <c r="CD5" i="20"/>
  <c r="EQ13" i="20"/>
  <c r="DK13" i="20"/>
  <c r="EQ14" i="20"/>
  <c r="EP14" i="20"/>
  <c r="EP13" i="20"/>
  <c r="EH14" i="20"/>
  <c r="EG14" i="20"/>
  <c r="EF14" i="20"/>
  <c r="EE14" i="20"/>
  <c r="ED14" i="20"/>
  <c r="ED13" i="20"/>
  <c r="EC14" i="20"/>
  <c r="EC13" i="20"/>
  <c r="EB14" i="20"/>
  <c r="EB13" i="20"/>
  <c r="EA14" i="20"/>
  <c r="EA13" i="20"/>
  <c r="DZ14" i="20"/>
  <c r="DZ13" i="20"/>
  <c r="DY14" i="20"/>
  <c r="DY13" i="20"/>
  <c r="DX14" i="20"/>
  <c r="DX13" i="20"/>
  <c r="DW14" i="20"/>
  <c r="DW13" i="20"/>
  <c r="DV14" i="20"/>
  <c r="DV13" i="20"/>
  <c r="DU14" i="20"/>
  <c r="DU13" i="20"/>
  <c r="DT14" i="20"/>
  <c r="DT13" i="20"/>
  <c r="FD13" i="20" s="1"/>
  <c r="DS14" i="20"/>
  <c r="DS13" i="20"/>
  <c r="DR14" i="20"/>
  <c r="DQ14" i="20"/>
  <c r="DP14" i="20"/>
  <c r="DO14" i="20"/>
  <c r="DN14" i="20"/>
  <c r="DN13" i="20"/>
  <c r="DM14" i="20"/>
  <c r="DM13" i="20"/>
  <c r="DL14" i="20"/>
  <c r="DL13" i="20"/>
  <c r="FB13" i="20" s="1"/>
  <c r="DK14" i="20"/>
  <c r="DK15" i="20"/>
  <c r="EQ57" i="20"/>
  <c r="EQ56" i="20"/>
  <c r="EQ52" i="20"/>
  <c r="EQ51" i="20"/>
  <c r="EQ50" i="20"/>
  <c r="EQ49" i="20"/>
  <c r="FM49" i="20" s="1"/>
  <c r="EQ48" i="20"/>
  <c r="EQ47" i="20"/>
  <c r="EQ46" i="20"/>
  <c r="EQ42" i="20"/>
  <c r="EQ41" i="20"/>
  <c r="EQ39" i="20"/>
  <c r="EQ35" i="20"/>
  <c r="EQ34" i="20"/>
  <c r="EQ33" i="20"/>
  <c r="EQ29" i="20"/>
  <c r="EQ28" i="20"/>
  <c r="EQ27" i="20"/>
  <c r="EQ26" i="20"/>
  <c r="EQ25" i="20"/>
  <c r="EQ24" i="20"/>
  <c r="EQ20" i="20"/>
  <c r="EQ19" i="20"/>
  <c r="EQ18" i="20"/>
  <c r="EQ17" i="20"/>
  <c r="EQ16" i="20"/>
  <c r="EQ15" i="20"/>
  <c r="EP57" i="20"/>
  <c r="EP56" i="20"/>
  <c r="EP52" i="20"/>
  <c r="EP51" i="20"/>
  <c r="EP50" i="20"/>
  <c r="EP49" i="20"/>
  <c r="EP48" i="20"/>
  <c r="EP47" i="20"/>
  <c r="EP46" i="20"/>
  <c r="EP42" i="20"/>
  <c r="EP41" i="20"/>
  <c r="EP39" i="20"/>
  <c r="EP35" i="20"/>
  <c r="EP34" i="20"/>
  <c r="EP33" i="20"/>
  <c r="EP29" i="20"/>
  <c r="EP28" i="20"/>
  <c r="EP27" i="20"/>
  <c r="EP26" i="20"/>
  <c r="EP25" i="20"/>
  <c r="EP24" i="20"/>
  <c r="EP20" i="20"/>
  <c r="EP19" i="20"/>
  <c r="FL19" i="20" s="1"/>
  <c r="EP18" i="20"/>
  <c r="EP17" i="20"/>
  <c r="EP16" i="20"/>
  <c r="EP15" i="20"/>
  <c r="EP21" i="20" s="1"/>
  <c r="EH57" i="20"/>
  <c r="EH56" i="20"/>
  <c r="EH52" i="20"/>
  <c r="EH51" i="20"/>
  <c r="EH50" i="20"/>
  <c r="EH49" i="20"/>
  <c r="EH48" i="20"/>
  <c r="EH47" i="20"/>
  <c r="EH46" i="20"/>
  <c r="EH42" i="20"/>
  <c r="EH41" i="20"/>
  <c r="EH39" i="20"/>
  <c r="EH35" i="20"/>
  <c r="EH34" i="20"/>
  <c r="EH33" i="20"/>
  <c r="EH29" i="20"/>
  <c r="EH28" i="20"/>
  <c r="EH27" i="20"/>
  <c r="EH26" i="20"/>
  <c r="EH25" i="20"/>
  <c r="EH24" i="20"/>
  <c r="EH20" i="20"/>
  <c r="EH19" i="20"/>
  <c r="EH17" i="20"/>
  <c r="EH16" i="20"/>
  <c r="EH15" i="20"/>
  <c r="EG57" i="20"/>
  <c r="EG56" i="20"/>
  <c r="FG56" i="20" s="1"/>
  <c r="FG58" i="20" s="1"/>
  <c r="EG52" i="20"/>
  <c r="EG51" i="20"/>
  <c r="EG50" i="20"/>
  <c r="EG49" i="20"/>
  <c r="FG49" i="20" s="1"/>
  <c r="EG48" i="20"/>
  <c r="EG47" i="20"/>
  <c r="EG46" i="20"/>
  <c r="EG42" i="20"/>
  <c r="EG41" i="20"/>
  <c r="EG39" i="20"/>
  <c r="EG35" i="20"/>
  <c r="EG34" i="20"/>
  <c r="EG33" i="20"/>
  <c r="EG29" i="20"/>
  <c r="EG28" i="20"/>
  <c r="EG27" i="20"/>
  <c r="EG26" i="20"/>
  <c r="EG25" i="20"/>
  <c r="EG24" i="20"/>
  <c r="EG20" i="20"/>
  <c r="EG19" i="20"/>
  <c r="EG17" i="20"/>
  <c r="EG16" i="20"/>
  <c r="EG15" i="20"/>
  <c r="EF57" i="20"/>
  <c r="EF56" i="20"/>
  <c r="EF52" i="20"/>
  <c r="EF51" i="20"/>
  <c r="EF50" i="20"/>
  <c r="EF49" i="20"/>
  <c r="EF48" i="20"/>
  <c r="EF47" i="20"/>
  <c r="EF53" i="20" s="1"/>
  <c r="EF63" i="20" s="1"/>
  <c r="EF46" i="20"/>
  <c r="EF42" i="20"/>
  <c r="EF41" i="20"/>
  <c r="EF39" i="20"/>
  <c r="EF35" i="20"/>
  <c r="EF34" i="20"/>
  <c r="EF33" i="20"/>
  <c r="EF29" i="20"/>
  <c r="FG29" i="20" s="1"/>
  <c r="EF28" i="20"/>
  <c r="EF27" i="20"/>
  <c r="EF24" i="20"/>
  <c r="EF20" i="20"/>
  <c r="FG20" i="20" s="1"/>
  <c r="EF19" i="20"/>
  <c r="EF17" i="20"/>
  <c r="EF16" i="20"/>
  <c r="EF15" i="20"/>
  <c r="EE57" i="20"/>
  <c r="EE56" i="20"/>
  <c r="EE52" i="20"/>
  <c r="EE51" i="20"/>
  <c r="EE49" i="20"/>
  <c r="EE48" i="20"/>
  <c r="EE47" i="20"/>
  <c r="EE42" i="20"/>
  <c r="EE41" i="20"/>
  <c r="EE39" i="20"/>
  <c r="EE35" i="20"/>
  <c r="EE34" i="20"/>
  <c r="EE33" i="20"/>
  <c r="EE29" i="20"/>
  <c r="EE28" i="20"/>
  <c r="EE27" i="20"/>
  <c r="EE24" i="20"/>
  <c r="EE20" i="20"/>
  <c r="EE19" i="20"/>
  <c r="EE17" i="20"/>
  <c r="FG17" i="20" s="1"/>
  <c r="EE16" i="20"/>
  <c r="EE15" i="20"/>
  <c r="ED57" i="20"/>
  <c r="ED56" i="20"/>
  <c r="ED58" i="20" s="1"/>
  <c r="ED52" i="20"/>
  <c r="ED51" i="20"/>
  <c r="ED50" i="20"/>
  <c r="ED49" i="20"/>
  <c r="ED53" i="20" s="1"/>
  <c r="ED48" i="20"/>
  <c r="ED47" i="20"/>
  <c r="ED46" i="20"/>
  <c r="ED42" i="20"/>
  <c r="ED43" i="20" s="1"/>
  <c r="ED41" i="20"/>
  <c r="ED40" i="20"/>
  <c r="ED39" i="20"/>
  <c r="ED35" i="20"/>
  <c r="ED34" i="20"/>
  <c r="ED33" i="20"/>
  <c r="ED29" i="20"/>
  <c r="ED28" i="20"/>
  <c r="ED27" i="20"/>
  <c r="ED26" i="20"/>
  <c r="ED25" i="20"/>
  <c r="ED24" i="20"/>
  <c r="ED20" i="20"/>
  <c r="ED19" i="20"/>
  <c r="ED18" i="20"/>
  <c r="ED17" i="20"/>
  <c r="ED16" i="20"/>
  <c r="ED15" i="20"/>
  <c r="EC57" i="20"/>
  <c r="EC56" i="20"/>
  <c r="EC52" i="20"/>
  <c r="EC51" i="20"/>
  <c r="EC50" i="20"/>
  <c r="EC49" i="20"/>
  <c r="EC53" i="20" s="1"/>
  <c r="EC63" i="20" s="1"/>
  <c r="EC48" i="20"/>
  <c r="EC47" i="20"/>
  <c r="EC46" i="20"/>
  <c r="EC42" i="20"/>
  <c r="EC41" i="20"/>
  <c r="EC40" i="20"/>
  <c r="EC39" i="20"/>
  <c r="EC35" i="20"/>
  <c r="EC36" i="20" s="1"/>
  <c r="EC34" i="20"/>
  <c r="EC33" i="20"/>
  <c r="EC29" i="20"/>
  <c r="EC28" i="20"/>
  <c r="EC27" i="20"/>
  <c r="EC26" i="20"/>
  <c r="EC25" i="20"/>
  <c r="EC24" i="20"/>
  <c r="EC30" i="20" s="1"/>
  <c r="EC20" i="20"/>
  <c r="EC19" i="20"/>
  <c r="EC18" i="20"/>
  <c r="EC17" i="20"/>
  <c r="EC16" i="20"/>
  <c r="EC15" i="20"/>
  <c r="EB57" i="20"/>
  <c r="EB56" i="20"/>
  <c r="EB58" i="20" s="1"/>
  <c r="EB52" i="20"/>
  <c r="EB51" i="20"/>
  <c r="EB50" i="20"/>
  <c r="EB49" i="20"/>
  <c r="EB53" i="20" s="1"/>
  <c r="EB48" i="20"/>
  <c r="EB47" i="20"/>
  <c r="EB46" i="20"/>
  <c r="EB42" i="20"/>
  <c r="EB43" i="20" s="1"/>
  <c r="EB41" i="20"/>
  <c r="EB40" i="20"/>
  <c r="EB39" i="20"/>
  <c r="EB35" i="20"/>
  <c r="EB36" i="20" s="1"/>
  <c r="EB34" i="20"/>
  <c r="EB33" i="20"/>
  <c r="EB29" i="20"/>
  <c r="EB28" i="20"/>
  <c r="EB27" i="20"/>
  <c r="EB26" i="20"/>
  <c r="EB25" i="20"/>
  <c r="EB24" i="20"/>
  <c r="EB20" i="20"/>
  <c r="EB19" i="20"/>
  <c r="EB18" i="20"/>
  <c r="EB17" i="20"/>
  <c r="EB16" i="20"/>
  <c r="EB15" i="20"/>
  <c r="EA57" i="20"/>
  <c r="EA56" i="20"/>
  <c r="EA52" i="20"/>
  <c r="EA51" i="20"/>
  <c r="EA50" i="20"/>
  <c r="EA49" i="20"/>
  <c r="EA53" i="20" s="1"/>
  <c r="EA48" i="20"/>
  <c r="EA47" i="20"/>
  <c r="EA46" i="20"/>
  <c r="EA42" i="20"/>
  <c r="EA41" i="20"/>
  <c r="EA40" i="20"/>
  <c r="EA39" i="20"/>
  <c r="EA35" i="20"/>
  <c r="FF35" i="20" s="1"/>
  <c r="EA34" i="20"/>
  <c r="EA33" i="20"/>
  <c r="EA29" i="20"/>
  <c r="EA28" i="20"/>
  <c r="FF28" i="20" s="1"/>
  <c r="EA27" i="20"/>
  <c r="EA26" i="20"/>
  <c r="EA25" i="20"/>
  <c r="EA24" i="20"/>
  <c r="EA20" i="20"/>
  <c r="EA19" i="20"/>
  <c r="EA18" i="20"/>
  <c r="EA17" i="20"/>
  <c r="FF17" i="20" s="1"/>
  <c r="EA16" i="20"/>
  <c r="EA15" i="20"/>
  <c r="DZ57" i="20"/>
  <c r="DZ56" i="20"/>
  <c r="DZ58" i="20" s="1"/>
  <c r="DZ52" i="20"/>
  <c r="DZ51" i="20"/>
  <c r="DZ50" i="20"/>
  <c r="DZ49" i="20"/>
  <c r="DZ53" i="20" s="1"/>
  <c r="DZ48" i="20"/>
  <c r="DZ47" i="20"/>
  <c r="DZ46" i="20"/>
  <c r="DZ42" i="20"/>
  <c r="DZ43" i="20" s="1"/>
  <c r="DZ41" i="20"/>
  <c r="DZ40" i="20"/>
  <c r="DZ39" i="20"/>
  <c r="DZ35" i="20"/>
  <c r="DZ36" i="20" s="1"/>
  <c r="DZ34" i="20"/>
  <c r="DZ33" i="20"/>
  <c r="DZ29" i="20"/>
  <c r="DZ28" i="20"/>
  <c r="DZ27" i="20"/>
  <c r="DZ26" i="20"/>
  <c r="DZ25" i="20"/>
  <c r="DZ24" i="20"/>
  <c r="DZ20" i="20"/>
  <c r="DZ19" i="20"/>
  <c r="DZ18" i="20"/>
  <c r="DZ17" i="20"/>
  <c r="DZ16" i="20"/>
  <c r="DZ15" i="20"/>
  <c r="DY57" i="20"/>
  <c r="DY56" i="20"/>
  <c r="DY52" i="20"/>
  <c r="DY51" i="20"/>
  <c r="DY50" i="20"/>
  <c r="DY49" i="20"/>
  <c r="DY48" i="20"/>
  <c r="DY47" i="20"/>
  <c r="DY46" i="20"/>
  <c r="DY42" i="20"/>
  <c r="DY43" i="20" s="1"/>
  <c r="DY41" i="20"/>
  <c r="DY40" i="20"/>
  <c r="DY39" i="20"/>
  <c r="DY35" i="20"/>
  <c r="DY36" i="20" s="1"/>
  <c r="DY34" i="20"/>
  <c r="DY33" i="20"/>
  <c r="DY29" i="20"/>
  <c r="DY28" i="20"/>
  <c r="DY27" i="20"/>
  <c r="DY26" i="20"/>
  <c r="DY25" i="20"/>
  <c r="DY24" i="20"/>
  <c r="DY30" i="20" s="1"/>
  <c r="DY61" i="20" s="1"/>
  <c r="DY64" i="20" s="1"/>
  <c r="DY20" i="20"/>
  <c r="DY19" i="20"/>
  <c r="DY18" i="20"/>
  <c r="DY17" i="20"/>
  <c r="DY16" i="20"/>
  <c r="DY15" i="20"/>
  <c r="DX57" i="20"/>
  <c r="DX56" i="20"/>
  <c r="DX52" i="20"/>
  <c r="DX51" i="20"/>
  <c r="DX50" i="20"/>
  <c r="DX49" i="20"/>
  <c r="DX53" i="20" s="1"/>
  <c r="DX63" i="20" s="1"/>
  <c r="DX48" i="20"/>
  <c r="DX47" i="20"/>
  <c r="DX46" i="20"/>
  <c r="DX42" i="20"/>
  <c r="DX41" i="20"/>
  <c r="DX40" i="20"/>
  <c r="DX39" i="20"/>
  <c r="DX35" i="20"/>
  <c r="DX36" i="20" s="1"/>
  <c r="DX34" i="20"/>
  <c r="DX33" i="20"/>
  <c r="DX29" i="20"/>
  <c r="DX28" i="20"/>
  <c r="DX27" i="20"/>
  <c r="DX26" i="20"/>
  <c r="DX25" i="20"/>
  <c r="DX24" i="20"/>
  <c r="DX20" i="20"/>
  <c r="DX19" i="20"/>
  <c r="DX18" i="20"/>
  <c r="DX17" i="20"/>
  <c r="DX16" i="20"/>
  <c r="DX15" i="20"/>
  <c r="DW57" i="20"/>
  <c r="DW56" i="20"/>
  <c r="DW58" i="20" s="1"/>
  <c r="DW52" i="20"/>
  <c r="DW51" i="20"/>
  <c r="DW50" i="20"/>
  <c r="DW49" i="20"/>
  <c r="DW48" i="20"/>
  <c r="DW47" i="20"/>
  <c r="DW46" i="20"/>
  <c r="DW42" i="20"/>
  <c r="DW43" i="20" s="1"/>
  <c r="DW41" i="20"/>
  <c r="DW40" i="20"/>
  <c r="DW39" i="20"/>
  <c r="DW35" i="20"/>
  <c r="DW34" i="20"/>
  <c r="DW33" i="20"/>
  <c r="DW29" i="20"/>
  <c r="DW28" i="20"/>
  <c r="FE28" i="20" s="1"/>
  <c r="DW27" i="20"/>
  <c r="DW26" i="20"/>
  <c r="DW25" i="20"/>
  <c r="DW24" i="20"/>
  <c r="DW20" i="20"/>
  <c r="DW19" i="20"/>
  <c r="DW18" i="20"/>
  <c r="DW17" i="20"/>
  <c r="FE17" i="20" s="1"/>
  <c r="DW16" i="20"/>
  <c r="DW15" i="20"/>
  <c r="DV57" i="20"/>
  <c r="DV56" i="20"/>
  <c r="DV58" i="20" s="1"/>
  <c r="DV52" i="20"/>
  <c r="DV51" i="20"/>
  <c r="DV50" i="20"/>
  <c r="DV49" i="20"/>
  <c r="DV53" i="20" s="1"/>
  <c r="DV63" i="20" s="1"/>
  <c r="DV48" i="20"/>
  <c r="DV47" i="20"/>
  <c r="DV46" i="20"/>
  <c r="DV42" i="20"/>
  <c r="DV41" i="20"/>
  <c r="DV40" i="20"/>
  <c r="DV39" i="20"/>
  <c r="DV35" i="20"/>
  <c r="DV34" i="20"/>
  <c r="DV33" i="20"/>
  <c r="DV29" i="20"/>
  <c r="DV28" i="20"/>
  <c r="DV27" i="20"/>
  <c r="DV26" i="20"/>
  <c r="DV25" i="20"/>
  <c r="DV24" i="20"/>
  <c r="DV30" i="20" s="1"/>
  <c r="DV20" i="20"/>
  <c r="DV19" i="20"/>
  <c r="DV18" i="20"/>
  <c r="DV17" i="20"/>
  <c r="DV21" i="20" s="1"/>
  <c r="DV61" i="20" s="1"/>
  <c r="DV64" i="20" s="1"/>
  <c r="DV16" i="20"/>
  <c r="DV15" i="20"/>
  <c r="DU57" i="20"/>
  <c r="DU56" i="20"/>
  <c r="DU52" i="20"/>
  <c r="DU51" i="20"/>
  <c r="DU50" i="20"/>
  <c r="DU49" i="20"/>
  <c r="DU53" i="20" s="1"/>
  <c r="DU48" i="20"/>
  <c r="DU47" i="20"/>
  <c r="DU46" i="20"/>
  <c r="DU42" i="20"/>
  <c r="DU41" i="20"/>
  <c r="DU40" i="20"/>
  <c r="DU39" i="20"/>
  <c r="DU35" i="20"/>
  <c r="DU34" i="20"/>
  <c r="DU33" i="20"/>
  <c r="DU29" i="20"/>
  <c r="DU28" i="20"/>
  <c r="DU27" i="20"/>
  <c r="DU26" i="20"/>
  <c r="DU25" i="20"/>
  <c r="DU24" i="20"/>
  <c r="DU30" i="20" s="1"/>
  <c r="DU20" i="20"/>
  <c r="DU19" i="20"/>
  <c r="DU18" i="20"/>
  <c r="DU17" i="20"/>
  <c r="DU21" i="20" s="1"/>
  <c r="DU16" i="20"/>
  <c r="DU15" i="20"/>
  <c r="DT57" i="20"/>
  <c r="DT56" i="20"/>
  <c r="DT58" i="20" s="1"/>
  <c r="DT52" i="20"/>
  <c r="DT51" i="20"/>
  <c r="DT50" i="20"/>
  <c r="DT49" i="20"/>
  <c r="DT48" i="20"/>
  <c r="DT47" i="20"/>
  <c r="DT46" i="20"/>
  <c r="DT42" i="20"/>
  <c r="DT43" i="20" s="1"/>
  <c r="DT41" i="20"/>
  <c r="DT40" i="20"/>
  <c r="DT39" i="20"/>
  <c r="DT35" i="20"/>
  <c r="DT36" i="20" s="1"/>
  <c r="DT34" i="20"/>
  <c r="DT33" i="20"/>
  <c r="DT29" i="20"/>
  <c r="DT28" i="20"/>
  <c r="DT27" i="20"/>
  <c r="DT26" i="20"/>
  <c r="DT25" i="20"/>
  <c r="DT24" i="20"/>
  <c r="DT30" i="20" s="1"/>
  <c r="DT20" i="20"/>
  <c r="DT19" i="20"/>
  <c r="DT18" i="20"/>
  <c r="DT17" i="20"/>
  <c r="DT21" i="20" s="1"/>
  <c r="DT61" i="20" s="1"/>
  <c r="DT64" i="20" s="1"/>
  <c r="DT16" i="20"/>
  <c r="DT15" i="20"/>
  <c r="DS57" i="20"/>
  <c r="DS56" i="20"/>
  <c r="DS58" i="20" s="1"/>
  <c r="DS52" i="20"/>
  <c r="DS51" i="20"/>
  <c r="DS50" i="20"/>
  <c r="DS49" i="20"/>
  <c r="FD49" i="20" s="1"/>
  <c r="DS48" i="20"/>
  <c r="DS47" i="20"/>
  <c r="DS46" i="20"/>
  <c r="DS42" i="20"/>
  <c r="DS43" i="20" s="1"/>
  <c r="DS41" i="20"/>
  <c r="DS40" i="20"/>
  <c r="DS39" i="20"/>
  <c r="DS35" i="20"/>
  <c r="DS36" i="20" s="1"/>
  <c r="DS34" i="20"/>
  <c r="DS33" i="20"/>
  <c r="DS29" i="20"/>
  <c r="DS28" i="20"/>
  <c r="DS27" i="20"/>
  <c r="DS26" i="20"/>
  <c r="DS25" i="20"/>
  <c r="DS24" i="20"/>
  <c r="DS30" i="20" s="1"/>
  <c r="DS20" i="20"/>
  <c r="DS19" i="20"/>
  <c r="DS18" i="20"/>
  <c r="DS17" i="20"/>
  <c r="DS16" i="20"/>
  <c r="DS15" i="20"/>
  <c r="DR57" i="20"/>
  <c r="DR56" i="20"/>
  <c r="DR58" i="20" s="1"/>
  <c r="DR52" i="20"/>
  <c r="DR51" i="20"/>
  <c r="DR50" i="20"/>
  <c r="DR49" i="20"/>
  <c r="DR53" i="20" s="1"/>
  <c r="DR48" i="20"/>
  <c r="DR47" i="20"/>
  <c r="DR46" i="20"/>
  <c r="DR42" i="20"/>
  <c r="DR43" i="20" s="1"/>
  <c r="DR41" i="20"/>
  <c r="DR40" i="20"/>
  <c r="DR39" i="20"/>
  <c r="DR35" i="20"/>
  <c r="DR34" i="20"/>
  <c r="DR33" i="20"/>
  <c r="DR29" i="20"/>
  <c r="DR28" i="20"/>
  <c r="DR27" i="20"/>
  <c r="DR26" i="20"/>
  <c r="DR25" i="20"/>
  <c r="DR24" i="20"/>
  <c r="DR20" i="20"/>
  <c r="DR19" i="20"/>
  <c r="DR18" i="20"/>
  <c r="DR17" i="20"/>
  <c r="DR16" i="20"/>
  <c r="DR15" i="20"/>
  <c r="DQ57" i="20"/>
  <c r="DQ56" i="20"/>
  <c r="DQ58" i="20" s="1"/>
  <c r="DQ52" i="20"/>
  <c r="DQ51" i="20"/>
  <c r="DQ50" i="20"/>
  <c r="DQ49" i="20"/>
  <c r="DQ53" i="20" s="1"/>
  <c r="DQ63" i="20" s="1"/>
  <c r="DQ48" i="20"/>
  <c r="DQ47" i="20"/>
  <c r="DQ46" i="20"/>
  <c r="DQ42" i="20"/>
  <c r="DQ43" i="20" s="1"/>
  <c r="DQ41" i="20"/>
  <c r="DQ40" i="20"/>
  <c r="DQ39" i="20"/>
  <c r="DQ35" i="20"/>
  <c r="DQ34" i="20"/>
  <c r="DQ33" i="20"/>
  <c r="DQ29" i="20"/>
  <c r="DQ28" i="20"/>
  <c r="DQ27" i="20"/>
  <c r="DQ26" i="20"/>
  <c r="DQ25" i="20"/>
  <c r="DQ24" i="20"/>
  <c r="DQ30" i="20" s="1"/>
  <c r="DQ20" i="20"/>
  <c r="DQ19" i="20"/>
  <c r="DQ18" i="20"/>
  <c r="DQ17" i="20"/>
  <c r="DQ16" i="20"/>
  <c r="DQ15" i="20"/>
  <c r="DP57" i="20"/>
  <c r="DP56" i="20"/>
  <c r="DP58" i="20" s="1"/>
  <c r="DP52" i="20"/>
  <c r="DP51" i="20"/>
  <c r="DP50" i="20"/>
  <c r="DP49" i="20"/>
  <c r="DP53" i="20" s="1"/>
  <c r="DP63" i="20" s="1"/>
  <c r="DP48" i="20"/>
  <c r="DP47" i="20"/>
  <c r="DP46" i="20"/>
  <c r="DP42" i="20"/>
  <c r="DP43" i="20" s="1"/>
  <c r="DP41" i="20"/>
  <c r="DP40" i="20"/>
  <c r="DP39" i="20"/>
  <c r="DP35" i="20"/>
  <c r="DP36" i="20" s="1"/>
  <c r="DP34" i="20"/>
  <c r="DP33" i="20"/>
  <c r="DP29" i="20"/>
  <c r="DP28" i="20"/>
  <c r="DP27" i="20"/>
  <c r="DP26" i="20"/>
  <c r="DP25" i="20"/>
  <c r="DP24" i="20"/>
  <c r="DP20" i="20"/>
  <c r="DP19" i="20"/>
  <c r="DP18" i="20"/>
  <c r="DP17" i="20"/>
  <c r="DP16" i="20"/>
  <c r="DP15" i="20"/>
  <c r="DO57" i="20"/>
  <c r="DO56" i="20"/>
  <c r="DO58" i="20" s="1"/>
  <c r="DO52" i="20"/>
  <c r="DO51" i="20"/>
  <c r="DO50" i="20"/>
  <c r="DO49" i="20"/>
  <c r="DO48" i="20"/>
  <c r="DO47" i="20"/>
  <c r="DO46" i="20"/>
  <c r="DO42" i="20"/>
  <c r="DO41" i="20"/>
  <c r="DO40" i="20"/>
  <c r="DO39" i="20"/>
  <c r="DO35" i="20"/>
  <c r="FC35" i="20" s="1"/>
  <c r="DO34" i="20"/>
  <c r="DO33" i="20"/>
  <c r="DO29" i="20"/>
  <c r="DO28" i="20"/>
  <c r="FC28" i="20" s="1"/>
  <c r="DO27" i="20"/>
  <c r="DO26" i="20"/>
  <c r="DO25" i="20"/>
  <c r="DO24" i="20"/>
  <c r="FC24" i="20" s="1"/>
  <c r="DO20" i="20"/>
  <c r="DO19" i="20"/>
  <c r="DO18" i="20"/>
  <c r="DO17" i="20"/>
  <c r="FC17" i="20" s="1"/>
  <c r="DO16" i="20"/>
  <c r="DO15" i="20"/>
  <c r="DN57" i="20"/>
  <c r="DN56" i="20"/>
  <c r="DN52" i="20"/>
  <c r="DN51" i="20"/>
  <c r="DN50" i="20"/>
  <c r="DN49" i="20"/>
  <c r="DN48" i="20"/>
  <c r="DN47" i="20"/>
  <c r="DN46" i="20"/>
  <c r="DN42" i="20"/>
  <c r="DN43" i="20" s="1"/>
  <c r="DN41" i="20"/>
  <c r="DN40" i="20"/>
  <c r="DN39" i="20"/>
  <c r="DN35" i="20"/>
  <c r="DN36" i="20" s="1"/>
  <c r="DN34" i="20"/>
  <c r="DN33" i="20"/>
  <c r="DN29" i="20"/>
  <c r="DN28" i="20"/>
  <c r="DN27" i="20"/>
  <c r="DN26" i="20"/>
  <c r="DN25" i="20"/>
  <c r="DN24" i="20"/>
  <c r="DN30" i="20" s="1"/>
  <c r="DN20" i="20"/>
  <c r="DN19" i="20"/>
  <c r="DN18" i="20"/>
  <c r="DN17" i="20"/>
  <c r="DN16" i="20"/>
  <c r="DN15" i="20"/>
  <c r="DM57" i="20"/>
  <c r="DM56" i="20"/>
  <c r="DM58" i="20" s="1"/>
  <c r="DM52" i="20"/>
  <c r="DM51" i="20"/>
  <c r="DM50" i="20"/>
  <c r="DM49" i="20"/>
  <c r="DM53" i="20" s="1"/>
  <c r="DM63" i="20" s="1"/>
  <c r="DM48" i="20"/>
  <c r="DM47" i="20"/>
  <c r="DM46" i="20"/>
  <c r="DM42" i="20"/>
  <c r="DM43" i="20" s="1"/>
  <c r="DM41" i="20"/>
  <c r="DM40" i="20"/>
  <c r="DM39" i="20"/>
  <c r="DM35" i="20"/>
  <c r="DM36" i="20" s="1"/>
  <c r="DM34" i="20"/>
  <c r="DM33" i="20"/>
  <c r="DM29" i="20"/>
  <c r="DM28" i="20"/>
  <c r="DM27" i="20"/>
  <c r="DM26" i="20"/>
  <c r="DM25" i="20"/>
  <c r="DM24" i="20"/>
  <c r="DM30" i="20" s="1"/>
  <c r="DM20" i="20"/>
  <c r="DM19" i="20"/>
  <c r="DM18" i="20"/>
  <c r="DM17" i="20"/>
  <c r="DM21" i="20" s="1"/>
  <c r="DM16" i="20"/>
  <c r="DM15" i="20"/>
  <c r="DL57" i="20"/>
  <c r="DL56" i="20"/>
  <c r="DL58" i="20" s="1"/>
  <c r="DL52" i="20"/>
  <c r="DL51" i="20"/>
  <c r="DL50" i="20"/>
  <c r="DL49" i="20"/>
  <c r="DL53" i="20" s="1"/>
  <c r="DL48" i="20"/>
  <c r="DL47" i="20"/>
  <c r="DL46" i="20"/>
  <c r="DL42" i="20"/>
  <c r="DL43" i="20" s="1"/>
  <c r="DL41" i="20"/>
  <c r="DL40" i="20"/>
  <c r="DL39" i="20"/>
  <c r="DL35" i="20"/>
  <c r="DL36" i="20" s="1"/>
  <c r="DL34" i="20"/>
  <c r="DL33" i="20"/>
  <c r="DL29" i="20"/>
  <c r="DL28" i="20"/>
  <c r="DL27" i="20"/>
  <c r="DL26" i="20"/>
  <c r="DL25" i="20"/>
  <c r="DL24" i="20"/>
  <c r="DL30" i="20" s="1"/>
  <c r="DL20" i="20"/>
  <c r="DL19" i="20"/>
  <c r="DL18" i="20"/>
  <c r="DL17" i="20"/>
  <c r="DL21" i="20" s="1"/>
  <c r="DL61" i="20" s="1"/>
  <c r="DL64" i="20" s="1"/>
  <c r="DL16" i="20"/>
  <c r="DL15" i="20"/>
  <c r="DK57" i="20"/>
  <c r="DK56" i="20"/>
  <c r="DK52" i="20"/>
  <c r="DK51" i="20"/>
  <c r="DK50" i="20"/>
  <c r="DK49" i="20"/>
  <c r="FB49" i="20" s="1"/>
  <c r="DK48" i="20"/>
  <c r="DK47" i="20"/>
  <c r="DK46" i="20"/>
  <c r="DK42" i="20"/>
  <c r="DK43" i="20" s="1"/>
  <c r="DK41" i="20"/>
  <c r="DK40" i="20"/>
  <c r="DK39" i="20"/>
  <c r="DK35" i="20"/>
  <c r="DK34" i="20"/>
  <c r="DK33" i="20"/>
  <c r="DK29" i="20"/>
  <c r="DK28" i="20"/>
  <c r="DK27" i="20"/>
  <c r="DK26" i="20"/>
  <c r="DK25" i="20"/>
  <c r="DK24" i="20"/>
  <c r="DK20" i="20"/>
  <c r="DK19" i="20"/>
  <c r="DK18" i="20"/>
  <c r="DK17" i="20"/>
  <c r="DK21" i="20" s="1"/>
  <c r="DK16" i="20"/>
  <c r="CY13" i="20"/>
  <c r="DB57" i="20"/>
  <c r="DB56" i="20"/>
  <c r="DB58" i="20" s="1"/>
  <c r="DB52" i="20"/>
  <c r="DB51" i="20"/>
  <c r="DB50" i="20"/>
  <c r="DB49" i="20"/>
  <c r="DB48" i="20"/>
  <c r="DB46" i="20"/>
  <c r="DB47" i="20"/>
  <c r="DB42" i="20"/>
  <c r="DB41" i="20"/>
  <c r="DB43" i="20" s="1"/>
  <c r="DB39" i="20"/>
  <c r="DB40" i="20"/>
  <c r="DB35" i="20"/>
  <c r="DB36" i="20" s="1"/>
  <c r="DB34" i="20"/>
  <c r="DB33" i="20"/>
  <c r="DB29" i="20"/>
  <c r="DB28" i="20"/>
  <c r="DB27" i="20"/>
  <c r="DB26" i="20"/>
  <c r="DB25" i="20"/>
  <c r="DB24" i="20"/>
  <c r="DB30" i="20" s="1"/>
  <c r="DB20" i="20"/>
  <c r="DB19" i="20"/>
  <c r="DB18" i="20"/>
  <c r="DB17" i="20"/>
  <c r="DB16" i="20"/>
  <c r="DB15" i="20"/>
  <c r="DB14" i="20"/>
  <c r="DB13" i="20"/>
  <c r="DB21" i="20" s="1"/>
  <c r="DA57" i="20"/>
  <c r="DA56" i="20"/>
  <c r="DA58" i="20" s="1"/>
  <c r="DA52" i="20"/>
  <c r="DA51" i="20"/>
  <c r="DA50" i="20"/>
  <c r="DA49" i="20"/>
  <c r="DA48" i="20"/>
  <c r="DA47" i="20"/>
  <c r="DA46" i="20"/>
  <c r="DA53" i="20" s="1"/>
  <c r="DA63" i="20" s="1"/>
  <c r="DA42" i="20"/>
  <c r="DA41" i="20"/>
  <c r="DA43" i="20" s="1"/>
  <c r="DA40" i="20"/>
  <c r="DA39" i="20"/>
  <c r="DA35" i="20"/>
  <c r="DA34" i="20"/>
  <c r="DA36" i="20" s="1"/>
  <c r="DA33" i="20"/>
  <c r="DA29" i="20"/>
  <c r="DA28" i="20"/>
  <c r="DA27" i="20"/>
  <c r="EY27" i="20" s="1"/>
  <c r="DA26" i="20"/>
  <c r="DA25" i="20"/>
  <c r="DA24" i="20"/>
  <c r="DA30" i="20"/>
  <c r="DA20" i="20"/>
  <c r="DA19" i="20"/>
  <c r="DA18" i="20"/>
  <c r="DA17" i="20"/>
  <c r="DA16" i="20"/>
  <c r="DA15" i="20"/>
  <c r="DA14" i="20"/>
  <c r="DA13" i="20"/>
  <c r="CZ57" i="20"/>
  <c r="CZ56" i="20"/>
  <c r="CZ52" i="20"/>
  <c r="CZ51" i="20"/>
  <c r="CZ50" i="20"/>
  <c r="CZ49" i="20"/>
  <c r="CZ48" i="20"/>
  <c r="CZ47" i="20"/>
  <c r="CZ46" i="20"/>
  <c r="CZ42" i="20"/>
  <c r="CZ41" i="20"/>
  <c r="CZ39" i="20"/>
  <c r="CZ40" i="20"/>
  <c r="CZ35" i="20"/>
  <c r="CZ34" i="20"/>
  <c r="CZ33" i="20"/>
  <c r="CZ36" i="20" s="1"/>
  <c r="CZ29" i="20"/>
  <c r="CZ28" i="20"/>
  <c r="CZ27" i="20"/>
  <c r="CZ24" i="20"/>
  <c r="CZ25" i="20"/>
  <c r="CZ30" i="20" s="1"/>
  <c r="CZ26" i="20"/>
  <c r="EY26" i="20" s="1"/>
  <c r="CZ20" i="20"/>
  <c r="CZ19" i="20"/>
  <c r="CZ18" i="20"/>
  <c r="CZ17" i="20"/>
  <c r="CZ16" i="20"/>
  <c r="CZ15" i="20"/>
  <c r="CZ14" i="20"/>
  <c r="CZ13" i="20"/>
  <c r="CY57" i="20"/>
  <c r="CY56" i="20"/>
  <c r="CY58" i="20" s="1"/>
  <c r="CY52" i="20"/>
  <c r="CY51" i="20"/>
  <c r="CY50" i="20"/>
  <c r="CY49" i="20"/>
  <c r="CY48" i="20"/>
  <c r="CY47" i="20"/>
  <c r="CY46" i="20"/>
  <c r="CY53" i="20" s="1"/>
  <c r="CY63" i="20" s="1"/>
  <c r="CY42" i="20"/>
  <c r="CY41" i="20"/>
  <c r="CY43" i="20" s="1"/>
  <c r="CY40" i="20"/>
  <c r="CY39" i="20"/>
  <c r="CY35" i="20"/>
  <c r="CY34" i="20"/>
  <c r="CY33" i="20"/>
  <c r="CY29" i="20"/>
  <c r="CY28" i="20"/>
  <c r="CY27" i="20"/>
  <c r="CY26" i="20"/>
  <c r="CY25" i="20"/>
  <c r="CY24" i="20"/>
  <c r="CY20" i="20"/>
  <c r="CY19" i="20"/>
  <c r="CY18" i="20"/>
  <c r="CY17" i="20"/>
  <c r="CY16" i="20"/>
  <c r="CY15" i="20"/>
  <c r="CY14" i="20"/>
  <c r="CZ58" i="20"/>
  <c r="CX13" i="20"/>
  <c r="CT13" i="20"/>
  <c r="CU13" i="20"/>
  <c r="CU14" i="20"/>
  <c r="CU15" i="20"/>
  <c r="CU16" i="20"/>
  <c r="CU17" i="20"/>
  <c r="CU18" i="20"/>
  <c r="CU19" i="20"/>
  <c r="CU20" i="20"/>
  <c r="CU21" i="20"/>
  <c r="CU24" i="20"/>
  <c r="CU25" i="20"/>
  <c r="CU26" i="20"/>
  <c r="CU27" i="20"/>
  <c r="CU28" i="20"/>
  <c r="CU29" i="20"/>
  <c r="CU39" i="20"/>
  <c r="CU40" i="20"/>
  <c r="CU41" i="20"/>
  <c r="CU42" i="20"/>
  <c r="CU43" i="20"/>
  <c r="CU56" i="20"/>
  <c r="CU57" i="20"/>
  <c r="CU58" i="20"/>
  <c r="CU10" i="20"/>
  <c r="CU62" i="20" s="1"/>
  <c r="CU33" i="20"/>
  <c r="CU34" i="20"/>
  <c r="CU35" i="20"/>
  <c r="CU36" i="20"/>
  <c r="CU46" i="20"/>
  <c r="CU53" i="20" s="1"/>
  <c r="CU63" i="20" s="1"/>
  <c r="CU47" i="20"/>
  <c r="CU48" i="20"/>
  <c r="CU49" i="20"/>
  <c r="CU50" i="20"/>
  <c r="CU51" i="20"/>
  <c r="CU52" i="20"/>
  <c r="CV13" i="20"/>
  <c r="CW13" i="20"/>
  <c r="CW14" i="20"/>
  <c r="CW15" i="20"/>
  <c r="EX15" i="20" s="1"/>
  <c r="CW16" i="20"/>
  <c r="CW17" i="20"/>
  <c r="CW18" i="20"/>
  <c r="CW19" i="20"/>
  <c r="EX19" i="20" s="1"/>
  <c r="CW20" i="20"/>
  <c r="CW24" i="20"/>
  <c r="CW30" i="20" s="1"/>
  <c r="CW25" i="20"/>
  <c r="CW26" i="20"/>
  <c r="CW27" i="20"/>
  <c r="CW28" i="20"/>
  <c r="CW29" i="20"/>
  <c r="CW39" i="20"/>
  <c r="CW40" i="20"/>
  <c r="CW43" i="20" s="1"/>
  <c r="CW41" i="20"/>
  <c r="CW42" i="20"/>
  <c r="CW56" i="20"/>
  <c r="CW57" i="20"/>
  <c r="CW10" i="20"/>
  <c r="CW33" i="20"/>
  <c r="CW34" i="20"/>
  <c r="CW35" i="20"/>
  <c r="CW62" i="20"/>
  <c r="CW46" i="20"/>
  <c r="CW47" i="20"/>
  <c r="CW48" i="20"/>
  <c r="CW49" i="20"/>
  <c r="CW50" i="20"/>
  <c r="CW51" i="20"/>
  <c r="CW52" i="20"/>
  <c r="CW53" i="20"/>
  <c r="CW63" i="20" s="1"/>
  <c r="CV14" i="20"/>
  <c r="CV21" i="20" s="1"/>
  <c r="CX14" i="20"/>
  <c r="CV15" i="20"/>
  <c r="CX15" i="20"/>
  <c r="CV16" i="20"/>
  <c r="CX16" i="20"/>
  <c r="CV17" i="20"/>
  <c r="CX17" i="20"/>
  <c r="CV18" i="20"/>
  <c r="CX18" i="20"/>
  <c r="EX18" i="20" s="1"/>
  <c r="CV19" i="20"/>
  <c r="CX19" i="20"/>
  <c r="CX20" i="20"/>
  <c r="CX21" i="20"/>
  <c r="CV20" i="20"/>
  <c r="CV24" i="20"/>
  <c r="CV30" i="20" s="1"/>
  <c r="CV25" i="20"/>
  <c r="CV26" i="20"/>
  <c r="CV27" i="20"/>
  <c r="CV28" i="20"/>
  <c r="CV29" i="20"/>
  <c r="CV39" i="20"/>
  <c r="CV40" i="20"/>
  <c r="CV43" i="20" s="1"/>
  <c r="CV41" i="20"/>
  <c r="CV42" i="20"/>
  <c r="CV56" i="20"/>
  <c r="CV57" i="20"/>
  <c r="EX57" i="20" s="1"/>
  <c r="CV10" i="20"/>
  <c r="CV33" i="20"/>
  <c r="CV34" i="20"/>
  <c r="CV35" i="20"/>
  <c r="CV62" i="20"/>
  <c r="CV46" i="20"/>
  <c r="CV47" i="20"/>
  <c r="CV48" i="20"/>
  <c r="CV49" i="20"/>
  <c r="CV50" i="20"/>
  <c r="CV51" i="20"/>
  <c r="CV52" i="20"/>
  <c r="CV53" i="20"/>
  <c r="CV63" i="20" s="1"/>
  <c r="CX24" i="20"/>
  <c r="CX25" i="20"/>
  <c r="CX26" i="20"/>
  <c r="CX27" i="20"/>
  <c r="CX28" i="20"/>
  <c r="CX29" i="20"/>
  <c r="CX33" i="20"/>
  <c r="CX36" i="20" s="1"/>
  <c r="CX34" i="20"/>
  <c r="CX35" i="20"/>
  <c r="CX39" i="20"/>
  <c r="CX40" i="20"/>
  <c r="CX43" i="20" s="1"/>
  <c r="CX41" i="20"/>
  <c r="CX42" i="20"/>
  <c r="CX46" i="20"/>
  <c r="CX47" i="20"/>
  <c r="CX48" i="20"/>
  <c r="CX49" i="20"/>
  <c r="CX50" i="20"/>
  <c r="CX51" i="20"/>
  <c r="CX52" i="20"/>
  <c r="CX56" i="20"/>
  <c r="CX58" i="20" s="1"/>
  <c r="CX57" i="20"/>
  <c r="CX10" i="20"/>
  <c r="CX62" i="20"/>
  <c r="CY10" i="20"/>
  <c r="CY62" i="20"/>
  <c r="CZ10" i="20"/>
  <c r="CZ62" i="20"/>
  <c r="DA10" i="20"/>
  <c r="DA62" i="20"/>
  <c r="DB10" i="20"/>
  <c r="DB62" i="20"/>
  <c r="DC13" i="20"/>
  <c r="DD13" i="20"/>
  <c r="DD21" i="20" s="1"/>
  <c r="DE13" i="20"/>
  <c r="DF13" i="20"/>
  <c r="DF14" i="20"/>
  <c r="DF15" i="20"/>
  <c r="DF16" i="20"/>
  <c r="DF17" i="20"/>
  <c r="DF18" i="20"/>
  <c r="DF19" i="20"/>
  <c r="DF20" i="20"/>
  <c r="DC14" i="20"/>
  <c r="DD14" i="20"/>
  <c r="DE14" i="20"/>
  <c r="DC15" i="20"/>
  <c r="DD15" i="20"/>
  <c r="DE15" i="20"/>
  <c r="DC16" i="20"/>
  <c r="DD16" i="20"/>
  <c r="DE16" i="20"/>
  <c r="DC17" i="20"/>
  <c r="DD17" i="20"/>
  <c r="DE17" i="20"/>
  <c r="DC18" i="20"/>
  <c r="DD18" i="20"/>
  <c r="DE18" i="20"/>
  <c r="DC19" i="20"/>
  <c r="DD19" i="20"/>
  <c r="DE19" i="20"/>
  <c r="DC20" i="20"/>
  <c r="DD20" i="20"/>
  <c r="DE20" i="20"/>
  <c r="DC21" i="20"/>
  <c r="DD24" i="20"/>
  <c r="DD25" i="20"/>
  <c r="DD26" i="20"/>
  <c r="EZ26" i="20" s="1"/>
  <c r="DD27" i="20"/>
  <c r="DD28" i="20"/>
  <c r="DD29" i="20"/>
  <c r="DD30" i="20"/>
  <c r="DD39" i="20"/>
  <c r="DD40" i="20"/>
  <c r="DD43" i="20" s="1"/>
  <c r="DD41" i="20"/>
  <c r="DD42" i="20"/>
  <c r="EZ42" i="20" s="1"/>
  <c r="DD56" i="20"/>
  <c r="DD57" i="20"/>
  <c r="DD58" i="20"/>
  <c r="DD10" i="20"/>
  <c r="DD33" i="20"/>
  <c r="DD34" i="20"/>
  <c r="DD35" i="20"/>
  <c r="DD62" i="20"/>
  <c r="DD46" i="20"/>
  <c r="DD47" i="20"/>
  <c r="DD48" i="20"/>
  <c r="DD49" i="20"/>
  <c r="DD50" i="20"/>
  <c r="DD51" i="20"/>
  <c r="DD52" i="20"/>
  <c r="DC24" i="20"/>
  <c r="DE24" i="20"/>
  <c r="DF24" i="20"/>
  <c r="DC25" i="20"/>
  <c r="DE25" i="20"/>
  <c r="DF25" i="20"/>
  <c r="DF30" i="20" s="1"/>
  <c r="DC26" i="20"/>
  <c r="DE26" i="20"/>
  <c r="DF26" i="20"/>
  <c r="DC27" i="20"/>
  <c r="EZ27" i="20" s="1"/>
  <c r="DE27" i="20"/>
  <c r="DF27" i="20"/>
  <c r="DC28" i="20"/>
  <c r="DE28" i="20"/>
  <c r="DF28" i="20"/>
  <c r="DF29" i="20"/>
  <c r="DC29" i="20"/>
  <c r="DE29" i="20"/>
  <c r="DC33" i="20"/>
  <c r="DC36" i="20" s="1"/>
  <c r="DE33" i="20"/>
  <c r="DF33" i="20"/>
  <c r="DC34" i="20"/>
  <c r="DE34" i="20"/>
  <c r="DF34" i="20"/>
  <c r="DC35" i="20"/>
  <c r="DE35" i="20"/>
  <c r="DF35" i="20"/>
  <c r="DF36" i="20" s="1"/>
  <c r="DC39" i="20"/>
  <c r="DC43" i="20" s="1"/>
  <c r="DE39" i="20"/>
  <c r="DF39" i="20"/>
  <c r="DC40" i="20"/>
  <c r="DE40" i="20"/>
  <c r="DF40" i="20"/>
  <c r="DC41" i="20"/>
  <c r="DE41" i="20"/>
  <c r="DF41" i="20"/>
  <c r="DC42" i="20"/>
  <c r="DE42" i="20"/>
  <c r="DF42" i="20"/>
  <c r="DF43" i="20"/>
  <c r="DC46" i="20"/>
  <c r="DE46" i="20"/>
  <c r="DF46" i="20"/>
  <c r="DC47" i="20"/>
  <c r="DE47" i="20"/>
  <c r="DF47" i="20"/>
  <c r="DC48" i="20"/>
  <c r="DE48" i="20"/>
  <c r="DF48" i="20"/>
  <c r="DC49" i="20"/>
  <c r="EZ49" i="20" s="1"/>
  <c r="DE49" i="20"/>
  <c r="DF49" i="20"/>
  <c r="DC50" i="20"/>
  <c r="DE50" i="20"/>
  <c r="DF50" i="20"/>
  <c r="DC51" i="20"/>
  <c r="DE51" i="20"/>
  <c r="DF51" i="20"/>
  <c r="EZ51" i="20" s="1"/>
  <c r="DF52" i="20"/>
  <c r="DC52" i="20"/>
  <c r="EZ52" i="20" s="1"/>
  <c r="DE52" i="20"/>
  <c r="DC56" i="20"/>
  <c r="DC58" i="20" s="1"/>
  <c r="DE56" i="20"/>
  <c r="DF56" i="20"/>
  <c r="DC57" i="20"/>
  <c r="DE57" i="20"/>
  <c r="EZ57" i="20" s="1"/>
  <c r="DF57" i="20"/>
  <c r="DF58" i="20" s="1"/>
  <c r="DC10" i="20"/>
  <c r="DE10" i="20"/>
  <c r="DE62" i="20" s="1"/>
  <c r="DC62" i="20"/>
  <c r="DF10" i="20"/>
  <c r="DF62" i="20" s="1"/>
  <c r="CR13" i="20"/>
  <c r="CM13" i="20"/>
  <c r="CT57" i="20"/>
  <c r="CT56" i="20"/>
  <c r="CT52" i="20"/>
  <c r="CT51" i="20"/>
  <c r="CT50" i="20"/>
  <c r="CT49" i="20"/>
  <c r="CT48" i="20"/>
  <c r="CT47" i="20"/>
  <c r="CT46" i="20"/>
  <c r="CT42" i="20"/>
  <c r="CT41" i="20"/>
  <c r="CT40" i="20"/>
  <c r="CT39" i="20"/>
  <c r="CT35" i="20"/>
  <c r="CT36" i="20" s="1"/>
  <c r="CT34" i="20"/>
  <c r="CT33" i="20"/>
  <c r="CT29" i="20"/>
  <c r="CT28" i="20"/>
  <c r="CT27" i="20"/>
  <c r="CT26" i="20"/>
  <c r="CT25" i="20"/>
  <c r="CT24" i="20"/>
  <c r="CT30" i="20" s="1"/>
  <c r="CT20" i="20"/>
  <c r="CT19" i="20"/>
  <c r="CT18" i="20"/>
  <c r="CT17" i="20"/>
  <c r="CT16" i="20"/>
  <c r="CT15" i="20"/>
  <c r="CT14" i="20"/>
  <c r="CS57" i="20"/>
  <c r="CS58" i="20" s="1"/>
  <c r="CS56" i="20"/>
  <c r="CS52" i="20"/>
  <c r="CS51" i="20"/>
  <c r="CS50" i="20"/>
  <c r="CS49" i="20"/>
  <c r="CS48" i="20"/>
  <c r="CS47" i="20"/>
  <c r="CS46" i="20"/>
  <c r="CS42" i="20"/>
  <c r="CS41" i="20"/>
  <c r="CS40" i="20"/>
  <c r="CS39" i="20"/>
  <c r="CS35" i="20"/>
  <c r="CS34" i="20"/>
  <c r="CS33" i="20"/>
  <c r="CS29" i="20"/>
  <c r="CS28" i="20"/>
  <c r="CS27" i="20"/>
  <c r="CS26" i="20"/>
  <c r="CS25" i="20"/>
  <c r="CS24" i="20"/>
  <c r="CS20" i="20"/>
  <c r="CS19" i="20"/>
  <c r="CS18" i="20"/>
  <c r="CS17" i="20"/>
  <c r="CS16" i="20"/>
  <c r="CS15" i="20"/>
  <c r="CS14" i="20"/>
  <c r="EW14" i="20" s="1"/>
  <c r="CS13" i="20"/>
  <c r="CR57" i="20"/>
  <c r="CR56" i="20"/>
  <c r="CR52" i="20"/>
  <c r="EW52" i="20" s="1"/>
  <c r="CR51" i="20"/>
  <c r="CR50" i="20"/>
  <c r="CR49" i="20"/>
  <c r="CR48" i="20"/>
  <c r="CR47" i="20"/>
  <c r="CR46" i="20"/>
  <c r="CR42" i="20"/>
  <c r="CR41" i="20"/>
  <c r="CR43" i="20" s="1"/>
  <c r="CR40" i="20"/>
  <c r="CR39" i="20"/>
  <c r="CR35" i="20"/>
  <c r="CR34" i="20"/>
  <c r="CR33" i="20"/>
  <c r="CR29" i="20"/>
  <c r="CR28" i="20"/>
  <c r="CR27" i="20"/>
  <c r="EW27" i="20" s="1"/>
  <c r="CR26" i="20"/>
  <c r="CR25" i="20"/>
  <c r="CR24" i="20"/>
  <c r="CR20" i="20"/>
  <c r="EW20" i="20" s="1"/>
  <c r="CR19" i="20"/>
  <c r="CR18" i="20"/>
  <c r="CR17" i="20"/>
  <c r="CR16" i="20"/>
  <c r="EW16" i="20" s="1"/>
  <c r="CR15" i="20"/>
  <c r="CR14" i="20"/>
  <c r="CQ57" i="20"/>
  <c r="CQ56" i="20"/>
  <c r="CQ58" i="20" s="1"/>
  <c r="CQ52" i="20"/>
  <c r="CQ51" i="20"/>
  <c r="CQ50" i="20"/>
  <c r="CQ49" i="20"/>
  <c r="CQ48" i="20"/>
  <c r="CQ47" i="20"/>
  <c r="CQ46" i="20"/>
  <c r="CQ42" i="20"/>
  <c r="EW42" i="20" s="1"/>
  <c r="CQ41" i="20"/>
  <c r="CQ40" i="20"/>
  <c r="CQ39" i="20"/>
  <c r="CQ35" i="20"/>
  <c r="CQ34" i="20"/>
  <c r="CQ33" i="20"/>
  <c r="CQ29" i="20"/>
  <c r="CQ28" i="20"/>
  <c r="CQ27" i="20"/>
  <c r="CQ26" i="20"/>
  <c r="CQ25" i="20"/>
  <c r="CQ24" i="20"/>
  <c r="EW24" i="20" s="1"/>
  <c r="CQ20" i="20"/>
  <c r="CQ19" i="20"/>
  <c r="CQ18" i="20"/>
  <c r="CQ17" i="20"/>
  <c r="EW17" i="20" s="1"/>
  <c r="CQ16" i="20"/>
  <c r="CQ15" i="20"/>
  <c r="CQ14" i="20"/>
  <c r="CL20" i="20"/>
  <c r="CL19" i="20"/>
  <c r="CL18" i="20"/>
  <c r="CL17" i="20"/>
  <c r="CL16" i="20"/>
  <c r="CL15" i="20"/>
  <c r="CL14" i="20"/>
  <c r="CK20" i="20"/>
  <c r="CK19" i="20"/>
  <c r="CK18" i="20"/>
  <c r="CK17" i="20"/>
  <c r="CK16" i="20"/>
  <c r="CK15" i="20"/>
  <c r="CK21" i="20" s="1"/>
  <c r="CK14" i="20"/>
  <c r="CK13" i="20"/>
  <c r="CJ20" i="20"/>
  <c r="CJ19" i="20"/>
  <c r="EU19" i="20" s="1"/>
  <c r="CJ18" i="20"/>
  <c r="CJ17" i="20"/>
  <c r="CJ16" i="20"/>
  <c r="CJ15" i="20"/>
  <c r="CJ14" i="20"/>
  <c r="CO13" i="20"/>
  <c r="CN13" i="20"/>
  <c r="BV13" i="20"/>
  <c r="DA21" i="20"/>
  <c r="DA61" i="20" s="1"/>
  <c r="DA64" i="20" s="1"/>
  <c r="B20" i="34"/>
  <c r="B21" i="34" s="1"/>
  <c r="J13" i="34"/>
  <c r="J14" i="34" s="1"/>
  <c r="Q1" i="28"/>
  <c r="H14" i="22"/>
  <c r="H62" i="22" s="1"/>
  <c r="I15" i="22"/>
  <c r="U96" i="9"/>
  <c r="V96" i="9"/>
  <c r="U95" i="9"/>
  <c r="V95" i="9"/>
  <c r="U94" i="9"/>
  <c r="V94" i="9"/>
  <c r="U93" i="9"/>
  <c r="V93" i="9"/>
  <c r="U92" i="9"/>
  <c r="V92" i="9"/>
  <c r="U91" i="9"/>
  <c r="V91" i="9"/>
  <c r="U90" i="9"/>
  <c r="V90" i="9"/>
  <c r="U89" i="9"/>
  <c r="V89" i="9"/>
  <c r="U88" i="9"/>
  <c r="V88" i="9"/>
  <c r="U87" i="9"/>
  <c r="V86" i="9"/>
  <c r="U86" i="9"/>
  <c r="V87" i="9"/>
  <c r="V71" i="9"/>
  <c r="U71" i="9"/>
  <c r="V70" i="9"/>
  <c r="U70" i="9"/>
  <c r="V69" i="9"/>
  <c r="U69" i="9"/>
  <c r="V68" i="9"/>
  <c r="U68" i="9"/>
  <c r="V63" i="9"/>
  <c r="U67" i="9"/>
  <c r="V66" i="9"/>
  <c r="U66" i="9"/>
  <c r="V65" i="9"/>
  <c r="U65" i="9"/>
  <c r="V64" i="9"/>
  <c r="U63" i="9"/>
  <c r="V97" i="9"/>
  <c r="V85" i="9"/>
  <c r="U85" i="9"/>
  <c r="V84" i="9"/>
  <c r="U84" i="9"/>
  <c r="V83" i="9"/>
  <c r="U83" i="9"/>
  <c r="V82" i="9"/>
  <c r="U82" i="9"/>
  <c r="V81" i="9"/>
  <c r="U81" i="9"/>
  <c r="V80" i="9"/>
  <c r="U80" i="9"/>
  <c r="U99" i="9" s="1"/>
  <c r="V22" i="3" s="1"/>
  <c r="V79" i="9"/>
  <c r="V99" i="9" s="1"/>
  <c r="W22" i="3" s="1"/>
  <c r="U79" i="9"/>
  <c r="Y43" i="22"/>
  <c r="W17" i="23" s="1"/>
  <c r="K14" i="23"/>
  <c r="L14" i="23"/>
  <c r="O14" i="23"/>
  <c r="G21" i="23"/>
  <c r="V21" i="23"/>
  <c r="Q21" i="23"/>
  <c r="W150" i="9"/>
  <c r="W124" i="9"/>
  <c r="DJ57" i="20"/>
  <c r="DI57" i="20"/>
  <c r="DH57" i="20"/>
  <c r="DG57" i="20"/>
  <c r="DJ56" i="20"/>
  <c r="DI56" i="20"/>
  <c r="DH56" i="20"/>
  <c r="DG56" i="20"/>
  <c r="DJ52" i="20"/>
  <c r="DI52" i="20"/>
  <c r="DH52" i="20"/>
  <c r="DG52" i="20"/>
  <c r="DJ51" i="20"/>
  <c r="DI51" i="20"/>
  <c r="FA51" i="20" s="1"/>
  <c r="DH51" i="20"/>
  <c r="DG51" i="20"/>
  <c r="DJ50" i="20"/>
  <c r="DI50" i="20"/>
  <c r="FA50" i="20" s="1"/>
  <c r="DH50" i="20"/>
  <c r="DG50" i="20"/>
  <c r="DJ49" i="20"/>
  <c r="DI49" i="20"/>
  <c r="FA49" i="20" s="1"/>
  <c r="DH49" i="20"/>
  <c r="DG49" i="20"/>
  <c r="DJ48" i="20"/>
  <c r="DI48" i="20"/>
  <c r="FA48" i="20" s="1"/>
  <c r="DH48" i="20"/>
  <c r="DG48" i="20"/>
  <c r="DJ47" i="20"/>
  <c r="DI47" i="20"/>
  <c r="FA47" i="20" s="1"/>
  <c r="DH47" i="20"/>
  <c r="DG47" i="20"/>
  <c r="DJ46" i="20"/>
  <c r="DJ53" i="20" s="1"/>
  <c r="DJ63" i="20" s="1"/>
  <c r="DI46" i="20"/>
  <c r="DI53" i="20" s="1"/>
  <c r="DI63" i="20" s="1"/>
  <c r="DH46" i="20"/>
  <c r="DG46" i="20"/>
  <c r="DJ42" i="20"/>
  <c r="DI42" i="20"/>
  <c r="DH42" i="20"/>
  <c r="DG42" i="20"/>
  <c r="DJ41" i="20"/>
  <c r="DI41" i="20"/>
  <c r="DH41" i="20"/>
  <c r="DG41" i="20"/>
  <c r="DJ40" i="20"/>
  <c r="DI40" i="20"/>
  <c r="FA40" i="20" s="1"/>
  <c r="DH40" i="20"/>
  <c r="DG40" i="20"/>
  <c r="DJ39" i="20"/>
  <c r="DI39" i="20"/>
  <c r="DH39" i="20"/>
  <c r="DG39" i="20"/>
  <c r="DJ35" i="20"/>
  <c r="DI35" i="20"/>
  <c r="DH35" i="20"/>
  <c r="DG35" i="20"/>
  <c r="DJ34" i="20"/>
  <c r="DI34" i="20"/>
  <c r="FA34" i="20" s="1"/>
  <c r="DH34" i="20"/>
  <c r="DG34" i="20"/>
  <c r="DJ33" i="20"/>
  <c r="DI33" i="20"/>
  <c r="DI36" i="20" s="1"/>
  <c r="DH33" i="20"/>
  <c r="DG33" i="20"/>
  <c r="DJ29" i="20"/>
  <c r="DI29" i="20"/>
  <c r="FA29" i="20" s="1"/>
  <c r="DH29" i="20"/>
  <c r="DG29" i="20"/>
  <c r="DJ28" i="20"/>
  <c r="DI28" i="20"/>
  <c r="DH28" i="20"/>
  <c r="DG28" i="20"/>
  <c r="DJ27" i="20"/>
  <c r="DI27" i="20"/>
  <c r="DH27" i="20"/>
  <c r="DG27" i="20"/>
  <c r="DJ26" i="20"/>
  <c r="DI26" i="20"/>
  <c r="DH26" i="20"/>
  <c r="DG26" i="20"/>
  <c r="DJ25" i="20"/>
  <c r="DI25" i="20"/>
  <c r="FA25" i="20" s="1"/>
  <c r="DH25" i="20"/>
  <c r="DG25" i="20"/>
  <c r="DJ24" i="20"/>
  <c r="DJ30" i="20" s="1"/>
  <c r="DI24" i="20"/>
  <c r="DI30" i="20" s="1"/>
  <c r="DH24" i="20"/>
  <c r="DG24" i="20"/>
  <c r="DJ20" i="20"/>
  <c r="DI20" i="20"/>
  <c r="DH20" i="20"/>
  <c r="DG20" i="20"/>
  <c r="DJ19" i="20"/>
  <c r="DI19" i="20"/>
  <c r="FA19" i="20" s="1"/>
  <c r="DH19" i="20"/>
  <c r="DG19" i="20"/>
  <c r="DJ18" i="20"/>
  <c r="DI18" i="20"/>
  <c r="DH18" i="20"/>
  <c r="DG18" i="20"/>
  <c r="DJ17" i="20"/>
  <c r="DI17" i="20"/>
  <c r="DH17" i="20"/>
  <c r="DG17" i="20"/>
  <c r="DJ16" i="20"/>
  <c r="DI16" i="20"/>
  <c r="FA16" i="20" s="1"/>
  <c r="DH16" i="20"/>
  <c r="DG16" i="20"/>
  <c r="DJ15" i="20"/>
  <c r="DI15" i="20"/>
  <c r="DH15" i="20"/>
  <c r="DG15" i="20"/>
  <c r="DJ14" i="20"/>
  <c r="DI14" i="20"/>
  <c r="DH14" i="20"/>
  <c r="DG14" i="20"/>
  <c r="DJ13" i="20"/>
  <c r="DJ21" i="20" s="1"/>
  <c r="DI13" i="20"/>
  <c r="FA13" i="20" s="1"/>
  <c r="DH13" i="20"/>
  <c r="DG13" i="20"/>
  <c r="DG58" i="20"/>
  <c r="DJ36" i="20"/>
  <c r="DH21" i="20"/>
  <c r="DH36" i="20"/>
  <c r="DH30" i="20"/>
  <c r="DG53" i="20"/>
  <c r="DG63" i="20" s="1"/>
  <c r="DG36" i="20"/>
  <c r="DH53" i="20"/>
  <c r="DH63" i="20" s="1"/>
  <c r="DH43" i="20"/>
  <c r="DI58" i="20"/>
  <c r="DJ43" i="20"/>
  <c r="DH58" i="20"/>
  <c r="DG21" i="20"/>
  <c r="DG61" i="20" s="1"/>
  <c r="DG30" i="20"/>
  <c r="DG43" i="20"/>
  <c r="DI43" i="20"/>
  <c r="DJ58" i="20"/>
  <c r="CG57" i="20"/>
  <c r="CG56" i="20"/>
  <c r="CG52" i="20"/>
  <c r="CG51" i="20"/>
  <c r="CG50" i="20"/>
  <c r="CG49" i="20"/>
  <c r="CG48" i="20"/>
  <c r="CG47" i="20"/>
  <c r="CG46" i="20"/>
  <c r="CG42" i="20"/>
  <c r="CG41" i="20"/>
  <c r="CG40" i="20"/>
  <c r="CG39" i="20"/>
  <c r="CG35" i="20"/>
  <c r="CG25" i="20"/>
  <c r="CG26" i="20"/>
  <c r="CG27" i="20"/>
  <c r="CG28" i="20"/>
  <c r="CG29" i="20"/>
  <c r="CG24" i="20"/>
  <c r="CG20" i="20"/>
  <c r="EG36" i="20"/>
  <c r="DU36" i="20"/>
  <c r="DQ36" i="20"/>
  <c r="EE36" i="20"/>
  <c r="EA36" i="20"/>
  <c r="DO36" i="20"/>
  <c r="DK36" i="20"/>
  <c r="EP36" i="20"/>
  <c r="EH36" i="20"/>
  <c r="DR36" i="20"/>
  <c r="EF36" i="20"/>
  <c r="ED36" i="20"/>
  <c r="DV36" i="20"/>
  <c r="EA21" i="20"/>
  <c r="EC21" i="20"/>
  <c r="DY21" i="20"/>
  <c r="ED21" i="20"/>
  <c r="DX21" i="20"/>
  <c r="DX61" i="20" s="1"/>
  <c r="C18" i="30"/>
  <c r="EH58" i="20"/>
  <c r="DX30" i="20"/>
  <c r="DO53" i="20"/>
  <c r="DO63" i="20" s="1"/>
  <c r="EF58" i="20"/>
  <c r="DN53" i="20"/>
  <c r="DN63" i="20" s="1"/>
  <c r="ED63" i="20"/>
  <c r="EB63" i="20"/>
  <c r="EG58" i="20"/>
  <c r="EA63" i="20"/>
  <c r="DY53" i="20"/>
  <c r="DY63" i="20" s="1"/>
  <c r="DR63" i="20"/>
  <c r="DU43" i="20"/>
  <c r="DU58" i="20"/>
  <c r="DL63" i="20"/>
  <c r="EB30" i="20"/>
  <c r="DX58" i="20"/>
  <c r="EG53" i="20"/>
  <c r="EG63" i="20" s="1"/>
  <c r="DV43" i="20"/>
  <c r="DX43" i="20"/>
  <c r="EC43" i="20"/>
  <c r="EQ30" i="20"/>
  <c r="EE58" i="20"/>
  <c r="EQ58" i="20"/>
  <c r="DY58" i="20"/>
  <c r="EP58" i="20"/>
  <c r="DT53" i="20"/>
  <c r="DT63" i="20"/>
  <c r="DW30" i="20"/>
  <c r="ED30" i="20"/>
  <c r="DP30" i="20"/>
  <c r="EQ53" i="20"/>
  <c r="EQ63" i="20" s="1"/>
  <c r="DU63" i="20"/>
  <c r="EH53" i="20"/>
  <c r="EH63" i="20" s="1"/>
  <c r="EA58" i="20"/>
  <c r="DZ30" i="20"/>
  <c r="EM53" i="20"/>
  <c r="EM63" i="20"/>
  <c r="EO53" i="20"/>
  <c r="EO63" i="20" s="1"/>
  <c r="DZ63" i="20"/>
  <c r="EP53" i="20"/>
  <c r="EP63" i="20" s="1"/>
  <c r="EC58" i="20"/>
  <c r="DN58" i="20"/>
  <c r="EG30" i="20"/>
  <c r="EA43" i="20"/>
  <c r="DR30" i="20"/>
  <c r="EH30" i="20"/>
  <c r="EN53" i="20"/>
  <c r="EN63" i="20"/>
  <c r="X37" i="28"/>
  <c r="X36" i="28"/>
  <c r="FM57" i="20"/>
  <c r="FM52" i="20"/>
  <c r="FM51" i="20"/>
  <c r="FM50" i="20"/>
  <c r="FM48" i="20"/>
  <c r="FM46" i="20"/>
  <c r="FM53" i="20" s="1"/>
  <c r="FM63" i="20" s="1"/>
  <c r="HC63" i="20" s="1"/>
  <c r="FM42" i="20"/>
  <c r="FM41" i="20"/>
  <c r="FM39" i="20"/>
  <c r="FM35" i="20"/>
  <c r="FM29" i="20"/>
  <c r="FM28" i="20"/>
  <c r="FM27" i="20"/>
  <c r="FM30" i="20" s="1"/>
  <c r="FM25" i="20"/>
  <c r="FM24" i="20"/>
  <c r="FM20" i="20"/>
  <c r="FM19" i="20"/>
  <c r="FM18" i="20"/>
  <c r="FM17" i="20"/>
  <c r="FM16" i="20"/>
  <c r="FM15" i="20"/>
  <c r="FL57" i="20"/>
  <c r="FL56" i="20"/>
  <c r="FL52" i="20"/>
  <c r="FL51" i="20"/>
  <c r="FL50" i="20"/>
  <c r="FL49" i="20"/>
  <c r="FL48" i="20"/>
  <c r="FL53" i="20" s="1"/>
  <c r="FL46" i="20"/>
  <c r="FL42" i="20"/>
  <c r="FL41" i="20"/>
  <c r="FL39" i="20"/>
  <c r="FL35" i="20"/>
  <c r="FL34" i="20"/>
  <c r="FL29" i="20"/>
  <c r="FL28" i="20"/>
  <c r="FL27" i="20"/>
  <c r="FL25" i="20"/>
  <c r="FL24" i="20"/>
  <c r="FL20" i="20"/>
  <c r="FL18" i="20"/>
  <c r="FL17" i="20"/>
  <c r="FL16" i="20"/>
  <c r="FL14" i="20"/>
  <c r="FL13" i="20"/>
  <c r="FL21" i="20" s="1"/>
  <c r="CA62" i="20"/>
  <c r="BZ62" i="20"/>
  <c r="CA58" i="20"/>
  <c r="BZ58" i="20"/>
  <c r="CA53" i="20"/>
  <c r="CA63" i="20" s="1"/>
  <c r="BZ53" i="20"/>
  <c r="BZ63" i="20"/>
  <c r="CA43" i="20"/>
  <c r="BZ43" i="20"/>
  <c r="CA36" i="20"/>
  <c r="BZ36" i="20"/>
  <c r="CA30" i="20"/>
  <c r="CA61" i="20" s="1"/>
  <c r="CA64" i="20" s="1"/>
  <c r="BZ30" i="20"/>
  <c r="CA21" i="20"/>
  <c r="BZ21" i="20"/>
  <c r="BZ61" i="20" s="1"/>
  <c r="BZ64" i="20" s="1"/>
  <c r="EH10" i="20"/>
  <c r="EH62" i="20" s="1"/>
  <c r="EG10" i="20"/>
  <c r="EF10" i="20"/>
  <c r="EE10" i="20"/>
  <c r="EQ10" i="20"/>
  <c r="EQ62" i="20" s="1"/>
  <c r="FM62" i="20" s="1"/>
  <c r="HC62" i="20" s="1"/>
  <c r="EP10" i="20"/>
  <c r="BV57" i="20"/>
  <c r="BV56" i="20"/>
  <c r="BV52" i="20"/>
  <c r="BV51" i="20"/>
  <c r="BV50" i="20"/>
  <c r="BV49" i="20"/>
  <c r="BV48" i="20"/>
  <c r="BV47" i="20"/>
  <c r="BV46" i="20"/>
  <c r="BV42" i="20"/>
  <c r="BV41" i="20"/>
  <c r="BV40" i="20"/>
  <c r="BV39" i="20"/>
  <c r="BV35" i="20"/>
  <c r="BV34" i="20"/>
  <c r="BV33" i="20"/>
  <c r="BV29" i="20"/>
  <c r="BV28" i="20"/>
  <c r="BV27" i="20"/>
  <c r="BV26" i="20"/>
  <c r="BV25" i="20"/>
  <c r="BV24" i="20"/>
  <c r="BV20" i="20"/>
  <c r="BV19" i="20"/>
  <c r="BV18" i="20"/>
  <c r="BV17" i="20"/>
  <c r="BV16" i="20"/>
  <c r="BV15" i="20"/>
  <c r="BV14" i="20"/>
  <c r="BQ13" i="20"/>
  <c r="BL13" i="20"/>
  <c r="BQ57" i="20"/>
  <c r="BQ56" i="20"/>
  <c r="BQ52" i="20"/>
  <c r="BQ51" i="20"/>
  <c r="BQ50" i="20"/>
  <c r="BQ49" i="20"/>
  <c r="BQ48" i="20"/>
  <c r="BQ47" i="20"/>
  <c r="BQ46" i="20"/>
  <c r="BQ42" i="20"/>
  <c r="BQ41" i="20"/>
  <c r="BQ40" i="20"/>
  <c r="BQ39" i="20"/>
  <c r="BQ35" i="20"/>
  <c r="BQ34" i="20"/>
  <c r="BQ33" i="20"/>
  <c r="BQ29" i="20"/>
  <c r="BQ28" i="20"/>
  <c r="BQ27" i="20"/>
  <c r="BQ26" i="20"/>
  <c r="BQ25" i="20"/>
  <c r="BQ24" i="20"/>
  <c r="BQ20" i="20"/>
  <c r="BQ19" i="20"/>
  <c r="BQ18" i="20"/>
  <c r="BQ17" i="20"/>
  <c r="BQ16" i="20"/>
  <c r="BQ15" i="20"/>
  <c r="BQ14" i="20"/>
  <c r="BU62" i="20"/>
  <c r="BT62" i="20"/>
  <c r="BS62" i="20"/>
  <c r="BV62" i="20" s="1"/>
  <c r="BR62" i="20"/>
  <c r="BU58" i="20"/>
  <c r="BT58" i="20"/>
  <c r="BS58" i="20"/>
  <c r="BV58" i="20" s="1"/>
  <c r="BR58" i="20"/>
  <c r="BU53" i="20"/>
  <c r="BU63" i="20"/>
  <c r="BU64" i="20" s="1"/>
  <c r="BT53" i="20"/>
  <c r="BT63" i="20" s="1"/>
  <c r="BS53" i="20"/>
  <c r="BS63" i="20"/>
  <c r="BR53" i="20"/>
  <c r="BU43" i="20"/>
  <c r="BT43" i="20"/>
  <c r="BS43" i="20"/>
  <c r="BV43" i="20" s="1"/>
  <c r="BR43" i="20"/>
  <c r="BU36" i="20"/>
  <c r="BT36" i="20"/>
  <c r="BS36" i="20"/>
  <c r="BR36" i="20"/>
  <c r="BU30" i="20"/>
  <c r="BT30" i="20"/>
  <c r="BS30" i="20"/>
  <c r="BV30" i="20" s="1"/>
  <c r="BR30" i="20"/>
  <c r="BU21" i="20"/>
  <c r="BU61" i="20"/>
  <c r="BT21" i="20"/>
  <c r="BS21" i="20"/>
  <c r="BV21" i="20" s="1"/>
  <c r="BR21" i="20"/>
  <c r="BR61" i="20"/>
  <c r="BP62" i="20"/>
  <c r="BO62" i="20"/>
  <c r="BN62" i="20"/>
  <c r="BM62" i="20"/>
  <c r="BP58" i="20"/>
  <c r="BQ58" i="20" s="1"/>
  <c r="BO58" i="20"/>
  <c r="BN58" i="20"/>
  <c r="BM58" i="20"/>
  <c r="BM61" i="20" s="1"/>
  <c r="BP53" i="20"/>
  <c r="BP63" i="20" s="1"/>
  <c r="BO53" i="20"/>
  <c r="BO63" i="20"/>
  <c r="BN53" i="20"/>
  <c r="BN63" i="20" s="1"/>
  <c r="BQ63" i="20" s="1"/>
  <c r="BM53" i="20"/>
  <c r="BM63" i="20"/>
  <c r="BP43" i="20"/>
  <c r="BO43" i="20"/>
  <c r="BN43" i="20"/>
  <c r="BM43" i="20"/>
  <c r="BP36" i="20"/>
  <c r="BO36" i="20"/>
  <c r="BN36" i="20"/>
  <c r="BM36" i="20"/>
  <c r="BP30" i="20"/>
  <c r="BO30" i="20"/>
  <c r="BN30" i="20"/>
  <c r="BM30" i="20"/>
  <c r="BP21" i="20"/>
  <c r="BO21" i="20"/>
  <c r="BN21" i="20"/>
  <c r="BN61" i="20" s="1"/>
  <c r="BN64" i="20" s="1"/>
  <c r="BM21" i="20"/>
  <c r="V196" i="9"/>
  <c r="U195" i="9"/>
  <c r="V195" i="9"/>
  <c r="U196" i="9"/>
  <c r="V194" i="9"/>
  <c r="U194" i="9"/>
  <c r="V193" i="9"/>
  <c r="U193" i="9"/>
  <c r="V192" i="9"/>
  <c r="U192" i="9"/>
  <c r="V191" i="9"/>
  <c r="U191" i="9"/>
  <c r="V190" i="9"/>
  <c r="U190" i="9"/>
  <c r="V189" i="9"/>
  <c r="U189" i="9"/>
  <c r="V188" i="9"/>
  <c r="U188" i="9"/>
  <c r="V187" i="9"/>
  <c r="U187" i="9"/>
  <c r="V186" i="9"/>
  <c r="U186" i="9"/>
  <c r="V185" i="9"/>
  <c r="U185" i="9"/>
  <c r="V184" i="9"/>
  <c r="U184" i="9"/>
  <c r="V183" i="9"/>
  <c r="U183" i="9"/>
  <c r="V182" i="9"/>
  <c r="U182" i="9"/>
  <c r="V181" i="9"/>
  <c r="U181" i="9"/>
  <c r="V180" i="9"/>
  <c r="U180" i="9"/>
  <c r="V179" i="9"/>
  <c r="U179" i="9"/>
  <c r="V178" i="9"/>
  <c r="U178" i="9"/>
  <c r="T196" i="9"/>
  <c r="S196" i="9"/>
  <c r="R196" i="9"/>
  <c r="Q196" i="9"/>
  <c r="P196" i="9"/>
  <c r="O196" i="9"/>
  <c r="N196" i="9"/>
  <c r="M196" i="9"/>
  <c r="L196" i="9"/>
  <c r="K196" i="9"/>
  <c r="J196" i="9"/>
  <c r="I196" i="9"/>
  <c r="H196" i="9"/>
  <c r="G196" i="9"/>
  <c r="F196" i="9"/>
  <c r="E196" i="9"/>
  <c r="D196" i="9"/>
  <c r="T195" i="9"/>
  <c r="S195" i="9"/>
  <c r="R195" i="9"/>
  <c r="Q195" i="9"/>
  <c r="P195" i="9"/>
  <c r="O195" i="9"/>
  <c r="N195" i="9"/>
  <c r="M195" i="9"/>
  <c r="L195" i="9"/>
  <c r="K195" i="9"/>
  <c r="J195" i="9"/>
  <c r="I195" i="9"/>
  <c r="H195" i="9"/>
  <c r="G195" i="9"/>
  <c r="F195" i="9"/>
  <c r="E195" i="9"/>
  <c r="D195" i="9"/>
  <c r="W174" i="9"/>
  <c r="W173" i="9"/>
  <c r="V149" i="9"/>
  <c r="U149" i="9"/>
  <c r="V148" i="9"/>
  <c r="U148" i="9"/>
  <c r="V147" i="9"/>
  <c r="U147" i="9"/>
  <c r="V74" i="9"/>
  <c r="V73" i="9"/>
  <c r="U73" i="9"/>
  <c r="V72" i="9"/>
  <c r="U72" i="9"/>
  <c r="V62" i="9"/>
  <c r="U62" i="9"/>
  <c r="V61" i="9"/>
  <c r="U61" i="9"/>
  <c r="V60" i="9"/>
  <c r="U60" i="9"/>
  <c r="V59" i="9"/>
  <c r="U59" i="9"/>
  <c r="V58" i="9"/>
  <c r="U58" i="9"/>
  <c r="V57" i="9"/>
  <c r="U57" i="9"/>
  <c r="V56" i="9"/>
  <c r="U56" i="9"/>
  <c r="A74" i="9"/>
  <c r="A73" i="9"/>
  <c r="Z45" i="22"/>
  <c r="X32" i="23" s="1"/>
  <c r="X34" i="23" s="1"/>
  <c r="Y45" i="22"/>
  <c r="W32" i="23" s="1"/>
  <c r="W34" i="23" s="1"/>
  <c r="Z44" i="22"/>
  <c r="X24" i="23" s="1"/>
  <c r="X26" i="23" s="1"/>
  <c r="Y44" i="22"/>
  <c r="W24" i="23" s="1"/>
  <c r="W26" i="23" s="1"/>
  <c r="Z61" i="22"/>
  <c r="Y61" i="22"/>
  <c r="Z60" i="22"/>
  <c r="Y60" i="22"/>
  <c r="Z59" i="22"/>
  <c r="Y59" i="22"/>
  <c r="Y52" i="22"/>
  <c r="Y38" i="22"/>
  <c r="Z39" i="22"/>
  <c r="X38" i="22"/>
  <c r="Y39" i="22" s="1"/>
  <c r="Z38" i="22"/>
  <c r="AA39" i="22" s="1"/>
  <c r="BO61" i="20"/>
  <c r="BO64" i="20"/>
  <c r="EF62" i="20"/>
  <c r="EJ62" i="20"/>
  <c r="EP62" i="20"/>
  <c r="FL62" i="20"/>
  <c r="HB62" i="20"/>
  <c r="EG62" i="20"/>
  <c r="EK62" i="20"/>
  <c r="EL62" i="20"/>
  <c r="FH62" i="20" s="1"/>
  <c r="GX62" i="20" s="1"/>
  <c r="EE62" i="20"/>
  <c r="FG62" i="20" s="1"/>
  <c r="GW62" i="20" s="1"/>
  <c r="EI62" i="20"/>
  <c r="FH14" i="20"/>
  <c r="FH15" i="20"/>
  <c r="FH16" i="20"/>
  <c r="FH17" i="20"/>
  <c r="FH18" i="20"/>
  <c r="FH19" i="20"/>
  <c r="FH25" i="20"/>
  <c r="FH27" i="20"/>
  <c r="FH29" i="20"/>
  <c r="FH34" i="20"/>
  <c r="FH35" i="20"/>
  <c r="FH42" i="20"/>
  <c r="FH47" i="20"/>
  <c r="FH49" i="20"/>
  <c r="FH50" i="20"/>
  <c r="FH51" i="20"/>
  <c r="FH57" i="20"/>
  <c r="FG14" i="20"/>
  <c r="FG15" i="20"/>
  <c r="FG16" i="20"/>
  <c r="FG18" i="20"/>
  <c r="FG19" i="20"/>
  <c r="FG27" i="20"/>
  <c r="FG28" i="20"/>
  <c r="FG34" i="20"/>
  <c r="FG35" i="20"/>
  <c r="FG41" i="20"/>
  <c r="FG42" i="20"/>
  <c r="FG47" i="20"/>
  <c r="FG48" i="20"/>
  <c r="FG51" i="20"/>
  <c r="FG52" i="20"/>
  <c r="FG57" i="20"/>
  <c r="FL58" i="20"/>
  <c r="FG39" i="20"/>
  <c r="FH24" i="20"/>
  <c r="FH33" i="20"/>
  <c r="FH56" i="20"/>
  <c r="FL15" i="20"/>
  <c r="FL33" i="20"/>
  <c r="FL36" i="20" s="1"/>
  <c r="FL47" i="20"/>
  <c r="FL63" i="20"/>
  <c r="HB63" i="20"/>
  <c r="FM13" i="20"/>
  <c r="FM56" i="20"/>
  <c r="FM58" i="20"/>
  <c r="FG13" i="20"/>
  <c r="FH13" i="20"/>
  <c r="FG33" i="20"/>
  <c r="FG24" i="20"/>
  <c r="FM26" i="20"/>
  <c r="FM33" i="20"/>
  <c r="FM47" i="20"/>
  <c r="BV36" i="20"/>
  <c r="U122" i="9"/>
  <c r="EK64" i="20"/>
  <c r="V122" i="9"/>
  <c r="FH58" i="20"/>
  <c r="R1" i="28"/>
  <c r="P1" i="28"/>
  <c r="F99" i="9"/>
  <c r="D99" i="9"/>
  <c r="T194" i="9"/>
  <c r="S194" i="9"/>
  <c r="R194" i="9"/>
  <c r="Q194" i="9"/>
  <c r="P194" i="9"/>
  <c r="O194" i="9"/>
  <c r="N194" i="9"/>
  <c r="M194" i="9"/>
  <c r="L194" i="9"/>
  <c r="K194" i="9"/>
  <c r="J194" i="9"/>
  <c r="I194" i="9"/>
  <c r="H194" i="9"/>
  <c r="G194" i="9"/>
  <c r="F194" i="9"/>
  <c r="E194" i="9"/>
  <c r="D194" i="9"/>
  <c r="A72" i="9"/>
  <c r="A71" i="9"/>
  <c r="A70" i="9"/>
  <c r="X61" i="22"/>
  <c r="X60" i="22"/>
  <c r="X59" i="22"/>
  <c r="FK13" i="20"/>
  <c r="FK56" i="20"/>
  <c r="FK42" i="20"/>
  <c r="FK41" i="20"/>
  <c r="FK39" i="20"/>
  <c r="FK35" i="20"/>
  <c r="FK34" i="20"/>
  <c r="FK33" i="20"/>
  <c r="FK29" i="20"/>
  <c r="FK28" i="20"/>
  <c r="FK27" i="20"/>
  <c r="FK26" i="20"/>
  <c r="FK25" i="20"/>
  <c r="FK24" i="20"/>
  <c r="FK20" i="20"/>
  <c r="FK19" i="20"/>
  <c r="FK18" i="20"/>
  <c r="FK17" i="20"/>
  <c r="FK16" i="20"/>
  <c r="FK15" i="20"/>
  <c r="FK14" i="20"/>
  <c r="BY62" i="20"/>
  <c r="BY58" i="20"/>
  <c r="BY53" i="20"/>
  <c r="BY63" i="20" s="1"/>
  <c r="BY43" i="20"/>
  <c r="BY36" i="20"/>
  <c r="BY30" i="20"/>
  <c r="BY61" i="20" s="1"/>
  <c r="BY21" i="20"/>
  <c r="DZ10" i="20"/>
  <c r="ED10" i="20"/>
  <c r="ED62" i="20" s="1"/>
  <c r="EC10" i="20"/>
  <c r="EC62" i="20" s="1"/>
  <c r="EB10" i="20"/>
  <c r="EA10" i="20"/>
  <c r="DY10" i="20"/>
  <c r="DX10" i="20"/>
  <c r="DW10" i="20"/>
  <c r="DV10" i="20"/>
  <c r="DU10" i="20"/>
  <c r="DU62" i="20" s="1"/>
  <c r="DT10" i="20"/>
  <c r="DT62" i="20" s="1"/>
  <c r="DS10" i="20"/>
  <c r="DO10" i="20"/>
  <c r="BK62" i="20"/>
  <c r="BJ62" i="20"/>
  <c r="BL62" i="20" s="1"/>
  <c r="BI62" i="20"/>
  <c r="BH62" i="20"/>
  <c r="BK58" i="20"/>
  <c r="BJ58" i="20"/>
  <c r="BL58" i="20" s="1"/>
  <c r="BI58" i="20"/>
  <c r="BH58" i="20"/>
  <c r="BL57" i="20"/>
  <c r="BL56" i="20"/>
  <c r="BK53" i="20"/>
  <c r="BK63" i="20" s="1"/>
  <c r="BJ53" i="20"/>
  <c r="BL53" i="20" s="1"/>
  <c r="BI53" i="20"/>
  <c r="BH53" i="20"/>
  <c r="BH63" i="20"/>
  <c r="BL52" i="20"/>
  <c r="BL51" i="20"/>
  <c r="BL50" i="20"/>
  <c r="BL49" i="20"/>
  <c r="BL48" i="20"/>
  <c r="BL47" i="20"/>
  <c r="BL46" i="20"/>
  <c r="BK43" i="20"/>
  <c r="BJ43" i="20"/>
  <c r="BI43" i="20"/>
  <c r="BH43" i="20"/>
  <c r="BL42" i="20"/>
  <c r="BL41" i="20"/>
  <c r="BL40" i="20"/>
  <c r="BL39" i="20"/>
  <c r="BK36" i="20"/>
  <c r="BJ36" i="20"/>
  <c r="BI36" i="20"/>
  <c r="BH36" i="20"/>
  <c r="BL35" i="20"/>
  <c r="BL34" i="20"/>
  <c r="BL33" i="20"/>
  <c r="BK30" i="20"/>
  <c r="BJ30" i="20"/>
  <c r="BI30" i="20"/>
  <c r="BI61" i="20" s="1"/>
  <c r="BH30" i="20"/>
  <c r="BL29" i="20"/>
  <c r="BL28" i="20"/>
  <c r="BL27" i="20"/>
  <c r="BL26" i="20"/>
  <c r="BL25" i="20"/>
  <c r="BL24" i="20"/>
  <c r="BK21" i="20"/>
  <c r="BJ21" i="20"/>
  <c r="BI21" i="20"/>
  <c r="BH21" i="20"/>
  <c r="BL20" i="20"/>
  <c r="BL19" i="20"/>
  <c r="BL18" i="20"/>
  <c r="BL17" i="20"/>
  <c r="BL16" i="20"/>
  <c r="BL15" i="20"/>
  <c r="BL14" i="20"/>
  <c r="BF62" i="20"/>
  <c r="BE62" i="20"/>
  <c r="BD62" i="20"/>
  <c r="BC62" i="20"/>
  <c r="BF58" i="20"/>
  <c r="BE58" i="20"/>
  <c r="BD58" i="20"/>
  <c r="BC58" i="20"/>
  <c r="BG57" i="20"/>
  <c r="BG56" i="20"/>
  <c r="BF53" i="20"/>
  <c r="BF63" i="20" s="1"/>
  <c r="BE53" i="20"/>
  <c r="BE63" i="20"/>
  <c r="BD53" i="20"/>
  <c r="BD63" i="20" s="1"/>
  <c r="BC53" i="20"/>
  <c r="BC63" i="20"/>
  <c r="BG52" i="20"/>
  <c r="BG51" i="20"/>
  <c r="BG50" i="20"/>
  <c r="BG49" i="20"/>
  <c r="BG48" i="20"/>
  <c r="BG47" i="20"/>
  <c r="BG46" i="20"/>
  <c r="BF43" i="20"/>
  <c r="BE43" i="20"/>
  <c r="BD43" i="20"/>
  <c r="BC43" i="20"/>
  <c r="BG42" i="20"/>
  <c r="BG41" i="20"/>
  <c r="BG40" i="20"/>
  <c r="BG39" i="20"/>
  <c r="BF36" i="20"/>
  <c r="BE36" i="20"/>
  <c r="BD36" i="20"/>
  <c r="BC36" i="20"/>
  <c r="BG35" i="20"/>
  <c r="BG34" i="20"/>
  <c r="BG33" i="20"/>
  <c r="BF30" i="20"/>
  <c r="BE30" i="20"/>
  <c r="BE61" i="20" s="1"/>
  <c r="BD30" i="20"/>
  <c r="BC30" i="20"/>
  <c r="BG29" i="20"/>
  <c r="BG28" i="20"/>
  <c r="BG27" i="20"/>
  <c r="BG26" i="20"/>
  <c r="BG25" i="20"/>
  <c r="BG24" i="20"/>
  <c r="BF21" i="20"/>
  <c r="BE21" i="20"/>
  <c r="BD21" i="20"/>
  <c r="BD61" i="20" s="1"/>
  <c r="BC21" i="20"/>
  <c r="BC61" i="20" s="1"/>
  <c r="BG20" i="20"/>
  <c r="BG19" i="20"/>
  <c r="BG18" i="20"/>
  <c r="BG17" i="20"/>
  <c r="BG16" i="20"/>
  <c r="BG15" i="20"/>
  <c r="BG14" i="20"/>
  <c r="BG13" i="20"/>
  <c r="BB57" i="20"/>
  <c r="BB56" i="20"/>
  <c r="BB52" i="20"/>
  <c r="BB51" i="20"/>
  <c r="BB50" i="20"/>
  <c r="BB49" i="20"/>
  <c r="BB48" i="20"/>
  <c r="BB47" i="20"/>
  <c r="BB46" i="20"/>
  <c r="BB42" i="20"/>
  <c r="BB41" i="20"/>
  <c r="BB40" i="20"/>
  <c r="BB39" i="20"/>
  <c r="BB35" i="20"/>
  <c r="BB34" i="20"/>
  <c r="BB33" i="20"/>
  <c r="BB29" i="20"/>
  <c r="BB28" i="20"/>
  <c r="BB27" i="20"/>
  <c r="BB26" i="20"/>
  <c r="BB25" i="20"/>
  <c r="BB24" i="20"/>
  <c r="BB20" i="20"/>
  <c r="BB19" i="20"/>
  <c r="BB18" i="20"/>
  <c r="BB17" i="20"/>
  <c r="BB16" i="20"/>
  <c r="BB15" i="20"/>
  <c r="BB14" i="20"/>
  <c r="BB13" i="20"/>
  <c r="BA62" i="20"/>
  <c r="AZ62" i="20"/>
  <c r="AY62" i="20"/>
  <c r="AX62" i="20"/>
  <c r="BA58" i="20"/>
  <c r="BA61" i="20" s="1"/>
  <c r="BA64" i="20" s="1"/>
  <c r="AZ58" i="20"/>
  <c r="AY58" i="20"/>
  <c r="AX58" i="20"/>
  <c r="BA53" i="20"/>
  <c r="BA63" i="20"/>
  <c r="AZ53" i="20"/>
  <c r="AZ63" i="20" s="1"/>
  <c r="AY53" i="20"/>
  <c r="AY63" i="20"/>
  <c r="AX53" i="20"/>
  <c r="BA43" i="20"/>
  <c r="AZ43" i="20"/>
  <c r="AY43" i="20"/>
  <c r="AX43" i="20"/>
  <c r="BA36" i="20"/>
  <c r="AZ36" i="20"/>
  <c r="AY36" i="20"/>
  <c r="BB36" i="20" s="1"/>
  <c r="AX36" i="20"/>
  <c r="BA30" i="20"/>
  <c r="AZ30" i="20"/>
  <c r="AY30" i="20"/>
  <c r="AX30" i="20"/>
  <c r="BA21" i="20"/>
  <c r="AZ21" i="20"/>
  <c r="AY21" i="20"/>
  <c r="AX21" i="20"/>
  <c r="S51" i="22"/>
  <c r="AW42" i="20"/>
  <c r="AR42" i="20"/>
  <c r="AM42" i="20"/>
  <c r="AH42" i="20"/>
  <c r="AW41" i="20"/>
  <c r="AR41" i="20"/>
  <c r="AM41" i="20"/>
  <c r="AH41" i="20"/>
  <c r="AW40" i="20"/>
  <c r="AR40" i="20"/>
  <c r="AM40" i="20"/>
  <c r="AH40" i="20"/>
  <c r="AW39" i="20"/>
  <c r="AR39" i="20"/>
  <c r="AM39" i="20"/>
  <c r="AH39" i="20"/>
  <c r="BX36" i="20"/>
  <c r="BW36" i="20"/>
  <c r="AS36" i="20"/>
  <c r="AT36" i="20"/>
  <c r="AU36" i="20"/>
  <c r="AV36" i="20"/>
  <c r="AN36" i="20"/>
  <c r="AO36" i="20"/>
  <c r="AP36" i="20"/>
  <c r="AQ36" i="20"/>
  <c r="AI36" i="20"/>
  <c r="AJ36" i="20"/>
  <c r="AK36" i="20"/>
  <c r="AL36" i="20"/>
  <c r="AD36" i="20"/>
  <c r="AE36" i="20"/>
  <c r="AF36" i="20"/>
  <c r="AG36" i="20"/>
  <c r="AW35" i="20"/>
  <c r="AR35" i="20"/>
  <c r="AM35" i="20"/>
  <c r="AH35" i="20"/>
  <c r="AW34" i="20"/>
  <c r="AR34" i="20"/>
  <c r="AM34" i="20"/>
  <c r="AH34" i="20"/>
  <c r="AW33" i="20"/>
  <c r="AR33" i="20"/>
  <c r="AM33" i="20"/>
  <c r="AH33" i="20"/>
  <c r="BX30" i="20"/>
  <c r="BW30" i="20"/>
  <c r="AS30" i="20"/>
  <c r="AW30" i="20" s="1"/>
  <c r="AT30" i="20"/>
  <c r="AU30" i="20"/>
  <c r="AV30" i="20"/>
  <c r="AN30" i="20"/>
  <c r="AR30" i="20" s="1"/>
  <c r="AO30" i="20"/>
  <c r="AP30" i="20"/>
  <c r="AQ30" i="20"/>
  <c r="AI30" i="20"/>
  <c r="AM30" i="20" s="1"/>
  <c r="AJ30" i="20"/>
  <c r="AK30" i="20"/>
  <c r="AL30" i="20"/>
  <c r="AD30" i="20"/>
  <c r="AE30" i="20"/>
  <c r="AF30" i="20"/>
  <c r="AG30" i="20"/>
  <c r="AW29" i="20"/>
  <c r="AR29" i="20"/>
  <c r="AM29" i="20"/>
  <c r="AH29" i="20"/>
  <c r="AW28" i="20"/>
  <c r="AR28" i="20"/>
  <c r="AM28" i="20"/>
  <c r="AH28" i="20"/>
  <c r="AW27" i="20"/>
  <c r="AR27" i="20"/>
  <c r="AM27" i="20"/>
  <c r="AH27" i="20"/>
  <c r="AW26" i="20"/>
  <c r="AR26" i="20"/>
  <c r="AM26" i="20"/>
  <c r="AH26" i="20"/>
  <c r="AW25" i="20"/>
  <c r="AR25" i="20"/>
  <c r="AM25" i="20"/>
  <c r="AH25" i="20"/>
  <c r="AW24" i="20"/>
  <c r="AR24" i="20"/>
  <c r="AM24" i="20"/>
  <c r="AH24" i="20"/>
  <c r="Q31" i="22"/>
  <c r="J11" i="29"/>
  <c r="I11" i="29"/>
  <c r="H11" i="29"/>
  <c r="G11" i="29"/>
  <c r="F11" i="29"/>
  <c r="E11" i="29"/>
  <c r="D11" i="29"/>
  <c r="C11" i="29"/>
  <c r="B11" i="29"/>
  <c r="FI25" i="20"/>
  <c r="FI26" i="20"/>
  <c r="FI27" i="20"/>
  <c r="FI28" i="20"/>
  <c r="FI29" i="20"/>
  <c r="FI39" i="20"/>
  <c r="FI41" i="20"/>
  <c r="FJ24" i="20"/>
  <c r="FJ25" i="20"/>
  <c r="FJ26" i="20"/>
  <c r="FJ27" i="20"/>
  <c r="FJ28" i="20"/>
  <c r="FJ29" i="20"/>
  <c r="FJ39" i="20"/>
  <c r="FJ41" i="20"/>
  <c r="FJ42" i="20"/>
  <c r="DP10" i="20"/>
  <c r="DQ10" i="20"/>
  <c r="DQ62" i="20" s="1"/>
  <c r="DR10" i="20"/>
  <c r="DK10" i="20"/>
  <c r="DL10" i="20"/>
  <c r="DL62" i="20" s="1"/>
  <c r="DM10" i="20"/>
  <c r="DN10" i="20"/>
  <c r="DG10" i="20"/>
  <c r="DH10" i="20"/>
  <c r="DI10" i="20"/>
  <c r="DI62" i="20" s="1"/>
  <c r="DJ10" i="20"/>
  <c r="CQ10" i="20"/>
  <c r="CQ62" i="20" s="1"/>
  <c r="EW62" i="20" s="1"/>
  <c r="GM62" i="20" s="1"/>
  <c r="CR10" i="20"/>
  <c r="CR62" i="20" s="1"/>
  <c r="CS10" i="20"/>
  <c r="CS62" i="20"/>
  <c r="CT10" i="20"/>
  <c r="CT62" i="20" s="1"/>
  <c r="CP10" i="20"/>
  <c r="CP62" i="20"/>
  <c r="CM10" i="20"/>
  <c r="CM62" i="20" s="1"/>
  <c r="CN10" i="20"/>
  <c r="CN62" i="20"/>
  <c r="CO10" i="20"/>
  <c r="CO62" i="20" s="1"/>
  <c r="CI10" i="20"/>
  <c r="CI62" i="20" s="1"/>
  <c r="EU62" i="20" s="1"/>
  <c r="GK62" i="20" s="1"/>
  <c r="CJ10" i="20"/>
  <c r="CJ62" i="20" s="1"/>
  <c r="CK10" i="20"/>
  <c r="CK62" i="20"/>
  <c r="CL10" i="20"/>
  <c r="CL62" i="20" s="1"/>
  <c r="FI33" i="20"/>
  <c r="FI35" i="20"/>
  <c r="FJ33" i="20"/>
  <c r="FJ34" i="20"/>
  <c r="FJ35" i="20"/>
  <c r="FJ36" i="20" s="1"/>
  <c r="V52" i="22"/>
  <c r="O50" i="22"/>
  <c r="O62" i="20"/>
  <c r="AR13" i="20"/>
  <c r="AR14" i="20"/>
  <c r="AR15" i="20"/>
  <c r="AR16" i="20"/>
  <c r="AR17" i="20"/>
  <c r="AR18" i="20"/>
  <c r="AR19" i="20"/>
  <c r="AR20" i="20"/>
  <c r="AR56" i="20"/>
  <c r="AR57" i="20"/>
  <c r="AR46" i="20"/>
  <c r="AR47" i="20"/>
  <c r="AR48" i="20"/>
  <c r="AR49" i="20"/>
  <c r="AR50" i="20"/>
  <c r="AR51" i="20"/>
  <c r="AR52" i="20"/>
  <c r="FJ13" i="20"/>
  <c r="AW13" i="20"/>
  <c r="AS21" i="20"/>
  <c r="AS43" i="20"/>
  <c r="AS58" i="20"/>
  <c r="AS62" i="20"/>
  <c r="AS53" i="20"/>
  <c r="AS63" i="20"/>
  <c r="AT21" i="20"/>
  <c r="AT43" i="20"/>
  <c r="AT58" i="20"/>
  <c r="AT61" i="20" s="1"/>
  <c r="AT62" i="20"/>
  <c r="AW62" i="20" s="1"/>
  <c r="AT53" i="20"/>
  <c r="AT63" i="20" s="1"/>
  <c r="AU21" i="20"/>
  <c r="AU43" i="20"/>
  <c r="AU58" i="20"/>
  <c r="AU62" i="20"/>
  <c r="AU53" i="20"/>
  <c r="AU63" i="20" s="1"/>
  <c r="AV21" i="20"/>
  <c r="AV43" i="20"/>
  <c r="AV58" i="20"/>
  <c r="AV62" i="20"/>
  <c r="AV53" i="20"/>
  <c r="AV63" i="20" s="1"/>
  <c r="AW57" i="20"/>
  <c r="AW56" i="20"/>
  <c r="AW52" i="20"/>
  <c r="AW51" i="20"/>
  <c r="AW50" i="20"/>
  <c r="AW49" i="20"/>
  <c r="AW48" i="20"/>
  <c r="AW47" i="20"/>
  <c r="AW46" i="20"/>
  <c r="AW20" i="20"/>
  <c r="AW19" i="20"/>
  <c r="AW18" i="20"/>
  <c r="AW17" i="20"/>
  <c r="AW16" i="20"/>
  <c r="AW15" i="20"/>
  <c r="AW14" i="20"/>
  <c r="U36" i="20"/>
  <c r="U62" i="20"/>
  <c r="X62" i="20" s="1"/>
  <c r="FI14" i="20"/>
  <c r="FI15" i="20"/>
  <c r="FI16" i="20"/>
  <c r="FI17" i="20"/>
  <c r="FI18" i="20"/>
  <c r="FI19" i="20"/>
  <c r="FI20" i="20"/>
  <c r="FI56" i="20"/>
  <c r="FI58" i="20" s="1"/>
  <c r="FI57" i="20"/>
  <c r="FJ14" i="20"/>
  <c r="FJ16" i="20"/>
  <c r="FJ17" i="20"/>
  <c r="FJ18" i="20"/>
  <c r="FJ19" i="20"/>
  <c r="FJ20" i="20"/>
  <c r="FJ56" i="20"/>
  <c r="FJ57" i="20"/>
  <c r="A32" i="20"/>
  <c r="BW21" i="20"/>
  <c r="BW43" i="20"/>
  <c r="BW61" i="20" s="1"/>
  <c r="BW64" i="20" s="1"/>
  <c r="BW58" i="20"/>
  <c r="BX21" i="20"/>
  <c r="BX43" i="20"/>
  <c r="BX58" i="20"/>
  <c r="BW62" i="20"/>
  <c r="BX62" i="20"/>
  <c r="AO21" i="20"/>
  <c r="AO43" i="20"/>
  <c r="AR43" i="20" s="1"/>
  <c r="AO58" i="20"/>
  <c r="AP21" i="20"/>
  <c r="AP43" i="20"/>
  <c r="AP58" i="20"/>
  <c r="AR58" i="20" s="1"/>
  <c r="AQ21" i="20"/>
  <c r="AQ43" i="20"/>
  <c r="AQ58" i="20"/>
  <c r="AO62" i="20"/>
  <c r="AP62" i="20"/>
  <c r="AQ62" i="20"/>
  <c r="AN62" i="20"/>
  <c r="AN21" i="20"/>
  <c r="AN43" i="20"/>
  <c r="AN58" i="20"/>
  <c r="AJ21" i="20"/>
  <c r="AJ43" i="20"/>
  <c r="AJ58" i="20"/>
  <c r="AK21" i="20"/>
  <c r="AK43" i="20"/>
  <c r="AK58" i="20"/>
  <c r="AL21" i="20"/>
  <c r="AL43" i="20"/>
  <c r="AL58" i="20"/>
  <c r="AJ62" i="20"/>
  <c r="AK62" i="20"/>
  <c r="AL62" i="20"/>
  <c r="AI62" i="20"/>
  <c r="AI21" i="20"/>
  <c r="AI61" i="20" s="1"/>
  <c r="AI43" i="20"/>
  <c r="AI58" i="20"/>
  <c r="AE21" i="20"/>
  <c r="AE43" i="20"/>
  <c r="AE58" i="20"/>
  <c r="AF21" i="20"/>
  <c r="AF43" i="20"/>
  <c r="AF58" i="20"/>
  <c r="AG21" i="20"/>
  <c r="AG43" i="20"/>
  <c r="AG58" i="20"/>
  <c r="AE62" i="20"/>
  <c r="AF62" i="20"/>
  <c r="AG62" i="20"/>
  <c r="AD62" i="20"/>
  <c r="AD21" i="20"/>
  <c r="AH21" i="20" s="1"/>
  <c r="AD43" i="20"/>
  <c r="AD58" i="20"/>
  <c r="Z21" i="20"/>
  <c r="Z30" i="20"/>
  <c r="Z43" i="20"/>
  <c r="Z58" i="20"/>
  <c r="AA21" i="20"/>
  <c r="AA30" i="20"/>
  <c r="AA43" i="20"/>
  <c r="AA58" i="20"/>
  <c r="AB21" i="20"/>
  <c r="AB30" i="20"/>
  <c r="AB43" i="20"/>
  <c r="AB58" i="20"/>
  <c r="Z36" i="20"/>
  <c r="Z62" i="20"/>
  <c r="AA36" i="20"/>
  <c r="AA62" i="20"/>
  <c r="AB36" i="20"/>
  <c r="AB62" i="20"/>
  <c r="Y36" i="20"/>
  <c r="Y62" i="20"/>
  <c r="Y21" i="20"/>
  <c r="AC21" i="20"/>
  <c r="Y30" i="20"/>
  <c r="Y43" i="20"/>
  <c r="Y58" i="20"/>
  <c r="U21" i="20"/>
  <c r="U30" i="20"/>
  <c r="U43" i="20"/>
  <c r="U58" i="20"/>
  <c r="V21" i="20"/>
  <c r="V30" i="20"/>
  <c r="V43" i="20"/>
  <c r="V58" i="20"/>
  <c r="W21" i="20"/>
  <c r="W61" i="20" s="1"/>
  <c r="W30" i="20"/>
  <c r="W43" i="20"/>
  <c r="W58" i="20"/>
  <c r="V36" i="20"/>
  <c r="V62" i="20"/>
  <c r="W36" i="20"/>
  <c r="W62" i="20"/>
  <c r="T36" i="20"/>
  <c r="X36" i="20" s="1"/>
  <c r="T62" i="20"/>
  <c r="T21" i="20"/>
  <c r="T30" i="20"/>
  <c r="T43" i="20"/>
  <c r="X43" i="20" s="1"/>
  <c r="T58" i="20"/>
  <c r="P21" i="20"/>
  <c r="P30" i="20"/>
  <c r="P43" i="20"/>
  <c r="P61" i="20" s="1"/>
  <c r="P58" i="20"/>
  <c r="Q21" i="20"/>
  <c r="Q30" i="20"/>
  <c r="Q43" i="20"/>
  <c r="Q58" i="20"/>
  <c r="R21" i="20"/>
  <c r="R30" i="20"/>
  <c r="R43" i="20"/>
  <c r="R58" i="20"/>
  <c r="P36" i="20"/>
  <c r="P62" i="20"/>
  <c r="Q36" i="20"/>
  <c r="S36" i="20" s="1"/>
  <c r="Q62" i="20"/>
  <c r="R36" i="20"/>
  <c r="R62" i="20"/>
  <c r="O30" i="20"/>
  <c r="O36" i="20"/>
  <c r="O21" i="20"/>
  <c r="S21" i="20"/>
  <c r="O43" i="20"/>
  <c r="O58" i="20"/>
  <c r="K21" i="20"/>
  <c r="K30" i="20"/>
  <c r="K43" i="20"/>
  <c r="K58" i="20"/>
  <c r="K36" i="20"/>
  <c r="L21" i="20"/>
  <c r="L30" i="20"/>
  <c r="L43" i="20"/>
  <c r="L58" i="20"/>
  <c r="L36" i="20"/>
  <c r="M30" i="20"/>
  <c r="M21" i="20"/>
  <c r="M43" i="20"/>
  <c r="M58" i="20"/>
  <c r="M36" i="20"/>
  <c r="K62" i="20"/>
  <c r="L62" i="20"/>
  <c r="M62" i="20"/>
  <c r="J62" i="20"/>
  <c r="N62" i="20" s="1"/>
  <c r="J21" i="20"/>
  <c r="J30" i="20"/>
  <c r="J43" i="20"/>
  <c r="J58" i="20"/>
  <c r="J61" i="20" s="1"/>
  <c r="J36" i="20"/>
  <c r="F62" i="20"/>
  <c r="G62" i="20"/>
  <c r="H62" i="20"/>
  <c r="E62" i="20"/>
  <c r="F21" i="20"/>
  <c r="F30" i="20"/>
  <c r="F43" i="20"/>
  <c r="F61" i="20" s="1"/>
  <c r="F64" i="20" s="1"/>
  <c r="F58" i="20"/>
  <c r="F36" i="20"/>
  <c r="G21" i="20"/>
  <c r="G30" i="20"/>
  <c r="G61" i="20" s="1"/>
  <c r="G64" i="20" s="1"/>
  <c r="G43" i="20"/>
  <c r="G58" i="20"/>
  <c r="G36" i="20"/>
  <c r="H21" i="20"/>
  <c r="H30" i="20"/>
  <c r="H43" i="20"/>
  <c r="H58" i="20"/>
  <c r="H36" i="20"/>
  <c r="I36" i="20" s="1"/>
  <c r="E21" i="20"/>
  <c r="E30" i="20"/>
  <c r="E43" i="20"/>
  <c r="E58" i="20"/>
  <c r="I58" i="20" s="1"/>
  <c r="E36" i="20"/>
  <c r="C8" i="34"/>
  <c r="D8" i="34"/>
  <c r="B25" i="34"/>
  <c r="B26" i="34"/>
  <c r="B27" i="34"/>
  <c r="B28" i="34"/>
  <c r="B29" i="34"/>
  <c r="B31" i="34"/>
  <c r="B32" i="34"/>
  <c r="B33" i="34"/>
  <c r="B39" i="34"/>
  <c r="B38" i="34" s="1"/>
  <c r="B40" i="34"/>
  <c r="B41" i="34"/>
  <c r="B44" i="34"/>
  <c r="B45" i="34"/>
  <c r="B47" i="34"/>
  <c r="F7" i="34"/>
  <c r="B52" i="34"/>
  <c r="B53" i="34"/>
  <c r="B54" i="34"/>
  <c r="B55" i="34"/>
  <c r="C25" i="34"/>
  <c r="C26" i="34"/>
  <c r="C27" i="34"/>
  <c r="C28" i="34"/>
  <c r="C29" i="34"/>
  <c r="C31" i="34"/>
  <c r="C32" i="34"/>
  <c r="C33" i="34"/>
  <c r="C39" i="34"/>
  <c r="C40" i="34"/>
  <c r="C41" i="34"/>
  <c r="C44" i="34"/>
  <c r="C45" i="34"/>
  <c r="C47" i="34"/>
  <c r="C52" i="34"/>
  <c r="C53" i="34"/>
  <c r="C54" i="34"/>
  <c r="C55" i="34"/>
  <c r="D25" i="34"/>
  <c r="D26" i="34"/>
  <c r="D27" i="34"/>
  <c r="D28" i="34"/>
  <c r="D29" i="34"/>
  <c r="D31" i="34"/>
  <c r="D32" i="34"/>
  <c r="D33" i="34"/>
  <c r="D39" i="34"/>
  <c r="D40" i="34"/>
  <c r="D41" i="34"/>
  <c r="D44" i="34"/>
  <c r="D43" i="34" s="1"/>
  <c r="D45" i="34"/>
  <c r="D47" i="34"/>
  <c r="D52" i="34"/>
  <c r="D53" i="34"/>
  <c r="D54" i="34"/>
  <c r="D55" i="34"/>
  <c r="E25" i="34"/>
  <c r="E26" i="34"/>
  <c r="E27" i="34"/>
  <c r="E28" i="34"/>
  <c r="E29" i="34"/>
  <c r="E31" i="34"/>
  <c r="E32" i="34"/>
  <c r="E33" i="34"/>
  <c r="E39" i="34"/>
  <c r="E38" i="34" s="1"/>
  <c r="E40" i="34"/>
  <c r="E41" i="34"/>
  <c r="E44" i="34"/>
  <c r="E45" i="34"/>
  <c r="E47" i="34"/>
  <c r="E52" i="34"/>
  <c r="E53" i="34"/>
  <c r="E54" i="34"/>
  <c r="E55" i="34"/>
  <c r="F25" i="34"/>
  <c r="F26" i="34"/>
  <c r="F27" i="34"/>
  <c r="F28" i="34"/>
  <c r="F29" i="34"/>
  <c r="F31" i="34"/>
  <c r="F32" i="34"/>
  <c r="F33" i="34"/>
  <c r="F39" i="34"/>
  <c r="F40" i="34"/>
  <c r="F41" i="34"/>
  <c r="F44" i="34"/>
  <c r="F45" i="34"/>
  <c r="F43" i="34"/>
  <c r="F47" i="34"/>
  <c r="F52" i="34"/>
  <c r="F53" i="34"/>
  <c r="F54" i="34"/>
  <c r="F55" i="34"/>
  <c r="G25" i="34"/>
  <c r="G26" i="34"/>
  <c r="G27" i="34"/>
  <c r="G28" i="34"/>
  <c r="G29" i="34"/>
  <c r="G31" i="34"/>
  <c r="G32" i="34"/>
  <c r="G33" i="34"/>
  <c r="G39" i="34"/>
  <c r="G40" i="34"/>
  <c r="G41" i="34"/>
  <c r="G38" i="34"/>
  <c r="G44" i="34"/>
  <c r="G45" i="34"/>
  <c r="G47" i="34"/>
  <c r="G52" i="34"/>
  <c r="G53" i="34"/>
  <c r="G54" i="34"/>
  <c r="G55" i="34"/>
  <c r="H25" i="34"/>
  <c r="H26" i="34"/>
  <c r="H27" i="34"/>
  <c r="H28" i="34"/>
  <c r="H29" i="34"/>
  <c r="H31" i="34"/>
  <c r="H32" i="34"/>
  <c r="H33" i="34"/>
  <c r="H39" i="34"/>
  <c r="H38" i="34" s="1"/>
  <c r="H40" i="34"/>
  <c r="H41" i="34"/>
  <c r="H44" i="34"/>
  <c r="H45" i="34"/>
  <c r="H47" i="34"/>
  <c r="H52" i="34"/>
  <c r="H53" i="34"/>
  <c r="H54" i="34"/>
  <c r="H55" i="34"/>
  <c r="I25" i="34"/>
  <c r="I26" i="34"/>
  <c r="I27" i="34"/>
  <c r="I28" i="34"/>
  <c r="I29" i="34"/>
  <c r="I31" i="34"/>
  <c r="I32" i="34"/>
  <c r="I33" i="34"/>
  <c r="I39" i="34"/>
  <c r="I40" i="34"/>
  <c r="I41" i="34"/>
  <c r="I44" i="34"/>
  <c r="I45" i="34"/>
  <c r="I47" i="34"/>
  <c r="I52" i="34"/>
  <c r="I53" i="34"/>
  <c r="I54" i="34"/>
  <c r="I55" i="34"/>
  <c r="J25" i="34"/>
  <c r="J26" i="34"/>
  <c r="J27" i="34"/>
  <c r="J28" i="34"/>
  <c r="J29" i="34"/>
  <c r="J31" i="34"/>
  <c r="J32" i="34"/>
  <c r="J33" i="34"/>
  <c r="J39" i="34"/>
  <c r="J40" i="34"/>
  <c r="J41" i="34"/>
  <c r="J44" i="34"/>
  <c r="J45" i="34"/>
  <c r="J47" i="34"/>
  <c r="J52" i="34"/>
  <c r="J53" i="34"/>
  <c r="J54" i="34"/>
  <c r="J55" i="34"/>
  <c r="K25" i="34"/>
  <c r="K26" i="34"/>
  <c r="K27" i="34"/>
  <c r="K28" i="34"/>
  <c r="K29" i="34"/>
  <c r="K31" i="34"/>
  <c r="K32" i="34"/>
  <c r="K33" i="34"/>
  <c r="K39" i="34"/>
  <c r="K40" i="34"/>
  <c r="K41" i="34"/>
  <c r="K44" i="34"/>
  <c r="K45" i="34"/>
  <c r="K47" i="34"/>
  <c r="K52" i="34"/>
  <c r="K53" i="34"/>
  <c r="K54" i="34"/>
  <c r="K55" i="34"/>
  <c r="L25" i="34"/>
  <c r="L26" i="34"/>
  <c r="L27" i="34"/>
  <c r="L28" i="34"/>
  <c r="L29" i="34"/>
  <c r="L31" i="34"/>
  <c r="L32" i="34"/>
  <c r="L33" i="34"/>
  <c r="L39" i="34"/>
  <c r="L40" i="34"/>
  <c r="L41" i="34"/>
  <c r="L38" i="34" s="1"/>
  <c r="L44" i="34"/>
  <c r="L43" i="34" s="1"/>
  <c r="L45" i="34"/>
  <c r="L47" i="34"/>
  <c r="L52" i="34"/>
  <c r="L53" i="34"/>
  <c r="L54" i="34"/>
  <c r="L55" i="34"/>
  <c r="M25" i="34"/>
  <c r="M26" i="34"/>
  <c r="M27" i="34"/>
  <c r="M28" i="34"/>
  <c r="M29" i="34"/>
  <c r="M31" i="34"/>
  <c r="M32" i="34"/>
  <c r="M33" i="34"/>
  <c r="M39" i="34"/>
  <c r="M40" i="34"/>
  <c r="M41" i="34"/>
  <c r="M44" i="34"/>
  <c r="M45" i="34"/>
  <c r="M43" i="34" s="1"/>
  <c r="M47" i="34"/>
  <c r="M52" i="34"/>
  <c r="M53" i="34"/>
  <c r="M54" i="34"/>
  <c r="M55" i="34"/>
  <c r="N25" i="34"/>
  <c r="N26" i="34"/>
  <c r="N27" i="34"/>
  <c r="N28" i="34"/>
  <c r="N29" i="34"/>
  <c r="N31" i="34"/>
  <c r="N32" i="34"/>
  <c r="N33" i="34"/>
  <c r="N39" i="34"/>
  <c r="N40" i="34"/>
  <c r="N41" i="34"/>
  <c r="N44" i="34"/>
  <c r="N43" i="34" s="1"/>
  <c r="N45" i="34"/>
  <c r="N47" i="34"/>
  <c r="N52" i="34"/>
  <c r="N53" i="34"/>
  <c r="N54" i="34"/>
  <c r="N55" i="34"/>
  <c r="O25" i="34"/>
  <c r="O26" i="34"/>
  <c r="O27" i="34"/>
  <c r="O28" i="34"/>
  <c r="O29" i="34"/>
  <c r="O31" i="34"/>
  <c r="O32" i="34"/>
  <c r="O33" i="34"/>
  <c r="O39" i="34"/>
  <c r="O40" i="34"/>
  <c r="O41" i="34"/>
  <c r="O44" i="34"/>
  <c r="O43" i="34" s="1"/>
  <c r="O45" i="34"/>
  <c r="O47" i="34"/>
  <c r="O52" i="34"/>
  <c r="O53" i="34"/>
  <c r="O54" i="34"/>
  <c r="O55" i="34"/>
  <c r="P25" i="34"/>
  <c r="P26" i="34"/>
  <c r="P24" i="34" s="1"/>
  <c r="P27" i="34"/>
  <c r="P28" i="34"/>
  <c r="P29" i="34"/>
  <c r="P31" i="34"/>
  <c r="P32" i="34"/>
  <c r="P33" i="34"/>
  <c r="P39" i="34"/>
  <c r="P40" i="34"/>
  <c r="P38" i="34" s="1"/>
  <c r="P41" i="34"/>
  <c r="P44" i="34"/>
  <c r="P45" i="34"/>
  <c r="P47" i="34"/>
  <c r="P52" i="34"/>
  <c r="P53" i="34"/>
  <c r="P54" i="34"/>
  <c r="P55" i="34"/>
  <c r="Q25" i="34"/>
  <c r="Q26" i="34"/>
  <c r="Q27" i="34"/>
  <c r="Q28" i="34"/>
  <c r="Q24" i="34" s="1"/>
  <c r="Q29" i="34"/>
  <c r="Q31" i="34"/>
  <c r="Q32" i="34"/>
  <c r="Q33" i="34"/>
  <c r="Q39" i="34"/>
  <c r="Q40" i="34"/>
  <c r="Q41" i="34"/>
  <c r="Q44" i="34"/>
  <c r="Q43" i="34" s="1"/>
  <c r="Q46" i="34" s="1"/>
  <c r="Q45" i="34"/>
  <c r="Q47" i="34"/>
  <c r="Q52" i="34"/>
  <c r="Q53" i="34"/>
  <c r="Q54" i="34"/>
  <c r="Q55" i="34"/>
  <c r="R25" i="34"/>
  <c r="R26" i="34"/>
  <c r="R27" i="34"/>
  <c r="R28" i="34"/>
  <c r="R29" i="34"/>
  <c r="R31" i="34"/>
  <c r="R32" i="34"/>
  <c r="R33" i="34"/>
  <c r="R39" i="34"/>
  <c r="R40" i="34"/>
  <c r="R38" i="34" s="1"/>
  <c r="R41" i="34"/>
  <c r="R44" i="34"/>
  <c r="R45" i="34"/>
  <c r="R47" i="34"/>
  <c r="R52" i="34"/>
  <c r="R53" i="34"/>
  <c r="R54" i="34"/>
  <c r="R55" i="34"/>
  <c r="S25" i="34"/>
  <c r="S26" i="34"/>
  <c r="S27" i="34"/>
  <c r="S28" i="34"/>
  <c r="S29" i="34"/>
  <c r="S31" i="34"/>
  <c r="S32" i="34"/>
  <c r="S33" i="34"/>
  <c r="S39" i="34"/>
  <c r="S38" i="34" s="1"/>
  <c r="S40" i="34"/>
  <c r="S41" i="34"/>
  <c r="S44" i="34"/>
  <c r="S45" i="34"/>
  <c r="S47" i="34"/>
  <c r="S52" i="34"/>
  <c r="S53" i="34"/>
  <c r="S54" i="34"/>
  <c r="S55" i="34"/>
  <c r="T25" i="34"/>
  <c r="T26" i="34"/>
  <c r="T27" i="34"/>
  <c r="T28" i="34"/>
  <c r="T29" i="34"/>
  <c r="T31" i="34"/>
  <c r="T32" i="34"/>
  <c r="T33" i="34"/>
  <c r="T39" i="34"/>
  <c r="T40" i="34"/>
  <c r="T42" i="34" s="1"/>
  <c r="T41" i="34"/>
  <c r="T44" i="34"/>
  <c r="T45" i="34"/>
  <c r="T47" i="34"/>
  <c r="T52" i="34"/>
  <c r="T53" i="34"/>
  <c r="T54" i="34"/>
  <c r="T55" i="34"/>
  <c r="U25" i="34"/>
  <c r="U26" i="34"/>
  <c r="U27" i="34"/>
  <c r="U28" i="34"/>
  <c r="U29" i="34"/>
  <c r="U31" i="34"/>
  <c r="U32" i="34"/>
  <c r="U33" i="34"/>
  <c r="U39" i="34"/>
  <c r="U40" i="34"/>
  <c r="U41" i="34"/>
  <c r="U38" i="34"/>
  <c r="U44" i="34"/>
  <c r="U43" i="34" s="1"/>
  <c r="U45" i="34"/>
  <c r="U47" i="34"/>
  <c r="U52" i="34"/>
  <c r="U53" i="34"/>
  <c r="U54" i="34"/>
  <c r="U55" i="34"/>
  <c r="G4" i="31"/>
  <c r="J8" i="34" s="1"/>
  <c r="F4" i="31"/>
  <c r="I8" i="34"/>
  <c r="A75" i="34"/>
  <c r="A76" i="34" s="1"/>
  <c r="G3" i="31"/>
  <c r="J7" i="34"/>
  <c r="F3" i="31"/>
  <c r="I7" i="34" s="1"/>
  <c r="A64" i="34" s="1"/>
  <c r="A65" i="34"/>
  <c r="M3" i="31"/>
  <c r="J12" i="34" s="1"/>
  <c r="B39" i="31"/>
  <c r="B40" i="31"/>
  <c r="B41" i="31"/>
  <c r="B42" i="31" s="1"/>
  <c r="C39" i="31"/>
  <c r="C40" i="31"/>
  <c r="C41" i="31"/>
  <c r="C42" i="31"/>
  <c r="D39" i="31"/>
  <c r="D40" i="31"/>
  <c r="D41" i="31"/>
  <c r="D42" i="31"/>
  <c r="E39" i="31"/>
  <c r="E40" i="31"/>
  <c r="E41" i="31"/>
  <c r="E42" i="31"/>
  <c r="F39" i="31"/>
  <c r="F40" i="31"/>
  <c r="F41" i="31"/>
  <c r="F42" i="31"/>
  <c r="G39" i="31"/>
  <c r="H39" i="31"/>
  <c r="H40" i="31"/>
  <c r="H41" i="31"/>
  <c r="H42" i="31" s="1"/>
  <c r="I39" i="31"/>
  <c r="I40" i="31"/>
  <c r="J39" i="31"/>
  <c r="J40" i="31" s="1"/>
  <c r="J41" i="31" s="1"/>
  <c r="J42" i="31"/>
  <c r="K39" i="31"/>
  <c r="K40" i="31" s="1"/>
  <c r="K41" i="31" s="1"/>
  <c r="K42" i="31" s="1"/>
  <c r="L39" i="31"/>
  <c r="L40" i="31" s="1"/>
  <c r="L41" i="31" s="1"/>
  <c r="L42" i="31"/>
  <c r="M39" i="31"/>
  <c r="M40" i="31" s="1"/>
  <c r="M41" i="31" s="1"/>
  <c r="M42" i="31" s="1"/>
  <c r="N39" i="31"/>
  <c r="N40" i="31" s="1"/>
  <c r="N41" i="31" s="1"/>
  <c r="N42" i="31"/>
  <c r="O39" i="31"/>
  <c r="O40" i="31" s="1"/>
  <c r="O41" i="31" s="1"/>
  <c r="O42" i="31" s="1"/>
  <c r="P39" i="31"/>
  <c r="P40" i="31" s="1"/>
  <c r="P41" i="31" s="1"/>
  <c r="P42" i="31" s="1"/>
  <c r="Q39" i="31"/>
  <c r="Q40" i="31"/>
  <c r="Q41" i="31" s="1"/>
  <c r="Q42" i="31" s="1"/>
  <c r="R39" i="31"/>
  <c r="R40" i="31"/>
  <c r="R41" i="31"/>
  <c r="R42" i="31" s="1"/>
  <c r="S39" i="31"/>
  <c r="S40" i="31"/>
  <c r="S41" i="31"/>
  <c r="S42" i="31" s="1"/>
  <c r="T39" i="31"/>
  <c r="U39" i="31"/>
  <c r="U40" i="31" s="1"/>
  <c r="U41" i="31" s="1"/>
  <c r="U42" i="31" s="1"/>
  <c r="G40" i="31"/>
  <c r="G41" i="31"/>
  <c r="G42" i="31"/>
  <c r="I41" i="31"/>
  <c r="I42" i="31" s="1"/>
  <c r="T40" i="31"/>
  <c r="T41" i="31"/>
  <c r="T42" i="31" s="1"/>
  <c r="A7" i="34"/>
  <c r="B7" i="34"/>
  <c r="C7" i="34"/>
  <c r="E7" i="34" s="1"/>
  <c r="D7" i="34"/>
  <c r="G7" i="34"/>
  <c r="H7" i="34"/>
  <c r="B8" i="34"/>
  <c r="F8" i="34"/>
  <c r="G8" i="34"/>
  <c r="H8" i="34"/>
  <c r="J15" i="34"/>
  <c r="G12" i="34"/>
  <c r="B68" i="34"/>
  <c r="D184" i="9"/>
  <c r="D191" i="9"/>
  <c r="D192" i="9"/>
  <c r="E191" i="9"/>
  <c r="E192" i="9"/>
  <c r="F191" i="9"/>
  <c r="F192" i="9"/>
  <c r="G191" i="9"/>
  <c r="G192" i="9"/>
  <c r="H191" i="9"/>
  <c r="H192" i="9"/>
  <c r="I191" i="9"/>
  <c r="I192" i="9"/>
  <c r="J191" i="9"/>
  <c r="J192" i="9"/>
  <c r="K191" i="9"/>
  <c r="K192" i="9"/>
  <c r="L191" i="9"/>
  <c r="L192" i="9"/>
  <c r="M191" i="9"/>
  <c r="M192" i="9"/>
  <c r="N191" i="9"/>
  <c r="N192" i="9"/>
  <c r="O191" i="9"/>
  <c r="O192" i="9"/>
  <c r="P191" i="9"/>
  <c r="P192" i="9"/>
  <c r="D193" i="9"/>
  <c r="E193" i="9"/>
  <c r="F193" i="9"/>
  <c r="G193" i="9"/>
  <c r="H193" i="9"/>
  <c r="I193" i="9"/>
  <c r="J193" i="9"/>
  <c r="K193" i="9"/>
  <c r="L193" i="9"/>
  <c r="M193" i="9"/>
  <c r="N193" i="9"/>
  <c r="O193" i="9"/>
  <c r="P193" i="9"/>
  <c r="A69" i="9"/>
  <c r="BW53" i="20"/>
  <c r="BW63" i="20"/>
  <c r="BX53" i="20"/>
  <c r="BX63" i="20" s="1"/>
  <c r="V38" i="22"/>
  <c r="W39" i="22" s="1"/>
  <c r="W38" i="22"/>
  <c r="X39" i="22" s="1"/>
  <c r="W53" i="22"/>
  <c r="V59" i="22"/>
  <c r="W59" i="22"/>
  <c r="V60" i="22"/>
  <c r="W60" i="22"/>
  <c r="V61" i="22"/>
  <c r="W61" i="22"/>
  <c r="P190" i="9"/>
  <c r="O190" i="9"/>
  <c r="N190" i="9"/>
  <c r="M190" i="9"/>
  <c r="L190" i="9"/>
  <c r="K190" i="9"/>
  <c r="J190" i="9"/>
  <c r="I190" i="9"/>
  <c r="H190" i="9"/>
  <c r="G190" i="9"/>
  <c r="F190" i="9"/>
  <c r="E190" i="9"/>
  <c r="D190" i="9"/>
  <c r="E178" i="9"/>
  <c r="D179" i="9"/>
  <c r="D178" i="9"/>
  <c r="J179" i="9"/>
  <c r="J180" i="9"/>
  <c r="J181" i="9"/>
  <c r="J182" i="9"/>
  <c r="J183" i="9"/>
  <c r="J184" i="9"/>
  <c r="J185" i="9"/>
  <c r="J186" i="9"/>
  <c r="P178" i="9"/>
  <c r="O178" i="9"/>
  <c r="N178" i="9"/>
  <c r="M178" i="9"/>
  <c r="L178" i="9"/>
  <c r="K178" i="9"/>
  <c r="J178" i="9"/>
  <c r="I178" i="9"/>
  <c r="H178" i="9"/>
  <c r="G178" i="9"/>
  <c r="F178" i="9"/>
  <c r="P189" i="9"/>
  <c r="O189" i="9"/>
  <c r="N189" i="9"/>
  <c r="M189" i="9"/>
  <c r="L189" i="9"/>
  <c r="K189" i="9"/>
  <c r="J189" i="9"/>
  <c r="I189" i="9"/>
  <c r="H189" i="9"/>
  <c r="G189" i="9"/>
  <c r="F189" i="9"/>
  <c r="E189" i="9"/>
  <c r="D189" i="9"/>
  <c r="P188" i="9"/>
  <c r="O188" i="9"/>
  <c r="N188" i="9"/>
  <c r="M188" i="9"/>
  <c r="L188" i="9"/>
  <c r="K188" i="9"/>
  <c r="J188" i="9"/>
  <c r="I188" i="9"/>
  <c r="H188" i="9"/>
  <c r="G188" i="9"/>
  <c r="F188" i="9"/>
  <c r="E188" i="9"/>
  <c r="D188" i="9"/>
  <c r="P187" i="9"/>
  <c r="O187" i="9"/>
  <c r="N187" i="9"/>
  <c r="M187" i="9"/>
  <c r="L187" i="9"/>
  <c r="K187" i="9"/>
  <c r="J187" i="9"/>
  <c r="I187" i="9"/>
  <c r="H187" i="9"/>
  <c r="G187" i="9"/>
  <c r="F187" i="9"/>
  <c r="E187" i="9"/>
  <c r="D187" i="9"/>
  <c r="P186" i="9"/>
  <c r="O186" i="9"/>
  <c r="N186" i="9"/>
  <c r="M186" i="9"/>
  <c r="L186" i="9"/>
  <c r="K186" i="9"/>
  <c r="I186" i="9"/>
  <c r="H186" i="9"/>
  <c r="G186" i="9"/>
  <c r="F186" i="9"/>
  <c r="E186" i="9"/>
  <c r="D186" i="9"/>
  <c r="P185" i="9"/>
  <c r="O185" i="9"/>
  <c r="N185" i="9"/>
  <c r="M185" i="9"/>
  <c r="L185" i="9"/>
  <c r="K185" i="9"/>
  <c r="I185" i="9"/>
  <c r="H185" i="9"/>
  <c r="G185" i="9"/>
  <c r="F185" i="9"/>
  <c r="E185" i="9"/>
  <c r="D185" i="9"/>
  <c r="P184" i="9"/>
  <c r="O184" i="9"/>
  <c r="N184" i="9"/>
  <c r="M184" i="9"/>
  <c r="L184" i="9"/>
  <c r="K184" i="9"/>
  <c r="I184" i="9"/>
  <c r="H184" i="9"/>
  <c r="G184" i="9"/>
  <c r="F184" i="9"/>
  <c r="E184" i="9"/>
  <c r="P183" i="9"/>
  <c r="O183" i="9"/>
  <c r="N183" i="9"/>
  <c r="M183" i="9"/>
  <c r="L183" i="9"/>
  <c r="K183" i="9"/>
  <c r="I183" i="9"/>
  <c r="H183" i="9"/>
  <c r="G183" i="9"/>
  <c r="F183" i="9"/>
  <c r="E183" i="9"/>
  <c r="D183" i="9"/>
  <c r="P182" i="9"/>
  <c r="O182" i="9"/>
  <c r="N182" i="9"/>
  <c r="M182" i="9"/>
  <c r="L182" i="9"/>
  <c r="K182" i="9"/>
  <c r="I182" i="9"/>
  <c r="H182" i="9"/>
  <c r="G182" i="9"/>
  <c r="F182" i="9"/>
  <c r="E182" i="9"/>
  <c r="D182" i="9"/>
  <c r="P180" i="9"/>
  <c r="O180" i="9"/>
  <c r="N180" i="9"/>
  <c r="M180" i="9"/>
  <c r="L180" i="9"/>
  <c r="K180" i="9"/>
  <c r="I180" i="9"/>
  <c r="H180" i="9"/>
  <c r="G180" i="9"/>
  <c r="F180" i="9"/>
  <c r="E180" i="9"/>
  <c r="D180" i="9"/>
  <c r="P179" i="9"/>
  <c r="O179" i="9"/>
  <c r="N179" i="9"/>
  <c r="M179" i="9"/>
  <c r="L179" i="9"/>
  <c r="K179" i="9"/>
  <c r="I179" i="9"/>
  <c r="H179" i="9"/>
  <c r="G179" i="9"/>
  <c r="F179" i="9"/>
  <c r="E179" i="9"/>
  <c r="D181" i="9"/>
  <c r="E181" i="9"/>
  <c r="F181" i="9"/>
  <c r="G181" i="9"/>
  <c r="H181" i="9"/>
  <c r="P181" i="9"/>
  <c r="O181" i="9"/>
  <c r="N181" i="9"/>
  <c r="M181" i="9"/>
  <c r="L181" i="9"/>
  <c r="K181" i="9"/>
  <c r="I181" i="9"/>
  <c r="D75" i="9"/>
  <c r="AQ53" i="20"/>
  <c r="AQ63" i="20"/>
  <c r="AN53" i="20"/>
  <c r="AO53" i="20"/>
  <c r="AO63" i="20"/>
  <c r="AP53" i="20"/>
  <c r="AP63" i="20" s="1"/>
  <c r="AP64" i="20" s="1"/>
  <c r="AI53" i="20"/>
  <c r="AI63" i="20"/>
  <c r="AJ53" i="20"/>
  <c r="AJ63" i="20" s="1"/>
  <c r="AK53" i="20"/>
  <c r="AK63" i="20"/>
  <c r="AL53" i="20"/>
  <c r="AL63" i="20" s="1"/>
  <c r="AD53" i="20"/>
  <c r="AD63" i="20"/>
  <c r="AE53" i="20"/>
  <c r="AE63" i="20" s="1"/>
  <c r="AF53" i="20"/>
  <c r="AF63" i="20"/>
  <c r="AG53" i="20"/>
  <c r="AG63" i="20" s="1"/>
  <c r="AH63" i="20" s="1"/>
  <c r="Y53" i="20"/>
  <c r="Y63" i="20"/>
  <c r="Z53" i="20"/>
  <c r="Z63" i="20" s="1"/>
  <c r="AC63" i="20" s="1"/>
  <c r="AA53" i="20"/>
  <c r="AA63" i="20" s="1"/>
  <c r="AB53" i="20"/>
  <c r="AB63" i="20"/>
  <c r="T53" i="20"/>
  <c r="U53" i="20"/>
  <c r="U63" i="20"/>
  <c r="V53" i="20"/>
  <c r="V63" i="20" s="1"/>
  <c r="W53" i="20"/>
  <c r="W63" i="20"/>
  <c r="O53" i="20"/>
  <c r="O63" i="20" s="1"/>
  <c r="P53" i="20"/>
  <c r="Q53" i="20"/>
  <c r="Q63" i="20" s="1"/>
  <c r="Q64" i="20" s="1"/>
  <c r="R53" i="20"/>
  <c r="R63" i="20"/>
  <c r="J53" i="20"/>
  <c r="K53" i="20"/>
  <c r="K63" i="20"/>
  <c r="L53" i="20"/>
  <c r="L63" i="20" s="1"/>
  <c r="M53" i="20"/>
  <c r="M63" i="20"/>
  <c r="H53" i="20"/>
  <c r="G53" i="20"/>
  <c r="G63" i="20" s="1"/>
  <c r="F53" i="20"/>
  <c r="F63" i="20"/>
  <c r="AM57" i="20"/>
  <c r="AM56" i="20"/>
  <c r="AH57" i="20"/>
  <c r="AH56" i="20"/>
  <c r="AC57" i="20"/>
  <c r="AC56" i="20"/>
  <c r="X57" i="20"/>
  <c r="X56" i="20"/>
  <c r="S57" i="20"/>
  <c r="S56" i="20"/>
  <c r="N57" i="20"/>
  <c r="N56" i="20"/>
  <c r="AM52" i="20"/>
  <c r="AM51" i="20"/>
  <c r="AM50" i="20"/>
  <c r="AM49" i="20"/>
  <c r="AM48" i="20"/>
  <c r="AM47" i="20"/>
  <c r="AM46" i="20"/>
  <c r="AH52" i="20"/>
  <c r="AH51" i="20"/>
  <c r="AH50" i="20"/>
  <c r="AH49" i="20"/>
  <c r="AH48" i="20"/>
  <c r="AH47" i="20"/>
  <c r="AH46" i="20"/>
  <c r="AC52" i="20"/>
  <c r="AC51" i="20"/>
  <c r="AC50" i="20"/>
  <c r="AC49" i="20"/>
  <c r="AC48" i="20"/>
  <c r="AC47" i="20"/>
  <c r="AC46" i="20"/>
  <c r="X52" i="20"/>
  <c r="X51" i="20"/>
  <c r="X50" i="20"/>
  <c r="X49" i="20"/>
  <c r="X48" i="20"/>
  <c r="X47" i="20"/>
  <c r="X46" i="20"/>
  <c r="S52" i="20"/>
  <c r="S51" i="20"/>
  <c r="S50" i="20"/>
  <c r="S49" i="20"/>
  <c r="S48" i="20"/>
  <c r="S47" i="20"/>
  <c r="S46" i="20"/>
  <c r="N52" i="20"/>
  <c r="N51" i="20"/>
  <c r="N50" i="20"/>
  <c r="N49" i="20"/>
  <c r="N48" i="20"/>
  <c r="N47" i="20"/>
  <c r="N46" i="20"/>
  <c r="AC42" i="20"/>
  <c r="AC41" i="20"/>
  <c r="AC40" i="20"/>
  <c r="AC39" i="20"/>
  <c r="X42" i="20"/>
  <c r="X41" i="20"/>
  <c r="X40" i="20"/>
  <c r="X39" i="20"/>
  <c r="S42" i="20"/>
  <c r="S41" i="20"/>
  <c r="S40" i="20"/>
  <c r="S39" i="20"/>
  <c r="N42" i="20"/>
  <c r="N41" i="20"/>
  <c r="N40" i="20"/>
  <c r="N39" i="20"/>
  <c r="I35" i="20"/>
  <c r="I34" i="20"/>
  <c r="I33" i="20"/>
  <c r="N35" i="20"/>
  <c r="N34" i="20"/>
  <c r="N33" i="20"/>
  <c r="S35" i="20"/>
  <c r="S34" i="20"/>
  <c r="S33" i="20"/>
  <c r="X35" i="20"/>
  <c r="X34" i="20"/>
  <c r="X33" i="20"/>
  <c r="AM20" i="20"/>
  <c r="AM19" i="20"/>
  <c r="AM18" i="20"/>
  <c r="AM17" i="20"/>
  <c r="AM16" i="20"/>
  <c r="AM15" i="20"/>
  <c r="AM14" i="20"/>
  <c r="AM13" i="20"/>
  <c r="AH20" i="20"/>
  <c r="AH19" i="20"/>
  <c r="AH18" i="20"/>
  <c r="AH17" i="20"/>
  <c r="AH16" i="20"/>
  <c r="AH15" i="20"/>
  <c r="AH14" i="20"/>
  <c r="AH13" i="20"/>
  <c r="AC20" i="20"/>
  <c r="AC19" i="20"/>
  <c r="AC18" i="20"/>
  <c r="AC17" i="20"/>
  <c r="AC16" i="20"/>
  <c r="AC15" i="20"/>
  <c r="AC14" i="20"/>
  <c r="AC13" i="20"/>
  <c r="X20" i="20"/>
  <c r="X19" i="20"/>
  <c r="X18" i="20"/>
  <c r="X17" i="20"/>
  <c r="X16" i="20"/>
  <c r="X15" i="20"/>
  <c r="X14" i="20"/>
  <c r="X13" i="20"/>
  <c r="S20" i="20"/>
  <c r="S19" i="20"/>
  <c r="S18" i="20"/>
  <c r="S17" i="20"/>
  <c r="S16" i="20"/>
  <c r="S15" i="20"/>
  <c r="S14" i="20"/>
  <c r="S13" i="20"/>
  <c r="N20" i="20"/>
  <c r="N19" i="20"/>
  <c r="N18" i="20"/>
  <c r="N17" i="20"/>
  <c r="N16" i="20"/>
  <c r="N15" i="20"/>
  <c r="N14" i="20"/>
  <c r="N13" i="20"/>
  <c r="I14" i="20"/>
  <c r="I15" i="20"/>
  <c r="I16" i="20"/>
  <c r="I17" i="20"/>
  <c r="I18" i="20"/>
  <c r="I19" i="20"/>
  <c r="I20" i="20"/>
  <c r="I58" i="22"/>
  <c r="J58" i="22"/>
  <c r="K58" i="22"/>
  <c r="L58" i="22"/>
  <c r="M58" i="22"/>
  <c r="N50" i="22"/>
  <c r="N58" i="22"/>
  <c r="P50" i="22"/>
  <c r="Q50" i="22"/>
  <c r="R50" i="22"/>
  <c r="I59" i="22"/>
  <c r="J59" i="22"/>
  <c r="K59" i="22"/>
  <c r="L59" i="22"/>
  <c r="M59" i="22"/>
  <c r="N59" i="22"/>
  <c r="O59" i="22"/>
  <c r="P59" i="22"/>
  <c r="Q59" i="22"/>
  <c r="R59" i="22"/>
  <c r="S59" i="22"/>
  <c r="T59" i="22"/>
  <c r="U59" i="22"/>
  <c r="I60" i="22"/>
  <c r="J60" i="22"/>
  <c r="K60" i="22"/>
  <c r="L60" i="22"/>
  <c r="M60" i="22"/>
  <c r="N60" i="22"/>
  <c r="O60" i="22"/>
  <c r="P60" i="22"/>
  <c r="Q60" i="22"/>
  <c r="R60" i="22"/>
  <c r="S60" i="22"/>
  <c r="T60" i="22"/>
  <c r="U60" i="22"/>
  <c r="I61" i="22"/>
  <c r="J61" i="22"/>
  <c r="K61" i="22"/>
  <c r="L61" i="22"/>
  <c r="M61" i="22"/>
  <c r="N61" i="22"/>
  <c r="O61" i="22"/>
  <c r="P61" i="22"/>
  <c r="Q61" i="22"/>
  <c r="R61" i="22"/>
  <c r="S61" i="22"/>
  <c r="T61" i="22"/>
  <c r="U61" i="22"/>
  <c r="I14" i="22"/>
  <c r="I62" i="22"/>
  <c r="J14" i="22"/>
  <c r="K14" i="22"/>
  <c r="L15" i="22" s="1"/>
  <c r="L14" i="22"/>
  <c r="L62" i="22"/>
  <c r="H61" i="22"/>
  <c r="H60" i="22"/>
  <c r="H59" i="22"/>
  <c r="H58" i="22"/>
  <c r="K50" i="22"/>
  <c r="P51" i="22"/>
  <c r="I38" i="22"/>
  <c r="J39" i="22" s="1"/>
  <c r="J38" i="22"/>
  <c r="K39" i="22"/>
  <c r="K38" i="22"/>
  <c r="L39" i="22" s="1"/>
  <c r="L38" i="22"/>
  <c r="M39" i="22"/>
  <c r="M38" i="22"/>
  <c r="N39" i="22" s="1"/>
  <c r="N38" i="22"/>
  <c r="O39" i="22"/>
  <c r="O38" i="22"/>
  <c r="P39" i="22" s="1"/>
  <c r="P38" i="22"/>
  <c r="Q39" i="22"/>
  <c r="Q38" i="22"/>
  <c r="R39" i="22" s="1"/>
  <c r="R38" i="22"/>
  <c r="S39" i="22"/>
  <c r="S38" i="22"/>
  <c r="T39" i="22" s="1"/>
  <c r="T38" i="22"/>
  <c r="U39" i="22"/>
  <c r="H50" i="22"/>
  <c r="L31" i="22"/>
  <c r="M31" i="22"/>
  <c r="P31" i="22"/>
  <c r="T31" i="22"/>
  <c r="I22" i="22"/>
  <c r="J23" i="22"/>
  <c r="J22" i="22"/>
  <c r="K23" i="22"/>
  <c r="K22" i="22"/>
  <c r="L23" i="22"/>
  <c r="L22" i="22"/>
  <c r="M23" i="22"/>
  <c r="M22" i="22"/>
  <c r="N23" i="22"/>
  <c r="N22" i="22"/>
  <c r="O23" i="22"/>
  <c r="O22" i="22"/>
  <c r="P23" i="22"/>
  <c r="P22" i="22"/>
  <c r="Q23" i="22"/>
  <c r="Q22" i="22"/>
  <c r="R23" i="22"/>
  <c r="R22" i="22"/>
  <c r="S23" i="22"/>
  <c r="S22" i="22"/>
  <c r="T23" i="22"/>
  <c r="J15" i="22"/>
  <c r="A68" i="9"/>
  <c r="U38" i="22"/>
  <c r="V39" i="22"/>
  <c r="C17" i="30"/>
  <c r="E53" i="20"/>
  <c r="AF42" i="6"/>
  <c r="A65" i="9"/>
  <c r="A66" i="9"/>
  <c r="A67" i="9"/>
  <c r="H22" i="22"/>
  <c r="I23" i="22"/>
  <c r="C3" i="9"/>
  <c r="C2" i="9"/>
  <c r="A56" i="9"/>
  <c r="A57" i="9"/>
  <c r="A58" i="9"/>
  <c r="A59" i="9"/>
  <c r="A60" i="9"/>
  <c r="A61" i="9"/>
  <c r="A62" i="9"/>
  <c r="A63" i="9"/>
  <c r="A64" i="9"/>
  <c r="B2" i="6"/>
  <c r="B1" i="6"/>
  <c r="I57" i="20"/>
  <c r="I56" i="20"/>
  <c r="I52" i="20"/>
  <c r="I51" i="20"/>
  <c r="I50" i="20"/>
  <c r="I49" i="20"/>
  <c r="I48" i="20"/>
  <c r="I47" i="20"/>
  <c r="I46" i="20"/>
  <c r="I42" i="20"/>
  <c r="I41" i="20"/>
  <c r="I40" i="20"/>
  <c r="I39" i="20"/>
  <c r="AC35" i="20"/>
  <c r="AC34" i="20"/>
  <c r="AC33" i="20"/>
  <c r="AC29" i="20"/>
  <c r="X29" i="20"/>
  <c r="S29" i="20"/>
  <c r="N29" i="20"/>
  <c r="I29" i="20"/>
  <c r="AC28" i="20"/>
  <c r="X28" i="20"/>
  <c r="S28" i="20"/>
  <c r="N28" i="20"/>
  <c r="I28" i="20"/>
  <c r="AC27" i="20"/>
  <c r="X27" i="20"/>
  <c r="S27" i="20"/>
  <c r="N27" i="20"/>
  <c r="I27" i="20"/>
  <c r="AC26" i="20"/>
  <c r="X26" i="20"/>
  <c r="S26" i="20"/>
  <c r="N26" i="20"/>
  <c r="I26" i="20"/>
  <c r="AC25" i="20"/>
  <c r="X25" i="20"/>
  <c r="S25" i="20"/>
  <c r="N25" i="20"/>
  <c r="I25" i="20"/>
  <c r="AC24" i="20"/>
  <c r="X24" i="20"/>
  <c r="S24" i="20"/>
  <c r="N24" i="20"/>
  <c r="I24" i="20"/>
  <c r="I13" i="20"/>
  <c r="A3" i="20"/>
  <c r="A2" i="20"/>
  <c r="C3" i="3"/>
  <c r="C4" i="3"/>
  <c r="H38" i="22"/>
  <c r="I39" i="22" s="1"/>
  <c r="B43" i="34"/>
  <c r="E24" i="34"/>
  <c r="N37" i="23"/>
  <c r="T24" i="34"/>
  <c r="T34" i="34" s="1"/>
  <c r="R43" i="34"/>
  <c r="M24" i="34"/>
  <c r="M34" i="34" s="1"/>
  <c r="K43" i="34"/>
  <c r="K46" i="34" s="1"/>
  <c r="I43" i="34"/>
  <c r="T51" i="22"/>
  <c r="K53" i="22"/>
  <c r="X52" i="22"/>
  <c r="M62" i="22"/>
  <c r="I31" i="22"/>
  <c r="M53" i="22"/>
  <c r="G43" i="34"/>
  <c r="X53" i="22"/>
  <c r="S43" i="34"/>
  <c r="J43" i="34"/>
  <c r="J38" i="34"/>
  <c r="C38" i="34"/>
  <c r="T43" i="34"/>
  <c r="Q38" i="34"/>
  <c r="I38" i="34"/>
  <c r="E43" i="34"/>
  <c r="E46" i="34" s="1"/>
  <c r="C43" i="34"/>
  <c r="D38" i="34"/>
  <c r="B16" i="31"/>
  <c r="B44" i="31"/>
  <c r="P43" i="34"/>
  <c r="R24" i="34"/>
  <c r="R46" i="34" s="1"/>
  <c r="J24" i="34"/>
  <c r="E8" i="34"/>
  <c r="M38" i="34"/>
  <c r="K24" i="34"/>
  <c r="K34" i="34" s="1"/>
  <c r="K35" i="34" s="1"/>
  <c r="N38" i="34"/>
  <c r="C24" i="34"/>
  <c r="C34" i="34" s="1"/>
  <c r="V29" i="23"/>
  <c r="R34" i="34"/>
  <c r="R35" i="34" s="1"/>
  <c r="C42" i="34"/>
  <c r="R48" i="34"/>
  <c r="R51" i="34" s="1"/>
  <c r="R56" i="34" s="1"/>
  <c r="AC36" i="20"/>
  <c r="I43" i="20"/>
  <c r="S62" i="20"/>
  <c r="EU50" i="20"/>
  <c r="DN62" i="20"/>
  <c r="DY62" i="20"/>
  <c r="S58" i="20"/>
  <c r="AM43" i="20"/>
  <c r="DM62" i="20"/>
  <c r="EM62" i="20"/>
  <c r="FI62" i="20" s="1"/>
  <c r="GY62" i="20" s="1"/>
  <c r="DO62" i="20"/>
  <c r="DV62" i="20"/>
  <c r="EA62" i="20"/>
  <c r="ED61" i="20"/>
  <c r="DJ62" i="20"/>
  <c r="FA62" i="20" s="1"/>
  <c r="GQ62" i="20" s="1"/>
  <c r="DR62" i="20"/>
  <c r="DH62" i="20"/>
  <c r="DH61" i="20"/>
  <c r="DP62" i="20"/>
  <c r="DS62" i="20"/>
  <c r="FD62" i="20" s="1"/>
  <c r="GT62" i="20" s="1"/>
  <c r="DW62" i="20"/>
  <c r="EB62" i="20"/>
  <c r="DZ62" i="20"/>
  <c r="DG62" i="20"/>
  <c r="DK62" i="20"/>
  <c r="EN62" i="20"/>
  <c r="FJ62" i="20" s="1"/>
  <c r="GZ62" i="20" s="1"/>
  <c r="J25" i="9" s="1"/>
  <c r="L25" i="9" s="1"/>
  <c r="DX62" i="20"/>
  <c r="EC61" i="20"/>
  <c r="EC64" i="20" s="1"/>
  <c r="B62" i="34"/>
  <c r="B64" i="34"/>
  <c r="B10" i="34"/>
  <c r="CX5" i="20"/>
  <c r="F75" i="9"/>
  <c r="D20" i="29" s="1"/>
  <c r="S20" i="29" s="1"/>
  <c r="FF15" i="20"/>
  <c r="EV49" i="20"/>
  <c r="CN58" i="20"/>
  <c r="EV40" i="20"/>
  <c r="EV27" i="20"/>
  <c r="EV30" i="20" s="1"/>
  <c r="EV13" i="20"/>
  <c r="CJ58" i="20"/>
  <c r="EU40" i="20"/>
  <c r="EX39" i="20"/>
  <c r="FB57" i="20"/>
  <c r="EY46" i="20"/>
  <c r="CK36" i="20"/>
  <c r="FD39" i="20"/>
  <c r="FE18" i="20"/>
  <c r="FC40" i="20"/>
  <c r="FE16" i="20"/>
  <c r="FE41" i="20"/>
  <c r="FF18" i="20"/>
  <c r="FJ58" i="20"/>
  <c r="FD51" i="20"/>
  <c r="EV24" i="20"/>
  <c r="EW51" i="20"/>
  <c r="EW25" i="20"/>
  <c r="EY13" i="20"/>
  <c r="EV50" i="20"/>
  <c r="EV28" i="20"/>
  <c r="EV14" i="20"/>
  <c r="EW29" i="20"/>
  <c r="FA27" i="20"/>
  <c r="FA42" i="20"/>
  <c r="FB14" i="20"/>
  <c r="FE56" i="20"/>
  <c r="FE58" i="20" s="1"/>
  <c r="FA39" i="20"/>
  <c r="FA26" i="20"/>
  <c r="FB39" i="20"/>
  <c r="FB26" i="20"/>
  <c r="FF49" i="20"/>
  <c r="FF51" i="20"/>
  <c r="C8" i="31"/>
  <c r="B8" i="31"/>
  <c r="I75" i="9"/>
  <c r="H75" i="9"/>
  <c r="G75" i="9"/>
  <c r="E75" i="9"/>
  <c r="EI5" i="20"/>
  <c r="EE5" i="20"/>
  <c r="EG5" i="20"/>
  <c r="EF5" i="20"/>
  <c r="CT5" i="20"/>
  <c r="CL5" i="20"/>
  <c r="ED5" i="20"/>
  <c r="CN5" i="20"/>
  <c r="DJ5" i="20"/>
  <c r="DK5" i="20"/>
  <c r="CM58" i="20"/>
  <c r="CM30" i="20"/>
  <c r="CL30" i="20"/>
  <c r="EU13" i="20"/>
  <c r="CI58" i="20"/>
  <c r="CI30" i="20"/>
  <c r="EX49" i="20"/>
  <c r="FE13" i="20"/>
  <c r="FE25" i="20"/>
  <c r="EX16" i="20"/>
  <c r="CT58" i="20"/>
  <c r="BY64" i="20"/>
  <c r="S43" i="20"/>
  <c r="CP21" i="20"/>
  <c r="EX26" i="20"/>
  <c r="EW47" i="20"/>
  <c r="AH36" i="20"/>
  <c r="FC52" i="20"/>
  <c r="FC48" i="20"/>
  <c r="FC34" i="20"/>
  <c r="FC29" i="20"/>
  <c r="FC25" i="20"/>
  <c r="FC14" i="20"/>
  <c r="FC49" i="20"/>
  <c r="FC26" i="20"/>
  <c r="FC19" i="20"/>
  <c r="FF25" i="20"/>
  <c r="FF26" i="20"/>
  <c r="FF40" i="20"/>
  <c r="EX40" i="20"/>
  <c r="EX20" i="20"/>
  <c r="FA20" i="20"/>
  <c r="EZ18" i="20"/>
  <c r="EZ20" i="20"/>
  <c r="EY42" i="20"/>
  <c r="EY29" i="20"/>
  <c r="EX50" i="20"/>
  <c r="EV35" i="20"/>
  <c r="CM36" i="20"/>
  <c r="EW34" i="20"/>
  <c r="FB50" i="20"/>
  <c r="FA33" i="20"/>
  <c r="FA36" i="20" s="1"/>
  <c r="FB35" i="20"/>
  <c r="FC50" i="20"/>
  <c r="FC46" i="20"/>
  <c r="FC57" i="20"/>
  <c r="FC58" i="20" s="1"/>
  <c r="FC27" i="20"/>
  <c r="FC20" i="20"/>
  <c r="FD28" i="20"/>
  <c r="FD42" i="20"/>
  <c r="FD43" i="20" s="1"/>
  <c r="FD14" i="20"/>
  <c r="FD16" i="20"/>
  <c r="FD18" i="20"/>
  <c r="FD20" i="20"/>
  <c r="FD25" i="20"/>
  <c r="FD27" i="20"/>
  <c r="FD29" i="20"/>
  <c r="FD34" i="20"/>
  <c r="FD50" i="20"/>
  <c r="FD52" i="20"/>
  <c r="FD57" i="20"/>
  <c r="FD58" i="20" s="1"/>
  <c r="FD19" i="20"/>
  <c r="FD40" i="20"/>
  <c r="FE26" i="20"/>
  <c r="FE27" i="20"/>
  <c r="FE29" i="20"/>
  <c r="FE34" i="20"/>
  <c r="FE47" i="20"/>
  <c r="FE48" i="20"/>
  <c r="FE50" i="20"/>
  <c r="FE51" i="20"/>
  <c r="FE52" i="20"/>
  <c r="BL21" i="20"/>
  <c r="FF46" i="20"/>
  <c r="FF53" i="20" s="1"/>
  <c r="FF63" i="20" s="1"/>
  <c r="GV63" i="20" s="1"/>
  <c r="FF33" i="20"/>
  <c r="AH58" i="20"/>
  <c r="AM21" i="20"/>
  <c r="EZ48" i="20"/>
  <c r="EY50" i="20"/>
  <c r="AW58" i="20"/>
  <c r="FB48" i="20"/>
  <c r="EC5" i="20"/>
  <c r="DC5" i="20"/>
  <c r="DO5" i="20"/>
  <c r="DG5" i="20"/>
  <c r="DV5" i="20"/>
  <c r="CM5" i="20"/>
  <c r="DY5" i="20"/>
  <c r="DD5" i="20"/>
  <c r="CS36" i="20"/>
  <c r="FI34" i="20"/>
  <c r="FI42" i="20"/>
  <c r="AK61" i="20"/>
  <c r="AK64" i="20" s="1"/>
  <c r="FD46" i="20"/>
  <c r="FF39" i="20"/>
  <c r="EV34" i="20"/>
  <c r="EV36" i="20" s="1"/>
  <c r="FI24" i="20"/>
  <c r="FI30" i="20" s="1"/>
  <c r="U61" i="20"/>
  <c r="U64" i="20" s="1"/>
  <c r="AH30" i="20"/>
  <c r="AJ61" i="20"/>
  <c r="AJ64" i="20" s="1"/>
  <c r="FE15" i="20"/>
  <c r="FE20" i="20"/>
  <c r="FE24" i="20"/>
  <c r="FF52" i="20"/>
  <c r="I21" i="20"/>
  <c r="N58" i="20"/>
  <c r="N36" i="20"/>
  <c r="EV42" i="20"/>
  <c r="CO36" i="20"/>
  <c r="BC64" i="20"/>
  <c r="FF14" i="20"/>
  <c r="FF16" i="20"/>
  <c r="FF19" i="20"/>
  <c r="FF20" i="20"/>
  <c r="FF41" i="20"/>
  <c r="FF42" i="20"/>
  <c r="FF47" i="20"/>
  <c r="FF48" i="20"/>
  <c r="FF50" i="20"/>
  <c r="FF56" i="20"/>
  <c r="FK21" i="20"/>
  <c r="N43" i="20"/>
  <c r="FK57" i="20"/>
  <c r="FK58" i="20" s="1"/>
  <c r="FD26" i="20"/>
  <c r="FJ30" i="20"/>
  <c r="FK30" i="20"/>
  <c r="FD24" i="20"/>
  <c r="FE39" i="20"/>
  <c r="H63" i="20"/>
  <c r="P63" i="20"/>
  <c r="S53" i="20"/>
  <c r="AC58" i="20"/>
  <c r="FI13" i="20"/>
  <c r="FI21" i="20" s="1"/>
  <c r="EY41" i="20"/>
  <c r="EX35" i="20"/>
  <c r="EX36" i="20" s="1"/>
  <c r="FK36" i="20"/>
  <c r="FD33" i="20"/>
  <c r="AH53" i="20"/>
  <c r="AC43" i="20"/>
  <c r="AD61" i="20"/>
  <c r="AD64" i="20"/>
  <c r="AL61" i="20"/>
  <c r="AL64" i="20"/>
  <c r="CM21" i="20"/>
  <c r="EV41" i="20"/>
  <c r="CI21" i="20"/>
  <c r="EU41" i="20"/>
  <c r="FJ15" i="20"/>
  <c r="FJ21" i="20"/>
  <c r="EZ29" i="20"/>
  <c r="O61" i="20"/>
  <c r="O64" i="20"/>
  <c r="EV57" i="20"/>
  <c r="EV17" i="20"/>
  <c r="EU28" i="20"/>
  <c r="EU24" i="20"/>
  <c r="EU17" i="20"/>
  <c r="EX52" i="20"/>
  <c r="EX48" i="20"/>
  <c r="EX56" i="20"/>
  <c r="EX58" i="20" s="1"/>
  <c r="FF34" i="20"/>
  <c r="Q61" i="20"/>
  <c r="AA61" i="20"/>
  <c r="AA64" i="20"/>
  <c r="FB52" i="20"/>
  <c r="FB51" i="20"/>
  <c r="FB47" i="20"/>
  <c r="BB58" i="20"/>
  <c r="BL30" i="20"/>
  <c r="BL36" i="20"/>
  <c r="AM58" i="20"/>
  <c r="AN61" i="20"/>
  <c r="EV52" i="20"/>
  <c r="EV48" i="20"/>
  <c r="CO58" i="20"/>
  <c r="CO43" i="20"/>
  <c r="EV20" i="20"/>
  <c r="EV51" i="20"/>
  <c r="EV29" i="20"/>
  <c r="EV19" i="20"/>
  <c r="CM43" i="20"/>
  <c r="EU49" i="20"/>
  <c r="CL43" i="20"/>
  <c r="EU20" i="20"/>
  <c r="CK58" i="20"/>
  <c r="CK43" i="20"/>
  <c r="EU51" i="20"/>
  <c r="EU42" i="20"/>
  <c r="EU29" i="20"/>
  <c r="EU18" i="20"/>
  <c r="EW18" i="20"/>
  <c r="CP43" i="20"/>
  <c r="EV18" i="20"/>
  <c r="CP30" i="20"/>
  <c r="EX51" i="20"/>
  <c r="EX42" i="20"/>
  <c r="EW50" i="20"/>
  <c r="EW28" i="20"/>
  <c r="EW30" i="20" s="1"/>
  <c r="CS43" i="20"/>
  <c r="EW19" i="20"/>
  <c r="EX17" i="20"/>
  <c r="FA18" i="20"/>
  <c r="FA52" i="20"/>
  <c r="FA15" i="20"/>
  <c r="FA56" i="20"/>
  <c r="FA58" i="20" s="1"/>
  <c r="EZ17" i="20"/>
  <c r="EZ47" i="20"/>
  <c r="EY20" i="20"/>
  <c r="EY16" i="20"/>
  <c r="EY52" i="20"/>
  <c r="FD48" i="20"/>
  <c r="FE14" i="20"/>
  <c r="FE19" i="20"/>
  <c r="FE33" i="20"/>
  <c r="FE42" i="20"/>
  <c r="H61" i="20"/>
  <c r="W64" i="20"/>
  <c r="EX33" i="20"/>
  <c r="FD15" i="20"/>
  <c r="FD47" i="20"/>
  <c r="FD35" i="20"/>
  <c r="FD36" i="20" s="1"/>
  <c r="FD56" i="20"/>
  <c r="BD64" i="20"/>
  <c r="BK61" i="20"/>
  <c r="BK64" i="20" s="1"/>
  <c r="BL43" i="20"/>
  <c r="AR62" i="20"/>
  <c r="BG53" i="20"/>
  <c r="BH61" i="20"/>
  <c r="BH64" i="20" s="1"/>
  <c r="BB43" i="20"/>
  <c r="BB53" i="20"/>
  <c r="BB62" i="20"/>
  <c r="BG21" i="20"/>
  <c r="AX63" i="20"/>
  <c r="BB63" i="20"/>
  <c r="AQ61" i="20"/>
  <c r="CN43" i="20"/>
  <c r="CN61" i="20" s="1"/>
  <c r="CN36" i="20"/>
  <c r="AN63" i="20"/>
  <c r="AR63" i="20"/>
  <c r="AR53" i="20"/>
  <c r="N30" i="20"/>
  <c r="CO30" i="20"/>
  <c r="EV26" i="20"/>
  <c r="CO21" i="20"/>
  <c r="EV16" i="20"/>
  <c r="EV47" i="20"/>
  <c r="CN53" i="20"/>
  <c r="CN63" i="20"/>
  <c r="CN30" i="20"/>
  <c r="EV25" i="20"/>
  <c r="CN21" i="20"/>
  <c r="EV15" i="20"/>
  <c r="EV46" i="20"/>
  <c r="EV53" i="20" s="1"/>
  <c r="EV63" i="20" s="1"/>
  <c r="GL63" i="20" s="1"/>
  <c r="CM53" i="20"/>
  <c r="CM63" i="20" s="1"/>
  <c r="CM64" i="20" s="1"/>
  <c r="EU57" i="20"/>
  <c r="EU58" i="20" s="1"/>
  <c r="CL58" i="20"/>
  <c r="CK53" i="20"/>
  <c r="CK63" i="20" s="1"/>
  <c r="EU26" i="20"/>
  <c r="CK30" i="20"/>
  <c r="CK61" i="20" s="1"/>
  <c r="CK64" i="20" s="1"/>
  <c r="CJ53" i="20"/>
  <c r="CJ63" i="20"/>
  <c r="EU47" i="20"/>
  <c r="EU25" i="20"/>
  <c r="CJ30" i="20"/>
  <c r="EU14" i="20"/>
  <c r="CI53" i="20"/>
  <c r="CI63" i="20"/>
  <c r="EU46" i="20"/>
  <c r="EU39" i="20"/>
  <c r="CI43" i="20"/>
  <c r="EW49" i="20"/>
  <c r="CQ53" i="20"/>
  <c r="CQ63" i="20" s="1"/>
  <c r="EW40" i="20"/>
  <c r="CQ43" i="20"/>
  <c r="CQ21" i="20"/>
  <c r="CQ30" i="20"/>
  <c r="CP53" i="20"/>
  <c r="CP63" i="20" s="1"/>
  <c r="EX25" i="20"/>
  <c r="CT53" i="20"/>
  <c r="CT63" i="20" s="1"/>
  <c r="CT43" i="20"/>
  <c r="EW41" i="20"/>
  <c r="CT21" i="20"/>
  <c r="EW57" i="20"/>
  <c r="EW58" i="20" s="1"/>
  <c r="EW56" i="20"/>
  <c r="CR58" i="20"/>
  <c r="EW39" i="20"/>
  <c r="EW43" i="20" s="1"/>
  <c r="CR30" i="20"/>
  <c r="EW26" i="20"/>
  <c r="EW15" i="20"/>
  <c r="CR21" i="20"/>
  <c r="CR61" i="20" s="1"/>
  <c r="EX24" i="20"/>
  <c r="FA57" i="20"/>
  <c r="FA46" i="20"/>
  <c r="FA14" i="20"/>
  <c r="FA21" i="20" s="1"/>
  <c r="EZ16" i="20"/>
  <c r="EZ13" i="20"/>
  <c r="EZ14" i="20"/>
  <c r="EY57" i="20"/>
  <c r="EY48" i="20"/>
  <c r="EY56" i="20"/>
  <c r="EY19" i="20"/>
  <c r="EY15" i="20"/>
  <c r="EU33" i="20"/>
  <c r="CL36" i="20"/>
  <c r="CJ36" i="20"/>
  <c r="EU35" i="20"/>
  <c r="CI36" i="20"/>
  <c r="EU34" i="20"/>
  <c r="CP36" i="20"/>
  <c r="EV33" i="20"/>
  <c r="EX34" i="20"/>
  <c r="EZ39" i="20"/>
  <c r="EZ25" i="20"/>
  <c r="FA41" i="20"/>
  <c r="FA43" i="20" s="1"/>
  <c r="FB27" i="20"/>
  <c r="FB42" i="20"/>
  <c r="FB29" i="20"/>
  <c r="FB25" i="20"/>
  <c r="FC56" i="20"/>
  <c r="FC39" i="20"/>
  <c r="EZ28" i="20"/>
  <c r="FF57" i="20"/>
  <c r="FF58" i="20" s="1"/>
  <c r="FE46" i="20"/>
  <c r="FE57" i="20"/>
  <c r="FF27" i="20"/>
  <c r="FF29" i="20"/>
  <c r="FB20" i="20"/>
  <c r="EU27" i="20"/>
  <c r="CJ43" i="20"/>
  <c r="BG30" i="20"/>
  <c r="BF61" i="20"/>
  <c r="BF64" i="20" s="1"/>
  <c r="FC13" i="20"/>
  <c r="FA35" i="20"/>
  <c r="EZ33" i="20"/>
  <c r="EZ41" i="20"/>
  <c r="FB33" i="20"/>
  <c r="FB40" i="20"/>
  <c r="FB41" i="20"/>
  <c r="FB28" i="20"/>
  <c r="AR36" i="20"/>
  <c r="AW36" i="20"/>
  <c r="FC51" i="20"/>
  <c r="FC47" i="20"/>
  <c r="FC33" i="20"/>
  <c r="FC41" i="20"/>
  <c r="BI63" i="20"/>
  <c r="BJ61" i="20"/>
  <c r="FD41" i="20"/>
  <c r="FE40" i="20"/>
  <c r="FB34" i="20"/>
  <c r="FB46" i="20"/>
  <c r="S30" i="20"/>
  <c r="X30" i="20"/>
  <c r="EV56" i="20"/>
  <c r="CL53" i="20"/>
  <c r="CL63" i="20"/>
  <c r="EU52" i="20"/>
  <c r="EU48" i="20"/>
  <c r="EU56" i="20"/>
  <c r="CP58" i="20"/>
  <c r="CP61" i="20" s="1"/>
  <c r="CP64" i="20" s="1"/>
  <c r="CS30" i="20"/>
  <c r="EW13" i="20"/>
  <c r="FA17" i="20"/>
  <c r="EZ56" i="20"/>
  <c r="EZ58" i="20" s="1"/>
  <c r="EY49" i="20"/>
  <c r="K61" i="20"/>
  <c r="K64" i="20"/>
  <c r="EX46" i="20"/>
  <c r="EX28" i="20"/>
  <c r="EY51" i="20"/>
  <c r="EY25" i="20"/>
  <c r="AU61" i="20"/>
  <c r="AT64" i="20"/>
  <c r="FC16" i="20"/>
  <c r="FC15" i="20"/>
  <c r="AP61" i="20"/>
  <c r="EV62" i="20"/>
  <c r="GL62" i="20" s="1"/>
  <c r="J11" i="9" s="1"/>
  <c r="L11" i="9" s="1"/>
  <c r="D13" i="6" s="1"/>
  <c r="FA28" i="20"/>
  <c r="AX61" i="20"/>
  <c r="FB19" i="20"/>
  <c r="V154" i="9"/>
  <c r="U154" i="9"/>
  <c r="V119" i="9"/>
  <c r="U119" i="9"/>
  <c r="G99" i="9"/>
  <c r="I99" i="9"/>
  <c r="B20" i="29"/>
  <c r="H99" i="9"/>
  <c r="C99" i="9"/>
  <c r="AW21" i="20"/>
  <c r="FC18" i="20"/>
  <c r="FC21" i="20" s="1"/>
  <c r="FB16" i="20"/>
  <c r="FB15" i="20"/>
  <c r="FB17" i="20"/>
  <c r="FB21" i="20" s="1"/>
  <c r="AR21" i="20"/>
  <c r="FB18" i="20"/>
  <c r="AC53" i="20"/>
  <c r="AM63" i="20"/>
  <c r="K51" i="22"/>
  <c r="AM53" i="20"/>
  <c r="B73" i="34"/>
  <c r="EY40" i="20"/>
  <c r="E99" i="9"/>
  <c r="AC30" i="20"/>
  <c r="Z61" i="20"/>
  <c r="Z64" i="20" s="1"/>
  <c r="AH43" i="20"/>
  <c r="AE61" i="20"/>
  <c r="CO53" i="20"/>
  <c r="CO63" i="20"/>
  <c r="EV39" i="20"/>
  <c r="EX14" i="20"/>
  <c r="CS21" i="20"/>
  <c r="EX41" i="20"/>
  <c r="EX13" i="20"/>
  <c r="EX21" i="20" s="1"/>
  <c r="AW43" i="20"/>
  <c r="DU5" i="20"/>
  <c r="CY5" i="20"/>
  <c r="EN5" i="20"/>
  <c r="CK5" i="20"/>
  <c r="CR36" i="20"/>
  <c r="EW33" i="20"/>
  <c r="FA24" i="20"/>
  <c r="EY18" i="20"/>
  <c r="EY33" i="20"/>
  <c r="C68" i="34"/>
  <c r="B75" i="34"/>
  <c r="Q9" i="29"/>
  <c r="EZ62" i="20"/>
  <c r="GP62" i="20" s="1"/>
  <c r="J15" i="9" s="1"/>
  <c r="L15" i="9" s="1"/>
  <c r="H13" i="6" s="1"/>
  <c r="G9" i="29"/>
  <c r="FC62" i="20"/>
  <c r="GS62" i="20" s="1"/>
  <c r="J18" i="9" s="1"/>
  <c r="L18" i="9" s="1"/>
  <c r="K13" i="6" s="1"/>
  <c r="DG64" i="20"/>
  <c r="FF62" i="20"/>
  <c r="GV62" i="20" s="1"/>
  <c r="FB62" i="20"/>
  <c r="GR62" i="20" s="1"/>
  <c r="J17" i="9" s="1"/>
  <c r="L17" i="9" s="1"/>
  <c r="J13" i="6" s="1"/>
  <c r="EY62" i="20"/>
  <c r="GO62" i="20" s="1"/>
  <c r="J14" i="9" s="1"/>
  <c r="L14" i="9" s="1"/>
  <c r="G13" i="6" s="1"/>
  <c r="DH64" i="20"/>
  <c r="ED64" i="20"/>
  <c r="FE62" i="20"/>
  <c r="GU62" i="20" s="1"/>
  <c r="J20" i="9" s="1"/>
  <c r="L20" i="9" s="1"/>
  <c r="M13" i="6" s="1"/>
  <c r="G20" i="29"/>
  <c r="FC36" i="20"/>
  <c r="FC30" i="20"/>
  <c r="FF43" i="20"/>
  <c r="FD53" i="20"/>
  <c r="FD63" i="20"/>
  <c r="GT63" i="20" s="1"/>
  <c r="FD30" i="20"/>
  <c r="O14" i="28" s="1"/>
  <c r="FE30" i="20"/>
  <c r="C43" i="31"/>
  <c r="FA53" i="20"/>
  <c r="FA63" i="20"/>
  <c r="GQ63" i="20" s="1"/>
  <c r="FE21" i="20"/>
  <c r="FF36" i="20"/>
  <c r="CI61" i="20"/>
  <c r="CI64" i="20" s="1"/>
  <c r="BL61" i="20"/>
  <c r="EU43" i="20"/>
  <c r="EV21" i="20"/>
  <c r="EU53" i="20"/>
  <c r="EU63" i="20"/>
  <c r="GK63" i="20"/>
  <c r="H64" i="20"/>
  <c r="FB53" i="20"/>
  <c r="FB63" i="20" s="1"/>
  <c r="GR63" i="20" s="1"/>
  <c r="FE43" i="20"/>
  <c r="EW21" i="20"/>
  <c r="EX43" i="20"/>
  <c r="FC53" i="20"/>
  <c r="FC63" i="20"/>
  <c r="GS63" i="20"/>
  <c r="AI64" i="20"/>
  <c r="AM64" i="20" s="1"/>
  <c r="EU30" i="20"/>
  <c r="F14" i="28" s="1"/>
  <c r="EV43" i="20"/>
  <c r="AE64" i="20"/>
  <c r="EV58" i="20"/>
  <c r="EY58" i="20"/>
  <c r="CM61" i="20"/>
  <c r="AN64" i="20"/>
  <c r="AX64" i="20"/>
  <c r="CO61" i="20"/>
  <c r="CO64" i="20"/>
  <c r="FA30" i="20"/>
  <c r="FB36" i="20"/>
  <c r="BE64" i="20"/>
  <c r="BG64" i="20"/>
  <c r="BG61" i="20"/>
  <c r="C9" i="29"/>
  <c r="CS61" i="20"/>
  <c r="FB43" i="20"/>
  <c r="EU36" i="20"/>
  <c r="CT61" i="20"/>
  <c r="CT64" i="20"/>
  <c r="U121" i="9"/>
  <c r="V121" i="9"/>
  <c r="V118" i="9"/>
  <c r="U118" i="9"/>
  <c r="E20" i="29"/>
  <c r="D8" i="31"/>
  <c r="C69" i="34"/>
  <c r="C71" i="34"/>
  <c r="D68" i="34"/>
  <c r="C20" i="29"/>
  <c r="W99" i="9"/>
  <c r="GE42" i="20"/>
  <c r="GE33" i="20"/>
  <c r="GE57" i="20"/>
  <c r="GE62" i="20"/>
  <c r="GE13" i="20"/>
  <c r="GE49" i="20"/>
  <c r="GE28" i="20"/>
  <c r="GE51" i="20"/>
  <c r="GE19" i="20"/>
  <c r="GE46" i="20"/>
  <c r="GE47" i="20"/>
  <c r="F20" i="29"/>
  <c r="U16" i="28"/>
  <c r="U35" i="28"/>
  <c r="L9" i="29"/>
  <c r="D43" i="31"/>
  <c r="E68" i="34"/>
  <c r="D69" i="34"/>
  <c r="D71" i="34"/>
  <c r="E8" i="31"/>
  <c r="E43" i="31"/>
  <c r="J16" i="28"/>
  <c r="J35" i="28" s="1"/>
  <c r="E69" i="34"/>
  <c r="E71" i="34"/>
  <c r="F68" i="34"/>
  <c r="F69" i="34"/>
  <c r="F71" i="34"/>
  <c r="G68" i="34"/>
  <c r="H68" i="34" s="1"/>
  <c r="W36" i="28"/>
  <c r="L64" i="34"/>
  <c r="M64" i="34"/>
  <c r="C14" i="30"/>
  <c r="M64" i="9"/>
  <c r="M75" i="9"/>
  <c r="K20" i="29"/>
  <c r="T64" i="9"/>
  <c r="S11" i="29"/>
  <c r="W66" i="9"/>
  <c r="S69" i="9"/>
  <c r="R69" i="9"/>
  <c r="W68" i="9"/>
  <c r="P67" i="9"/>
  <c r="S67" i="9"/>
  <c r="V67" i="9"/>
  <c r="V75" i="9"/>
  <c r="Q67" i="9"/>
  <c r="O67" i="9"/>
  <c r="W67" i="9" s="1"/>
  <c r="R67" i="9"/>
  <c r="T65" i="9"/>
  <c r="Q65" i="9"/>
  <c r="O65" i="9"/>
  <c r="W65" i="9" s="1"/>
  <c r="P64" i="9"/>
  <c r="Q64" i="9"/>
  <c r="U64" i="9"/>
  <c r="U75" i="9" s="1"/>
  <c r="N64" i="9"/>
  <c r="S64" i="9"/>
  <c r="R64" i="9"/>
  <c r="R75" i="9" s="1"/>
  <c r="P20" i="29" s="1"/>
  <c r="C75" i="9"/>
  <c r="N75" i="9"/>
  <c r="L20" i="29"/>
  <c r="T75" i="9"/>
  <c r="R20" i="29" s="1"/>
  <c r="CQ136" i="42"/>
  <c r="AB24" i="43"/>
  <c r="S20" i="38"/>
  <c r="CM136" i="42"/>
  <c r="AB20" i="43"/>
  <c r="V234" i="42"/>
  <c r="V53" i="38"/>
  <c r="Q23" i="44"/>
  <c r="M16" i="28"/>
  <c r="M35" i="28" s="1"/>
  <c r="C138" i="9"/>
  <c r="K16" i="28"/>
  <c r="K35" i="28"/>
  <c r="C136" i="9"/>
  <c r="C132" i="9"/>
  <c r="G16" i="28"/>
  <c r="G35" i="28"/>
  <c r="C139" i="9"/>
  <c r="I9" i="29"/>
  <c r="M75" i="34"/>
  <c r="M76" i="34"/>
  <c r="K64" i="34"/>
  <c r="H75" i="34"/>
  <c r="H76" i="34"/>
  <c r="H64" i="34"/>
  <c r="K75" i="34"/>
  <c r="K76" i="34"/>
  <c r="D64" i="34"/>
  <c r="F64" i="34"/>
  <c r="J64" i="34"/>
  <c r="E64" i="34"/>
  <c r="E65" i="34" s="1"/>
  <c r="J75" i="34"/>
  <c r="J76" i="34"/>
  <c r="C147" i="9"/>
  <c r="V16" i="28"/>
  <c r="V35" i="28"/>
  <c r="J21" i="9"/>
  <c r="L21" i="9"/>
  <c r="N13" i="6" s="1"/>
  <c r="M9" i="29"/>
  <c r="GE27" i="20"/>
  <c r="GE39" i="20"/>
  <c r="GE48" i="20"/>
  <c r="GE25" i="20"/>
  <c r="GE16" i="20"/>
  <c r="GE14" i="20"/>
  <c r="GE52" i="20"/>
  <c r="R9" i="29"/>
  <c r="J27" i="9"/>
  <c r="L27" i="9" s="1"/>
  <c r="GE50" i="20"/>
  <c r="GE53" i="20" s="1"/>
  <c r="GE63" i="20" s="1"/>
  <c r="GE34" i="20"/>
  <c r="GE36" i="20" s="1"/>
  <c r="GE56" i="20"/>
  <c r="GE58" i="20"/>
  <c r="GE26" i="20"/>
  <c r="GE30" i="20" s="1"/>
  <c r="GE24" i="20"/>
  <c r="GE18" i="20"/>
  <c r="J22" i="9"/>
  <c r="L22" i="9"/>
  <c r="O13" i="6" s="1"/>
  <c r="N9" i="29"/>
  <c r="C141" i="9"/>
  <c r="P16" i="28"/>
  <c r="P35" i="28"/>
  <c r="GE35" i="20"/>
  <c r="GE20" i="20"/>
  <c r="GE29" i="20"/>
  <c r="GE41" i="20"/>
  <c r="GE17" i="20"/>
  <c r="GE21" i="20" s="1"/>
  <c r="GE15" i="20"/>
  <c r="J28" i="9"/>
  <c r="L28" i="9"/>
  <c r="C149" i="9" s="1"/>
  <c r="EJ5" i="20"/>
  <c r="EK5" i="20"/>
  <c r="CJ5" i="20"/>
  <c r="EA5" i="20"/>
  <c r="GA27" i="20" s="1"/>
  <c r="CU5" i="20"/>
  <c r="CQ5" i="20"/>
  <c r="DX5" i="20"/>
  <c r="CR5" i="20"/>
  <c r="EB5" i="20"/>
  <c r="DF5" i="20"/>
  <c r="CV5" i="20"/>
  <c r="FS28" i="20" s="1"/>
  <c r="CW5" i="20"/>
  <c r="DZ5" i="20"/>
  <c r="EO5" i="20"/>
  <c r="GF20" i="20" s="1"/>
  <c r="CP5" i="20"/>
  <c r="H29" i="23"/>
  <c r="K62" i="22"/>
  <c r="M15" i="22"/>
  <c r="R53" i="22"/>
  <c r="P14" i="23"/>
  <c r="L53" i="22"/>
  <c r="K37" i="23"/>
  <c r="H53" i="22"/>
  <c r="P53" i="22"/>
  <c r="J37" i="23"/>
  <c r="N53" i="22"/>
  <c r="I29" i="23"/>
  <c r="O29" i="23"/>
  <c r="L51" i="22"/>
  <c r="J52" i="22"/>
  <c r="T52" i="22"/>
  <c r="U52" i="22"/>
  <c r="Z53" i="22"/>
  <c r="R21" i="23"/>
  <c r="K21" i="23"/>
  <c r="R29" i="23"/>
  <c r="K52" i="22"/>
  <c r="K54" i="22"/>
  <c r="L55" i="22"/>
  <c r="Q29" i="23"/>
  <c r="Q51" i="22"/>
  <c r="S52" i="22"/>
  <c r="I51" i="22"/>
  <c r="U51" i="22"/>
  <c r="V53" i="22"/>
  <c r="W37" i="23"/>
  <c r="M21" i="23"/>
  <c r="S21" i="23"/>
  <c r="F37" i="23"/>
  <c r="J29" i="23"/>
  <c r="M29" i="23"/>
  <c r="K46" i="22"/>
  <c r="H8" i="3" s="1"/>
  <c r="T53" i="22"/>
  <c r="R31" i="22"/>
  <c r="I50" i="22"/>
  <c r="I37" i="23"/>
  <c r="X51" i="22"/>
  <c r="Q52" i="22"/>
  <c r="N31" i="22"/>
  <c r="J31" i="22"/>
  <c r="U53" i="22"/>
  <c r="J53" i="22"/>
  <c r="U21" i="23"/>
  <c r="J20" i="23"/>
  <c r="Q46" i="22"/>
  <c r="N8" i="3" s="1"/>
  <c r="K20" i="23"/>
  <c r="F13" i="23"/>
  <c r="L52" i="22"/>
  <c r="J50" i="22"/>
  <c r="J54" i="22" s="1"/>
  <c r="K55" i="22" s="1"/>
  <c r="O52" i="22"/>
  <c r="K31" i="22"/>
  <c r="R52" i="22"/>
  <c r="O51" i="22"/>
  <c r="W51" i="22"/>
  <c r="Y53" i="22"/>
  <c r="J21" i="23"/>
  <c r="N14" i="23"/>
  <c r="L46" i="22"/>
  <c r="I8" i="3" s="1"/>
  <c r="Y51" i="22"/>
  <c r="I20" i="23"/>
  <c r="I40" i="23"/>
  <c r="I45" i="23"/>
  <c r="O53" i="22"/>
  <c r="O46" i="22"/>
  <c r="L8" i="3" s="1"/>
  <c r="O21" i="23"/>
  <c r="P37" i="23"/>
  <c r="K15" i="22"/>
  <c r="J62" i="22"/>
  <c r="I46" i="22"/>
  <c r="F8" i="3" s="1"/>
  <c r="I52" i="22"/>
  <c r="L29" i="23"/>
  <c r="S46" i="22"/>
  <c r="P8" i="3" s="1"/>
  <c r="R37" i="23"/>
  <c r="W52" i="22"/>
  <c r="V51" i="22"/>
  <c r="S31" i="22"/>
  <c r="O31" i="22"/>
  <c r="H20" i="23"/>
  <c r="H40" i="23"/>
  <c r="H45" i="23"/>
  <c r="G13" i="23"/>
  <c r="G14" i="23"/>
  <c r="L37" i="23"/>
  <c r="M52" i="22"/>
  <c r="H52" i="22"/>
  <c r="P29" i="23"/>
  <c r="N52" i="22"/>
  <c r="Z52" i="22"/>
  <c r="H14" i="23"/>
  <c r="L50" i="22"/>
  <c r="W29" i="23"/>
  <c r="O58" i="22"/>
  <c r="X37" i="23"/>
  <c r="I53" i="22"/>
  <c r="J46" i="22"/>
  <c r="G8" i="3" s="1"/>
  <c r="J51" i="22"/>
  <c r="N46" i="22"/>
  <c r="K8" i="3" s="1"/>
  <c r="N51" i="22"/>
  <c r="N24" i="3"/>
  <c r="P40" i="23"/>
  <c r="P45" i="23"/>
  <c r="R46" i="22"/>
  <c r="O8" i="3" s="1"/>
  <c r="R51" i="22"/>
  <c r="V37" i="23"/>
  <c r="H46" i="22"/>
  <c r="E8" i="3" s="1"/>
  <c r="H51" i="22"/>
  <c r="I14" i="23"/>
  <c r="M13" i="23"/>
  <c r="M14" i="23"/>
  <c r="P46" i="22"/>
  <c r="M8" i="3" s="1"/>
  <c r="T29" i="23"/>
  <c r="M46" i="22"/>
  <c r="J8" i="3" s="1"/>
  <c r="M50" i="22"/>
  <c r="H13" i="23"/>
  <c r="K13" i="23"/>
  <c r="N13" i="23"/>
  <c r="L13" i="23"/>
  <c r="O13" i="23"/>
  <c r="N62" i="22"/>
  <c r="P62" i="22"/>
  <c r="P58" i="22"/>
  <c r="Q75" i="9"/>
  <c r="W69" i="9"/>
  <c r="P75" i="9"/>
  <c r="N20" i="29"/>
  <c r="S75" i="9"/>
  <c r="Q20" i="29"/>
  <c r="O20" i="29"/>
  <c r="GF28" i="20"/>
  <c r="GF62" i="20"/>
  <c r="GF15" i="20"/>
  <c r="GF35" i="20"/>
  <c r="GF56" i="20"/>
  <c r="GF29" i="20"/>
  <c r="GF33" i="20"/>
  <c r="GF14" i="20"/>
  <c r="GF34" i="20"/>
  <c r="GF18" i="20"/>
  <c r="GF41" i="20"/>
  <c r="GF17" i="20"/>
  <c r="GF49" i="20"/>
  <c r="GF51" i="20"/>
  <c r="X16" i="28"/>
  <c r="X35" i="28"/>
  <c r="FS14" i="20"/>
  <c r="FS35" i="20"/>
  <c r="FS42" i="20"/>
  <c r="FS52" i="20"/>
  <c r="FS40" i="20"/>
  <c r="FS33" i="20"/>
  <c r="FS29" i="20"/>
  <c r="FS17" i="20"/>
  <c r="FS26" i="20"/>
  <c r="GA24" i="20"/>
  <c r="GA16" i="20"/>
  <c r="GA29" i="20"/>
  <c r="GA56" i="20"/>
  <c r="GA58" i="20" s="1"/>
  <c r="GA17" i="20"/>
  <c r="GA57" i="20"/>
  <c r="GA13" i="20"/>
  <c r="R16" i="28"/>
  <c r="R35" i="28"/>
  <c r="C142" i="9"/>
  <c r="L54" i="22"/>
  <c r="M55" i="22" s="1"/>
  <c r="O54" i="22"/>
  <c r="P55" i="22"/>
  <c r="I54" i="22"/>
  <c r="J55" i="22" s="1"/>
  <c r="O40" i="23"/>
  <c r="O45" i="23"/>
  <c r="O37" i="23"/>
  <c r="L47" i="22"/>
  <c r="R54" i="22"/>
  <c r="S55" i="22"/>
  <c r="M47" i="22"/>
  <c r="N29" i="23"/>
  <c r="H54" i="22"/>
  <c r="I55" i="22" s="1"/>
  <c r="G37" i="23"/>
  <c r="G40" i="23"/>
  <c r="G45" i="23"/>
  <c r="U29" i="23"/>
  <c r="J47" i="22"/>
  <c r="I13" i="23"/>
  <c r="I47" i="22"/>
  <c r="N41" i="3"/>
  <c r="J14" i="23"/>
  <c r="J40" i="23"/>
  <c r="J45" i="23"/>
  <c r="K40" i="23"/>
  <c r="K45" i="23" s="1"/>
  <c r="K29" i="23"/>
  <c r="G29" i="23"/>
  <c r="O62" i="22"/>
  <c r="K18" i="28"/>
  <c r="N47" i="22"/>
  <c r="Q14" i="23"/>
  <c r="Q47" i="22"/>
  <c r="F20" i="23"/>
  <c r="F21" i="23"/>
  <c r="P21" i="23"/>
  <c r="N54" i="22"/>
  <c r="O55" i="22"/>
  <c r="K47" i="22"/>
  <c r="X29" i="23"/>
  <c r="F29" i="23"/>
  <c r="F40" i="23"/>
  <c r="F45" i="23"/>
  <c r="T21" i="23"/>
  <c r="T47" i="22"/>
  <c r="L21" i="23"/>
  <c r="L20" i="23"/>
  <c r="N21" i="23"/>
  <c r="N40" i="23"/>
  <c r="N45" i="23" s="1"/>
  <c r="O47" i="22"/>
  <c r="L40" i="23"/>
  <c r="L45" i="23"/>
  <c r="Q40" i="23"/>
  <c r="Q45" i="23"/>
  <c r="Q37" i="23"/>
  <c r="M37" i="23"/>
  <c r="M40" i="23"/>
  <c r="M45" i="23"/>
  <c r="W21" i="23"/>
  <c r="Q58" i="22"/>
  <c r="P15" i="22"/>
  <c r="GF36" i="20"/>
  <c r="I24" i="3"/>
  <c r="H24" i="3"/>
  <c r="D4" i="30"/>
  <c r="F24" i="3"/>
  <c r="L41" i="3"/>
  <c r="L11" i="3"/>
  <c r="J13" i="23"/>
  <c r="M4" i="30"/>
  <c r="M7" i="30"/>
  <c r="Q13" i="23"/>
  <c r="H4" i="30"/>
  <c r="H7" i="30" s="1"/>
  <c r="N4" i="30"/>
  <c r="N7" i="30"/>
  <c r="P34" i="3"/>
  <c r="P24" i="3"/>
  <c r="Q18" i="28"/>
  <c r="P41" i="3"/>
  <c r="P11" i="3"/>
  <c r="M41" i="3"/>
  <c r="M34" i="3"/>
  <c r="M11" i="3"/>
  <c r="M24" i="3"/>
  <c r="K4" i="30"/>
  <c r="K7" i="30"/>
  <c r="N18" i="28"/>
  <c r="F18" i="28"/>
  <c r="Q15" i="22"/>
  <c r="Q62" i="22"/>
  <c r="R58" i="22"/>
  <c r="R62" i="22"/>
  <c r="R15" i="22"/>
  <c r="S58" i="22"/>
  <c r="T22" i="22"/>
  <c r="U23" i="22"/>
  <c r="S15" i="22"/>
  <c r="S62" i="22"/>
  <c r="T15" i="22"/>
  <c r="U22" i="22"/>
  <c r="V23" i="22" s="1"/>
  <c r="U15" i="22"/>
  <c r="V22" i="22"/>
  <c r="W23" i="22"/>
  <c r="Y22" i="22"/>
  <c r="Z23" i="22"/>
  <c r="V15" i="22"/>
  <c r="T58" i="22"/>
  <c r="W15" i="22"/>
  <c r="T62" i="22"/>
  <c r="U58" i="22"/>
  <c r="W22" i="22"/>
  <c r="X23" i="22" s="1"/>
  <c r="Z43" i="22"/>
  <c r="X17" i="23" s="1"/>
  <c r="X15" i="22"/>
  <c r="Y15" i="22"/>
  <c r="U62" i="22"/>
  <c r="V62" i="22"/>
  <c r="V58" i="22"/>
  <c r="X22" i="22"/>
  <c r="Y23" i="22" s="1"/>
  <c r="Z51" i="22"/>
  <c r="Z22" i="22"/>
  <c r="AA23" i="22" s="1"/>
  <c r="Z15" i="22"/>
  <c r="W58" i="22"/>
  <c r="AA15" i="22"/>
  <c r="X58" i="22"/>
  <c r="W62" i="22"/>
  <c r="AA58" i="22"/>
  <c r="AB15" i="22"/>
  <c r="Y58" i="22"/>
  <c r="Y62" i="22"/>
  <c r="X62" i="22"/>
  <c r="AC15" i="22"/>
  <c r="Z58" i="22"/>
  <c r="AC58" i="22"/>
  <c r="Z62" i="22"/>
  <c r="AD15" i="22"/>
  <c r="AE15" i="22"/>
  <c r="AB58" i="22"/>
  <c r="AF15" i="22"/>
  <c r="AE58" i="22"/>
  <c r="AD58" i="22"/>
  <c r="AF58" i="22"/>
  <c r="AK29" i="6"/>
  <c r="AJ29" i="6"/>
  <c r="AI29" i="6"/>
  <c r="AG29" i="6"/>
  <c r="AE29" i="6"/>
  <c r="AF29" i="6"/>
  <c r="AH29" i="6"/>
  <c r="AE26" i="6"/>
  <c r="A50" i="6"/>
  <c r="C16" i="30"/>
  <c r="B33" i="30" s="1"/>
  <c r="AB298" i="42"/>
  <c r="E75" i="34"/>
  <c r="E76" i="34"/>
  <c r="D75" i="34"/>
  <c r="D76" i="34"/>
  <c r="F75" i="34"/>
  <c r="F76" i="34"/>
  <c r="L75" i="34"/>
  <c r="L76" i="34"/>
  <c r="G75" i="34"/>
  <c r="G76" i="34"/>
  <c r="G64" i="34"/>
  <c r="I64" i="34"/>
  <c r="I75" i="34"/>
  <c r="I76" i="34"/>
  <c r="C15" i="30"/>
  <c r="J364" i="39"/>
  <c r="J297" i="42"/>
  <c r="I183" i="38"/>
  <c r="U301" i="39"/>
  <c r="Q22" i="44"/>
  <c r="U20" i="38"/>
  <c r="U89" i="38" s="1"/>
  <c r="AE235" i="42"/>
  <c r="F34" i="3"/>
  <c r="G18" i="28"/>
  <c r="F41" i="3"/>
  <c r="F11" i="3"/>
  <c r="J18" i="28"/>
  <c r="I11" i="3"/>
  <c r="G4" i="30"/>
  <c r="G7" i="30" s="1"/>
  <c r="I34" i="3"/>
  <c r="I41" i="3"/>
  <c r="H41" i="3"/>
  <c r="H11" i="3"/>
  <c r="F4" i="30"/>
  <c r="I18" i="28"/>
  <c r="H34" i="3"/>
  <c r="AE300" i="39"/>
  <c r="AA235" i="42"/>
  <c r="AA320" i="39" s="1"/>
  <c r="AA300" i="39"/>
  <c r="AA28" i="43"/>
  <c r="AA19" i="38"/>
  <c r="P28" i="44"/>
  <c r="CU135" i="42"/>
  <c r="AS147" i="41"/>
  <c r="AA32" i="43"/>
  <c r="AE19" i="38"/>
  <c r="BA147" i="41"/>
  <c r="AI235" i="42"/>
  <c r="BI147" i="41"/>
  <c r="AI19" i="38"/>
  <c r="AI300" i="39"/>
  <c r="AA20" i="38"/>
  <c r="AA89" i="38" s="1"/>
  <c r="AA234" i="42"/>
  <c r="CU136" i="42"/>
  <c r="AS148" i="41"/>
  <c r="AA301" i="39"/>
  <c r="AB28" i="43"/>
  <c r="Q28" i="44"/>
  <c r="BA148" i="41"/>
  <c r="AE301" i="39"/>
  <c r="CY136" i="42"/>
  <c r="AE20" i="38"/>
  <c r="AE181" i="38" s="1"/>
  <c r="AE234" i="42"/>
  <c r="AB32" i="43"/>
  <c r="BI148" i="41"/>
  <c r="AI20" i="38"/>
  <c r="AI181" i="38"/>
  <c r="AI234" i="42"/>
  <c r="DC136" i="42"/>
  <c r="AI301" i="39"/>
  <c r="K34" i="3"/>
  <c r="L18" i="28"/>
  <c r="DP300" i="39"/>
  <c r="Y360" i="39"/>
  <c r="AC54" i="38"/>
  <c r="AC320" i="39"/>
  <c r="Z179" i="38"/>
  <c r="Z87" i="38"/>
  <c r="AF179" i="38"/>
  <c r="AF87" i="38"/>
  <c r="BK298" i="42"/>
  <c r="AD298" i="42"/>
  <c r="AD297" i="42"/>
  <c r="AE298" i="42"/>
  <c r="J41" i="3"/>
  <c r="BK349" i="39"/>
  <c r="BK348" i="39"/>
  <c r="AF349" i="39"/>
  <c r="AF348" i="39"/>
  <c r="AK148" i="41"/>
  <c r="AG298" i="42"/>
  <c r="BO349" i="39"/>
  <c r="BO348" i="39"/>
  <c r="BR348" i="39"/>
  <c r="BR349" i="39"/>
  <c r="DP301" i="39"/>
  <c r="AC362" i="39"/>
  <c r="DX301" i="39"/>
  <c r="X19" i="38"/>
  <c r="AA25" i="43"/>
  <c r="CV135" i="42"/>
  <c r="AU147" i="41"/>
  <c r="BC147" i="41"/>
  <c r="AA33" i="43"/>
  <c r="AF300" i="39"/>
  <c r="BP349" i="39"/>
  <c r="BP348" i="39"/>
  <c r="T136" i="42"/>
  <c r="D7" i="30"/>
  <c r="S89" i="38"/>
  <c r="S181" i="38"/>
  <c r="V319" i="39"/>
  <c r="EJ300" i="39"/>
  <c r="AI360" i="39"/>
  <c r="AI179" i="38"/>
  <c r="AI87" i="38"/>
  <c r="AG54" i="38"/>
  <c r="AG320" i="39"/>
  <c r="AA54" i="38"/>
  <c r="K41" i="3"/>
  <c r="K24" i="3"/>
  <c r="K11" i="3"/>
  <c r="G24" i="3"/>
  <c r="E4" i="30"/>
  <c r="H18" i="28"/>
  <c r="G41" i="3"/>
  <c r="G34" i="3"/>
  <c r="E41" i="3"/>
  <c r="E34" i="3"/>
  <c r="E24" i="3"/>
  <c r="E11" i="3"/>
  <c r="C4" i="30"/>
  <c r="CP136" i="42"/>
  <c r="V301" i="39"/>
  <c r="V20" i="38"/>
  <c r="V89" i="38" s="1"/>
  <c r="AB23" i="43"/>
  <c r="AI148" i="41"/>
  <c r="R136" i="42"/>
  <c r="I4" i="30"/>
  <c r="G11" i="3"/>
  <c r="L4" i="30"/>
  <c r="O18" i="28"/>
  <c r="N11" i="3"/>
  <c r="N34" i="3"/>
  <c r="CO136" i="42"/>
  <c r="AG148" i="41"/>
  <c r="U234" i="42"/>
  <c r="AB22" i="43"/>
  <c r="J34" i="3"/>
  <c r="J24" i="3"/>
  <c r="J11" i="3"/>
  <c r="S234" i="42"/>
  <c r="AC148" i="41"/>
  <c r="S301" i="39"/>
  <c r="Q20" i="44"/>
  <c r="W234" i="42"/>
  <c r="W20" i="38"/>
  <c r="W301" i="39"/>
  <c r="X360" i="39"/>
  <c r="DN300" i="39"/>
  <c r="BN298" i="42"/>
  <c r="BN297" i="42"/>
  <c r="AC298" i="42"/>
  <c r="BP298" i="42"/>
  <c r="AS348" i="39"/>
  <c r="AA319" i="39"/>
  <c r="AA53" i="38"/>
  <c r="DV300" i="39"/>
  <c r="AB360" i="39"/>
  <c r="AH87" i="38"/>
  <c r="AH179" i="38"/>
  <c r="AD362" i="39"/>
  <c r="DZ301" i="39"/>
  <c r="X181" i="38"/>
  <c r="X89" i="38"/>
  <c r="O11" i="3"/>
  <c r="O34" i="3"/>
  <c r="AH298" i="42"/>
  <c r="AH297" i="42"/>
  <c r="AH349" i="39"/>
  <c r="AH348" i="39"/>
  <c r="AS298" i="42"/>
  <c r="BN348" i="39"/>
  <c r="BN349" i="39"/>
  <c r="Z20" i="38"/>
  <c r="AQ148" i="41"/>
  <c r="Z234" i="42"/>
  <c r="CT136" i="42"/>
  <c r="Z301" i="39"/>
  <c r="AB27" i="43"/>
  <c r="CX136" i="42"/>
  <c r="AY148" i="41"/>
  <c r="AD20" i="38"/>
  <c r="AB31" i="43"/>
  <c r="AD234" i="42"/>
  <c r="AH20" i="38"/>
  <c r="AH181" i="38" s="1"/>
  <c r="AH234" i="42"/>
  <c r="DB136" i="42"/>
  <c r="AH301" i="39"/>
  <c r="BG148" i="41"/>
  <c r="AH235" i="42"/>
  <c r="AD179" i="38"/>
  <c r="CR136" i="42"/>
  <c r="X234" i="42"/>
  <c r="X319" i="39" s="1"/>
  <c r="AM148" i="41"/>
  <c r="Q25" i="44"/>
  <c r="AB25" i="43"/>
  <c r="X301" i="39"/>
  <c r="AB301" i="39"/>
  <c r="CV136" i="42"/>
  <c r="AU148" i="41"/>
  <c r="AB234" i="42"/>
  <c r="AB319" i="39" s="1"/>
  <c r="AB20" i="38"/>
  <c r="AB235" i="42"/>
  <c r="CZ136" i="42"/>
  <c r="AF301" i="39"/>
  <c r="AB33" i="43"/>
  <c r="BC148" i="41"/>
  <c r="AF20" i="38"/>
  <c r="AF234" i="42"/>
  <c r="AF319" i="39" s="1"/>
  <c r="AF235" i="42"/>
  <c r="AC181" i="38"/>
  <c r="AC89" i="38"/>
  <c r="AI89" i="38"/>
  <c r="Y319" i="39"/>
  <c r="Y53" i="38"/>
  <c r="AT349" i="39"/>
  <c r="AT348" i="39"/>
  <c r="AG181" i="38"/>
  <c r="AG89" i="38"/>
  <c r="AV337" i="42"/>
  <c r="AV325" i="42"/>
  <c r="AV324" i="42"/>
  <c r="AV320" i="42"/>
  <c r="AV335" i="42"/>
  <c r="AV334" i="42"/>
  <c r="AV332" i="42"/>
  <c r="AV327" i="42"/>
  <c r="AV336" i="42"/>
  <c r="AV323" i="42"/>
  <c r="AV326" i="42"/>
  <c r="G334" i="42"/>
  <c r="G335" i="42"/>
  <c r="G337" i="42"/>
  <c r="G326" i="42"/>
  <c r="G333" i="42"/>
  <c r="G320" i="42"/>
  <c r="G336" i="42"/>
  <c r="G324" i="42"/>
  <c r="G323" i="42"/>
  <c r="BI327" i="42"/>
  <c r="BI332" i="42"/>
  <c r="BI324" i="42"/>
  <c r="BI333" i="42"/>
  <c r="BI326" i="42"/>
  <c r="BI337" i="42"/>
  <c r="BI323" i="42"/>
  <c r="BI334" i="42"/>
  <c r="BI335" i="42"/>
  <c r="BI336" i="42"/>
  <c r="BI320" i="42"/>
  <c r="BN332" i="42"/>
  <c r="BN337" i="42"/>
  <c r="BN335" i="42"/>
  <c r="BN336" i="42"/>
  <c r="BN326" i="42"/>
  <c r="BN327" i="42"/>
  <c r="BN320" i="42"/>
  <c r="BN334" i="42"/>
  <c r="BN324" i="42"/>
  <c r="BN323" i="42"/>
  <c r="AA392" i="42"/>
  <c r="BN328" i="42"/>
  <c r="OO2" i="43"/>
  <c r="DG2" i="43"/>
  <c r="AS2" i="44"/>
  <c r="AV333" i="42"/>
  <c r="BQ335" i="42"/>
  <c r="BQ323" i="42"/>
  <c r="BQ334" i="42"/>
  <c r="BQ337" i="42"/>
  <c r="BQ336" i="42"/>
  <c r="BQ328" i="42"/>
  <c r="BQ327" i="42"/>
  <c r="BQ326" i="42"/>
  <c r="BQ325" i="42"/>
  <c r="BQ324" i="42"/>
  <c r="L336" i="42"/>
  <c r="L326" i="42"/>
  <c r="L327" i="42"/>
  <c r="L320" i="42"/>
  <c r="L332" i="42"/>
  <c r="L337" i="42"/>
  <c r="L325" i="42"/>
  <c r="L328" i="42"/>
  <c r="L333" i="42"/>
  <c r="L335" i="42"/>
  <c r="BB336" i="42"/>
  <c r="BB326" i="42"/>
  <c r="BB337" i="42"/>
  <c r="BB320" i="42"/>
  <c r="BB332" i="42"/>
  <c r="BB335" i="42"/>
  <c r="BB333" i="42"/>
  <c r="BB328" i="42"/>
  <c r="BB325" i="42"/>
  <c r="BB323" i="42"/>
  <c r="AI332" i="42"/>
  <c r="AI337" i="42"/>
  <c r="AI335" i="42"/>
  <c r="AI328" i="42"/>
  <c r="AI327" i="42"/>
  <c r="AI336" i="42"/>
  <c r="AI324" i="42"/>
  <c r="AI325" i="42"/>
  <c r="AI334" i="42"/>
  <c r="AI333" i="42"/>
  <c r="AI320" i="42"/>
  <c r="BO336" i="42"/>
  <c r="BO326" i="42"/>
  <c r="BO327" i="42"/>
  <c r="BO320" i="42"/>
  <c r="BO324" i="42"/>
  <c r="BO335" i="42"/>
  <c r="BO332" i="42"/>
  <c r="BO333" i="42"/>
  <c r="BO328" i="42"/>
  <c r="BO323" i="42"/>
  <c r="BB334" i="42"/>
  <c r="L323" i="42"/>
  <c r="G327" i="42"/>
  <c r="BI328" i="42"/>
  <c r="BQ333" i="42"/>
  <c r="BO325" i="42"/>
  <c r="AI323" i="42"/>
  <c r="I325" i="42"/>
  <c r="I324" i="42"/>
  <c r="I320" i="42"/>
  <c r="U335" i="42"/>
  <c r="U323" i="42"/>
  <c r="U328" i="42"/>
  <c r="AF336" i="42"/>
  <c r="AF326" i="42"/>
  <c r="AF337" i="42"/>
  <c r="AF320" i="42"/>
  <c r="Y327" i="42"/>
  <c r="Y328" i="42"/>
  <c r="Y320" i="42"/>
  <c r="H334" i="42"/>
  <c r="H324" i="42"/>
  <c r="H323" i="42"/>
  <c r="BL332" i="42"/>
  <c r="BL328" i="42"/>
  <c r="BK327" i="42"/>
  <c r="BK335" i="42"/>
  <c r="Z326" i="42"/>
  <c r="Z334" i="42"/>
  <c r="J336" i="42"/>
  <c r="J323" i="42"/>
  <c r="BH320" i="42"/>
  <c r="BH326" i="42"/>
  <c r="BH325" i="42"/>
  <c r="AR320" i="42"/>
  <c r="AR326" i="42"/>
  <c r="AR325" i="42"/>
  <c r="X337" i="42"/>
  <c r="X335" i="42"/>
  <c r="N332" i="42"/>
  <c r="Y326" i="42"/>
  <c r="Y323" i="42"/>
  <c r="Y337" i="42"/>
  <c r="AF325" i="42"/>
  <c r="AF332" i="42"/>
  <c r="BS320" i="42"/>
  <c r="BS335" i="42"/>
  <c r="H327" i="42"/>
  <c r="H335" i="42"/>
  <c r="H336" i="42"/>
  <c r="U326" i="42"/>
  <c r="U327" i="42"/>
  <c r="I326" i="42"/>
  <c r="I323" i="42"/>
  <c r="AB325" i="42"/>
  <c r="AB337" i="42"/>
  <c r="BD335" i="42"/>
  <c r="BD323" i="42"/>
  <c r="BD332" i="42"/>
  <c r="T334" i="42"/>
  <c r="T324" i="42"/>
  <c r="T323" i="42"/>
  <c r="GO2" i="43"/>
  <c r="AR2" i="44"/>
  <c r="I333" i="42"/>
  <c r="BS325" i="42"/>
  <c r="BS333" i="42"/>
  <c r="N337" i="42"/>
  <c r="N325" i="42"/>
  <c r="N326" i="42"/>
  <c r="N320" i="42"/>
  <c r="X336" i="42"/>
  <c r="X326" i="42"/>
  <c r="X333" i="42"/>
  <c r="X320" i="42"/>
  <c r="AB334" i="42"/>
  <c r="AB324" i="42"/>
  <c r="AB323" i="42"/>
  <c r="AT298" i="42"/>
  <c r="AT297" i="42"/>
  <c r="J183" i="38"/>
  <c r="J91" i="38"/>
  <c r="AD322" i="39"/>
  <c r="AF56" i="38"/>
  <c r="CJ308" i="39"/>
  <c r="H183" i="38"/>
  <c r="H364" i="39"/>
  <c r="H348" i="39"/>
  <c r="J322" i="39"/>
  <c r="AG56" i="38"/>
  <c r="R322" i="39"/>
  <c r="AH322" i="39"/>
  <c r="CF308" i="39"/>
  <c r="V322" i="39"/>
  <c r="G298" i="42"/>
  <c r="M322" i="39"/>
  <c r="Y176" i="42"/>
  <c r="AH200" i="42" s="1"/>
  <c r="BV22" i="43" s="1"/>
  <c r="U322" i="39"/>
  <c r="Y178" i="42"/>
  <c r="Y322" i="39"/>
  <c r="AC322" i="39"/>
  <c r="Y56" i="38"/>
  <c r="Q56" i="38"/>
  <c r="AC56" i="38"/>
  <c r="I56" i="38"/>
  <c r="U56" i="38"/>
  <c r="L56" i="38"/>
  <c r="T56" i="38"/>
  <c r="AB56" i="38"/>
  <c r="G91" i="38"/>
  <c r="G56" i="38"/>
  <c r="G322" i="39"/>
  <c r="K56" i="38"/>
  <c r="K322" i="39"/>
  <c r="O56" i="38"/>
  <c r="O322" i="39"/>
  <c r="S56" i="38"/>
  <c r="S322" i="39"/>
  <c r="W56" i="38"/>
  <c r="W322" i="39"/>
  <c r="AA56" i="38"/>
  <c r="AA322" i="39"/>
  <c r="AE56" i="38"/>
  <c r="AE322" i="39"/>
  <c r="AI56" i="38"/>
  <c r="AI322" i="39"/>
  <c r="P322" i="39"/>
  <c r="W178" i="42"/>
  <c r="C15" i="34"/>
  <c r="C14" i="34"/>
  <c r="A49" i="6"/>
  <c r="A51" i="6"/>
  <c r="AA362" i="39"/>
  <c r="DT301" i="39"/>
  <c r="AE179" i="38"/>
  <c r="AE87" i="38"/>
  <c r="EB300" i="39"/>
  <c r="AE360" i="39"/>
  <c r="F7" i="30"/>
  <c r="AI320" i="39"/>
  <c r="AI54" i="38"/>
  <c r="AF360" i="39"/>
  <c r="ED300" i="39"/>
  <c r="AA179" i="38"/>
  <c r="AA87" i="38"/>
  <c r="AA181" i="38"/>
  <c r="AA360" i="39"/>
  <c r="DT300" i="39"/>
  <c r="DH301" i="39"/>
  <c r="U362" i="39"/>
  <c r="EJ301" i="39"/>
  <c r="AI362" i="39"/>
  <c r="AE319" i="39"/>
  <c r="AE53" i="38"/>
  <c r="AE320" i="39"/>
  <c r="AE54" i="38"/>
  <c r="X179" i="38"/>
  <c r="X87" i="38"/>
  <c r="AI319" i="39"/>
  <c r="AI53" i="38"/>
  <c r="EB301" i="39"/>
  <c r="AE362" i="39"/>
  <c r="AF320" i="39"/>
  <c r="AF54" i="38"/>
  <c r="AB181" i="38"/>
  <c r="AB89" i="38"/>
  <c r="AB362" i="39"/>
  <c r="DV301" i="39"/>
  <c r="W181" i="38"/>
  <c r="W89" i="38"/>
  <c r="I7" i="30"/>
  <c r="V181" i="38"/>
  <c r="ED301" i="39"/>
  <c r="AF362" i="39"/>
  <c r="DN301" i="39"/>
  <c r="X362" i="39"/>
  <c r="AH320" i="39"/>
  <c r="AH54" i="38"/>
  <c r="AH53" i="38"/>
  <c r="AH319" i="39"/>
  <c r="AD89" i="38"/>
  <c r="AD181" i="38"/>
  <c r="Z319" i="39"/>
  <c r="Z53" i="38"/>
  <c r="W319" i="39"/>
  <c r="W53" i="38"/>
  <c r="S319" i="39"/>
  <c r="S53" i="38"/>
  <c r="U319" i="39"/>
  <c r="U53" i="38"/>
  <c r="CL136" i="42"/>
  <c r="R301" i="39"/>
  <c r="DB301" i="39" s="1"/>
  <c r="R20" i="38"/>
  <c r="R181" i="38" s="1"/>
  <c r="AA148" i="41"/>
  <c r="AB19" i="43"/>
  <c r="Q19" i="44"/>
  <c r="R234" i="42"/>
  <c r="DJ301" i="39"/>
  <c r="V362" i="39"/>
  <c r="C7" i="30"/>
  <c r="E7" i="30"/>
  <c r="AF181" i="38"/>
  <c r="AF89" i="38"/>
  <c r="AH89" i="38"/>
  <c r="AB54" i="38"/>
  <c r="AB320" i="39"/>
  <c r="AH362" i="39"/>
  <c r="EH301" i="39"/>
  <c r="AD319" i="39"/>
  <c r="AD53" i="38"/>
  <c r="Z362" i="39"/>
  <c r="DR301" i="39"/>
  <c r="Z89" i="38"/>
  <c r="Z181" i="38"/>
  <c r="DL301" i="39"/>
  <c r="W362" i="39"/>
  <c r="DD301" i="39"/>
  <c r="S362" i="39"/>
  <c r="L7" i="30"/>
  <c r="CN136" i="42"/>
  <c r="T301" i="39"/>
  <c r="DF301" i="39" s="1"/>
  <c r="T20" i="38"/>
  <c r="Q21" i="44"/>
  <c r="AB21" i="43"/>
  <c r="AE148" i="41"/>
  <c r="T234" i="42"/>
  <c r="A52" i="6"/>
  <c r="A48" i="6"/>
  <c r="R362" i="39"/>
  <c r="T319" i="39"/>
  <c r="T53" i="38"/>
  <c r="T89" i="38"/>
  <c r="T181" i="38"/>
  <c r="R319" i="39"/>
  <c r="R53" i="38"/>
  <c r="R89" i="38"/>
  <c r="A53" i="6"/>
  <c r="A54" i="6" s="1"/>
  <c r="A55" i="6" s="1"/>
  <c r="G14" i="28" l="1"/>
  <c r="G7" i="31"/>
  <c r="F8" i="31"/>
  <c r="F43" i="31"/>
  <c r="W16" i="28"/>
  <c r="W35" i="28" s="1"/>
  <c r="C148" i="9"/>
  <c r="H71" i="34"/>
  <c r="I68" i="34"/>
  <c r="H69" i="34"/>
  <c r="Q34" i="34"/>
  <c r="Q42" i="34"/>
  <c r="P34" i="34"/>
  <c r="P46" i="34"/>
  <c r="P64" i="20"/>
  <c r="J24" i="9"/>
  <c r="L24" i="9" s="1"/>
  <c r="P9" i="29"/>
  <c r="L14" i="28"/>
  <c r="J19" i="9"/>
  <c r="L19" i="9" s="1"/>
  <c r="K9" i="29"/>
  <c r="C48" i="34"/>
  <c r="C51" i="34" s="1"/>
  <c r="C56" i="34" s="1"/>
  <c r="C35" i="34"/>
  <c r="T35" i="34"/>
  <c r="J12" i="9"/>
  <c r="L12" i="9" s="1"/>
  <c r="D9" i="29"/>
  <c r="B34" i="30"/>
  <c r="B35" i="30" s="1"/>
  <c r="B36" i="30" s="1"/>
  <c r="B37" i="30" s="1"/>
  <c r="B38" i="30" s="1"/>
  <c r="B32" i="30"/>
  <c r="B31" i="30" s="1"/>
  <c r="CN64" i="20"/>
  <c r="EV61" i="20"/>
  <c r="DX64" i="20"/>
  <c r="H9" i="29"/>
  <c r="J16" i="9"/>
  <c r="L16" i="9" s="1"/>
  <c r="B58" i="34"/>
  <c r="L65" i="34"/>
  <c r="K65" i="34"/>
  <c r="H65" i="34"/>
  <c r="D65" i="34"/>
  <c r="J65" i="34"/>
  <c r="G65" i="34"/>
  <c r="M65" i="34"/>
  <c r="F65" i="34"/>
  <c r="I65" i="34"/>
  <c r="J10" i="9"/>
  <c r="L10" i="9" s="1"/>
  <c r="B9" i="29"/>
  <c r="BM64" i="20"/>
  <c r="M16" i="6"/>
  <c r="O26" i="3"/>
  <c r="E16" i="6"/>
  <c r="G26" i="3"/>
  <c r="L26" i="3"/>
  <c r="J16" i="6"/>
  <c r="M35" i="34"/>
  <c r="M48" i="34"/>
  <c r="M51" i="34" s="1"/>
  <c r="M56" i="34" s="1"/>
  <c r="E63" i="20"/>
  <c r="I63" i="20" s="1"/>
  <c r="I53" i="20"/>
  <c r="N53" i="20"/>
  <c r="T63" i="20"/>
  <c r="X63" i="20" s="1"/>
  <c r="X53" i="20"/>
  <c r="B69" i="34"/>
  <c r="B71" i="34" s="1"/>
  <c r="B24" i="34"/>
  <c r="M61" i="20"/>
  <c r="M64" i="20" s="1"/>
  <c r="V61" i="20"/>
  <c r="V64" i="20" s="1"/>
  <c r="X21" i="20"/>
  <c r="AC62" i="20"/>
  <c r="FG21" i="20"/>
  <c r="EZ34" i="20"/>
  <c r="DE36" i="20"/>
  <c r="EZ35" i="20"/>
  <c r="EX27" i="20"/>
  <c r="EX30" i="20" s="1"/>
  <c r="CU30" i="20"/>
  <c r="CU61" i="20"/>
  <c r="CZ21" i="20"/>
  <c r="EY14" i="20"/>
  <c r="EY21" i="20" s="1"/>
  <c r="DB61" i="20"/>
  <c r="DK30" i="20"/>
  <c r="DK61" i="20" s="1"/>
  <c r="FB24" i="20"/>
  <c r="FB30" i="20" s="1"/>
  <c r="DK58" i="20"/>
  <c r="FB56" i="20"/>
  <c r="FB58" i="20" s="1"/>
  <c r="DM61" i="20"/>
  <c r="DM64" i="20" s="1"/>
  <c r="DO43" i="20"/>
  <c r="FC42" i="20"/>
  <c r="FC43" i="20" s="1"/>
  <c r="DS21" i="20"/>
  <c r="DS61" i="20" s="1"/>
  <c r="FD17" i="20"/>
  <c r="FD21" i="20" s="1"/>
  <c r="DU61" i="20"/>
  <c r="DU64" i="20" s="1"/>
  <c r="DW36" i="20"/>
  <c r="FE35" i="20"/>
  <c r="FE36" i="20" s="1"/>
  <c r="DW53" i="20"/>
  <c r="DW63" i="20" s="1"/>
  <c r="FE49" i="20"/>
  <c r="FE53" i="20" s="1"/>
  <c r="EA30" i="20"/>
  <c r="EA61" i="20" s="1"/>
  <c r="FF24" i="20"/>
  <c r="FF30" i="20" s="1"/>
  <c r="EP30" i="20"/>
  <c r="FL26" i="20"/>
  <c r="FL30" i="20" s="1"/>
  <c r="FM34" i="20"/>
  <c r="FM36" i="20" s="1"/>
  <c r="EQ36" i="20"/>
  <c r="DN21" i="20"/>
  <c r="DN61" i="20" s="1"/>
  <c r="DN64" i="20" s="1"/>
  <c r="DQ21" i="20"/>
  <c r="DQ61" i="20" s="1"/>
  <c r="DQ64" i="20" s="1"/>
  <c r="DZ21" i="20"/>
  <c r="DZ61" i="20" s="1"/>
  <c r="DZ64" i="20" s="1"/>
  <c r="FF13" i="20"/>
  <c r="FF21" i="20" s="1"/>
  <c r="EB21" i="20"/>
  <c r="EB61" i="20" s="1"/>
  <c r="EB64" i="20" s="1"/>
  <c r="FM14" i="20"/>
  <c r="FM21" i="20" s="1"/>
  <c r="EQ21" i="20"/>
  <c r="W123" i="9"/>
  <c r="V123" i="9"/>
  <c r="U22" i="3"/>
  <c r="FH39" i="20"/>
  <c r="B26" i="40"/>
  <c r="B58" i="40"/>
  <c r="G406" i="42"/>
  <c r="AE89" i="38"/>
  <c r="S47" i="22"/>
  <c r="GA49" i="20"/>
  <c r="GA42" i="20"/>
  <c r="GA19" i="20"/>
  <c r="GA47" i="20"/>
  <c r="GA39" i="20"/>
  <c r="GA50" i="20"/>
  <c r="GA18" i="20"/>
  <c r="GA25" i="20"/>
  <c r="GA30" i="20" s="1"/>
  <c r="FS15" i="20"/>
  <c r="FS41" i="20"/>
  <c r="FS47" i="20"/>
  <c r="FS34" i="20"/>
  <c r="FS36" i="20" s="1"/>
  <c r="FS19" i="20"/>
  <c r="FS48" i="20"/>
  <c r="FS25" i="20"/>
  <c r="H16" i="6"/>
  <c r="J26" i="3"/>
  <c r="K16" i="6"/>
  <c r="M26" i="3"/>
  <c r="G69" i="34"/>
  <c r="G71" i="34" s="1"/>
  <c r="C46" i="34"/>
  <c r="T38" i="34"/>
  <c r="T48" i="34" s="1"/>
  <c r="T51" i="34" s="1"/>
  <c r="T56" i="34" s="1"/>
  <c r="H24" i="34"/>
  <c r="D24" i="34"/>
  <c r="E61" i="20"/>
  <c r="I30" i="20"/>
  <c r="I62" i="20"/>
  <c r="N21" i="20"/>
  <c r="L61" i="20"/>
  <c r="L64" i="20" s="1"/>
  <c r="R61" i="20"/>
  <c r="R64" i="20" s="1"/>
  <c r="T61" i="20"/>
  <c r="X58" i="20"/>
  <c r="Y61" i="20"/>
  <c r="AB61" i="20"/>
  <c r="AB64" i="20" s="1"/>
  <c r="AH62" i="20"/>
  <c r="AF61" i="20"/>
  <c r="AM62" i="20"/>
  <c r="AO61" i="20"/>
  <c r="BX61" i="20"/>
  <c r="BX64" i="20" s="1"/>
  <c r="BG63" i="20"/>
  <c r="O9" i="29"/>
  <c r="J23" i="9"/>
  <c r="L23" i="9" s="1"/>
  <c r="BQ62" i="20"/>
  <c r="BR63" i="20"/>
  <c r="BV53" i="20"/>
  <c r="DK53" i="20"/>
  <c r="DK63" i="20" s="1"/>
  <c r="CJ21" i="20"/>
  <c r="CJ61" i="20" s="1"/>
  <c r="CJ64" i="20" s="1"/>
  <c r="EU15" i="20"/>
  <c r="CL21" i="20"/>
  <c r="CL61" i="20" s="1"/>
  <c r="CL64" i="20" s="1"/>
  <c r="EU16" i="20"/>
  <c r="CQ36" i="20"/>
  <c r="CQ61" i="20" s="1"/>
  <c r="EW35" i="20"/>
  <c r="EW36" i="20" s="1"/>
  <c r="CR53" i="20"/>
  <c r="CR63" i="20" s="1"/>
  <c r="CR64" i="20" s="1"/>
  <c r="EW48" i="20"/>
  <c r="CS53" i="20"/>
  <c r="CS63" i="20" s="1"/>
  <c r="CS64" i="20" s="1"/>
  <c r="EW46" i="20"/>
  <c r="DF53" i="20"/>
  <c r="DF63" i="20" s="1"/>
  <c r="DE53" i="20"/>
  <c r="DE63" i="20" s="1"/>
  <c r="EZ24" i="20"/>
  <c r="EZ30" i="20" s="1"/>
  <c r="DE30" i="20"/>
  <c r="CX53" i="20"/>
  <c r="CX63" i="20" s="1"/>
  <c r="CV58" i="20"/>
  <c r="CW58" i="20"/>
  <c r="EX62" i="20"/>
  <c r="GN62" i="20" s="1"/>
  <c r="CY21" i="20"/>
  <c r="EY17" i="20"/>
  <c r="CY30" i="20"/>
  <c r="EY24" i="20"/>
  <c r="EY28" i="20"/>
  <c r="EY35" i="20"/>
  <c r="EY39" i="20"/>
  <c r="EY43" i="20" s="1"/>
  <c r="CZ43" i="20"/>
  <c r="EY47" i="20"/>
  <c r="EY53" i="20" s="1"/>
  <c r="EY63" i="20" s="1"/>
  <c r="GO63" i="20" s="1"/>
  <c r="CZ53" i="20"/>
  <c r="CZ63" i="20" s="1"/>
  <c r="EH21" i="20"/>
  <c r="FK53" i="20"/>
  <c r="FK63" i="20" s="1"/>
  <c r="HA63" i="20" s="1"/>
  <c r="FG46" i="20"/>
  <c r="EG21" i="20"/>
  <c r="X53" i="38"/>
  <c r="AB53" i="38"/>
  <c r="AF53" i="38"/>
  <c r="E51" i="6"/>
  <c r="D34" i="30" s="1"/>
  <c r="X18" i="23"/>
  <c r="X20" i="23" s="1"/>
  <c r="X19" i="23"/>
  <c r="O41" i="3"/>
  <c r="O24" i="3"/>
  <c r="L24" i="3"/>
  <c r="M18" i="28"/>
  <c r="GA26" i="20"/>
  <c r="GA48" i="20"/>
  <c r="GA62" i="20"/>
  <c r="GA20" i="20"/>
  <c r="GA41" i="20"/>
  <c r="GA40" i="20"/>
  <c r="GA35" i="20"/>
  <c r="GA28" i="20"/>
  <c r="FS20" i="20"/>
  <c r="FS46" i="20"/>
  <c r="FS61" i="20"/>
  <c r="FS50" i="20"/>
  <c r="FS56" i="20"/>
  <c r="FS57" i="20"/>
  <c r="FS62" i="20"/>
  <c r="FS16" i="20"/>
  <c r="GF19" i="20"/>
  <c r="GF13" i="20"/>
  <c r="GF47" i="20"/>
  <c r="GF46" i="20"/>
  <c r="GF57" i="20"/>
  <c r="GF58" i="20" s="1"/>
  <c r="GF24" i="20"/>
  <c r="GF25" i="20"/>
  <c r="GF52" i="20"/>
  <c r="W64" i="9"/>
  <c r="C16" i="6"/>
  <c r="E26" i="3"/>
  <c r="I16" i="6"/>
  <c r="J17" i="6" s="1"/>
  <c r="K26" i="3"/>
  <c r="D16" i="6"/>
  <c r="E17" i="6" s="1"/>
  <c r="F26" i="3"/>
  <c r="G16" i="6"/>
  <c r="H17" i="6" s="1"/>
  <c r="I26" i="3"/>
  <c r="N26" i="3"/>
  <c r="L16" i="6"/>
  <c r="M17" i="6" s="1"/>
  <c r="F16" i="6"/>
  <c r="G17" i="6" s="1"/>
  <c r="H26" i="3"/>
  <c r="C135" i="9"/>
  <c r="N16" i="28"/>
  <c r="N35" i="28" s="1"/>
  <c r="AM61" i="20"/>
  <c r="BI64" i="20"/>
  <c r="AQ64" i="20"/>
  <c r="J34" i="34"/>
  <c r="J42" i="34"/>
  <c r="P42" i="34"/>
  <c r="C16" i="31"/>
  <c r="B17" i="31"/>
  <c r="J46" i="34"/>
  <c r="S63" i="20"/>
  <c r="K42" i="34"/>
  <c r="H43" i="34"/>
  <c r="H46" i="34" s="1"/>
  <c r="G24" i="34"/>
  <c r="F38" i="34"/>
  <c r="F24" i="34"/>
  <c r="AW63" i="20"/>
  <c r="FI36" i="20"/>
  <c r="BB21" i="20"/>
  <c r="AZ61" i="20"/>
  <c r="AZ64" i="20" s="1"/>
  <c r="BB30" i="20"/>
  <c r="AY61" i="20"/>
  <c r="BG36" i="20"/>
  <c r="BG43" i="20"/>
  <c r="BQ53" i="20"/>
  <c r="FG36" i="20"/>
  <c r="BP61" i="20"/>
  <c r="BP64" i="20" s="1"/>
  <c r="DI21" i="20"/>
  <c r="DI61" i="20" s="1"/>
  <c r="DJ61" i="20"/>
  <c r="DJ64" i="20" s="1"/>
  <c r="DC53" i="20"/>
  <c r="DC63" i="20" s="1"/>
  <c r="DC30" i="20"/>
  <c r="DC61" i="20" s="1"/>
  <c r="EZ50" i="20"/>
  <c r="EZ46" i="20"/>
  <c r="DD53" i="20"/>
  <c r="DD63" i="20" s="1"/>
  <c r="DD36" i="20"/>
  <c r="DD61" i="20" s="1"/>
  <c r="DD64" i="20" s="1"/>
  <c r="EZ19" i="20"/>
  <c r="DE21" i="20"/>
  <c r="EZ15" i="20"/>
  <c r="EZ21" i="20" s="1"/>
  <c r="DF21" i="20"/>
  <c r="DF61" i="20" s="1"/>
  <c r="DF64" i="20" s="1"/>
  <c r="CX30" i="20"/>
  <c r="CX61" i="20" s="1"/>
  <c r="CX64" i="20" s="1"/>
  <c r="CV36" i="20"/>
  <c r="EX29" i="20"/>
  <c r="CV61" i="20"/>
  <c r="CV64" i="20" s="1"/>
  <c r="CW36" i="20"/>
  <c r="CW21" i="20"/>
  <c r="CW61" i="20" s="1"/>
  <c r="CW64" i="20" s="1"/>
  <c r="EY34" i="20"/>
  <c r="EY36" i="20" s="1"/>
  <c r="DB53" i="20"/>
  <c r="DB63" i="20" s="1"/>
  <c r="DO21" i="20"/>
  <c r="EE21" i="20"/>
  <c r="FJ53" i="20"/>
  <c r="FJ63" i="20" s="1"/>
  <c r="GZ63" i="20" s="1"/>
  <c r="R22" i="3"/>
  <c r="FH20" i="20"/>
  <c r="FH21" i="20" s="1"/>
  <c r="EI21" i="20"/>
  <c r="DR21" i="20"/>
  <c r="DR61" i="20" s="1"/>
  <c r="DR64" i="20" s="1"/>
  <c r="AU208" i="42"/>
  <c r="N205" i="42"/>
  <c r="T362" i="39"/>
  <c r="U181" i="38"/>
  <c r="X21" i="23"/>
  <c r="P18" i="28"/>
  <c r="L34" i="3"/>
  <c r="J4" i="30"/>
  <c r="J7" i="30" s="1"/>
  <c r="P47" i="22"/>
  <c r="Q16" i="28"/>
  <c r="Q35" i="28" s="1"/>
  <c r="C143" i="9"/>
  <c r="GA14" i="20"/>
  <c r="GA21" i="20" s="1"/>
  <c r="GA52" i="20"/>
  <c r="GA46" i="20"/>
  <c r="GA51" i="20"/>
  <c r="GA33" i="20"/>
  <c r="GA34" i="20"/>
  <c r="GA15" i="20"/>
  <c r="FS49" i="20"/>
  <c r="FS18" i="20"/>
  <c r="FS51" i="20"/>
  <c r="FS27" i="20"/>
  <c r="FS24" i="20"/>
  <c r="FS30" i="20" s="1"/>
  <c r="FS13" i="20"/>
  <c r="FS21" i="20" s="1"/>
  <c r="FS39" i="20"/>
  <c r="FS43" i="20" s="1"/>
  <c r="GF48" i="20"/>
  <c r="GF26" i="20"/>
  <c r="GF27" i="20"/>
  <c r="GF16" i="20"/>
  <c r="GF39" i="20"/>
  <c r="GF42" i="20"/>
  <c r="GF50" i="20"/>
  <c r="O75" i="9"/>
  <c r="R47" i="22"/>
  <c r="P26" i="3"/>
  <c r="N16" i="6"/>
  <c r="EU61" i="20"/>
  <c r="J9" i="29"/>
  <c r="F9" i="29"/>
  <c r="J22" i="3"/>
  <c r="AU64" i="20"/>
  <c r="R13" i="6"/>
  <c r="C146" i="9"/>
  <c r="R42" i="34"/>
  <c r="M42" i="34"/>
  <c r="T46" i="34"/>
  <c r="E34" i="34"/>
  <c r="E42" i="34"/>
  <c r="J63" i="20"/>
  <c r="N63" i="20" s="1"/>
  <c r="U24" i="34"/>
  <c r="S24" i="34"/>
  <c r="O38" i="34"/>
  <c r="O24" i="34"/>
  <c r="O34" i="34" s="1"/>
  <c r="N24" i="34"/>
  <c r="M46" i="34"/>
  <c r="L24" i="34"/>
  <c r="K38" i="34"/>
  <c r="K48" i="34" s="1"/>
  <c r="K51" i="34" s="1"/>
  <c r="K56" i="34" s="1"/>
  <c r="I24" i="34"/>
  <c r="AW53" i="20"/>
  <c r="AS61" i="20"/>
  <c r="AG61" i="20"/>
  <c r="AG64" i="20" s="1"/>
  <c r="AV61" i="20"/>
  <c r="AV64" i="20" s="1"/>
  <c r="AM36" i="20"/>
  <c r="BG58" i="20"/>
  <c r="BG62" i="20"/>
  <c r="BJ63" i="20"/>
  <c r="BJ64" i="20" s="1"/>
  <c r="FH36" i="20"/>
  <c r="BQ21" i="20"/>
  <c r="BQ30" i="20"/>
  <c r="BQ36" i="20"/>
  <c r="BQ43" i="20"/>
  <c r="BS61" i="20"/>
  <c r="BT61" i="20"/>
  <c r="BT64" i="20" s="1"/>
  <c r="DO30" i="20"/>
  <c r="DS53" i="20"/>
  <c r="DS63" i="20" s="1"/>
  <c r="DW21" i="20"/>
  <c r="DW61" i="20" s="1"/>
  <c r="DE58" i="20"/>
  <c r="DE43" i="20"/>
  <c r="EZ40" i="20"/>
  <c r="EZ43" i="20" s="1"/>
  <c r="EX47" i="20"/>
  <c r="EX53" i="20" s="1"/>
  <c r="EX63" i="20" s="1"/>
  <c r="GN63" i="20" s="1"/>
  <c r="CY36" i="20"/>
  <c r="DP21" i="20"/>
  <c r="DP61" i="20" s="1"/>
  <c r="DP64" i="20" s="1"/>
  <c r="EF21" i="20"/>
  <c r="CI5" i="20"/>
  <c r="DA5" i="20"/>
  <c r="DW5" i="20"/>
  <c r="EL5" i="20"/>
  <c r="EP5" i="20"/>
  <c r="DT5" i="20"/>
  <c r="DL5" i="20"/>
  <c r="DN5" i="20"/>
  <c r="CO5" i="20"/>
  <c r="DQ5" i="20"/>
  <c r="DP5" i="20"/>
  <c r="FX52" i="20" s="1"/>
  <c r="DR5" i="20"/>
  <c r="DI5" i="20"/>
  <c r="EH5" i="20"/>
  <c r="EQ5" i="20"/>
  <c r="DM5" i="20"/>
  <c r="EM5" i="20"/>
  <c r="CZ5" i="20"/>
  <c r="DS5" i="20"/>
  <c r="DH5" i="20"/>
  <c r="DE5" i="20"/>
  <c r="CS5" i="20"/>
  <c r="DB5" i="20"/>
  <c r="T22" i="3"/>
  <c r="S22" i="3"/>
  <c r="FI53" i="20"/>
  <c r="FI63" i="20" s="1"/>
  <c r="GY63" i="20" s="1"/>
  <c r="AQ225" i="42"/>
  <c r="G42" i="23"/>
  <c r="H21" i="23"/>
  <c r="J42" i="23"/>
  <c r="K42" i="23"/>
  <c r="N18" i="23"/>
  <c r="N19" i="23"/>
  <c r="S53" i="22"/>
  <c r="S50" i="22"/>
  <c r="S54" i="22" s="1"/>
  <c r="T55" i="22" s="1"/>
  <c r="R18" i="23"/>
  <c r="R20" i="23" s="1"/>
  <c r="R19" i="23"/>
  <c r="O22" i="3"/>
  <c r="L22" i="3"/>
  <c r="C105" i="9"/>
  <c r="L113" i="9"/>
  <c r="C112" i="9"/>
  <c r="H109" i="9"/>
  <c r="W109" i="9" s="1"/>
  <c r="C108" i="9"/>
  <c r="O154" i="9"/>
  <c r="M154" i="9"/>
  <c r="K154" i="9"/>
  <c r="J154" i="9"/>
  <c r="N154" i="9"/>
  <c r="L154" i="9"/>
  <c r="H154" i="9"/>
  <c r="D154" i="9"/>
  <c r="G154" i="9"/>
  <c r="I154" i="9"/>
  <c r="F154" i="9"/>
  <c r="E154" i="9"/>
  <c r="C115" i="9"/>
  <c r="S29" i="23"/>
  <c r="EP40" i="20"/>
  <c r="FL40" i="20" s="1"/>
  <c r="FL43" i="20" s="1"/>
  <c r="EL40" i="20"/>
  <c r="EL43" i="20" s="1"/>
  <c r="EL61" i="20" s="1"/>
  <c r="EL64" i="20" s="1"/>
  <c r="EH40" i="20"/>
  <c r="EH43" i="20" s="1"/>
  <c r="EF40" i="20"/>
  <c r="EF43" i="20" s="1"/>
  <c r="EE25" i="20"/>
  <c r="P14" i="35"/>
  <c r="O19" i="35"/>
  <c r="AQ431" i="42"/>
  <c r="AI385" i="39"/>
  <c r="AI375" i="39"/>
  <c r="AI384" i="39"/>
  <c r="AI379" i="39"/>
  <c r="AI376" i="39"/>
  <c r="AI388" i="39"/>
  <c r="BK386" i="39"/>
  <c r="BK374" i="39"/>
  <c r="BK385" i="39"/>
  <c r="BK378" i="39"/>
  <c r="BK383" i="39"/>
  <c r="BK375" i="39"/>
  <c r="J383" i="39"/>
  <c r="J386" i="39"/>
  <c r="J378" i="39"/>
  <c r="J387" i="39"/>
  <c r="J377" i="39"/>
  <c r="J388" i="39"/>
  <c r="J371" i="39"/>
  <c r="AS105" i="38"/>
  <c r="AS114" i="38"/>
  <c r="AS106" i="38"/>
  <c r="AS113" i="38"/>
  <c r="AS101" i="38"/>
  <c r="AS102" i="38"/>
  <c r="N42" i="23"/>
  <c r="O19" i="23"/>
  <c r="O18" i="23"/>
  <c r="P18" i="23"/>
  <c r="P19" i="23"/>
  <c r="N22" i="3"/>
  <c r="T19" i="23"/>
  <c r="T18" i="23"/>
  <c r="T20" i="23" s="1"/>
  <c r="EM40" i="20"/>
  <c r="FI40" i="20" s="1"/>
  <c r="FI43" i="20" s="1"/>
  <c r="T14" i="28" s="1"/>
  <c r="EI40" i="20"/>
  <c r="EE40" i="20"/>
  <c r="EE43" i="20" s="1"/>
  <c r="U37" i="23"/>
  <c r="AU225" i="42"/>
  <c r="O387" i="39"/>
  <c r="O377" i="39"/>
  <c r="O384" i="39"/>
  <c r="O371" i="39"/>
  <c r="O383" i="39"/>
  <c r="O388" i="39"/>
  <c r="O376" i="39"/>
  <c r="U384" i="39"/>
  <c r="U379" i="39"/>
  <c r="U387" i="39"/>
  <c r="U388" i="39"/>
  <c r="U376" i="39"/>
  <c r="U375" i="39"/>
  <c r="U371" i="39"/>
  <c r="M378" i="39"/>
  <c r="M375" i="39"/>
  <c r="M377" i="39"/>
  <c r="M386" i="39"/>
  <c r="M374" i="39"/>
  <c r="M379" i="39"/>
  <c r="BD388" i="39"/>
  <c r="BD376" i="39"/>
  <c r="BD379" i="39"/>
  <c r="BD371" i="39"/>
  <c r="BD384" i="39"/>
  <c r="BD383" i="39"/>
  <c r="BD385" i="39"/>
  <c r="AC384" i="39"/>
  <c r="AC385" i="39"/>
  <c r="AC377" i="39"/>
  <c r="AC388" i="39"/>
  <c r="AC376" i="39"/>
  <c r="AC379" i="39"/>
  <c r="AC371" i="39"/>
  <c r="K379" i="39"/>
  <c r="K378" i="39"/>
  <c r="K374" i="39"/>
  <c r="K385" i="39"/>
  <c r="K375" i="39"/>
  <c r="K376" i="39"/>
  <c r="V383" i="39"/>
  <c r="V386" i="39"/>
  <c r="V387" i="39"/>
  <c r="V377" i="39"/>
  <c r="V378" i="39"/>
  <c r="V371" i="39"/>
  <c r="BG388" i="39"/>
  <c r="BG376" i="39"/>
  <c r="BG375" i="39"/>
  <c r="BG371" i="39"/>
  <c r="BG384" i="39"/>
  <c r="BG385" i="39"/>
  <c r="BG383" i="39"/>
  <c r="I389" i="39"/>
  <c r="I388" i="39"/>
  <c r="B43" i="31"/>
  <c r="C20" i="34"/>
  <c r="W18" i="23"/>
  <c r="W20" i="23" s="1"/>
  <c r="W19" i="23"/>
  <c r="F14" i="23"/>
  <c r="G20" i="23"/>
  <c r="H42" i="23"/>
  <c r="M51" i="22"/>
  <c r="M54" i="22" s="1"/>
  <c r="N55" i="22" s="1"/>
  <c r="P52" i="22"/>
  <c r="P54" i="22" s="1"/>
  <c r="Q55" i="22" s="1"/>
  <c r="Q53" i="22"/>
  <c r="Q54" i="22" s="1"/>
  <c r="R55" i="22" s="1"/>
  <c r="P13" i="23"/>
  <c r="Q22" i="3"/>
  <c r="M22" i="3"/>
  <c r="N113" i="9"/>
  <c r="W113" i="9" s="1"/>
  <c r="J109" i="9"/>
  <c r="U18" i="23"/>
  <c r="U20" i="23" s="1"/>
  <c r="U19" i="23"/>
  <c r="T37" i="23"/>
  <c r="C117" i="9"/>
  <c r="S37" i="23"/>
  <c r="S18" i="23"/>
  <c r="S20" i="23" s="1"/>
  <c r="S19" i="23"/>
  <c r="EO40" i="20"/>
  <c r="EJ40" i="20"/>
  <c r="EJ43" i="20" s="1"/>
  <c r="EJ61" i="20" s="1"/>
  <c r="EJ64" i="20" s="1"/>
  <c r="EE50" i="20"/>
  <c r="EE53" i="20" s="1"/>
  <c r="EE63" i="20" s="1"/>
  <c r="EG40" i="20"/>
  <c r="EG43" i="20" s="1"/>
  <c r="EF26" i="20"/>
  <c r="AF62" i="22"/>
  <c r="U383" i="39"/>
  <c r="U386" i="39"/>
  <c r="AB384" i="39"/>
  <c r="AB385" i="39"/>
  <c r="AB383" i="39"/>
  <c r="AB388" i="39"/>
  <c r="AB376" i="39"/>
  <c r="AB375" i="39"/>
  <c r="AB371" i="39"/>
  <c r="BP378" i="39"/>
  <c r="BP375" i="39"/>
  <c r="BP387" i="39"/>
  <c r="BP386" i="39"/>
  <c r="BP374" i="39"/>
  <c r="BP377" i="39"/>
  <c r="BI385" i="39"/>
  <c r="BI375" i="39"/>
  <c r="BI374" i="39"/>
  <c r="BI379" i="39"/>
  <c r="BI384" i="39"/>
  <c r="BI376" i="39"/>
  <c r="BB383" i="39"/>
  <c r="BB388" i="39"/>
  <c r="BB376" i="39"/>
  <c r="BB387" i="39"/>
  <c r="BB377" i="39"/>
  <c r="BB384" i="39"/>
  <c r="BB371" i="39"/>
  <c r="T386" i="39"/>
  <c r="T374" i="39"/>
  <c r="T387" i="39"/>
  <c r="T378" i="39"/>
  <c r="T379" i="39"/>
  <c r="T377" i="39"/>
  <c r="BR387" i="39"/>
  <c r="BR377" i="39"/>
  <c r="BR374" i="39"/>
  <c r="BR371" i="39"/>
  <c r="BR383" i="39"/>
  <c r="BR388" i="39"/>
  <c r="BR376" i="39"/>
  <c r="AR384" i="39"/>
  <c r="AR379" i="39"/>
  <c r="AR375" i="39"/>
  <c r="AS427" i="42"/>
  <c r="AR427" i="42"/>
  <c r="AZ384" i="39"/>
  <c r="AZ385" i="39"/>
  <c r="AZ379" i="39"/>
  <c r="AZ388" i="39"/>
  <c r="AZ376" i="39"/>
  <c r="AZ387" i="39"/>
  <c r="AZ371" i="39"/>
  <c r="Z383" i="39"/>
  <c r="Z386" i="39"/>
  <c r="Z378" i="39"/>
  <c r="Z387" i="39"/>
  <c r="Z377" i="39"/>
  <c r="Z388" i="39"/>
  <c r="Z371" i="39"/>
  <c r="AC394" i="39"/>
  <c r="AC395" i="39"/>
  <c r="AU110" i="38"/>
  <c r="AU113" i="38"/>
  <c r="AU101" i="38"/>
  <c r="AU106" i="38"/>
  <c r="AU103" i="38"/>
  <c r="AU111" i="38"/>
  <c r="AU114" i="38"/>
  <c r="AU104" i="38"/>
  <c r="AU115" i="38"/>
  <c r="F42" i="23"/>
  <c r="I42" i="23"/>
  <c r="M19" i="23"/>
  <c r="M42" i="23" s="1"/>
  <c r="M18" i="23"/>
  <c r="O42" i="23"/>
  <c r="P42" i="23"/>
  <c r="Q19" i="23"/>
  <c r="Q42" i="23" s="1"/>
  <c r="Q18" i="23"/>
  <c r="P22" i="3"/>
  <c r="K22" i="3"/>
  <c r="C111" i="9"/>
  <c r="C107" i="9"/>
  <c r="V19" i="23"/>
  <c r="V18" i="23"/>
  <c r="V20" i="23" s="1"/>
  <c r="C120" i="9"/>
  <c r="EI46" i="20"/>
  <c r="EI26" i="20"/>
  <c r="FH26" i="20" s="1"/>
  <c r="FH30" i="20" s="1"/>
  <c r="EQ40" i="20"/>
  <c r="FM40" i="20" s="1"/>
  <c r="FM43" i="20" s="1"/>
  <c r="X14" i="28" s="1"/>
  <c r="EN40" i="20"/>
  <c r="BG206" i="42"/>
  <c r="BH384" i="39"/>
  <c r="BH379" i="39"/>
  <c r="BH387" i="39"/>
  <c r="BH388" i="39"/>
  <c r="BH376" i="39"/>
  <c r="BH375" i="39"/>
  <c r="BH371" i="39"/>
  <c r="W387" i="39"/>
  <c r="W377" i="39"/>
  <c r="W378" i="39"/>
  <c r="W371" i="39"/>
  <c r="BS378" i="39"/>
  <c r="BS383" i="39"/>
  <c r="BS375" i="39"/>
  <c r="BS386" i="39"/>
  <c r="BS374" i="39"/>
  <c r="BS385" i="39"/>
  <c r="G346" i="39"/>
  <c r="BA345" i="39"/>
  <c r="AZ345" i="39"/>
  <c r="AS345" i="39"/>
  <c r="BG345" i="39"/>
  <c r="AF72" i="38"/>
  <c r="BJ72" i="38"/>
  <c r="G72" i="38"/>
  <c r="BM122" i="38"/>
  <c r="BM125" i="38"/>
  <c r="BM126" i="38"/>
  <c r="BM121" i="38"/>
  <c r="W72" i="38"/>
  <c r="BS334" i="42"/>
  <c r="BS336" i="42"/>
  <c r="BS332" i="42"/>
  <c r="BS327" i="42"/>
  <c r="BS326" i="42"/>
  <c r="BS323" i="42"/>
  <c r="CR25" i="43"/>
  <c r="BH144" i="42"/>
  <c r="BI31" i="39"/>
  <c r="DO306" i="39" s="1"/>
  <c r="BP345" i="39"/>
  <c r="BD345" i="39"/>
  <c r="BK345" i="39"/>
  <c r="BB345" i="39"/>
  <c r="BS345" i="39"/>
  <c r="AX345" i="39"/>
  <c r="AR345" i="39"/>
  <c r="BC345" i="39"/>
  <c r="AH72" i="38"/>
  <c r="O325" i="42"/>
  <c r="O323" i="42"/>
  <c r="O336" i="42"/>
  <c r="O326" i="42"/>
  <c r="O320" i="42"/>
  <c r="BR328" i="42"/>
  <c r="BR325" i="42"/>
  <c r="BR333" i="42"/>
  <c r="BR336" i="42"/>
  <c r="BR326" i="42"/>
  <c r="BR337" i="42"/>
  <c r="BR320" i="42"/>
  <c r="BR334" i="42"/>
  <c r="BR324" i="42"/>
  <c r="BR327" i="42"/>
  <c r="AZ337" i="42"/>
  <c r="AZ325" i="42"/>
  <c r="AZ326" i="42"/>
  <c r="AZ320" i="42"/>
  <c r="AZ335" i="42"/>
  <c r="AZ323" i="42"/>
  <c r="AZ334" i="42"/>
  <c r="V355" i="39"/>
  <c r="BF356" i="39"/>
  <c r="Q72" i="38"/>
  <c r="AG355" i="39"/>
  <c r="AG354" i="39"/>
  <c r="BQ356" i="39"/>
  <c r="AU344" i="42"/>
  <c r="AU343" i="42"/>
  <c r="O343" i="42"/>
  <c r="O344" i="42"/>
  <c r="O50" i="42"/>
  <c r="O29" i="42"/>
  <c r="O124" i="42"/>
  <c r="O71" i="42"/>
  <c r="W132" i="41"/>
  <c r="W72" i="41"/>
  <c r="W28" i="41"/>
  <c r="P304" i="42"/>
  <c r="P303" i="42"/>
  <c r="AD389" i="42"/>
  <c r="AD316" i="39"/>
  <c r="AD50" i="38"/>
  <c r="AD66" i="38" s="1"/>
  <c r="JF33" i="43"/>
  <c r="IY31" i="43"/>
  <c r="JH31" i="43"/>
  <c r="JG33" i="43"/>
  <c r="JA31" i="43"/>
  <c r="JA34" i="43"/>
  <c r="JH34" i="43"/>
  <c r="IY30" i="43"/>
  <c r="JF27" i="43"/>
  <c r="JC26" i="43"/>
  <c r="JD23" i="43"/>
  <c r="JC22" i="43"/>
  <c r="JL27" i="43"/>
  <c r="JG23" i="43"/>
  <c r="JG19" i="43"/>
  <c r="JJ31" i="43"/>
  <c r="JL26" i="43"/>
  <c r="JD22" i="43"/>
  <c r="JI26" i="43"/>
  <c r="JF19" i="43"/>
  <c r="JC17" i="43"/>
  <c r="JA26" i="43"/>
  <c r="JD19" i="43"/>
  <c r="JC6" i="43"/>
  <c r="JC4" i="43"/>
  <c r="IZ26" i="43"/>
  <c r="JJ19" i="43"/>
  <c r="JJ6" i="43"/>
  <c r="JK3" i="43"/>
  <c r="JJ32" i="43"/>
  <c r="JK21" i="43"/>
  <c r="JF5" i="43"/>
  <c r="IY28" i="43"/>
  <c r="JA22" i="43"/>
  <c r="JK5" i="43"/>
  <c r="JA3" i="43"/>
  <c r="JI17" i="43"/>
  <c r="JA4" i="43"/>
  <c r="JE17" i="43"/>
  <c r="JI6" i="43"/>
  <c r="JL21" i="43"/>
  <c r="JE26" i="43"/>
  <c r="JE4" i="43"/>
  <c r="JH22" i="43"/>
  <c r="JL2" i="43"/>
  <c r="JG7" i="43"/>
  <c r="JG18" i="43"/>
  <c r="JG20" i="43"/>
  <c r="JJ21" i="43"/>
  <c r="JL3" i="43"/>
  <c r="IZ25" i="43"/>
  <c r="JL32" i="43"/>
  <c r="JG29" i="43"/>
  <c r="JK34" i="43"/>
  <c r="JC21" i="43"/>
  <c r="JC32" i="43"/>
  <c r="JG34" i="43"/>
  <c r="JC2" i="43"/>
  <c r="JI20" i="43"/>
  <c r="JF24" i="43"/>
  <c r="JF22" i="43"/>
  <c r="JK2" i="43"/>
  <c r="JL7" i="43"/>
  <c r="JD5" i="43"/>
  <c r="IZ20" i="43"/>
  <c r="JD24" i="43"/>
  <c r="JI25" i="43"/>
  <c r="JJ26" i="43"/>
  <c r="JF34" i="43"/>
  <c r="JI33" i="43"/>
  <c r="JE21" i="43"/>
  <c r="JE25" i="43"/>
  <c r="IZ34" i="43"/>
  <c r="JH18" i="43"/>
  <c r="IY24" i="43"/>
  <c r="JG25" i="43"/>
  <c r="JE32" i="43"/>
  <c r="IZ33" i="43"/>
  <c r="JG27" i="43"/>
  <c r="JK30" i="43"/>
  <c r="IY33" i="43"/>
  <c r="JI30" i="43"/>
  <c r="JD33" i="43"/>
  <c r="JC33" i="43"/>
  <c r="JI31" i="43"/>
  <c r="JA27" i="43"/>
  <c r="IY26" i="43"/>
  <c r="IZ23" i="43"/>
  <c r="IY22" i="43"/>
  <c r="JE27" i="43"/>
  <c r="JC23" i="43"/>
  <c r="JC19" i="43"/>
  <c r="JC30" i="43"/>
  <c r="JD26" i="43"/>
  <c r="JH19" i="43"/>
  <c r="JE23" i="43"/>
  <c r="JA19" i="43"/>
  <c r="IY17" i="43"/>
  <c r="JL25" i="43"/>
  <c r="JH17" i="43"/>
  <c r="IY6" i="43"/>
  <c r="IY4" i="43"/>
  <c r="JK25" i="43"/>
  <c r="JL17" i="43"/>
  <c r="JF6" i="43"/>
  <c r="JG3" i="43"/>
  <c r="JA28" i="43"/>
  <c r="IY20" i="43"/>
  <c r="JL4" i="43"/>
  <c r="JD27" i="43"/>
  <c r="JF20" i="43"/>
  <c r="JC5" i="43"/>
  <c r="JK24" i="43"/>
  <c r="JC7" i="43"/>
  <c r="JE3" i="43"/>
  <c r="JG5" i="43"/>
  <c r="JE19" i="43"/>
  <c r="IZ31" i="43"/>
  <c r="JF2" i="43"/>
  <c r="IY5" i="43"/>
  <c r="JE20" i="43"/>
  <c r="IY2" i="43"/>
  <c r="JA18" i="43"/>
  <c r="JA20" i="43"/>
  <c r="JH21" i="43"/>
  <c r="JD28" i="43"/>
  <c r="JK32" i="43"/>
  <c r="JJ29" i="43"/>
  <c r="JC34" i="43"/>
  <c r="JD2" i="43"/>
  <c r="JL18" i="43"/>
  <c r="JD3" i="43"/>
  <c r="JF32" i="43"/>
  <c r="JE33" i="43"/>
  <c r="JA29" i="43"/>
  <c r="JA2" i="43"/>
  <c r="IY7" i="43"/>
  <c r="JK20" i="43"/>
  <c r="JF21" i="43"/>
  <c r="IZ3" i="43"/>
  <c r="IZ28" i="43"/>
  <c r="JI29" i="43"/>
  <c r="JL34" i="43"/>
  <c r="JE2" i="43"/>
  <c r="JL20" i="43"/>
  <c r="JI24" i="43"/>
  <c r="JL28" i="43"/>
  <c r="JJ2" i="43"/>
  <c r="JJ18" i="43"/>
  <c r="JH20" i="43"/>
  <c r="JH3" i="43"/>
  <c r="JH28" i="43"/>
  <c r="JL29" i="43"/>
  <c r="JG31" i="43"/>
  <c r="JC27" i="43"/>
  <c r="JE30" i="43"/>
  <c r="JL31" i="43"/>
  <c r="JD30" i="43"/>
  <c r="JE31" i="43"/>
  <c r="JD31" i="43"/>
  <c r="JK29" i="43"/>
  <c r="JK26" i="43"/>
  <c r="JL23" i="43"/>
  <c r="JK22" i="43"/>
  <c r="JL33" i="43"/>
  <c r="IZ27" i="43"/>
  <c r="IY23" i="43"/>
  <c r="IY19" i="43"/>
  <c r="JF29" i="43"/>
  <c r="JF23" i="43"/>
  <c r="JA32" i="43"/>
  <c r="JI22" i="43"/>
  <c r="JK17" i="43"/>
  <c r="IY32" i="43"/>
  <c r="JA23" i="43"/>
  <c r="JK6" i="43"/>
  <c r="JK4" i="43"/>
  <c r="JJ33" i="43"/>
  <c r="IY25" i="43"/>
  <c r="JF17" i="43"/>
  <c r="JJ4" i="43"/>
  <c r="JC3" i="43"/>
  <c r="JD25" i="43"/>
  <c r="IZ19" i="43"/>
  <c r="JE6" i="43"/>
  <c r="JD4" i="43"/>
  <c r="JC25" i="43"/>
  <c r="JI19" i="43"/>
  <c r="JL6" i="43"/>
  <c r="JI4" i="43"/>
  <c r="IZ22" i="43"/>
  <c r="JA6" i="43"/>
  <c r="IY21" i="43"/>
  <c r="JH4" i="43"/>
  <c r="IZ17" i="43"/>
  <c r="JI7" i="43"/>
  <c r="JD18" i="43"/>
  <c r="JA5" i="43"/>
  <c r="JD20" i="43"/>
  <c r="JA24" i="43"/>
  <c r="JF25" i="43"/>
  <c r="JC28" i="43"/>
  <c r="JJ22" i="43"/>
  <c r="JH29" i="43"/>
  <c r="JF30" i="43"/>
  <c r="JG2" i="43"/>
  <c r="IZ21" i="43"/>
  <c r="JE29" i="43"/>
  <c r="JI18" i="43"/>
  <c r="JA21" i="43"/>
  <c r="JI28" i="43"/>
  <c r="JA33" i="43"/>
  <c r="JI2" i="43"/>
  <c r="JF7" i="43"/>
  <c r="IZ18" i="43"/>
  <c r="JI21" i="43"/>
  <c r="JH32" i="43"/>
  <c r="JD29" i="43"/>
  <c r="JD34" i="43"/>
  <c r="JA7" i="43"/>
  <c r="JI5" i="43"/>
  <c r="IZ24" i="43"/>
  <c r="JD32" i="43"/>
  <c r="JD7" i="43"/>
  <c r="JL5" i="43"/>
  <c r="JJ20" i="43"/>
  <c r="JJ25" i="43"/>
  <c r="JK28" i="43"/>
  <c r="JI34" i="43"/>
  <c r="BG231" i="42"/>
  <c r="BG50" i="38" s="1"/>
  <c r="BG66" i="38" s="1"/>
  <c r="BG117" i="42"/>
  <c r="BG118" i="42" s="1"/>
  <c r="BG244" i="42"/>
  <c r="BG116" i="42"/>
  <c r="BG115" i="42"/>
  <c r="BG114" i="42"/>
  <c r="BQ244" i="42"/>
  <c r="BQ115" i="42"/>
  <c r="BQ231" i="42"/>
  <c r="BQ116" i="42"/>
  <c r="BQ117" i="42"/>
  <c r="BQ118" i="42" s="1"/>
  <c r="BQ114" i="42"/>
  <c r="AG344" i="39"/>
  <c r="Q344" i="39"/>
  <c r="Q345" i="39" s="1"/>
  <c r="AD344" i="39"/>
  <c r="H344" i="39"/>
  <c r="H345" i="39" s="1"/>
  <c r="P344" i="39"/>
  <c r="P345" i="39" s="1"/>
  <c r="G344" i="39"/>
  <c r="G345" i="39" s="1"/>
  <c r="O344" i="39"/>
  <c r="O345" i="39" s="1"/>
  <c r="J344" i="39"/>
  <c r="J345" i="39" s="1"/>
  <c r="AC344" i="39"/>
  <c r="M344" i="39"/>
  <c r="M345" i="39" s="1"/>
  <c r="X344" i="39"/>
  <c r="X345" i="39" s="1"/>
  <c r="AF344" i="39"/>
  <c r="AF345" i="39" s="1"/>
  <c r="K344" i="39"/>
  <c r="K345" i="39" s="1"/>
  <c r="AH344" i="39"/>
  <c r="AH345" i="39" s="1"/>
  <c r="W344" i="39"/>
  <c r="W345" i="39" s="1"/>
  <c r="Y344" i="39"/>
  <c r="Y345" i="39" s="1"/>
  <c r="I344" i="39"/>
  <c r="I345" i="39" s="1"/>
  <c r="S344" i="39"/>
  <c r="S345" i="39" s="1"/>
  <c r="AA344" i="39"/>
  <c r="AA345" i="39" s="1"/>
  <c r="AB344" i="39"/>
  <c r="AB345" i="39" s="1"/>
  <c r="L344" i="39"/>
  <c r="L345" i="39" s="1"/>
  <c r="AE344" i="39"/>
  <c r="AE345" i="39" s="1"/>
  <c r="U344" i="39"/>
  <c r="U345" i="39" s="1"/>
  <c r="AI344" i="39"/>
  <c r="AI345" i="39" s="1"/>
  <c r="N344" i="39"/>
  <c r="N345" i="39" s="1"/>
  <c r="V344" i="39"/>
  <c r="R344" i="39"/>
  <c r="R345" i="39" s="1"/>
  <c r="Z344" i="39"/>
  <c r="Z345" i="39" s="1"/>
  <c r="T344" i="39"/>
  <c r="T345" i="39" s="1"/>
  <c r="BD115" i="42"/>
  <c r="BD244" i="42"/>
  <c r="BD231" i="42"/>
  <c r="BD50" i="38" s="1"/>
  <c r="BD66" i="38" s="1"/>
  <c r="BD116" i="42"/>
  <c r="BD117" i="42"/>
  <c r="BD118" i="42" s="1"/>
  <c r="BD114" i="42"/>
  <c r="AV114" i="42"/>
  <c r="AP139" i="42"/>
  <c r="AP137" i="42"/>
  <c r="AV231" i="42"/>
  <c r="AV50" i="38" s="1"/>
  <c r="AV66" i="38" s="1"/>
  <c r="AP127" i="42"/>
  <c r="AQ17" i="39" s="1"/>
  <c r="CE292" i="39" s="1"/>
  <c r="AP136" i="42"/>
  <c r="AP141" i="42"/>
  <c r="AV244" i="42"/>
  <c r="AV115" i="42"/>
  <c r="AP144" i="42"/>
  <c r="AP135" i="42"/>
  <c r="AP145" i="42"/>
  <c r="AP133" i="42"/>
  <c r="AV116" i="42"/>
  <c r="AV117" i="42"/>
  <c r="AV118" i="42" s="1"/>
  <c r="AP131" i="42"/>
  <c r="AP143" i="42"/>
  <c r="AP132" i="42"/>
  <c r="M126" i="38"/>
  <c r="BL356" i="39"/>
  <c r="K121" i="38"/>
  <c r="K72" i="38" s="1"/>
  <c r="AZ121" i="38"/>
  <c r="AZ125" i="38"/>
  <c r="BO122" i="38"/>
  <c r="H354" i="39"/>
  <c r="K335" i="42"/>
  <c r="K333" i="42"/>
  <c r="K328" i="42"/>
  <c r="I334" i="42"/>
  <c r="AY97" i="38"/>
  <c r="P72" i="38"/>
  <c r="T97" i="38"/>
  <c r="R72" i="38"/>
  <c r="AZ344" i="42"/>
  <c r="AZ294" i="42" s="1"/>
  <c r="BT294" i="42"/>
  <c r="AS360" i="42" s="1"/>
  <c r="IO2" i="43" s="1"/>
  <c r="BT296" i="42"/>
  <c r="AS368" i="42" s="1"/>
  <c r="AQ369" i="42" s="1"/>
  <c r="BT293" i="42"/>
  <c r="AS359" i="42" s="1"/>
  <c r="IN2" i="43" s="1"/>
  <c r="BD83" i="38"/>
  <c r="BI343" i="42"/>
  <c r="BI294" i="42" s="1"/>
  <c r="AD344" i="42"/>
  <c r="L83" i="38"/>
  <c r="BO343" i="42"/>
  <c r="G328" i="42"/>
  <c r="BM338" i="42"/>
  <c r="Z81" i="38"/>
  <c r="BP78" i="41"/>
  <c r="AQ294" i="42"/>
  <c r="BJ338" i="42"/>
  <c r="AU348" i="42"/>
  <c r="M347" i="42"/>
  <c r="I343" i="42"/>
  <c r="I344" i="42"/>
  <c r="O92" i="42"/>
  <c r="AM132" i="41"/>
  <c r="AM28" i="41"/>
  <c r="AM50" i="41"/>
  <c r="AM72" i="41"/>
  <c r="AM94" i="41"/>
  <c r="X50" i="38"/>
  <c r="X66" i="38" s="1"/>
  <c r="X389" i="42"/>
  <c r="AA94" i="41"/>
  <c r="AA50" i="41"/>
  <c r="AA72" i="41"/>
  <c r="AR81" i="38"/>
  <c r="AR82" i="38"/>
  <c r="K72" i="41"/>
  <c r="K116" i="41"/>
  <c r="K28" i="41"/>
  <c r="K94" i="41"/>
  <c r="K50" i="41"/>
  <c r="AM132" i="42"/>
  <c r="AJ87" i="42"/>
  <c r="AM66" i="42"/>
  <c r="AJ52" i="42"/>
  <c r="AM56" i="42"/>
  <c r="AM87" i="42"/>
  <c r="AJ31" i="42"/>
  <c r="AJ97" i="42"/>
  <c r="AM52" i="42"/>
  <c r="AM15" i="42"/>
  <c r="AJ57" i="42"/>
  <c r="AJ73" i="42"/>
  <c r="AM108" i="42"/>
  <c r="AJ15" i="42"/>
  <c r="AM99" i="42"/>
  <c r="AJ76" i="42"/>
  <c r="AM55" i="42"/>
  <c r="AJ99" i="42"/>
  <c r="AJ77" i="42"/>
  <c r="AJ54" i="42"/>
  <c r="AJ96" i="42"/>
  <c r="AM34" i="42"/>
  <c r="AJ13" i="42"/>
  <c r="AM57" i="42"/>
  <c r="AJ34" i="42"/>
  <c r="AM96" i="42"/>
  <c r="AM13" i="42"/>
  <c r="AJ45" i="42"/>
  <c r="BC28" i="41"/>
  <c r="BC132" i="41"/>
  <c r="BC72" i="41"/>
  <c r="AO33" i="43"/>
  <c r="AW33" i="43"/>
  <c r="AR26" i="43"/>
  <c r="AR23" i="43"/>
  <c r="AU27" i="43"/>
  <c r="AP19" i="43"/>
  <c r="AP23" i="43"/>
  <c r="AP17" i="43"/>
  <c r="AR6" i="43"/>
  <c r="AV4" i="43"/>
  <c r="AO26" i="43"/>
  <c r="AR16" i="43"/>
  <c r="AQ12" i="43"/>
  <c r="AQ6" i="43"/>
  <c r="AQ4" i="43"/>
  <c r="AR3" i="43"/>
  <c r="AQ17" i="43"/>
  <c r="AO6" i="43"/>
  <c r="BB4" i="43"/>
  <c r="AP27" i="43"/>
  <c r="AP10" i="43"/>
  <c r="AT6" i="43"/>
  <c r="AS4" i="43"/>
  <c r="AO22" i="43"/>
  <c r="AZ7" i="43"/>
  <c r="BB3" i="43"/>
  <c r="AU15" i="43"/>
  <c r="AU7" i="43"/>
  <c r="AO4" i="43"/>
  <c r="AR7" i="43"/>
  <c r="AR24" i="43"/>
  <c r="BC3" i="43"/>
  <c r="AX6" i="43"/>
  <c r="AU2" i="43"/>
  <c r="AP2" i="43"/>
  <c r="AT9" i="43"/>
  <c r="BE2" i="43"/>
  <c r="AV7" i="43"/>
  <c r="AW5" i="43"/>
  <c r="AO11" i="43"/>
  <c r="AU25" i="43"/>
  <c r="AU26" i="43"/>
  <c r="AV2" i="43"/>
  <c r="BE5" i="43"/>
  <c r="AZ28" i="43"/>
  <c r="AR2" i="43"/>
  <c r="AP5" i="43"/>
  <c r="AP28" i="43"/>
  <c r="AU32" i="43"/>
  <c r="AZ2" i="43"/>
  <c r="AY7" i="43"/>
  <c r="AX18" i="43"/>
  <c r="AO20" i="43"/>
  <c r="AU21" i="43"/>
  <c r="AQ25" i="43"/>
  <c r="AQ28" i="43"/>
  <c r="AQ9" i="43"/>
  <c r="BB7" i="43"/>
  <c r="AR20" i="43"/>
  <c r="AO24" i="43"/>
  <c r="BC32" i="43"/>
  <c r="AQ2" i="43"/>
  <c r="AO13" i="43"/>
  <c r="AQ26" i="43"/>
  <c r="AU33" i="43"/>
  <c r="AO30" i="43"/>
  <c r="AQ29" i="43"/>
  <c r="AO23" i="43"/>
  <c r="AR19" i="43"/>
  <c r="AU23" i="43"/>
  <c r="AX27" i="43"/>
  <c r="AX22" i="43"/>
  <c r="AR14" i="43"/>
  <c r="BD6" i="43"/>
  <c r="AN6" i="43"/>
  <c r="AR4" i="43"/>
  <c r="AU24" i="43"/>
  <c r="AU14" i="43"/>
  <c r="AU10" i="43"/>
  <c r="BC6" i="43"/>
  <c r="BC4" i="43"/>
  <c r="BD3" i="43"/>
  <c r="AN3" i="43"/>
  <c r="AU16" i="43"/>
  <c r="BD5" i="43"/>
  <c r="AT4" i="43"/>
  <c r="AP22" i="43"/>
  <c r="BC5" i="43"/>
  <c r="AX3" i="43"/>
  <c r="AP14" i="43"/>
  <c r="AP6" i="43"/>
  <c r="AQ23" i="43"/>
  <c r="AQ13" i="43"/>
  <c r="BA6" i="43"/>
  <c r="AU3" i="43"/>
  <c r="AS6" i="43"/>
  <c r="AP16" i="43"/>
  <c r="AW2" i="43"/>
  <c r="AT3" i="43"/>
  <c r="AQ5" i="43"/>
  <c r="AQ11" i="43"/>
  <c r="AO9" i="43"/>
  <c r="AT7" i="43"/>
  <c r="AX15" i="43"/>
  <c r="AP13" i="43"/>
  <c r="AX21" i="43"/>
  <c r="AX25" i="43"/>
  <c r="AX29" i="43"/>
  <c r="AQ7" i="43"/>
  <c r="AX13" i="43"/>
  <c r="AQ22" i="43"/>
  <c r="AS2" i="43"/>
  <c r="AX11" i="43"/>
  <c r="AO32" i="43"/>
  <c r="BC29" i="43"/>
  <c r="AY2" i="43"/>
  <c r="AN7" i="43"/>
  <c r="AQ18" i="43"/>
  <c r="AX20" i="43"/>
  <c r="AX24" i="43"/>
  <c r="AR25" i="43"/>
  <c r="AW32" i="43"/>
  <c r="AT2" i="43"/>
  <c r="AW7" i="43"/>
  <c r="AW11" i="43"/>
  <c r="AS3" i="43"/>
  <c r="AQ34" i="43"/>
  <c r="AX7" i="43"/>
  <c r="AP24" i="43"/>
  <c r="AR34" i="43"/>
  <c r="AQ33" i="43"/>
  <c r="AW27" i="43"/>
  <c r="AR22" i="43"/>
  <c r="AR33" i="43"/>
  <c r="AR29" i="43"/>
  <c r="AP26" i="43"/>
  <c r="AQ19" i="43"/>
  <c r="AR12" i="43"/>
  <c r="AZ6" i="43"/>
  <c r="BD4" i="43"/>
  <c r="AN4" i="43"/>
  <c r="AO19" i="43"/>
  <c r="AQ14" i="43"/>
  <c r="AQ10" i="43"/>
  <c r="AY6" i="43"/>
  <c r="AY4" i="43"/>
  <c r="AZ3" i="43"/>
  <c r="AP34" i="43"/>
  <c r="AO14" i="43"/>
  <c r="BE6" i="43"/>
  <c r="AV5" i="43"/>
  <c r="AY3" i="43"/>
  <c r="AU13" i="43"/>
  <c r="AU5" i="43"/>
  <c r="AP3" i="43"/>
  <c r="AR13" i="43"/>
  <c r="AZ5" i="43"/>
  <c r="AU20" i="43"/>
  <c r="AO10" i="43"/>
  <c r="AY5" i="43"/>
  <c r="AU18" i="43"/>
  <c r="BB2" i="43"/>
  <c r="AP12" i="43"/>
  <c r="AU17" i="43"/>
  <c r="BC2" i="43"/>
  <c r="AX4" i="43"/>
  <c r="AX14" i="43"/>
  <c r="BD2" i="43"/>
  <c r="BE7" i="43"/>
  <c r="AP18" i="43"/>
  <c r="AP20" i="43"/>
  <c r="AQ24" i="43"/>
  <c r="BC28" i="43"/>
  <c r="AO34" i="43"/>
  <c r="AP15" i="43"/>
  <c r="AP21" i="43"/>
  <c r="AP29" i="43"/>
  <c r="BD7" i="43"/>
  <c r="AR21" i="43"/>
  <c r="AX32" i="43"/>
  <c r="AO29" i="43"/>
  <c r="AP7" i="43"/>
  <c r="AO15" i="43"/>
  <c r="AX5" i="43"/>
  <c r="AQ20" i="43"/>
  <c r="AO3" i="43"/>
  <c r="AO28" i="43"/>
  <c r="AZ32" i="43"/>
  <c r="BA2" i="43"/>
  <c r="AT5" i="43"/>
  <c r="AQ21" i="43"/>
  <c r="AO16" i="43"/>
  <c r="AR9" i="43"/>
  <c r="AS7" i="43"/>
  <c r="AW28" i="43"/>
  <c r="BC33" i="43"/>
  <c r="I72" i="38"/>
  <c r="V122" i="38"/>
  <c r="V72" i="38" s="1"/>
  <c r="O72" i="38"/>
  <c r="BO97" i="38"/>
  <c r="Y72" i="38"/>
  <c r="K325" i="42"/>
  <c r="K337" i="42"/>
  <c r="T122" i="38"/>
  <c r="T72" i="38" s="1"/>
  <c r="AE72" i="38"/>
  <c r="BC141" i="42"/>
  <c r="AW294" i="42"/>
  <c r="AX294" i="42"/>
  <c r="BT289" i="42"/>
  <c r="AS365" i="42" s="1"/>
  <c r="IS2" i="43" s="1"/>
  <c r="BT291" i="42"/>
  <c r="AS367" i="42" s="1"/>
  <c r="L329" i="42"/>
  <c r="BD30" i="39"/>
  <c r="DE305" i="39" s="1"/>
  <c r="AD343" i="42"/>
  <c r="AD319" i="42"/>
  <c r="AT294" i="42"/>
  <c r="AV83" i="38"/>
  <c r="BO344" i="42"/>
  <c r="Z83" i="38"/>
  <c r="Y344" i="42"/>
  <c r="Y343" i="42"/>
  <c r="BS304" i="42"/>
  <c r="BS294" i="42" s="1"/>
  <c r="AE304" i="42"/>
  <c r="AE305" i="42"/>
  <c r="BC305" i="42"/>
  <c r="S304" i="42"/>
  <c r="S305" i="42"/>
  <c r="S50" i="38"/>
  <c r="S66" i="38" s="1"/>
  <c r="S389" i="42"/>
  <c r="Q305" i="42"/>
  <c r="Q303" i="42"/>
  <c r="BA305" i="42"/>
  <c r="AX82" i="38"/>
  <c r="AX81" i="38"/>
  <c r="T125" i="38"/>
  <c r="T73" i="38" s="1"/>
  <c r="BB294" i="42"/>
  <c r="BJ294" i="42"/>
  <c r="BG294" i="42"/>
  <c r="AS342" i="42"/>
  <c r="AU319" i="42"/>
  <c r="M343" i="42"/>
  <c r="M344" i="42"/>
  <c r="AB343" i="42"/>
  <c r="AB344" i="42"/>
  <c r="O303" i="42"/>
  <c r="O304" i="42"/>
  <c r="AY305" i="42"/>
  <c r="T50" i="42"/>
  <c r="T92" i="42"/>
  <c r="T124" i="42"/>
  <c r="T71" i="42"/>
  <c r="I116" i="41"/>
  <c r="I72" i="41"/>
  <c r="I50" i="41"/>
  <c r="I304" i="42"/>
  <c r="I303" i="42"/>
  <c r="AI72" i="41"/>
  <c r="AI28" i="41"/>
  <c r="AI116" i="41"/>
  <c r="AI50" i="41"/>
  <c r="BI231" i="42"/>
  <c r="BI50" i="38" s="1"/>
  <c r="BI66" i="38" s="1"/>
  <c r="BI116" i="42"/>
  <c r="BI117" i="42"/>
  <c r="BI118" i="42" s="1"/>
  <c r="BI114" i="42"/>
  <c r="BI244" i="42"/>
  <c r="BI115" i="42"/>
  <c r="AY25" i="43"/>
  <c r="AY20" i="43"/>
  <c r="H344" i="42"/>
  <c r="H343" i="42"/>
  <c r="BF343" i="42"/>
  <c r="BF344" i="42"/>
  <c r="AC305" i="42"/>
  <c r="AH343" i="42"/>
  <c r="AH344" i="42"/>
  <c r="K424" i="42"/>
  <c r="AV20" i="43"/>
  <c r="BS116" i="42"/>
  <c r="BS114" i="42"/>
  <c r="BS244" i="42"/>
  <c r="BS115" i="42"/>
  <c r="BS231" i="42"/>
  <c r="BS117" i="42"/>
  <c r="BS118" i="42" s="1"/>
  <c r="BM116" i="42"/>
  <c r="BM115" i="42"/>
  <c r="BM244" i="42"/>
  <c r="BM114" i="42"/>
  <c r="BM117" i="42"/>
  <c r="BM118" i="42" s="1"/>
  <c r="BM231" i="42"/>
  <c r="AQ297" i="42"/>
  <c r="AF343" i="42"/>
  <c r="AF344" i="42"/>
  <c r="R343" i="42"/>
  <c r="R344" i="42"/>
  <c r="AV25" i="43"/>
  <c r="AG116" i="42"/>
  <c r="AG117" i="42"/>
  <c r="AG118" i="42" s="1"/>
  <c r="JK31" i="43"/>
  <c r="JK27" i="43"/>
  <c r="JH33" i="43"/>
  <c r="JA30" i="43"/>
  <c r="BP231" i="42"/>
  <c r="BP244" i="42"/>
  <c r="BP117" i="42"/>
  <c r="BP118" i="42" s="1"/>
  <c r="BP116" i="42"/>
  <c r="BP114" i="42"/>
  <c r="BP115" i="42"/>
  <c r="AQ419" i="39"/>
  <c r="AQ420" i="39"/>
  <c r="NV2" i="43"/>
  <c r="BH231" i="42"/>
  <c r="BH50" i="38" s="1"/>
  <c r="BH66" i="38" s="1"/>
  <c r="BH244" i="42"/>
  <c r="BH117" i="42"/>
  <c r="BH118" i="42" s="1"/>
  <c r="BH116" i="42"/>
  <c r="BH114" i="42"/>
  <c r="BH115" i="42"/>
  <c r="BC114" i="42"/>
  <c r="BC115" i="42"/>
  <c r="BC231" i="42"/>
  <c r="BC50" i="38" s="1"/>
  <c r="BC66" i="38" s="1"/>
  <c r="BC244" i="42"/>
  <c r="BA231" i="42"/>
  <c r="BA50" i="38" s="1"/>
  <c r="BA66" i="38" s="1"/>
  <c r="BA116" i="42"/>
  <c r="BA117" i="42"/>
  <c r="BA118" i="42" s="1"/>
  <c r="BA114" i="42"/>
  <c r="BA244" i="42"/>
  <c r="BA115" i="42"/>
  <c r="H297" i="42"/>
  <c r="AA344" i="42"/>
  <c r="AA343" i="42"/>
  <c r="AG344" i="42"/>
  <c r="AG343" i="42"/>
  <c r="BC10" i="43"/>
  <c r="AZ10" i="43"/>
  <c r="AW9" i="43"/>
  <c r="BC11" i="43"/>
  <c r="AZ11" i="43"/>
  <c r="AX33" i="43"/>
  <c r="AX26" i="43"/>
  <c r="AW29" i="43"/>
  <c r="AW26" i="43"/>
  <c r="BC8" i="43"/>
  <c r="AZ8" i="43"/>
  <c r="AX19" i="43"/>
  <c r="AX16" i="43"/>
  <c r="AW10" i="43"/>
  <c r="BC9" i="43"/>
  <c r="AZ9" i="43"/>
  <c r="AX12" i="43"/>
  <c r="AZ231" i="42"/>
  <c r="AZ50" i="38" s="1"/>
  <c r="AZ66" i="38" s="1"/>
  <c r="AZ244" i="42"/>
  <c r="AZ117" i="42"/>
  <c r="AZ118" i="42" s="1"/>
  <c r="AZ116" i="42"/>
  <c r="AZ114" i="42"/>
  <c r="AZ115" i="42"/>
  <c r="BB244" i="42"/>
  <c r="BB116" i="42"/>
  <c r="BB117" i="42"/>
  <c r="BB118" i="42" s="1"/>
  <c r="BB147" i="42" s="1"/>
  <c r="CV19" i="43" s="1"/>
  <c r="BB114" i="42"/>
  <c r="BB231" i="42"/>
  <c r="BB50" i="38" s="1"/>
  <c r="BB66" i="38" s="1"/>
  <c r="BB115" i="42"/>
  <c r="BQ348" i="39"/>
  <c r="BQ349" i="39"/>
  <c r="BO231" i="42"/>
  <c r="BO117" i="42"/>
  <c r="BO118" i="42" s="1"/>
  <c r="BO244" i="42"/>
  <c r="BO116" i="42"/>
  <c r="BO115" i="42"/>
  <c r="BO114" i="42"/>
  <c r="BK244" i="42"/>
  <c r="BK231" i="42"/>
  <c r="BK115" i="42"/>
  <c r="BK116" i="42"/>
  <c r="BK117" i="42"/>
  <c r="BK118" i="42" s="1"/>
  <c r="BK147" i="42" s="1"/>
  <c r="CV28" i="43" s="1"/>
  <c r="BK114" i="42"/>
  <c r="BL116" i="42"/>
  <c r="BL117" i="42"/>
  <c r="BL118" i="42" s="1"/>
  <c r="BL114" i="42"/>
  <c r="BL231" i="42"/>
  <c r="AB297" i="42" s="1"/>
  <c r="BL244" i="42"/>
  <c r="BL115" i="42"/>
  <c r="BI297" i="42"/>
  <c r="AU164" i="38"/>
  <c r="AV164" i="38"/>
  <c r="M297" i="42"/>
  <c r="Z164" i="38"/>
  <c r="AQ164" i="38"/>
  <c r="BZ127" i="42"/>
  <c r="BF140" i="41" s="1"/>
  <c r="AS34" i="43" s="1"/>
  <c r="AV19" i="43"/>
  <c r="AU297" i="42"/>
  <c r="P164" i="38"/>
  <c r="AS297" i="42"/>
  <c r="L164" i="38"/>
  <c r="BA297" i="42"/>
  <c r="G348" i="39"/>
  <c r="G297" i="42"/>
  <c r="V124" i="41"/>
  <c r="BZ131" i="42"/>
  <c r="BF143" i="41" s="1"/>
  <c r="AT34" i="43" s="1"/>
  <c r="AV410" i="39"/>
  <c r="AS25" i="43"/>
  <c r="AS20" i="43"/>
  <c r="O348" i="39"/>
  <c r="BQ164" i="38"/>
  <c r="AW297" i="42"/>
  <c r="AF164" i="38"/>
  <c r="AS19" i="43"/>
  <c r="K297" i="42"/>
  <c r="AR297" i="42"/>
  <c r="BH348" i="39"/>
  <c r="BF164" i="38"/>
  <c r="AD123" i="41"/>
  <c r="S297" i="42"/>
  <c r="AY297" i="42"/>
  <c r="BI250" i="42"/>
  <c r="F124" i="41"/>
  <c r="L124" i="41"/>
  <c r="BK325" i="39"/>
  <c r="BQ323" i="39"/>
  <c r="AZ323" i="39"/>
  <c r="BD325" i="39"/>
  <c r="AR164" i="38"/>
  <c r="BI71" i="38"/>
  <c r="AS71" i="38"/>
  <c r="AS72" i="38" s="1"/>
  <c r="AQ71" i="38"/>
  <c r="AQ72" i="38" s="1"/>
  <c r="BD71" i="38"/>
  <c r="BS71" i="38"/>
  <c r="BR71" i="38"/>
  <c r="BR72" i="38" s="1"/>
  <c r="AX71" i="38"/>
  <c r="BB71" i="38"/>
  <c r="BM71" i="38"/>
  <c r="AW71" i="38"/>
  <c r="AW72" i="38" s="1"/>
  <c r="AY71" i="38"/>
  <c r="AY72" i="38" s="1"/>
  <c r="BH71" i="38"/>
  <c r="AR71" i="38"/>
  <c r="AR72" i="38" s="1"/>
  <c r="AU71" i="38"/>
  <c r="AU72" i="38" s="1"/>
  <c r="W163" i="38"/>
  <c r="R163" i="38"/>
  <c r="AH163" i="38"/>
  <c r="M163" i="38"/>
  <c r="AC163" i="38"/>
  <c r="G163" i="38"/>
  <c r="N348" i="39"/>
  <c r="U164" i="38"/>
  <c r="R164" i="38"/>
  <c r="AJ123" i="41"/>
  <c r="AX165" i="38"/>
  <c r="BG250" i="42"/>
  <c r="CR37" i="42"/>
  <c r="AN28" i="43"/>
  <c r="BJ323" i="39"/>
  <c r="AN30" i="43"/>
  <c r="BF325" i="39"/>
  <c r="C18" i="36"/>
  <c r="BT339" i="39"/>
  <c r="M178" i="42"/>
  <c r="DT2" i="44" s="1"/>
  <c r="G174" i="42"/>
  <c r="G328" i="39" s="1"/>
  <c r="Q171" i="38"/>
  <c r="T79" i="38"/>
  <c r="Y352" i="39"/>
  <c r="AI352" i="39"/>
  <c r="AF79" i="38"/>
  <c r="P79" i="38"/>
  <c r="BO213" i="38"/>
  <c r="BO164" i="38" s="1"/>
  <c r="BO189" i="38"/>
  <c r="AT323" i="39"/>
  <c r="AU348" i="39"/>
  <c r="BC348" i="39"/>
  <c r="O297" i="42"/>
  <c r="U348" i="39"/>
  <c r="I348" i="39"/>
  <c r="AF199" i="38"/>
  <c r="BF127" i="42"/>
  <c r="Q164" i="38"/>
  <c r="DB82" i="42"/>
  <c r="Y112" i="41"/>
  <c r="DC46" i="42"/>
  <c r="BO325" i="39"/>
  <c r="AT124" i="41"/>
  <c r="BD164" i="38"/>
  <c r="AC164" i="38"/>
  <c r="BM164" i="38"/>
  <c r="G164" i="38"/>
  <c r="AV297" i="42"/>
  <c r="BE164" i="38"/>
  <c r="K164" i="38"/>
  <c r="CF58" i="42"/>
  <c r="AN26" i="43"/>
  <c r="AX124" i="41"/>
  <c r="AJ124" i="41"/>
  <c r="BJ163" i="38"/>
  <c r="AT163" i="38"/>
  <c r="AT164" i="38" s="1"/>
  <c r="BC163" i="38"/>
  <c r="AZ163" i="38"/>
  <c r="BA163" i="38"/>
  <c r="BE163" i="38"/>
  <c r="AS163" i="38"/>
  <c r="BI163" i="38"/>
  <c r="BN163" i="38"/>
  <c r="BN164" i="38" s="1"/>
  <c r="AX163" i="38"/>
  <c r="AX164" i="38" s="1"/>
  <c r="BH163" i="38"/>
  <c r="BH164" i="38" s="1"/>
  <c r="BK163" i="38"/>
  <c r="BK164" i="38" s="1"/>
  <c r="BG163" i="38"/>
  <c r="BG164" i="38" s="1"/>
  <c r="BP163" i="38"/>
  <c r="BP164" i="38" s="1"/>
  <c r="BN325" i="39"/>
  <c r="BR325" i="39"/>
  <c r="BR323" i="39"/>
  <c r="M179" i="42"/>
  <c r="HK2" i="43" s="1"/>
  <c r="AB183" i="38"/>
  <c r="AF183" i="38"/>
  <c r="K80" i="38"/>
  <c r="S80" i="38"/>
  <c r="AA80" i="38"/>
  <c r="AI80" i="38"/>
  <c r="I172" i="38"/>
  <c r="T172" i="38"/>
  <c r="AD172" i="38"/>
  <c r="L173" i="38"/>
  <c r="W173" i="38"/>
  <c r="AG173" i="38"/>
  <c r="AY173" i="38"/>
  <c r="BJ173" i="38"/>
  <c r="N174" i="38"/>
  <c r="Y174" i="38"/>
  <c r="AI174" i="38"/>
  <c r="BA174" i="38"/>
  <c r="BL174" i="38"/>
  <c r="I175" i="38"/>
  <c r="S175" i="38"/>
  <c r="X175" i="38"/>
  <c r="AI175" i="38"/>
  <c r="AW175" i="38"/>
  <c r="BI175" i="38"/>
  <c r="BS175" i="38"/>
  <c r="T214" i="38"/>
  <c r="T164" i="38" s="1"/>
  <c r="E224" i="38"/>
  <c r="S224" i="38" s="1"/>
  <c r="BD320" i="39"/>
  <c r="J363" i="39"/>
  <c r="BJ319" i="39"/>
  <c r="AA364" i="39"/>
  <c r="AF364" i="39"/>
  <c r="BD319" i="39"/>
  <c r="BO320" i="39"/>
  <c r="T361" i="39"/>
  <c r="AN123" i="41"/>
  <c r="T218" i="38"/>
  <c r="AY213" i="38"/>
  <c r="AY164" i="38" s="1"/>
  <c r="E226" i="38"/>
  <c r="O361" i="39"/>
  <c r="EF308" i="39"/>
  <c r="AN9" i="43"/>
  <c r="AN13" i="43"/>
  <c r="AN17" i="43"/>
  <c r="AN21" i="43"/>
  <c r="AN25" i="43"/>
  <c r="AN33" i="43"/>
  <c r="N125" i="41"/>
  <c r="Z125" i="41"/>
  <c r="AX125" i="41"/>
  <c r="BJ125" i="41"/>
  <c r="AG91" i="38"/>
  <c r="Q353" i="39"/>
  <c r="AB353" i="39"/>
  <c r="CD40" i="42"/>
  <c r="K40" i="41"/>
  <c r="H80" i="38"/>
  <c r="P80" i="38"/>
  <c r="X80" i="38"/>
  <c r="AF80" i="38"/>
  <c r="AT96" i="38"/>
  <c r="AP141" i="38"/>
  <c r="P172" i="38"/>
  <c r="Z172" i="38"/>
  <c r="H173" i="38"/>
  <c r="S173" i="38"/>
  <c r="AC173" i="38"/>
  <c r="AU173" i="38"/>
  <c r="BF173" i="38"/>
  <c r="BP173" i="38"/>
  <c r="M174" i="38"/>
  <c r="M164" i="38" s="1"/>
  <c r="W174" i="38"/>
  <c r="W164" i="38" s="1"/>
  <c r="AH174" i="38"/>
  <c r="AH164" i="38" s="1"/>
  <c r="AZ174" i="38"/>
  <c r="BJ174" i="38"/>
  <c r="BJ164" i="38" s="1"/>
  <c r="H175" i="38"/>
  <c r="O175" i="38"/>
  <c r="AE175" i="38"/>
  <c r="AS175" i="38"/>
  <c r="BC175" i="38"/>
  <c r="BL322" i="39"/>
  <c r="AQ322" i="39"/>
  <c r="D39" i="40"/>
  <c r="AK36" i="40"/>
  <c r="AN8" i="40"/>
  <c r="AN8" i="43"/>
  <c r="N119" i="41"/>
  <c r="N135" i="41" s="1"/>
  <c r="AN12" i="43" s="1"/>
  <c r="AN16" i="43"/>
  <c r="AN20" i="43"/>
  <c r="AN24" i="43"/>
  <c r="AN32" i="43"/>
  <c r="AR124" i="41"/>
  <c r="L125" i="41"/>
  <c r="V125" i="41"/>
  <c r="AH125" i="41"/>
  <c r="AT125" i="41"/>
  <c r="AS32" i="43"/>
  <c r="AT14" i="43"/>
  <c r="AT18" i="43"/>
  <c r="AT22" i="43"/>
  <c r="AT26" i="43"/>
  <c r="AT30" i="43"/>
  <c r="AV32" i="43"/>
  <c r="AW12" i="43"/>
  <c r="AW16" i="43"/>
  <c r="AW20" i="43"/>
  <c r="AW24" i="43"/>
  <c r="AZ15" i="43"/>
  <c r="AZ19" i="43"/>
  <c r="AZ23" i="43"/>
  <c r="AZ27" i="43"/>
  <c r="BA32" i="43"/>
  <c r="BC12" i="43"/>
  <c r="BC16" i="43"/>
  <c r="BC20" i="43"/>
  <c r="BC24" i="43"/>
  <c r="BD33" i="43"/>
  <c r="AS16" i="42"/>
  <c r="BE16" i="42"/>
  <c r="BA19" i="42"/>
  <c r="Z18" i="41" s="1"/>
  <c r="Z124" i="41" s="1"/>
  <c r="BQ19" i="42"/>
  <c r="BE25" i="42"/>
  <c r="AH24" i="41" s="1"/>
  <c r="Z37" i="42"/>
  <c r="Z40" i="42"/>
  <c r="BD37" i="42"/>
  <c r="BD40" i="42"/>
  <c r="AF40" i="41" s="1"/>
  <c r="AF124" i="41" s="1"/>
  <c r="CK33" i="42"/>
  <c r="DA33" i="42"/>
  <c r="J37" i="42"/>
  <c r="BE40" i="42"/>
  <c r="AH40" i="41" s="1"/>
  <c r="AS46" i="42"/>
  <c r="BA46" i="42"/>
  <c r="BE46" i="42"/>
  <c r="BI46" i="42"/>
  <c r="CS46" i="42" s="1"/>
  <c r="BQ46" i="42"/>
  <c r="DA46" i="42" s="1"/>
  <c r="AS33" i="43"/>
  <c r="AT15" i="43"/>
  <c r="AT19" i="43"/>
  <c r="AT23" i="43"/>
  <c r="AT27" i="43"/>
  <c r="AT32" i="43"/>
  <c r="AV33" i="43"/>
  <c r="AW13" i="43"/>
  <c r="AW17" i="43"/>
  <c r="AW21" i="43"/>
  <c r="AX9" i="43"/>
  <c r="AZ12" i="43"/>
  <c r="AZ16" i="43"/>
  <c r="AZ20" i="43"/>
  <c r="AZ24" i="43"/>
  <c r="BA33" i="43"/>
  <c r="BC13" i="43"/>
  <c r="BC17" i="43"/>
  <c r="BC21" i="43"/>
  <c r="BC25" i="43"/>
  <c r="BE32" i="43"/>
  <c r="BH19" i="42"/>
  <c r="AN18" i="41" s="1"/>
  <c r="BA16" i="42"/>
  <c r="BM16" i="42"/>
  <c r="CP21" i="42"/>
  <c r="DB21" i="42"/>
  <c r="H40" i="42"/>
  <c r="CB33" i="42"/>
  <c r="BH33" i="41" s="1"/>
  <c r="Q40" i="42"/>
  <c r="CO33" i="42"/>
  <c r="U37" i="42"/>
  <c r="X40" i="42"/>
  <c r="CR33" i="42"/>
  <c r="CW33" i="42"/>
  <c r="AF37" i="42"/>
  <c r="AS37" i="42"/>
  <c r="BB40" i="42"/>
  <c r="BJ40" i="42"/>
  <c r="AP40" i="41" s="1"/>
  <c r="AP124" i="41" s="1"/>
  <c r="BM37" i="42"/>
  <c r="CW37" i="42" s="1"/>
  <c r="CN33" i="42"/>
  <c r="Y37" i="42"/>
  <c r="T40" i="42"/>
  <c r="AN10" i="43"/>
  <c r="R119" i="41"/>
  <c r="R135" i="41" s="1"/>
  <c r="AN14" i="43" s="1"/>
  <c r="AN18" i="43"/>
  <c r="AN22" i="43"/>
  <c r="AN27" i="43"/>
  <c r="AN34" i="43"/>
  <c r="F125" i="41"/>
  <c r="R125" i="41"/>
  <c r="AB125" i="41"/>
  <c r="AL125" i="41"/>
  <c r="AT12" i="43"/>
  <c r="AT16" i="43"/>
  <c r="AT20" i="43"/>
  <c r="AT24" i="43"/>
  <c r="AT28" i="43"/>
  <c r="AT33" i="43"/>
  <c r="AW14" i="43"/>
  <c r="AW18" i="43"/>
  <c r="AW22" i="43"/>
  <c r="AX10" i="43"/>
  <c r="AY32" i="43"/>
  <c r="AZ13" i="43"/>
  <c r="AZ17" i="43"/>
  <c r="AZ21" i="43"/>
  <c r="AZ25" i="43"/>
  <c r="BB32" i="43"/>
  <c r="BC14" i="43"/>
  <c r="BC18" i="43"/>
  <c r="BC22" i="43"/>
  <c r="BC26" i="43"/>
  <c r="BE33" i="43"/>
  <c r="BI16" i="42"/>
  <c r="AW25" i="42"/>
  <c r="R24" i="41" s="1"/>
  <c r="I40" i="42"/>
  <c r="M40" i="42"/>
  <c r="Y40" i="42"/>
  <c r="AB37" i="42"/>
  <c r="AZ40" i="42"/>
  <c r="AZ37" i="42"/>
  <c r="CC33" i="42"/>
  <c r="AQ46" i="42"/>
  <c r="L119" i="41"/>
  <c r="L135" i="41" s="1"/>
  <c r="AN11" i="43" s="1"/>
  <c r="T119" i="41"/>
  <c r="T135" i="41" s="1"/>
  <c r="AN15" i="43" s="1"/>
  <c r="AB119" i="41"/>
  <c r="AB135" i="41" s="1"/>
  <c r="AN19" i="43" s="1"/>
  <c r="AJ119" i="41"/>
  <c r="AJ135" i="41" s="1"/>
  <c r="AN23" i="43" s="1"/>
  <c r="AN29" i="43"/>
  <c r="BD124" i="41"/>
  <c r="AD125" i="41"/>
  <c r="AP125" i="41"/>
  <c r="AT13" i="43"/>
  <c r="AT17" i="43"/>
  <c r="AT21" i="43"/>
  <c r="AT25" i="43"/>
  <c r="AT29" i="43"/>
  <c r="AW15" i="43"/>
  <c r="AW19" i="43"/>
  <c r="AW23" i="43"/>
  <c r="AY33" i="43"/>
  <c r="AZ14" i="43"/>
  <c r="AZ18" i="43"/>
  <c r="AZ22" i="43"/>
  <c r="AZ26" i="43"/>
  <c r="BB33" i="43"/>
  <c r="BC15" i="43"/>
  <c r="BC19" i="43"/>
  <c r="BC23" i="43"/>
  <c r="BC27" i="43"/>
  <c r="BD32" i="43"/>
  <c r="AW16" i="42"/>
  <c r="BM19" i="42"/>
  <c r="AD40" i="42"/>
  <c r="AD37" i="42"/>
  <c r="BH46" i="42"/>
  <c r="T61" i="42"/>
  <c r="AQ58" i="42"/>
  <c r="AW61" i="42"/>
  <c r="BQ61" i="42"/>
  <c r="DA61" i="42" s="1"/>
  <c r="CC54" i="42"/>
  <c r="CN54" i="42"/>
  <c r="DA54" i="42"/>
  <c r="M58" i="42"/>
  <c r="U58" i="42"/>
  <c r="AC58" i="42"/>
  <c r="AS58" i="42"/>
  <c r="AX58" i="42"/>
  <c r="BE58" i="42"/>
  <c r="AH59" i="41" s="1"/>
  <c r="BJ58" i="42"/>
  <c r="BR58" i="42"/>
  <c r="U61" i="42"/>
  <c r="CG66" i="42"/>
  <c r="CW66" i="42"/>
  <c r="K82" i="42"/>
  <c r="W82" i="42"/>
  <c r="BD82" i="42"/>
  <c r="AF84" i="41" s="1"/>
  <c r="CI75" i="42"/>
  <c r="CQ75" i="42"/>
  <c r="CY75" i="42"/>
  <c r="K79" i="42"/>
  <c r="P79" i="42"/>
  <c r="X79" i="42"/>
  <c r="BA79" i="42"/>
  <c r="BI79" i="42"/>
  <c r="CS79" i="42" s="1"/>
  <c r="BQ79" i="42"/>
  <c r="BE82" i="42"/>
  <c r="BM82" i="42"/>
  <c r="CW82" i="42" s="1"/>
  <c r="CA87" i="42"/>
  <c r="CN87" i="42"/>
  <c r="CZ87" i="42"/>
  <c r="R103" i="42"/>
  <c r="AU103" i="42"/>
  <c r="BG103" i="42"/>
  <c r="BO103" i="42"/>
  <c r="CY103" i="42" s="1"/>
  <c r="CL96" i="42"/>
  <c r="CU96" i="42"/>
  <c r="J100" i="42"/>
  <c r="R100" i="42"/>
  <c r="Z100" i="42"/>
  <c r="AH100" i="42"/>
  <c r="AY100" i="42"/>
  <c r="BD100" i="42"/>
  <c r="O103" i="42"/>
  <c r="AZ103" i="42"/>
  <c r="CI108" i="42"/>
  <c r="CY108" i="42"/>
  <c r="K109" i="42"/>
  <c r="AA109" i="42"/>
  <c r="H61" i="42"/>
  <c r="X61" i="42"/>
  <c r="BI61" i="42"/>
  <c r="CS61" i="42" s="1"/>
  <c r="BO58" i="42"/>
  <c r="CF54" i="42"/>
  <c r="CO54" i="42"/>
  <c r="P58" i="42"/>
  <c r="AF58" i="42"/>
  <c r="AT58" i="42"/>
  <c r="AC61" i="42"/>
  <c r="BB61" i="42"/>
  <c r="AF67" i="42"/>
  <c r="CK66" i="42"/>
  <c r="AA82" i="42"/>
  <c r="AX79" i="42"/>
  <c r="AZ82" i="42"/>
  <c r="BN79" i="42"/>
  <c r="BP82" i="42"/>
  <c r="CB75" i="42"/>
  <c r="BH77" i="41" s="1"/>
  <c r="CJ75" i="42"/>
  <c r="CR75" i="42"/>
  <c r="CZ75" i="42"/>
  <c r="L79" i="42"/>
  <c r="S79" i="42"/>
  <c r="AA79" i="42"/>
  <c r="AF79" i="42"/>
  <c r="AV79" i="42"/>
  <c r="BD79" i="42"/>
  <c r="L82" i="42"/>
  <c r="T82" i="42"/>
  <c r="AB82" i="42"/>
  <c r="W88" i="42"/>
  <c r="CB87" i="42"/>
  <c r="BH89" i="41" s="1"/>
  <c r="CR87" i="42"/>
  <c r="V103" i="42"/>
  <c r="AH103" i="42"/>
  <c r="CA96" i="42"/>
  <c r="CM96" i="42"/>
  <c r="CY96" i="42"/>
  <c r="K100" i="42"/>
  <c r="S100" i="42"/>
  <c r="AI100" i="42"/>
  <c r="AU100" i="42"/>
  <c r="BG100" i="42"/>
  <c r="BL100" i="42"/>
  <c r="BS100" i="42"/>
  <c r="G103" i="42"/>
  <c r="AI103" i="42"/>
  <c r="AS103" i="42"/>
  <c r="BH103" i="42"/>
  <c r="AN106" i="41" s="1"/>
  <c r="BP103" i="42"/>
  <c r="CA108" i="42"/>
  <c r="O318" i="42"/>
  <c r="P318" i="42" s="1"/>
  <c r="CS54" i="42"/>
  <c r="T67" i="42"/>
  <c r="BE67" i="42"/>
  <c r="BQ67" i="42"/>
  <c r="DA67" i="42" s="1"/>
  <c r="CU75" i="42"/>
  <c r="BE79" i="42"/>
  <c r="L88" i="42"/>
  <c r="AB88" i="42"/>
  <c r="AW88" i="42"/>
  <c r="S103" i="42"/>
  <c r="AV103" i="42"/>
  <c r="CK54" i="42"/>
  <c r="CC66" i="42"/>
  <c r="CS66" i="42"/>
  <c r="G82" i="42"/>
  <c r="AR82" i="42"/>
  <c r="BH82" i="42"/>
  <c r="H79" i="42"/>
  <c r="AE79" i="42"/>
  <c r="BP79" i="42"/>
  <c r="CJ87" i="42"/>
  <c r="Z103" i="42"/>
  <c r="CI96" i="42"/>
  <c r="W100" i="42"/>
  <c r="AE100" i="42"/>
  <c r="AR100" i="42"/>
  <c r="MT16" i="43"/>
  <c r="MY16" i="43"/>
  <c r="MO23" i="43"/>
  <c r="MS23" i="43"/>
  <c r="MW23" i="43"/>
  <c r="PU23" i="43"/>
  <c r="K23" i="43" s="1"/>
  <c r="ML26" i="43"/>
  <c r="MR26" i="43"/>
  <c r="MW26" i="43"/>
  <c r="ML4" i="43"/>
  <c r="MP4" i="43"/>
  <c r="MT4" i="43"/>
  <c r="MX4" i="43"/>
  <c r="PU4" i="43"/>
  <c r="K4" i="43" s="1"/>
  <c r="MQ5" i="43"/>
  <c r="MM6" i="43"/>
  <c r="MQ6" i="43"/>
  <c r="MU6" i="43"/>
  <c r="MM8" i="43"/>
  <c r="MQ8" i="43"/>
  <c r="MU8" i="43"/>
  <c r="MO10" i="43"/>
  <c r="MS10" i="43"/>
  <c r="MW10" i="43"/>
  <c r="MU11" i="43"/>
  <c r="MM12" i="43"/>
  <c r="MQ12" i="43"/>
  <c r="MU12" i="43"/>
  <c r="MR13" i="43"/>
  <c r="MO14" i="43"/>
  <c r="MS14" i="43"/>
  <c r="MW14" i="43"/>
  <c r="MQ15" i="43"/>
  <c r="MP16" i="43"/>
  <c r="MU16" i="43"/>
  <c r="MM17" i="43"/>
  <c r="MQ17" i="43"/>
  <c r="MU17" i="43"/>
  <c r="MT22" i="43"/>
  <c r="ML23" i="43"/>
  <c r="MP23" i="43"/>
  <c r="MT23" i="43"/>
  <c r="MX23" i="43"/>
  <c r="MR24" i="43"/>
  <c r="MS26" i="43"/>
  <c r="MX26" i="43"/>
  <c r="PU26" i="43"/>
  <c r="K26" i="43" s="1"/>
  <c r="MO27" i="43"/>
  <c r="MS27" i="43"/>
  <c r="MW27" i="43"/>
  <c r="PU27" i="43"/>
  <c r="K27" i="43" s="1"/>
  <c r="MO29" i="43"/>
  <c r="MM4" i="43"/>
  <c r="MQ4" i="43"/>
  <c r="MU4" i="43"/>
  <c r="ML10" i="43"/>
  <c r="MP10" i="43"/>
  <c r="MT10" i="43"/>
  <c r="MX10" i="43"/>
  <c r="PU10" i="43"/>
  <c r="K10" i="43" s="1"/>
  <c r="MM11" i="43"/>
  <c r="ML14" i="43"/>
  <c r="MP14" i="43"/>
  <c r="MT14" i="43"/>
  <c r="MX14" i="43"/>
  <c r="ML16" i="43"/>
  <c r="MQ16" i="43"/>
  <c r="MV16" i="43"/>
  <c r="MW19" i="43"/>
  <c r="MM23" i="43"/>
  <c r="MQ23" i="43"/>
  <c r="MU23" i="43"/>
  <c r="MO26" i="43"/>
  <c r="MT26" i="43"/>
  <c r="ML27" i="43"/>
  <c r="MP27" i="43"/>
  <c r="MT27" i="43"/>
  <c r="MP30" i="43"/>
  <c r="MO31" i="43"/>
  <c r="MS31" i="43"/>
  <c r="AB29" i="43"/>
  <c r="AE20" i="43"/>
  <c r="AH62" i="22"/>
  <c r="Q14" i="35"/>
  <c r="P19" i="35"/>
  <c r="DB10" i="42"/>
  <c r="CU22" i="42"/>
  <c r="G10" i="41"/>
  <c r="BS346" i="39"/>
  <c r="BO165" i="38"/>
  <c r="AO10" i="41"/>
  <c r="AI346" i="39"/>
  <c r="AT295" i="42"/>
  <c r="H295" i="42"/>
  <c r="AR165" i="38"/>
  <c r="H24" i="42"/>
  <c r="G23" i="41" s="1"/>
  <c r="G125" i="41" s="1"/>
  <c r="AQ165" i="38"/>
  <c r="CX22" i="42"/>
  <c r="Y24" i="42"/>
  <c r="CS24" i="42" s="1"/>
  <c r="AG12" i="42"/>
  <c r="AG16" i="42" s="1"/>
  <c r="H73" i="38"/>
  <c r="CA21" i="42"/>
  <c r="AU21" i="41"/>
  <c r="CY21" i="42"/>
  <c r="AH131" i="42"/>
  <c r="AH296" i="39" s="1"/>
  <c r="EH296" i="39" s="1"/>
  <c r="CT22" i="42"/>
  <c r="E10" i="41"/>
  <c r="G21" i="41"/>
  <c r="BE10" i="41"/>
  <c r="AW10" i="41"/>
  <c r="BC20" i="41"/>
  <c r="BE9" i="41"/>
  <c r="BG21" i="41"/>
  <c r="Z12" i="42"/>
  <c r="Z16" i="42" s="1"/>
  <c r="Y346" i="39"/>
  <c r="BG20" i="41"/>
  <c r="AE131" i="42"/>
  <c r="AE252" i="42" s="1"/>
  <c r="Z165" i="38"/>
  <c r="DA10" i="42"/>
  <c r="K21" i="41"/>
  <c r="AB131" i="42"/>
  <c r="W29" i="43" s="1"/>
  <c r="AS10" i="41"/>
  <c r="BI10" i="41"/>
  <c r="CC11" i="42"/>
  <c r="CY11" i="42"/>
  <c r="AS346" i="39"/>
  <c r="AC73" i="38"/>
  <c r="DC21" i="42"/>
  <c r="AA24" i="42"/>
  <c r="AS23" i="41" s="1"/>
  <c r="AS125" i="41" s="1"/>
  <c r="BI9" i="41"/>
  <c r="AA12" i="42"/>
  <c r="AA16" i="42" s="1"/>
  <c r="CZ22" i="42"/>
  <c r="BI346" i="39"/>
  <c r="H346" i="39"/>
  <c r="BM346" i="39"/>
  <c r="AR295" i="42"/>
  <c r="BM295" i="42"/>
  <c r="CU21" i="42"/>
  <c r="BM165" i="38"/>
  <c r="AE24" i="42"/>
  <c r="BA23" i="41" s="1"/>
  <c r="BA125" i="41" s="1"/>
  <c r="AI12" i="42"/>
  <c r="AI19" i="42" s="1"/>
  <c r="AH24" i="42"/>
  <c r="DB24" i="42" s="1"/>
  <c r="AT165" i="38"/>
  <c r="CW22" i="42"/>
  <c r="AC131" i="42"/>
  <c r="AW143" i="41" s="1"/>
  <c r="CU10" i="42"/>
  <c r="AS9" i="41"/>
  <c r="Y12" i="42"/>
  <c r="AO9" i="41"/>
  <c r="CS10" i="42"/>
  <c r="G295" i="42"/>
  <c r="CD21" i="42"/>
  <c r="K20" i="41"/>
  <c r="CL21" i="42"/>
  <c r="AA20" i="41"/>
  <c r="I346" i="39"/>
  <c r="AR346" i="39"/>
  <c r="BJ73" i="38"/>
  <c r="AE73" i="38"/>
  <c r="Z295" i="42"/>
  <c r="AB295" i="42"/>
  <c r="BK295" i="42"/>
  <c r="BO295" i="42"/>
  <c r="AA165" i="38"/>
  <c r="AH165" i="38"/>
  <c r="BL165" i="38"/>
  <c r="G20" i="41"/>
  <c r="AH12" i="42"/>
  <c r="BI21" i="41"/>
  <c r="I12" i="42"/>
  <c r="I16" i="42" s="1"/>
  <c r="AI24" i="42"/>
  <c r="BI23" i="41" s="1"/>
  <c r="BI125" i="41" s="1"/>
  <c r="AI131" i="42"/>
  <c r="AI296" i="39" s="1"/>
  <c r="EJ296" i="39" s="1"/>
  <c r="AQ9" i="41"/>
  <c r="AT346" i="39"/>
  <c r="G73" i="38"/>
  <c r="AA73" i="38"/>
  <c r="AG73" i="38"/>
  <c r="I73" i="38"/>
  <c r="AH73" i="38"/>
  <c r="BS295" i="42"/>
  <c r="BR295" i="42"/>
  <c r="BN165" i="38"/>
  <c r="CY22" i="42"/>
  <c r="Z131" i="42"/>
  <c r="CV10" i="42"/>
  <c r="BG10" i="41"/>
  <c r="BK165" i="38"/>
  <c r="AA131" i="42"/>
  <c r="CC21" i="42"/>
  <c r="I20" i="41"/>
  <c r="AW20" i="41"/>
  <c r="CW21" i="42"/>
  <c r="CS21" i="42"/>
  <c r="AO20" i="41"/>
  <c r="DA21" i="42"/>
  <c r="BE20" i="41"/>
  <c r="AB346" i="39"/>
  <c r="BO346" i="39"/>
  <c r="AH295" i="42"/>
  <c r="AG295" i="42"/>
  <c r="BL295" i="42"/>
  <c r="E9" i="41"/>
  <c r="CA10" i="42"/>
  <c r="G12" i="42"/>
  <c r="G24" i="42"/>
  <c r="AY9" i="41"/>
  <c r="AD24" i="42"/>
  <c r="AD12" i="42"/>
  <c r="AD131" i="42"/>
  <c r="CX10" i="42"/>
  <c r="CD11" i="42"/>
  <c r="K10" i="41"/>
  <c r="AB12" i="42"/>
  <c r="CV11" i="42"/>
  <c r="AB24" i="42"/>
  <c r="AU10" i="41"/>
  <c r="BC10" i="41"/>
  <c r="CZ11" i="42"/>
  <c r="AF12" i="42"/>
  <c r="AF24" i="42"/>
  <c r="CA22" i="42"/>
  <c r="E21" i="41"/>
  <c r="CS22" i="42"/>
  <c r="AO21" i="41"/>
  <c r="Y131" i="42"/>
  <c r="BE21" i="41"/>
  <c r="DA22" i="42"/>
  <c r="AG131" i="42"/>
  <c r="AG24" i="42"/>
  <c r="AE346" i="39"/>
  <c r="AG346" i="39"/>
  <c r="AF73" i="38"/>
  <c r="BQ295" i="42"/>
  <c r="BP346" i="39"/>
  <c r="AC346" i="39"/>
  <c r="AH346" i="39"/>
  <c r="BR346" i="39"/>
  <c r="Z346" i="39"/>
  <c r="AA346" i="39"/>
  <c r="AS73" i="38"/>
  <c r="BR73" i="38"/>
  <c r="AT73" i="38"/>
  <c r="J73" i="38"/>
  <c r="AQ73" i="38"/>
  <c r="Y73" i="38"/>
  <c r="BP295" i="42"/>
  <c r="BI295" i="42"/>
  <c r="AD295" i="42"/>
  <c r="BN295" i="42"/>
  <c r="AA295" i="42"/>
  <c r="J295" i="42"/>
  <c r="BK346" i="39"/>
  <c r="AF346" i="39"/>
  <c r="J346" i="39"/>
  <c r="AQ346" i="39"/>
  <c r="AR73" i="38"/>
  <c r="AI73" i="38"/>
  <c r="I295" i="42"/>
  <c r="AI295" i="42"/>
  <c r="BJ295" i="42"/>
  <c r="AF295" i="42"/>
  <c r="Y295" i="42"/>
  <c r="AQ295" i="42"/>
  <c r="AS295" i="42"/>
  <c r="J165" i="38"/>
  <c r="J24" i="42"/>
  <c r="CD10" i="42"/>
  <c r="K9" i="41"/>
  <c r="J12" i="42"/>
  <c r="AC24" i="42"/>
  <c r="AC12" i="42"/>
  <c r="AW9" i="41"/>
  <c r="CV21" i="42"/>
  <c r="AU20" i="41"/>
  <c r="BJ165" i="38"/>
  <c r="AD165" i="38"/>
  <c r="AF165" i="38"/>
  <c r="AB165" i="38"/>
  <c r="CT21" i="42"/>
  <c r="AQ20" i="41"/>
  <c r="CX21" i="42"/>
  <c r="AY20" i="41"/>
  <c r="H12" i="42"/>
  <c r="CB10" i="42"/>
  <c r="BH9" i="41" s="1"/>
  <c r="G9" i="41"/>
  <c r="AE12" i="42"/>
  <c r="CY10" i="42"/>
  <c r="BQ165" i="38"/>
  <c r="AG165" i="38"/>
  <c r="CC10" i="42"/>
  <c r="I24" i="42"/>
  <c r="CZ10" i="42"/>
  <c r="AF131" i="42"/>
  <c r="BC9" i="41"/>
  <c r="AQ10" i="41"/>
  <c r="CT11" i="42"/>
  <c r="Z24" i="42"/>
  <c r="CX11" i="42"/>
  <c r="AY10" i="41"/>
  <c r="I21" i="41"/>
  <c r="CC22" i="42"/>
  <c r="Y165" i="38"/>
  <c r="BP165" i="38"/>
  <c r="AC165" i="38"/>
  <c r="O11" i="35"/>
  <c r="K346" i="39"/>
  <c r="CE21" i="42"/>
  <c r="K295" i="42"/>
  <c r="AM20" i="41"/>
  <c r="U165" i="38"/>
  <c r="BC346" i="39"/>
  <c r="CI21" i="42"/>
  <c r="M346" i="39"/>
  <c r="N73" i="38"/>
  <c r="AG20" i="41"/>
  <c r="O278" i="42"/>
  <c r="T161" i="42" s="1"/>
  <c r="BP2" i="44" s="1"/>
  <c r="Y20" i="41"/>
  <c r="BE73" i="38"/>
  <c r="T346" i="39"/>
  <c r="AE20" i="41"/>
  <c r="T165" i="38"/>
  <c r="R73" i="38"/>
  <c r="N295" i="42"/>
  <c r="C147" i="41"/>
  <c r="BH165" i="38"/>
  <c r="M73" i="38"/>
  <c r="AV346" i="39"/>
  <c r="NS2" i="43"/>
  <c r="C143" i="41"/>
  <c r="AW346" i="39"/>
  <c r="N346" i="39"/>
  <c r="AV295" i="42"/>
  <c r="M165" i="38"/>
  <c r="N165" i="38"/>
  <c r="AW73" i="38"/>
  <c r="L165" i="38"/>
  <c r="BZ135" i="42"/>
  <c r="BF147" i="41" s="1"/>
  <c r="AW34" i="43" s="1"/>
  <c r="O20" i="41"/>
  <c r="AQ365" i="42"/>
  <c r="X346" i="39"/>
  <c r="AX295" i="42"/>
  <c r="F19" i="38"/>
  <c r="F292" i="39"/>
  <c r="CD292" i="39" s="1"/>
  <c r="S20" i="41"/>
  <c r="R346" i="39"/>
  <c r="BF73" i="38"/>
  <c r="K73" i="38"/>
  <c r="CQ21" i="42"/>
  <c r="BA346" i="39"/>
  <c r="L295" i="42"/>
  <c r="V165" i="38"/>
  <c r="AV165" i="38"/>
  <c r="R165" i="38"/>
  <c r="AJ21" i="42"/>
  <c r="BK20" i="41" s="1"/>
  <c r="V346" i="39"/>
  <c r="T295" i="42"/>
  <c r="BD346" i="39"/>
  <c r="O295" i="42"/>
  <c r="AU165" i="38"/>
  <c r="Q346" i="39"/>
  <c r="U73" i="38"/>
  <c r="AX73" i="38"/>
  <c r="AZ165" i="38"/>
  <c r="AY346" i="39"/>
  <c r="AU73" i="38"/>
  <c r="O73" i="38"/>
  <c r="AW295" i="42"/>
  <c r="BB348" i="39"/>
  <c r="BB349" i="39"/>
  <c r="F296" i="39"/>
  <c r="CD296" i="39" s="1"/>
  <c r="BF295" i="42"/>
  <c r="AU295" i="42"/>
  <c r="F15" i="38"/>
  <c r="BF165" i="38"/>
  <c r="BA165" i="38"/>
  <c r="Q20" i="41"/>
  <c r="AM21" i="42"/>
  <c r="BP20" i="41" s="1"/>
  <c r="AX346" i="39"/>
  <c r="BE346" i="39"/>
  <c r="AZ346" i="39"/>
  <c r="P346" i="39"/>
  <c r="W73" i="38"/>
  <c r="AZ295" i="42"/>
  <c r="R295" i="42"/>
  <c r="M295" i="42"/>
  <c r="K165" i="38"/>
  <c r="W20" i="41"/>
  <c r="AI20" i="41"/>
  <c r="L346" i="39"/>
  <c r="V73" i="38"/>
  <c r="BG295" i="42"/>
  <c r="BD165" i="38"/>
  <c r="AC20" i="41"/>
  <c r="CM21" i="42"/>
  <c r="BH346" i="39"/>
  <c r="BE295" i="42"/>
  <c r="W295" i="42"/>
  <c r="Q165" i="38"/>
  <c r="U346" i="39"/>
  <c r="F133" i="42"/>
  <c r="F137" i="42" s="1"/>
  <c r="AY73" i="38"/>
  <c r="W165" i="38"/>
  <c r="AY165" i="38"/>
  <c r="F11" i="38"/>
  <c r="AU346" i="39"/>
  <c r="P165" i="38"/>
  <c r="BG346" i="39"/>
  <c r="Q73" i="38"/>
  <c r="X295" i="42"/>
  <c r="V295" i="42"/>
  <c r="BD295" i="42"/>
  <c r="BU295" i="42"/>
  <c r="BU297" i="42" s="1"/>
  <c r="BB295" i="42"/>
  <c r="P295" i="42"/>
  <c r="U295" i="42"/>
  <c r="BG165" i="38"/>
  <c r="S346" i="39"/>
  <c r="BH295" i="42"/>
  <c r="BE165" i="38"/>
  <c r="EG2" i="44"/>
  <c r="W297" i="42"/>
  <c r="AY349" i="39"/>
  <c r="BD297" i="42"/>
  <c r="M348" i="39"/>
  <c r="O349" i="39"/>
  <c r="V297" i="42"/>
  <c r="Z297" i="42"/>
  <c r="BI298" i="42"/>
  <c r="T348" i="39"/>
  <c r="U297" i="42"/>
  <c r="L348" i="39"/>
  <c r="AY298" i="42"/>
  <c r="AU349" i="39"/>
  <c r="AV349" i="39"/>
  <c r="K348" i="39"/>
  <c r="X297" i="42"/>
  <c r="U349" i="39"/>
  <c r="K143" i="42"/>
  <c r="CE143" i="42" s="1"/>
  <c r="AZ349" i="39"/>
  <c r="O298" i="42"/>
  <c r="BE297" i="42"/>
  <c r="BE348" i="39"/>
  <c r="Q297" i="42"/>
  <c r="V348" i="39"/>
  <c r="T297" i="42"/>
  <c r="K298" i="42"/>
  <c r="BC297" i="42"/>
  <c r="R297" i="42"/>
  <c r="M298" i="42"/>
  <c r="BA298" i="42"/>
  <c r="AX349" i="39"/>
  <c r="Z23" i="38"/>
  <c r="CE139" i="42"/>
  <c r="AV361" i="42"/>
  <c r="AU361" i="42"/>
  <c r="AU360" i="42"/>
  <c r="AV358" i="42"/>
  <c r="AT357" i="42"/>
  <c r="AU359" i="42"/>
  <c r="CA178" i="41"/>
  <c r="OU2" i="43"/>
  <c r="AW2" i="44"/>
  <c r="AT2" i="44"/>
  <c r="J357" i="42"/>
  <c r="CA171" i="41"/>
  <c r="DK2" i="43"/>
  <c r="F304" i="39"/>
  <c r="CD304" i="39" s="1"/>
  <c r="CR139" i="42"/>
  <c r="AE22" i="43"/>
  <c r="AM151" i="41"/>
  <c r="AE151" i="41"/>
  <c r="BZ139" i="42"/>
  <c r="BF151" i="41" s="1"/>
  <c r="AZ34" i="43" s="1"/>
  <c r="BB297" i="42"/>
  <c r="N297" i="42"/>
  <c r="AW298" i="42"/>
  <c r="C151" i="41"/>
  <c r="BG348" i="39"/>
  <c r="BD348" i="39"/>
  <c r="T23" i="38"/>
  <c r="BJ297" i="42"/>
  <c r="W348" i="39"/>
  <c r="Z143" i="42"/>
  <c r="Z27" i="38" s="1"/>
  <c r="Z183" i="38" s="1"/>
  <c r="E55" i="6"/>
  <c r="D38" i="30" s="1"/>
  <c r="AZ297" i="42"/>
  <c r="BJ349" i="39"/>
  <c r="E48" i="6"/>
  <c r="D31" i="30" s="1"/>
  <c r="AE13" i="43"/>
  <c r="BF297" i="42"/>
  <c r="AV298" i="42"/>
  <c r="AI151" i="41"/>
  <c r="R143" i="42"/>
  <c r="R313" i="42" s="1"/>
  <c r="AX297" i="42"/>
  <c r="L23" i="38"/>
  <c r="O151" i="41"/>
  <c r="AA151" i="41"/>
  <c r="BC349" i="39"/>
  <c r="E49" i="6"/>
  <c r="D32" i="30" s="1"/>
  <c r="S298" i="42"/>
  <c r="P304" i="39"/>
  <c r="CX304" i="39" s="1"/>
  <c r="N143" i="42"/>
  <c r="IU2" i="43"/>
  <c r="AQ367" i="42"/>
  <c r="CP143" i="42"/>
  <c r="AI155" i="41"/>
  <c r="V27" i="38"/>
  <c r="T23" i="44"/>
  <c r="AI23" i="43"/>
  <c r="V313" i="42"/>
  <c r="AE26" i="43"/>
  <c r="AE23" i="43"/>
  <c r="BH349" i="39"/>
  <c r="P297" i="42"/>
  <c r="AU298" i="42"/>
  <c r="P348" i="39"/>
  <c r="AE12" i="43"/>
  <c r="V23" i="38"/>
  <c r="W151" i="41"/>
  <c r="CJ139" i="42"/>
  <c r="X143" i="42"/>
  <c r="V304" i="39"/>
  <c r="DJ304" i="39" s="1"/>
  <c r="AU410" i="39"/>
  <c r="AW348" i="39"/>
  <c r="AE17" i="43"/>
  <c r="AE15" i="43"/>
  <c r="N23" i="38"/>
  <c r="N304" i="39"/>
  <c r="CT304" i="39" s="1"/>
  <c r="CP139" i="42"/>
  <c r="P143" i="42"/>
  <c r="R348" i="39"/>
  <c r="R349" i="39"/>
  <c r="AE21" i="43"/>
  <c r="T143" i="42"/>
  <c r="CN139" i="42"/>
  <c r="T304" i="39"/>
  <c r="DF304" i="39" s="1"/>
  <c r="L143" i="42"/>
  <c r="CF139" i="42"/>
  <c r="L304" i="39"/>
  <c r="CP304" i="39" s="1"/>
  <c r="CT139" i="42"/>
  <c r="Z304" i="39"/>
  <c r="DR304" i="39" s="1"/>
  <c r="AE27" i="43"/>
  <c r="K313" i="42"/>
  <c r="K27" i="38"/>
  <c r="T12" i="44"/>
  <c r="AI12" i="43"/>
  <c r="BF348" i="39"/>
  <c r="AQ418" i="39"/>
  <c r="NU2" i="43"/>
  <c r="E50" i="6"/>
  <c r="D33" i="30" s="1"/>
  <c r="N349" i="39"/>
  <c r="Y297" i="42"/>
  <c r="BH297" i="42"/>
  <c r="BH298" i="42"/>
  <c r="X348" i="39"/>
  <c r="X349" i="39"/>
  <c r="L297" i="42"/>
  <c r="L298" i="42"/>
  <c r="K308" i="39"/>
  <c r="M155" i="41"/>
  <c r="CL139" i="42"/>
  <c r="R304" i="39"/>
  <c r="DB304" i="39" s="1"/>
  <c r="AE19" i="43"/>
  <c r="AE25" i="43"/>
  <c r="V308" i="39"/>
  <c r="O143" i="42"/>
  <c r="CI139" i="42"/>
  <c r="O23" i="38"/>
  <c r="AE16" i="43"/>
  <c r="O304" i="39"/>
  <c r="CV304" i="39" s="1"/>
  <c r="U151" i="41"/>
  <c r="AM139" i="42"/>
  <c r="AJ139" i="42"/>
  <c r="W143" i="42"/>
  <c r="CQ139" i="42"/>
  <c r="W23" i="38"/>
  <c r="AK151" i="41"/>
  <c r="W304" i="39"/>
  <c r="DL304" i="39" s="1"/>
  <c r="AE24" i="43"/>
  <c r="F27" i="38"/>
  <c r="BZ143" i="42"/>
  <c r="BF155" i="41" s="1"/>
  <c r="BC34" i="43" s="1"/>
  <c r="F308" i="39"/>
  <c r="CD308" i="39" s="1"/>
  <c r="Z349" i="39"/>
  <c r="Z348" i="39"/>
  <c r="E52" i="6"/>
  <c r="D35" i="30" s="1"/>
  <c r="B39" i="6"/>
  <c r="C22" i="30" s="1"/>
  <c r="Q143" i="42"/>
  <c r="Y151" i="41"/>
  <c r="Q304" i="39"/>
  <c r="CZ304" i="39" s="1"/>
  <c r="CK139" i="42"/>
  <c r="Q23" i="38"/>
  <c r="AE18" i="43"/>
  <c r="Y143" i="42"/>
  <c r="Y304" i="39"/>
  <c r="DP304" i="39" s="1"/>
  <c r="CS139" i="42"/>
  <c r="Y23" i="38"/>
  <c r="M143" i="42"/>
  <c r="Q151" i="41"/>
  <c r="AE14" i="43"/>
  <c r="M304" i="39"/>
  <c r="CR304" i="39" s="1"/>
  <c r="CG139" i="42"/>
  <c r="M23" i="38"/>
  <c r="U143" i="42"/>
  <c r="U304" i="39"/>
  <c r="DH304" i="39" s="1"/>
  <c r="CO139" i="42"/>
  <c r="AG151" i="41"/>
  <c r="U23" i="38"/>
  <c r="BG298" i="42"/>
  <c r="BG297" i="42"/>
  <c r="S349" i="39"/>
  <c r="S348" i="39"/>
  <c r="AO151" i="41"/>
  <c r="S143" i="42"/>
  <c r="CM139" i="42"/>
  <c r="AC151" i="41"/>
  <c r="S23" i="38"/>
  <c r="S304" i="39"/>
  <c r="DD304" i="39" s="1"/>
  <c r="HJ2" i="43"/>
  <c r="AR348" i="39"/>
  <c r="EY2" i="44"/>
  <c r="AD179" i="42"/>
  <c r="AI199" i="42" s="1"/>
  <c r="AY2" i="44"/>
  <c r="AR298" i="42"/>
  <c r="H298" i="42"/>
  <c r="AU411" i="39"/>
  <c r="EZ2" i="44"/>
  <c r="AU413" i="39"/>
  <c r="DN2" i="43"/>
  <c r="BZ171" i="41"/>
  <c r="Q41" i="38"/>
  <c r="ES2" i="44"/>
  <c r="AD178" i="42"/>
  <c r="AI198" i="42" s="1"/>
  <c r="AH198" i="42"/>
  <c r="ON2" i="43"/>
  <c r="FE2" i="44"/>
  <c r="W38" i="38"/>
  <c r="DZ2" i="43"/>
  <c r="EV2" i="44"/>
  <c r="FG2" i="44"/>
  <c r="HO2" i="43"/>
  <c r="S42" i="38"/>
  <c r="HY2" i="43"/>
  <c r="AE178" i="42"/>
  <c r="AI202" i="42" s="1"/>
  <c r="AH202" i="42"/>
  <c r="K331" i="39"/>
  <c r="DQ2" i="43"/>
  <c r="AQ366" i="42"/>
  <c r="IT2" i="43"/>
  <c r="BK2" i="44"/>
  <c r="GT2" i="43"/>
  <c r="ET2" i="44"/>
  <c r="DR2" i="44"/>
  <c r="DP2" i="43"/>
  <c r="U37" i="38"/>
  <c r="EO2" i="44"/>
  <c r="OB2" i="43"/>
  <c r="EB2" i="43"/>
  <c r="DY2" i="43"/>
  <c r="AE176" i="42"/>
  <c r="AI200" i="42" s="1"/>
  <c r="BW22" i="43" s="1"/>
  <c r="FA2" i="44"/>
  <c r="G349" i="39"/>
  <c r="AQ298" i="42"/>
  <c r="GS2" i="43"/>
  <c r="BZ177" i="41"/>
  <c r="GZ2" i="43"/>
  <c r="AW363" i="42"/>
  <c r="AS369" i="42"/>
  <c r="IW2" i="43" s="1"/>
  <c r="AD176" i="42"/>
  <c r="AI196" i="42" s="1"/>
  <c r="BW17" i="43" s="1"/>
  <c r="AW232" i="38"/>
  <c r="AW142" i="38"/>
  <c r="AU412" i="39"/>
  <c r="BB2" i="44"/>
  <c r="HC2" i="43"/>
  <c r="N363" i="42"/>
  <c r="AQ368" i="42"/>
  <c r="Q42" i="38"/>
  <c r="AE177" i="42"/>
  <c r="AI201" i="42" s="1"/>
  <c r="BJ2" i="44"/>
  <c r="AQ348" i="39"/>
  <c r="NT2" i="43"/>
  <c r="AS413" i="39"/>
  <c r="AV413" i="39" s="1"/>
  <c r="AV412" i="39"/>
  <c r="H330" i="39"/>
  <c r="N414" i="39" s="1"/>
  <c r="C152" i="41"/>
  <c r="AC179" i="42"/>
  <c r="F28" i="38"/>
  <c r="AH197" i="42"/>
  <c r="AV411" i="39"/>
  <c r="EA2" i="43"/>
  <c r="BA2" i="44"/>
  <c r="BZ170" i="41"/>
  <c r="DL2" i="43"/>
  <c r="Q37" i="38"/>
  <c r="BU346" i="39"/>
  <c r="ER2" i="44"/>
  <c r="AC177" i="42"/>
  <c r="EN2" i="44"/>
  <c r="F309" i="39"/>
  <c r="CD309" i="39" s="1"/>
  <c r="BZ144" i="42"/>
  <c r="BF156" i="41" s="1"/>
  <c r="BD34" i="43" s="1"/>
  <c r="K330" i="39"/>
  <c r="AW414" i="39" s="1"/>
  <c r="AS358" i="42"/>
  <c r="IM2" i="43" s="1"/>
  <c r="IV2" i="43"/>
  <c r="S37" i="38"/>
  <c r="L232" i="38" s="1"/>
  <c r="EU2" i="44"/>
  <c r="GY2" i="43"/>
  <c r="C148" i="41"/>
  <c r="BZ136" i="42"/>
  <c r="BF148" i="41" s="1"/>
  <c r="AX34" i="43" s="1"/>
  <c r="F20" i="38"/>
  <c r="EX2" i="44"/>
  <c r="HN2" i="43"/>
  <c r="F301" i="39"/>
  <c r="CD301" i="39" s="1"/>
  <c r="AH203" i="42"/>
  <c r="AE179" i="42"/>
  <c r="AI203" i="42" s="1"/>
  <c r="H331" i="39"/>
  <c r="AZ2" i="44"/>
  <c r="BZ178" i="41"/>
  <c r="BC2" i="44"/>
  <c r="U38" i="38"/>
  <c r="F305" i="39"/>
  <c r="CD305" i="39" s="1"/>
  <c r="BZ140" i="42"/>
  <c r="BF152" i="41" s="1"/>
  <c r="BA34" i="43" s="1"/>
  <c r="NM2" i="43"/>
  <c r="AV409" i="39"/>
  <c r="P11" i="6"/>
  <c r="S38" i="3"/>
  <c r="D39" i="6"/>
  <c r="E54" i="6"/>
  <c r="D37" i="30" s="1"/>
  <c r="E53" i="6"/>
  <c r="D36" i="30" s="1"/>
  <c r="IL2" i="43"/>
  <c r="DI2" i="43"/>
  <c r="OT2" i="43"/>
  <c r="AU358" i="42"/>
  <c r="AV362" i="42"/>
  <c r="AV359" i="42"/>
  <c r="AT363" i="42"/>
  <c r="AX362" i="42" s="1"/>
  <c r="AV360" i="42"/>
  <c r="AU362" i="42"/>
  <c r="FG63" i="20" l="1"/>
  <c r="GW63" i="20" s="1"/>
  <c r="GC63" i="20"/>
  <c r="GB63" i="20"/>
  <c r="CQ64" i="20"/>
  <c r="EW61" i="20"/>
  <c r="FF61" i="20"/>
  <c r="EA64" i="20"/>
  <c r="GA61" i="20"/>
  <c r="N14" i="28"/>
  <c r="I14" i="28"/>
  <c r="DC64" i="20"/>
  <c r="BA81" i="41"/>
  <c r="CY79" i="42"/>
  <c r="E84" i="41"/>
  <c r="CA82" i="42"/>
  <c r="AM82" i="42"/>
  <c r="AJ82" i="42"/>
  <c r="P106" i="41"/>
  <c r="P124" i="41" s="1"/>
  <c r="CF103" i="42"/>
  <c r="O90" i="41"/>
  <c r="CF88" i="42"/>
  <c r="AH68" i="41"/>
  <c r="CO67" i="42"/>
  <c r="BI106" i="41"/>
  <c r="DC103" i="42"/>
  <c r="AL103" i="41"/>
  <c r="AL123" i="41" s="1"/>
  <c r="BG127" i="42"/>
  <c r="CE100" i="42"/>
  <c r="M103" i="41"/>
  <c r="BG106" i="41"/>
  <c r="DB103" i="42"/>
  <c r="AK90" i="41"/>
  <c r="CQ88" i="42"/>
  <c r="AF81" i="41"/>
  <c r="CN79" i="42"/>
  <c r="AC81" i="41"/>
  <c r="CM79" i="42"/>
  <c r="X84" i="41"/>
  <c r="CJ82" i="42"/>
  <c r="BC68" i="41"/>
  <c r="CZ67" i="42"/>
  <c r="BC59" i="41"/>
  <c r="CZ58" i="42"/>
  <c r="BO127" i="42"/>
  <c r="CY58" i="42"/>
  <c r="CU109" i="42"/>
  <c r="AS112" i="41"/>
  <c r="X106" i="41"/>
  <c r="CJ103" i="42"/>
  <c r="DB100" i="42"/>
  <c r="BG103" i="41"/>
  <c r="N106" i="41"/>
  <c r="N124" i="41" s="1"/>
  <c r="CE103" i="42"/>
  <c r="M81" i="41"/>
  <c r="CE79" i="42"/>
  <c r="CO58" i="42"/>
  <c r="AG59" i="41"/>
  <c r="AE62" i="41"/>
  <c r="CN61" i="42"/>
  <c r="AY40" i="41"/>
  <c r="CX40" i="42"/>
  <c r="AO40" i="41"/>
  <c r="CS40" i="42"/>
  <c r="BI127" i="42"/>
  <c r="AE40" i="41"/>
  <c r="CN40" i="42"/>
  <c r="AH46" i="41"/>
  <c r="CO46" i="42"/>
  <c r="CD37" i="42"/>
  <c r="K37" i="41"/>
  <c r="AF37" i="41"/>
  <c r="BD127" i="42"/>
  <c r="AS127" i="42"/>
  <c r="J15" i="41"/>
  <c r="BW16" i="42"/>
  <c r="BT16" i="42"/>
  <c r="AQ323" i="39"/>
  <c r="AQ325" i="39"/>
  <c r="AE217" i="38"/>
  <c r="AE165" i="38" s="1"/>
  <c r="AE213" i="38"/>
  <c r="AE218" i="38"/>
  <c r="AE214" i="38"/>
  <c r="AE189" i="38"/>
  <c r="AZ199" i="38"/>
  <c r="AZ208" i="38"/>
  <c r="AZ207" i="38"/>
  <c r="AZ198" i="38"/>
  <c r="Q340" i="39"/>
  <c r="Q343" i="39" s="1"/>
  <c r="BA340" i="39"/>
  <c r="BA343" i="39" s="1"/>
  <c r="Q342" i="39"/>
  <c r="BA341" i="39"/>
  <c r="Q341" i="39"/>
  <c r="BA342" i="39"/>
  <c r="AI189" i="38"/>
  <c r="AI217" i="38"/>
  <c r="AI165" i="38" s="1"/>
  <c r="AI213" i="38"/>
  <c r="AI218" i="38"/>
  <c r="AI214" i="38"/>
  <c r="BL208" i="38"/>
  <c r="BL199" i="38"/>
  <c r="BL207" i="38"/>
  <c r="BL198" i="38"/>
  <c r="N208" i="38"/>
  <c r="N199" i="38"/>
  <c r="N207" i="38"/>
  <c r="N198" i="38"/>
  <c r="AS160" i="38"/>
  <c r="I160" i="38"/>
  <c r="I159" i="38"/>
  <c r="I162" i="38" s="1"/>
  <c r="AS161" i="38"/>
  <c r="AS159" i="38"/>
  <c r="AS162" i="38" s="1"/>
  <c r="I161" i="38"/>
  <c r="K67" i="38"/>
  <c r="K70" i="38" s="1"/>
  <c r="AU68" i="38"/>
  <c r="K69" i="38"/>
  <c r="AU69" i="38"/>
  <c r="K68" i="38"/>
  <c r="AU67" i="38"/>
  <c r="AU70" i="38" s="1"/>
  <c r="BG17" i="39"/>
  <c r="DK292" i="39" s="1"/>
  <c r="BF246" i="42"/>
  <c r="CI23" i="43"/>
  <c r="BF133" i="42"/>
  <c r="AJ140" i="41"/>
  <c r="AS23" i="43" s="1"/>
  <c r="AZ164" i="38"/>
  <c r="BI341" i="39"/>
  <c r="Y341" i="39"/>
  <c r="Y342" i="39"/>
  <c r="Y340" i="39"/>
  <c r="Y343" i="39" s="1"/>
  <c r="BI342" i="39"/>
  <c r="BI340" i="39"/>
  <c r="BI343" i="39" s="1"/>
  <c r="N164" i="38"/>
  <c r="AZ81" i="38"/>
  <c r="AZ82" i="38"/>
  <c r="BA81" i="38"/>
  <c r="BA82" i="38"/>
  <c r="BS50" i="38"/>
  <c r="BS66" i="38" s="1"/>
  <c r="AI297" i="42"/>
  <c r="BS297" i="42"/>
  <c r="O338" i="42"/>
  <c r="O329" i="42"/>
  <c r="AX115" i="38"/>
  <c r="AX106" i="38"/>
  <c r="BC343" i="42"/>
  <c r="BC294" i="42" s="1"/>
  <c r="BC344" i="42"/>
  <c r="BC319" i="42"/>
  <c r="BC348" i="42"/>
  <c r="BC347" i="42"/>
  <c r="BC295" i="42" s="1"/>
  <c r="BC142" i="42"/>
  <c r="BC144" i="42"/>
  <c r="AD153" i="41"/>
  <c r="BB20" i="43" s="1"/>
  <c r="CR20" i="43"/>
  <c r="BD31" i="39"/>
  <c r="DE306" i="39" s="1"/>
  <c r="BO112" i="38"/>
  <c r="BO102" i="38"/>
  <c r="BO103" i="38"/>
  <c r="BO101" i="38"/>
  <c r="BO105" i="38"/>
  <c r="BO111" i="38"/>
  <c r="BO114" i="38"/>
  <c r="BO113" i="38"/>
  <c r="BO110" i="38"/>
  <c r="BO104" i="38"/>
  <c r="BP12" i="41"/>
  <c r="Q379" i="42"/>
  <c r="BK12" i="41"/>
  <c r="L379" i="42"/>
  <c r="BK79" i="41"/>
  <c r="BK121" i="41" s="1"/>
  <c r="BK138" i="41" s="1"/>
  <c r="L380" i="42"/>
  <c r="BK78" i="41"/>
  <c r="BK75" i="41"/>
  <c r="AJ74" i="42"/>
  <c r="BK100" i="41"/>
  <c r="BP57" i="41"/>
  <c r="BP121" i="41" s="1"/>
  <c r="BP138" i="41" s="1"/>
  <c r="Q380" i="42"/>
  <c r="AM16" i="38"/>
  <c r="BP144" i="41"/>
  <c r="AM297" i="39"/>
  <c r="EP297" i="39" s="1"/>
  <c r="X83" i="38"/>
  <c r="X81" i="38"/>
  <c r="X82" i="38"/>
  <c r="BH83" i="38"/>
  <c r="AY112" i="38"/>
  <c r="AY102" i="38"/>
  <c r="AY105" i="38"/>
  <c r="AY110" i="38"/>
  <c r="AY111" i="38"/>
  <c r="AY113" i="38"/>
  <c r="AY106" i="38"/>
  <c r="AY101" i="38"/>
  <c r="AY103" i="38"/>
  <c r="AY104" i="38"/>
  <c r="AY115" i="38"/>
  <c r="AY114" i="38"/>
  <c r="AQ33" i="39"/>
  <c r="CE308" i="39" s="1"/>
  <c r="D155" i="41"/>
  <c r="D145" i="41"/>
  <c r="AQ23" i="39"/>
  <c r="CE298" i="39" s="1"/>
  <c r="BW132" i="42"/>
  <c r="BW22" i="39" s="1"/>
  <c r="EQ297" i="39" s="1"/>
  <c r="BW97" i="42"/>
  <c r="DF97" i="42" s="1"/>
  <c r="BW61" i="42"/>
  <c r="BW76" i="42"/>
  <c r="DF76" i="42" s="1"/>
  <c r="BT61" i="42"/>
  <c r="BW139" i="42"/>
  <c r="BW29" i="39" s="1"/>
  <c r="EQ304" i="39" s="1"/>
  <c r="BW55" i="42"/>
  <c r="BT15" i="42"/>
  <c r="BW96" i="42"/>
  <c r="BT55" i="42"/>
  <c r="BW13" i="42"/>
  <c r="DF13" i="42" s="1"/>
  <c r="BT66" i="42"/>
  <c r="BT40" i="42"/>
  <c r="BT45" i="42"/>
  <c r="BW24" i="42"/>
  <c r="BT14" i="42"/>
  <c r="BT31" i="42"/>
  <c r="BT132" i="42"/>
  <c r="BT136" i="42"/>
  <c r="BW130" i="42"/>
  <c r="BT94" i="42"/>
  <c r="BW75" i="42"/>
  <c r="BW57" i="42"/>
  <c r="BT34" i="42"/>
  <c r="BT97" i="42"/>
  <c r="BT73" i="42"/>
  <c r="BW54" i="42"/>
  <c r="BT131" i="42"/>
  <c r="BT99" i="42"/>
  <c r="BW36" i="42"/>
  <c r="DF36" i="42" s="1"/>
  <c r="BW10" i="42"/>
  <c r="BT139" i="42"/>
  <c r="BW78" i="42"/>
  <c r="DF78" i="42" s="1"/>
  <c r="BW33" i="42"/>
  <c r="BT10" i="42"/>
  <c r="BW45" i="42"/>
  <c r="BW94" i="42"/>
  <c r="DF94" i="42" s="1"/>
  <c r="BT35" i="42"/>
  <c r="BW99" i="42"/>
  <c r="BW40" i="42"/>
  <c r="BW131" i="42"/>
  <c r="BW21" i="39" s="1"/>
  <c r="EQ296" i="39" s="1"/>
  <c r="BW87" i="42"/>
  <c r="BW88" i="42" s="1"/>
  <c r="BT56" i="42"/>
  <c r="BT87" i="42"/>
  <c r="BW52" i="42"/>
  <c r="BW108" i="42"/>
  <c r="BW109" i="42" s="1"/>
  <c r="BW56" i="42"/>
  <c r="DF56" i="42" s="1"/>
  <c r="BW143" i="42"/>
  <c r="BW33" i="39" s="1"/>
  <c r="EQ308" i="39" s="1"/>
  <c r="BW31" i="42"/>
  <c r="DF31" i="42" s="1"/>
  <c r="BT33" i="42"/>
  <c r="BT143" i="42"/>
  <c r="BT78" i="42"/>
  <c r="BW35" i="42"/>
  <c r="DF35" i="42" s="1"/>
  <c r="BT75" i="42"/>
  <c r="BT52" i="42"/>
  <c r="BT79" i="42"/>
  <c r="BT12" i="42"/>
  <c r="BW34" i="42"/>
  <c r="BW19" i="42"/>
  <c r="BW14" i="42"/>
  <c r="DF14" i="42" s="1"/>
  <c r="BT135" i="42"/>
  <c r="BT108" i="42"/>
  <c r="BW73" i="42"/>
  <c r="DF73" i="42" s="1"/>
  <c r="BW66" i="42"/>
  <c r="BW67" i="42" s="1"/>
  <c r="BW135" i="42"/>
  <c r="BW25" i="39" s="1"/>
  <c r="EQ300" i="39" s="1"/>
  <c r="BT98" i="42"/>
  <c r="BT19" i="42"/>
  <c r="BW136" i="42"/>
  <c r="BW26" i="39" s="1"/>
  <c r="EQ301" i="39" s="1"/>
  <c r="BW77" i="42"/>
  <c r="DF77" i="42" s="1"/>
  <c r="BT76" i="42"/>
  <c r="DD76" i="42" s="1"/>
  <c r="BT77" i="42"/>
  <c r="BW15" i="42"/>
  <c r="BT13" i="42"/>
  <c r="DD13" i="42" s="1"/>
  <c r="BT96" i="42"/>
  <c r="BW98" i="42"/>
  <c r="DF98" i="42" s="1"/>
  <c r="BT57" i="42"/>
  <c r="BW79" i="42"/>
  <c r="BW12" i="42"/>
  <c r="BW11" i="42" s="1"/>
  <c r="BT36" i="42"/>
  <c r="BT54" i="42"/>
  <c r="BT24" i="42"/>
  <c r="BD82" i="38"/>
  <c r="BD81" i="38"/>
  <c r="AU294" i="42"/>
  <c r="BQ398" i="39"/>
  <c r="BQ346" i="39" s="1"/>
  <c r="BQ399" i="39"/>
  <c r="BQ370" i="39"/>
  <c r="BQ395" i="39"/>
  <c r="BQ394" i="39"/>
  <c r="BQ345" i="39" s="1"/>
  <c r="V389" i="39"/>
  <c r="V380" i="39"/>
  <c r="V379" i="39"/>
  <c r="O337" i="42"/>
  <c r="V345" i="39"/>
  <c r="FJ40" i="20"/>
  <c r="FJ43" i="20" s="1"/>
  <c r="U14" i="28" s="1"/>
  <c r="GE40" i="20"/>
  <c r="GE43" i="20" s="1"/>
  <c r="S120" i="9"/>
  <c r="W120" i="9" s="1"/>
  <c r="T120" i="9"/>
  <c r="T125" i="9" s="1"/>
  <c r="V120" i="9"/>
  <c r="V125" i="9" s="1"/>
  <c r="X35" i="23" s="1"/>
  <c r="X36" i="23" s="1"/>
  <c r="U120" i="9"/>
  <c r="U125" i="9" s="1"/>
  <c r="W35" i="23" s="1"/>
  <c r="W36" i="23" s="1"/>
  <c r="M111" i="9"/>
  <c r="J111" i="9"/>
  <c r="W111" i="9" s="1"/>
  <c r="K111" i="9"/>
  <c r="L111" i="9"/>
  <c r="D20" i="34"/>
  <c r="C21" i="34"/>
  <c r="C58" i="34" s="1"/>
  <c r="FH40" i="20"/>
  <c r="P41" i="23"/>
  <c r="P20" i="23"/>
  <c r="FG25" i="20"/>
  <c r="GB25" i="20"/>
  <c r="GC25" i="20"/>
  <c r="F148" i="9"/>
  <c r="F149" i="9"/>
  <c r="F147" i="9"/>
  <c r="H147" i="9"/>
  <c r="H148" i="9"/>
  <c r="H149" i="9"/>
  <c r="K149" i="9"/>
  <c r="K147" i="9"/>
  <c r="K148" i="9"/>
  <c r="FR49" i="20"/>
  <c r="FR48" i="20"/>
  <c r="FR33" i="20"/>
  <c r="FR14" i="20"/>
  <c r="FR35" i="20"/>
  <c r="FR28" i="20"/>
  <c r="FR16" i="20"/>
  <c r="FR46" i="20"/>
  <c r="FR39" i="20"/>
  <c r="FR19" i="20"/>
  <c r="FR27" i="20"/>
  <c r="FR50" i="20"/>
  <c r="FR41" i="20"/>
  <c r="FR52" i="20"/>
  <c r="FR34" i="20"/>
  <c r="FR17" i="20"/>
  <c r="FR51" i="20"/>
  <c r="FR15" i="20"/>
  <c r="FR25" i="20"/>
  <c r="FR40" i="20"/>
  <c r="FR42" i="20"/>
  <c r="FR26" i="20"/>
  <c r="FR61" i="20"/>
  <c r="FR18" i="20"/>
  <c r="FR56" i="20"/>
  <c r="FR47" i="20"/>
  <c r="FR24" i="20"/>
  <c r="FR30" i="20" s="1"/>
  <c r="FR29" i="20"/>
  <c r="FR13" i="20"/>
  <c r="FR21" i="20" s="1"/>
  <c r="FR20" i="20"/>
  <c r="FR57" i="20"/>
  <c r="FR62" i="20"/>
  <c r="FT51" i="20"/>
  <c r="FT35" i="20"/>
  <c r="FT39" i="20"/>
  <c r="FT18" i="20"/>
  <c r="FT25" i="20"/>
  <c r="FT48" i="20"/>
  <c r="FT17" i="20"/>
  <c r="FT62" i="20"/>
  <c r="FT33" i="20"/>
  <c r="FT36" i="20" s="1"/>
  <c r="FT61" i="20"/>
  <c r="FT13" i="20"/>
  <c r="FT20" i="20"/>
  <c r="FT49" i="20"/>
  <c r="FT15" i="20"/>
  <c r="FT47" i="20"/>
  <c r="FT41" i="20"/>
  <c r="FT16" i="20"/>
  <c r="FT57" i="20"/>
  <c r="FT19" i="20"/>
  <c r="FT27" i="20"/>
  <c r="FT14" i="20"/>
  <c r="FT29" i="20"/>
  <c r="FT56" i="20"/>
  <c r="FT58" i="20" s="1"/>
  <c r="FT52" i="20"/>
  <c r="FT42" i="20"/>
  <c r="FT34" i="20"/>
  <c r="FT24" i="20"/>
  <c r="FT46" i="20"/>
  <c r="FT50" i="20"/>
  <c r="GC20" i="20"/>
  <c r="GC33" i="20"/>
  <c r="GB24" i="20"/>
  <c r="GB27" i="20"/>
  <c r="GB33" i="20"/>
  <c r="GC51" i="20"/>
  <c r="GC46" i="20"/>
  <c r="GB42" i="20"/>
  <c r="GC27" i="20"/>
  <c r="GB48" i="20"/>
  <c r="GC57" i="20"/>
  <c r="GB19" i="20"/>
  <c r="GB16" i="20"/>
  <c r="GB49" i="20"/>
  <c r="GC13" i="20"/>
  <c r="GC41" i="20"/>
  <c r="GC34" i="20"/>
  <c r="GC35" i="20"/>
  <c r="GB62" i="20"/>
  <c r="GC18" i="20"/>
  <c r="GB28" i="20"/>
  <c r="GB46" i="20"/>
  <c r="GC48" i="20"/>
  <c r="GB20" i="20"/>
  <c r="GB15" i="20"/>
  <c r="GC14" i="20"/>
  <c r="GB29" i="20"/>
  <c r="GB18" i="20"/>
  <c r="GC17" i="20"/>
  <c r="GB56" i="20"/>
  <c r="GB58" i="20" s="1"/>
  <c r="GB17" i="20"/>
  <c r="GB41" i="20"/>
  <c r="GC42" i="20"/>
  <c r="GB51" i="20"/>
  <c r="GC16" i="20"/>
  <c r="GC19" i="20"/>
  <c r="GB57" i="20"/>
  <c r="GC39" i="20"/>
  <c r="GC56" i="20"/>
  <c r="GC58" i="20" s="1"/>
  <c r="GB47" i="20"/>
  <c r="GB34" i="20"/>
  <c r="GC62" i="20"/>
  <c r="GC47" i="20"/>
  <c r="GC15" i="20"/>
  <c r="GC52" i="20"/>
  <c r="GB39" i="20"/>
  <c r="GC24" i="20"/>
  <c r="GB35" i="20"/>
  <c r="GB52" i="20"/>
  <c r="EP43" i="20"/>
  <c r="EP61" i="20" s="1"/>
  <c r="S42" i="34"/>
  <c r="S34" i="34"/>
  <c r="E35" i="34"/>
  <c r="E48" i="34"/>
  <c r="E51" i="34" s="1"/>
  <c r="E56" i="34" s="1"/>
  <c r="GB14" i="20"/>
  <c r="FX49" i="20"/>
  <c r="FX62" i="20"/>
  <c r="GA36" i="20"/>
  <c r="N206" i="42"/>
  <c r="EQ43" i="20"/>
  <c r="F34" i="34"/>
  <c r="F42" i="34"/>
  <c r="FX35" i="20"/>
  <c r="FX41" i="20"/>
  <c r="FX24" i="20"/>
  <c r="N33" i="3"/>
  <c r="O27" i="28"/>
  <c r="C17" i="6"/>
  <c r="D17" i="6"/>
  <c r="GF30" i="20"/>
  <c r="GF21" i="20"/>
  <c r="FS53" i="20"/>
  <c r="FS63" i="20" s="1"/>
  <c r="EH61" i="20"/>
  <c r="EH64" i="20" s="1"/>
  <c r="EY30" i="20"/>
  <c r="J13" i="9"/>
  <c r="L13" i="9" s="1"/>
  <c r="E9" i="29"/>
  <c r="S9" i="29" s="1"/>
  <c r="AF64" i="20"/>
  <c r="AH64" i="20" s="1"/>
  <c r="AH61" i="20"/>
  <c r="D42" i="34"/>
  <c r="D34" i="34"/>
  <c r="C73" i="34"/>
  <c r="FX14" i="20"/>
  <c r="M33" i="3"/>
  <c r="N27" i="28"/>
  <c r="Q14" i="28"/>
  <c r="DS64" i="20"/>
  <c r="FD61" i="20"/>
  <c r="DB64" i="20"/>
  <c r="EZ36" i="20"/>
  <c r="G16" i="34"/>
  <c r="B42" i="34"/>
  <c r="B34" i="34"/>
  <c r="B46" i="34"/>
  <c r="K17" i="6"/>
  <c r="O33" i="3"/>
  <c r="P27" i="28"/>
  <c r="C70" i="34"/>
  <c r="C72" i="34" s="1"/>
  <c r="C57" i="34"/>
  <c r="C59" i="34" s="1"/>
  <c r="L13" i="6"/>
  <c r="C140" i="9"/>
  <c r="O16" i="28"/>
  <c r="O35" i="28" s="1"/>
  <c r="FT26" i="20"/>
  <c r="N61" i="20"/>
  <c r="P35" i="34"/>
  <c r="P48" i="34"/>
  <c r="P51" i="34" s="1"/>
  <c r="P56" i="34" s="1"/>
  <c r="H7" i="31"/>
  <c r="G8" i="31"/>
  <c r="G43" i="31"/>
  <c r="H103" i="41"/>
  <c r="H123" i="41" s="1"/>
  <c r="CB100" i="42"/>
  <c r="BH103" i="41" s="1"/>
  <c r="BW100" i="42"/>
  <c r="BT100" i="42"/>
  <c r="AQ106" i="41"/>
  <c r="CT103" i="42"/>
  <c r="G81" i="41"/>
  <c r="CB79" i="42"/>
  <c r="BH81" i="41" s="1"/>
  <c r="AM79" i="42"/>
  <c r="AJ79" i="42"/>
  <c r="AC106" i="41"/>
  <c r="CM103" i="42"/>
  <c r="AH81" i="41"/>
  <c r="CO79" i="42"/>
  <c r="AE68" i="41"/>
  <c r="CN67" i="42"/>
  <c r="AV106" i="41"/>
  <c r="CZ103" i="42"/>
  <c r="CA103" i="42"/>
  <c r="E106" i="41"/>
  <c r="AM103" i="42"/>
  <c r="AJ103" i="42"/>
  <c r="N103" i="41"/>
  <c r="N123" i="41" s="1"/>
  <c r="AU127" i="42"/>
  <c r="AI106" i="41"/>
  <c r="CP103" i="42"/>
  <c r="AU84" i="41"/>
  <c r="CV82" i="42"/>
  <c r="P81" i="41"/>
  <c r="P123" i="41" s="1"/>
  <c r="AV127" i="42"/>
  <c r="O81" i="41"/>
  <c r="CF79" i="42"/>
  <c r="T81" i="41"/>
  <c r="CH79" i="42"/>
  <c r="AB62" i="41"/>
  <c r="CL61" i="42"/>
  <c r="W59" i="41"/>
  <c r="CJ58" i="42"/>
  <c r="CE109" i="42"/>
  <c r="M112" i="41"/>
  <c r="U106" i="41"/>
  <c r="CI103" i="42"/>
  <c r="AQ103" i="41"/>
  <c r="CT100" i="42"/>
  <c r="AA106" i="41"/>
  <c r="CL103" i="42"/>
  <c r="Z81" i="41"/>
  <c r="CK79" i="42"/>
  <c r="AK84" i="41"/>
  <c r="CQ82" i="42"/>
  <c r="AG62" i="41"/>
  <c r="CO61" i="42"/>
  <c r="T59" i="41"/>
  <c r="T123" i="41" s="1"/>
  <c r="AX127" i="42"/>
  <c r="CH58" i="42"/>
  <c r="CG58" i="42"/>
  <c r="Q59" i="41"/>
  <c r="AM58" i="42"/>
  <c r="CR103" i="42"/>
  <c r="X37" i="41"/>
  <c r="X123" i="41" s="1"/>
  <c r="CJ37" i="42"/>
  <c r="AZ127" i="42"/>
  <c r="Q40" i="41"/>
  <c r="CG40" i="42"/>
  <c r="CS37" i="42"/>
  <c r="AO37" i="41"/>
  <c r="AB40" i="41"/>
  <c r="AB124" i="41" s="1"/>
  <c r="CL40" i="42"/>
  <c r="Y40" i="41"/>
  <c r="CK40" i="42"/>
  <c r="Z46" i="41"/>
  <c r="CK46" i="42"/>
  <c r="CT40" i="42"/>
  <c r="AQ40" i="41"/>
  <c r="CN37" i="42"/>
  <c r="AN9" i="40"/>
  <c r="AN41" i="40"/>
  <c r="BL323" i="39"/>
  <c r="BL325" i="39"/>
  <c r="O217" i="38"/>
  <c r="O189" i="38"/>
  <c r="O214" i="38"/>
  <c r="O213" i="38"/>
  <c r="O164" i="38" s="1"/>
  <c r="O218" i="38"/>
  <c r="AH208" i="38"/>
  <c r="AH199" i="38"/>
  <c r="AH198" i="38"/>
  <c r="AH207" i="38"/>
  <c r="AJ159" i="38"/>
  <c r="H236" i="38" s="1"/>
  <c r="AJ162" i="38"/>
  <c r="H227" i="38" s="1"/>
  <c r="AJ163" i="38"/>
  <c r="H228" i="38" s="1"/>
  <c r="AJ164" i="38"/>
  <c r="H229" i="38" s="1"/>
  <c r="AJ165" i="38"/>
  <c r="H230" i="38" s="1"/>
  <c r="AJ161" i="38"/>
  <c r="H238" i="38" s="1"/>
  <c r="AJ160" i="38"/>
  <c r="H237" i="38" s="1"/>
  <c r="AU96" i="38"/>
  <c r="AV96" i="38"/>
  <c r="AR68" i="38"/>
  <c r="AR67" i="38"/>
  <c r="AR70" i="38" s="1"/>
  <c r="H68" i="38"/>
  <c r="H69" i="38"/>
  <c r="AR69" i="38"/>
  <c r="H67" i="38"/>
  <c r="H70" i="38" s="1"/>
  <c r="BS218" i="38"/>
  <c r="BS213" i="38"/>
  <c r="BS164" i="38" s="1"/>
  <c r="BS217" i="38"/>
  <c r="BS165" i="38" s="1"/>
  <c r="BS214" i="38"/>
  <c r="BS189" i="38"/>
  <c r="X213" i="38"/>
  <c r="X164" i="38" s="1"/>
  <c r="X217" i="38"/>
  <c r="X189" i="38"/>
  <c r="X214" i="38"/>
  <c r="X218" i="38"/>
  <c r="BA199" i="38"/>
  <c r="BA208" i="38"/>
  <c r="BA207" i="38"/>
  <c r="BA198" i="38"/>
  <c r="AI67" i="38"/>
  <c r="AI70" i="38" s="1"/>
  <c r="BS69" i="38"/>
  <c r="AI69" i="38"/>
  <c r="BS68" i="38"/>
  <c r="AI68" i="38"/>
  <c r="BS67" i="38"/>
  <c r="BS70" i="38" s="1"/>
  <c r="AZ68" i="38"/>
  <c r="P68" i="38"/>
  <c r="P67" i="38"/>
  <c r="P70" i="38" s="1"/>
  <c r="AZ69" i="38"/>
  <c r="AZ67" i="38"/>
  <c r="AZ70" i="38" s="1"/>
  <c r="P69" i="38"/>
  <c r="T67" i="38"/>
  <c r="T70" i="38" s="1"/>
  <c r="BD69" i="38"/>
  <c r="T68" i="38"/>
  <c r="BD68" i="38"/>
  <c r="T69" i="38"/>
  <c r="BD67" i="38"/>
  <c r="BD70" i="38" s="1"/>
  <c r="AR127" i="42"/>
  <c r="BM50" i="38"/>
  <c r="BM66" i="38" s="1"/>
  <c r="BM297" i="42"/>
  <c r="AC297" i="42"/>
  <c r="AC343" i="42"/>
  <c r="AC348" i="42"/>
  <c r="AC319" i="42"/>
  <c r="AC347" i="42"/>
  <c r="AC344" i="42"/>
  <c r="BI82" i="38"/>
  <c r="BI81" i="38"/>
  <c r="BA343" i="42"/>
  <c r="BA294" i="42" s="1"/>
  <c r="BA344" i="42"/>
  <c r="BA319" i="42"/>
  <c r="BA348" i="42"/>
  <c r="BA347" i="42"/>
  <c r="BA295" i="42" s="1"/>
  <c r="S82" i="38"/>
  <c r="BC83" i="38"/>
  <c r="AS120" i="38" s="1"/>
  <c r="S81" i="38"/>
  <c r="S83" i="38"/>
  <c r="AE347" i="42"/>
  <c r="AE295" i="42" s="1"/>
  <c r="AE344" i="42"/>
  <c r="AE348" i="42"/>
  <c r="AE319" i="42"/>
  <c r="AE343" i="42"/>
  <c r="AV121" i="38"/>
  <c r="AV122" i="38"/>
  <c r="AV126" i="38"/>
  <c r="AV125" i="38"/>
  <c r="AV97" i="38"/>
  <c r="AX72" i="38"/>
  <c r="DF96" i="42"/>
  <c r="AM95" i="42"/>
  <c r="BP99" i="41"/>
  <c r="DF34" i="42"/>
  <c r="BP34" i="41"/>
  <c r="DD99" i="42"/>
  <c r="BK102" i="41"/>
  <c r="DF99" i="42"/>
  <c r="BP102" i="41"/>
  <c r="BK58" i="41"/>
  <c r="DD57" i="42"/>
  <c r="BK31" i="41"/>
  <c r="DD31" i="42"/>
  <c r="AJ32" i="42"/>
  <c r="DD52" i="42"/>
  <c r="BK53" i="41"/>
  <c r="AZ72" i="38"/>
  <c r="D143" i="41"/>
  <c r="AQ21" i="39"/>
  <c r="CE296" i="39" s="1"/>
  <c r="D157" i="41"/>
  <c r="AQ35" i="39"/>
  <c r="CE310" i="39" s="1"/>
  <c r="AV81" i="38"/>
  <c r="AV82" i="38"/>
  <c r="O328" i="42"/>
  <c r="CT25" i="43"/>
  <c r="AN156" i="41"/>
  <c r="BD25" i="43" s="1"/>
  <c r="BI34" i="39"/>
  <c r="DO309" i="39" s="1"/>
  <c r="Q41" i="23"/>
  <c r="Q20" i="23"/>
  <c r="M41" i="23"/>
  <c r="M20" i="23"/>
  <c r="AC345" i="39"/>
  <c r="FG26" i="20"/>
  <c r="GB26" i="20"/>
  <c r="GC26" i="20"/>
  <c r="FK40" i="20"/>
  <c r="FK43" i="20" s="1"/>
  <c r="V14" i="28" s="1"/>
  <c r="GF40" i="20"/>
  <c r="S117" i="9"/>
  <c r="S125" i="9" s="1"/>
  <c r="Q117" i="9"/>
  <c r="W117" i="9" s="1"/>
  <c r="P117" i="9"/>
  <c r="R117" i="9"/>
  <c r="R125" i="9" s="1"/>
  <c r="O41" i="23"/>
  <c r="O20" i="23"/>
  <c r="AQ432" i="42"/>
  <c r="AR431" i="42"/>
  <c r="AS431" i="42"/>
  <c r="I148" i="9"/>
  <c r="I149" i="9"/>
  <c r="I147" i="9"/>
  <c r="L147" i="9"/>
  <c r="L148" i="9"/>
  <c r="L149" i="9"/>
  <c r="M149" i="9"/>
  <c r="M147" i="9"/>
  <c r="M148" i="9"/>
  <c r="D105" i="9"/>
  <c r="D125" i="9" s="1"/>
  <c r="E105" i="9"/>
  <c r="E125" i="9" s="1"/>
  <c r="F105" i="9"/>
  <c r="G105" i="9"/>
  <c r="C125" i="9"/>
  <c r="FU46" i="20"/>
  <c r="FU24" i="20"/>
  <c r="FU25" i="20"/>
  <c r="FU19" i="20"/>
  <c r="FU27" i="20"/>
  <c r="FU35" i="20"/>
  <c r="FU26" i="20"/>
  <c r="FU61" i="20"/>
  <c r="FU47" i="20"/>
  <c r="FU56" i="20"/>
  <c r="FU58" i="20" s="1"/>
  <c r="FU15" i="20"/>
  <c r="FU34" i="20"/>
  <c r="FU42" i="20"/>
  <c r="FU28" i="20"/>
  <c r="FU41" i="20"/>
  <c r="FU48" i="20"/>
  <c r="FU13" i="20"/>
  <c r="FU16" i="20"/>
  <c r="FU33" i="20"/>
  <c r="FU49" i="20"/>
  <c r="FU62" i="20"/>
  <c r="FU20" i="20"/>
  <c r="FU57" i="20"/>
  <c r="FU17" i="20"/>
  <c r="FU51" i="20"/>
  <c r="FU18" i="20"/>
  <c r="FU50" i="20"/>
  <c r="FU29" i="20"/>
  <c r="FU39" i="20"/>
  <c r="FU43" i="20" s="1"/>
  <c r="FU40" i="20"/>
  <c r="FU14" i="20"/>
  <c r="FU52" i="20"/>
  <c r="GD14" i="20"/>
  <c r="GD42" i="20"/>
  <c r="GD20" i="20"/>
  <c r="GD26" i="20"/>
  <c r="GD39" i="20"/>
  <c r="GD48" i="20"/>
  <c r="GD35" i="20"/>
  <c r="GD24" i="20"/>
  <c r="GD19" i="20"/>
  <c r="GD46" i="20"/>
  <c r="GD33" i="20"/>
  <c r="GD27" i="20"/>
  <c r="GD41" i="20"/>
  <c r="GD16" i="20"/>
  <c r="GD13" i="20"/>
  <c r="GD62" i="20"/>
  <c r="GD28" i="20"/>
  <c r="GD40" i="20"/>
  <c r="GD29" i="20"/>
  <c r="GD51" i="20"/>
  <c r="GD52" i="20"/>
  <c r="GD47" i="20"/>
  <c r="GD34" i="20"/>
  <c r="GD49" i="20"/>
  <c r="GD50" i="20"/>
  <c r="GD57" i="20"/>
  <c r="GD56" i="20"/>
  <c r="GD58" i="20" s="1"/>
  <c r="GD18" i="20"/>
  <c r="GD25" i="20"/>
  <c r="GD17" i="20"/>
  <c r="GD15" i="20"/>
  <c r="FQ48" i="20"/>
  <c r="FQ47" i="20"/>
  <c r="FQ33" i="20"/>
  <c r="FQ57" i="20"/>
  <c r="FQ13" i="20"/>
  <c r="FQ52" i="20"/>
  <c r="FQ34" i="20"/>
  <c r="FQ35" i="20"/>
  <c r="FQ51" i="20"/>
  <c r="FQ56" i="20"/>
  <c r="FQ41" i="20"/>
  <c r="FQ50" i="20"/>
  <c r="FQ16" i="20"/>
  <c r="FQ49" i="20"/>
  <c r="FQ39" i="20"/>
  <c r="FQ26" i="20"/>
  <c r="FQ61" i="20"/>
  <c r="FQ15" i="20"/>
  <c r="FQ24" i="20"/>
  <c r="FQ17" i="20"/>
  <c r="FQ29" i="20"/>
  <c r="FQ25" i="20"/>
  <c r="FQ46" i="20"/>
  <c r="FQ40" i="20"/>
  <c r="FQ28" i="20"/>
  <c r="FQ14" i="20"/>
  <c r="FQ62" i="20"/>
  <c r="FQ27" i="20"/>
  <c r="FQ20" i="20"/>
  <c r="FQ42" i="20"/>
  <c r="FQ19" i="20"/>
  <c r="FQ18" i="20"/>
  <c r="GG56" i="20"/>
  <c r="GG28" i="20"/>
  <c r="GG27" i="20"/>
  <c r="GG26" i="20"/>
  <c r="GG20" i="20"/>
  <c r="GG19" i="20"/>
  <c r="GG51" i="20"/>
  <c r="GG16" i="20"/>
  <c r="GG24" i="20"/>
  <c r="GG15" i="20"/>
  <c r="GG29" i="20"/>
  <c r="GG62" i="20"/>
  <c r="GG52" i="20"/>
  <c r="GG35" i="20"/>
  <c r="GG41" i="20"/>
  <c r="GG57" i="20"/>
  <c r="GG14" i="20"/>
  <c r="GG17" i="20"/>
  <c r="GG48" i="20"/>
  <c r="GG47" i="20"/>
  <c r="GG40" i="20"/>
  <c r="GG13" i="20"/>
  <c r="GG25" i="20"/>
  <c r="GG50" i="20"/>
  <c r="GG39" i="20"/>
  <c r="GG46" i="20"/>
  <c r="GG49" i="20"/>
  <c r="GG34" i="20"/>
  <c r="GG33" i="20"/>
  <c r="GG18" i="20"/>
  <c r="GG42" i="20"/>
  <c r="FP20" i="20"/>
  <c r="FP46" i="20"/>
  <c r="FP27" i="20"/>
  <c r="FP13" i="20"/>
  <c r="FP47" i="20"/>
  <c r="FP18" i="20"/>
  <c r="FP19" i="20"/>
  <c r="FP40" i="20"/>
  <c r="FP16" i="20"/>
  <c r="FP49" i="20"/>
  <c r="FP26" i="20"/>
  <c r="FP56" i="20"/>
  <c r="FP58" i="20" s="1"/>
  <c r="FP57" i="20"/>
  <c r="FP14" i="20"/>
  <c r="FP52" i="20"/>
  <c r="FP50" i="20"/>
  <c r="FP34" i="20"/>
  <c r="FP25" i="20"/>
  <c r="FP42" i="20"/>
  <c r="FP39" i="20"/>
  <c r="FP43" i="20" s="1"/>
  <c r="FP24" i="20"/>
  <c r="FP28" i="20"/>
  <c r="FP15" i="20"/>
  <c r="FP48" i="20"/>
  <c r="FP41" i="20"/>
  <c r="FP33" i="20"/>
  <c r="FP29" i="20"/>
  <c r="FP17" i="20"/>
  <c r="FP35" i="20"/>
  <c r="FP51" i="20"/>
  <c r="FP61" i="20"/>
  <c r="FP62" i="20"/>
  <c r="EE30" i="20"/>
  <c r="I34" i="34"/>
  <c r="I42" i="34"/>
  <c r="N34" i="34"/>
  <c r="N42" i="34"/>
  <c r="N46" i="34"/>
  <c r="U42" i="34"/>
  <c r="U46" i="34"/>
  <c r="U34" i="34"/>
  <c r="FX27" i="20"/>
  <c r="FX18" i="20"/>
  <c r="FT40" i="20"/>
  <c r="P33" i="3"/>
  <c r="Q13" i="28" s="1"/>
  <c r="Q27" i="28"/>
  <c r="DE61" i="20"/>
  <c r="DE64" i="20" s="1"/>
  <c r="J35" i="34"/>
  <c r="J48" i="34"/>
  <c r="J51" i="34" s="1"/>
  <c r="J56" i="34" s="1"/>
  <c r="FX46" i="20"/>
  <c r="FX47" i="20"/>
  <c r="H33" i="3"/>
  <c r="I15" i="28" s="1"/>
  <c r="I27" i="28"/>
  <c r="I33" i="3"/>
  <c r="J15" i="28" s="1"/>
  <c r="J27" i="28"/>
  <c r="K33" i="3"/>
  <c r="L27" i="28"/>
  <c r="FS58" i="20"/>
  <c r="EG61" i="20"/>
  <c r="EG64" i="20" s="1"/>
  <c r="EF30" i="20"/>
  <c r="P13" i="6"/>
  <c r="S16" i="28"/>
  <c r="S35" i="28" s="1"/>
  <c r="C144" i="9"/>
  <c r="X61" i="20"/>
  <c r="T64" i="20"/>
  <c r="X64" i="20" s="1"/>
  <c r="H34" i="34"/>
  <c r="H42" i="34"/>
  <c r="GC49" i="20"/>
  <c r="FX26" i="20"/>
  <c r="L17" i="6"/>
  <c r="G407" i="42"/>
  <c r="B59" i="40"/>
  <c r="B27" i="40"/>
  <c r="EN43" i="20"/>
  <c r="EN61" i="20" s="1"/>
  <c r="O46" i="34"/>
  <c r="L33" i="3"/>
  <c r="M15" i="28" s="1"/>
  <c r="M27" i="28"/>
  <c r="N17" i="6"/>
  <c r="C13" i="6"/>
  <c r="C131" i="9"/>
  <c r="F16" i="28"/>
  <c r="F35" i="28" s="1"/>
  <c r="Q13" i="6"/>
  <c r="C145" i="9"/>
  <c r="T16" i="28"/>
  <c r="T35" i="28" s="1"/>
  <c r="J64" i="20"/>
  <c r="N64" i="20" s="1"/>
  <c r="BA103" i="41"/>
  <c r="CY100" i="42"/>
  <c r="AN84" i="41"/>
  <c r="AN124" i="41" s="1"/>
  <c r="CR82" i="42"/>
  <c r="R90" i="41"/>
  <c r="CG88" i="42"/>
  <c r="BJ103" i="41"/>
  <c r="BJ123" i="41" s="1"/>
  <c r="BS127" i="42"/>
  <c r="BI103" i="41"/>
  <c r="DC100" i="42"/>
  <c r="AE84" i="41"/>
  <c r="CN82" i="42"/>
  <c r="CZ79" i="42"/>
  <c r="BC81" i="41"/>
  <c r="AV84" i="41"/>
  <c r="AV124" i="41" s="1"/>
  <c r="CZ82" i="42"/>
  <c r="AS84" i="41"/>
  <c r="CU82" i="42"/>
  <c r="AW62" i="41"/>
  <c r="CW61" i="42"/>
  <c r="AM62" i="41"/>
  <c r="CR61" i="42"/>
  <c r="AF103" i="41"/>
  <c r="CN100" i="42"/>
  <c r="AA103" i="41"/>
  <c r="CL100" i="42"/>
  <c r="AH84" i="41"/>
  <c r="AH124" i="41" s="1"/>
  <c r="CO82" i="42"/>
  <c r="CR79" i="42"/>
  <c r="AM81" i="41"/>
  <c r="CE82" i="42"/>
  <c r="M84" i="41"/>
  <c r="AX59" i="41"/>
  <c r="AX123" i="41" s="1"/>
  <c r="BR127" i="42"/>
  <c r="DB58" i="42"/>
  <c r="J59" i="41"/>
  <c r="CC58" i="42"/>
  <c r="R62" i="41"/>
  <c r="R124" i="41" s="1"/>
  <c r="CG61" i="42"/>
  <c r="AN46" i="41"/>
  <c r="CR46" i="42"/>
  <c r="AW127" i="42"/>
  <c r="R15" i="41"/>
  <c r="R123" i="41" s="1"/>
  <c r="X40" i="41"/>
  <c r="X124" i="41" s="1"/>
  <c r="CJ40" i="42"/>
  <c r="I40" i="41"/>
  <c r="CC40" i="42"/>
  <c r="J37" i="41"/>
  <c r="CC37" i="42"/>
  <c r="BW37" i="42"/>
  <c r="BT37" i="42"/>
  <c r="AM40" i="41"/>
  <c r="CR40" i="42"/>
  <c r="BM127" i="42"/>
  <c r="J46" i="41"/>
  <c r="CC46" i="42"/>
  <c r="AQ37" i="41"/>
  <c r="CT37" i="42"/>
  <c r="BC189" i="38"/>
  <c r="BC218" i="38"/>
  <c r="BC214" i="38"/>
  <c r="BC213" i="38"/>
  <c r="BC164" i="38" s="1"/>
  <c r="BC217" i="38"/>
  <c r="BC165" i="38" s="1"/>
  <c r="H217" i="38"/>
  <c r="I212" i="38"/>
  <c r="H214" i="38"/>
  <c r="L212" i="38"/>
  <c r="H189" i="38"/>
  <c r="H213" i="38"/>
  <c r="H218" i="38"/>
  <c r="W208" i="38"/>
  <c r="W199" i="38"/>
  <c r="W207" i="38"/>
  <c r="W198" i="38"/>
  <c r="BT164" i="38"/>
  <c r="AS229" i="38" s="1"/>
  <c r="LD2" i="43" s="1"/>
  <c r="BT163" i="38"/>
  <c r="AS228" i="38" s="1"/>
  <c r="LC2" i="43" s="1"/>
  <c r="BT165" i="38"/>
  <c r="AS230" i="38" s="1"/>
  <c r="LE2" i="43" s="1"/>
  <c r="BT161" i="38"/>
  <c r="AS238" i="38" s="1"/>
  <c r="BT159" i="38"/>
  <c r="AS236" i="38" s="1"/>
  <c r="BT162" i="38"/>
  <c r="AS227" i="38" s="1"/>
  <c r="BT160" i="38"/>
  <c r="AS237" i="38" s="1"/>
  <c r="BJ159" i="38"/>
  <c r="BJ162" i="38" s="1"/>
  <c r="Z161" i="38"/>
  <c r="BJ161" i="38"/>
  <c r="Z160" i="38"/>
  <c r="BJ160" i="38"/>
  <c r="Z159" i="38"/>
  <c r="Z162" i="38" s="1"/>
  <c r="BI189" i="38"/>
  <c r="BI214" i="38"/>
  <c r="BI213" i="38"/>
  <c r="BI164" i="38" s="1"/>
  <c r="BI217" i="38"/>
  <c r="BI165" i="38" s="1"/>
  <c r="BI218" i="38"/>
  <c r="S213" i="38"/>
  <c r="S218" i="38"/>
  <c r="S214" i="38"/>
  <c r="S217" i="38"/>
  <c r="S189" i="38"/>
  <c r="AI208" i="38"/>
  <c r="AI199" i="38"/>
  <c r="BN160" i="38"/>
  <c r="AD160" i="38"/>
  <c r="AD161" i="38"/>
  <c r="AD159" i="38"/>
  <c r="AD162" i="38" s="1"/>
  <c r="BN161" i="38"/>
  <c r="BN159" i="38"/>
  <c r="BN162" i="38" s="1"/>
  <c r="AA68" i="38"/>
  <c r="BK67" i="38"/>
  <c r="BK70" i="38" s="1"/>
  <c r="AA67" i="38"/>
  <c r="AA70" i="38" s="1"/>
  <c r="BK69" i="38"/>
  <c r="AA69" i="38"/>
  <c r="BK68" i="38"/>
  <c r="BL164" i="38"/>
  <c r="BP68" i="38"/>
  <c r="AF68" i="38"/>
  <c r="BP69" i="38"/>
  <c r="BP67" i="38"/>
  <c r="BP70" i="38" s="1"/>
  <c r="AF67" i="38"/>
  <c r="AF70" i="38" s="1"/>
  <c r="AF69" i="38"/>
  <c r="Q161" i="38"/>
  <c r="BA161" i="38"/>
  <c r="BA160" i="38"/>
  <c r="Q159" i="38"/>
  <c r="Q162" i="38" s="1"/>
  <c r="BA159" i="38"/>
  <c r="BA162" i="38" s="1"/>
  <c r="Q160" i="38"/>
  <c r="BO50" i="38"/>
  <c r="BO66" i="38" s="1"/>
  <c r="BO297" i="42"/>
  <c r="BB82" i="38"/>
  <c r="BB81" i="38"/>
  <c r="BC81" i="38"/>
  <c r="BC82" i="38"/>
  <c r="BH82" i="38"/>
  <c r="BH81" i="38"/>
  <c r="K425" i="42"/>
  <c r="M424" i="42"/>
  <c r="L424" i="42"/>
  <c r="AJ290" i="42"/>
  <c r="J366" i="42" s="1"/>
  <c r="AJ298" i="42"/>
  <c r="AJ295" i="42"/>
  <c r="J361" i="42" s="1"/>
  <c r="ID2" i="43" s="1"/>
  <c r="AJ289" i="42"/>
  <c r="J365" i="42" s="1"/>
  <c r="AJ294" i="42"/>
  <c r="J360" i="42" s="1"/>
  <c r="IC2" i="43" s="1"/>
  <c r="AJ292" i="42"/>
  <c r="AJ297" i="42"/>
  <c r="AJ293" i="42"/>
  <c r="J359" i="42" s="1"/>
  <c r="IB2" i="43" s="1"/>
  <c r="AJ291" i="42"/>
  <c r="J367" i="42" s="1"/>
  <c r="AJ296" i="42"/>
  <c r="J368" i="42" s="1"/>
  <c r="AU334" i="42"/>
  <c r="AU324" i="42"/>
  <c r="AU323" i="42"/>
  <c r="AU332" i="42"/>
  <c r="AU335" i="42"/>
  <c r="AU337" i="42"/>
  <c r="AU328" i="42"/>
  <c r="AU325" i="42"/>
  <c r="AU327" i="42"/>
  <c r="AU320" i="42"/>
  <c r="AU336" i="42"/>
  <c r="AU326" i="42"/>
  <c r="AU333" i="42"/>
  <c r="S344" i="42"/>
  <c r="S319" i="42"/>
  <c r="S347" i="42"/>
  <c r="S295" i="42" s="1"/>
  <c r="S343" i="42"/>
  <c r="S348" i="42"/>
  <c r="AE338" i="42"/>
  <c r="AE329" i="42"/>
  <c r="AE297" i="42"/>
  <c r="AM37" i="42"/>
  <c r="DD34" i="42"/>
  <c r="BK34" i="41"/>
  <c r="DD96" i="42"/>
  <c r="AJ109" i="42"/>
  <c r="AJ95" i="42"/>
  <c r="BK99" i="41"/>
  <c r="AJ37" i="42"/>
  <c r="BK14" i="41"/>
  <c r="BK122" i="41" s="1"/>
  <c r="BK139" i="41" s="1"/>
  <c r="L381" i="42"/>
  <c r="DD15" i="42"/>
  <c r="Q381" i="42"/>
  <c r="DF15" i="42"/>
  <c r="BP14" i="41"/>
  <c r="AJ58" i="42"/>
  <c r="AM67" i="42"/>
  <c r="DF67" i="42" s="1"/>
  <c r="DF66" i="42"/>
  <c r="BP67" i="41"/>
  <c r="BP68" i="41" s="1"/>
  <c r="AR115" i="38"/>
  <c r="AR106" i="38"/>
  <c r="BO294" i="42"/>
  <c r="BD121" i="38"/>
  <c r="BD97" i="38"/>
  <c r="BD126" i="38"/>
  <c r="BD125" i="38"/>
  <c r="BD73" i="38" s="1"/>
  <c r="BD122" i="38"/>
  <c r="T106" i="38"/>
  <c r="T105" i="38"/>
  <c r="T103" i="38"/>
  <c r="T112" i="38"/>
  <c r="T102" i="38"/>
  <c r="T101" i="38"/>
  <c r="T104" i="38"/>
  <c r="T98" i="38"/>
  <c r="T115" i="38"/>
  <c r="T114" i="38"/>
  <c r="T111" i="38"/>
  <c r="T110" i="38"/>
  <c r="T113" i="38"/>
  <c r="AQ25" i="39"/>
  <c r="CE300" i="39" s="1"/>
  <c r="D147" i="41"/>
  <c r="AQ31" i="39"/>
  <c r="CE306" i="39" s="1"/>
  <c r="D153" i="41"/>
  <c r="AQ27" i="39"/>
  <c r="CE302" i="39" s="1"/>
  <c r="D149" i="41"/>
  <c r="AD82" i="38"/>
  <c r="BN83" i="38"/>
  <c r="AD83" i="38"/>
  <c r="AD81" i="38"/>
  <c r="P329" i="42"/>
  <c r="P338" i="42"/>
  <c r="P328" i="42"/>
  <c r="P337" i="42"/>
  <c r="AG388" i="39"/>
  <c r="AG380" i="39"/>
  <c r="AG389" i="39"/>
  <c r="AG348" i="39"/>
  <c r="AG379" i="39"/>
  <c r="AG345" i="39"/>
  <c r="Q115" i="9"/>
  <c r="Q125" i="9" s="1"/>
  <c r="O115" i="9"/>
  <c r="O125" i="9" s="1"/>
  <c r="P115" i="9"/>
  <c r="P125" i="9" s="1"/>
  <c r="N115" i="9"/>
  <c r="W115" i="9" s="1"/>
  <c r="G149" i="9"/>
  <c r="G147" i="9"/>
  <c r="G148" i="9"/>
  <c r="N147" i="9"/>
  <c r="N148" i="9"/>
  <c r="N149" i="9"/>
  <c r="O147" i="9"/>
  <c r="O148" i="9"/>
  <c r="O149" i="9"/>
  <c r="K112" i="9"/>
  <c r="W112" i="9" s="1"/>
  <c r="L112" i="9"/>
  <c r="M112" i="9"/>
  <c r="N112" i="9"/>
  <c r="N125" i="9" s="1"/>
  <c r="EO43" i="20"/>
  <c r="EO61" i="20" s="1"/>
  <c r="FV41" i="20"/>
  <c r="FV28" i="20"/>
  <c r="FV50" i="20"/>
  <c r="FV57" i="20"/>
  <c r="FV27" i="20"/>
  <c r="FV20" i="20"/>
  <c r="FV35" i="20"/>
  <c r="FV25" i="20"/>
  <c r="FV26" i="20"/>
  <c r="FV62" i="20"/>
  <c r="FV15" i="20"/>
  <c r="FV47" i="20"/>
  <c r="FV17" i="20"/>
  <c r="FV34" i="20"/>
  <c r="FV48" i="20"/>
  <c r="FV24" i="20"/>
  <c r="FV33" i="20"/>
  <c r="FV46" i="20"/>
  <c r="FV16" i="20"/>
  <c r="FV18" i="20"/>
  <c r="FV51" i="20"/>
  <c r="FV14" i="20"/>
  <c r="FV49" i="20"/>
  <c r="FV39" i="20"/>
  <c r="FV61" i="20"/>
  <c r="FV56" i="20"/>
  <c r="FV13" i="20"/>
  <c r="FV40" i="20"/>
  <c r="FV52" i="20"/>
  <c r="FV42" i="20"/>
  <c r="FV19" i="20"/>
  <c r="FV29" i="20"/>
  <c r="EF61" i="20"/>
  <c r="EF64" i="20" s="1"/>
  <c r="O35" i="34"/>
  <c r="O48" i="34"/>
  <c r="O51" i="34" s="1"/>
  <c r="O56" i="34" s="1"/>
  <c r="FX17" i="20"/>
  <c r="FX15" i="20"/>
  <c r="GF43" i="20"/>
  <c r="GA53" i="20"/>
  <c r="GA63" i="20" s="1"/>
  <c r="EE61" i="20"/>
  <c r="EZ53" i="20"/>
  <c r="EZ63" i="20" s="1"/>
  <c r="GP63" i="20" s="1"/>
  <c r="BB61" i="20"/>
  <c r="AY64" i="20"/>
  <c r="BB64" i="20" s="1"/>
  <c r="F46" i="34"/>
  <c r="O42" i="34"/>
  <c r="C17" i="31"/>
  <c r="C44" i="31"/>
  <c r="D16" i="31"/>
  <c r="FX42" i="20"/>
  <c r="FX33" i="20"/>
  <c r="FT28" i="20"/>
  <c r="GF53" i="20"/>
  <c r="GF63" i="20" s="1"/>
  <c r="EI30" i="20"/>
  <c r="EM43" i="20"/>
  <c r="EM61" i="20" s="1"/>
  <c r="EW53" i="20"/>
  <c r="EU21" i="20"/>
  <c r="AO64" i="20"/>
  <c r="AR64" i="20" s="1"/>
  <c r="AR61" i="20"/>
  <c r="C62" i="34"/>
  <c r="GB13" i="20"/>
  <c r="GB21" i="20" s="1"/>
  <c r="FX25" i="20"/>
  <c r="J33" i="3"/>
  <c r="K15" i="28" s="1"/>
  <c r="K27" i="28"/>
  <c r="GA43" i="20"/>
  <c r="EI43" i="20"/>
  <c r="EQ61" i="20"/>
  <c r="FE63" i="20"/>
  <c r="GU63" i="20" s="1"/>
  <c r="P14" i="28"/>
  <c r="P13" i="28"/>
  <c r="M13" i="28"/>
  <c r="M14" i="28"/>
  <c r="CZ61" i="20"/>
  <c r="CZ64" i="20" s="1"/>
  <c r="G33" i="3"/>
  <c r="H15" i="28" s="1"/>
  <c r="H27" i="28"/>
  <c r="BQ61" i="20"/>
  <c r="B15" i="34"/>
  <c r="I46" i="34"/>
  <c r="S64" i="20"/>
  <c r="D46" i="34"/>
  <c r="Q48" i="34"/>
  <c r="Q51" i="34" s="1"/>
  <c r="Q56" i="34" s="1"/>
  <c r="Q35" i="34"/>
  <c r="I71" i="34"/>
  <c r="J68" i="34"/>
  <c r="I69" i="34"/>
  <c r="AK103" i="41"/>
  <c r="CQ100" i="42"/>
  <c r="AV81" i="41"/>
  <c r="AV123" i="41" s="1"/>
  <c r="BP127" i="42"/>
  <c r="H84" i="41"/>
  <c r="H124" i="41" s="1"/>
  <c r="CB82" i="42"/>
  <c r="BH84" i="41" s="1"/>
  <c r="BT82" i="42"/>
  <c r="BW82" i="42"/>
  <c r="AU90" i="41"/>
  <c r="CV88" i="42"/>
  <c r="W293" i="42"/>
  <c r="W294" i="42" s="1"/>
  <c r="AF293" i="42"/>
  <c r="P293" i="42"/>
  <c r="P294" i="42" s="1"/>
  <c r="O293" i="42"/>
  <c r="AI293" i="42"/>
  <c r="AI294" i="42" s="1"/>
  <c r="R293" i="42"/>
  <c r="R294" i="42" s="1"/>
  <c r="AH293" i="42"/>
  <c r="AH294" i="42" s="1"/>
  <c r="L293" i="42"/>
  <c r="L294" i="42" s="1"/>
  <c r="AE293" i="42"/>
  <c r="AD293" i="42"/>
  <c r="AD294" i="42" s="1"/>
  <c r="S293" i="42"/>
  <c r="V293" i="42"/>
  <c r="V294" i="42" s="1"/>
  <c r="Q293" i="42"/>
  <c r="X293" i="42"/>
  <c r="X294" i="42" s="1"/>
  <c r="H293" i="42"/>
  <c r="H294" i="42" s="1"/>
  <c r="Z293" i="42"/>
  <c r="Z294" i="42" s="1"/>
  <c r="Y293" i="42"/>
  <c r="Y294" i="42" s="1"/>
  <c r="N293" i="42"/>
  <c r="N294" i="42" s="1"/>
  <c r="AG293" i="42"/>
  <c r="AG294" i="42" s="1"/>
  <c r="K293" i="42"/>
  <c r="K294" i="42" s="1"/>
  <c r="AA293" i="42"/>
  <c r="AA294" i="42" s="1"/>
  <c r="AB293" i="42"/>
  <c r="T293" i="42"/>
  <c r="T294" i="42" s="1"/>
  <c r="U293" i="42"/>
  <c r="U294" i="42" s="1"/>
  <c r="J293" i="42"/>
  <c r="J294" i="42" s="1"/>
  <c r="I293" i="42"/>
  <c r="I294" i="42" s="1"/>
  <c r="AC293" i="42"/>
  <c r="G293" i="42"/>
  <c r="G294" i="42" s="1"/>
  <c r="M293" i="42"/>
  <c r="M294" i="42" s="1"/>
  <c r="J106" i="41"/>
  <c r="J124" i="41" s="1"/>
  <c r="CC103" i="42"/>
  <c r="BT103" i="42"/>
  <c r="BW103" i="42"/>
  <c r="AR103" i="41"/>
  <c r="AR123" i="41" s="1"/>
  <c r="BL127" i="42"/>
  <c r="CV100" i="42"/>
  <c r="AC103" i="41"/>
  <c r="CM100" i="42"/>
  <c r="O84" i="41"/>
  <c r="CF82" i="42"/>
  <c r="AS81" i="41"/>
  <c r="CU79" i="42"/>
  <c r="AT81" i="41"/>
  <c r="AT123" i="41" s="1"/>
  <c r="BN127" i="42"/>
  <c r="CX79" i="42"/>
  <c r="L59" i="41"/>
  <c r="L123" i="41" s="1"/>
  <c r="AT127" i="42"/>
  <c r="CD58" i="42"/>
  <c r="G62" i="41"/>
  <c r="CB61" i="42"/>
  <c r="BH62" i="41" s="1"/>
  <c r="AJ61" i="42"/>
  <c r="AM61" i="42"/>
  <c r="V103" i="41"/>
  <c r="V123" i="41" s="1"/>
  <c r="CI100" i="42"/>
  <c r="AY127" i="42"/>
  <c r="K103" i="41"/>
  <c r="CD100" i="42"/>
  <c r="AM100" i="42"/>
  <c r="AJ100" i="42"/>
  <c r="AL106" i="41"/>
  <c r="AL124" i="41" s="1"/>
  <c r="CQ103" i="42"/>
  <c r="BQ127" i="42"/>
  <c r="DA79" i="42"/>
  <c r="CJ79" i="42"/>
  <c r="W81" i="41"/>
  <c r="AP59" i="41"/>
  <c r="AP123" i="41" s="1"/>
  <c r="CT58" i="42"/>
  <c r="BJ127" i="42"/>
  <c r="CW58" i="42"/>
  <c r="AW59" i="41"/>
  <c r="F59" i="41"/>
  <c r="F123" i="41" s="1"/>
  <c r="AQ127" i="42"/>
  <c r="CA58" i="42"/>
  <c r="BW58" i="42"/>
  <c r="BT58" i="42"/>
  <c r="AY37" i="41"/>
  <c r="CX37" i="42"/>
  <c r="F46" i="41"/>
  <c r="CA46" i="42"/>
  <c r="AU37" i="41"/>
  <c r="CV37" i="42"/>
  <c r="CZ37" i="42"/>
  <c r="BC37" i="41"/>
  <c r="CO37" i="42"/>
  <c r="AG37" i="41"/>
  <c r="G40" i="41"/>
  <c r="CB40" i="42"/>
  <c r="BH40" i="41" s="1"/>
  <c r="AM40" i="42"/>
  <c r="AJ40" i="42"/>
  <c r="Z15" i="41"/>
  <c r="Z123" i="41" s="1"/>
  <c r="BA127" i="42"/>
  <c r="CO40" i="42"/>
  <c r="BE127" i="42"/>
  <c r="AH15" i="41"/>
  <c r="AH123" i="41" s="1"/>
  <c r="AS189" i="38"/>
  <c r="AS218" i="38"/>
  <c r="AS213" i="38"/>
  <c r="AS217" i="38"/>
  <c r="AS214" i="38"/>
  <c r="AV212" i="38"/>
  <c r="AS212" i="38"/>
  <c r="BJ199" i="38"/>
  <c r="BJ208" i="38"/>
  <c r="BJ207" i="38"/>
  <c r="BJ198" i="38"/>
  <c r="M208" i="38"/>
  <c r="M199" i="38"/>
  <c r="M198" i="38"/>
  <c r="M207" i="38"/>
  <c r="AZ161" i="38"/>
  <c r="P161" i="38"/>
  <c r="AZ159" i="38"/>
  <c r="AZ162" i="38" s="1"/>
  <c r="P160" i="38"/>
  <c r="AZ160" i="38"/>
  <c r="P159" i="38"/>
  <c r="P162" i="38" s="1"/>
  <c r="BH69" i="38"/>
  <c r="X67" i="38"/>
  <c r="X70" i="38" s="1"/>
  <c r="BH68" i="38"/>
  <c r="BH67" i="38"/>
  <c r="BH70" i="38" s="1"/>
  <c r="X68" i="38"/>
  <c r="X69" i="38"/>
  <c r="BL342" i="39"/>
  <c r="AB341" i="39"/>
  <c r="AB342" i="39"/>
  <c r="AB340" i="39"/>
  <c r="AB343" i="39" s="1"/>
  <c r="BL341" i="39"/>
  <c r="BL340" i="39"/>
  <c r="BL343" i="39" s="1"/>
  <c r="AW218" i="38"/>
  <c r="AW217" i="38"/>
  <c r="AW214" i="38"/>
  <c r="AW189" i="38"/>
  <c r="AW213" i="38"/>
  <c r="AW164" i="38" s="1"/>
  <c r="I214" i="38"/>
  <c r="I189" i="38"/>
  <c r="I218" i="38"/>
  <c r="I217" i="38"/>
  <c r="I213" i="38"/>
  <c r="I164" i="38" s="1"/>
  <c r="Y208" i="38"/>
  <c r="Y199" i="38"/>
  <c r="Y207" i="38"/>
  <c r="Y198" i="38"/>
  <c r="T160" i="38"/>
  <c r="BD159" i="38"/>
  <c r="BD162" i="38" s="1"/>
  <c r="T159" i="38"/>
  <c r="T162" i="38" s="1"/>
  <c r="BD160" i="38"/>
  <c r="T161" i="38"/>
  <c r="BD161" i="38"/>
  <c r="S69" i="38"/>
  <c r="BC67" i="38"/>
  <c r="BC70" i="38" s="1"/>
  <c r="S68" i="38"/>
  <c r="BC69" i="38"/>
  <c r="S67" i="38"/>
  <c r="S70" i="38" s="1"/>
  <c r="BC68" i="38"/>
  <c r="BA164" i="38"/>
  <c r="BO202" i="38"/>
  <c r="BO195" i="38"/>
  <c r="BO196" i="38"/>
  <c r="BO203" i="38"/>
  <c r="BO204" i="38"/>
  <c r="BO197" i="38"/>
  <c r="BO205" i="38"/>
  <c r="BO198" i="38"/>
  <c r="BO194" i="38"/>
  <c r="BO206" i="38"/>
  <c r="BO193" i="38"/>
  <c r="BO207" i="38"/>
  <c r="BO190" i="38"/>
  <c r="BS341" i="39"/>
  <c r="AI341" i="39"/>
  <c r="BS340" i="39"/>
  <c r="BS343" i="39" s="1"/>
  <c r="AI342" i="39"/>
  <c r="AI340" i="39"/>
  <c r="AI343" i="39" s="1"/>
  <c r="BS342" i="39"/>
  <c r="Y164" i="38"/>
  <c r="BL50" i="38"/>
  <c r="BL66" i="38" s="1"/>
  <c r="BL297" i="42"/>
  <c r="BK50" i="38"/>
  <c r="BK66" i="38" s="1"/>
  <c r="AA297" i="42"/>
  <c r="BK297" i="42"/>
  <c r="BP50" i="38"/>
  <c r="BP66" i="38" s="1"/>
  <c r="BP297" i="42"/>
  <c r="AF294" i="42"/>
  <c r="BF294" i="42"/>
  <c r="I329" i="42"/>
  <c r="I338" i="42"/>
  <c r="I337" i="42"/>
  <c r="I328" i="42"/>
  <c r="I297" i="42"/>
  <c r="AY344" i="42"/>
  <c r="AY343" i="42"/>
  <c r="AY348" i="42"/>
  <c r="AY319" i="42"/>
  <c r="AV342" i="42"/>
  <c r="AY347" i="42"/>
  <c r="AB294" i="42"/>
  <c r="Q348" i="42"/>
  <c r="Q319" i="42"/>
  <c r="Q347" i="42"/>
  <c r="L342" i="42"/>
  <c r="Q344" i="42"/>
  <c r="Q343" i="42"/>
  <c r="I342" i="42"/>
  <c r="S338" i="42"/>
  <c r="S329" i="42"/>
  <c r="BS338" i="42"/>
  <c r="BS329" i="42"/>
  <c r="BS328" i="42"/>
  <c r="Z125" i="38"/>
  <c r="Z73" i="38" s="1"/>
  <c r="Z126" i="38"/>
  <c r="Z122" i="38"/>
  <c r="Z97" i="38"/>
  <c r="Z121" i="38"/>
  <c r="Z72" i="38" s="1"/>
  <c r="AD337" i="42"/>
  <c r="AD323" i="42"/>
  <c r="AD328" i="42"/>
  <c r="AD335" i="42"/>
  <c r="AD332" i="42"/>
  <c r="AD320" i="42"/>
  <c r="AD327" i="42"/>
  <c r="AD326" i="42"/>
  <c r="AD334" i="42"/>
  <c r="AD325" i="42"/>
  <c r="AD333" i="42"/>
  <c r="AD336" i="42"/>
  <c r="AD324" i="42"/>
  <c r="DD45" i="42"/>
  <c r="AJ46" i="42"/>
  <c r="BK45" i="41"/>
  <c r="BP58" i="41"/>
  <c r="DF57" i="42"/>
  <c r="AJ67" i="42"/>
  <c r="AJ53" i="42"/>
  <c r="DD54" i="42"/>
  <c r="BK55" i="41"/>
  <c r="BP56" i="41"/>
  <c r="DF55" i="42"/>
  <c r="BP111" i="41"/>
  <c r="BP112" i="41" s="1"/>
  <c r="DF108" i="42"/>
  <c r="AM109" i="42"/>
  <c r="DF109" i="42" s="1"/>
  <c r="DF52" i="42"/>
  <c r="BP53" i="41"/>
  <c r="AM53" i="42"/>
  <c r="DF87" i="42"/>
  <c r="AM88" i="42"/>
  <c r="DF88" i="42" s="1"/>
  <c r="BP89" i="41"/>
  <c r="BP90" i="41" s="1"/>
  <c r="AJ88" i="42"/>
  <c r="BK89" i="41"/>
  <c r="DD87" i="42"/>
  <c r="AF297" i="42"/>
  <c r="L97" i="38"/>
  <c r="L126" i="38"/>
  <c r="L125" i="38"/>
  <c r="L73" i="38" s="1"/>
  <c r="L122" i="38"/>
  <c r="L121" i="38"/>
  <c r="L120" i="38"/>
  <c r="I120" i="38"/>
  <c r="BL394" i="39"/>
  <c r="BL345" i="39" s="1"/>
  <c r="BL399" i="39"/>
  <c r="BL395" i="39"/>
  <c r="BL398" i="39"/>
  <c r="BL346" i="39" s="1"/>
  <c r="BL370" i="39"/>
  <c r="D144" i="41"/>
  <c r="AQ22" i="39"/>
  <c r="CE297" i="39" s="1"/>
  <c r="BZ132" i="42"/>
  <c r="BF144" i="41" s="1"/>
  <c r="AU34" i="43" s="1"/>
  <c r="D156" i="41"/>
  <c r="AQ34" i="39"/>
  <c r="CE309" i="39" s="1"/>
  <c r="D148" i="41"/>
  <c r="AQ26" i="39"/>
  <c r="CE301" i="39" s="1"/>
  <c r="D151" i="41"/>
  <c r="AQ29" i="39"/>
  <c r="CE304" i="39" s="1"/>
  <c r="BQ50" i="38"/>
  <c r="BQ66" i="38" s="1"/>
  <c r="BQ297" i="42"/>
  <c r="AG297" i="42"/>
  <c r="BG81" i="38"/>
  <c r="BG82" i="38"/>
  <c r="AD339" i="39"/>
  <c r="O294" i="42"/>
  <c r="BF395" i="39"/>
  <c r="BF370" i="39"/>
  <c r="BF399" i="39"/>
  <c r="BF398" i="39"/>
  <c r="BF346" i="39" s="1"/>
  <c r="BF394" i="39"/>
  <c r="BH145" i="42"/>
  <c r="BS337" i="42"/>
  <c r="BG207" i="42"/>
  <c r="EI53" i="20"/>
  <c r="EI63" i="20" s="1"/>
  <c r="FH63" i="20" s="1"/>
  <c r="GX63" i="20" s="1"/>
  <c r="FH46" i="20"/>
  <c r="FH53" i="20" s="1"/>
  <c r="I107" i="9"/>
  <c r="F107" i="9"/>
  <c r="G107" i="9"/>
  <c r="H107" i="9"/>
  <c r="H125" i="9" s="1"/>
  <c r="GC50" i="20"/>
  <c r="FG50" i="20"/>
  <c r="FG53" i="20" s="1"/>
  <c r="GB50" i="20"/>
  <c r="V388" i="39"/>
  <c r="FG40" i="20"/>
  <c r="FG43" i="20" s="1"/>
  <c r="GC40" i="20"/>
  <c r="E147" i="9"/>
  <c r="E148" i="9"/>
  <c r="E149" i="9"/>
  <c r="D147" i="9"/>
  <c r="D148" i="9"/>
  <c r="D149" i="9"/>
  <c r="J148" i="9"/>
  <c r="J149" i="9"/>
  <c r="J147" i="9"/>
  <c r="G108" i="9"/>
  <c r="H108" i="9"/>
  <c r="I108" i="9"/>
  <c r="W108" i="9" s="1"/>
  <c r="J108" i="9"/>
  <c r="J125" i="9" s="1"/>
  <c r="N41" i="23"/>
  <c r="N20" i="23"/>
  <c r="FY19" i="20"/>
  <c r="FY61" i="20"/>
  <c r="FY28" i="20"/>
  <c r="FY56" i="20"/>
  <c r="FY15" i="20"/>
  <c r="FY41" i="20"/>
  <c r="FY49" i="20"/>
  <c r="FY40" i="20"/>
  <c r="FY62" i="20"/>
  <c r="FY34" i="20"/>
  <c r="FY29" i="20"/>
  <c r="FY51" i="20"/>
  <c r="FY24" i="20"/>
  <c r="FY13" i="20"/>
  <c r="FY42" i="20"/>
  <c r="FY26" i="20"/>
  <c r="FY47" i="20"/>
  <c r="FY25" i="20"/>
  <c r="FY48" i="20"/>
  <c r="FY14" i="20"/>
  <c r="FY35" i="20"/>
  <c r="FY18" i="20"/>
  <c r="FY50" i="20"/>
  <c r="FY39" i="20"/>
  <c r="FY52" i="20"/>
  <c r="FY57" i="20"/>
  <c r="FY33" i="20"/>
  <c r="FY17" i="20"/>
  <c r="FY27" i="20"/>
  <c r="FY16" i="20"/>
  <c r="FY46" i="20"/>
  <c r="FY20" i="20"/>
  <c r="GH56" i="20"/>
  <c r="GH58" i="20" s="1"/>
  <c r="GH28" i="20"/>
  <c r="GH14" i="20"/>
  <c r="GH39" i="20"/>
  <c r="GH20" i="20"/>
  <c r="GH19" i="20"/>
  <c r="GH18" i="20"/>
  <c r="GH50" i="20"/>
  <c r="GH26" i="20"/>
  <c r="GH57" i="20"/>
  <c r="GH29" i="20"/>
  <c r="GH15" i="20"/>
  <c r="GH62" i="20"/>
  <c r="GH61" i="20"/>
  <c r="GH52" i="20"/>
  <c r="GH51" i="20"/>
  <c r="GH46" i="20"/>
  <c r="GH53" i="20" s="1"/>
  <c r="GH63" i="20" s="1"/>
  <c r="GH24" i="20"/>
  <c r="GH49" i="20"/>
  <c r="GH27" i="20"/>
  <c r="GH13" i="20"/>
  <c r="GH21" i="20" s="1"/>
  <c r="GH48" i="20"/>
  <c r="GH47" i="20"/>
  <c r="GH40" i="20"/>
  <c r="GH35" i="20"/>
  <c r="GH42" i="20"/>
  <c r="GH16" i="20"/>
  <c r="GH41" i="20"/>
  <c r="GH25" i="20"/>
  <c r="GH34" i="20"/>
  <c r="GH33" i="20"/>
  <c r="GH17" i="20"/>
  <c r="FX56" i="20"/>
  <c r="FX58" i="20" s="1"/>
  <c r="FX20" i="20"/>
  <c r="FX28" i="20"/>
  <c r="FX40" i="20"/>
  <c r="FX39" i="20"/>
  <c r="FX43" i="20" s="1"/>
  <c r="FX57" i="20"/>
  <c r="FX13" i="20"/>
  <c r="FX16" i="20"/>
  <c r="FX51" i="20"/>
  <c r="FX61" i="20"/>
  <c r="FX48" i="20"/>
  <c r="FW24" i="20"/>
  <c r="FW40" i="20"/>
  <c r="FW57" i="20"/>
  <c r="FW35" i="20"/>
  <c r="FW29" i="20"/>
  <c r="FW41" i="20"/>
  <c r="FW46" i="20"/>
  <c r="FW18" i="20"/>
  <c r="FW15" i="20"/>
  <c r="FW25" i="20"/>
  <c r="FW17" i="20"/>
  <c r="FW50" i="20"/>
  <c r="FW26" i="20"/>
  <c r="FW61" i="20"/>
  <c r="FW52" i="20"/>
  <c r="FW48" i="20"/>
  <c r="FW62" i="20"/>
  <c r="FW33" i="20"/>
  <c r="FW36" i="20" s="1"/>
  <c r="FW39" i="20"/>
  <c r="FW34" i="20"/>
  <c r="FW16" i="20"/>
  <c r="FW28" i="20"/>
  <c r="FW13" i="20"/>
  <c r="FW20" i="20"/>
  <c r="FW42" i="20"/>
  <c r="FW19" i="20"/>
  <c r="FW56" i="20"/>
  <c r="FW58" i="20" s="1"/>
  <c r="FW14" i="20"/>
  <c r="FW51" i="20"/>
  <c r="FW49" i="20"/>
  <c r="FW47" i="20"/>
  <c r="FW27" i="20"/>
  <c r="FZ57" i="20"/>
  <c r="FZ41" i="20"/>
  <c r="FZ28" i="20"/>
  <c r="FZ49" i="20"/>
  <c r="FZ47" i="20"/>
  <c r="FZ39" i="20"/>
  <c r="FZ43" i="20" s="1"/>
  <c r="FZ26" i="20"/>
  <c r="FZ61" i="20"/>
  <c r="FZ62" i="20"/>
  <c r="FZ27" i="20"/>
  <c r="FZ51" i="20"/>
  <c r="FZ17" i="20"/>
  <c r="FZ13" i="20"/>
  <c r="FZ16" i="20"/>
  <c r="FZ40" i="20"/>
  <c r="FZ15" i="20"/>
  <c r="FZ35" i="20"/>
  <c r="FZ14" i="20"/>
  <c r="FZ42" i="20"/>
  <c r="FZ33" i="20"/>
  <c r="FZ52" i="20"/>
  <c r="FZ46" i="20"/>
  <c r="FZ53" i="20" s="1"/>
  <c r="FZ63" i="20" s="1"/>
  <c r="FZ56" i="20"/>
  <c r="FZ58" i="20" s="1"/>
  <c r="FZ25" i="20"/>
  <c r="FZ20" i="20"/>
  <c r="FZ19" i="20"/>
  <c r="FZ29" i="20"/>
  <c r="FZ18" i="20"/>
  <c r="FZ48" i="20"/>
  <c r="FZ24" i="20"/>
  <c r="FZ30" i="20" s="1"/>
  <c r="FZ34" i="20"/>
  <c r="FZ50" i="20"/>
  <c r="FE61" i="20"/>
  <c r="DW64" i="20"/>
  <c r="BS64" i="20"/>
  <c r="BV61" i="20"/>
  <c r="AW61" i="20"/>
  <c r="AS64" i="20"/>
  <c r="AW64" i="20" s="1"/>
  <c r="L34" i="34"/>
  <c r="L46" i="34"/>
  <c r="L42" i="34"/>
  <c r="GC29" i="20"/>
  <c r="FX50" i="20"/>
  <c r="FX34" i="20"/>
  <c r="GK61" i="20"/>
  <c r="EU64" i="20"/>
  <c r="M20" i="29"/>
  <c r="W75" i="9"/>
  <c r="EI61" i="20"/>
  <c r="DO61" i="20"/>
  <c r="DI64" i="20"/>
  <c r="FA61" i="20"/>
  <c r="G46" i="34"/>
  <c r="G42" i="34"/>
  <c r="G34" i="34"/>
  <c r="GB40" i="20"/>
  <c r="BL64" i="20"/>
  <c r="FX19" i="20"/>
  <c r="F33" i="3"/>
  <c r="G27" i="28"/>
  <c r="E33" i="3"/>
  <c r="F27" i="28"/>
  <c r="FS64" i="20"/>
  <c r="CY61" i="20"/>
  <c r="K13" i="28"/>
  <c r="K14" i="28"/>
  <c r="BV63" i="20"/>
  <c r="BR64" i="20"/>
  <c r="BV64" i="20" s="1"/>
  <c r="Y64" i="20"/>
  <c r="AC64" i="20" s="1"/>
  <c r="AC61" i="20"/>
  <c r="I61" i="20"/>
  <c r="E64" i="20"/>
  <c r="I64" i="20" s="1"/>
  <c r="FX29" i="20"/>
  <c r="I17" i="6"/>
  <c r="FH43" i="20"/>
  <c r="S14" i="28" s="1"/>
  <c r="W14" i="28"/>
  <c r="DK64" i="20"/>
  <c r="FB61" i="20"/>
  <c r="EX61" i="20"/>
  <c r="CU64" i="20"/>
  <c r="GC28" i="20"/>
  <c r="F17" i="6"/>
  <c r="BQ64" i="20"/>
  <c r="I13" i="6"/>
  <c r="L16" i="28"/>
  <c r="L35" i="28" s="1"/>
  <c r="C137" i="9"/>
  <c r="GL61" i="20"/>
  <c r="EV64" i="20"/>
  <c r="E13" i="6"/>
  <c r="C133" i="9"/>
  <c r="H16" i="28"/>
  <c r="H35" i="28" s="1"/>
  <c r="S61" i="20"/>
  <c r="S46" i="34"/>
  <c r="BL63" i="20"/>
  <c r="BE11" i="41"/>
  <c r="BE119" i="41" s="1"/>
  <c r="R14" i="35"/>
  <c r="Q19" i="35"/>
  <c r="AE15" i="38"/>
  <c r="AE296" i="39"/>
  <c r="EB296" i="39" s="1"/>
  <c r="BG143" i="41"/>
  <c r="BA143" i="41"/>
  <c r="DB131" i="42"/>
  <c r="AH249" i="42"/>
  <c r="CB24" i="42"/>
  <c r="BH23" i="41" s="1"/>
  <c r="BH125" i="41" s="1"/>
  <c r="CV131" i="42"/>
  <c r="AG19" i="42"/>
  <c r="BE18" i="41" s="1"/>
  <c r="BE124" i="41" s="1"/>
  <c r="DA12" i="42"/>
  <c r="BG23" i="41"/>
  <c r="BG125" i="41" s="1"/>
  <c r="AO23" i="41"/>
  <c r="AO125" i="41" s="1"/>
  <c r="Y25" i="42"/>
  <c r="CS25" i="42" s="1"/>
  <c r="BI11" i="41"/>
  <c r="BI119" i="41" s="1"/>
  <c r="BI135" i="41" s="1"/>
  <c r="AE249" i="42"/>
  <c r="Z19" i="42"/>
  <c r="CT19" i="42" s="1"/>
  <c r="AC249" i="42"/>
  <c r="AA25" i="42"/>
  <c r="AS24" i="41" s="1"/>
  <c r="AC296" i="39"/>
  <c r="DX296" i="39" s="1"/>
  <c r="AH15" i="38"/>
  <c r="AH252" i="42"/>
  <c r="I19" i="42"/>
  <c r="CC19" i="42" s="1"/>
  <c r="AI16" i="42"/>
  <c r="BI15" i="41" s="1"/>
  <c r="BI123" i="41" s="1"/>
  <c r="CT12" i="42"/>
  <c r="AI25" i="42"/>
  <c r="BI24" i="41" s="1"/>
  <c r="DC12" i="42"/>
  <c r="AQ11" i="41"/>
  <c r="AQ119" i="41" s="1"/>
  <c r="L27" i="43" s="1"/>
  <c r="AC15" i="38"/>
  <c r="AU143" i="41"/>
  <c r="AI252" i="42"/>
  <c r="W30" i="43"/>
  <c r="CW131" i="42"/>
  <c r="AB252" i="42"/>
  <c r="AB15" i="38"/>
  <c r="AS11" i="41"/>
  <c r="AS119" i="41" s="1"/>
  <c r="AS135" i="41" s="1"/>
  <c r="CY131" i="42"/>
  <c r="W32" i="43"/>
  <c r="AC252" i="42"/>
  <c r="AB249" i="42"/>
  <c r="AB296" i="39"/>
  <c r="DV296" i="39" s="1"/>
  <c r="CU12" i="42"/>
  <c r="AA127" i="42"/>
  <c r="CU16" i="42"/>
  <c r="AS15" i="41"/>
  <c r="AS123" i="41" s="1"/>
  <c r="AA19" i="42"/>
  <c r="CU24" i="42"/>
  <c r="CY24" i="42"/>
  <c r="DC24" i="42"/>
  <c r="AH25" i="42"/>
  <c r="BG24" i="41" s="1"/>
  <c r="BE135" i="41"/>
  <c r="L34" i="43"/>
  <c r="AI249" i="42"/>
  <c r="AA252" i="42"/>
  <c r="AA15" i="38"/>
  <c r="CU131" i="42"/>
  <c r="AA296" i="39"/>
  <c r="DT296" i="39" s="1"/>
  <c r="AA249" i="42"/>
  <c r="W28" i="43"/>
  <c r="AS143" i="41"/>
  <c r="Z252" i="42"/>
  <c r="W27" i="43"/>
  <c r="Z15" i="38"/>
  <c r="Z249" i="42"/>
  <c r="CT131" i="42"/>
  <c r="Z296" i="39"/>
  <c r="DR296" i="39" s="1"/>
  <c r="AQ143" i="41"/>
  <c r="BG11" i="41"/>
  <c r="BG119" i="41" s="1"/>
  <c r="BG135" i="41" s="1"/>
  <c r="DB12" i="42"/>
  <c r="AH19" i="42"/>
  <c r="AH16" i="42"/>
  <c r="Y19" i="42"/>
  <c r="CS12" i="42"/>
  <c r="Y16" i="42"/>
  <c r="AO11" i="41"/>
  <c r="AO119" i="41" s="1"/>
  <c r="I11" i="41"/>
  <c r="I119" i="41" s="1"/>
  <c r="CC12" i="42"/>
  <c r="DC131" i="42"/>
  <c r="AI15" i="38"/>
  <c r="BI143" i="41"/>
  <c r="AG127" i="42"/>
  <c r="DA16" i="42"/>
  <c r="BE15" i="41"/>
  <c r="BE123" i="41" s="1"/>
  <c r="I127" i="42"/>
  <c r="CC16" i="42"/>
  <c r="I15" i="41"/>
  <c r="I123" i="41" s="1"/>
  <c r="CV24" i="42"/>
  <c r="AB25" i="42"/>
  <c r="AU23" i="41"/>
  <c r="AU125" i="41" s="1"/>
  <c r="CC24" i="42"/>
  <c r="I23" i="41"/>
  <c r="I125" i="41" s="1"/>
  <c r="I25" i="42"/>
  <c r="G11" i="41"/>
  <c r="G119" i="41" s="1"/>
  <c r="G126" i="41" s="1"/>
  <c r="H126" i="41" s="1"/>
  <c r="CB12" i="42"/>
  <c r="BH11" i="41" s="1"/>
  <c r="BH119" i="41" s="1"/>
  <c r="H16" i="42"/>
  <c r="H19" i="42"/>
  <c r="K11" i="41"/>
  <c r="K119" i="41" s="1"/>
  <c r="J16" i="42"/>
  <c r="J19" i="42"/>
  <c r="CD12" i="42"/>
  <c r="H25" i="42"/>
  <c r="AW23" i="41"/>
  <c r="AW125" i="41" s="1"/>
  <c r="CW24" i="42"/>
  <c r="AC25" i="42"/>
  <c r="K23" i="41"/>
  <c r="K125" i="41" s="1"/>
  <c r="CD24" i="42"/>
  <c r="J25" i="42"/>
  <c r="CZ12" i="42"/>
  <c r="AF19" i="42"/>
  <c r="AF16" i="42"/>
  <c r="BC11" i="41"/>
  <c r="BC119" i="41" s="1"/>
  <c r="AD25" i="42"/>
  <c r="AY23" i="41"/>
  <c r="AY125" i="41" s="1"/>
  <c r="CX24" i="42"/>
  <c r="AE16" i="42"/>
  <c r="BA11" i="41"/>
  <c r="BA119" i="41" s="1"/>
  <c r="CY12" i="42"/>
  <c r="AE19" i="42"/>
  <c r="AE25" i="42"/>
  <c r="AI130" i="42"/>
  <c r="DC19" i="42"/>
  <c r="BI18" i="41"/>
  <c r="BI124" i="41" s="1"/>
  <c r="Z127" i="42"/>
  <c r="AQ15" i="41"/>
  <c r="AQ123" i="41" s="1"/>
  <c r="CT16" i="42"/>
  <c r="AG25" i="42"/>
  <c r="DA24" i="42"/>
  <c r="BE23" i="41"/>
  <c r="BE125" i="41" s="1"/>
  <c r="BE126" i="41" s="1"/>
  <c r="BF126" i="41" s="1"/>
  <c r="CS131" i="42"/>
  <c r="AO143" i="41"/>
  <c r="Y249" i="42"/>
  <c r="Y296" i="39"/>
  <c r="DP296" i="39" s="1"/>
  <c r="Y15" i="38"/>
  <c r="W26" i="43"/>
  <c r="Y252" i="42"/>
  <c r="CV12" i="42"/>
  <c r="AB19" i="42"/>
  <c r="AB16" i="42"/>
  <c r="AU11" i="41"/>
  <c r="AU119" i="41" s="1"/>
  <c r="AD296" i="39"/>
  <c r="DZ296" i="39" s="1"/>
  <c r="AD15" i="38"/>
  <c r="AD249" i="42"/>
  <c r="AY143" i="41"/>
  <c r="AD252" i="42"/>
  <c r="AE253" i="42" s="1"/>
  <c r="W31" i="43"/>
  <c r="CX131" i="42"/>
  <c r="E23" i="41"/>
  <c r="E125" i="41" s="1"/>
  <c r="G25" i="42"/>
  <c r="CA24" i="42"/>
  <c r="Z25" i="42"/>
  <c r="AQ23" i="41"/>
  <c r="AQ125" i="41" s="1"/>
  <c r="CT24" i="42"/>
  <c r="BC143" i="41"/>
  <c r="AF296" i="39"/>
  <c r="ED296" i="39" s="1"/>
  <c r="AF249" i="42"/>
  <c r="CZ131" i="42"/>
  <c r="AF15" i="38"/>
  <c r="W33" i="43"/>
  <c r="AF252" i="42"/>
  <c r="CW12" i="42"/>
  <c r="AW11" i="41"/>
  <c r="AW119" i="41" s="1"/>
  <c r="AC19" i="42"/>
  <c r="AC16" i="42"/>
  <c r="AI127" i="42"/>
  <c r="AG252" i="42"/>
  <c r="BE143" i="41"/>
  <c r="AG249" i="42"/>
  <c r="AH250" i="42" s="1"/>
  <c r="AG296" i="39"/>
  <c r="EF296" i="39" s="1"/>
  <c r="DA131" i="42"/>
  <c r="W34" i="43"/>
  <c r="AG15" i="38"/>
  <c r="BC23" i="41"/>
  <c r="BC125" i="41" s="1"/>
  <c r="CZ24" i="42"/>
  <c r="AF25" i="42"/>
  <c r="AY11" i="41"/>
  <c r="AY119" i="41" s="1"/>
  <c r="CX12" i="42"/>
  <c r="AD16" i="42"/>
  <c r="AD19" i="42"/>
  <c r="E11" i="41"/>
  <c r="E119" i="41" s="1"/>
  <c r="G16" i="42"/>
  <c r="G19" i="42"/>
  <c r="CA12" i="42"/>
  <c r="EH2" i="43"/>
  <c r="CE211" i="41"/>
  <c r="F17" i="38"/>
  <c r="F21" i="38" s="1"/>
  <c r="O12" i="35"/>
  <c r="P11" i="35"/>
  <c r="P33" i="35" s="1"/>
  <c r="O54" i="35"/>
  <c r="O75" i="35" s="1"/>
  <c r="BZ133" i="42"/>
  <c r="BF145" i="41" s="1"/>
  <c r="AV34" i="43" s="1"/>
  <c r="C145" i="41"/>
  <c r="F298" i="39"/>
  <c r="CD298" i="39" s="1"/>
  <c r="O8" i="35"/>
  <c r="Z308" i="39"/>
  <c r="CL143" i="42"/>
  <c r="Z235" i="42"/>
  <c r="Z54" i="38" s="1"/>
  <c r="CT143" i="42"/>
  <c r="L360" i="42"/>
  <c r="L358" i="42"/>
  <c r="L359" i="42"/>
  <c r="M359" i="42"/>
  <c r="L362" i="42"/>
  <c r="HZ2" i="43"/>
  <c r="M358" i="42"/>
  <c r="M360" i="42"/>
  <c r="K363" i="42"/>
  <c r="M361" i="42"/>
  <c r="L361" i="42"/>
  <c r="K357" i="42"/>
  <c r="M362" i="42"/>
  <c r="T27" i="44"/>
  <c r="Z91" i="38"/>
  <c r="AI27" i="43"/>
  <c r="Z313" i="42"/>
  <c r="AQ155" i="41"/>
  <c r="CH143" i="42"/>
  <c r="T15" i="44"/>
  <c r="AI19" i="43"/>
  <c r="AA155" i="41"/>
  <c r="T19" i="44"/>
  <c r="R308" i="39"/>
  <c r="N308" i="39"/>
  <c r="N364" i="39" s="1"/>
  <c r="AI15" i="43"/>
  <c r="N27" i="38"/>
  <c r="N183" i="38" s="1"/>
  <c r="R27" i="38"/>
  <c r="R91" i="38" s="1"/>
  <c r="S155" i="41"/>
  <c r="N313" i="42"/>
  <c r="T25" i="44"/>
  <c r="X313" i="42"/>
  <c r="X235" i="42"/>
  <c r="X308" i="39"/>
  <c r="CR143" i="42"/>
  <c r="X27" i="38"/>
  <c r="X91" i="38" s="1"/>
  <c r="P308" i="39"/>
  <c r="P313" i="42"/>
  <c r="CJ143" i="42"/>
  <c r="W155" i="41"/>
  <c r="T17" i="44"/>
  <c r="P27" i="38"/>
  <c r="AI17" i="43"/>
  <c r="V91" i="38"/>
  <c r="V183" i="38"/>
  <c r="AI25" i="43"/>
  <c r="AM155" i="41"/>
  <c r="CN143" i="42"/>
  <c r="AE155" i="41"/>
  <c r="T313" i="42"/>
  <c r="AI21" i="43"/>
  <c r="T308" i="39"/>
  <c r="T21" i="44"/>
  <c r="T27" i="38"/>
  <c r="BP151" i="41"/>
  <c r="V364" i="39"/>
  <c r="DJ308" i="39"/>
  <c r="CN308" i="39"/>
  <c r="K364" i="39"/>
  <c r="R183" i="38"/>
  <c r="CF143" i="42"/>
  <c r="L313" i="42"/>
  <c r="T13" i="44"/>
  <c r="AI13" i="43"/>
  <c r="L308" i="39"/>
  <c r="O155" i="41"/>
  <c r="L27" i="38"/>
  <c r="DR308" i="39"/>
  <c r="Z364" i="39"/>
  <c r="K91" i="38"/>
  <c r="K183" i="38"/>
  <c r="AC155" i="41"/>
  <c r="S27" i="38"/>
  <c r="AI20" i="43"/>
  <c r="S308" i="39"/>
  <c r="S313" i="42"/>
  <c r="CM143" i="42"/>
  <c r="T20" i="44"/>
  <c r="M313" i="42"/>
  <c r="CG143" i="42"/>
  <c r="M308" i="39"/>
  <c r="Q155" i="41"/>
  <c r="T14" i="44"/>
  <c r="AJ143" i="42"/>
  <c r="AI14" i="43"/>
  <c r="M27" i="38"/>
  <c r="AM143" i="42"/>
  <c r="Q313" i="42"/>
  <c r="CK143" i="42"/>
  <c r="Q27" i="38"/>
  <c r="T18" i="44"/>
  <c r="Q308" i="39"/>
  <c r="Y155" i="41"/>
  <c r="AI18" i="43"/>
  <c r="U155" i="41"/>
  <c r="O308" i="39"/>
  <c r="O313" i="42"/>
  <c r="CI143" i="42"/>
  <c r="AI16" i="43"/>
  <c r="O27" i="38"/>
  <c r="T16" i="44"/>
  <c r="AJ304" i="39"/>
  <c r="EL304" i="39" s="1"/>
  <c r="AJ23" i="38"/>
  <c r="DD139" i="42"/>
  <c r="BK151" i="41"/>
  <c r="AK155" i="41"/>
  <c r="W27" i="38"/>
  <c r="W313" i="42"/>
  <c r="CQ143" i="42"/>
  <c r="W308" i="39"/>
  <c r="T24" i="44"/>
  <c r="AI24" i="43"/>
  <c r="U313" i="42"/>
  <c r="CO143" i="42"/>
  <c r="U27" i="38"/>
  <c r="AG155" i="41"/>
  <c r="U308" i="39"/>
  <c r="T22" i="44"/>
  <c r="AI22" i="43"/>
  <c r="Y313" i="42"/>
  <c r="CS143" i="42"/>
  <c r="Y27" i="38"/>
  <c r="T26" i="44"/>
  <c r="AO155" i="41"/>
  <c r="Y308" i="39"/>
  <c r="AI26" i="43"/>
  <c r="Y235" i="42"/>
  <c r="AM23" i="38"/>
  <c r="AM304" i="39"/>
  <c r="EP304" i="39" s="1"/>
  <c r="DF139" i="42"/>
  <c r="BU348" i="39"/>
  <c r="AT414" i="39"/>
  <c r="AX412" i="39" s="1"/>
  <c r="NQ2" i="43"/>
  <c r="L142" i="38"/>
  <c r="AX358" i="42"/>
  <c r="C149" i="41"/>
  <c r="F302" i="39"/>
  <c r="CD302" i="39" s="1"/>
  <c r="BZ137" i="42"/>
  <c r="BF149" i="41" s="1"/>
  <c r="AY34" i="43" s="1"/>
  <c r="F141" i="42"/>
  <c r="D22" i="30"/>
  <c r="T38" i="3"/>
  <c r="Q11" i="6"/>
  <c r="AX360" i="42"/>
  <c r="AX359" i="42"/>
  <c r="IR2" i="43"/>
  <c r="AX363" i="42"/>
  <c r="AX361" i="42"/>
  <c r="FL61" i="20" l="1"/>
  <c r="EP64" i="20"/>
  <c r="GG61" i="20"/>
  <c r="GR61" i="20"/>
  <c r="FB64" i="20"/>
  <c r="FC61" i="20"/>
  <c r="DO64" i="20"/>
  <c r="FY30" i="20"/>
  <c r="J35" i="23"/>
  <c r="J36" i="23" s="1"/>
  <c r="G8" i="6"/>
  <c r="I125" i="9"/>
  <c r="BN356" i="39"/>
  <c r="AD356" i="39"/>
  <c r="AD354" i="39"/>
  <c r="AD355" i="39"/>
  <c r="Z105" i="38"/>
  <c r="Z112" i="38"/>
  <c r="Z114" i="38"/>
  <c r="Z115" i="38"/>
  <c r="Z103" i="38"/>
  <c r="Z102" i="38"/>
  <c r="Z98" i="38"/>
  <c r="Z113" i="38"/>
  <c r="Z101" i="38"/>
  <c r="Z110" i="38"/>
  <c r="Z106" i="38"/>
  <c r="Z104" i="38"/>
  <c r="Z111" i="38"/>
  <c r="BL81" i="38"/>
  <c r="BL82" i="38"/>
  <c r="AW198" i="38"/>
  <c r="AW203" i="38"/>
  <c r="AW195" i="38"/>
  <c r="AW197" i="38"/>
  <c r="AW194" i="38"/>
  <c r="AW205" i="38"/>
  <c r="AW204" i="38"/>
  <c r="AW193" i="38"/>
  <c r="AW196" i="38"/>
  <c r="AW207" i="38"/>
  <c r="AW202" i="38"/>
  <c r="AW206" i="38"/>
  <c r="AW190" i="38"/>
  <c r="BL349" i="39"/>
  <c r="BL348" i="39"/>
  <c r="AS194" i="38"/>
  <c r="AS196" i="38"/>
  <c r="AS197" i="38"/>
  <c r="AS202" i="38"/>
  <c r="AS193" i="38"/>
  <c r="AS195" i="38"/>
  <c r="AS204" i="38"/>
  <c r="AS206" i="38"/>
  <c r="AS207" i="38"/>
  <c r="AS203" i="38"/>
  <c r="AS205" i="38"/>
  <c r="AS198" i="38"/>
  <c r="AS190" i="38"/>
  <c r="Z140" i="41"/>
  <c r="AS18" i="43" s="1"/>
  <c r="BA133" i="42"/>
  <c r="BB17" i="39"/>
  <c r="DA292" i="39" s="1"/>
  <c r="CI18" i="43"/>
  <c r="BA246" i="42"/>
  <c r="BB247" i="42" s="1"/>
  <c r="BB255" i="42" s="1"/>
  <c r="BA128" i="42"/>
  <c r="BB128" i="42"/>
  <c r="AZ59" i="41"/>
  <c r="BM59" i="41"/>
  <c r="DD100" i="42"/>
  <c r="BK103" i="41"/>
  <c r="AY246" i="42"/>
  <c r="AZ17" i="39"/>
  <c r="CW292" i="39" s="1"/>
  <c r="AY128" i="42"/>
  <c r="V140" i="41"/>
  <c r="AS16" i="43" s="1"/>
  <c r="CI16" i="43"/>
  <c r="AY133" i="42"/>
  <c r="BK62" i="41"/>
  <c r="DD61" i="42"/>
  <c r="L140" i="41"/>
  <c r="AS11" i="43" s="1"/>
  <c r="AT246" i="42"/>
  <c r="AU17" i="39"/>
  <c r="CM292" i="39" s="1"/>
  <c r="AT133" i="42"/>
  <c r="AT128" i="42"/>
  <c r="CI11" i="43"/>
  <c r="BL128" i="42"/>
  <c r="CI29" i="43"/>
  <c r="BL246" i="42"/>
  <c r="BL133" i="42"/>
  <c r="AR140" i="41"/>
  <c r="AS27" i="43" s="1"/>
  <c r="BM17" i="39"/>
  <c r="DW292" i="39" s="1"/>
  <c r="FV21" i="20"/>
  <c r="P35" i="23"/>
  <c r="P36" i="23" s="1"/>
  <c r="M8" i="6"/>
  <c r="R35" i="23"/>
  <c r="R36" i="23" s="1"/>
  <c r="O8" i="6"/>
  <c r="BN121" i="38"/>
  <c r="BN97" i="38"/>
  <c r="BN126" i="38"/>
  <c r="BN125" i="38"/>
  <c r="BN122" i="38"/>
  <c r="BD101" i="38"/>
  <c r="BD103" i="38"/>
  <c r="BD104" i="38"/>
  <c r="BD111" i="38"/>
  <c r="BD113" i="38"/>
  <c r="BD115" i="38"/>
  <c r="BD114" i="38"/>
  <c r="BD106" i="38"/>
  <c r="BD112" i="38"/>
  <c r="BD102" i="38"/>
  <c r="BD110" i="38"/>
  <c r="BD105" i="38"/>
  <c r="DD58" i="42"/>
  <c r="BK59" i="41"/>
  <c r="H369" i="42"/>
  <c r="IJ2" i="43"/>
  <c r="H368" i="42"/>
  <c r="J358" i="42"/>
  <c r="IA2" i="43" s="1"/>
  <c r="AK295" i="42"/>
  <c r="AK297" i="42" s="1"/>
  <c r="L425" i="42"/>
  <c r="K426" i="42"/>
  <c r="M425" i="42"/>
  <c r="AQ238" i="38"/>
  <c r="LJ2" i="43"/>
  <c r="BN17" i="39"/>
  <c r="DY292" i="39" s="1"/>
  <c r="BM246" i="42"/>
  <c r="BM133" i="42"/>
  <c r="BM128" i="42"/>
  <c r="CI30" i="43"/>
  <c r="AX17" i="39"/>
  <c r="CS292" i="39" s="1"/>
  <c r="R140" i="41"/>
  <c r="AS14" i="43" s="1"/>
  <c r="AW133" i="42"/>
  <c r="AW246" i="42"/>
  <c r="CI14" i="43"/>
  <c r="AW128" i="42"/>
  <c r="AX140" i="41"/>
  <c r="AS30" i="43" s="1"/>
  <c r="BR128" i="42"/>
  <c r="BR246" i="42"/>
  <c r="BS17" i="39"/>
  <c r="EI292" i="39" s="1"/>
  <c r="BR133" i="42"/>
  <c r="B28" i="40"/>
  <c r="B60" i="40"/>
  <c r="L15" i="28"/>
  <c r="L13" i="28"/>
  <c r="N35" i="34"/>
  <c r="N48" i="34"/>
  <c r="N51" i="34" s="1"/>
  <c r="N56" i="34" s="1"/>
  <c r="FP21" i="20"/>
  <c r="GD30" i="20"/>
  <c r="F125" i="9"/>
  <c r="T35" i="23"/>
  <c r="T36" i="23" s="1"/>
  <c r="Q8" i="6"/>
  <c r="AV120" i="38"/>
  <c r="AE332" i="42"/>
  <c r="AE337" i="42"/>
  <c r="AE326" i="42"/>
  <c r="AE327" i="42"/>
  <c r="AE336" i="42"/>
  <c r="AE324" i="42"/>
  <c r="AE323" i="42"/>
  <c r="AE334" i="42"/>
  <c r="AE335" i="42"/>
  <c r="AE320" i="42"/>
  <c r="AE328" i="42"/>
  <c r="AE325" i="42"/>
  <c r="AE333" i="42"/>
  <c r="S97" i="38"/>
  <c r="S122" i="38"/>
  <c r="S126" i="38"/>
  <c r="S121" i="38"/>
  <c r="S72" i="38" s="1"/>
  <c r="S125" i="38"/>
  <c r="AC294" i="42"/>
  <c r="BM98" i="38"/>
  <c r="BK98" i="38"/>
  <c r="AV98" i="38"/>
  <c r="AQ98" i="38"/>
  <c r="BS98" i="38"/>
  <c r="BN98" i="38"/>
  <c r="AT98" i="38"/>
  <c r="BF98" i="38"/>
  <c r="AR98" i="38"/>
  <c r="BR98" i="38"/>
  <c r="BI98" i="38"/>
  <c r="BG98" i="38"/>
  <c r="BJ98" i="38"/>
  <c r="BE98" i="38"/>
  <c r="AU98" i="38"/>
  <c r="AX98" i="38"/>
  <c r="AW98" i="38"/>
  <c r="BD98" i="38"/>
  <c r="BB98" i="38"/>
  <c r="BL98" i="38"/>
  <c r="BQ98" i="38"/>
  <c r="AY98" i="38"/>
  <c r="BA98" i="38"/>
  <c r="AS98" i="38"/>
  <c r="AZ98" i="38"/>
  <c r="BP98" i="38"/>
  <c r="BO98" i="38"/>
  <c r="CL2" i="44"/>
  <c r="KS2" i="43"/>
  <c r="F236" i="38"/>
  <c r="KV2" i="43"/>
  <c r="O204" i="38"/>
  <c r="O207" i="38"/>
  <c r="O195" i="38"/>
  <c r="O206" i="38"/>
  <c r="O194" i="38"/>
  <c r="O193" i="38"/>
  <c r="O197" i="38"/>
  <c r="O203" i="38"/>
  <c r="O202" i="38"/>
  <c r="O196" i="38"/>
  <c r="O205" i="38"/>
  <c r="O198" i="38"/>
  <c r="O190" i="38"/>
  <c r="BP106" i="41"/>
  <c r="DF103" i="42"/>
  <c r="DF79" i="42"/>
  <c r="BP81" i="41"/>
  <c r="G135" i="42"/>
  <c r="N15" i="28"/>
  <c r="D35" i="34"/>
  <c r="D48" i="34"/>
  <c r="D51" i="34" s="1"/>
  <c r="D56" i="34" s="1"/>
  <c r="E70" i="34"/>
  <c r="E72" i="34" s="1"/>
  <c r="GB43" i="20"/>
  <c r="GC43" i="20"/>
  <c r="GB53" i="20"/>
  <c r="GC36" i="20"/>
  <c r="FT30" i="20"/>
  <c r="FT21" i="20"/>
  <c r="FT43" i="20"/>
  <c r="FR36" i="20"/>
  <c r="D21" i="34"/>
  <c r="D58" i="34" s="1"/>
  <c r="E20" i="34"/>
  <c r="E57" i="34" s="1"/>
  <c r="D62" i="34"/>
  <c r="D73" i="34"/>
  <c r="BQ383" i="39"/>
  <c r="BQ388" i="39"/>
  <c r="BQ386" i="39"/>
  <c r="BQ387" i="39"/>
  <c r="BQ377" i="39"/>
  <c r="BQ378" i="39"/>
  <c r="BQ371" i="39"/>
  <c r="BQ385" i="39"/>
  <c r="BQ374" i="39"/>
  <c r="BQ379" i="39"/>
  <c r="BQ376" i="39"/>
  <c r="BQ375" i="39"/>
  <c r="BQ384" i="39"/>
  <c r="BM36" i="41"/>
  <c r="AZ36" i="41"/>
  <c r="DD36" i="42"/>
  <c r="BM79" i="41"/>
  <c r="AZ79" i="41"/>
  <c r="BM18" i="41"/>
  <c r="AZ18" i="41"/>
  <c r="BT130" i="42"/>
  <c r="BM53" i="41"/>
  <c r="AZ53" i="41"/>
  <c r="AZ155" i="41"/>
  <c r="BC31" i="43" s="1"/>
  <c r="BM155" i="41"/>
  <c r="BU33" i="39"/>
  <c r="EN308" i="39" s="1"/>
  <c r="AZ57" i="41"/>
  <c r="DD56" i="42"/>
  <c r="BM57" i="41"/>
  <c r="AZ9" i="41"/>
  <c r="BM9" i="41"/>
  <c r="BW53" i="42"/>
  <c r="DF54" i="42"/>
  <c r="AZ148" i="41"/>
  <c r="AX31" i="43" s="1"/>
  <c r="BM148" i="41"/>
  <c r="BU26" i="39"/>
  <c r="EN301" i="39" s="1"/>
  <c r="BW25" i="42"/>
  <c r="X116" i="38"/>
  <c r="X107" i="38"/>
  <c r="BK76" i="41"/>
  <c r="BP120" i="41"/>
  <c r="BP137" i="41" s="1"/>
  <c r="BC336" i="42"/>
  <c r="BC326" i="42"/>
  <c r="BC337" i="42"/>
  <c r="BC320" i="42"/>
  <c r="BC334" i="42"/>
  <c r="BC324" i="42"/>
  <c r="BC327" i="42"/>
  <c r="BC332" i="42"/>
  <c r="BC335" i="42"/>
  <c r="BC333" i="42"/>
  <c r="BC328" i="42"/>
  <c r="BC325" i="42"/>
  <c r="BC323" i="42"/>
  <c r="BA115" i="38"/>
  <c r="BA106" i="38"/>
  <c r="BA72" i="38"/>
  <c r="BA73" i="38"/>
  <c r="Y348" i="39"/>
  <c r="Y349" i="39"/>
  <c r="BA349" i="39"/>
  <c r="BA348" i="39"/>
  <c r="AS128" i="42"/>
  <c r="J140" i="41"/>
  <c r="AS10" i="43" s="1"/>
  <c r="AS133" i="42"/>
  <c r="AT17" i="39"/>
  <c r="CK292" i="39" s="1"/>
  <c r="AS246" i="42"/>
  <c r="AT247" i="42" s="1"/>
  <c r="AT255" i="42" s="1"/>
  <c r="CI10" i="43"/>
  <c r="EZ61" i="20"/>
  <c r="GA64" i="20"/>
  <c r="O358" i="42"/>
  <c r="F15" i="28"/>
  <c r="F13" i="28"/>
  <c r="FH61" i="20"/>
  <c r="EI64" i="20"/>
  <c r="E14" i="3"/>
  <c r="GK64" i="20"/>
  <c r="B8" i="29"/>
  <c r="FE64" i="20"/>
  <c r="GU61" i="20"/>
  <c r="FZ21" i="20"/>
  <c r="FW30" i="20"/>
  <c r="GH43" i="20"/>
  <c r="FY43" i="20"/>
  <c r="FY58" i="20"/>
  <c r="BG208" i="42"/>
  <c r="BG115" i="38"/>
  <c r="BG106" i="38"/>
  <c r="BG72" i="38"/>
  <c r="BG73" i="38"/>
  <c r="BQ82" i="38"/>
  <c r="BQ81" i="38"/>
  <c r="DF53" i="42"/>
  <c r="Q295" i="42"/>
  <c r="AY295" i="42"/>
  <c r="AY294" i="42"/>
  <c r="BS349" i="39"/>
  <c r="BS348" i="39"/>
  <c r="I205" i="38"/>
  <c r="I193" i="38"/>
  <c r="I198" i="38"/>
  <c r="I203" i="38"/>
  <c r="I206" i="38"/>
  <c r="I204" i="38"/>
  <c r="I197" i="38"/>
  <c r="I196" i="38"/>
  <c r="I194" i="38"/>
  <c r="I207" i="38"/>
  <c r="I195" i="38"/>
  <c r="I202" i="38"/>
  <c r="I190" i="38"/>
  <c r="AS165" i="38"/>
  <c r="BR17" i="39"/>
  <c r="EG292" i="39" s="1"/>
  <c r="BQ133" i="42"/>
  <c r="BQ246" i="42"/>
  <c r="BR247" i="42" s="1"/>
  <c r="BR255" i="42" s="1"/>
  <c r="BQ128" i="42"/>
  <c r="CI34" i="43"/>
  <c r="DF100" i="42"/>
  <c r="BP103" i="41"/>
  <c r="BP246" i="42"/>
  <c r="BQ247" i="42" s="1"/>
  <c r="BQ255" i="42" s="1"/>
  <c r="BP133" i="42"/>
  <c r="CI33" i="43"/>
  <c r="AV140" i="41"/>
  <c r="AS29" i="43" s="1"/>
  <c r="BQ17" i="39"/>
  <c r="EE292" i="39" s="1"/>
  <c r="BP128" i="42"/>
  <c r="D44" i="31"/>
  <c r="E16" i="31"/>
  <c r="D17" i="31"/>
  <c r="FG61" i="20"/>
  <c r="GC61" i="20"/>
  <c r="GC64" i="20" s="1"/>
  <c r="EE64" i="20"/>
  <c r="GB61" i="20"/>
  <c r="GB64" i="20" s="1"/>
  <c r="FV58" i="20"/>
  <c r="FV53" i="20"/>
  <c r="FV63" i="20" s="1"/>
  <c r="Q35" i="23"/>
  <c r="Q36" i="23" s="1"/>
  <c r="N8" i="6"/>
  <c r="AD116" i="38"/>
  <c r="AD107" i="38"/>
  <c r="BD72" i="38"/>
  <c r="BP122" i="41"/>
  <c r="BP139" i="41" s="1"/>
  <c r="BK98" i="41"/>
  <c r="S333" i="42"/>
  <c r="S320" i="42"/>
  <c r="S336" i="42"/>
  <c r="S327" i="42"/>
  <c r="S334" i="42"/>
  <c r="S337" i="42"/>
  <c r="S326" i="42"/>
  <c r="S324" i="42"/>
  <c r="S325" i="42"/>
  <c r="S335" i="42"/>
  <c r="S323" i="42"/>
  <c r="S328" i="42"/>
  <c r="S332" i="42"/>
  <c r="H367" i="42"/>
  <c r="II2" i="43"/>
  <c r="H366" i="42"/>
  <c r="IH2" i="43"/>
  <c r="BO82" i="38"/>
  <c r="BO81" i="38"/>
  <c r="S198" i="38"/>
  <c r="S195" i="38"/>
  <c r="S203" i="38"/>
  <c r="S206" i="38"/>
  <c r="S196" i="38"/>
  <c r="S207" i="38"/>
  <c r="S204" i="38"/>
  <c r="S194" i="38"/>
  <c r="S197" i="38"/>
  <c r="S202" i="38"/>
  <c r="S205" i="38"/>
  <c r="S193" i="38"/>
  <c r="S190" i="38"/>
  <c r="S164" i="38"/>
  <c r="AQ237" i="38"/>
  <c r="LI2" i="43"/>
  <c r="H164" i="38"/>
  <c r="H35" i="34"/>
  <c r="H48" i="34"/>
  <c r="H51" i="34" s="1"/>
  <c r="H56" i="34" s="1"/>
  <c r="GG53" i="20"/>
  <c r="GG63" i="20" s="1"/>
  <c r="GG21" i="20"/>
  <c r="FQ53" i="20"/>
  <c r="FQ63" i="20" s="1"/>
  <c r="FQ30" i="20"/>
  <c r="FQ43" i="20"/>
  <c r="FQ36" i="20"/>
  <c r="GD21" i="20"/>
  <c r="GD36" i="20"/>
  <c r="FU36" i="20"/>
  <c r="G35" i="23"/>
  <c r="G36" i="23" s="1"/>
  <c r="D8" i="6"/>
  <c r="BK32" i="41"/>
  <c r="AV115" i="38"/>
  <c r="AV111" i="38"/>
  <c r="AV102" i="38"/>
  <c r="AV105" i="38"/>
  <c r="AV101" i="38"/>
  <c r="AV103" i="38"/>
  <c r="AV114" i="38"/>
  <c r="AV112" i="38"/>
  <c r="AV104" i="38"/>
  <c r="AV113" i="38"/>
  <c r="AV110" i="38"/>
  <c r="AV106" i="38"/>
  <c r="AJ72" i="38"/>
  <c r="H137" i="38" s="1"/>
  <c r="JP2" i="43" s="1"/>
  <c r="AJ70" i="38"/>
  <c r="H135" i="38" s="1"/>
  <c r="AJ71" i="38"/>
  <c r="H136" i="38" s="1"/>
  <c r="JO2" i="43" s="1"/>
  <c r="AJ69" i="38"/>
  <c r="H146" i="38" s="1"/>
  <c r="AJ73" i="38"/>
  <c r="H138" i="38" s="1"/>
  <c r="JQ2" i="43" s="1"/>
  <c r="AJ68" i="38"/>
  <c r="H145" i="38" s="1"/>
  <c r="AJ67" i="38"/>
  <c r="H144" i="38" s="1"/>
  <c r="AC295" i="42"/>
  <c r="AR128" i="42"/>
  <c r="AR133" i="42"/>
  <c r="H140" i="41"/>
  <c r="AS9" i="43" s="1"/>
  <c r="AR246" i="42"/>
  <c r="AS247" i="42" s="1"/>
  <c r="AS255" i="42" s="1"/>
  <c r="AS17" i="39"/>
  <c r="CI292" i="39" s="1"/>
  <c r="CI9" i="43"/>
  <c r="BS203" i="38"/>
  <c r="BS195" i="38"/>
  <c r="BS196" i="38"/>
  <c r="BS198" i="38"/>
  <c r="BS202" i="38"/>
  <c r="BS206" i="38"/>
  <c r="BS204" i="38"/>
  <c r="BS193" i="38"/>
  <c r="BS197" i="38"/>
  <c r="BS190" i="38"/>
  <c r="BS194" i="38"/>
  <c r="BS205" i="38"/>
  <c r="BS207" i="38"/>
  <c r="BD107" i="38"/>
  <c r="BA116" i="38"/>
  <c r="AU116" i="38"/>
  <c r="BJ107" i="38"/>
  <c r="AY116" i="38"/>
  <c r="BQ107" i="38"/>
  <c r="BC107" i="38"/>
  <c r="BI116" i="38"/>
  <c r="BE107" i="38"/>
  <c r="AW116" i="38"/>
  <c r="AQ107" i="38"/>
  <c r="AU107" i="38"/>
  <c r="AR116" i="38"/>
  <c r="BG107" i="38"/>
  <c r="AS116" i="38"/>
  <c r="AY107" i="38"/>
  <c r="BH116" i="38"/>
  <c r="BN116" i="38"/>
  <c r="BQ116" i="38"/>
  <c r="BL107" i="38"/>
  <c r="BI107" i="38"/>
  <c r="BO116" i="38"/>
  <c r="AV116" i="38"/>
  <c r="AQ116" i="38"/>
  <c r="AR107" i="38"/>
  <c r="BG116" i="38"/>
  <c r="AX107" i="38"/>
  <c r="BB116" i="38"/>
  <c r="AS107" i="38"/>
  <c r="AZ107" i="38"/>
  <c r="BH107" i="38"/>
  <c r="BR116" i="38"/>
  <c r="BN107" i="38"/>
  <c r="BL116" i="38"/>
  <c r="AT116" i="38"/>
  <c r="BF107" i="38"/>
  <c r="BO107" i="38"/>
  <c r="AV107" i="38"/>
  <c r="BD116" i="38"/>
  <c r="BA107" i="38"/>
  <c r="BJ116" i="38"/>
  <c r="AX116" i="38"/>
  <c r="BB107" i="38"/>
  <c r="AZ116" i="38"/>
  <c r="BR107" i="38"/>
  <c r="BC116" i="38"/>
  <c r="AT107" i="38"/>
  <c r="BF116" i="38"/>
  <c r="BE116" i="38"/>
  <c r="AW107" i="38"/>
  <c r="CK2" i="44"/>
  <c r="KR2" i="43"/>
  <c r="O165" i="38"/>
  <c r="AN42" i="40"/>
  <c r="AN10" i="40"/>
  <c r="N140" i="41"/>
  <c r="AS12" i="43" s="1"/>
  <c r="CI12" i="43"/>
  <c r="AU246" i="42"/>
  <c r="AV17" i="39"/>
  <c r="CO292" i="39" s="1"/>
  <c r="AU128" i="42"/>
  <c r="AU133" i="42"/>
  <c r="BM103" i="41"/>
  <c r="AZ103" i="41"/>
  <c r="F13" i="6"/>
  <c r="C134" i="9"/>
  <c r="I16" i="28"/>
  <c r="I35" i="28" s="1"/>
  <c r="GB36" i="20"/>
  <c r="L125" i="9"/>
  <c r="M125" i="9"/>
  <c r="V35" i="23"/>
  <c r="V36" i="23" s="1"/>
  <c r="S8" i="6"/>
  <c r="BM99" i="41"/>
  <c r="AZ99" i="41"/>
  <c r="BT95" i="42"/>
  <c r="DD95" i="42" s="1"/>
  <c r="AZ78" i="41"/>
  <c r="BM78" i="41"/>
  <c r="BM101" i="41"/>
  <c r="AZ101" i="41"/>
  <c r="DD98" i="42"/>
  <c r="BM111" i="41"/>
  <c r="AZ111" i="41"/>
  <c r="BT109" i="42"/>
  <c r="AZ112" i="41" s="1"/>
  <c r="DD108" i="42"/>
  <c r="BT74" i="42"/>
  <c r="DD75" i="42"/>
  <c r="BM77" i="41"/>
  <c r="AZ77" i="41"/>
  <c r="BM33" i="41"/>
  <c r="DD33" i="42"/>
  <c r="AZ33" i="41"/>
  <c r="BT32" i="42"/>
  <c r="BM35" i="41"/>
  <c r="DD35" i="42"/>
  <c r="AZ35" i="41"/>
  <c r="BW32" i="42"/>
  <c r="DF32" i="42" s="1"/>
  <c r="DF33" i="42"/>
  <c r="BM75" i="41"/>
  <c r="AZ75" i="41"/>
  <c r="DF75" i="42"/>
  <c r="BW74" i="42"/>
  <c r="DF74" i="42" s="1"/>
  <c r="AZ144" i="41"/>
  <c r="AU31" i="43" s="1"/>
  <c r="BU22" i="39"/>
  <c r="EN297" i="39" s="1"/>
  <c r="DD132" i="42"/>
  <c r="BM144" i="41"/>
  <c r="BM45" i="41"/>
  <c r="AZ45" i="41"/>
  <c r="BT46" i="42"/>
  <c r="AZ46" i="41" s="1"/>
  <c r="AZ56" i="41"/>
  <c r="BM56" i="41"/>
  <c r="DD55" i="42"/>
  <c r="AI164" i="38"/>
  <c r="Q349" i="39"/>
  <c r="Q348" i="39"/>
  <c r="AE164" i="38"/>
  <c r="BM15" i="41"/>
  <c r="AZ15" i="41"/>
  <c r="BD128" i="42"/>
  <c r="BE17" i="39"/>
  <c r="DG292" i="39" s="1"/>
  <c r="CI21" i="43"/>
  <c r="BD246" i="42"/>
  <c r="BD133" i="42"/>
  <c r="AF140" i="41"/>
  <c r="AS21" i="43" s="1"/>
  <c r="DD82" i="42"/>
  <c r="BK84" i="41"/>
  <c r="I13" i="28"/>
  <c r="CY64" i="20"/>
  <c r="EY61" i="20"/>
  <c r="FA64" i="20"/>
  <c r="GQ61" i="20"/>
  <c r="FZ36" i="20"/>
  <c r="FZ64" i="20"/>
  <c r="FX21" i="20"/>
  <c r="GH36" i="20"/>
  <c r="FY53" i="20"/>
  <c r="FY63" i="20" s="1"/>
  <c r="FY36" i="20"/>
  <c r="W107" i="9"/>
  <c r="BH233" i="42"/>
  <c r="AN157" i="41"/>
  <c r="BE25" i="43" s="1"/>
  <c r="CU25" i="43"/>
  <c r="BI35" i="39"/>
  <c r="DO310" i="39" s="1"/>
  <c r="BH147" i="42"/>
  <c r="CV25" i="43" s="1"/>
  <c r="BH146" i="42"/>
  <c r="L72" i="38"/>
  <c r="L114" i="38"/>
  <c r="L104" i="38"/>
  <c r="L115" i="38"/>
  <c r="L98" i="38"/>
  <c r="L112" i="38"/>
  <c r="L102" i="38"/>
  <c r="L113" i="38"/>
  <c r="L110" i="38"/>
  <c r="L111" i="38"/>
  <c r="L103" i="38"/>
  <c r="L105" i="38"/>
  <c r="L106" i="38"/>
  <c r="L101" i="38"/>
  <c r="Q294" i="42"/>
  <c r="Q335" i="42"/>
  <c r="Q333" i="42"/>
  <c r="Q328" i="42"/>
  <c r="Q336" i="42"/>
  <c r="Q327" i="42"/>
  <c r="Q324" i="42"/>
  <c r="Q325" i="42"/>
  <c r="Q334" i="42"/>
  <c r="Q320" i="42"/>
  <c r="Q337" i="42"/>
  <c r="Q326" i="42"/>
  <c r="Q323" i="42"/>
  <c r="Q332" i="42"/>
  <c r="BK81" i="38"/>
  <c r="BT71" i="38" s="1"/>
  <c r="AS136" i="38" s="1"/>
  <c r="KC2" i="43" s="1"/>
  <c r="BK82" i="38"/>
  <c r="BK107" i="38" s="1"/>
  <c r="AW165" i="38"/>
  <c r="AB349" i="39"/>
  <c r="AB348" i="39"/>
  <c r="AS164" i="38"/>
  <c r="BF17" i="39"/>
  <c r="DI292" i="39" s="1"/>
  <c r="BE133" i="42"/>
  <c r="AH140" i="41"/>
  <c r="AS22" i="43" s="1"/>
  <c r="BE246" i="42"/>
  <c r="BF247" i="42" s="1"/>
  <c r="BF255" i="42" s="1"/>
  <c r="CI22" i="43"/>
  <c r="BE128" i="42"/>
  <c r="BK40" i="41"/>
  <c r="DD40" i="42"/>
  <c r="BM84" i="41"/>
  <c r="AZ84" i="41"/>
  <c r="J69" i="34"/>
  <c r="J71" i="34" s="1"/>
  <c r="K68" i="34"/>
  <c r="EW63" i="20"/>
  <c r="GM63" i="20" s="1"/>
  <c r="H13" i="28"/>
  <c r="H14" i="28"/>
  <c r="FV64" i="20"/>
  <c r="FV36" i="20"/>
  <c r="S35" i="23"/>
  <c r="S36" i="23" s="1"/>
  <c r="P8" i="6"/>
  <c r="DD109" i="42"/>
  <c r="DF37" i="42"/>
  <c r="BP37" i="41"/>
  <c r="H365" i="42"/>
  <c r="IG2" i="43"/>
  <c r="S165" i="38"/>
  <c r="BI196" i="38"/>
  <c r="BI194" i="38"/>
  <c r="BI205" i="38"/>
  <c r="BI203" i="38"/>
  <c r="BI202" i="38"/>
  <c r="BI193" i="38"/>
  <c r="BI206" i="38"/>
  <c r="BI195" i="38"/>
  <c r="BI207" i="38"/>
  <c r="BI204" i="38"/>
  <c r="BI197" i="38"/>
  <c r="BI190" i="38"/>
  <c r="BI198" i="38"/>
  <c r="AU231" i="38"/>
  <c r="LB2" i="43"/>
  <c r="AV228" i="38"/>
  <c r="AV227" i="38"/>
  <c r="AU229" i="38"/>
  <c r="AV230" i="38"/>
  <c r="AU230" i="38"/>
  <c r="AV229" i="38"/>
  <c r="AU228" i="38"/>
  <c r="H195" i="38"/>
  <c r="H206" i="38"/>
  <c r="H193" i="38"/>
  <c r="H194" i="38"/>
  <c r="H197" i="38"/>
  <c r="H203" i="38"/>
  <c r="H190" i="38"/>
  <c r="H205" i="38"/>
  <c r="H198" i="38"/>
  <c r="H196" i="38"/>
  <c r="H204" i="38"/>
  <c r="H207" i="38"/>
  <c r="H202" i="38"/>
  <c r="H165" i="38"/>
  <c r="BS128" i="42"/>
  <c r="BS133" i="42"/>
  <c r="BJ140" i="41"/>
  <c r="BS246" i="42"/>
  <c r="BT17" i="39"/>
  <c r="EK292" i="39" s="1"/>
  <c r="G408" i="42"/>
  <c r="FX53" i="20"/>
  <c r="FX63" i="20" s="1"/>
  <c r="I48" i="34"/>
  <c r="I51" i="34" s="1"/>
  <c r="I56" i="34" s="1"/>
  <c r="I35" i="34"/>
  <c r="FP36" i="20"/>
  <c r="FP53" i="20"/>
  <c r="FP63" i="20" s="1"/>
  <c r="FP64" i="20" s="1"/>
  <c r="GG36" i="20"/>
  <c r="GG43" i="20"/>
  <c r="FQ58" i="20"/>
  <c r="GD53" i="20"/>
  <c r="GD63" i="20" s="1"/>
  <c r="FU30" i="20"/>
  <c r="W105" i="9"/>
  <c r="AQ433" i="42"/>
  <c r="CG16" i="43" s="1"/>
  <c r="AS432" i="42"/>
  <c r="AR432" i="42"/>
  <c r="CF31" i="43"/>
  <c r="CH32" i="43"/>
  <c r="CE2" i="43"/>
  <c r="CH10" i="43"/>
  <c r="CF7" i="43"/>
  <c r="CF20" i="43"/>
  <c r="CE9" i="43"/>
  <c r="CF28" i="43"/>
  <c r="AV73" i="38"/>
  <c r="AV72" i="38"/>
  <c r="BC121" i="38"/>
  <c r="BC126" i="38"/>
  <c r="BC125" i="38"/>
  <c r="BC73" i="38" s="1"/>
  <c r="BC122" i="38"/>
  <c r="BC97" i="38"/>
  <c r="BA327" i="42"/>
  <c r="BA332" i="42"/>
  <c r="BA328" i="42"/>
  <c r="BA337" i="42"/>
  <c r="BA325" i="42"/>
  <c r="BA326" i="42"/>
  <c r="BA320" i="42"/>
  <c r="BA335" i="42"/>
  <c r="BA323" i="42"/>
  <c r="BA334" i="42"/>
  <c r="BA336" i="42"/>
  <c r="BA324" i="42"/>
  <c r="BA333" i="42"/>
  <c r="AC335" i="42"/>
  <c r="AC323" i="42"/>
  <c r="AC334" i="42"/>
  <c r="AC333" i="42"/>
  <c r="AC336" i="42"/>
  <c r="AC324" i="42"/>
  <c r="AC327" i="42"/>
  <c r="AC332" i="42"/>
  <c r="AC328" i="42"/>
  <c r="AC337" i="42"/>
  <c r="AC325" i="42"/>
  <c r="AC326" i="42"/>
  <c r="AC320" i="42"/>
  <c r="X205" i="38"/>
  <c r="X198" i="38"/>
  <c r="X196" i="38"/>
  <c r="X204" i="38"/>
  <c r="X207" i="38"/>
  <c r="X203" i="38"/>
  <c r="X195" i="38"/>
  <c r="X206" i="38"/>
  <c r="X193" i="38"/>
  <c r="X190" i="38"/>
  <c r="X194" i="38"/>
  <c r="X197" i="38"/>
  <c r="X202" i="38"/>
  <c r="KW2" i="43"/>
  <c r="F237" i="38"/>
  <c r="CJ2" i="44"/>
  <c r="KQ2" i="43"/>
  <c r="B35" i="34"/>
  <c r="B48" i="34"/>
  <c r="B51" i="34" s="1"/>
  <c r="B56" i="34" s="1"/>
  <c r="J14" i="28"/>
  <c r="J13" i="28"/>
  <c r="H135" i="42"/>
  <c r="O15" i="28"/>
  <c r="O13" i="28"/>
  <c r="N207" i="42"/>
  <c r="S35" i="34"/>
  <c r="S48" i="34"/>
  <c r="S51" i="34" s="1"/>
  <c r="S56" i="34" s="1"/>
  <c r="FR58" i="20"/>
  <c r="FR43" i="20"/>
  <c r="FG30" i="20"/>
  <c r="R14" i="28" s="1"/>
  <c r="K125" i="9"/>
  <c r="BM23" i="41"/>
  <c r="AZ23" i="41"/>
  <c r="BT25" i="42"/>
  <c r="AZ24" i="41" s="1"/>
  <c r="BM12" i="41"/>
  <c r="AZ12" i="41"/>
  <c r="BM147" i="41"/>
  <c r="BU25" i="39"/>
  <c r="EN300" i="39" s="1"/>
  <c r="AZ147" i="41"/>
  <c r="AW31" i="43" s="1"/>
  <c r="BM11" i="41"/>
  <c r="AZ11" i="41"/>
  <c r="BT11" i="42"/>
  <c r="BM102" i="41"/>
  <c r="AZ102" i="41"/>
  <c r="AZ100" i="41"/>
  <c r="BM100" i="41"/>
  <c r="AZ97" i="41"/>
  <c r="DD94" i="42"/>
  <c r="BM97" i="41"/>
  <c r="BM31" i="41"/>
  <c r="AZ31" i="41"/>
  <c r="BM40" i="41"/>
  <c r="AZ40" i="41"/>
  <c r="BW95" i="42"/>
  <c r="DF95" i="42" s="1"/>
  <c r="BM62" i="41"/>
  <c r="AZ62" i="41"/>
  <c r="X125" i="38"/>
  <c r="X97" i="38"/>
  <c r="X126" i="38"/>
  <c r="X121" i="38"/>
  <c r="X122" i="38"/>
  <c r="DF132" i="42"/>
  <c r="DD97" i="42"/>
  <c r="DD73" i="42"/>
  <c r="BK120" i="41"/>
  <c r="BK137" i="41" s="1"/>
  <c r="CT20" i="43"/>
  <c r="AD156" i="41"/>
  <c r="BD20" i="43" s="1"/>
  <c r="BD34" i="39"/>
  <c r="DE309" i="39" s="1"/>
  <c r="BI349" i="39"/>
  <c r="BI348" i="39"/>
  <c r="BF137" i="42"/>
  <c r="BF134" i="42"/>
  <c r="CN23" i="43" s="1"/>
  <c r="AJ145" i="41"/>
  <c r="AV23" i="43" s="1"/>
  <c r="CM23" i="43"/>
  <c r="BG23" i="39"/>
  <c r="DK298" i="39" s="1"/>
  <c r="BF128" i="42"/>
  <c r="AE204" i="38"/>
  <c r="AE194" i="38"/>
  <c r="AE193" i="38"/>
  <c r="AE202" i="38"/>
  <c r="AE207" i="38"/>
  <c r="AE195" i="38"/>
  <c r="AE198" i="38"/>
  <c r="AE197" i="38"/>
  <c r="AE205" i="38"/>
  <c r="AE190" i="38"/>
  <c r="AE206" i="38"/>
  <c r="AE196" i="38"/>
  <c r="AE203" i="38"/>
  <c r="AF123" i="41"/>
  <c r="BI128" i="42"/>
  <c r="BI133" i="42"/>
  <c r="CI26" i="43"/>
  <c r="BI246" i="42"/>
  <c r="BJ17" i="39"/>
  <c r="DQ292" i="39" s="1"/>
  <c r="BO133" i="42"/>
  <c r="BP17" i="39"/>
  <c r="EC292" i="39" s="1"/>
  <c r="BO246" i="42"/>
  <c r="BP247" i="42" s="1"/>
  <c r="BP255" i="42" s="1"/>
  <c r="CI32" i="43"/>
  <c r="BO128" i="42"/>
  <c r="DF82" i="42"/>
  <c r="BP84" i="41"/>
  <c r="GV61" i="20"/>
  <c r="FF64" i="20"/>
  <c r="F14" i="3"/>
  <c r="GL64" i="20"/>
  <c r="C8" i="29"/>
  <c r="GN61" i="20"/>
  <c r="EX64" i="20"/>
  <c r="G15" i="28"/>
  <c r="G13" i="28"/>
  <c r="G35" i="34"/>
  <c r="G48" i="34"/>
  <c r="G51" i="34" s="1"/>
  <c r="G56" i="34" s="1"/>
  <c r="L35" i="34"/>
  <c r="L48" i="34"/>
  <c r="L51" i="34" s="1"/>
  <c r="L56" i="34" s="1"/>
  <c r="FW21" i="20"/>
  <c r="FW43" i="20"/>
  <c r="FW53" i="20"/>
  <c r="FW63" i="20" s="1"/>
  <c r="FW64" i="20" s="1"/>
  <c r="FX64" i="20"/>
  <c r="GH30" i="20"/>
  <c r="GH64" i="20"/>
  <c r="FY21" i="20"/>
  <c r="FY64" i="20"/>
  <c r="L35" i="23"/>
  <c r="L36" i="23" s="1"/>
  <c r="I8" i="6"/>
  <c r="BF345" i="39"/>
  <c r="BF383" i="39"/>
  <c r="BF386" i="39"/>
  <c r="BF374" i="39"/>
  <c r="BF387" i="39"/>
  <c r="BF377" i="39"/>
  <c r="BF388" i="39"/>
  <c r="BF371" i="39"/>
  <c r="BF385" i="39"/>
  <c r="BF384" i="39"/>
  <c r="BF379" i="39"/>
  <c r="BF378" i="39"/>
  <c r="BF375" i="39"/>
  <c r="BF376" i="39"/>
  <c r="BL386" i="39"/>
  <c r="BL374" i="39"/>
  <c r="BL375" i="39"/>
  <c r="BL378" i="39"/>
  <c r="BL377" i="39"/>
  <c r="BL379" i="39"/>
  <c r="BL376" i="39"/>
  <c r="BL371" i="39"/>
  <c r="BL387" i="39"/>
  <c r="BL388" i="39"/>
  <c r="BL385" i="39"/>
  <c r="BL384" i="39"/>
  <c r="BL383" i="39"/>
  <c r="BK54" i="41"/>
  <c r="AY328" i="42"/>
  <c r="AY333" i="42"/>
  <c r="AY335" i="42"/>
  <c r="AY332" i="42"/>
  <c r="AY327" i="42"/>
  <c r="AY326" i="42"/>
  <c r="AY323" i="42"/>
  <c r="AY336" i="42"/>
  <c r="AY324" i="42"/>
  <c r="AY325" i="42"/>
  <c r="AY334" i="42"/>
  <c r="AY337" i="42"/>
  <c r="AY320" i="42"/>
  <c r="BP82" i="38"/>
  <c r="BP81" i="38"/>
  <c r="AI349" i="39"/>
  <c r="AI348" i="39"/>
  <c r="I165" i="38"/>
  <c r="DF40" i="42"/>
  <c r="BP40" i="41"/>
  <c r="AR17" i="39"/>
  <c r="CG292" i="39" s="1"/>
  <c r="AQ246" i="42"/>
  <c r="CI8" i="43"/>
  <c r="F140" i="41"/>
  <c r="AS8" i="43" s="1"/>
  <c r="BT127" i="42"/>
  <c r="BU136" i="42" s="1"/>
  <c r="AQ128" i="42"/>
  <c r="BW127" i="42"/>
  <c r="AQ133" i="42"/>
  <c r="BK128" i="42"/>
  <c r="BJ128" i="42"/>
  <c r="BK17" i="39"/>
  <c r="DS292" i="39" s="1"/>
  <c r="CI27" i="43"/>
  <c r="BJ133" i="42"/>
  <c r="BJ246" i="42"/>
  <c r="BK247" i="42" s="1"/>
  <c r="BK255" i="42" s="1"/>
  <c r="AP140" i="41"/>
  <c r="AS26" i="43" s="1"/>
  <c r="DF61" i="42"/>
  <c r="BP62" i="41"/>
  <c r="BN133" i="42"/>
  <c r="BN246" i="42"/>
  <c r="BO247" i="42" s="1"/>
  <c r="BO255" i="42" s="1"/>
  <c r="BO17" i="39"/>
  <c r="EA292" i="39" s="1"/>
  <c r="CI31" i="43"/>
  <c r="BN128" i="42"/>
  <c r="AT140" i="41"/>
  <c r="AS28" i="43" s="1"/>
  <c r="BM106" i="41"/>
  <c r="AZ106" i="41"/>
  <c r="EQ64" i="20"/>
  <c r="FM61" i="20"/>
  <c r="FI61" i="20"/>
  <c r="EM64" i="20"/>
  <c r="FX36" i="20"/>
  <c r="FV43" i="20"/>
  <c r="FV30" i="20"/>
  <c r="FK61" i="20"/>
  <c r="EO64" i="20"/>
  <c r="GF61" i="20"/>
  <c r="GF64" i="20" s="1"/>
  <c r="AD125" i="38"/>
  <c r="AD122" i="38"/>
  <c r="AD121" i="38"/>
  <c r="AD97" i="38"/>
  <c r="AD126" i="38"/>
  <c r="DD37" i="42"/>
  <c r="BK37" i="41"/>
  <c r="S294" i="42"/>
  <c r="J369" i="42"/>
  <c r="IK2" i="43" s="1"/>
  <c r="J362" i="42"/>
  <c r="IE2" i="43" s="1"/>
  <c r="BB106" i="38"/>
  <c r="BB115" i="38"/>
  <c r="BB72" i="38"/>
  <c r="BB73" i="38"/>
  <c r="LH2" i="43"/>
  <c r="AQ236" i="38"/>
  <c r="BC202" i="38"/>
  <c r="BC195" i="38"/>
  <c r="BC196" i="38"/>
  <c r="BC198" i="38"/>
  <c r="BC193" i="38"/>
  <c r="BC207" i="38"/>
  <c r="BC190" i="38"/>
  <c r="BC194" i="38"/>
  <c r="BC205" i="38"/>
  <c r="BC206" i="38"/>
  <c r="BC203" i="38"/>
  <c r="BC204" i="38"/>
  <c r="BC197" i="38"/>
  <c r="BM37" i="41"/>
  <c r="AZ37" i="41"/>
  <c r="C151" i="9"/>
  <c r="FJ61" i="20"/>
  <c r="GE61" i="20"/>
  <c r="GE64" i="20" s="1"/>
  <c r="EN64" i="20"/>
  <c r="J70" i="34"/>
  <c r="J135" i="42"/>
  <c r="Q15" i="28"/>
  <c r="U35" i="34"/>
  <c r="U48" i="34"/>
  <c r="U51" i="34" s="1"/>
  <c r="U56" i="34" s="1"/>
  <c r="FP30" i="20"/>
  <c r="GG30" i="20"/>
  <c r="GG58" i="20"/>
  <c r="FQ64" i="20"/>
  <c r="FQ21" i="20"/>
  <c r="GD61" i="20"/>
  <c r="GD64" i="20" s="1"/>
  <c r="GD43" i="20"/>
  <c r="FU21" i="20"/>
  <c r="FU53" i="20"/>
  <c r="FU63" i="20" s="1"/>
  <c r="FU64" i="20" s="1"/>
  <c r="G125" i="9"/>
  <c r="F35" i="23"/>
  <c r="F36" i="23" s="1"/>
  <c r="C8" i="6"/>
  <c r="CH12" i="43"/>
  <c r="CF24" i="43"/>
  <c r="CF5" i="43"/>
  <c r="CG23" i="43"/>
  <c r="CH18" i="43"/>
  <c r="CE25" i="43"/>
  <c r="CH28" i="43"/>
  <c r="CE10" i="43"/>
  <c r="CG5" i="43"/>
  <c r="U35" i="23"/>
  <c r="U36" i="23" s="1"/>
  <c r="R8" i="6"/>
  <c r="AE294" i="42"/>
  <c r="S116" i="38"/>
  <c r="S107" i="38"/>
  <c r="BI106" i="38"/>
  <c r="BI115" i="38"/>
  <c r="BI73" i="38"/>
  <c r="BI72" i="38"/>
  <c r="BM82" i="38"/>
  <c r="BM81" i="38"/>
  <c r="X165" i="38"/>
  <c r="F238" i="38"/>
  <c r="KX2" i="43"/>
  <c r="J229" i="38"/>
  <c r="K228" i="38"/>
  <c r="J230" i="38"/>
  <c r="K227" i="38"/>
  <c r="K229" i="38"/>
  <c r="J231" i="38"/>
  <c r="CI2" i="44"/>
  <c r="KP2" i="43"/>
  <c r="J228" i="38"/>
  <c r="K230" i="38"/>
  <c r="AZ246" i="42"/>
  <c r="BA247" i="42" s="1"/>
  <c r="BA255" i="42" s="1"/>
  <c r="AZ133" i="42"/>
  <c r="X140" i="41"/>
  <c r="AS17" i="43" s="1"/>
  <c r="CI17" i="43"/>
  <c r="BA17" i="39"/>
  <c r="CY292" i="39" s="1"/>
  <c r="AZ128" i="42"/>
  <c r="BP59" i="41"/>
  <c r="DF58" i="42"/>
  <c r="CI15" i="43"/>
  <c r="AX246" i="42"/>
  <c r="AY247" i="42" s="1"/>
  <c r="AY255" i="42" s="1"/>
  <c r="AY17" i="39"/>
  <c r="CU292" i="39" s="1"/>
  <c r="AX128" i="42"/>
  <c r="T140" i="41"/>
  <c r="AS15" i="43" s="1"/>
  <c r="AX133" i="42"/>
  <c r="CI13" i="43"/>
  <c r="P140" i="41"/>
  <c r="AS13" i="43" s="1"/>
  <c r="AW17" i="39"/>
  <c r="CQ292" i="39" s="1"/>
  <c r="AV128" i="42"/>
  <c r="AV246" i="42"/>
  <c r="AW247" i="42" s="1"/>
  <c r="AW255" i="42" s="1"/>
  <c r="AV133" i="42"/>
  <c r="DD103" i="42"/>
  <c r="BK106" i="41"/>
  <c r="DD79" i="42"/>
  <c r="BK81" i="41"/>
  <c r="I7" i="31"/>
  <c r="H8" i="31"/>
  <c r="H43" i="31"/>
  <c r="P15" i="28"/>
  <c r="I135" i="42"/>
  <c r="GT61" i="20"/>
  <c r="FD64" i="20"/>
  <c r="FX30" i="20"/>
  <c r="F35" i="34"/>
  <c r="F48" i="34"/>
  <c r="F51" i="34" s="1"/>
  <c r="F56" i="34" s="1"/>
  <c r="GC30" i="20"/>
  <c r="GC21" i="20"/>
  <c r="GC53" i="20"/>
  <c r="GB30" i="20"/>
  <c r="FT53" i="20"/>
  <c r="FT63" i="20" s="1"/>
  <c r="FT64" i="20" s="1"/>
  <c r="FR53" i="20"/>
  <c r="FR63" i="20" s="1"/>
  <c r="FR64" i="20" s="1"/>
  <c r="AZ55" i="41"/>
  <c r="BT53" i="42"/>
  <c r="DD53" i="42" s="1"/>
  <c r="BM55" i="41"/>
  <c r="AZ58" i="41"/>
  <c r="BM58" i="41"/>
  <c r="BM81" i="41"/>
  <c r="AZ81" i="41"/>
  <c r="BM80" i="41"/>
  <c r="DD78" i="42"/>
  <c r="AZ80" i="41"/>
  <c r="BT88" i="42"/>
  <c r="AZ90" i="41" s="1"/>
  <c r="BM89" i="41"/>
  <c r="AZ89" i="41"/>
  <c r="BW46" i="42"/>
  <c r="DF46" i="42" s="1"/>
  <c r="DF45" i="42"/>
  <c r="AZ151" i="41"/>
  <c r="AZ31" i="43" s="1"/>
  <c r="BM151" i="41"/>
  <c r="BU29" i="39"/>
  <c r="EN304" i="39" s="1"/>
  <c r="BU131" i="42"/>
  <c r="AZ143" i="41"/>
  <c r="AT31" i="43" s="1"/>
  <c r="BM143" i="41"/>
  <c r="BU21" i="39"/>
  <c r="EN296" i="39" s="1"/>
  <c r="BM34" i="41"/>
  <c r="AZ34" i="41"/>
  <c r="BM13" i="41"/>
  <c r="BM121" i="41" s="1"/>
  <c r="BM138" i="41" s="1"/>
  <c r="AZ13" i="41"/>
  <c r="AZ121" i="41" s="1"/>
  <c r="AZ138" i="41" s="1"/>
  <c r="AQ31" i="43" s="1"/>
  <c r="DD14" i="42"/>
  <c r="AZ67" i="41"/>
  <c r="BM67" i="41"/>
  <c r="DD66" i="42"/>
  <c r="BT67" i="42"/>
  <c r="AZ68" i="41" s="1"/>
  <c r="BM14" i="41"/>
  <c r="AZ14" i="41"/>
  <c r="AZ122" i="41" s="1"/>
  <c r="AZ139" i="41" s="1"/>
  <c r="AR31" i="43" s="1"/>
  <c r="BH125" i="38"/>
  <c r="BH121" i="38"/>
  <c r="BH97" i="38"/>
  <c r="BH98" i="38" s="1"/>
  <c r="BH122" i="38"/>
  <c r="BH126" i="38"/>
  <c r="DD77" i="42"/>
  <c r="BC145" i="42"/>
  <c r="BS82" i="38"/>
  <c r="BS81" i="38"/>
  <c r="AZ115" i="38"/>
  <c r="AZ106" i="38"/>
  <c r="AZ73" i="38"/>
  <c r="AI204" i="38"/>
  <c r="AI194" i="38"/>
  <c r="AI197" i="38"/>
  <c r="AI202" i="38"/>
  <c r="AI205" i="38"/>
  <c r="AI193" i="38"/>
  <c r="AI190" i="38"/>
  <c r="AI198" i="38"/>
  <c r="AI195" i="38"/>
  <c r="AI203" i="38"/>
  <c r="AI206" i="38"/>
  <c r="AI196" i="38"/>
  <c r="AI207" i="38"/>
  <c r="J123" i="41"/>
  <c r="BG128" i="42"/>
  <c r="BG133" i="42"/>
  <c r="AL140" i="41"/>
  <c r="AS24" i="43" s="1"/>
  <c r="CI24" i="43"/>
  <c r="BH17" i="39"/>
  <c r="DM292" i="39" s="1"/>
  <c r="BG246" i="42"/>
  <c r="BH247" i="42" s="1"/>
  <c r="BH255" i="42" s="1"/>
  <c r="BH128" i="42"/>
  <c r="N13" i="28"/>
  <c r="GM61" i="20"/>
  <c r="EW64" i="20"/>
  <c r="S14" i="35"/>
  <c r="R19" i="35"/>
  <c r="AI250" i="42"/>
  <c r="AG130" i="42"/>
  <c r="AG14" i="38" s="1"/>
  <c r="DA19" i="42"/>
  <c r="DC16" i="42"/>
  <c r="I27" i="44"/>
  <c r="I130" i="42"/>
  <c r="I295" i="39" s="1"/>
  <c r="CJ295" i="39" s="1"/>
  <c r="O9" i="35"/>
  <c r="I18" i="41"/>
  <c r="I124" i="41" s="1"/>
  <c r="CU25" i="42"/>
  <c r="AB250" i="42"/>
  <c r="DB25" i="42"/>
  <c r="AC253" i="42"/>
  <c r="I126" i="41"/>
  <c r="J126" i="41" s="1"/>
  <c r="BI126" i="41"/>
  <c r="BJ126" i="41" s="1"/>
  <c r="AQ18" i="41"/>
  <c r="AQ124" i="41" s="1"/>
  <c r="AF250" i="42"/>
  <c r="AQ135" i="41"/>
  <c r="Z130" i="42"/>
  <c r="V27" i="43" s="1"/>
  <c r="AE250" i="42"/>
  <c r="AC250" i="42"/>
  <c r="AH253" i="42"/>
  <c r="AB253" i="42"/>
  <c r="AO24" i="41"/>
  <c r="AQ126" i="41"/>
  <c r="AR126" i="41" s="1"/>
  <c r="AO126" i="41"/>
  <c r="AP126" i="41" s="1"/>
  <c r="AS126" i="41"/>
  <c r="AT126" i="41" s="1"/>
  <c r="AI253" i="42"/>
  <c r="DC25" i="42"/>
  <c r="L28" i="43"/>
  <c r="I28" i="44"/>
  <c r="AA253" i="42"/>
  <c r="AA250" i="42"/>
  <c r="BG126" i="41"/>
  <c r="BH126" i="41" s="1"/>
  <c r="AA130" i="42"/>
  <c r="AS18" i="41"/>
  <c r="AS124" i="41" s="1"/>
  <c r="CU19" i="42"/>
  <c r="Z253" i="42"/>
  <c r="CU127" i="42"/>
  <c r="J28" i="44"/>
  <c r="AA246" i="42"/>
  <c r="AA133" i="42"/>
  <c r="AA292" i="39"/>
  <c r="DT292" i="39" s="1"/>
  <c r="AS140" i="41"/>
  <c r="AA11" i="38"/>
  <c r="AA17" i="38" s="1"/>
  <c r="Q28" i="43"/>
  <c r="AH127" i="42"/>
  <c r="AI128" i="42" s="1"/>
  <c r="BG15" i="41"/>
  <c r="BG123" i="41" s="1"/>
  <c r="DB16" i="42"/>
  <c r="BE140" i="41"/>
  <c r="AG246" i="42"/>
  <c r="Q34" i="43"/>
  <c r="DA127" i="42"/>
  <c r="AG11" i="38"/>
  <c r="AG17" i="38" s="1"/>
  <c r="AG292" i="39"/>
  <c r="EF292" i="39" s="1"/>
  <c r="AG133" i="42"/>
  <c r="I135" i="41"/>
  <c r="I10" i="44"/>
  <c r="L10" i="43"/>
  <c r="I26" i="44"/>
  <c r="AO135" i="41"/>
  <c r="L26" i="43"/>
  <c r="Y127" i="42"/>
  <c r="Z128" i="42" s="1"/>
  <c r="AO15" i="41"/>
  <c r="AO123" i="41" s="1"/>
  <c r="CS16" i="42"/>
  <c r="BG18" i="41"/>
  <c r="BG124" i="41" s="1"/>
  <c r="DB19" i="42"/>
  <c r="AH130" i="42"/>
  <c r="BC126" i="41"/>
  <c r="BD126" i="41" s="1"/>
  <c r="AD250" i="42"/>
  <c r="Z250" i="42"/>
  <c r="K126" i="41"/>
  <c r="L126" i="41" s="1"/>
  <c r="CS19" i="42"/>
  <c r="AO18" i="41"/>
  <c r="AO124" i="41" s="1"/>
  <c r="Y130" i="42"/>
  <c r="AB130" i="42"/>
  <c r="AU18" i="41"/>
  <c r="AU124" i="41" s="1"/>
  <c r="CV19" i="42"/>
  <c r="CY16" i="42"/>
  <c r="BA15" i="41"/>
  <c r="BA123" i="41" s="1"/>
  <c r="AE127" i="42"/>
  <c r="BC15" i="41"/>
  <c r="BC123" i="41" s="1"/>
  <c r="CZ16" i="42"/>
  <c r="AF127" i="42"/>
  <c r="E15" i="41"/>
  <c r="E123" i="41" s="1"/>
  <c r="CA16" i="42"/>
  <c r="G127" i="42"/>
  <c r="AI11" i="38"/>
  <c r="AI17" i="38" s="1"/>
  <c r="AI292" i="39"/>
  <c r="EJ292" i="39" s="1"/>
  <c r="BI140" i="41"/>
  <c r="AI133" i="42"/>
  <c r="AI246" i="42"/>
  <c r="DC127" i="42"/>
  <c r="AW135" i="41"/>
  <c r="L30" i="43"/>
  <c r="E24" i="41"/>
  <c r="CA25" i="42"/>
  <c r="AD253" i="42"/>
  <c r="AI14" i="38"/>
  <c r="AI295" i="39"/>
  <c r="EJ295" i="39" s="1"/>
  <c r="CY19" i="42"/>
  <c r="BA18" i="41"/>
  <c r="BA124" i="41" s="1"/>
  <c r="AE130" i="42"/>
  <c r="AY126" i="41"/>
  <c r="AF130" i="42"/>
  <c r="BC18" i="41"/>
  <c r="BC124" i="41" s="1"/>
  <c r="CZ19" i="42"/>
  <c r="AW126" i="41"/>
  <c r="AX126" i="41" s="1"/>
  <c r="K135" i="41"/>
  <c r="I11" i="44"/>
  <c r="L11" i="43"/>
  <c r="CB19" i="42"/>
  <c r="BH18" i="41" s="1"/>
  <c r="BH124" i="41" s="1"/>
  <c r="H130" i="42"/>
  <c r="G18" i="41"/>
  <c r="G124" i="41" s="1"/>
  <c r="CC25" i="42"/>
  <c r="I24" i="41"/>
  <c r="AY15" i="41"/>
  <c r="AY123" i="41" s="1"/>
  <c r="CX16" i="42"/>
  <c r="AD127" i="42"/>
  <c r="CW19" i="42"/>
  <c r="AW18" i="41"/>
  <c r="AW124" i="41" s="1"/>
  <c r="AC130" i="42"/>
  <c r="CY25" i="42"/>
  <c r="BA24" i="41"/>
  <c r="G135" i="41"/>
  <c r="L9" i="43"/>
  <c r="I9" i="44"/>
  <c r="I8" i="44"/>
  <c r="L8" i="43"/>
  <c r="E135" i="41"/>
  <c r="AY135" i="41"/>
  <c r="L31" i="43"/>
  <c r="E126" i="41"/>
  <c r="F126" i="41" s="1"/>
  <c r="AU135" i="41"/>
  <c r="L29" i="43"/>
  <c r="AY24" i="41"/>
  <c r="CX25" i="42"/>
  <c r="CB16" i="42"/>
  <c r="BH15" i="41" s="1"/>
  <c r="BH123" i="41" s="1"/>
  <c r="H127" i="42"/>
  <c r="I128" i="42" s="1"/>
  <c r="G15" i="41"/>
  <c r="G123" i="41" s="1"/>
  <c r="G130" i="42"/>
  <c r="CA19" i="42"/>
  <c r="E18" i="41"/>
  <c r="E124" i="41" s="1"/>
  <c r="AQ24" i="41"/>
  <c r="CT25" i="42"/>
  <c r="Z246" i="42"/>
  <c r="J27" i="44"/>
  <c r="AQ140" i="41"/>
  <c r="Z133" i="42"/>
  <c r="Q27" i="43"/>
  <c r="Z11" i="38"/>
  <c r="Z17" i="38" s="1"/>
  <c r="CT127" i="42"/>
  <c r="Z292" i="39"/>
  <c r="DR292" i="39" s="1"/>
  <c r="AA128" i="42"/>
  <c r="K24" i="41"/>
  <c r="CD25" i="42"/>
  <c r="CB25" i="42"/>
  <c r="BH24" i="41" s="1"/>
  <c r="G24" i="41"/>
  <c r="CD16" i="42"/>
  <c r="J127" i="42"/>
  <c r="K15" i="41"/>
  <c r="K123" i="41" s="1"/>
  <c r="CV25" i="42"/>
  <c r="AU24" i="41"/>
  <c r="AY18" i="41"/>
  <c r="AY124" i="41" s="1"/>
  <c r="CX19" i="42"/>
  <c r="AD130" i="42"/>
  <c r="BC24" i="41"/>
  <c r="CZ25" i="42"/>
  <c r="AC127" i="42"/>
  <c r="CW16" i="42"/>
  <c r="AW15" i="41"/>
  <c r="AW123" i="41" s="1"/>
  <c r="AG253" i="42"/>
  <c r="AG250" i="42"/>
  <c r="AU15" i="41"/>
  <c r="AU123" i="41" s="1"/>
  <c r="CV16" i="42"/>
  <c r="AB127" i="42"/>
  <c r="DA25" i="42"/>
  <c r="BE24" i="41"/>
  <c r="BA135" i="41"/>
  <c r="L32" i="43"/>
  <c r="BA126" i="41"/>
  <c r="BB126" i="41" s="1"/>
  <c r="BC135" i="41"/>
  <c r="L33" i="43"/>
  <c r="AF253" i="42"/>
  <c r="CW25" i="42"/>
  <c r="AW24" i="41"/>
  <c r="J130" i="42"/>
  <c r="CD19" i="42"/>
  <c r="K18" i="41"/>
  <c r="K124" i="41" s="1"/>
  <c r="BH135" i="41"/>
  <c r="AU126" i="41"/>
  <c r="AV126" i="41" s="1"/>
  <c r="I246" i="42"/>
  <c r="Q10" i="43"/>
  <c r="I11" i="38"/>
  <c r="I17" i="38" s="1"/>
  <c r="CC127" i="42"/>
  <c r="I140" i="41"/>
  <c r="J10" i="44"/>
  <c r="I292" i="39"/>
  <c r="CJ292" i="39" s="1"/>
  <c r="I133" i="42"/>
  <c r="F22" i="38"/>
  <c r="F25" i="38"/>
  <c r="F29" i="38" s="1"/>
  <c r="P12" i="35"/>
  <c r="P34" i="35" s="1"/>
  <c r="O55" i="35"/>
  <c r="O76" i="35" s="1"/>
  <c r="P54" i="35"/>
  <c r="P75" i="35" s="1"/>
  <c r="Q11" i="35"/>
  <c r="Q33" i="35" s="1"/>
  <c r="P8" i="35"/>
  <c r="P30" i="35" s="1"/>
  <c r="O362" i="42"/>
  <c r="N91" i="38"/>
  <c r="Z320" i="39"/>
  <c r="X183" i="38"/>
  <c r="CT308" i="39"/>
  <c r="O360" i="42"/>
  <c r="O363" i="42"/>
  <c r="O359" i="42"/>
  <c r="O361" i="42"/>
  <c r="IF2" i="43"/>
  <c r="DB308" i="39"/>
  <c r="R364" i="39"/>
  <c r="P183" i="38"/>
  <c r="P91" i="38"/>
  <c r="CX308" i="39"/>
  <c r="P364" i="39"/>
  <c r="X54" i="38"/>
  <c r="X320" i="39"/>
  <c r="DN308" i="39"/>
  <c r="X364" i="39"/>
  <c r="L364" i="39"/>
  <c r="CP308" i="39"/>
  <c r="T364" i="39"/>
  <c r="DF308" i="39"/>
  <c r="AX410" i="39"/>
  <c r="L183" i="38"/>
  <c r="L91" i="38"/>
  <c r="T91" i="38"/>
  <c r="T183" i="38"/>
  <c r="DP308" i="39"/>
  <c r="Y364" i="39"/>
  <c r="U183" i="38"/>
  <c r="U91" i="38"/>
  <c r="CZ308" i="39"/>
  <c r="Q364" i="39"/>
  <c r="M91" i="38"/>
  <c r="M183" i="38"/>
  <c r="DD308" i="39"/>
  <c r="S364" i="39"/>
  <c r="Y54" i="38"/>
  <c r="Y320" i="39"/>
  <c r="O91" i="38"/>
  <c r="O183" i="38"/>
  <c r="CV308" i="39"/>
  <c r="O364" i="39"/>
  <c r="CR308" i="39"/>
  <c r="M364" i="39"/>
  <c r="U364" i="39"/>
  <c r="DH308" i="39"/>
  <c r="W91" i="38"/>
  <c r="W183" i="38"/>
  <c r="Q91" i="38"/>
  <c r="Q183" i="38"/>
  <c r="AJ308" i="39"/>
  <c r="EL308" i="39" s="1"/>
  <c r="DD143" i="42"/>
  <c r="AJ27" i="38"/>
  <c r="BK155" i="41"/>
  <c r="S91" i="38"/>
  <c r="S183" i="38"/>
  <c r="Y183" i="38"/>
  <c r="Y91" i="38"/>
  <c r="W364" i="39"/>
  <c r="DL308" i="39"/>
  <c r="BP155" i="41"/>
  <c r="AM308" i="39"/>
  <c r="EP308" i="39" s="1"/>
  <c r="AM27" i="38"/>
  <c r="DF143" i="42"/>
  <c r="AX411" i="39"/>
  <c r="AX414" i="39"/>
  <c r="AX409" i="39"/>
  <c r="AX413" i="39"/>
  <c r="NR2" i="43"/>
  <c r="F145" i="42"/>
  <c r="F306" i="39"/>
  <c r="CD306" i="39" s="1"/>
  <c r="BZ141" i="42"/>
  <c r="BF153" i="41" s="1"/>
  <c r="BB34" i="43" s="1"/>
  <c r="C153" i="41"/>
  <c r="U38" i="3"/>
  <c r="R11" i="6"/>
  <c r="BH72" i="38" l="1"/>
  <c r="J72" i="34"/>
  <c r="GZ61" i="20"/>
  <c r="FJ64" i="20"/>
  <c r="AD105" i="38"/>
  <c r="AD104" i="38"/>
  <c r="AD102" i="38"/>
  <c r="AD113" i="38"/>
  <c r="AD101" i="38"/>
  <c r="AD106" i="38"/>
  <c r="AD114" i="38"/>
  <c r="AD115" i="38"/>
  <c r="AD110" i="38"/>
  <c r="AD111" i="38"/>
  <c r="AD112" i="38"/>
  <c r="AD103" i="38"/>
  <c r="AD98" i="38"/>
  <c r="HC61" i="20"/>
  <c r="FM64" i="20"/>
  <c r="BW133" i="42"/>
  <c r="BW17" i="39"/>
  <c r="EQ292" i="39" s="1"/>
  <c r="G70" i="34"/>
  <c r="G72" i="34" s="1"/>
  <c r="F23" i="3"/>
  <c r="G11" i="28"/>
  <c r="X73" i="38"/>
  <c r="AZ119" i="41"/>
  <c r="AZ135" i="41" s="1"/>
  <c r="AN31" i="43" s="1"/>
  <c r="BU135" i="42"/>
  <c r="N208" i="42"/>
  <c r="P9" i="44"/>
  <c r="H300" i="39"/>
  <c r="H19" i="38"/>
  <c r="AA9" i="43"/>
  <c r="CB135" i="42"/>
  <c r="BH147" i="41" s="1"/>
  <c r="G147" i="41"/>
  <c r="BC110" i="38"/>
  <c r="BC103" i="38"/>
  <c r="BC115" i="38"/>
  <c r="BC114" i="38"/>
  <c r="BC104" i="38"/>
  <c r="BC101" i="38"/>
  <c r="BC102" i="38"/>
  <c r="BC111" i="38"/>
  <c r="BC112" i="38"/>
  <c r="BC113" i="38"/>
  <c r="BC106" i="38"/>
  <c r="BC105" i="38"/>
  <c r="BC72" i="38"/>
  <c r="I70" i="34"/>
  <c r="I72" i="34" s="1"/>
  <c r="G409" i="42"/>
  <c r="BT23" i="39"/>
  <c r="EK298" i="39" s="1"/>
  <c r="BS137" i="42"/>
  <c r="BS134" i="42"/>
  <c r="BJ145" i="41"/>
  <c r="K69" i="34"/>
  <c r="K71" i="34"/>
  <c r="L68" i="34"/>
  <c r="K70" i="34"/>
  <c r="BD247" i="42"/>
  <c r="BD255" i="42" s="1"/>
  <c r="BE247" i="42"/>
  <c r="BE255" i="42" s="1"/>
  <c r="AZ123" i="41"/>
  <c r="O35" i="23"/>
  <c r="O36" i="23" s="1"/>
  <c r="L8" i="6"/>
  <c r="AV247" i="42"/>
  <c r="AV255" i="42" s="1"/>
  <c r="CH27" i="43"/>
  <c r="CH5" i="43"/>
  <c r="CH9" i="43"/>
  <c r="CE18" i="43"/>
  <c r="CG28" i="43"/>
  <c r="CH6" i="43"/>
  <c r="CE5" i="43"/>
  <c r="BQ134" i="42"/>
  <c r="CN34" i="43" s="1"/>
  <c r="BR23" i="39"/>
  <c r="EG298" i="39" s="1"/>
  <c r="CM34" i="43"/>
  <c r="BQ137" i="42"/>
  <c r="BT72" i="38"/>
  <c r="AS137" i="38" s="1"/>
  <c r="KD2" i="43" s="1"/>
  <c r="GP61" i="20"/>
  <c r="EZ64" i="20"/>
  <c r="AS134" i="42"/>
  <c r="CN10" i="43" s="1"/>
  <c r="J145" i="41"/>
  <c r="AV10" i="43" s="1"/>
  <c r="AT23" i="39"/>
  <c r="CK298" i="39" s="1"/>
  <c r="CM10" i="43"/>
  <c r="AS137" i="42"/>
  <c r="BU143" i="42"/>
  <c r="D57" i="34"/>
  <c r="D59" i="34" s="1"/>
  <c r="D70" i="34"/>
  <c r="D72" i="34" s="1"/>
  <c r="BS23" i="39"/>
  <c r="EI298" i="39" s="1"/>
  <c r="BR137" i="42"/>
  <c r="BR134" i="42"/>
  <c r="AX145" i="41"/>
  <c r="AV30" i="43" s="1"/>
  <c r="AW137" i="42"/>
  <c r="R145" i="41"/>
  <c r="AV14" i="43" s="1"/>
  <c r="AX23" i="39"/>
  <c r="CS298" i="39" s="1"/>
  <c r="AW134" i="42"/>
  <c r="CN14" i="43" s="1"/>
  <c r="CM14" i="43"/>
  <c r="BN72" i="38"/>
  <c r="BM23" i="39"/>
  <c r="DW298" i="39" s="1"/>
  <c r="CM29" i="43"/>
  <c r="BL137" i="42"/>
  <c r="BL134" i="42"/>
  <c r="CN29" i="43" s="1"/>
  <c r="AR145" i="41"/>
  <c r="AV27" i="43" s="1"/>
  <c r="AU247" i="42"/>
  <c r="AU255" i="42" s="1"/>
  <c r="CM16" i="43"/>
  <c r="V145" i="41"/>
  <c r="AV16" i="43" s="1"/>
  <c r="AY134" i="42"/>
  <c r="CN16" i="43" s="1"/>
  <c r="AZ23" i="39"/>
  <c r="CW298" i="39" s="1"/>
  <c r="AY137" i="42"/>
  <c r="DD46" i="42"/>
  <c r="AD395" i="39"/>
  <c r="AD398" i="39"/>
  <c r="AD394" i="39"/>
  <c r="AD370" i="39"/>
  <c r="AD399" i="39"/>
  <c r="I393" i="39"/>
  <c r="L393" i="39"/>
  <c r="GS61" i="20"/>
  <c r="FC64" i="20"/>
  <c r="BH73" i="38"/>
  <c r="BM54" i="41"/>
  <c r="AZ54" i="41"/>
  <c r="F70" i="34"/>
  <c r="F72" i="34" s="1"/>
  <c r="N14" i="3"/>
  <c r="GT64" i="20"/>
  <c r="K8" i="29"/>
  <c r="T145" i="41"/>
  <c r="AV15" i="43" s="1"/>
  <c r="CM15" i="43"/>
  <c r="AY23" i="39"/>
  <c r="CU298" i="39" s="1"/>
  <c r="AX137" i="42"/>
  <c r="AX134" i="42"/>
  <c r="CN15" i="43" s="1"/>
  <c r="CM17" i="43"/>
  <c r="AZ137" i="42"/>
  <c r="AZ134" i="42"/>
  <c r="CN17" i="43" s="1"/>
  <c r="X145" i="41"/>
  <c r="AV17" i="43" s="1"/>
  <c r="BA23" i="39"/>
  <c r="CY298" i="39" s="1"/>
  <c r="BM115" i="38"/>
  <c r="BM106" i="38"/>
  <c r="BM73" i="38"/>
  <c r="BM72" i="38"/>
  <c r="AD72" i="38"/>
  <c r="BO23" i="39"/>
  <c r="EA298" i="39" s="1"/>
  <c r="BN137" i="42"/>
  <c r="CM31" i="43"/>
  <c r="AT145" i="41"/>
  <c r="AV28" i="43" s="1"/>
  <c r="BN134" i="42"/>
  <c r="CN31" i="43" s="1"/>
  <c r="AR247" i="42"/>
  <c r="AR255" i="42" s="1"/>
  <c r="AQ247" i="42"/>
  <c r="AQ255" i="42" s="1"/>
  <c r="BP115" i="38"/>
  <c r="BP106" i="38"/>
  <c r="BP73" i="38"/>
  <c r="BP72" i="38"/>
  <c r="H14" i="3"/>
  <c r="E8" i="29"/>
  <c r="GN64" i="20"/>
  <c r="BP23" i="39"/>
  <c r="EC298" i="39" s="1"/>
  <c r="CM32" i="43"/>
  <c r="BO137" i="42"/>
  <c r="BO134" i="42"/>
  <c r="CN32" i="43" s="1"/>
  <c r="BI134" i="42"/>
  <c r="CN26" i="43" s="1"/>
  <c r="BJ23" i="39"/>
  <c r="DQ298" i="39" s="1"/>
  <c r="BI137" i="42"/>
  <c r="CM26" i="43"/>
  <c r="X72" i="38"/>
  <c r="BM119" i="41"/>
  <c r="BM135" i="41" s="1"/>
  <c r="AZ125" i="41"/>
  <c r="AZ126" i="41" s="1"/>
  <c r="AR433" i="42"/>
  <c r="AS433" i="42"/>
  <c r="CG10" i="43"/>
  <c r="CG34" i="43"/>
  <c r="CG9" i="43"/>
  <c r="CH16" i="43"/>
  <c r="CG14" i="43"/>
  <c r="CG33" i="43"/>
  <c r="CH3" i="43"/>
  <c r="CF34" i="43"/>
  <c r="CE34" i="43"/>
  <c r="CH30" i="43"/>
  <c r="CG24" i="43"/>
  <c r="CG7" i="43"/>
  <c r="CH23" i="43"/>
  <c r="CF33" i="43"/>
  <c r="CH13" i="43"/>
  <c r="CE23" i="43"/>
  <c r="CG12" i="43"/>
  <c r="CF12" i="43"/>
  <c r="CF25" i="43"/>
  <c r="CH34" i="43"/>
  <c r="CH29" i="43"/>
  <c r="CE27" i="43"/>
  <c r="CG32" i="43"/>
  <c r="CE4" i="43"/>
  <c r="CE12" i="43"/>
  <c r="CE11" i="43"/>
  <c r="CG17" i="43"/>
  <c r="CE6" i="43"/>
  <c r="CH19" i="43"/>
  <c r="CH31" i="43"/>
  <c r="CF6" i="43"/>
  <c r="CF2" i="43"/>
  <c r="CG6" i="43"/>
  <c r="CH25" i="43"/>
  <c r="CH11" i="43"/>
  <c r="CF18" i="43"/>
  <c r="CG22" i="43"/>
  <c r="CF32" i="43"/>
  <c r="CF26" i="43"/>
  <c r="CF21" i="43"/>
  <c r="CE3" i="43"/>
  <c r="CF30" i="43"/>
  <c r="CF13" i="43"/>
  <c r="CH17" i="43"/>
  <c r="CG20" i="43"/>
  <c r="CE19" i="43"/>
  <c r="CE26" i="43"/>
  <c r="CE22" i="43"/>
  <c r="CF15" i="43"/>
  <c r="CE16" i="43"/>
  <c r="CE30" i="43"/>
  <c r="CF10" i="43"/>
  <c r="CE29" i="43"/>
  <c r="CG29" i="43"/>
  <c r="CH4" i="43"/>
  <c r="CF14" i="43"/>
  <c r="CE31" i="43"/>
  <c r="CH22" i="43"/>
  <c r="CE7" i="43"/>
  <c r="CF23" i="43"/>
  <c r="CH15" i="43"/>
  <c r="CH14" i="43"/>
  <c r="CF19" i="43"/>
  <c r="CE21" i="43"/>
  <c r="CG26" i="43"/>
  <c r="CE33" i="43"/>
  <c r="CF8" i="43"/>
  <c r="CF3" i="43"/>
  <c r="CH26" i="43"/>
  <c r="CH8" i="43"/>
  <c r="CH21" i="43"/>
  <c r="CF29" i="43"/>
  <c r="CH20" i="43"/>
  <c r="CG8" i="43"/>
  <c r="CG27" i="43"/>
  <c r="CF27" i="43"/>
  <c r="CG21" i="43"/>
  <c r="CF4" i="43"/>
  <c r="CE28" i="43"/>
  <c r="CG11" i="43"/>
  <c r="CF11" i="43"/>
  <c r="CH2" i="43"/>
  <c r="CG25" i="43"/>
  <c r="CG30" i="43"/>
  <c r="CE20" i="43"/>
  <c r="BK115" i="38"/>
  <c r="BK106" i="38"/>
  <c r="BK72" i="38"/>
  <c r="BK73" i="38"/>
  <c r="EY64" i="20"/>
  <c r="GO61" i="20"/>
  <c r="BM123" i="41"/>
  <c r="BM76" i="41"/>
  <c r="AZ76" i="41"/>
  <c r="N35" i="23"/>
  <c r="N36" i="23" s="1"/>
  <c r="K8" i="6"/>
  <c r="CM12" i="43"/>
  <c r="N145" i="41"/>
  <c r="AV12" i="43" s="1"/>
  <c r="AV23" i="39"/>
  <c r="CO298" i="39" s="1"/>
  <c r="AU137" i="42"/>
  <c r="AU134" i="42"/>
  <c r="CN12" i="43" s="1"/>
  <c r="BM116" i="38"/>
  <c r="BK116" i="38"/>
  <c r="F146" i="38"/>
  <c r="JX2" i="43"/>
  <c r="CE8" i="43"/>
  <c r="CE32" i="43"/>
  <c r="CG13" i="43"/>
  <c r="CE17" i="43"/>
  <c r="CG19" i="43"/>
  <c r="CG4" i="43"/>
  <c r="CG2" i="43"/>
  <c r="H70" i="34"/>
  <c r="H72" i="34" s="1"/>
  <c r="BO72" i="38"/>
  <c r="BO73" i="38"/>
  <c r="BO115" i="38"/>
  <c r="BO106" i="38"/>
  <c r="GW61" i="20"/>
  <c r="FG64" i="20"/>
  <c r="CM33" i="43"/>
  <c r="BQ23" i="39"/>
  <c r="EE298" i="39" s="1"/>
  <c r="BP137" i="42"/>
  <c r="AV145" i="41"/>
  <c r="AV29" i="43" s="1"/>
  <c r="BP134" i="42"/>
  <c r="CN33" i="43" s="1"/>
  <c r="O14" i="3"/>
  <c r="L8" i="29"/>
  <c r="GU64" i="20"/>
  <c r="E23" i="3"/>
  <c r="F11" i="28"/>
  <c r="BG247" i="42"/>
  <c r="BG255" i="42" s="1"/>
  <c r="AZ124" i="41"/>
  <c r="BC98" i="38"/>
  <c r="S73" i="38"/>
  <c r="S103" i="38"/>
  <c r="S105" i="38"/>
  <c r="S112" i="38"/>
  <c r="S113" i="38"/>
  <c r="S115" i="38"/>
  <c r="S111" i="38"/>
  <c r="S106" i="38"/>
  <c r="S114" i="38"/>
  <c r="S101" i="38"/>
  <c r="S104" i="38"/>
  <c r="S102" i="38"/>
  <c r="S110" i="38"/>
  <c r="S98" i="38"/>
  <c r="BM137" i="42"/>
  <c r="BN23" i="39"/>
  <c r="DY298" i="39" s="1"/>
  <c r="BM134" i="42"/>
  <c r="CN30" i="43" s="1"/>
  <c r="CM30" i="43"/>
  <c r="BN73" i="38"/>
  <c r="BM247" i="42"/>
  <c r="BM255" i="42" s="1"/>
  <c r="BL247" i="42"/>
  <c r="BL255" i="42" s="1"/>
  <c r="AZ247" i="42"/>
  <c r="AZ255" i="42" s="1"/>
  <c r="BL106" i="38"/>
  <c r="BL115" i="38"/>
  <c r="BL72" i="38"/>
  <c r="BL73" i="38"/>
  <c r="DD67" i="42"/>
  <c r="BN399" i="39"/>
  <c r="BN398" i="39"/>
  <c r="BN370" i="39"/>
  <c r="BN395" i="39"/>
  <c r="BN394" i="39"/>
  <c r="AS393" i="39"/>
  <c r="AV393" i="39"/>
  <c r="HB61" i="20"/>
  <c r="FL64" i="20"/>
  <c r="AL145" i="41"/>
  <c r="AV24" i="43" s="1"/>
  <c r="CM24" i="43"/>
  <c r="BH23" i="39"/>
  <c r="DM298" i="39" s="1"/>
  <c r="BG137" i="42"/>
  <c r="BG134" i="42"/>
  <c r="CN24" i="43" s="1"/>
  <c r="BS106" i="38"/>
  <c r="BS115" i="38"/>
  <c r="BS73" i="38"/>
  <c r="BS72" i="38"/>
  <c r="I147" i="41"/>
  <c r="I19" i="38"/>
  <c r="P10" i="44"/>
  <c r="AA10" i="43"/>
  <c r="I300" i="39"/>
  <c r="CC135" i="42"/>
  <c r="J7" i="31"/>
  <c r="I8" i="31"/>
  <c r="I43" i="31"/>
  <c r="I35" i="23"/>
  <c r="I36" i="23" s="1"/>
  <c r="F8" i="6"/>
  <c r="HA61" i="20"/>
  <c r="FK64" i="20"/>
  <c r="BK23" i="39"/>
  <c r="DS298" i="39" s="1"/>
  <c r="BJ137" i="42"/>
  <c r="BJ134" i="42"/>
  <c r="CN27" i="43" s="1"/>
  <c r="CM27" i="43"/>
  <c r="AP145" i="41"/>
  <c r="AV26" i="43" s="1"/>
  <c r="AZ140" i="41"/>
  <c r="AS31" i="43" s="1"/>
  <c r="BU17" i="39"/>
  <c r="EN292" i="39" s="1"/>
  <c r="BT133" i="42"/>
  <c r="BM140" i="41"/>
  <c r="L70" i="34"/>
  <c r="C17" i="29"/>
  <c r="P14" i="3"/>
  <c r="GV64" i="20"/>
  <c r="M8" i="29"/>
  <c r="CQ23" i="43"/>
  <c r="BF236" i="42"/>
  <c r="AJ149" i="41"/>
  <c r="AY23" i="43" s="1"/>
  <c r="BG27" i="39"/>
  <c r="DK302" i="39" s="1"/>
  <c r="BF138" i="42"/>
  <c r="BF140" i="42"/>
  <c r="BF141" i="42" s="1"/>
  <c r="AZ120" i="41"/>
  <c r="AZ137" i="41" s="1"/>
  <c r="AP31" i="43" s="1"/>
  <c r="BM125" i="41"/>
  <c r="BT67" i="38"/>
  <c r="AS144" i="38" s="1"/>
  <c r="BT70" i="38"/>
  <c r="AS135" i="38" s="1"/>
  <c r="BT73" i="38"/>
  <c r="AS138" i="38" s="1"/>
  <c r="KE2" i="43" s="1"/>
  <c r="BU132" i="42"/>
  <c r="AZ32" i="41"/>
  <c r="BM32" i="41"/>
  <c r="BS107" i="38"/>
  <c r="JV2" i="43"/>
  <c r="F144" i="38"/>
  <c r="CE24" i="43"/>
  <c r="CH7" i="43"/>
  <c r="CE15" i="43"/>
  <c r="CF22" i="43"/>
  <c r="CF16" i="43"/>
  <c r="CE13" i="43"/>
  <c r="CF17" i="43"/>
  <c r="DD88" i="42"/>
  <c r="BQ106" i="38"/>
  <c r="BQ115" i="38"/>
  <c r="BQ72" i="38"/>
  <c r="BQ73" i="38"/>
  <c r="DD74" i="42"/>
  <c r="BM124" i="41"/>
  <c r="H35" i="23"/>
  <c r="H36" i="23" s="1"/>
  <c r="E8" i="6"/>
  <c r="BS247" i="42"/>
  <c r="BS255" i="42" s="1"/>
  <c r="BN247" i="42"/>
  <c r="BN255" i="42" s="1"/>
  <c r="AU23" i="39"/>
  <c r="CM298" i="39" s="1"/>
  <c r="AT137" i="42"/>
  <c r="AT134" i="42"/>
  <c r="CN11" i="43" s="1"/>
  <c r="CM11" i="43"/>
  <c r="L145" i="41"/>
  <c r="AV11" i="43" s="1"/>
  <c r="AD389" i="39"/>
  <c r="AD380" i="39"/>
  <c r="AD348" i="39"/>
  <c r="K35" i="23"/>
  <c r="K36" i="23" s="1"/>
  <c r="H8" i="6"/>
  <c r="L14" i="3"/>
  <c r="I8" i="29"/>
  <c r="GR64" i="20"/>
  <c r="CG18" i="43"/>
  <c r="G14" i="3"/>
  <c r="D8" i="29"/>
  <c r="GM64" i="20"/>
  <c r="BC233" i="42"/>
  <c r="BD35" i="39"/>
  <c r="DE310" i="39" s="1"/>
  <c r="BC147" i="42"/>
  <c r="CV20" i="43" s="1"/>
  <c r="AD157" i="41"/>
  <c r="BE20" i="43" s="1"/>
  <c r="CU20" i="43"/>
  <c r="BC146" i="42"/>
  <c r="BH113" i="38"/>
  <c r="BH112" i="38"/>
  <c r="BH114" i="38"/>
  <c r="BH110" i="38"/>
  <c r="BH102" i="38"/>
  <c r="BH115" i="38"/>
  <c r="BH103" i="38"/>
  <c r="BH106" i="38"/>
  <c r="BH104" i="38"/>
  <c r="BH111" i="38"/>
  <c r="BH105" i="38"/>
  <c r="BH101" i="38"/>
  <c r="BM122" i="41"/>
  <c r="BM139" i="41" s="1"/>
  <c r="AW23" i="39"/>
  <c r="CQ298" i="39" s="1"/>
  <c r="CM13" i="43"/>
  <c r="P145" i="41"/>
  <c r="AV13" i="43" s="1"/>
  <c r="AV137" i="42"/>
  <c r="AV134" i="42"/>
  <c r="CN13" i="43" s="1"/>
  <c r="AA11" i="43"/>
  <c r="K147" i="41"/>
  <c r="J300" i="39"/>
  <c r="CD135" i="42"/>
  <c r="J19" i="38"/>
  <c r="P11" i="44"/>
  <c r="AD73" i="38"/>
  <c r="GY61" i="20"/>
  <c r="FI64" i="20"/>
  <c r="CM8" i="43"/>
  <c r="AQ137" i="42"/>
  <c r="AR23" i="39"/>
  <c r="CG298" i="39" s="1"/>
  <c r="AQ134" i="42"/>
  <c r="CN8" i="43" s="1"/>
  <c r="F145" i="41"/>
  <c r="AV8" i="43" s="1"/>
  <c r="BJ247" i="42"/>
  <c r="BJ255" i="42" s="1"/>
  <c r="BI247" i="42"/>
  <c r="BI255" i="42" s="1"/>
  <c r="X114" i="38"/>
  <c r="X104" i="38"/>
  <c r="X115" i="38"/>
  <c r="X98" i="38"/>
  <c r="X110" i="38"/>
  <c r="X113" i="38"/>
  <c r="X111" i="38"/>
  <c r="X103" i="38"/>
  <c r="X112" i="38"/>
  <c r="X105" i="38"/>
  <c r="X106" i="38"/>
  <c r="X101" i="38"/>
  <c r="X102" i="38"/>
  <c r="BM10" i="41"/>
  <c r="AZ10" i="41"/>
  <c r="BM120" i="41"/>
  <c r="BM137" i="41" s="1"/>
  <c r="M35" i="23"/>
  <c r="M36" i="23" s="1"/>
  <c r="J8" i="6"/>
  <c r="B57" i="34"/>
  <c r="B59" i="34" s="1"/>
  <c r="B70" i="34"/>
  <c r="C16" i="34"/>
  <c r="W125" i="9"/>
  <c r="BE134" i="42"/>
  <c r="CN22" i="43" s="1"/>
  <c r="AH145" i="41"/>
  <c r="AV22" i="43" s="1"/>
  <c r="CM22" i="43"/>
  <c r="BE137" i="42"/>
  <c r="BF23" i="39"/>
  <c r="DI298" i="39" s="1"/>
  <c r="BH238" i="42"/>
  <c r="X392" i="42" s="1"/>
  <c r="BH239" i="42"/>
  <c r="BH240" i="42"/>
  <c r="K14" i="3"/>
  <c r="GQ64" i="20"/>
  <c r="H8" i="29"/>
  <c r="CM21" i="43"/>
  <c r="AF145" i="41"/>
  <c r="AV21" i="43" s="1"/>
  <c r="BD137" i="42"/>
  <c r="BE23" i="39"/>
  <c r="DG298" i="39" s="1"/>
  <c r="BD134" i="42"/>
  <c r="CN21" i="43" s="1"/>
  <c r="BM98" i="41"/>
  <c r="AZ98" i="41"/>
  <c r="AN11" i="40"/>
  <c r="AN43" i="40"/>
  <c r="BP116" i="38"/>
  <c r="BM107" i="38"/>
  <c r="BS116" i="38"/>
  <c r="BP107" i="38"/>
  <c r="CM9" i="43"/>
  <c r="AR137" i="42"/>
  <c r="H145" i="41"/>
  <c r="AV9" i="43" s="1"/>
  <c r="AR134" i="42"/>
  <c r="CN9" i="43" s="1"/>
  <c r="AS23" i="39"/>
  <c r="CI298" i="39" s="1"/>
  <c r="F145" i="38"/>
  <c r="JW2" i="43"/>
  <c r="K136" i="38"/>
  <c r="J139" i="38"/>
  <c r="J137" i="38"/>
  <c r="K137" i="38"/>
  <c r="K135" i="38"/>
  <c r="K138" i="38"/>
  <c r="JN2" i="43"/>
  <c r="J138" i="38"/>
  <c r="J136" i="38"/>
  <c r="DD32" i="42"/>
  <c r="CG15" i="43"/>
  <c r="CH24" i="43"/>
  <c r="CG3" i="43"/>
  <c r="CF9" i="43"/>
  <c r="CG31" i="43"/>
  <c r="CE14" i="43"/>
  <c r="CH33" i="43"/>
  <c r="E44" i="31"/>
  <c r="E17" i="31"/>
  <c r="F16" i="31"/>
  <c r="BT68" i="38"/>
  <c r="AS145" i="38" s="1"/>
  <c r="B17" i="29"/>
  <c r="GX61" i="20"/>
  <c r="FH64" i="20"/>
  <c r="F20" i="34"/>
  <c r="E62" i="34"/>
  <c r="E21" i="34"/>
  <c r="E58" i="34" s="1"/>
  <c r="E59" i="34" s="1"/>
  <c r="E73" i="34"/>
  <c r="P8" i="44"/>
  <c r="E147" i="41"/>
  <c r="AA8" i="43"/>
  <c r="G300" i="39"/>
  <c r="G19" i="38"/>
  <c r="CA135" i="42"/>
  <c r="B61" i="40"/>
  <c r="B29" i="40"/>
  <c r="AX247" i="42"/>
  <c r="AX255" i="42" s="1"/>
  <c r="M426" i="42"/>
  <c r="K427" i="42"/>
  <c r="L426" i="42"/>
  <c r="BN110" i="38"/>
  <c r="BN111" i="38"/>
  <c r="BN104" i="38"/>
  <c r="BN103" i="38"/>
  <c r="BN101" i="38"/>
  <c r="BN115" i="38"/>
  <c r="BN114" i="38"/>
  <c r="BN105" i="38"/>
  <c r="BN112" i="38"/>
  <c r="BN106" i="38"/>
  <c r="BN102" i="38"/>
  <c r="BN113" i="38"/>
  <c r="BA134" i="42"/>
  <c r="CN18" i="43" s="1"/>
  <c r="CM18" i="43"/>
  <c r="Z145" i="41"/>
  <c r="AV18" i="43" s="1"/>
  <c r="BB23" i="39"/>
  <c r="DA298" i="39" s="1"/>
  <c r="BA137" i="42"/>
  <c r="AJ348" i="39"/>
  <c r="AJ346" i="39"/>
  <c r="J412" i="39" s="1"/>
  <c r="ND2" i="43" s="1"/>
  <c r="AJ341" i="39"/>
  <c r="J417" i="39" s="1"/>
  <c r="AJ340" i="39"/>
  <c r="J416" i="39" s="1"/>
  <c r="AJ345" i="39"/>
  <c r="J411" i="39" s="1"/>
  <c r="NC2" i="43" s="1"/>
  <c r="AJ347" i="39"/>
  <c r="J419" i="39" s="1"/>
  <c r="AJ344" i="39"/>
  <c r="J410" i="39" s="1"/>
  <c r="NB2" i="43" s="1"/>
  <c r="AJ349" i="39"/>
  <c r="AJ342" i="39"/>
  <c r="J418" i="39" s="1"/>
  <c r="AJ343" i="39"/>
  <c r="GG64" i="20"/>
  <c r="BT69" i="38"/>
  <c r="AS146" i="38" s="1"/>
  <c r="Z14" i="38"/>
  <c r="V34" i="43"/>
  <c r="AG295" i="39"/>
  <c r="EF295" i="39" s="1"/>
  <c r="Z295" i="39"/>
  <c r="DR295" i="39" s="1"/>
  <c r="T14" i="35"/>
  <c r="S19" i="35"/>
  <c r="I14" i="38"/>
  <c r="V10" i="43"/>
  <c r="K10" i="44"/>
  <c r="P9" i="35"/>
  <c r="P31" i="35" s="1"/>
  <c r="O52" i="35"/>
  <c r="O73" i="35" s="1"/>
  <c r="K27" i="44"/>
  <c r="AA21" i="38"/>
  <c r="AA22" i="38" s="1"/>
  <c r="AA18" i="38"/>
  <c r="AA295" i="39"/>
  <c r="DT295" i="39" s="1"/>
  <c r="V28" i="43"/>
  <c r="K28" i="44"/>
  <c r="AA14" i="38"/>
  <c r="AS145" i="41"/>
  <c r="CU133" i="42"/>
  <c r="AA134" i="42"/>
  <c r="AA137" i="42"/>
  <c r="N28" i="44"/>
  <c r="Y28" i="43"/>
  <c r="AA298" i="39"/>
  <c r="DT298" i="39" s="1"/>
  <c r="AG18" i="38"/>
  <c r="AG21" i="38"/>
  <c r="AG22" i="38" s="1"/>
  <c r="AH295" i="39"/>
  <c r="EH295" i="39" s="1"/>
  <c r="AH14" i="38"/>
  <c r="DB127" i="42"/>
  <c r="AH133" i="42"/>
  <c r="AH128" i="42"/>
  <c r="BG140" i="41"/>
  <c r="AH11" i="38"/>
  <c r="AH17" i="38" s="1"/>
  <c r="AH292" i="39"/>
  <c r="EH292" i="39" s="1"/>
  <c r="AH246" i="42"/>
  <c r="AI247" i="42" s="1"/>
  <c r="AI255" i="42" s="1"/>
  <c r="Y14" i="38"/>
  <c r="V26" i="43"/>
  <c r="Y295" i="39"/>
  <c r="DP295" i="39" s="1"/>
  <c r="K26" i="44"/>
  <c r="Q26" i="43"/>
  <c r="Y11" i="38"/>
  <c r="Y17" i="38" s="1"/>
  <c r="J26" i="44"/>
  <c r="Y246" i="42"/>
  <c r="CS127" i="42"/>
  <c r="AO140" i="41"/>
  <c r="Y292" i="39"/>
  <c r="DP292" i="39" s="1"/>
  <c r="Y133" i="42"/>
  <c r="BE145" i="41"/>
  <c r="AG298" i="39"/>
  <c r="EF298" i="39" s="1"/>
  <c r="AG137" i="42"/>
  <c r="AG134" i="42"/>
  <c r="DA133" i="42"/>
  <c r="Y34" i="43"/>
  <c r="I141" i="41"/>
  <c r="R10" i="43" s="1"/>
  <c r="I12" i="38"/>
  <c r="I293" i="39"/>
  <c r="CJ293" i="39" s="1"/>
  <c r="AB292" i="39"/>
  <c r="DV292" i="39" s="1"/>
  <c r="Q29" i="43"/>
  <c r="AB246" i="42"/>
  <c r="AB11" i="38"/>
  <c r="AB17" i="38" s="1"/>
  <c r="CV127" i="42"/>
  <c r="AB133" i="42"/>
  <c r="AB128" i="42"/>
  <c r="AU140" i="41"/>
  <c r="AA12" i="38"/>
  <c r="AS141" i="41"/>
  <c r="R28" i="43" s="1"/>
  <c r="AA293" i="39"/>
  <c r="DT293" i="39" s="1"/>
  <c r="Z18" i="38"/>
  <c r="Z21" i="38"/>
  <c r="Q9" i="43"/>
  <c r="G140" i="41"/>
  <c r="H11" i="38"/>
  <c r="H17" i="38" s="1"/>
  <c r="H246" i="42"/>
  <c r="I247" i="42" s="1"/>
  <c r="I255" i="42" s="1"/>
  <c r="H292" i="39"/>
  <c r="CH292" i="39" s="1"/>
  <c r="CB127" i="42"/>
  <c r="BH140" i="41" s="1"/>
  <c r="H133" i="42"/>
  <c r="H128" i="42"/>
  <c r="J9" i="44"/>
  <c r="H295" i="39"/>
  <c r="CH295" i="39" s="1"/>
  <c r="H14" i="38"/>
  <c r="V9" i="43"/>
  <c r="K9" i="44"/>
  <c r="AF295" i="39"/>
  <c r="ED295" i="39" s="1"/>
  <c r="V33" i="43"/>
  <c r="AF14" i="38"/>
  <c r="BI145" i="41"/>
  <c r="AI137" i="42"/>
  <c r="AI134" i="42"/>
  <c r="AI298" i="39"/>
  <c r="EJ298" i="39" s="1"/>
  <c r="DC133" i="42"/>
  <c r="E140" i="41"/>
  <c r="G246" i="42"/>
  <c r="G128" i="42"/>
  <c r="G133" i="42"/>
  <c r="J8" i="44"/>
  <c r="CA127" i="42"/>
  <c r="Q8" i="43"/>
  <c r="G292" i="39"/>
  <c r="CF292" i="39" s="1"/>
  <c r="G11" i="38"/>
  <c r="G17" i="38" s="1"/>
  <c r="I18" i="38"/>
  <c r="J14" i="38"/>
  <c r="V11" i="43"/>
  <c r="J295" i="39"/>
  <c r="CL295" i="39" s="1"/>
  <c r="K11" i="44"/>
  <c r="V31" i="43"/>
  <c r="AD295" i="39"/>
  <c r="DZ295" i="39" s="1"/>
  <c r="AD14" i="38"/>
  <c r="K140" i="41"/>
  <c r="J246" i="42"/>
  <c r="J247" i="42" s="1"/>
  <c r="J255" i="42" s="1"/>
  <c r="J11" i="44"/>
  <c r="CD127" i="42"/>
  <c r="Q11" i="43"/>
  <c r="J133" i="42"/>
  <c r="J128" i="42"/>
  <c r="J292" i="39"/>
  <c r="CL292" i="39" s="1"/>
  <c r="J11" i="38"/>
  <c r="J17" i="38" s="1"/>
  <c r="AA247" i="42"/>
  <c r="AA255" i="42" s="1"/>
  <c r="Z247" i="42"/>
  <c r="Z255" i="42" s="1"/>
  <c r="BI141" i="41"/>
  <c r="AI293" i="39"/>
  <c r="EJ293" i="39" s="1"/>
  <c r="AI12" i="38"/>
  <c r="AE292" i="39"/>
  <c r="EB292" i="39" s="1"/>
  <c r="Q32" i="43"/>
  <c r="AE133" i="42"/>
  <c r="BA140" i="41"/>
  <c r="CY127" i="42"/>
  <c r="AE11" i="38"/>
  <c r="AE17" i="38" s="1"/>
  <c r="AE128" i="42"/>
  <c r="AE246" i="42"/>
  <c r="N10" i="44"/>
  <c r="CC133" i="42"/>
  <c r="Y10" i="43"/>
  <c r="I298" i="39"/>
  <c r="CJ298" i="39" s="1"/>
  <c r="I145" i="41"/>
  <c r="I134" i="42"/>
  <c r="Z293" i="39"/>
  <c r="DR293" i="39" s="1"/>
  <c r="Z12" i="38"/>
  <c r="AQ141" i="41"/>
  <c r="R27" i="43" s="1"/>
  <c r="V30" i="43"/>
  <c r="AC295" i="39"/>
  <c r="DX295" i="39" s="1"/>
  <c r="AC14" i="38"/>
  <c r="AI18" i="38"/>
  <c r="AI21" i="38"/>
  <c r="AC246" i="42"/>
  <c r="AW140" i="41"/>
  <c r="Q30" i="43"/>
  <c r="AC128" i="42"/>
  <c r="AC11" i="38"/>
  <c r="AC17" i="38" s="1"/>
  <c r="AC133" i="42"/>
  <c r="CW127" i="42"/>
  <c r="AC292" i="39"/>
  <c r="DX292" i="39" s="1"/>
  <c r="N27" i="44"/>
  <c r="Z134" i="42"/>
  <c r="Y27" i="43"/>
  <c r="CT133" i="42"/>
  <c r="Z137" i="42"/>
  <c r="AQ145" i="41"/>
  <c r="Z298" i="39"/>
  <c r="DR298" i="39" s="1"/>
  <c r="G14" i="38"/>
  <c r="V8" i="43"/>
  <c r="K8" i="44"/>
  <c r="G295" i="39"/>
  <c r="CF295" i="39" s="1"/>
  <c r="AD246" i="42"/>
  <c r="Q31" i="43"/>
  <c r="AD11" i="38"/>
  <c r="AD17" i="38" s="1"/>
  <c r="AD292" i="39"/>
  <c r="DZ292" i="39" s="1"/>
  <c r="AY140" i="41"/>
  <c r="AD133" i="42"/>
  <c r="CX127" i="42"/>
  <c r="AD128" i="42"/>
  <c r="V32" i="43"/>
  <c r="AE295" i="39"/>
  <c r="EB295" i="39" s="1"/>
  <c r="AE14" i="38"/>
  <c r="AF292" i="39"/>
  <c r="ED292" i="39" s="1"/>
  <c r="AF246" i="42"/>
  <c r="AG247" i="42" s="1"/>
  <c r="AG255" i="42" s="1"/>
  <c r="AF11" i="38"/>
  <c r="AF17" i="38" s="1"/>
  <c r="CZ127" i="42"/>
  <c r="AF128" i="42"/>
  <c r="Q33" i="43"/>
  <c r="AF133" i="42"/>
  <c r="AG128" i="42"/>
  <c r="BC140" i="41"/>
  <c r="AB295" i="39"/>
  <c r="DV295" i="39" s="1"/>
  <c r="V29" i="43"/>
  <c r="AB14" i="38"/>
  <c r="O10" i="35"/>
  <c r="O13" i="35"/>
  <c r="Q12" i="35"/>
  <c r="Q34" i="35" s="1"/>
  <c r="P55" i="35"/>
  <c r="P76" i="35" s="1"/>
  <c r="Q54" i="35"/>
  <c r="Q75" i="35" s="1"/>
  <c r="R11" i="35"/>
  <c r="R33" i="35" s="1"/>
  <c r="Q8" i="35"/>
  <c r="Q30" i="35" s="1"/>
  <c r="BZ145" i="42"/>
  <c r="BF157" i="41" s="1"/>
  <c r="BE34" i="43" s="1"/>
  <c r="F310" i="39"/>
  <c r="CD310" i="39" s="1"/>
  <c r="C157" i="41"/>
  <c r="S11" i="6"/>
  <c r="V38" i="3"/>
  <c r="C17" i="34"/>
  <c r="CR23" i="43" l="1"/>
  <c r="BF142" i="42"/>
  <c r="AJ153" i="41"/>
  <c r="BB23" i="43" s="1"/>
  <c r="BF144" i="42"/>
  <c r="BG31" i="39"/>
  <c r="DK306" i="39" s="1"/>
  <c r="H417" i="39"/>
  <c r="NH2" i="43"/>
  <c r="G16" i="31"/>
  <c r="F17" i="31"/>
  <c r="F44" i="31"/>
  <c r="AN44" i="40"/>
  <c r="AN12" i="40"/>
  <c r="H17" i="29"/>
  <c r="CQ8" i="43"/>
  <c r="AQ138" i="42"/>
  <c r="F149" i="41"/>
  <c r="AY8" i="43" s="1"/>
  <c r="AQ236" i="42"/>
  <c r="AR27" i="39"/>
  <c r="CG302" i="39" s="1"/>
  <c r="AQ140" i="42"/>
  <c r="BC239" i="42"/>
  <c r="BC240" i="42" s="1"/>
  <c r="BC238" i="42"/>
  <c r="S392" i="42" s="1"/>
  <c r="G23" i="3"/>
  <c r="H11" i="28"/>
  <c r="I17" i="29"/>
  <c r="KJ2" i="43"/>
  <c r="AQ144" i="38"/>
  <c r="P23" i="3"/>
  <c r="Q11" i="28"/>
  <c r="CQ27" i="43"/>
  <c r="BJ236" i="42"/>
  <c r="BJ138" i="42"/>
  <c r="BK27" i="39"/>
  <c r="DS302" i="39" s="1"/>
  <c r="BJ140" i="42"/>
  <c r="BJ141" i="42" s="1"/>
  <c r="AP149" i="41"/>
  <c r="AY26" i="43" s="1"/>
  <c r="K7" i="31"/>
  <c r="J8" i="31"/>
  <c r="J43" i="31"/>
  <c r="CJ300" i="39"/>
  <c r="I360" i="39"/>
  <c r="BN379" i="39"/>
  <c r="BN376" i="39"/>
  <c r="BN378" i="39"/>
  <c r="BN385" i="39"/>
  <c r="BN375" i="39"/>
  <c r="BN374" i="39"/>
  <c r="BN387" i="39"/>
  <c r="BN384" i="39"/>
  <c r="BN383" i="39"/>
  <c r="BN388" i="39"/>
  <c r="BN377" i="39"/>
  <c r="BN371" i="39"/>
  <c r="BN386" i="39"/>
  <c r="L17" i="29"/>
  <c r="CQ33" i="43"/>
  <c r="AV149" i="41"/>
  <c r="AY29" i="43" s="1"/>
  <c r="BP140" i="42"/>
  <c r="BP138" i="42"/>
  <c r="BQ27" i="39"/>
  <c r="EE302" i="39" s="1"/>
  <c r="BP236" i="42"/>
  <c r="BP141" i="42"/>
  <c r="Q14" i="3"/>
  <c r="N8" i="29"/>
  <c r="GW64" i="20"/>
  <c r="I14" i="3"/>
  <c r="F8" i="29"/>
  <c r="GO64" i="20"/>
  <c r="CQ31" i="43"/>
  <c r="BN140" i="42"/>
  <c r="BO27" i="39"/>
  <c r="EA302" i="39" s="1"/>
  <c r="BN138" i="42"/>
  <c r="BN141" i="42"/>
  <c r="AT149" i="41"/>
  <c r="AY28" i="43" s="1"/>
  <c r="BN236" i="42"/>
  <c r="AD345" i="39"/>
  <c r="CQ16" i="43"/>
  <c r="AZ27" i="39"/>
  <c r="CW302" i="39" s="1"/>
  <c r="AY138" i="42"/>
  <c r="AY236" i="42"/>
  <c r="AY141" i="42"/>
  <c r="V149" i="41"/>
  <c r="AY16" i="43" s="1"/>
  <c r="AY140" i="42"/>
  <c r="CQ29" i="43"/>
  <c r="BL141" i="42"/>
  <c r="BM27" i="39"/>
  <c r="DW302" i="39" s="1"/>
  <c r="BL236" i="42"/>
  <c r="BL138" i="42"/>
  <c r="AR149" i="41"/>
  <c r="AY27" i="43" s="1"/>
  <c r="BL140" i="42"/>
  <c r="R149" i="41"/>
  <c r="AY14" i="43" s="1"/>
  <c r="AW236" i="42"/>
  <c r="AX27" i="39"/>
  <c r="CS302" i="39" s="1"/>
  <c r="AW138" i="42"/>
  <c r="AW140" i="42"/>
  <c r="CQ14" i="43"/>
  <c r="AW141" i="42"/>
  <c r="CQ10" i="43"/>
  <c r="AS138" i="42"/>
  <c r="AS236" i="42"/>
  <c r="AS140" i="42"/>
  <c r="AS141" i="42" s="1"/>
  <c r="J149" i="41"/>
  <c r="AY10" i="43" s="1"/>
  <c r="AT27" i="39"/>
  <c r="CK302" i="39" s="1"/>
  <c r="CQ34" i="43"/>
  <c r="BQ138" i="42"/>
  <c r="BQ236" i="42"/>
  <c r="BQ140" i="42"/>
  <c r="BR30" i="39" s="1"/>
  <c r="EG305" i="39" s="1"/>
  <c r="BR27" i="39"/>
  <c r="EG302" i="39" s="1"/>
  <c r="H179" i="38"/>
  <c r="H87" i="38"/>
  <c r="D8" i="30"/>
  <c r="C10" i="29"/>
  <c r="G12" i="28"/>
  <c r="BW23" i="39"/>
  <c r="EQ298" i="39" s="1"/>
  <c r="BW134" i="42"/>
  <c r="BW137" i="42"/>
  <c r="AK346" i="39"/>
  <c r="AK348" i="39" s="1"/>
  <c r="J409" i="39"/>
  <c r="NJ2" i="43"/>
  <c r="H419" i="39"/>
  <c r="H420" i="39"/>
  <c r="G20" i="34"/>
  <c r="F21" i="34"/>
  <c r="F58" i="34" s="1"/>
  <c r="F62" i="34"/>
  <c r="F73" i="34"/>
  <c r="AR140" i="42"/>
  <c r="H149" i="41"/>
  <c r="AY9" i="43" s="1"/>
  <c r="CQ9" i="43"/>
  <c r="AR141" i="42"/>
  <c r="AR236" i="42"/>
  <c r="AR138" i="42"/>
  <c r="AS27" i="39"/>
  <c r="CI302" i="39" s="1"/>
  <c r="CQ21" i="43"/>
  <c r="BD138" i="42"/>
  <c r="BE27" i="39"/>
  <c r="DG302" i="39" s="1"/>
  <c r="BD140" i="42"/>
  <c r="BD141" i="42" s="1"/>
  <c r="BD236" i="42"/>
  <c r="AF149" i="41"/>
  <c r="AY21" i="43" s="1"/>
  <c r="B72" i="34"/>
  <c r="CL300" i="39"/>
  <c r="J360" i="39"/>
  <c r="L23" i="3"/>
  <c r="M11" i="28"/>
  <c r="BN346" i="39"/>
  <c r="O23" i="3"/>
  <c r="P11" i="28"/>
  <c r="CQ26" i="43"/>
  <c r="BI138" i="42"/>
  <c r="BI236" i="42"/>
  <c r="BI141" i="42"/>
  <c r="BI140" i="42"/>
  <c r="BJ30" i="39" s="1"/>
  <c r="DQ305" i="39" s="1"/>
  <c r="BJ27" i="39"/>
  <c r="DQ302" i="39" s="1"/>
  <c r="CQ32" i="43"/>
  <c r="BO236" i="42"/>
  <c r="BO138" i="42"/>
  <c r="BP27" i="39"/>
  <c r="EC302" i="39" s="1"/>
  <c r="BO140" i="42"/>
  <c r="BP30" i="39" s="1"/>
  <c r="EC305" i="39" s="1"/>
  <c r="E17" i="29"/>
  <c r="CQ15" i="43"/>
  <c r="AX140" i="42"/>
  <c r="AX138" i="42"/>
  <c r="AY27" i="39"/>
  <c r="CU302" i="39" s="1"/>
  <c r="AX236" i="42"/>
  <c r="AX141" i="42"/>
  <c r="T149" i="41"/>
  <c r="AY15" i="43" s="1"/>
  <c r="K17" i="29"/>
  <c r="F57" i="34"/>
  <c r="F59" i="34" s="1"/>
  <c r="AD346" i="39"/>
  <c r="K72" i="34"/>
  <c r="H360" i="39"/>
  <c r="CH300" i="39"/>
  <c r="T14" i="3"/>
  <c r="GZ64" i="20"/>
  <c r="Q8" i="29"/>
  <c r="H418" i="39"/>
  <c r="NI2" i="43"/>
  <c r="B30" i="40"/>
  <c r="B62" i="40"/>
  <c r="G179" i="38"/>
  <c r="G87" i="38"/>
  <c r="K23" i="3"/>
  <c r="L11" i="28"/>
  <c r="CQ13" i="43"/>
  <c r="AV140" i="42"/>
  <c r="AW27" i="39"/>
  <c r="CQ302" i="39" s="1"/>
  <c r="AV141" i="42"/>
  <c r="AV236" i="42"/>
  <c r="AV138" i="42"/>
  <c r="P149" i="41"/>
  <c r="AY13" i="43" s="1"/>
  <c r="AT140" i="42"/>
  <c r="AT141" i="42" s="1"/>
  <c r="CQ11" i="43"/>
  <c r="L149" i="41"/>
  <c r="AY11" i="43" s="1"/>
  <c r="AU27" i="39"/>
  <c r="CM302" i="39" s="1"/>
  <c r="AT236" i="42"/>
  <c r="AT138" i="42"/>
  <c r="M17" i="29"/>
  <c r="AZ145" i="41"/>
  <c r="AV31" i="43" s="1"/>
  <c r="BT137" i="42"/>
  <c r="BT134" i="42"/>
  <c r="BU23" i="39"/>
  <c r="EN298" i="39" s="1"/>
  <c r="BM145" i="41"/>
  <c r="CQ24" i="43"/>
  <c r="BG140" i="42"/>
  <c r="BH27" i="39"/>
  <c r="DM302" i="39" s="1"/>
  <c r="AL149" i="41"/>
  <c r="AY24" i="43" s="1"/>
  <c r="BG236" i="42"/>
  <c r="BG141" i="42"/>
  <c r="BG138" i="42"/>
  <c r="BN345" i="39"/>
  <c r="B10" i="29"/>
  <c r="F12" i="28"/>
  <c r="F10" i="28" s="1"/>
  <c r="F9" i="28" s="1"/>
  <c r="C8" i="30"/>
  <c r="H23" i="3"/>
  <c r="I11" i="28"/>
  <c r="CQ17" i="43"/>
  <c r="AZ140" i="42"/>
  <c r="AZ236" i="42"/>
  <c r="AZ138" i="42"/>
  <c r="X149" i="41"/>
  <c r="AY17" i="43" s="1"/>
  <c r="BA27" i="39"/>
  <c r="CY302" i="39" s="1"/>
  <c r="AZ141" i="42"/>
  <c r="J14" i="3"/>
  <c r="G8" i="29"/>
  <c r="GP64" i="20"/>
  <c r="L69" i="34"/>
  <c r="M68" i="34"/>
  <c r="L71" i="34"/>
  <c r="L72" i="34" s="1"/>
  <c r="W14" i="3"/>
  <c r="HC64" i="20"/>
  <c r="KL2" i="43"/>
  <c r="AQ146" i="38"/>
  <c r="H416" i="39"/>
  <c r="NG2" i="43"/>
  <c r="BA236" i="42"/>
  <c r="BA138" i="42"/>
  <c r="Z149" i="41"/>
  <c r="AY18" i="43" s="1"/>
  <c r="CQ18" i="43"/>
  <c r="BA140" i="42"/>
  <c r="BB27" i="39"/>
  <c r="DA302" i="39" s="1"/>
  <c r="BA141" i="42"/>
  <c r="L427" i="42"/>
  <c r="K428" i="42"/>
  <c r="M427" i="42"/>
  <c r="CF300" i="39"/>
  <c r="G360" i="39"/>
  <c r="R14" i="3"/>
  <c r="GX64" i="20"/>
  <c r="O8" i="29"/>
  <c r="O17" i="29" s="1"/>
  <c r="KK2" i="43"/>
  <c r="AQ145" i="38"/>
  <c r="BE138" i="42"/>
  <c r="AH149" i="41"/>
  <c r="AY22" i="43" s="1"/>
  <c r="BE140" i="42"/>
  <c r="BF27" i="39"/>
  <c r="DI302" i="39" s="1"/>
  <c r="BE141" i="42"/>
  <c r="CQ22" i="43"/>
  <c r="BE236" i="42"/>
  <c r="S14" i="3"/>
  <c r="P8" i="29"/>
  <c r="GY64" i="20"/>
  <c r="J179" i="38"/>
  <c r="J87" i="38"/>
  <c r="D17" i="29"/>
  <c r="AV136" i="38"/>
  <c r="AU137" i="38"/>
  <c r="AV135" i="38"/>
  <c r="AV138" i="38"/>
  <c r="AU138" i="38"/>
  <c r="AU136" i="38"/>
  <c r="KB2" i="43"/>
  <c r="AU139" i="38"/>
  <c r="AV137" i="38"/>
  <c r="AJ152" i="41"/>
  <c r="BA23" i="43" s="1"/>
  <c r="BG30" i="39"/>
  <c r="DK305" i="39" s="1"/>
  <c r="U14" i="3"/>
  <c r="HA64" i="20"/>
  <c r="R8" i="29"/>
  <c r="I179" i="38"/>
  <c r="I87" i="38"/>
  <c r="V14" i="3"/>
  <c r="HB64" i="20"/>
  <c r="CQ30" i="43"/>
  <c r="BM236" i="42"/>
  <c r="BM138" i="42"/>
  <c r="BN27" i="39"/>
  <c r="DY302" i="39" s="1"/>
  <c r="BM141" i="42"/>
  <c r="BM140" i="42"/>
  <c r="BN30" i="39" s="1"/>
  <c r="DY305" i="39" s="1"/>
  <c r="CQ12" i="43"/>
  <c r="N149" i="41"/>
  <c r="AY12" i="43" s="1"/>
  <c r="AU138" i="42"/>
  <c r="AU236" i="42"/>
  <c r="AU140" i="42"/>
  <c r="AU141" i="42"/>
  <c r="AV27" i="39"/>
  <c r="CO302" i="39" s="1"/>
  <c r="N23" i="3"/>
  <c r="O11" i="28"/>
  <c r="M14" i="3"/>
  <c r="J8" i="29"/>
  <c r="GS64" i="20"/>
  <c r="AD387" i="39"/>
  <c r="AD377" i="39"/>
  <c r="AD378" i="39"/>
  <c r="AD371" i="39"/>
  <c r="AD383" i="39"/>
  <c r="AD388" i="39"/>
  <c r="AD386" i="39"/>
  <c r="AD375" i="39"/>
  <c r="AD384" i="39"/>
  <c r="AD385" i="39"/>
  <c r="AD374" i="39"/>
  <c r="AD379" i="39"/>
  <c r="AD376" i="39"/>
  <c r="BR236" i="42"/>
  <c r="BS27" i="39"/>
  <c r="EI302" i="39" s="1"/>
  <c r="BR140" i="42"/>
  <c r="BR138" i="42"/>
  <c r="AX149" i="41"/>
  <c r="AY30" i="43" s="1"/>
  <c r="BR141" i="42"/>
  <c r="BS236" i="42"/>
  <c r="BT27" i="39"/>
  <c r="EK302" i="39" s="1"/>
  <c r="BS138" i="42"/>
  <c r="BS140" i="42"/>
  <c r="BJ149" i="41"/>
  <c r="G10" i="28"/>
  <c r="G9" i="28" s="1"/>
  <c r="U14" i="35"/>
  <c r="T19" i="35"/>
  <c r="P52" i="35"/>
  <c r="P73" i="35" s="1"/>
  <c r="Q9" i="35"/>
  <c r="Q31" i="35" s="1"/>
  <c r="AE247" i="42"/>
  <c r="AE255" i="42" s="1"/>
  <c r="AA140" i="42"/>
  <c r="AA302" i="39"/>
  <c r="DT302" i="39" s="1"/>
  <c r="AC28" i="43"/>
  <c r="AS149" i="41"/>
  <c r="CU137" i="42"/>
  <c r="AA138" i="42"/>
  <c r="AA236" i="42"/>
  <c r="R28" i="44"/>
  <c r="Z28" i="43"/>
  <c r="AS146" i="41"/>
  <c r="O28" i="44"/>
  <c r="AA299" i="39"/>
  <c r="DT299" i="39" s="1"/>
  <c r="Y18" i="38"/>
  <c r="Y21" i="38"/>
  <c r="Y22" i="38" s="1"/>
  <c r="AH21" i="38"/>
  <c r="AH18" i="38"/>
  <c r="AH247" i="42"/>
  <c r="AH255" i="42" s="1"/>
  <c r="AH137" i="42"/>
  <c r="BG145" i="41"/>
  <c r="AH134" i="42"/>
  <c r="DB133" i="42"/>
  <c r="AH298" i="39"/>
  <c r="EH298" i="39" s="1"/>
  <c r="AG140" i="42"/>
  <c r="DA137" i="42"/>
  <c r="AG138" i="42"/>
  <c r="BE149" i="41"/>
  <c r="AG302" i="39"/>
  <c r="EF302" i="39" s="1"/>
  <c r="AC34" i="43"/>
  <c r="AG236" i="42"/>
  <c r="AG299" i="39"/>
  <c r="EF299" i="39" s="1"/>
  <c r="Z34" i="43"/>
  <c r="BE146" i="41"/>
  <c r="AO145" i="41"/>
  <c r="Y26" i="43"/>
  <c r="N26" i="44"/>
  <c r="CS133" i="42"/>
  <c r="Y137" i="42"/>
  <c r="Y134" i="42"/>
  <c r="Y298" i="39"/>
  <c r="DP298" i="39" s="1"/>
  <c r="AH293" i="39"/>
  <c r="EH293" i="39" s="1"/>
  <c r="AH12" i="38"/>
  <c r="BG141" i="41"/>
  <c r="Y33" i="43"/>
  <c r="BC145" i="41"/>
  <c r="AF134" i="42"/>
  <c r="AF298" i="39"/>
  <c r="ED298" i="39" s="1"/>
  <c r="AF137" i="42"/>
  <c r="CZ133" i="42"/>
  <c r="AF18" i="38"/>
  <c r="AF21" i="38"/>
  <c r="AD21" i="38"/>
  <c r="AD18" i="38"/>
  <c r="K141" i="41"/>
  <c r="R11" i="43" s="1"/>
  <c r="J293" i="39"/>
  <c r="CL293" i="39" s="1"/>
  <c r="J12" i="38"/>
  <c r="G293" i="39"/>
  <c r="CF293" i="39" s="1"/>
  <c r="E141" i="41"/>
  <c r="R8" i="43" s="1"/>
  <c r="G12" i="38"/>
  <c r="Y9" i="43"/>
  <c r="H298" i="39"/>
  <c r="CH298" i="39" s="1"/>
  <c r="G145" i="41"/>
  <c r="CB133" i="42"/>
  <c r="BH145" i="41" s="1"/>
  <c r="N9" i="44"/>
  <c r="H134" i="42"/>
  <c r="H18" i="38"/>
  <c r="AB18" i="38"/>
  <c r="AB21" i="38"/>
  <c r="AD298" i="39"/>
  <c r="DZ298" i="39" s="1"/>
  <c r="AY145" i="41"/>
  <c r="AD134" i="42"/>
  <c r="CX133" i="42"/>
  <c r="AD137" i="42"/>
  <c r="Y31" i="43"/>
  <c r="O27" i="44"/>
  <c r="Z27" i="43"/>
  <c r="Z299" i="39"/>
  <c r="DR299" i="39" s="1"/>
  <c r="AQ146" i="41"/>
  <c r="Y30" i="43"/>
  <c r="AW145" i="41"/>
  <c r="CW133" i="42"/>
  <c r="AC137" i="42"/>
  <c r="AC298" i="39"/>
  <c r="DX298" i="39" s="1"/>
  <c r="AC134" i="42"/>
  <c r="AF247" i="42"/>
  <c r="AF255" i="42" s="1"/>
  <c r="N11" i="44"/>
  <c r="K145" i="41"/>
  <c r="J298" i="39"/>
  <c r="CL298" i="39" s="1"/>
  <c r="Y11" i="43"/>
  <c r="J134" i="42"/>
  <c r="CD133" i="42"/>
  <c r="G247" i="42"/>
  <c r="G255" i="42" s="1"/>
  <c r="H247" i="42"/>
  <c r="H255" i="42" s="1"/>
  <c r="BI146" i="41"/>
  <c r="AI299" i="39"/>
  <c r="EJ299" i="39" s="1"/>
  <c r="AU141" i="41"/>
  <c r="R29" i="43" s="1"/>
  <c r="AB12" i="38"/>
  <c r="AB293" i="39"/>
  <c r="DV293" i="39" s="1"/>
  <c r="AC247" i="42"/>
  <c r="AC255" i="42" s="1"/>
  <c r="AB247" i="42"/>
  <c r="AB255" i="42" s="1"/>
  <c r="AF293" i="39"/>
  <c r="ED293" i="39" s="1"/>
  <c r="BC141" i="41"/>
  <c r="R33" i="43" s="1"/>
  <c r="AF12" i="38"/>
  <c r="AC27" i="43"/>
  <c r="Z138" i="42"/>
  <c r="Z236" i="42"/>
  <c r="Z302" i="39"/>
  <c r="DR302" i="39" s="1"/>
  <c r="AQ149" i="41"/>
  <c r="R27" i="44"/>
  <c r="CT137" i="42"/>
  <c r="Z140" i="42"/>
  <c r="AC18" i="38"/>
  <c r="AC21" i="38"/>
  <c r="AD247" i="42"/>
  <c r="AD255" i="42" s="1"/>
  <c r="O10" i="44"/>
  <c r="I146" i="41"/>
  <c r="Z10" i="43"/>
  <c r="I299" i="39"/>
  <c r="CJ299" i="39" s="1"/>
  <c r="BA141" i="41"/>
  <c r="R32" i="43" s="1"/>
  <c r="AE12" i="38"/>
  <c r="AE293" i="39"/>
  <c r="EB293" i="39" s="1"/>
  <c r="BA145" i="41"/>
  <c r="AE134" i="42"/>
  <c r="AE298" i="39"/>
  <c r="EB298" i="39" s="1"/>
  <c r="Y32" i="43"/>
  <c r="CY133" i="42"/>
  <c r="AE137" i="42"/>
  <c r="J18" i="38"/>
  <c r="G18" i="38"/>
  <c r="DC137" i="42"/>
  <c r="AI138" i="42"/>
  <c r="AI236" i="42"/>
  <c r="BI149" i="41"/>
  <c r="AI302" i="39"/>
  <c r="EJ302" i="39" s="1"/>
  <c r="AI140" i="42"/>
  <c r="AI141" i="42" s="1"/>
  <c r="Y29" i="43"/>
  <c r="AU145" i="41"/>
  <c r="CV133" i="42"/>
  <c r="AB298" i="39"/>
  <c r="DV298" i="39" s="1"/>
  <c r="AB134" i="42"/>
  <c r="AB137" i="42"/>
  <c r="AG12" i="38"/>
  <c r="AG293" i="39"/>
  <c r="EF293" i="39" s="1"/>
  <c r="BE141" i="41"/>
  <c r="R34" i="43" s="1"/>
  <c r="AD12" i="38"/>
  <c r="AD293" i="39"/>
  <c r="DZ293" i="39" s="1"/>
  <c r="AY141" i="41"/>
  <c r="R31" i="43" s="1"/>
  <c r="AC293" i="39"/>
  <c r="DX293" i="39" s="1"/>
  <c r="AC12" i="38"/>
  <c r="AW141" i="41"/>
  <c r="R30" i="43" s="1"/>
  <c r="AI22" i="38"/>
  <c r="AE18" i="38"/>
  <c r="AE21" i="38"/>
  <c r="G134" i="42"/>
  <c r="CA133" i="42"/>
  <c r="Y8" i="43"/>
  <c r="E145" i="41"/>
  <c r="N8" i="44"/>
  <c r="G298" i="39"/>
  <c r="CF298" i="39" s="1"/>
  <c r="H293" i="39"/>
  <c r="CH293" i="39" s="1"/>
  <c r="G141" i="41"/>
  <c r="R9" i="43" s="1"/>
  <c r="H12" i="38"/>
  <c r="Z22" i="38"/>
  <c r="P10" i="35"/>
  <c r="P32" i="35" s="1"/>
  <c r="P36" i="35" s="1"/>
  <c r="O53" i="35"/>
  <c r="O74" i="35" s="1"/>
  <c r="P13" i="35"/>
  <c r="P35" i="35" s="1"/>
  <c r="R12" i="35"/>
  <c r="R34" i="35" s="1"/>
  <c r="Q55" i="35"/>
  <c r="Q76" i="35" s="1"/>
  <c r="S11" i="35"/>
  <c r="S33" i="35" s="1"/>
  <c r="R54" i="35"/>
  <c r="R75" i="35" s="1"/>
  <c r="R8" i="35"/>
  <c r="R30" i="35" s="1"/>
  <c r="O51" i="35"/>
  <c r="W38" i="3"/>
  <c r="T11" i="6"/>
  <c r="CR11" i="43" l="1"/>
  <c r="AT142" i="42"/>
  <c r="L153" i="41"/>
  <c r="BB11" i="43" s="1"/>
  <c r="AT144" i="42"/>
  <c r="AT145" i="42" s="1"/>
  <c r="AU31" i="39"/>
  <c r="CM306" i="39" s="1"/>
  <c r="CR10" i="43"/>
  <c r="J153" i="41"/>
  <c r="BB10" i="43" s="1"/>
  <c r="AS144" i="42"/>
  <c r="AT31" i="39"/>
  <c r="CK306" i="39" s="1"/>
  <c r="AS142" i="42"/>
  <c r="CR21" i="43"/>
  <c r="AF153" i="41"/>
  <c r="BB21" i="43" s="1"/>
  <c r="BE31" i="39"/>
  <c r="DG306" i="39" s="1"/>
  <c r="BD144" i="42"/>
  <c r="BD145" i="42" s="1"/>
  <c r="BD142" i="42"/>
  <c r="BJ142" i="42"/>
  <c r="CR27" i="43"/>
  <c r="AP153" i="41"/>
  <c r="BB26" i="43" s="1"/>
  <c r="BJ145" i="42"/>
  <c r="BJ144" i="42"/>
  <c r="BK31" i="39"/>
  <c r="DS306" i="39" s="1"/>
  <c r="BJ152" i="41"/>
  <c r="BT30" i="39"/>
  <c r="EK305" i="39" s="1"/>
  <c r="BS141" i="42"/>
  <c r="N152" i="41"/>
  <c r="BA12" i="43" s="1"/>
  <c r="AV30" i="39"/>
  <c r="CO305" i="39" s="1"/>
  <c r="V23" i="3"/>
  <c r="W11" i="28"/>
  <c r="AH152" i="41"/>
  <c r="BA22" i="43" s="1"/>
  <c r="BF30" i="39"/>
  <c r="DI305" i="39" s="1"/>
  <c r="N68" i="34"/>
  <c r="M69" i="34"/>
  <c r="M71" i="34"/>
  <c r="M70" i="34"/>
  <c r="G17" i="29"/>
  <c r="CR24" i="43"/>
  <c r="BG144" i="42"/>
  <c r="BG142" i="42"/>
  <c r="BH31" i="39"/>
  <c r="DM306" i="39" s="1"/>
  <c r="AL153" i="41"/>
  <c r="BB24" i="43" s="1"/>
  <c r="BG145" i="42"/>
  <c r="BH30" i="39"/>
  <c r="DM305" i="39" s="1"/>
  <c r="AL152" i="41"/>
  <c r="BA24" i="43" s="1"/>
  <c r="AV224" i="42"/>
  <c r="AW224" i="42"/>
  <c r="AS224" i="42"/>
  <c r="AR224" i="42"/>
  <c r="AV225" i="42"/>
  <c r="AW225" i="42"/>
  <c r="AR225" i="42"/>
  <c r="AS225" i="42"/>
  <c r="AW214" i="42"/>
  <c r="AV214" i="42"/>
  <c r="AR214" i="42"/>
  <c r="AS214" i="42"/>
  <c r="H152" i="41"/>
  <c r="BA9" i="43" s="1"/>
  <c r="AS30" i="39"/>
  <c r="CI305" i="39" s="1"/>
  <c r="J420" i="39"/>
  <c r="NK2" i="43" s="1"/>
  <c r="J413" i="39"/>
  <c r="AV215" i="42"/>
  <c r="AS215" i="42"/>
  <c r="AW215" i="42"/>
  <c r="AR215" i="42"/>
  <c r="AW219" i="42"/>
  <c r="AV219" i="42"/>
  <c r="AR219" i="42"/>
  <c r="AS219" i="42"/>
  <c r="AS221" i="42"/>
  <c r="AW221" i="42"/>
  <c r="AV221" i="42"/>
  <c r="AR221" i="42"/>
  <c r="N17" i="29"/>
  <c r="L7" i="31"/>
  <c r="K43" i="31"/>
  <c r="K8" i="31"/>
  <c r="E8" i="30"/>
  <c r="D10" i="29"/>
  <c r="H12" i="28"/>
  <c r="AV213" i="42"/>
  <c r="AR213" i="42"/>
  <c r="AS213" i="42"/>
  <c r="AW213" i="42"/>
  <c r="BS30" i="39"/>
  <c r="EI305" i="39" s="1"/>
  <c r="AX152" i="41"/>
  <c r="BA30" i="43" s="1"/>
  <c r="O12" i="28"/>
  <c r="O10" i="28" s="1"/>
  <c r="O9" i="28" s="1"/>
  <c r="K10" i="29"/>
  <c r="H136" i="42"/>
  <c r="L8" i="30"/>
  <c r="AR217" i="42"/>
  <c r="AW217" i="42"/>
  <c r="AS217" i="42"/>
  <c r="AV217" i="42"/>
  <c r="U23" i="3"/>
  <c r="V11" i="28"/>
  <c r="M428" i="42"/>
  <c r="L428" i="42"/>
  <c r="K429" i="42"/>
  <c r="BB30" i="39"/>
  <c r="DA305" i="39" s="1"/>
  <c r="Z152" i="41"/>
  <c r="BA18" i="43" s="1"/>
  <c r="AR223" i="42"/>
  <c r="AS223" i="42"/>
  <c r="AW223" i="42"/>
  <c r="AV223" i="42"/>
  <c r="J23" i="3"/>
  <c r="K11" i="28"/>
  <c r="B19" i="29"/>
  <c r="B12" i="29"/>
  <c r="BU27" i="39"/>
  <c r="EN302" i="39" s="1"/>
  <c r="BM149" i="41"/>
  <c r="BT138" i="42"/>
  <c r="AZ149" i="41"/>
  <c r="AY31" i="43" s="1"/>
  <c r="P152" i="41"/>
  <c r="BA13" i="43" s="1"/>
  <c r="AW30" i="39"/>
  <c r="CQ305" i="39" s="1"/>
  <c r="L12" i="28"/>
  <c r="L10" i="28" s="1"/>
  <c r="L9" i="28" s="1"/>
  <c r="H10" i="29"/>
  <c r="I8" i="30"/>
  <c r="Q17" i="29"/>
  <c r="AR144" i="42"/>
  <c r="AS31" i="39"/>
  <c r="CI306" i="39" s="1"/>
  <c r="AR142" i="42"/>
  <c r="AR145" i="42"/>
  <c r="CR9" i="43"/>
  <c r="H153" i="41"/>
  <c r="BB9" i="43" s="1"/>
  <c r="BW138" i="42"/>
  <c r="BW27" i="39"/>
  <c r="EQ302" i="39" s="1"/>
  <c r="C19" i="29"/>
  <c r="C12" i="29"/>
  <c r="R152" i="41"/>
  <c r="BA14" i="43" s="1"/>
  <c r="AX30" i="39"/>
  <c r="CS305" i="39" s="1"/>
  <c r="AZ30" i="39"/>
  <c r="CW305" i="39" s="1"/>
  <c r="V152" i="41"/>
  <c r="BA16" i="43" s="1"/>
  <c r="F17" i="29"/>
  <c r="S17" i="29" s="1"/>
  <c r="S8" i="29"/>
  <c r="Q23" i="3"/>
  <c r="R11" i="28"/>
  <c r="BR142" i="42"/>
  <c r="AX153" i="41"/>
  <c r="BB30" i="43" s="1"/>
  <c r="BS31" i="39"/>
  <c r="EI306" i="39" s="1"/>
  <c r="BR144" i="42"/>
  <c r="BR145" i="42" s="1"/>
  <c r="J17" i="29"/>
  <c r="BN31" i="39"/>
  <c r="DY306" i="39" s="1"/>
  <c r="CR30" i="43"/>
  <c r="BM144" i="42"/>
  <c r="BM145" i="42" s="1"/>
  <c r="BM142" i="42"/>
  <c r="P17" i="29"/>
  <c r="AH153" i="41"/>
  <c r="BB22" i="43" s="1"/>
  <c r="BE142" i="42"/>
  <c r="BE144" i="42"/>
  <c r="BE145" i="42" s="1"/>
  <c r="BF31" i="39"/>
  <c r="DI306" i="39" s="1"/>
  <c r="CR22" i="43"/>
  <c r="AZ144" i="42"/>
  <c r="AZ145" i="42" s="1"/>
  <c r="X153" i="41"/>
  <c r="BB17" i="43" s="1"/>
  <c r="BA31" i="39"/>
  <c r="CY306" i="39" s="1"/>
  <c r="CR17" i="43"/>
  <c r="AZ142" i="42"/>
  <c r="AR222" i="42"/>
  <c r="AW222" i="42"/>
  <c r="AV222" i="42"/>
  <c r="AS222" i="42"/>
  <c r="I12" i="28"/>
  <c r="I10" i="28" s="1"/>
  <c r="I9" i="28" s="1"/>
  <c r="E10" i="29"/>
  <c r="F8" i="30"/>
  <c r="AW216" i="42"/>
  <c r="AS216" i="42"/>
  <c r="AR216" i="42"/>
  <c r="AV216" i="42"/>
  <c r="AS218" i="42"/>
  <c r="AR218" i="42"/>
  <c r="AV218" i="42"/>
  <c r="AW218" i="42"/>
  <c r="B63" i="40"/>
  <c r="B31" i="40"/>
  <c r="CR15" i="43"/>
  <c r="AX142" i="42"/>
  <c r="T153" i="41"/>
  <c r="BB15" i="43" s="1"/>
  <c r="AX144" i="42"/>
  <c r="AY31" i="39"/>
  <c r="CU306" i="39" s="1"/>
  <c r="AX145" i="42"/>
  <c r="T152" i="41"/>
  <c r="BA15" i="43" s="1"/>
  <c r="AY30" i="39"/>
  <c r="CU305" i="39" s="1"/>
  <c r="BO141" i="42"/>
  <c r="CR26" i="43"/>
  <c r="BJ31" i="39"/>
  <c r="DQ306" i="39" s="1"/>
  <c r="BI144" i="42"/>
  <c r="BI142" i="42"/>
  <c r="AF152" i="41"/>
  <c r="BA21" i="43" s="1"/>
  <c r="BE30" i="39"/>
  <c r="DG305" i="39" s="1"/>
  <c r="BQ141" i="42"/>
  <c r="AR152" i="41"/>
  <c r="BA27" i="43" s="1"/>
  <c r="BM30" i="39"/>
  <c r="DW305" i="39" s="1"/>
  <c r="AT152" i="41"/>
  <c r="BA28" i="43" s="1"/>
  <c r="BO30" i="39"/>
  <c r="EA305" i="39" s="1"/>
  <c r="I23" i="3"/>
  <c r="J11" i="28"/>
  <c r="BP142" i="42"/>
  <c r="CR33" i="43"/>
  <c r="AV153" i="41"/>
  <c r="BB29" i="43" s="1"/>
  <c r="BP144" i="42"/>
  <c r="BP145" i="42"/>
  <c r="BQ31" i="39"/>
  <c r="EE306" i="39" s="1"/>
  <c r="AV152" i="41"/>
  <c r="BA29" i="43" s="1"/>
  <c r="BQ30" i="39"/>
  <c r="EE305" i="39" s="1"/>
  <c r="BK30" i="39"/>
  <c r="DS305" i="39" s="1"/>
  <c r="AP152" i="41"/>
  <c r="BA26" i="43" s="1"/>
  <c r="Q12" i="28"/>
  <c r="Q10" i="28" s="1"/>
  <c r="Q9" i="28" s="1"/>
  <c r="J136" i="42"/>
  <c r="N8" i="30"/>
  <c r="M10" i="29"/>
  <c r="BT140" i="42"/>
  <c r="BW140" i="42"/>
  <c r="BW30" i="39" s="1"/>
  <c r="EQ305" i="39" s="1"/>
  <c r="F152" i="41"/>
  <c r="BA8" i="43" s="1"/>
  <c r="AR30" i="39"/>
  <c r="CG305" i="39" s="1"/>
  <c r="AQ141" i="42"/>
  <c r="CT23" i="43"/>
  <c r="AJ156" i="41"/>
  <c r="BD23" i="43" s="1"/>
  <c r="BG34" i="39"/>
  <c r="DK309" i="39" s="1"/>
  <c r="M23" i="3"/>
  <c r="N11" i="28"/>
  <c r="CR12" i="43"/>
  <c r="AV31" i="39"/>
  <c r="CO306" i="39" s="1"/>
  <c r="AU142" i="42"/>
  <c r="AU144" i="42"/>
  <c r="N153" i="41"/>
  <c r="BB12" i="43" s="1"/>
  <c r="R17" i="29"/>
  <c r="S23" i="3"/>
  <c r="T11" i="28"/>
  <c r="R23" i="3"/>
  <c r="S11" i="28"/>
  <c r="CR18" i="43"/>
  <c r="Z153" i="41"/>
  <c r="BB18" i="43" s="1"/>
  <c r="BA142" i="42"/>
  <c r="BA144" i="42"/>
  <c r="BA145" i="42" s="1"/>
  <c r="BB31" i="39"/>
  <c r="DA306" i="39" s="1"/>
  <c r="W23" i="3"/>
  <c r="X11" i="28"/>
  <c r="BA30" i="39"/>
  <c r="CY305" i="39" s="1"/>
  <c r="X152" i="41"/>
  <c r="BA17" i="43" s="1"/>
  <c r="L152" i="41"/>
  <c r="BA11" i="43" s="1"/>
  <c r="AU30" i="39"/>
  <c r="CM305" i="39" s="1"/>
  <c r="CR13" i="43"/>
  <c r="AV142" i="42"/>
  <c r="AW31" i="39"/>
  <c r="CQ306" i="39" s="1"/>
  <c r="P153" i="41"/>
  <c r="BB13" i="43" s="1"/>
  <c r="AV144" i="42"/>
  <c r="T23" i="3"/>
  <c r="U11" i="28"/>
  <c r="AS220" i="42"/>
  <c r="AW220" i="42"/>
  <c r="AR220" i="42"/>
  <c r="AV220" i="42"/>
  <c r="P12" i="28"/>
  <c r="P10" i="28" s="1"/>
  <c r="P9" i="28" s="1"/>
  <c r="I136" i="42"/>
  <c r="M8" i="30"/>
  <c r="L10" i="29"/>
  <c r="I10" i="29"/>
  <c r="J8" i="30"/>
  <c r="M12" i="28"/>
  <c r="M10" i="28" s="1"/>
  <c r="M9" i="28" s="1"/>
  <c r="G73" i="34"/>
  <c r="G21" i="34"/>
  <c r="G58" i="34" s="1"/>
  <c r="G62" i="34"/>
  <c r="H20" i="34"/>
  <c r="G57" i="34"/>
  <c r="G59" i="34" s="1"/>
  <c r="M411" i="39"/>
  <c r="M412" i="39"/>
  <c r="M409" i="39"/>
  <c r="L411" i="39"/>
  <c r="M410" i="39"/>
  <c r="L412" i="39"/>
  <c r="L413" i="39"/>
  <c r="NA2" i="43"/>
  <c r="L410" i="39"/>
  <c r="K414" i="39"/>
  <c r="J152" i="41"/>
  <c r="BA10" i="43" s="1"/>
  <c r="AT30" i="39"/>
  <c r="CK305" i="39" s="1"/>
  <c r="CR14" i="43"/>
  <c r="AW144" i="42"/>
  <c r="AX31" i="39"/>
  <c r="CS306" i="39" s="1"/>
  <c r="R153" i="41"/>
  <c r="BB14" i="43" s="1"/>
  <c r="AW142" i="42"/>
  <c r="AW145" i="42"/>
  <c r="CR29" i="43"/>
  <c r="AR153" i="41"/>
  <c r="BB27" i="43" s="1"/>
  <c r="BL142" i="42"/>
  <c r="BM31" i="39"/>
  <c r="DW306" i="39" s="1"/>
  <c r="BL145" i="42"/>
  <c r="BL144" i="42"/>
  <c r="CR16" i="43"/>
  <c r="AY142" i="42"/>
  <c r="AZ31" i="39"/>
  <c r="CW306" i="39" s="1"/>
  <c r="AY145" i="42"/>
  <c r="V153" i="41"/>
  <c r="BB16" i="43" s="1"/>
  <c r="AY144" i="42"/>
  <c r="CR31" i="43"/>
  <c r="BN144" i="42"/>
  <c r="BO31" i="39"/>
  <c r="EA306" i="39" s="1"/>
  <c r="BN142" i="42"/>
  <c r="AT153" i="41"/>
  <c r="BB28" i="43" s="1"/>
  <c r="BN145" i="42"/>
  <c r="H10" i="28"/>
  <c r="H9" i="28" s="1"/>
  <c r="AN13" i="40"/>
  <c r="AN45" i="40"/>
  <c r="G17" i="31"/>
  <c r="G44" i="31"/>
  <c r="H16" i="31"/>
  <c r="BF145" i="42"/>
  <c r="V14" i="35"/>
  <c r="U19" i="35"/>
  <c r="R9" i="35"/>
  <c r="R31" i="35" s="1"/>
  <c r="Q52" i="35"/>
  <c r="Q73" i="35" s="1"/>
  <c r="AA55" i="38"/>
  <c r="AA321" i="39"/>
  <c r="AS150" i="41"/>
  <c r="AD28" i="43"/>
  <c r="AA303" i="39"/>
  <c r="DT303" i="39" s="1"/>
  <c r="AA141" i="42"/>
  <c r="AA24" i="38"/>
  <c r="AA25" i="38" s="1"/>
  <c r="AS152" i="41"/>
  <c r="AF28" i="43"/>
  <c r="CU140" i="42"/>
  <c r="AA305" i="39"/>
  <c r="DT305" i="39" s="1"/>
  <c r="BG146" i="41"/>
  <c r="AH299" i="39"/>
  <c r="EH299" i="39" s="1"/>
  <c r="BE152" i="41"/>
  <c r="AF34" i="43"/>
  <c r="DA140" i="42"/>
  <c r="AG305" i="39"/>
  <c r="EF305" i="39" s="1"/>
  <c r="AG24" i="38"/>
  <c r="AG25" i="38" s="1"/>
  <c r="AG26" i="38" s="1"/>
  <c r="AH22" i="38"/>
  <c r="AO149" i="41"/>
  <c r="Y140" i="42"/>
  <c r="Y141" i="42" s="1"/>
  <c r="CS137" i="42"/>
  <c r="R26" i="44"/>
  <c r="Y302" i="39"/>
  <c r="DP302" i="39" s="1"/>
  <c r="AC26" i="43"/>
  <c r="Y138" i="42"/>
  <c r="Y236" i="42"/>
  <c r="AG141" i="42"/>
  <c r="DB137" i="42"/>
  <c r="AH302" i="39"/>
  <c r="EH302" i="39" s="1"/>
  <c r="AH138" i="42"/>
  <c r="AH140" i="42"/>
  <c r="BG149" i="41"/>
  <c r="AH236" i="42"/>
  <c r="AO146" i="41"/>
  <c r="Y299" i="39"/>
  <c r="DP299" i="39" s="1"/>
  <c r="Z26" i="43"/>
  <c r="O26" i="44"/>
  <c r="AG321" i="39"/>
  <c r="AG55" i="38"/>
  <c r="AG303" i="39"/>
  <c r="EF303" i="39" s="1"/>
  <c r="BE150" i="41"/>
  <c r="AD34" i="43"/>
  <c r="Z305" i="39"/>
  <c r="DR305" i="39" s="1"/>
  <c r="CT140" i="42"/>
  <c r="AF27" i="43"/>
  <c r="Z24" i="38"/>
  <c r="Z25" i="38" s="1"/>
  <c r="Z26" i="38" s="1"/>
  <c r="AQ152" i="41"/>
  <c r="AC302" i="39"/>
  <c r="DX302" i="39" s="1"/>
  <c r="AC140" i="42"/>
  <c r="AC141" i="42" s="1"/>
  <c r="AC236" i="42"/>
  <c r="AW149" i="41"/>
  <c r="AC30" i="43"/>
  <c r="CW137" i="42"/>
  <c r="AC138" i="42"/>
  <c r="BC146" i="41"/>
  <c r="AF299" i="39"/>
  <c r="ED299" i="39" s="1"/>
  <c r="Z33" i="43"/>
  <c r="AE22" i="38"/>
  <c r="AC22" i="38"/>
  <c r="Z321" i="39"/>
  <c r="Z55" i="38"/>
  <c r="AC31" i="43"/>
  <c r="AD140" i="42"/>
  <c r="AD141" i="42" s="1"/>
  <c r="AD302" i="39"/>
  <c r="DZ302" i="39" s="1"/>
  <c r="AD138" i="42"/>
  <c r="CX137" i="42"/>
  <c r="AY149" i="41"/>
  <c r="AD236" i="42"/>
  <c r="AU146" i="41"/>
  <c r="AB299" i="39"/>
  <c r="DV299" i="39" s="1"/>
  <c r="Z29" i="43"/>
  <c r="AI55" i="38"/>
  <c r="AI321" i="39"/>
  <c r="AD27" i="43"/>
  <c r="Z303" i="39"/>
  <c r="DR303" i="39" s="1"/>
  <c r="AQ150" i="41"/>
  <c r="AW146" i="41"/>
  <c r="Z30" i="43"/>
  <c r="AC299" i="39"/>
  <c r="DX299" i="39" s="1"/>
  <c r="AB22" i="38"/>
  <c r="AD22" i="38"/>
  <c r="AF140" i="42"/>
  <c r="AF141" i="42" s="1"/>
  <c r="AC33" i="43"/>
  <c r="AF138" i="42"/>
  <c r="AF302" i="39"/>
  <c r="ED302" i="39" s="1"/>
  <c r="BC149" i="41"/>
  <c r="AF236" i="42"/>
  <c r="CZ137" i="42"/>
  <c r="AB138" i="42"/>
  <c r="CV137" i="42"/>
  <c r="AC29" i="43"/>
  <c r="AB236" i="42"/>
  <c r="AU149" i="41"/>
  <c r="AB140" i="42"/>
  <c r="AB302" i="39"/>
  <c r="DV302" i="39" s="1"/>
  <c r="AI144" i="42"/>
  <c r="BI153" i="41"/>
  <c r="DC141" i="42"/>
  <c r="AI142" i="42"/>
  <c r="AI145" i="42"/>
  <c r="AI306" i="39"/>
  <c r="EJ306" i="39" s="1"/>
  <c r="Z11" i="43"/>
  <c r="J299" i="39"/>
  <c r="CL299" i="39" s="1"/>
  <c r="O11" i="44"/>
  <c r="K146" i="41"/>
  <c r="Z8" i="43"/>
  <c r="O8" i="44"/>
  <c r="E146" i="41"/>
  <c r="G299" i="39"/>
  <c r="CF299" i="39" s="1"/>
  <c r="AI24" i="38"/>
  <c r="AI25" i="38" s="1"/>
  <c r="DC140" i="42"/>
  <c r="BI152" i="41"/>
  <c r="AI305" i="39"/>
  <c r="EJ305" i="39" s="1"/>
  <c r="AI303" i="39"/>
  <c r="EJ303" i="39" s="1"/>
  <c r="BI150" i="41"/>
  <c r="BA149" i="41"/>
  <c r="AE236" i="42"/>
  <c r="CY137" i="42"/>
  <c r="AE138" i="42"/>
  <c r="AC32" i="43"/>
  <c r="AE302" i="39"/>
  <c r="EB302" i="39" s="1"/>
  <c r="AE140" i="42"/>
  <c r="Z32" i="43"/>
  <c r="AE299" i="39"/>
  <c r="EB299" i="39" s="1"/>
  <c r="BA146" i="41"/>
  <c r="Z141" i="42"/>
  <c r="AY146" i="41"/>
  <c r="Z31" i="43"/>
  <c r="AD299" i="39"/>
  <c r="DZ299" i="39" s="1"/>
  <c r="O9" i="44"/>
  <c r="G146" i="41"/>
  <c r="Z9" i="43"/>
  <c r="H299" i="39"/>
  <c r="CH299" i="39" s="1"/>
  <c r="AF22" i="38"/>
  <c r="Q10" i="35"/>
  <c r="Q32" i="35" s="1"/>
  <c r="P53" i="35"/>
  <c r="P74" i="35" s="1"/>
  <c r="Q13" i="35"/>
  <c r="Q35" i="35" s="1"/>
  <c r="S12" i="35"/>
  <c r="S34" i="35" s="1"/>
  <c r="R55" i="35"/>
  <c r="R76" i="35" s="1"/>
  <c r="T11" i="35"/>
  <c r="T33" i="35" s="1"/>
  <c r="S54" i="35"/>
  <c r="S75" i="35" s="1"/>
  <c r="S8" i="35"/>
  <c r="S30" i="35" s="1"/>
  <c r="O72" i="35"/>
  <c r="P51" i="35"/>
  <c r="X38" i="3"/>
  <c r="U11" i="6"/>
  <c r="CU18" i="43" l="1"/>
  <c r="Z157" i="41"/>
  <c r="BE18" i="43" s="1"/>
  <c r="BB35" i="39"/>
  <c r="DA310" i="39" s="1"/>
  <c r="BA233" i="42"/>
  <c r="BA147" i="42"/>
  <c r="CV18" i="43" s="1"/>
  <c r="BA146" i="42"/>
  <c r="CU22" i="43"/>
  <c r="BE146" i="42"/>
  <c r="BE233" i="42"/>
  <c r="BF35" i="39"/>
  <c r="DI310" i="39" s="1"/>
  <c r="AH157" i="41"/>
  <c r="BE22" i="43" s="1"/>
  <c r="BE147" i="42"/>
  <c r="CV22" i="43" s="1"/>
  <c r="AT233" i="42"/>
  <c r="AT146" i="42"/>
  <c r="CU11" i="43"/>
  <c r="AT147" i="42"/>
  <c r="CV11" i="43" s="1"/>
  <c r="AU35" i="39"/>
  <c r="CM310" i="39" s="1"/>
  <c r="L157" i="41"/>
  <c r="BE11" i="43" s="1"/>
  <c r="AZ233" i="42"/>
  <c r="X157" i="41"/>
  <c r="BE17" i="43" s="1"/>
  <c r="AZ147" i="42"/>
  <c r="CV17" i="43" s="1"/>
  <c r="CU17" i="43"/>
  <c r="AZ146" i="42"/>
  <c r="BA35" i="39"/>
  <c r="CY310" i="39" s="1"/>
  <c r="CU30" i="43"/>
  <c r="BM233" i="42"/>
  <c r="BM147" i="42"/>
  <c r="CV30" i="43" s="1"/>
  <c r="BM146" i="42"/>
  <c r="BN35" i="39"/>
  <c r="DY310" i="39" s="1"/>
  <c r="BS35" i="39"/>
  <c r="EI310" i="39" s="1"/>
  <c r="AX157" i="41"/>
  <c r="BE30" i="43" s="1"/>
  <c r="BR146" i="42"/>
  <c r="BR233" i="42"/>
  <c r="BR147" i="42"/>
  <c r="BD233" i="42"/>
  <c r="AF157" i="41"/>
  <c r="BE21" i="43" s="1"/>
  <c r="BE35" i="39"/>
  <c r="DG310" i="39" s="1"/>
  <c r="CU21" i="43"/>
  <c r="BD146" i="42"/>
  <c r="BD147" i="42"/>
  <c r="CV21" i="43" s="1"/>
  <c r="I234" i="42"/>
  <c r="I301" i="39"/>
  <c r="I148" i="41"/>
  <c r="Q10" i="44"/>
  <c r="AB10" i="43"/>
  <c r="CC136" i="42"/>
  <c r="I20" i="38"/>
  <c r="I235" i="42"/>
  <c r="I137" i="42"/>
  <c r="CT13" i="43"/>
  <c r="P156" i="41"/>
  <c r="BD13" i="43" s="1"/>
  <c r="AW34" i="39"/>
  <c r="CQ309" i="39" s="1"/>
  <c r="AB11" i="43"/>
  <c r="K148" i="41"/>
  <c r="Q11" i="44"/>
  <c r="J301" i="39"/>
  <c r="J234" i="42"/>
  <c r="J20" i="38"/>
  <c r="CD136" i="42"/>
  <c r="J235" i="42"/>
  <c r="J137" i="42"/>
  <c r="CT33" i="43"/>
  <c r="AV156" i="41"/>
  <c r="BD29" i="43" s="1"/>
  <c r="BQ34" i="39"/>
  <c r="EE309" i="39" s="1"/>
  <c r="CT26" i="43"/>
  <c r="BJ34" i="39"/>
  <c r="DQ309" i="39" s="1"/>
  <c r="CR32" i="43"/>
  <c r="BO142" i="42"/>
  <c r="BO144" i="42"/>
  <c r="BP31" i="39"/>
  <c r="EC306" i="39" s="1"/>
  <c r="BO145" i="42"/>
  <c r="E19" i="29"/>
  <c r="E12" i="29"/>
  <c r="O68" i="34"/>
  <c r="N69" i="34"/>
  <c r="N71" i="34"/>
  <c r="N70" i="34"/>
  <c r="J156" i="41"/>
  <c r="BD10" i="43" s="1"/>
  <c r="AT34" i="39"/>
  <c r="CK309" i="39" s="1"/>
  <c r="CT10" i="43"/>
  <c r="CU23" i="43"/>
  <c r="BF146" i="42"/>
  <c r="BF233" i="42"/>
  <c r="AJ157" i="41"/>
  <c r="BE23" i="43" s="1"/>
  <c r="BF147" i="42"/>
  <c r="CV23" i="43" s="1"/>
  <c r="BG35" i="39"/>
  <c r="DK310" i="39" s="1"/>
  <c r="BN147" i="42"/>
  <c r="CV31" i="43" s="1"/>
  <c r="BO35" i="39"/>
  <c r="EA310" i="39" s="1"/>
  <c r="CU31" i="43"/>
  <c r="BN146" i="42"/>
  <c r="AT157" i="41"/>
  <c r="BE28" i="43" s="1"/>
  <c r="BN233" i="42"/>
  <c r="CT31" i="43"/>
  <c r="AT156" i="41"/>
  <c r="BD28" i="43" s="1"/>
  <c r="BO34" i="39"/>
  <c r="EA309" i="39" s="1"/>
  <c r="AY146" i="42"/>
  <c r="CU16" i="43"/>
  <c r="V157" i="41"/>
  <c r="BE16" i="43" s="1"/>
  <c r="AY233" i="42"/>
  <c r="AY147" i="42"/>
  <c r="CV16" i="43" s="1"/>
  <c r="AZ35" i="39"/>
  <c r="CW310" i="39" s="1"/>
  <c r="CT29" i="43"/>
  <c r="AR156" i="41"/>
  <c r="BD27" i="43" s="1"/>
  <c r="BM34" i="39"/>
  <c r="DW309" i="39" s="1"/>
  <c r="I19" i="29"/>
  <c r="I12" i="29"/>
  <c r="AV145" i="42"/>
  <c r="P10" i="29"/>
  <c r="M136" i="42"/>
  <c r="T12" i="28"/>
  <c r="T10" i="28" s="1"/>
  <c r="CT12" i="43"/>
  <c r="AV34" i="39"/>
  <c r="CO309" i="39" s="1"/>
  <c r="N156" i="41"/>
  <c r="BD12" i="43" s="1"/>
  <c r="AU145" i="42"/>
  <c r="CR8" i="43"/>
  <c r="AQ142" i="42"/>
  <c r="F153" i="41"/>
  <c r="BB8" i="43" s="1"/>
  <c r="AR31" i="39"/>
  <c r="CG306" i="39" s="1"/>
  <c r="AQ144" i="42"/>
  <c r="AQ145" i="42" s="1"/>
  <c r="BU30" i="39"/>
  <c r="EN305" i="39" s="1"/>
  <c r="BM152" i="41"/>
  <c r="AZ152" i="41"/>
  <c r="BA31" i="43" s="1"/>
  <c r="BU140" i="42"/>
  <c r="G8" i="30"/>
  <c r="F10" i="29"/>
  <c r="J12" i="28"/>
  <c r="J10" i="28" s="1"/>
  <c r="J9" i="28" s="1"/>
  <c r="BI145" i="42"/>
  <c r="CT15" i="43"/>
  <c r="T156" i="41"/>
  <c r="BD15" i="43" s="1"/>
  <c r="AY34" i="39"/>
  <c r="CU309" i="39" s="1"/>
  <c r="B32" i="40"/>
  <c r="B64" i="40"/>
  <c r="CT9" i="43"/>
  <c r="AS34" i="39"/>
  <c r="CI309" i="39" s="1"/>
  <c r="H156" i="41"/>
  <c r="BD9" i="43" s="1"/>
  <c r="H19" i="29"/>
  <c r="H12" i="29"/>
  <c r="BT141" i="42"/>
  <c r="H301" i="39"/>
  <c r="CB136" i="42"/>
  <c r="BH148" i="41" s="1"/>
  <c r="G148" i="41"/>
  <c r="H20" i="38"/>
  <c r="Q9" i="44"/>
  <c r="H311" i="42"/>
  <c r="H234" i="42"/>
  <c r="AB9" i="43"/>
  <c r="H235" i="42"/>
  <c r="H137" i="42"/>
  <c r="CU24" i="43"/>
  <c r="BG233" i="42"/>
  <c r="BG146" i="42"/>
  <c r="BH35" i="39"/>
  <c r="DM310" i="39" s="1"/>
  <c r="AL157" i="41"/>
  <c r="BE24" i="43" s="1"/>
  <c r="BG147" i="42"/>
  <c r="CV24" i="43" s="1"/>
  <c r="CT24" i="43"/>
  <c r="AL156" i="41"/>
  <c r="BD24" i="43" s="1"/>
  <c r="BH34" i="39"/>
  <c r="DM309" i="39" s="1"/>
  <c r="M72" i="34"/>
  <c r="AS145" i="42"/>
  <c r="CU29" i="43"/>
  <c r="BL233" i="42"/>
  <c r="BL147" i="42"/>
  <c r="CV29" i="43" s="1"/>
  <c r="AR157" i="41"/>
  <c r="BE27" i="43" s="1"/>
  <c r="BL146" i="42"/>
  <c r="BM35" i="39"/>
  <c r="DW310" i="39" s="1"/>
  <c r="L19" i="29"/>
  <c r="L12" i="29"/>
  <c r="BB34" i="39"/>
  <c r="DA309" i="39" s="1"/>
  <c r="CT18" i="43"/>
  <c r="Z156" i="41"/>
  <c r="BD18" i="43" s="1"/>
  <c r="S10" i="28"/>
  <c r="M19" i="29"/>
  <c r="M12" i="29"/>
  <c r="CR34" i="43"/>
  <c r="BQ144" i="42"/>
  <c r="BQ145" i="42" s="1"/>
  <c r="BQ142" i="42"/>
  <c r="BR31" i="39"/>
  <c r="EG306" i="39" s="1"/>
  <c r="BN34" i="39"/>
  <c r="DY309" i="39" s="1"/>
  <c r="CT30" i="43"/>
  <c r="BW141" i="42"/>
  <c r="CU9" i="43"/>
  <c r="AS35" i="39"/>
  <c r="CI310" i="39" s="1"/>
  <c r="AR233" i="42"/>
  <c r="AR147" i="42"/>
  <c r="CV9" i="43" s="1"/>
  <c r="H390" i="42"/>
  <c r="J390" i="42" s="1"/>
  <c r="H157" i="41"/>
  <c r="BE9" i="43" s="1"/>
  <c r="AR146" i="42"/>
  <c r="K19" i="29"/>
  <c r="K12" i="29"/>
  <c r="M413" i="39"/>
  <c r="NE2" i="43"/>
  <c r="O413" i="39"/>
  <c r="BS142" i="42"/>
  <c r="BT31" i="39"/>
  <c r="EK306" i="39" s="1"/>
  <c r="BJ153" i="41"/>
  <c r="BS144" i="42"/>
  <c r="BS145" i="42"/>
  <c r="CT27" i="43"/>
  <c r="AP156" i="41"/>
  <c r="BD26" i="43" s="1"/>
  <c r="BK34" i="39"/>
  <c r="DS309" i="39" s="1"/>
  <c r="AF156" i="41"/>
  <c r="BD21" i="43" s="1"/>
  <c r="CT21" i="43"/>
  <c r="BE34" i="39"/>
  <c r="DG309" i="39" s="1"/>
  <c r="CT11" i="43"/>
  <c r="L156" i="41"/>
  <c r="BD11" i="43" s="1"/>
  <c r="AU34" i="39"/>
  <c r="CM309" i="39" s="1"/>
  <c r="H17" i="31"/>
  <c r="I16" i="31"/>
  <c r="H44" i="31"/>
  <c r="AN14" i="40"/>
  <c r="AN46" i="40"/>
  <c r="CT16" i="43"/>
  <c r="V156" i="41"/>
  <c r="BD16" i="43" s="1"/>
  <c r="AZ34" i="39"/>
  <c r="CW309" i="39" s="1"/>
  <c r="CU14" i="43"/>
  <c r="AW147" i="42"/>
  <c r="CV14" i="43" s="1"/>
  <c r="AW146" i="42"/>
  <c r="AW233" i="42"/>
  <c r="AX35" i="39"/>
  <c r="CS310" i="39" s="1"/>
  <c r="R157" i="41"/>
  <c r="BE14" i="43" s="1"/>
  <c r="CT14" i="43"/>
  <c r="R156" i="41"/>
  <c r="BD14" i="43" s="1"/>
  <c r="AX34" i="39"/>
  <c r="CS309" i="39" s="1"/>
  <c r="O411" i="39"/>
  <c r="O409" i="39"/>
  <c r="O412" i="39"/>
  <c r="O414" i="39"/>
  <c r="NF2" i="43"/>
  <c r="O410" i="39"/>
  <c r="H62" i="34"/>
  <c r="H21" i="34"/>
  <c r="H58" i="34" s="1"/>
  <c r="I20" i="34"/>
  <c r="H73" i="34"/>
  <c r="H57" i="34"/>
  <c r="H59" i="34" s="1"/>
  <c r="U12" i="28"/>
  <c r="U10" i="28" s="1"/>
  <c r="Q10" i="29"/>
  <c r="N136" i="42"/>
  <c r="Q136" i="42"/>
  <c r="X12" i="28"/>
  <c r="X10" i="28" s="1"/>
  <c r="O10" i="29"/>
  <c r="L136" i="42"/>
  <c r="S12" i="28"/>
  <c r="J10" i="29"/>
  <c r="S10" i="29" s="1"/>
  <c r="S12" i="29" s="1"/>
  <c r="D3" i="29" s="1"/>
  <c r="N12" i="28"/>
  <c r="N10" i="28" s="1"/>
  <c r="N9" i="28" s="1"/>
  <c r="K8" i="30"/>
  <c r="G136" i="42"/>
  <c r="BP233" i="42"/>
  <c r="BQ35" i="39"/>
  <c r="EE310" i="39" s="1"/>
  <c r="BP146" i="42"/>
  <c r="CU33" i="43"/>
  <c r="BP147" i="42"/>
  <c r="CV33" i="43" s="1"/>
  <c r="AV157" i="41"/>
  <c r="BE29" i="43" s="1"/>
  <c r="AX233" i="42"/>
  <c r="T157" i="41"/>
  <c r="BE15" i="43" s="1"/>
  <c r="AX147" i="42"/>
  <c r="CV15" i="43" s="1"/>
  <c r="AX146" i="42"/>
  <c r="CU15" i="43"/>
  <c r="AY35" i="39"/>
  <c r="CU310" i="39" s="1"/>
  <c r="CT17" i="43"/>
  <c r="X156" i="41"/>
  <c r="BD17" i="43" s="1"/>
  <c r="BA34" i="39"/>
  <c r="CY309" i="39" s="1"/>
  <c r="CT22" i="43"/>
  <c r="AH156" i="41"/>
  <c r="BD22" i="43" s="1"/>
  <c r="BF34" i="39"/>
  <c r="DI309" i="39" s="1"/>
  <c r="AX156" i="41"/>
  <c r="BD30" i="43" s="1"/>
  <c r="BS34" i="39"/>
  <c r="EI309" i="39" s="1"/>
  <c r="N10" i="29"/>
  <c r="K136" i="42"/>
  <c r="R12" i="28"/>
  <c r="R10" i="28" s="1"/>
  <c r="H8" i="30"/>
  <c r="G10" i="29"/>
  <c r="K12" i="28"/>
  <c r="K10" i="28" s="1"/>
  <c r="K9" i="28" s="1"/>
  <c r="M429" i="42"/>
  <c r="K430" i="42"/>
  <c r="L429" i="42"/>
  <c r="V12" i="28"/>
  <c r="V10" i="28" s="1"/>
  <c r="O136" i="42"/>
  <c r="R10" i="29"/>
  <c r="D19" i="29"/>
  <c r="D12" i="29"/>
  <c r="M7" i="31"/>
  <c r="L8" i="31"/>
  <c r="L43" i="31"/>
  <c r="P136" i="42"/>
  <c r="W12" i="28"/>
  <c r="W10" i="28" s="1"/>
  <c r="BJ233" i="42"/>
  <c r="CU27" i="43"/>
  <c r="BJ147" i="42"/>
  <c r="CV27" i="43" s="1"/>
  <c r="BK35" i="39"/>
  <c r="DS310" i="39" s="1"/>
  <c r="BJ146" i="42"/>
  <c r="AP157" i="41"/>
  <c r="BE26" i="43" s="1"/>
  <c r="W14" i="35"/>
  <c r="V19" i="35"/>
  <c r="S9" i="35"/>
  <c r="S31" i="35" s="1"/>
  <c r="R52" i="35"/>
  <c r="R73" i="35" s="1"/>
  <c r="AA26" i="38"/>
  <c r="AG28" i="43"/>
  <c r="AA306" i="39"/>
  <c r="DT306" i="39" s="1"/>
  <c r="CU141" i="42"/>
  <c r="AA142" i="42"/>
  <c r="AS153" i="41"/>
  <c r="S28" i="44"/>
  <c r="AA144" i="42"/>
  <c r="AA145" i="42" s="1"/>
  <c r="AH24" i="38"/>
  <c r="AH25" i="38" s="1"/>
  <c r="BG152" i="41"/>
  <c r="DB140" i="42"/>
  <c r="AH305" i="39"/>
  <c r="EH305" i="39" s="1"/>
  <c r="BE153" i="41"/>
  <c r="DA141" i="42"/>
  <c r="AG144" i="42"/>
  <c r="AG142" i="42"/>
  <c r="AG306" i="39"/>
  <c r="EF306" i="39" s="1"/>
  <c r="AG34" i="43"/>
  <c r="CS141" i="42"/>
  <c r="AO153" i="41"/>
  <c r="Y142" i="42"/>
  <c r="AG26" i="43"/>
  <c r="S26" i="44"/>
  <c r="Y306" i="39"/>
  <c r="DP306" i="39" s="1"/>
  <c r="Y305" i="39"/>
  <c r="DP305" i="39" s="1"/>
  <c r="Y24" i="38"/>
  <c r="Y25" i="38" s="1"/>
  <c r="Y26" i="38" s="1"/>
  <c r="AO152" i="41"/>
  <c r="AF26" i="43"/>
  <c r="CS140" i="42"/>
  <c r="AH141" i="42"/>
  <c r="BG150" i="41"/>
  <c r="AH303" i="39"/>
  <c r="EH303" i="39" s="1"/>
  <c r="Y55" i="38"/>
  <c r="Y321" i="39"/>
  <c r="AH321" i="39"/>
  <c r="AH55" i="38"/>
  <c r="Y303" i="39"/>
  <c r="DP303" i="39" s="1"/>
  <c r="AD26" i="43"/>
  <c r="AO150" i="41"/>
  <c r="AB55" i="38"/>
  <c r="AB321" i="39"/>
  <c r="AG33" i="43"/>
  <c r="CZ141" i="42"/>
  <c r="BC153" i="41"/>
  <c r="AF306" i="39"/>
  <c r="ED306" i="39" s="1"/>
  <c r="AF144" i="42"/>
  <c r="AF145" i="42" s="1"/>
  <c r="AF142" i="42"/>
  <c r="AC303" i="39"/>
  <c r="DX303" i="39" s="1"/>
  <c r="AD30" i="43"/>
  <c r="AW150" i="41"/>
  <c r="AD32" i="43"/>
  <c r="BA150" i="41"/>
  <c r="AE303" i="39"/>
  <c r="EB303" i="39" s="1"/>
  <c r="CV140" i="42"/>
  <c r="AB305" i="39"/>
  <c r="DV305" i="39" s="1"/>
  <c r="AB24" i="38"/>
  <c r="AB25" i="38" s="1"/>
  <c r="AU152" i="41"/>
  <c r="AF29" i="43"/>
  <c r="AF321" i="39"/>
  <c r="AF55" i="38"/>
  <c r="AD33" i="43"/>
  <c r="BC150" i="41"/>
  <c r="AF303" i="39"/>
  <c r="ED303" i="39" s="1"/>
  <c r="AF31" i="43"/>
  <c r="AD24" i="38"/>
  <c r="AD25" i="38" s="1"/>
  <c r="AD305" i="39"/>
  <c r="DZ305" i="39" s="1"/>
  <c r="AY152" i="41"/>
  <c r="CX140" i="42"/>
  <c r="AC55" i="38"/>
  <c r="AC321" i="39"/>
  <c r="BI154" i="41"/>
  <c r="AI307" i="39"/>
  <c r="EJ307" i="39" s="1"/>
  <c r="Z306" i="39"/>
  <c r="DR306" i="39" s="1"/>
  <c r="AG27" i="43"/>
  <c r="Z144" i="42"/>
  <c r="Z145" i="42" s="1"/>
  <c r="Z142" i="42"/>
  <c r="AQ153" i="41"/>
  <c r="S27" i="44"/>
  <c r="CT141" i="42"/>
  <c r="BA152" i="41"/>
  <c r="AE24" i="38"/>
  <c r="AE25" i="38" s="1"/>
  <c r="CY140" i="42"/>
  <c r="AE305" i="39"/>
  <c r="EB305" i="39" s="1"/>
  <c r="AF32" i="43"/>
  <c r="AI26" i="38"/>
  <c r="CX141" i="42"/>
  <c r="AY153" i="41"/>
  <c r="AG31" i="43"/>
  <c r="AD144" i="42"/>
  <c r="AD142" i="42"/>
  <c r="AD306" i="39"/>
  <c r="DZ306" i="39" s="1"/>
  <c r="AC24" i="38"/>
  <c r="AC25" i="38" s="1"/>
  <c r="AF30" i="43"/>
  <c r="AW152" i="41"/>
  <c r="AC305" i="39"/>
  <c r="DX305" i="39" s="1"/>
  <c r="CW140" i="42"/>
  <c r="AE321" i="39"/>
  <c r="AE55" i="38"/>
  <c r="AG30" i="43"/>
  <c r="CW141" i="42"/>
  <c r="AC142" i="42"/>
  <c r="AC306" i="39"/>
  <c r="DX306" i="39" s="1"/>
  <c r="AW153" i="41"/>
  <c r="AC144" i="42"/>
  <c r="AC145" i="42" s="1"/>
  <c r="AE141" i="42"/>
  <c r="AI147" i="42"/>
  <c r="BI157" i="41"/>
  <c r="AI233" i="42"/>
  <c r="AI310" i="39"/>
  <c r="EJ310" i="39" s="1"/>
  <c r="DC145" i="42"/>
  <c r="AI146" i="42"/>
  <c r="DC144" i="42"/>
  <c r="AI28" i="38"/>
  <c r="AI29" i="38" s="1"/>
  <c r="AI30" i="38" s="1"/>
  <c r="AI309" i="39"/>
  <c r="EJ309" i="39" s="1"/>
  <c r="BI156" i="41"/>
  <c r="AB141" i="42"/>
  <c r="AD29" i="43"/>
  <c r="AB303" i="39"/>
  <c r="DV303" i="39" s="1"/>
  <c r="AU150" i="41"/>
  <c r="AF305" i="39"/>
  <c r="ED305" i="39" s="1"/>
  <c r="AF24" i="38"/>
  <c r="AF25" i="38" s="1"/>
  <c r="AF33" i="43"/>
  <c r="CZ140" i="42"/>
  <c r="BC152" i="41"/>
  <c r="AD55" i="38"/>
  <c r="AD321" i="39"/>
  <c r="AD303" i="39"/>
  <c r="DZ303" i="39" s="1"/>
  <c r="AD31" i="43"/>
  <c r="AY150" i="41"/>
  <c r="Q53" i="35"/>
  <c r="Q74" i="35" s="1"/>
  <c r="R10" i="35"/>
  <c r="R32" i="35" s="1"/>
  <c r="O56" i="35"/>
  <c r="R13" i="35"/>
  <c r="R35" i="35" s="1"/>
  <c r="T12" i="35"/>
  <c r="T34" i="35" s="1"/>
  <c r="S55" i="35"/>
  <c r="S76" i="35" s="1"/>
  <c r="U11" i="35"/>
  <c r="U33" i="35" s="1"/>
  <c r="T54" i="35"/>
  <c r="T75" i="35" s="1"/>
  <c r="T8" i="35"/>
  <c r="T30" i="35" s="1"/>
  <c r="P72" i="35"/>
  <c r="Q51" i="35"/>
  <c r="Y38" i="3"/>
  <c r="V11" i="6"/>
  <c r="CU34" i="43" l="1"/>
  <c r="BQ147" i="42"/>
  <c r="CV34" i="43" s="1"/>
  <c r="BQ146" i="42"/>
  <c r="BR35" i="39"/>
  <c r="EG310" i="39" s="1"/>
  <c r="BQ233" i="42"/>
  <c r="CU8" i="43"/>
  <c r="AQ233" i="42"/>
  <c r="F157" i="41"/>
  <c r="BE8" i="43" s="1"/>
  <c r="AQ147" i="42"/>
  <c r="AR35" i="39"/>
  <c r="CG310" i="39" s="1"/>
  <c r="G390" i="42"/>
  <c r="AQ146" i="42"/>
  <c r="G19" i="29"/>
  <c r="G12" i="29"/>
  <c r="M148" i="41"/>
  <c r="K234" i="42"/>
  <c r="CE136" i="42"/>
  <c r="K301" i="39"/>
  <c r="AB12" i="43"/>
  <c r="K20" i="38"/>
  <c r="Q12" i="44"/>
  <c r="K311" i="42"/>
  <c r="AX239" i="42"/>
  <c r="AX240" i="42" s="1"/>
  <c r="AX238" i="42"/>
  <c r="N392" i="42" s="1"/>
  <c r="AM136" i="42"/>
  <c r="AB8" i="43"/>
  <c r="E148" i="41"/>
  <c r="CA136" i="42"/>
  <c r="G20" i="38"/>
  <c r="G311" i="42"/>
  <c r="G301" i="39"/>
  <c r="Q8" i="44"/>
  <c r="AJ136" i="42"/>
  <c r="G234" i="42"/>
  <c r="G235" i="42"/>
  <c r="G137" i="42"/>
  <c r="Q234" i="42"/>
  <c r="CK136" i="42"/>
  <c r="Q301" i="39"/>
  <c r="Q18" i="44"/>
  <c r="Q20" i="38"/>
  <c r="AB18" i="43"/>
  <c r="Y148" i="41"/>
  <c r="Q311" i="42"/>
  <c r="I17" i="31"/>
  <c r="J16" i="31"/>
  <c r="I44" i="31"/>
  <c r="BT34" i="39"/>
  <c r="EK309" i="39" s="1"/>
  <c r="BJ156" i="41"/>
  <c r="AR240" i="42"/>
  <c r="AR238" i="42"/>
  <c r="H392" i="42" s="1"/>
  <c r="AR239" i="42"/>
  <c r="BG239" i="42"/>
  <c r="BG240" i="42"/>
  <c r="AV203" i="42" s="1"/>
  <c r="BG238" i="42"/>
  <c r="W392" i="42" s="1"/>
  <c r="H54" i="38"/>
  <c r="H320" i="39"/>
  <c r="CH301" i="39"/>
  <c r="H362" i="39"/>
  <c r="B65" i="40"/>
  <c r="B33" i="40"/>
  <c r="CU26" i="43"/>
  <c r="BI147" i="42"/>
  <c r="CV26" i="43" s="1"/>
  <c r="BI233" i="42"/>
  <c r="BM203" i="42" s="1"/>
  <c r="BI146" i="42"/>
  <c r="BJ35" i="39"/>
  <c r="DQ310" i="39" s="1"/>
  <c r="AG312" i="42"/>
  <c r="Q312" i="42"/>
  <c r="AC310" i="42"/>
  <c r="M310" i="42"/>
  <c r="X312" i="42"/>
  <c r="H312" i="42"/>
  <c r="AF310" i="42"/>
  <c r="P310" i="42"/>
  <c r="AD309" i="42"/>
  <c r="R312" i="42"/>
  <c r="AE310" i="42"/>
  <c r="AC309" i="42"/>
  <c r="G312" i="42"/>
  <c r="N310" i="42"/>
  <c r="AB311" i="42"/>
  <c r="AA312" i="42"/>
  <c r="K310" i="42"/>
  <c r="Y309" i="42"/>
  <c r="AI312" i="42"/>
  <c r="Y312" i="42"/>
  <c r="I312" i="42"/>
  <c r="U310" i="42"/>
  <c r="AF312" i="42"/>
  <c r="P312" i="42"/>
  <c r="AD311" i="42"/>
  <c r="X310" i="42"/>
  <c r="H310" i="42"/>
  <c r="AH312" i="42"/>
  <c r="AF311" i="42"/>
  <c r="O310" i="42"/>
  <c r="W312" i="42"/>
  <c r="AD310" i="42"/>
  <c r="AD312" i="42"/>
  <c r="R310" i="42"/>
  <c r="Y311" i="42"/>
  <c r="V312" i="42"/>
  <c r="S310" i="42"/>
  <c r="J310" i="42"/>
  <c r="AC312" i="42"/>
  <c r="Y310" i="42"/>
  <c r="T312" i="42"/>
  <c r="AB310" i="42"/>
  <c r="Z309" i="42"/>
  <c r="W310" i="42"/>
  <c r="AC311" i="42"/>
  <c r="AH310" i="42"/>
  <c r="AF309" i="42"/>
  <c r="AI310" i="42"/>
  <c r="U312" i="42"/>
  <c r="Q310" i="42"/>
  <c r="L312" i="42"/>
  <c r="T310" i="42"/>
  <c r="Z312" i="42"/>
  <c r="G310" i="42"/>
  <c r="V310" i="42"/>
  <c r="AG309" i="42"/>
  <c r="Z310" i="42"/>
  <c r="AG311" i="42"/>
  <c r="M312" i="42"/>
  <c r="I310" i="42"/>
  <c r="AH311" i="42"/>
  <c r="L310" i="42"/>
  <c r="J312" i="42"/>
  <c r="AE312" i="42"/>
  <c r="AB309" i="42"/>
  <c r="K312" i="42"/>
  <c r="S312" i="42"/>
  <c r="AG310" i="42"/>
  <c r="AB312" i="42"/>
  <c r="Z311" i="42"/>
  <c r="AH309" i="42"/>
  <c r="X311" i="42"/>
  <c r="O312" i="42"/>
  <c r="N312" i="42"/>
  <c r="AA310" i="42"/>
  <c r="X309" i="42"/>
  <c r="U311" i="42"/>
  <c r="AA309" i="42"/>
  <c r="AE309" i="42"/>
  <c r="AI311" i="42"/>
  <c r="V311" i="42"/>
  <c r="T311" i="42"/>
  <c r="AI309" i="42"/>
  <c r="AE311" i="42"/>
  <c r="R311" i="42"/>
  <c r="W311" i="42"/>
  <c r="S311" i="42"/>
  <c r="AA311" i="42"/>
  <c r="I309" i="42"/>
  <c r="J309" i="42"/>
  <c r="H309" i="42"/>
  <c r="G309" i="42"/>
  <c r="P19" i="29"/>
  <c r="P12" i="29"/>
  <c r="J362" i="39"/>
  <c r="CL301" i="39"/>
  <c r="CC137" i="42"/>
  <c r="I236" i="42"/>
  <c r="I140" i="42"/>
  <c r="R10" i="44"/>
  <c r="I302" i="39"/>
  <c r="CJ302" i="39" s="1"/>
  <c r="AC10" i="43"/>
  <c r="I149" i="41"/>
  <c r="I138" i="42"/>
  <c r="I311" i="42"/>
  <c r="BR240" i="42"/>
  <c r="BR238" i="42"/>
  <c r="AH392" i="42" s="1"/>
  <c r="BR239" i="42"/>
  <c r="BM238" i="42"/>
  <c r="AC392" i="42" s="1"/>
  <c r="BM239" i="42"/>
  <c r="BM240" i="42" s="1"/>
  <c r="AT238" i="42"/>
  <c r="J392" i="42" s="1"/>
  <c r="AT239" i="42"/>
  <c r="AT240" i="42" s="1"/>
  <c r="BJ238" i="42"/>
  <c r="Z392" i="42" s="1"/>
  <c r="BJ239" i="42"/>
  <c r="BJ240" i="42"/>
  <c r="K431" i="42"/>
  <c r="M430" i="42"/>
  <c r="L430" i="42"/>
  <c r="N19" i="29"/>
  <c r="N12" i="29"/>
  <c r="AB13" i="43"/>
  <c r="L234" i="42"/>
  <c r="O148" i="41"/>
  <c r="CF136" i="42"/>
  <c r="L20" i="38"/>
  <c r="L311" i="42"/>
  <c r="Q13" i="44"/>
  <c r="L301" i="39"/>
  <c r="CH136" i="42"/>
  <c r="N301" i="39"/>
  <c r="N311" i="42"/>
  <c r="N20" i="38"/>
  <c r="Q15" i="44"/>
  <c r="N234" i="42"/>
  <c r="AB15" i="43"/>
  <c r="S148" i="41"/>
  <c r="AW240" i="42"/>
  <c r="AW238" i="42"/>
  <c r="M392" i="42" s="1"/>
  <c r="AW239" i="42"/>
  <c r="AW202" i="42"/>
  <c r="BE202" i="42"/>
  <c r="AZ219" i="42"/>
  <c r="AS202" i="42"/>
  <c r="BM202" i="42"/>
  <c r="BA202" i="42"/>
  <c r="BI202" i="42"/>
  <c r="H181" i="38"/>
  <c r="H89" i="38"/>
  <c r="H21" i="38"/>
  <c r="H22" i="38" s="1"/>
  <c r="BU31" i="39"/>
  <c r="EN306" i="39" s="1"/>
  <c r="AZ153" i="41"/>
  <c r="BB31" i="43" s="1"/>
  <c r="BM153" i="41"/>
  <c r="BT142" i="42"/>
  <c r="CT8" i="43"/>
  <c r="F156" i="41"/>
  <c r="BD8" i="43" s="1"/>
  <c r="BT144" i="42"/>
  <c r="BT145" i="42" s="1"/>
  <c r="AR34" i="39"/>
  <c r="CG309" i="39" s="1"/>
  <c r="BW144" i="42"/>
  <c r="BW34" i="39" s="1"/>
  <c r="EQ309" i="39" s="1"/>
  <c r="L390" i="42"/>
  <c r="CU13" i="43"/>
  <c r="P157" i="41"/>
  <c r="BE13" i="43" s="1"/>
  <c r="AV233" i="42"/>
  <c r="AW35" i="39"/>
  <c r="CQ310" i="39" s="1"/>
  <c r="AV147" i="42"/>
  <c r="CV13" i="43" s="1"/>
  <c r="AV146" i="42"/>
  <c r="AY238" i="42"/>
  <c r="O392" i="42" s="1"/>
  <c r="AY239" i="42"/>
  <c r="AY240" i="42"/>
  <c r="BH204" i="42"/>
  <c r="AZ221" i="42"/>
  <c r="AS204" i="42"/>
  <c r="BI204" i="42"/>
  <c r="AV204" i="42"/>
  <c r="AR204" i="42"/>
  <c r="BL204" i="42"/>
  <c r="BD204" i="42"/>
  <c r="BA204" i="42"/>
  <c r="AZ204" i="42"/>
  <c r="BN239" i="42"/>
  <c r="BN240" i="42" s="1"/>
  <c r="BN238" i="42"/>
  <c r="AD392" i="42" s="1"/>
  <c r="O69" i="34"/>
  <c r="O71" i="34"/>
  <c r="P68" i="34"/>
  <c r="O70" i="34"/>
  <c r="BP34" i="39"/>
  <c r="EC309" i="39" s="1"/>
  <c r="CT32" i="43"/>
  <c r="J311" i="42"/>
  <c r="I320" i="39"/>
  <c r="I54" i="38"/>
  <c r="I319" i="39"/>
  <c r="I53" i="38"/>
  <c r="BD239" i="42"/>
  <c r="BD240" i="42" s="1"/>
  <c r="BD238" i="42"/>
  <c r="T392" i="42" s="1"/>
  <c r="AR207" i="42"/>
  <c r="BL207" i="42"/>
  <c r="AZ207" i="42"/>
  <c r="BH207" i="42"/>
  <c r="AV207" i="42"/>
  <c r="BD207" i="42"/>
  <c r="R19" i="29"/>
  <c r="R12" i="29"/>
  <c r="O12" i="29"/>
  <c r="O19" i="29"/>
  <c r="Q19" i="29"/>
  <c r="Q12" i="29"/>
  <c r="AN47" i="40"/>
  <c r="AN15" i="40"/>
  <c r="BR34" i="39"/>
  <c r="EG309" i="39" s="1"/>
  <c r="CT34" i="43"/>
  <c r="AS146" i="42"/>
  <c r="AS147" i="42"/>
  <c r="CV10" i="43" s="1"/>
  <c r="CU10" i="43"/>
  <c r="J157" i="41"/>
  <c r="BE10" i="43" s="1"/>
  <c r="I390" i="42"/>
  <c r="AS233" i="42"/>
  <c r="AT35" i="39"/>
  <c r="CK310" i="39" s="1"/>
  <c r="H53" i="38"/>
  <c r="H319" i="39"/>
  <c r="F19" i="29"/>
  <c r="S19" i="29" s="1"/>
  <c r="F12" i="29"/>
  <c r="CU12" i="43"/>
  <c r="AU146" i="42"/>
  <c r="AU233" i="42"/>
  <c r="AZ216" i="42" s="1"/>
  <c r="AV35" i="39"/>
  <c r="CO310" i="39" s="1"/>
  <c r="AU147" i="42"/>
  <c r="CV12" i="43" s="1"/>
  <c r="N157" i="41"/>
  <c r="BE12" i="43" s="1"/>
  <c r="N72" i="34"/>
  <c r="R11" i="44"/>
  <c r="J236" i="42"/>
  <c r="CD137" i="42"/>
  <c r="AC11" i="43"/>
  <c r="J302" i="39"/>
  <c r="CL302" i="39" s="1"/>
  <c r="K149" i="41"/>
  <c r="J140" i="42"/>
  <c r="J138" i="42"/>
  <c r="J89" i="38"/>
  <c r="J181" i="38"/>
  <c r="J21" i="38"/>
  <c r="J22" i="38" s="1"/>
  <c r="I89" i="38"/>
  <c r="I181" i="38"/>
  <c r="I21" i="38"/>
  <c r="I22" i="38" s="1"/>
  <c r="BE238" i="42"/>
  <c r="U392" i="42" s="1"/>
  <c r="BE239" i="42"/>
  <c r="BE240" i="42" s="1"/>
  <c r="P20" i="38"/>
  <c r="CJ136" i="42"/>
  <c r="W148" i="41"/>
  <c r="P311" i="42"/>
  <c r="P301" i="39"/>
  <c r="P234" i="42"/>
  <c r="Q17" i="44"/>
  <c r="AB17" i="43"/>
  <c r="M8" i="31"/>
  <c r="N7" i="31"/>
  <c r="M43" i="31"/>
  <c r="O234" i="42"/>
  <c r="O20" i="38"/>
  <c r="O311" i="42"/>
  <c r="CI136" i="42"/>
  <c r="O301" i="39"/>
  <c r="Q16" i="44"/>
  <c r="AB16" i="43"/>
  <c r="U148" i="41"/>
  <c r="BP239" i="42"/>
  <c r="BP240" i="42" s="1"/>
  <c r="BP238" i="42"/>
  <c r="AF392" i="42" s="1"/>
  <c r="J19" i="29"/>
  <c r="J12" i="29"/>
  <c r="I73" i="34"/>
  <c r="I62" i="34"/>
  <c r="I21" i="34"/>
  <c r="I58" i="34" s="1"/>
  <c r="J20" i="34"/>
  <c r="I57" i="34"/>
  <c r="BS233" i="42"/>
  <c r="BT35" i="39"/>
  <c r="EK310" i="39" s="1"/>
  <c r="BS147" i="42"/>
  <c r="BS146" i="42"/>
  <c r="BJ157" i="41"/>
  <c r="BW31" i="39"/>
  <c r="EQ306" i="39" s="1"/>
  <c r="BW145" i="42"/>
  <c r="BW142" i="42"/>
  <c r="BL238" i="42"/>
  <c r="AB392" i="42" s="1"/>
  <c r="BL239" i="42"/>
  <c r="BL240" i="42" s="1"/>
  <c r="H140" i="42"/>
  <c r="AC9" i="43"/>
  <c r="H138" i="42"/>
  <c r="H302" i="39"/>
  <c r="CH302" i="39" s="1"/>
  <c r="H236" i="42"/>
  <c r="G149" i="41"/>
  <c r="R9" i="44"/>
  <c r="CB137" i="42"/>
  <c r="BH149" i="41" s="1"/>
  <c r="AB14" i="43"/>
  <c r="M311" i="42"/>
  <c r="Q148" i="41"/>
  <c r="M301" i="39"/>
  <c r="M234" i="42"/>
  <c r="Q14" i="44"/>
  <c r="M20" i="38"/>
  <c r="CG136" i="42"/>
  <c r="BF239" i="42"/>
  <c r="BF240" i="42" s="1"/>
  <c r="BF238" i="42"/>
  <c r="V392" i="42" s="1"/>
  <c r="CU32" i="43"/>
  <c r="BO233" i="42"/>
  <c r="AS207" i="42" s="1"/>
  <c r="BO147" i="42"/>
  <c r="CV32" i="43" s="1"/>
  <c r="BO146" i="42"/>
  <c r="BP35" i="39"/>
  <c r="EC310" i="39" s="1"/>
  <c r="J54" i="38"/>
  <c r="J320" i="39"/>
  <c r="J319" i="39"/>
  <c r="J53" i="38"/>
  <c r="CJ301" i="39"/>
  <c r="I362" i="39"/>
  <c r="AZ238" i="42"/>
  <c r="P392" i="42" s="1"/>
  <c r="AZ239" i="42"/>
  <c r="BI205" i="42"/>
  <c r="AZ240" i="42"/>
  <c r="AS205" i="42"/>
  <c r="BA205" i="42"/>
  <c r="BA240" i="42"/>
  <c r="BA238" i="42"/>
  <c r="Q392" i="42" s="1"/>
  <c r="AR206" i="42"/>
  <c r="AZ223" i="42"/>
  <c r="BA239" i="42"/>
  <c r="AV206" i="42"/>
  <c r="BH206" i="42"/>
  <c r="BL206" i="42"/>
  <c r="AZ206" i="42"/>
  <c r="BD206" i="42"/>
  <c r="X14" i="35"/>
  <c r="W19" i="35"/>
  <c r="S52" i="35"/>
  <c r="S73" i="35" s="1"/>
  <c r="T9" i="35"/>
  <c r="T31" i="35" s="1"/>
  <c r="AA233" i="42"/>
  <c r="AK28" i="43"/>
  <c r="AS157" i="41"/>
  <c r="AA310" i="39"/>
  <c r="DT310" i="39" s="1"/>
  <c r="CU145" i="42"/>
  <c r="V28" i="44"/>
  <c r="AA146" i="42"/>
  <c r="AA147" i="42"/>
  <c r="AA307" i="39"/>
  <c r="DT307" i="39" s="1"/>
  <c r="AS154" i="41"/>
  <c r="AH28" i="43"/>
  <c r="AA28" i="38"/>
  <c r="AA29" i="38" s="1"/>
  <c r="AA30" i="38" s="1"/>
  <c r="CU144" i="42"/>
  <c r="AJ28" i="43"/>
  <c r="AS156" i="41"/>
  <c r="U28" i="44"/>
  <c r="AA309" i="39"/>
  <c r="DT309" i="39" s="1"/>
  <c r="AG145" i="42"/>
  <c r="AG309" i="39"/>
  <c r="EF309" i="39" s="1"/>
  <c r="BE156" i="41"/>
  <c r="AJ34" i="43"/>
  <c r="DA144" i="42"/>
  <c r="AG28" i="38"/>
  <c r="AG29" i="38" s="1"/>
  <c r="AG30" i="38" s="1"/>
  <c r="BG153" i="41"/>
  <c r="AH144" i="42"/>
  <c r="AH145" i="42" s="1"/>
  <c r="AH142" i="42"/>
  <c r="DB141" i="42"/>
  <c r="AH306" i="39"/>
  <c r="EH306" i="39" s="1"/>
  <c r="AH26" i="43"/>
  <c r="AO154" i="41"/>
  <c r="Y307" i="39"/>
  <c r="DP307" i="39" s="1"/>
  <c r="AH26" i="38"/>
  <c r="BE154" i="41"/>
  <c r="AH34" i="43"/>
  <c r="AG307" i="39"/>
  <c r="EF307" i="39" s="1"/>
  <c r="CW145" i="42"/>
  <c r="AW157" i="41"/>
  <c r="AC233" i="42"/>
  <c r="AC310" i="39"/>
  <c r="DX310" i="39" s="1"/>
  <c r="AC146" i="42"/>
  <c r="AK30" i="43"/>
  <c r="AC147" i="42"/>
  <c r="AF147" i="42"/>
  <c r="AF146" i="42"/>
  <c r="BC157" i="41"/>
  <c r="CZ145" i="42"/>
  <c r="AK33" i="43"/>
  <c r="AF310" i="39"/>
  <c r="ED310" i="39" s="1"/>
  <c r="AF233" i="42"/>
  <c r="BI158" i="41"/>
  <c r="AI311" i="39"/>
  <c r="EJ311" i="39" s="1"/>
  <c r="CX144" i="42"/>
  <c r="AJ31" i="43"/>
  <c r="AD309" i="39"/>
  <c r="DZ309" i="39" s="1"/>
  <c r="AD28" i="38"/>
  <c r="AD29" i="38" s="1"/>
  <c r="AD30" i="38" s="1"/>
  <c r="AY156" i="41"/>
  <c r="AI312" i="39"/>
  <c r="EJ312" i="39" s="1"/>
  <c r="BI159" i="41"/>
  <c r="AI31" i="38"/>
  <c r="AW154" i="41"/>
  <c r="AC307" i="39"/>
  <c r="DX307" i="39" s="1"/>
  <c r="AH30" i="43"/>
  <c r="CT145" i="42"/>
  <c r="Z146" i="42"/>
  <c r="V27" i="44"/>
  <c r="AQ157" i="41"/>
  <c r="AK27" i="43"/>
  <c r="Z147" i="42"/>
  <c r="Z310" i="39"/>
  <c r="DR310" i="39" s="1"/>
  <c r="Z233" i="42"/>
  <c r="Z307" i="39"/>
  <c r="DR307" i="39" s="1"/>
  <c r="AH27" i="43"/>
  <c r="AQ154" i="41"/>
  <c r="AD26" i="38"/>
  <c r="AE142" i="42"/>
  <c r="BA153" i="41"/>
  <c r="CY141" i="42"/>
  <c r="AE306" i="39"/>
  <c r="EB306" i="39" s="1"/>
  <c r="AG32" i="43"/>
  <c r="AE144" i="42"/>
  <c r="AC309" i="39"/>
  <c r="DX309" i="39" s="1"/>
  <c r="CW144" i="42"/>
  <c r="AC28" i="38"/>
  <c r="AC29" i="38" s="1"/>
  <c r="AC30" i="38" s="1"/>
  <c r="AW156" i="41"/>
  <c r="AJ30" i="43"/>
  <c r="Z28" i="38"/>
  <c r="Z29" i="38" s="1"/>
  <c r="Z30" i="38" s="1"/>
  <c r="AQ156" i="41"/>
  <c r="AJ27" i="43"/>
  <c r="CT144" i="42"/>
  <c r="Z309" i="39"/>
  <c r="DR309" i="39" s="1"/>
  <c r="U27" i="44"/>
  <c r="AF307" i="39"/>
  <c r="ED307" i="39" s="1"/>
  <c r="BC154" i="41"/>
  <c r="AH33" i="43"/>
  <c r="AF26" i="38"/>
  <c r="AB306" i="39"/>
  <c r="DV306" i="39" s="1"/>
  <c r="AU153" i="41"/>
  <c r="AB142" i="42"/>
  <c r="AB144" i="42"/>
  <c r="AB145" i="42" s="1"/>
  <c r="CV141" i="42"/>
  <c r="AG29" i="43"/>
  <c r="AI239" i="42"/>
  <c r="AI240" i="42" s="1"/>
  <c r="BS296" i="42"/>
  <c r="AI296" i="42"/>
  <c r="AI52" i="38"/>
  <c r="AI238" i="42"/>
  <c r="AI318" i="39"/>
  <c r="AC26" i="38"/>
  <c r="AY154" i="41"/>
  <c r="AH31" i="43"/>
  <c r="AD307" i="39"/>
  <c r="DZ307" i="39" s="1"/>
  <c r="AD145" i="42"/>
  <c r="AE26" i="38"/>
  <c r="AB26" i="38"/>
  <c r="AJ33" i="43"/>
  <c r="AF309" i="39"/>
  <c r="ED309" i="39" s="1"/>
  <c r="CZ144" i="42"/>
  <c r="AF28" i="38"/>
  <c r="AF29" i="38" s="1"/>
  <c r="AF30" i="38" s="1"/>
  <c r="BC156" i="41"/>
  <c r="S10" i="35"/>
  <c r="S32" i="35" s="1"/>
  <c r="R53" i="35"/>
  <c r="R74" i="35" s="1"/>
  <c r="P56" i="35"/>
  <c r="P38" i="35"/>
  <c r="O77" i="35"/>
  <c r="O78" i="35" s="1"/>
  <c r="O80" i="35" s="1"/>
  <c r="O57" i="35"/>
  <c r="O59" i="35" s="1"/>
  <c r="O61" i="35" s="1"/>
  <c r="S13" i="35"/>
  <c r="S35" i="35" s="1"/>
  <c r="U12" i="35"/>
  <c r="U34" i="35" s="1"/>
  <c r="T55" i="35"/>
  <c r="T76" i="35" s="1"/>
  <c r="U54" i="35"/>
  <c r="U75" i="35" s="1"/>
  <c r="V11" i="35"/>
  <c r="V33" i="35" s="1"/>
  <c r="Q72" i="35"/>
  <c r="U8" i="35"/>
  <c r="U30" i="35" s="1"/>
  <c r="R51" i="35"/>
  <c r="W11" i="6"/>
  <c r="Z38" i="3"/>
  <c r="AW204" i="42" l="1"/>
  <c r="BE204" i="42"/>
  <c r="BM204" i="42"/>
  <c r="BD208" i="42"/>
  <c r="BL208" i="42"/>
  <c r="AV208" i="42"/>
  <c r="AV202" i="42"/>
  <c r="BD202" i="42"/>
  <c r="BL202" i="42"/>
  <c r="BU35" i="39"/>
  <c r="EN310" i="39" s="1"/>
  <c r="BM157" i="41"/>
  <c r="AZ157" i="41"/>
  <c r="BE31" i="43" s="1"/>
  <c r="BT146" i="42"/>
  <c r="AW205" i="42"/>
  <c r="BE205" i="42"/>
  <c r="BM205" i="42"/>
  <c r="AZ222" i="42"/>
  <c r="BW146" i="42"/>
  <c r="BW35" i="39"/>
  <c r="EQ310" i="39" s="1"/>
  <c r="O7" i="31"/>
  <c r="N43" i="31"/>
  <c r="N8" i="31"/>
  <c r="P53" i="38"/>
  <c r="P319" i="39"/>
  <c r="J305" i="39"/>
  <c r="CL305" i="39" s="1"/>
  <c r="J24" i="38"/>
  <c r="J25" i="38" s="1"/>
  <c r="J26" i="38" s="1"/>
  <c r="J141" i="42"/>
  <c r="K152" i="41"/>
  <c r="CD140" i="42"/>
  <c r="AF11" i="43"/>
  <c r="K390" i="42"/>
  <c r="AS239" i="42"/>
  <c r="AS240" i="42" s="1"/>
  <c r="BA198" i="42"/>
  <c r="AW198" i="42"/>
  <c r="AS238" i="42"/>
  <c r="I392" i="42" s="1"/>
  <c r="BM198" i="42"/>
  <c r="AR198" i="42"/>
  <c r="AZ198" i="42"/>
  <c r="BI198" i="42"/>
  <c r="BH198" i="42"/>
  <c r="AS198" i="42"/>
  <c r="AZ215" i="42"/>
  <c r="BL198" i="42"/>
  <c r="BE198" i="42"/>
  <c r="AV198" i="42"/>
  <c r="BD198" i="42"/>
  <c r="AZ225" i="42"/>
  <c r="Q68" i="34"/>
  <c r="P69" i="34"/>
  <c r="P71" i="34" s="1"/>
  <c r="P70" i="34"/>
  <c r="N390" i="42"/>
  <c r="AR202" i="42"/>
  <c r="N181" i="38"/>
  <c r="N89" i="38"/>
  <c r="L362" i="39"/>
  <c r="CP301" i="39"/>
  <c r="AS199" i="42"/>
  <c r="AZ199" i="42"/>
  <c r="BH199" i="42"/>
  <c r="AZ197" i="42"/>
  <c r="BE197" i="42"/>
  <c r="BI197" i="42"/>
  <c r="R8" i="44"/>
  <c r="G302" i="39"/>
  <c r="CF302" i="39" s="1"/>
  <c r="E149" i="41"/>
  <c r="G236" i="42"/>
  <c r="AC8" i="43"/>
  <c r="G140" i="42"/>
  <c r="G138" i="42"/>
  <c r="CA137" i="42"/>
  <c r="BI203" i="42"/>
  <c r="AW203" i="42"/>
  <c r="BE203" i="42"/>
  <c r="AZ220" i="42"/>
  <c r="K362" i="39"/>
  <c r="CN301" i="39"/>
  <c r="CV8" i="43"/>
  <c r="BW147" i="42"/>
  <c r="BT147" i="42"/>
  <c r="M319" i="39"/>
  <c r="M53" i="38"/>
  <c r="H303" i="39"/>
  <c r="CH303" i="39" s="1"/>
  <c r="G150" i="41"/>
  <c r="AD9" i="43"/>
  <c r="I59" i="34"/>
  <c r="O181" i="38"/>
  <c r="O89" i="38"/>
  <c r="CX301" i="39"/>
  <c r="P362" i="39"/>
  <c r="P89" i="38"/>
  <c r="P181" i="38"/>
  <c r="J321" i="39"/>
  <c r="J55" i="38"/>
  <c r="AZ200" i="42"/>
  <c r="AZ217" i="42"/>
  <c r="AU240" i="42"/>
  <c r="AU238" i="42"/>
  <c r="K392" i="42" s="1"/>
  <c r="AR200" i="42"/>
  <c r="AU239" i="42"/>
  <c r="BD200" i="42"/>
  <c r="AV200" i="42"/>
  <c r="BL200" i="42"/>
  <c r="BH200" i="42"/>
  <c r="BE207" i="42"/>
  <c r="AR208" i="42"/>
  <c r="BI207" i="42"/>
  <c r="AV239" i="42"/>
  <c r="AV238" i="42"/>
  <c r="L392" i="42" s="1"/>
  <c r="BA201" i="42"/>
  <c r="BL201" i="42"/>
  <c r="AV240" i="42"/>
  <c r="BH201" i="42"/>
  <c r="BD201" i="42"/>
  <c r="AS201" i="42"/>
  <c r="AZ218" i="42"/>
  <c r="BI201" i="42"/>
  <c r="AW201" i="42"/>
  <c r="BE201" i="42"/>
  <c r="AZ201" i="42"/>
  <c r="AV201" i="42"/>
  <c r="BM201" i="42"/>
  <c r="AR201" i="42"/>
  <c r="BL199" i="42"/>
  <c r="AR199" i="42"/>
  <c r="I303" i="39"/>
  <c r="CJ303" i="39" s="1"/>
  <c r="AD10" i="43"/>
  <c r="I150" i="41"/>
  <c r="BH197" i="42"/>
  <c r="BM197" i="42"/>
  <c r="AV197" i="42"/>
  <c r="CZ301" i="39"/>
  <c r="Q362" i="39"/>
  <c r="G320" i="39"/>
  <c r="G54" i="38"/>
  <c r="CF301" i="39"/>
  <c r="G362" i="39"/>
  <c r="BL203" i="42"/>
  <c r="AZ203" i="42"/>
  <c r="AR203" i="42"/>
  <c r="BQ239" i="42"/>
  <c r="BQ240" i="42"/>
  <c r="BE208" i="42" s="1"/>
  <c r="BQ238" i="42"/>
  <c r="AG392" i="42" s="1"/>
  <c r="CR301" i="39"/>
  <c r="M362" i="39"/>
  <c r="K20" i="34"/>
  <c r="J73" i="34"/>
  <c r="J21" i="34"/>
  <c r="J58" i="34" s="1"/>
  <c r="J62" i="34"/>
  <c r="J57" i="34"/>
  <c r="J59" i="34" s="1"/>
  <c r="O362" i="39"/>
  <c r="CV301" i="39"/>
  <c r="O319" i="39"/>
  <c r="O53" i="38"/>
  <c r="AN48" i="40"/>
  <c r="AN16" i="40"/>
  <c r="BM207" i="42"/>
  <c r="BH208" i="42"/>
  <c r="AW207" i="42"/>
  <c r="AZ202" i="42"/>
  <c r="N53" i="38"/>
  <c r="N319" i="39"/>
  <c r="N362" i="39"/>
  <c r="CT301" i="39"/>
  <c r="L53" i="38"/>
  <c r="L319" i="39"/>
  <c r="L431" i="42"/>
  <c r="K432" i="42"/>
  <c r="M431" i="42"/>
  <c r="BD199" i="42"/>
  <c r="AV199" i="42"/>
  <c r="BE199" i="42"/>
  <c r="AW199" i="42"/>
  <c r="I141" i="42"/>
  <c r="I152" i="41"/>
  <c r="AF10" i="43"/>
  <c r="I24" i="38"/>
  <c r="I25" i="38" s="1"/>
  <c r="I26" i="38" s="1"/>
  <c r="I305" i="39"/>
  <c r="CJ305" i="39" s="1"/>
  <c r="CC140" i="42"/>
  <c r="AR197" i="42"/>
  <c r="AZ214" i="42"/>
  <c r="AW197" i="42"/>
  <c r="J44" i="31"/>
  <c r="K16" i="31"/>
  <c r="J17" i="31"/>
  <c r="G319" i="39"/>
  <c r="G53" i="38"/>
  <c r="BD203" i="42"/>
  <c r="AS203" i="42"/>
  <c r="K89" i="38"/>
  <c r="K181" i="38"/>
  <c r="K53" i="38"/>
  <c r="K319" i="39"/>
  <c r="AW196" i="42"/>
  <c r="AQ239" i="42"/>
  <c r="AQ240" i="42" s="1"/>
  <c r="AS196" i="42"/>
  <c r="BL196" i="42"/>
  <c r="AV196" i="42"/>
  <c r="AZ213" i="42"/>
  <c r="AQ238" i="42"/>
  <c r="G392" i="42" s="1"/>
  <c r="BD196" i="42"/>
  <c r="BH196" i="42"/>
  <c r="BM196" i="42"/>
  <c r="BE196" i="42"/>
  <c r="BA196" i="42"/>
  <c r="BI196" i="42"/>
  <c r="AZ196" i="42"/>
  <c r="AR196" i="42"/>
  <c r="BO239" i="42"/>
  <c r="BO238" i="42"/>
  <c r="BO240" i="42"/>
  <c r="M181" i="38"/>
  <c r="M89" i="38"/>
  <c r="H321" i="39"/>
  <c r="H55" i="38"/>
  <c r="H141" i="42"/>
  <c r="G152" i="41"/>
  <c r="CB140" i="42"/>
  <c r="BH152" i="41" s="1"/>
  <c r="H305" i="39"/>
  <c r="CH305" i="39" s="1"/>
  <c r="H24" i="38"/>
  <c r="H25" i="38" s="1"/>
  <c r="H26" i="38" s="1"/>
  <c r="AF9" i="43"/>
  <c r="BS240" i="42"/>
  <c r="BS238" i="42"/>
  <c r="AI392" i="42" s="1"/>
  <c r="BS239" i="42"/>
  <c r="J303" i="39"/>
  <c r="CL303" i="39" s="1"/>
  <c r="AD11" i="43"/>
  <c r="K150" i="41"/>
  <c r="BA207" i="42"/>
  <c r="BA208" i="42"/>
  <c r="AZ224" i="42"/>
  <c r="AZ208" i="42"/>
  <c r="O72" i="34"/>
  <c r="BU144" i="42"/>
  <c r="BU34" i="39"/>
  <c r="EN309" i="39" s="1"/>
  <c r="AZ156" i="41"/>
  <c r="BD31" i="43" s="1"/>
  <c r="BM156" i="41"/>
  <c r="BH202" i="42"/>
  <c r="L89" i="38"/>
  <c r="L181" i="38"/>
  <c r="BA199" i="42"/>
  <c r="BI199" i="42"/>
  <c r="BM199" i="42"/>
  <c r="I321" i="39"/>
  <c r="I55" i="38"/>
  <c r="BI238" i="42"/>
  <c r="BA200" i="42" s="1"/>
  <c r="BI239" i="42"/>
  <c r="BI240" i="42" s="1"/>
  <c r="B66" i="40"/>
  <c r="B34" i="40"/>
  <c r="AS197" i="42"/>
  <c r="BA197" i="42"/>
  <c r="BD197" i="42"/>
  <c r="BL197" i="42"/>
  <c r="Q181" i="38"/>
  <c r="Q89" i="38"/>
  <c r="Q53" i="38"/>
  <c r="Q319" i="39"/>
  <c r="AJ20" i="38"/>
  <c r="BK148" i="41"/>
  <c r="AJ301" i="39"/>
  <c r="EL301" i="39" s="1"/>
  <c r="DD136" i="42"/>
  <c r="G181" i="38"/>
  <c r="G89" i="38"/>
  <c r="G21" i="38"/>
  <c r="G22" i="38" s="1"/>
  <c r="AM20" i="38"/>
  <c r="BP148" i="41"/>
  <c r="AM301" i="39"/>
  <c r="EP301" i="39" s="1"/>
  <c r="DF136" i="42"/>
  <c r="BH203" i="42"/>
  <c r="BA203" i="42"/>
  <c r="Y14" i="35"/>
  <c r="X19" i="35"/>
  <c r="T52" i="35"/>
  <c r="T73" i="35" s="1"/>
  <c r="U9" i="35"/>
  <c r="U31" i="35" s="1"/>
  <c r="AS159" i="41"/>
  <c r="AA31" i="38"/>
  <c r="AA312" i="39"/>
  <c r="DT312" i="39" s="1"/>
  <c r="AM28" i="43"/>
  <c r="AA311" i="39"/>
  <c r="DT311" i="39" s="1"/>
  <c r="AS158" i="41"/>
  <c r="AL28" i="43"/>
  <c r="AA296" i="42"/>
  <c r="AA238" i="42"/>
  <c r="BK296" i="42"/>
  <c r="AA52" i="38"/>
  <c r="AA239" i="42"/>
  <c r="AA318" i="39"/>
  <c r="AH307" i="39"/>
  <c r="EH307" i="39" s="1"/>
  <c r="BG154" i="41"/>
  <c r="DA145" i="42"/>
  <c r="BE157" i="41"/>
  <c r="AG310" i="39"/>
  <c r="EF310" i="39" s="1"/>
  <c r="AG233" i="42"/>
  <c r="AG146" i="42"/>
  <c r="AK34" i="43"/>
  <c r="AG147" i="42"/>
  <c r="AH146" i="42"/>
  <c r="AH310" i="39"/>
  <c r="EH310" i="39" s="1"/>
  <c r="AH147" i="42"/>
  <c r="BG157" i="41"/>
  <c r="DB145" i="42"/>
  <c r="AH233" i="42"/>
  <c r="DB144" i="42"/>
  <c r="AH28" i="38"/>
  <c r="AH29" i="38" s="1"/>
  <c r="AH30" i="38" s="1"/>
  <c r="BG156" i="41"/>
  <c r="AH309" i="39"/>
  <c r="EH309" i="39" s="1"/>
  <c r="AQ159" i="41"/>
  <c r="Z312" i="39"/>
  <c r="DR312" i="39" s="1"/>
  <c r="Z31" i="38"/>
  <c r="AM27" i="43"/>
  <c r="AC31" i="38"/>
  <c r="AC312" i="39"/>
  <c r="DX312" i="39" s="1"/>
  <c r="AW159" i="41"/>
  <c r="AM30" i="43"/>
  <c r="CX145" i="42"/>
  <c r="AD146" i="42"/>
  <c r="AD310" i="39"/>
  <c r="DZ310" i="39" s="1"/>
  <c r="AK31" i="43"/>
  <c r="AD233" i="42"/>
  <c r="AY157" i="41"/>
  <c r="AD147" i="42"/>
  <c r="AI323" i="39"/>
  <c r="AI57" i="38"/>
  <c r="AI58" i="38"/>
  <c r="AI324" i="39"/>
  <c r="AU156" i="41"/>
  <c r="CV144" i="42"/>
  <c r="AB309" i="39"/>
  <c r="DV309" i="39" s="1"/>
  <c r="AB28" i="38"/>
  <c r="AB29" i="38" s="1"/>
  <c r="AB30" i="38" s="1"/>
  <c r="AJ29" i="43"/>
  <c r="AE307" i="39"/>
  <c r="EB307" i="39" s="1"/>
  <c r="BA154" i="41"/>
  <c r="AH32" i="43"/>
  <c r="AF318" i="39"/>
  <c r="AF296" i="42"/>
  <c r="AF239" i="42"/>
  <c r="AF240" i="42" s="1"/>
  <c r="BP296" i="42"/>
  <c r="AF52" i="38"/>
  <c r="AF238" i="42"/>
  <c r="AI325" i="39"/>
  <c r="AI59" i="38"/>
  <c r="AB310" i="39"/>
  <c r="DV310" i="39" s="1"/>
  <c r="AU157" i="41"/>
  <c r="AB147" i="42"/>
  <c r="AB146" i="42"/>
  <c r="CV145" i="42"/>
  <c r="AK29" i="43"/>
  <c r="AB233" i="42"/>
  <c r="AJ32" i="43"/>
  <c r="AE28" i="38"/>
  <c r="AE29" i="38" s="1"/>
  <c r="AE30" i="38" s="1"/>
  <c r="BA156" i="41"/>
  <c r="AE309" i="39"/>
  <c r="EB309" i="39" s="1"/>
  <c r="CY144" i="42"/>
  <c r="AE145" i="42"/>
  <c r="AF312" i="39"/>
  <c r="ED312" i="39" s="1"/>
  <c r="BC159" i="41"/>
  <c r="AM33" i="43"/>
  <c r="AF31" i="38"/>
  <c r="AI347" i="39"/>
  <c r="BS347" i="39"/>
  <c r="AS420" i="39" s="1"/>
  <c r="NW2" i="43" s="1"/>
  <c r="Z311" i="39"/>
  <c r="DR311" i="39" s="1"/>
  <c r="AQ158" i="41"/>
  <c r="AL27" i="43"/>
  <c r="AC52" i="38"/>
  <c r="AC239" i="42"/>
  <c r="AC238" i="42"/>
  <c r="AC318" i="39"/>
  <c r="AC296" i="42"/>
  <c r="BM296" i="42"/>
  <c r="AU154" i="41"/>
  <c r="AB307" i="39"/>
  <c r="DV307" i="39" s="1"/>
  <c r="AH29" i="43"/>
  <c r="Z318" i="39"/>
  <c r="BJ296" i="42"/>
  <c r="Z52" i="38"/>
  <c r="Z296" i="42"/>
  <c r="Z239" i="42"/>
  <c r="Z238" i="42"/>
  <c r="AL33" i="43"/>
  <c r="AF311" i="39"/>
  <c r="ED311" i="39" s="1"/>
  <c r="BC158" i="41"/>
  <c r="AW158" i="41"/>
  <c r="AC311" i="39"/>
  <c r="DX311" i="39" s="1"/>
  <c r="AL30" i="43"/>
  <c r="S53" i="35"/>
  <c r="S74" i="35" s="1"/>
  <c r="T10" i="35"/>
  <c r="T32" i="35" s="1"/>
  <c r="P77" i="35"/>
  <c r="P78" i="35" s="1"/>
  <c r="P80" i="35" s="1"/>
  <c r="P57" i="35"/>
  <c r="P59" i="35" s="1"/>
  <c r="K22" i="42"/>
  <c r="K10" i="42"/>
  <c r="O88" i="35"/>
  <c r="R11" i="23" s="1"/>
  <c r="R41" i="23" s="1"/>
  <c r="T13" i="35"/>
  <c r="T35" i="35" s="1"/>
  <c r="K11" i="42"/>
  <c r="T26" i="22"/>
  <c r="O82" i="35"/>
  <c r="O84" i="35" s="1"/>
  <c r="O85" i="35" s="1"/>
  <c r="Q56" i="35"/>
  <c r="Q36" i="35"/>
  <c r="Q38" i="35" s="1"/>
  <c r="V12" i="35"/>
  <c r="V34" i="35" s="1"/>
  <c r="U55" i="35"/>
  <c r="U76" i="35" s="1"/>
  <c r="V54" i="35"/>
  <c r="V75" i="35" s="1"/>
  <c r="W11" i="35"/>
  <c r="W33" i="35" s="1"/>
  <c r="V8" i="35"/>
  <c r="V30" i="35" s="1"/>
  <c r="R72" i="35"/>
  <c r="S51" i="35"/>
  <c r="X11" i="6"/>
  <c r="AA38" i="3"/>
  <c r="AV205" i="42" l="1"/>
  <c r="BD205" i="42"/>
  <c r="BL205" i="42"/>
  <c r="BE200" i="42"/>
  <c r="BM200" i="42"/>
  <c r="AW200" i="42"/>
  <c r="G303" i="39"/>
  <c r="CF303" i="39" s="1"/>
  <c r="AD8" i="43"/>
  <c r="E150" i="41"/>
  <c r="BM208" i="42"/>
  <c r="B67" i="40"/>
  <c r="B35" i="40"/>
  <c r="B68" i="40" s="1"/>
  <c r="L16" i="31"/>
  <c r="K44" i="31"/>
  <c r="K17" i="31"/>
  <c r="L432" i="42"/>
  <c r="M432" i="42"/>
  <c r="K433" i="42"/>
  <c r="CD2" i="43"/>
  <c r="CB12" i="43"/>
  <c r="CD4" i="43"/>
  <c r="CB27" i="43"/>
  <c r="CC29" i="43"/>
  <c r="CA33" i="43"/>
  <c r="CC4" i="43"/>
  <c r="CD26" i="43"/>
  <c r="AW208" i="42"/>
  <c r="G141" i="42"/>
  <c r="CA140" i="42"/>
  <c r="G305" i="39"/>
  <c r="CF305" i="39" s="1"/>
  <c r="AF8" i="43"/>
  <c r="G24" i="38"/>
  <c r="G25" i="38" s="1"/>
  <c r="G26" i="38" s="1"/>
  <c r="E152" i="41"/>
  <c r="M390" i="42"/>
  <c r="CD141" i="42"/>
  <c r="K153" i="41"/>
  <c r="AG11" i="43"/>
  <c r="J142" i="42"/>
  <c r="S11" i="44"/>
  <c r="J144" i="42"/>
  <c r="J306" i="39"/>
  <c r="CL306" i="39" s="1"/>
  <c r="Y392" i="42"/>
  <c r="AR205" i="42"/>
  <c r="AZ205" i="42"/>
  <c r="BH205" i="42"/>
  <c r="Q69" i="34"/>
  <c r="Q71" i="34"/>
  <c r="R68" i="34"/>
  <c r="Q70" i="34"/>
  <c r="P7" i="31"/>
  <c r="O43" i="31"/>
  <c r="O8" i="31"/>
  <c r="H144" i="42"/>
  <c r="H306" i="39"/>
  <c r="CH306" i="39" s="1"/>
  <c r="G153" i="41"/>
  <c r="AG9" i="43"/>
  <c r="CB141" i="42"/>
  <c r="BH153" i="41" s="1"/>
  <c r="H142" i="42"/>
  <c r="S9" i="44"/>
  <c r="H145" i="42"/>
  <c r="AS208" i="42"/>
  <c r="AN49" i="40"/>
  <c r="AN17" i="40"/>
  <c r="BI200" i="42"/>
  <c r="P72" i="34"/>
  <c r="BI208" i="42"/>
  <c r="AE392" i="42"/>
  <c r="BI206" i="42"/>
  <c r="BA206" i="42"/>
  <c r="AS206" i="42"/>
  <c r="K21" i="34"/>
  <c r="K58" i="34" s="1"/>
  <c r="K73" i="34"/>
  <c r="L20" i="34"/>
  <c r="K57" i="34"/>
  <c r="K59" i="34" s="1"/>
  <c r="AS200" i="42"/>
  <c r="BM206" i="42"/>
  <c r="BE206" i="42"/>
  <c r="AW206" i="42"/>
  <c r="I153" i="41"/>
  <c r="S10" i="44"/>
  <c r="I144" i="42"/>
  <c r="AG10" i="43"/>
  <c r="I142" i="42"/>
  <c r="CC141" i="42"/>
  <c r="I306" i="39"/>
  <c r="CJ306" i="39" s="1"/>
  <c r="G55" i="38"/>
  <c r="G321" i="39"/>
  <c r="P390" i="42"/>
  <c r="Z14" i="35"/>
  <c r="Y19" i="35"/>
  <c r="V9" i="35"/>
  <c r="V31" i="35" s="1"/>
  <c r="U52" i="35"/>
  <c r="U73" i="35" s="1"/>
  <c r="AA240" i="42"/>
  <c r="AA324" i="39"/>
  <c r="AA58" i="38"/>
  <c r="BK347" i="39"/>
  <c r="AA347" i="39"/>
  <c r="AA57" i="38"/>
  <c r="AA323" i="39"/>
  <c r="AH31" i="38"/>
  <c r="BG159" i="41"/>
  <c r="AH312" i="39"/>
  <c r="EH312" i="39" s="1"/>
  <c r="BR296" i="42"/>
  <c r="AH238" i="42"/>
  <c r="AH52" i="38"/>
  <c r="AH239" i="42"/>
  <c r="AH240" i="42" s="1"/>
  <c r="AH318" i="39"/>
  <c r="AH296" i="42"/>
  <c r="AL34" i="43"/>
  <c r="AG311" i="39"/>
  <c r="EF311" i="39" s="1"/>
  <c r="BE158" i="41"/>
  <c r="AH311" i="39"/>
  <c r="EH311" i="39" s="1"/>
  <c r="BG158" i="41"/>
  <c r="AG318" i="39"/>
  <c r="BQ296" i="42"/>
  <c r="AG52" i="38"/>
  <c r="AG239" i="42"/>
  <c r="AG238" i="42"/>
  <c r="AG296" i="42"/>
  <c r="AM34" i="43"/>
  <c r="AG31" i="38"/>
  <c r="AG312" i="39"/>
  <c r="EF312" i="39" s="1"/>
  <c r="BE159" i="41"/>
  <c r="AC58" i="38"/>
  <c r="AC324" i="39"/>
  <c r="AE147" i="42"/>
  <c r="AE233" i="42"/>
  <c r="AE146" i="42"/>
  <c r="AE310" i="39"/>
  <c r="EB310" i="39" s="1"/>
  <c r="BA157" i="41"/>
  <c r="AK32" i="43"/>
  <c r="CY145" i="42"/>
  <c r="AC347" i="39"/>
  <c r="BM347" i="39"/>
  <c r="Z57" i="38"/>
  <c r="Z323" i="39"/>
  <c r="AC323" i="39"/>
  <c r="AC57" i="38"/>
  <c r="AB239" i="42"/>
  <c r="AB240" i="42" s="1"/>
  <c r="AB318" i="39"/>
  <c r="BL296" i="42"/>
  <c r="AB238" i="42"/>
  <c r="AB52" i="38"/>
  <c r="AB296" i="42"/>
  <c r="AM29" i="43"/>
  <c r="AB31" i="38"/>
  <c r="AU159" i="41"/>
  <c r="AB312" i="39"/>
  <c r="DV312" i="39" s="1"/>
  <c r="AD31" i="38"/>
  <c r="AM31" i="43"/>
  <c r="AY159" i="41"/>
  <c r="AD312" i="39"/>
  <c r="DZ312" i="39" s="1"/>
  <c r="AF59" i="38"/>
  <c r="AF325" i="39"/>
  <c r="AD296" i="42"/>
  <c r="AD238" i="42"/>
  <c r="BN296" i="42"/>
  <c r="AD239" i="42"/>
  <c r="AD52" i="38"/>
  <c r="AD318" i="39"/>
  <c r="AU158" i="41"/>
  <c r="AL29" i="43"/>
  <c r="AB311" i="39"/>
  <c r="DV311" i="39" s="1"/>
  <c r="AF347" i="39"/>
  <c r="BP347" i="39"/>
  <c r="Z240" i="42"/>
  <c r="Z58" i="38"/>
  <c r="Z324" i="39"/>
  <c r="Z347" i="39"/>
  <c r="BJ347" i="39"/>
  <c r="AC240" i="42"/>
  <c r="AF323" i="39"/>
  <c r="AF57" i="38"/>
  <c r="AF58" i="38"/>
  <c r="AF324" i="39"/>
  <c r="AY158" i="41"/>
  <c r="AD311" i="39"/>
  <c r="DZ311" i="39" s="1"/>
  <c r="AL31" i="43"/>
  <c r="T53" i="35"/>
  <c r="T74" i="35" s="1"/>
  <c r="U10" i="35"/>
  <c r="U32" i="35" s="1"/>
  <c r="T42" i="22"/>
  <c r="T30" i="22"/>
  <c r="U13" i="35"/>
  <c r="U35" i="35" s="1"/>
  <c r="CE22" i="42"/>
  <c r="K131" i="42"/>
  <c r="M21" i="41"/>
  <c r="CE11" i="42"/>
  <c r="M10" i="41"/>
  <c r="Q77" i="35"/>
  <c r="Q78" i="35" s="1"/>
  <c r="Q80" i="35" s="1"/>
  <c r="Q57" i="35"/>
  <c r="Q59" i="35" s="1"/>
  <c r="Q61" i="35" s="1"/>
  <c r="L10" i="42"/>
  <c r="P61" i="35"/>
  <c r="P88" i="35"/>
  <c r="S11" i="23" s="1"/>
  <c r="S41" i="23" s="1"/>
  <c r="R56" i="35"/>
  <c r="R36" i="35"/>
  <c r="R38" i="35" s="1"/>
  <c r="K12" i="42"/>
  <c r="M9" i="41"/>
  <c r="K24" i="42"/>
  <c r="CE10" i="42"/>
  <c r="U26" i="22"/>
  <c r="L11" i="42"/>
  <c r="P82" i="35"/>
  <c r="P84" i="35" s="1"/>
  <c r="P85" i="35" s="1"/>
  <c r="W12" i="35"/>
  <c r="W34" i="35" s="1"/>
  <c r="V55" i="35"/>
  <c r="V76" i="35" s="1"/>
  <c r="W54" i="35"/>
  <c r="W75" i="35" s="1"/>
  <c r="X11" i="35"/>
  <c r="X33" i="35" s="1"/>
  <c r="S72" i="35"/>
  <c r="T51" i="35"/>
  <c r="W8" i="35"/>
  <c r="W30" i="35" s="1"/>
  <c r="Y11" i="6"/>
  <c r="AB38" i="3"/>
  <c r="M20" i="34" l="1"/>
  <c r="L62" i="34"/>
  <c r="L21" i="34"/>
  <c r="L58" i="34" s="1"/>
  <c r="L73" i="34"/>
  <c r="L57" i="34"/>
  <c r="AN18" i="40"/>
  <c r="AN50" i="40"/>
  <c r="K62" i="34"/>
  <c r="AH9" i="43"/>
  <c r="H307" i="39"/>
  <c r="CH307" i="39" s="1"/>
  <c r="G154" i="41"/>
  <c r="Q7" i="31"/>
  <c r="P8" i="31"/>
  <c r="P43" i="31"/>
  <c r="J307" i="39"/>
  <c r="CL307" i="39" s="1"/>
  <c r="K154" i="41"/>
  <c r="AH11" i="43"/>
  <c r="U10" i="44"/>
  <c r="I309" i="39"/>
  <c r="CJ309" i="39" s="1"/>
  <c r="AJ10" i="43"/>
  <c r="I28" i="38"/>
  <c r="I29" i="38" s="1"/>
  <c r="I30" i="38" s="1"/>
  <c r="I156" i="41"/>
  <c r="CC144" i="42"/>
  <c r="R390" i="42"/>
  <c r="I154" i="41"/>
  <c r="AH10" i="43"/>
  <c r="I307" i="39"/>
  <c r="CJ307" i="39" s="1"/>
  <c r="G156" i="41"/>
  <c r="AJ9" i="43"/>
  <c r="H309" i="39"/>
  <c r="CH309" i="39" s="1"/>
  <c r="CB144" i="42"/>
  <c r="BH156" i="41" s="1"/>
  <c r="U9" i="44"/>
  <c r="H28" i="38"/>
  <c r="H29" i="38" s="1"/>
  <c r="H30" i="38" s="1"/>
  <c r="Q72" i="34"/>
  <c r="M433" i="42"/>
  <c r="L433" i="42"/>
  <c r="I145" i="42"/>
  <c r="CB145" i="42"/>
  <c r="BH157" i="41" s="1"/>
  <c r="G157" i="41"/>
  <c r="H310" i="39"/>
  <c r="CH310" i="39" s="1"/>
  <c r="H147" i="42"/>
  <c r="H233" i="42"/>
  <c r="V9" i="44"/>
  <c r="AK9" i="43"/>
  <c r="H146" i="42"/>
  <c r="R69" i="34"/>
  <c r="R71" i="34"/>
  <c r="S68" i="34"/>
  <c r="R70" i="34"/>
  <c r="CD144" i="42"/>
  <c r="K156" i="41"/>
  <c r="AJ11" i="43"/>
  <c r="J309" i="39"/>
  <c r="CL309" i="39" s="1"/>
  <c r="U11" i="44"/>
  <c r="J145" i="42"/>
  <c r="J28" i="38"/>
  <c r="J29" i="38" s="1"/>
  <c r="J30" i="38" s="1"/>
  <c r="O390" i="42"/>
  <c r="G306" i="39"/>
  <c r="CF306" i="39" s="1"/>
  <c r="S8" i="44"/>
  <c r="AG8" i="43"/>
  <c r="G142" i="42"/>
  <c r="E153" i="41"/>
  <c r="CA141" i="42"/>
  <c r="G144" i="42"/>
  <c r="G145" i="42"/>
  <c r="L17" i="31"/>
  <c r="M16" i="31"/>
  <c r="L44" i="31"/>
  <c r="AA14" i="35"/>
  <c r="Z19" i="35"/>
  <c r="W9" i="35"/>
  <c r="W31" i="35" s="1"/>
  <c r="V52" i="35"/>
  <c r="V73" i="35" s="1"/>
  <c r="AA59" i="38"/>
  <c r="AA325" i="39"/>
  <c r="AG323" i="39"/>
  <c r="AG57" i="38"/>
  <c r="AG347" i="39"/>
  <c r="BQ347" i="39"/>
  <c r="AG240" i="42"/>
  <c r="AG58" i="38"/>
  <c r="AG324" i="39"/>
  <c r="AH58" i="38"/>
  <c r="AH324" i="39"/>
  <c r="AH59" i="38"/>
  <c r="AH325" i="39"/>
  <c r="AH347" i="39"/>
  <c r="BR347" i="39"/>
  <c r="AH57" i="38"/>
  <c r="AH323" i="39"/>
  <c r="AB59" i="38"/>
  <c r="AB325" i="39"/>
  <c r="AC59" i="38"/>
  <c r="AC325" i="39"/>
  <c r="AL32" i="43"/>
  <c r="AE311" i="39"/>
  <c r="EB311" i="39" s="1"/>
  <c r="BA158" i="41"/>
  <c r="BN347" i="39"/>
  <c r="AD347" i="39"/>
  <c r="AD323" i="39"/>
  <c r="AD57" i="38"/>
  <c r="BL347" i="39"/>
  <c r="AB347" i="39"/>
  <c r="AE52" i="38"/>
  <c r="AE296" i="42"/>
  <c r="AE239" i="42"/>
  <c r="AE240" i="42" s="1"/>
  <c r="AE238" i="42"/>
  <c r="BO296" i="42"/>
  <c r="AE318" i="39"/>
  <c r="Z59" i="38"/>
  <c r="Z325" i="39"/>
  <c r="AD324" i="39"/>
  <c r="AD58" i="38"/>
  <c r="AB323" i="39"/>
  <c r="AB57" i="38"/>
  <c r="AD240" i="42"/>
  <c r="AB324" i="39"/>
  <c r="AB58" i="38"/>
  <c r="AE312" i="39"/>
  <c r="EB312" i="39" s="1"/>
  <c r="AM32" i="43"/>
  <c r="BA159" i="41"/>
  <c r="AE31" i="38"/>
  <c r="U53" i="35"/>
  <c r="U74" i="35" s="1"/>
  <c r="V10" i="35"/>
  <c r="V32" i="35" s="1"/>
  <c r="K25" i="42"/>
  <c r="CE24" i="42"/>
  <c r="M23" i="41"/>
  <c r="M125" i="41" s="1"/>
  <c r="R77" i="35"/>
  <c r="R78" i="35" s="1"/>
  <c r="R80" i="35" s="1"/>
  <c r="R57" i="35"/>
  <c r="R59" i="35" s="1"/>
  <c r="L12" i="42"/>
  <c r="CF10" i="42"/>
  <c r="O9" i="41"/>
  <c r="S56" i="35"/>
  <c r="S36" i="35"/>
  <c r="S38" i="35" s="1"/>
  <c r="V13" i="35"/>
  <c r="V35" i="35" s="1"/>
  <c r="CF11" i="42"/>
  <c r="O10" i="41"/>
  <c r="Q88" i="35"/>
  <c r="T11" i="23" s="1"/>
  <c r="T41" i="23" s="1"/>
  <c r="M10" i="42"/>
  <c r="K252" i="42"/>
  <c r="K253" i="42" s="1"/>
  <c r="W12" i="43"/>
  <c r="M143" i="41"/>
  <c r="K15" i="38"/>
  <c r="K296" i="39"/>
  <c r="CN296" i="39" s="1"/>
  <c r="K249" i="42"/>
  <c r="K250" i="42" s="1"/>
  <c r="CE131" i="42"/>
  <c r="B168" i="9"/>
  <c r="C168" i="9" s="1"/>
  <c r="P168" i="9" s="1"/>
  <c r="U31" i="22"/>
  <c r="U42" i="22"/>
  <c r="U30" i="22"/>
  <c r="B169" i="9" s="1"/>
  <c r="C169" i="9" s="1"/>
  <c r="Q169" i="9" s="1"/>
  <c r="K16" i="42"/>
  <c r="M11" i="41"/>
  <c r="M119" i="41" s="1"/>
  <c r="CE12" i="42"/>
  <c r="K19" i="42"/>
  <c r="M11" i="42"/>
  <c r="V26" i="22"/>
  <c r="Q82" i="35"/>
  <c r="Q84" i="35" s="1"/>
  <c r="Q85" i="35" s="1"/>
  <c r="R10" i="23"/>
  <c r="T46" i="22"/>
  <c r="T50" i="22"/>
  <c r="T54" i="22" s="1"/>
  <c r="U55" i="22" s="1"/>
  <c r="X12" i="35"/>
  <c r="X34" i="35" s="1"/>
  <c r="W55" i="35"/>
  <c r="W76" i="35" s="1"/>
  <c r="Y11" i="35"/>
  <c r="Y33" i="35" s="1"/>
  <c r="X54" i="35"/>
  <c r="X75" i="35" s="1"/>
  <c r="X8" i="35"/>
  <c r="X30" i="35" s="1"/>
  <c r="U51" i="35"/>
  <c r="T72" i="35"/>
  <c r="AC38" i="3"/>
  <c r="Z11" i="6"/>
  <c r="CB8" i="43" l="1"/>
  <c r="CA32" i="43"/>
  <c r="CC13" i="43"/>
  <c r="CB32" i="43"/>
  <c r="CC16" i="43"/>
  <c r="CD11" i="43"/>
  <c r="CA19" i="43"/>
  <c r="CA22" i="43"/>
  <c r="CD33" i="43"/>
  <c r="CA30" i="43"/>
  <c r="CA4" i="43"/>
  <c r="CC19" i="43"/>
  <c r="CA15" i="43"/>
  <c r="CA13" i="43"/>
  <c r="CC17" i="43"/>
  <c r="CA16" i="43"/>
  <c r="CA24" i="43"/>
  <c r="CA6" i="43"/>
  <c r="CB4" i="43"/>
  <c r="CA8" i="43"/>
  <c r="CB7" i="43"/>
  <c r="CC9" i="43"/>
  <c r="CA18" i="43"/>
  <c r="CA7" i="43"/>
  <c r="CB11" i="43"/>
  <c r="CC25" i="43"/>
  <c r="CD16" i="43"/>
  <c r="CB17" i="43"/>
  <c r="CD24" i="43"/>
  <c r="CA21" i="43"/>
  <c r="CD30" i="43"/>
  <c r="CA12" i="43"/>
  <c r="CB3" i="43"/>
  <c r="CB14" i="43"/>
  <c r="CB2" i="43"/>
  <c r="CC8" i="43"/>
  <c r="CD27" i="43"/>
  <c r="CA27" i="43"/>
  <c r="CD32" i="43"/>
  <c r="CD20" i="43"/>
  <c r="CA31" i="43"/>
  <c r="CB5" i="43"/>
  <c r="CC26" i="43"/>
  <c r="CD9" i="43"/>
  <c r="CB10" i="43"/>
  <c r="CC27" i="43"/>
  <c r="CD28" i="43"/>
  <c r="CA3" i="43"/>
  <c r="CA25" i="43"/>
  <c r="CA2" i="43"/>
  <c r="CB13" i="43"/>
  <c r="CA26" i="43"/>
  <c r="CA5" i="43"/>
  <c r="CC7" i="43"/>
  <c r="CB25" i="43"/>
  <c r="CB16" i="43"/>
  <c r="CC24" i="43"/>
  <c r="CD31" i="43"/>
  <c r="CB28" i="43"/>
  <c r="CD19" i="43"/>
  <c r="CB9" i="43"/>
  <c r="CC21" i="43"/>
  <c r="CB19" i="43"/>
  <c r="CD21" i="43"/>
  <c r="CC11" i="43"/>
  <c r="CD14" i="43"/>
  <c r="CC18" i="43"/>
  <c r="CB26" i="43"/>
  <c r="CD23" i="43"/>
  <c r="CB15" i="43"/>
  <c r="CD6" i="43"/>
  <c r="CA28" i="43"/>
  <c r="CB34" i="43"/>
  <c r="CC32" i="43"/>
  <c r="CA34" i="43"/>
  <c r="CC2" i="43"/>
  <c r="CC33" i="43"/>
  <c r="CD13" i="43"/>
  <c r="CD29" i="43"/>
  <c r="CC31" i="43"/>
  <c r="CA29" i="43"/>
  <c r="CA11" i="43"/>
  <c r="CB24" i="43"/>
  <c r="CB31" i="43"/>
  <c r="CC23" i="43"/>
  <c r="CC14" i="43"/>
  <c r="CA17" i="43"/>
  <c r="CD15" i="43"/>
  <c r="CB23" i="43"/>
  <c r="CC28" i="43"/>
  <c r="CD5" i="43"/>
  <c r="CD22" i="43"/>
  <c r="CB29" i="43"/>
  <c r="CD17" i="43"/>
  <c r="CD18" i="43"/>
  <c r="CD34" i="43"/>
  <c r="CA9" i="43"/>
  <c r="CC34" i="43"/>
  <c r="CB21" i="43"/>
  <c r="CD12" i="43"/>
  <c r="CC15" i="43"/>
  <c r="CC10" i="43"/>
  <c r="CB18" i="43"/>
  <c r="CD10" i="43"/>
  <c r="CC5" i="43"/>
  <c r="CC22" i="43"/>
  <c r="CB20" i="43"/>
  <c r="CA20" i="43"/>
  <c r="CA10" i="43"/>
  <c r="CC30" i="43"/>
  <c r="CA23" i="43"/>
  <c r="CD7" i="43"/>
  <c r="CC6" i="43"/>
  <c r="CD3" i="43"/>
  <c r="CD25" i="43"/>
  <c r="CC3" i="43"/>
  <c r="CB33" i="43"/>
  <c r="CB22" i="43"/>
  <c r="CD8" i="43"/>
  <c r="CB30" i="43"/>
  <c r="CC20" i="43"/>
  <c r="CC12" i="43"/>
  <c r="CB6" i="43"/>
  <c r="CA14" i="43"/>
  <c r="G310" i="39"/>
  <c r="CF310" i="39" s="1"/>
  <c r="CA145" i="42"/>
  <c r="G233" i="42"/>
  <c r="G147" i="42"/>
  <c r="V8" i="44"/>
  <c r="AK8" i="43"/>
  <c r="G146" i="42"/>
  <c r="E157" i="41"/>
  <c r="G307" i="39"/>
  <c r="CF307" i="39" s="1"/>
  <c r="E154" i="41"/>
  <c r="AH8" i="43"/>
  <c r="H296" i="42"/>
  <c r="H52" i="38"/>
  <c r="H318" i="39"/>
  <c r="H238" i="42"/>
  <c r="AR296" i="42"/>
  <c r="H239" i="42"/>
  <c r="T390" i="42"/>
  <c r="V390" i="42" s="1"/>
  <c r="X390" i="42" s="1"/>
  <c r="Z390" i="42" s="1"/>
  <c r="AB390" i="42" s="1"/>
  <c r="AD390" i="42" s="1"/>
  <c r="AF390" i="42" s="1"/>
  <c r="AH390" i="42" s="1"/>
  <c r="AN19" i="40"/>
  <c r="AN51" i="40"/>
  <c r="Q390" i="42"/>
  <c r="H398" i="42"/>
  <c r="CA144" i="42"/>
  <c r="U8" i="44"/>
  <c r="AJ8" i="43"/>
  <c r="G309" i="39"/>
  <c r="CF309" i="39" s="1"/>
  <c r="G28" i="38"/>
  <c r="G29" i="38" s="1"/>
  <c r="G30" i="38" s="1"/>
  <c r="E156" i="41"/>
  <c r="R72" i="34"/>
  <c r="AL9" i="43"/>
  <c r="H311" i="39"/>
  <c r="CH311" i="39" s="1"/>
  <c r="G158" i="41"/>
  <c r="H312" i="39"/>
  <c r="CH312" i="39" s="1"/>
  <c r="AM9" i="43"/>
  <c r="H31" i="38"/>
  <c r="G159" i="41"/>
  <c r="AK10" i="43"/>
  <c r="I146" i="42"/>
  <c r="I310" i="39"/>
  <c r="CJ310" i="39" s="1"/>
  <c r="I147" i="42"/>
  <c r="I157" i="41"/>
  <c r="I233" i="42"/>
  <c r="V10" i="44"/>
  <c r="CC145" i="42"/>
  <c r="L59" i="34"/>
  <c r="M62" i="34"/>
  <c r="M21" i="34"/>
  <c r="M58" i="34" s="1"/>
  <c r="M73" i="34"/>
  <c r="N20" i="34"/>
  <c r="M57" i="34"/>
  <c r="M59" i="34" s="1"/>
  <c r="J146" i="42"/>
  <c r="AK11" i="43"/>
  <c r="J310" i="39"/>
  <c r="CL310" i="39" s="1"/>
  <c r="J147" i="42"/>
  <c r="J233" i="42"/>
  <c r="CD145" i="42"/>
  <c r="V11" i="44"/>
  <c r="K157" i="41"/>
  <c r="M17" i="31"/>
  <c r="N16" i="31"/>
  <c r="M44" i="31"/>
  <c r="H397" i="42"/>
  <c r="T68" i="34"/>
  <c r="S69" i="34"/>
  <c r="S71" i="34"/>
  <c r="S70" i="34"/>
  <c r="Q43" i="31"/>
  <c r="R7" i="31"/>
  <c r="Q8" i="31"/>
  <c r="AB14" i="35"/>
  <c r="AA19" i="35"/>
  <c r="X9" i="35"/>
  <c r="X31" i="35" s="1"/>
  <c r="W52" i="35"/>
  <c r="W73" i="35" s="1"/>
  <c r="Q154" i="9"/>
  <c r="Q148" i="9" s="1"/>
  <c r="AG325" i="39"/>
  <c r="AG59" i="38"/>
  <c r="AE59" i="38"/>
  <c r="AE325" i="39"/>
  <c r="AD325" i="39"/>
  <c r="AD59" i="38"/>
  <c r="AE347" i="39"/>
  <c r="BO347" i="39"/>
  <c r="AE57" i="38"/>
  <c r="AE323" i="39"/>
  <c r="AE324" i="39"/>
  <c r="AE58" i="38"/>
  <c r="W10" i="35"/>
  <c r="W32" i="35" s="1"/>
  <c r="V53" i="35"/>
  <c r="V74" i="35" s="1"/>
  <c r="W169" i="9"/>
  <c r="V42" i="22"/>
  <c r="V30" i="22"/>
  <c r="M135" i="41"/>
  <c r="L12" i="43"/>
  <c r="I12" i="44"/>
  <c r="L19" i="42"/>
  <c r="O11" i="41"/>
  <c r="O119" i="41" s="1"/>
  <c r="CF12" i="42"/>
  <c r="L16" i="42"/>
  <c r="Q8" i="3"/>
  <c r="U47" i="22"/>
  <c r="CG11" i="42"/>
  <c r="Q10" i="41"/>
  <c r="CE16" i="42"/>
  <c r="M15" i="41"/>
  <c r="M123" i="41" s="1"/>
  <c r="K127" i="42"/>
  <c r="P154" i="9"/>
  <c r="W168" i="9"/>
  <c r="Q9" i="41"/>
  <c r="CG10" i="42"/>
  <c r="M12" i="42"/>
  <c r="S77" i="35"/>
  <c r="S78" i="35" s="1"/>
  <c r="S80" i="35" s="1"/>
  <c r="S57" i="35"/>
  <c r="S59" i="35" s="1"/>
  <c r="R61" i="35"/>
  <c r="R88" i="35"/>
  <c r="U11" i="23" s="1"/>
  <c r="U41" i="23" s="1"/>
  <c r="N10" i="42"/>
  <c r="M24" i="41"/>
  <c r="CE25" i="42"/>
  <c r="R12" i="23"/>
  <c r="R14" i="23"/>
  <c r="R40" i="23"/>
  <c r="R45" i="23" s="1"/>
  <c r="CE19" i="42"/>
  <c r="M18" i="41"/>
  <c r="M124" i="41" s="1"/>
  <c r="K130" i="42"/>
  <c r="R82" i="35"/>
  <c r="R84" i="35" s="1"/>
  <c r="R85" i="35" s="1"/>
  <c r="N11" i="42"/>
  <c r="W26" i="22"/>
  <c r="S10" i="23"/>
  <c r="U50" i="22"/>
  <c r="U54" i="22" s="1"/>
  <c r="U46" i="22"/>
  <c r="R8" i="3" s="1"/>
  <c r="R26" i="3" s="1"/>
  <c r="W13" i="35"/>
  <c r="W35" i="35" s="1"/>
  <c r="M126" i="41"/>
  <c r="N126" i="41" s="1"/>
  <c r="T56" i="35"/>
  <c r="T36" i="35"/>
  <c r="T38" i="35" s="1"/>
  <c r="Y12" i="35"/>
  <c r="Y34" i="35" s="1"/>
  <c r="X55" i="35"/>
  <c r="X76" i="35" s="1"/>
  <c r="Z11" i="35"/>
  <c r="Z33" i="35" s="1"/>
  <c r="Y54" i="35"/>
  <c r="Y75" i="35" s="1"/>
  <c r="Y8" i="35"/>
  <c r="Y30" i="35" s="1"/>
  <c r="V51" i="35"/>
  <c r="U72" i="35"/>
  <c r="AD38" i="3"/>
  <c r="AA11" i="6"/>
  <c r="I158" i="41" l="1"/>
  <c r="AL10" i="43"/>
  <c r="I311" i="39"/>
  <c r="CJ311" i="39" s="1"/>
  <c r="H324" i="39"/>
  <c r="H58" i="38"/>
  <c r="H240" i="42"/>
  <c r="N73" i="34"/>
  <c r="N62" i="34"/>
  <c r="O20" i="34"/>
  <c r="N21" i="34"/>
  <c r="N58" i="34" s="1"/>
  <c r="N57" i="34"/>
  <c r="N59" i="34" s="1"/>
  <c r="E158" i="41"/>
  <c r="G311" i="39"/>
  <c r="CF311" i="39" s="1"/>
  <c r="AL8" i="43"/>
  <c r="G52" i="38"/>
  <c r="G318" i="39"/>
  <c r="AQ296" i="42"/>
  <c r="G296" i="42"/>
  <c r="G238" i="42"/>
  <c r="G239" i="42"/>
  <c r="T69" i="34"/>
  <c r="T71" i="34"/>
  <c r="U68" i="34"/>
  <c r="T70" i="34"/>
  <c r="N44" i="31"/>
  <c r="O16" i="31"/>
  <c r="N17" i="31"/>
  <c r="I159" i="41"/>
  <c r="I312" i="39"/>
  <c r="CJ312" i="39" s="1"/>
  <c r="AM10" i="43"/>
  <c r="I31" i="38"/>
  <c r="H323" i="39"/>
  <c r="H57" i="38"/>
  <c r="K159" i="41"/>
  <c r="AM11" i="43"/>
  <c r="J31" i="38"/>
  <c r="J312" i="39"/>
  <c r="CL312" i="39" s="1"/>
  <c r="S7" i="31"/>
  <c r="R8" i="31"/>
  <c r="R43" i="31"/>
  <c r="H400" i="42"/>
  <c r="S72" i="34"/>
  <c r="AT296" i="42"/>
  <c r="J52" i="38"/>
  <c r="J318" i="39"/>
  <c r="J239" i="42"/>
  <c r="J238" i="42"/>
  <c r="J296" i="42"/>
  <c r="AL11" i="43"/>
  <c r="K158" i="41"/>
  <c r="J311" i="39"/>
  <c r="CL311" i="39" s="1"/>
  <c r="H399" i="42"/>
  <c r="H347" i="39"/>
  <c r="AR347" i="39"/>
  <c r="I239" i="42"/>
  <c r="I240" i="42" s="1"/>
  <c r="I238" i="42"/>
  <c r="I52" i="38"/>
  <c r="I318" i="39"/>
  <c r="AS296" i="42"/>
  <c r="I296" i="42"/>
  <c r="S390" i="42"/>
  <c r="H402" i="42"/>
  <c r="AN52" i="40"/>
  <c r="AN20" i="40"/>
  <c r="G312" i="39"/>
  <c r="CF312" i="39" s="1"/>
  <c r="AM8" i="43"/>
  <c r="G31" i="38"/>
  <c r="E159" i="41"/>
  <c r="AC14" i="35"/>
  <c r="AB19" i="35"/>
  <c r="Q149" i="9"/>
  <c r="X52" i="35"/>
  <c r="X73" i="35" s="1"/>
  <c r="Y9" i="35"/>
  <c r="Y31" i="35" s="1"/>
  <c r="Q147" i="9"/>
  <c r="X10" i="35"/>
  <c r="X32" i="35" s="1"/>
  <c r="W53" i="35"/>
  <c r="W74" i="35" s="1"/>
  <c r="P4" i="30"/>
  <c r="R24" i="3"/>
  <c r="S18" i="28"/>
  <c r="P16" i="6"/>
  <c r="K128" i="42"/>
  <c r="M140" i="41"/>
  <c r="Q12" i="43"/>
  <c r="K292" i="39"/>
  <c r="CN292" i="39" s="1"/>
  <c r="J12" i="44"/>
  <c r="K246" i="42"/>
  <c r="K247" i="42" s="1"/>
  <c r="K255" i="42" s="1"/>
  <c r="CE127" i="42"/>
  <c r="K11" i="38"/>
  <c r="K17" i="38" s="1"/>
  <c r="K18" i="38" s="1"/>
  <c r="K133" i="42"/>
  <c r="T77" i="35"/>
  <c r="T78" i="35" s="1"/>
  <c r="T80" i="35" s="1"/>
  <c r="T57" i="35"/>
  <c r="T59" i="35" s="1"/>
  <c r="W42" i="22"/>
  <c r="W30" i="22"/>
  <c r="U56" i="35"/>
  <c r="U36" i="35"/>
  <c r="U38" i="35" s="1"/>
  <c r="O10" i="42"/>
  <c r="S61" i="35"/>
  <c r="S88" i="35"/>
  <c r="V11" i="23" s="1"/>
  <c r="V41" i="23" s="1"/>
  <c r="I13" i="44"/>
  <c r="L13" i="43"/>
  <c r="O135" i="41"/>
  <c r="S10" i="41"/>
  <c r="CH11" i="42"/>
  <c r="K295" i="39"/>
  <c r="CN295" i="39" s="1"/>
  <c r="K14" i="38"/>
  <c r="K12" i="44"/>
  <c r="V12" i="43"/>
  <c r="S9" i="41"/>
  <c r="CH10" i="42"/>
  <c r="N12" i="42"/>
  <c r="X26" i="22"/>
  <c r="S82" i="35"/>
  <c r="S84" i="35" s="1"/>
  <c r="S85" i="35" s="1"/>
  <c r="O11" i="42"/>
  <c r="O4" i="30"/>
  <c r="O7" i="30" s="1"/>
  <c r="Q41" i="3"/>
  <c r="R18" i="28"/>
  <c r="Q11" i="3"/>
  <c r="Q26" i="3"/>
  <c r="Q24" i="3"/>
  <c r="O16" i="6"/>
  <c r="O17" i="6" s="1"/>
  <c r="Q34" i="3"/>
  <c r="O18" i="41"/>
  <c r="O124" i="41" s="1"/>
  <c r="L130" i="42"/>
  <c r="CF19" i="42"/>
  <c r="B170" i="9"/>
  <c r="C170" i="9" s="1"/>
  <c r="R170" i="9" s="1"/>
  <c r="V31" i="22"/>
  <c r="X13" i="35"/>
  <c r="X35" i="35" s="1"/>
  <c r="S12" i="23"/>
  <c r="S40" i="23"/>
  <c r="R42" i="23"/>
  <c r="R13" i="23"/>
  <c r="M19" i="42"/>
  <c r="CG12" i="42"/>
  <c r="Q11" i="41"/>
  <c r="Q119" i="41" s="1"/>
  <c r="M16" i="42"/>
  <c r="P147" i="9"/>
  <c r="P148" i="9"/>
  <c r="P149" i="9"/>
  <c r="CF16" i="42"/>
  <c r="L127" i="42"/>
  <c r="O15" i="41"/>
  <c r="O123" i="41" s="1"/>
  <c r="T10" i="23"/>
  <c r="V50" i="22"/>
  <c r="V54" i="22" s="1"/>
  <c r="V55" i="22" s="1"/>
  <c r="V46" i="22"/>
  <c r="Z12" i="35"/>
  <c r="Z34" i="35" s="1"/>
  <c r="Y55" i="35"/>
  <c r="Y76" i="35" s="1"/>
  <c r="AA11" i="35"/>
  <c r="AA33" i="35" s="1"/>
  <c r="Z54" i="35"/>
  <c r="Z75" i="35" s="1"/>
  <c r="Z8" i="35"/>
  <c r="Z30" i="35" s="1"/>
  <c r="V72" i="35"/>
  <c r="W51" i="35"/>
  <c r="R33" i="3"/>
  <c r="S27" i="28"/>
  <c r="AB11" i="6"/>
  <c r="AE38" i="3"/>
  <c r="AF38" i="3" s="1"/>
  <c r="I59" i="38" l="1"/>
  <c r="I325" i="39"/>
  <c r="I347" i="39"/>
  <c r="AS347" i="39"/>
  <c r="H401" i="42"/>
  <c r="AN21" i="40"/>
  <c r="AN53" i="40"/>
  <c r="J323" i="39"/>
  <c r="J57" i="38"/>
  <c r="T72" i="34"/>
  <c r="G240" i="42"/>
  <c r="G58" i="38"/>
  <c r="G324" i="39"/>
  <c r="AQ347" i="39"/>
  <c r="G347" i="39"/>
  <c r="H59" i="38"/>
  <c r="H325" i="39"/>
  <c r="U390" i="42"/>
  <c r="H403" i="42" s="1"/>
  <c r="I398" i="42"/>
  <c r="I323" i="39"/>
  <c r="I57" i="38"/>
  <c r="J240" i="42"/>
  <c r="J324" i="39"/>
  <c r="J58" i="38"/>
  <c r="T7" i="31"/>
  <c r="S8" i="31"/>
  <c r="S43" i="31"/>
  <c r="U69" i="34"/>
  <c r="U71" i="34"/>
  <c r="U70" i="34"/>
  <c r="G323" i="39"/>
  <c r="G57" i="38"/>
  <c r="O62" i="34"/>
  <c r="O21" i="34"/>
  <c r="O58" i="34" s="1"/>
  <c r="O73" i="34"/>
  <c r="P20" i="34"/>
  <c r="O57" i="34"/>
  <c r="O59" i="34" s="1"/>
  <c r="I58" i="38"/>
  <c r="I324" i="39"/>
  <c r="AT347" i="39"/>
  <c r="J347" i="39"/>
  <c r="O17" i="31"/>
  <c r="P16" i="31"/>
  <c r="O44" i="31"/>
  <c r="H404" i="42"/>
  <c r="I397" i="42"/>
  <c r="AD14" i="35"/>
  <c r="AD19" i="35" s="1"/>
  <c r="AC19" i="35"/>
  <c r="Z9" i="35"/>
  <c r="Z31" i="35" s="1"/>
  <c r="Y52" i="35"/>
  <c r="Y73" i="35" s="1"/>
  <c r="Y10" i="35"/>
  <c r="Y32" i="35" s="1"/>
  <c r="X53" i="35"/>
  <c r="X74" i="35" s="1"/>
  <c r="P17" i="6"/>
  <c r="CG19" i="42"/>
  <c r="M130" i="42"/>
  <c r="Q18" i="41"/>
  <c r="Q124" i="41" s="1"/>
  <c r="S42" i="23"/>
  <c r="L22" i="42" s="1"/>
  <c r="S13" i="23"/>
  <c r="S14" i="23" s="1"/>
  <c r="R27" i="28"/>
  <c r="Q33" i="3"/>
  <c r="Y26" i="22"/>
  <c r="P11" i="42"/>
  <c r="T82" i="35"/>
  <c r="T84" i="35" s="1"/>
  <c r="T85" i="35" s="1"/>
  <c r="B172" i="9"/>
  <c r="C172" i="9" s="1"/>
  <c r="T172" i="9" s="1"/>
  <c r="B171" i="9"/>
  <c r="C171" i="9" s="1"/>
  <c r="S171" i="9" s="1"/>
  <c r="W171" i="9" s="1"/>
  <c r="B174" i="9"/>
  <c r="C174" i="9" s="1"/>
  <c r="V174" i="9" s="1"/>
  <c r="W31" i="22"/>
  <c r="B173" i="9"/>
  <c r="C173" i="9" s="1"/>
  <c r="U173" i="9" s="1"/>
  <c r="S8" i="3"/>
  <c r="V47" i="22"/>
  <c r="Q15" i="41"/>
  <c r="Q123" i="41" s="1"/>
  <c r="M127" i="42"/>
  <c r="CG16" i="42"/>
  <c r="W170" i="9"/>
  <c r="R154" i="9"/>
  <c r="U10" i="41"/>
  <c r="CI11" i="42"/>
  <c r="T12" i="23"/>
  <c r="T42" i="23" s="1"/>
  <c r="M22" i="42" s="1"/>
  <c r="Q21" i="41" s="1"/>
  <c r="T40" i="23"/>
  <c r="L14" i="43"/>
  <c r="I14" i="44"/>
  <c r="Q135" i="41"/>
  <c r="U9" i="41"/>
  <c r="O12" i="42"/>
  <c r="CI10" i="42"/>
  <c r="W46" i="22"/>
  <c r="W50" i="22"/>
  <c r="W54" i="22" s="1"/>
  <c r="W55" i="22" s="1"/>
  <c r="U10" i="23"/>
  <c r="K134" i="42"/>
  <c r="N12" i="44"/>
  <c r="Y12" i="43"/>
  <c r="K298" i="39"/>
  <c r="CN298" i="39" s="1"/>
  <c r="CE133" i="42"/>
  <c r="M145" i="41"/>
  <c r="K12" i="38"/>
  <c r="M141" i="41"/>
  <c r="R12" i="43" s="1"/>
  <c r="K293" i="39"/>
  <c r="CN293" i="39" s="1"/>
  <c r="L11" i="38"/>
  <c r="CF127" i="42"/>
  <c r="Q13" i="43"/>
  <c r="L246" i="42"/>
  <c r="L247" i="42" s="1"/>
  <c r="L292" i="39"/>
  <c r="CP292" i="39" s="1"/>
  <c r="L128" i="42"/>
  <c r="O140" i="41"/>
  <c r="J13" i="44"/>
  <c r="N19" i="42"/>
  <c r="CH12" i="42"/>
  <c r="N16" i="42"/>
  <c r="S11" i="41"/>
  <c r="S119" i="41" s="1"/>
  <c r="U77" i="35"/>
  <c r="U78" i="35" s="1"/>
  <c r="U80" i="35" s="1"/>
  <c r="U57" i="35"/>
  <c r="U59" i="35" s="1"/>
  <c r="V56" i="35"/>
  <c r="V36" i="35"/>
  <c r="V38" i="35" s="1"/>
  <c r="Y13" i="35"/>
  <c r="Y35" i="35" s="1"/>
  <c r="K13" i="44"/>
  <c r="L295" i="39"/>
  <c r="CP295" i="39" s="1"/>
  <c r="L14" i="38"/>
  <c r="V13" i="43"/>
  <c r="X42" i="22"/>
  <c r="X30" i="22"/>
  <c r="T88" i="35"/>
  <c r="W11" i="23" s="1"/>
  <c r="W41" i="23" s="1"/>
  <c r="T61" i="35"/>
  <c r="P10" i="42"/>
  <c r="AA12" i="35"/>
  <c r="AA34" i="35" s="1"/>
  <c r="Z55" i="35"/>
  <c r="Z76" i="35" s="1"/>
  <c r="AB11" i="35"/>
  <c r="AB33" i="35" s="1"/>
  <c r="AA54" i="35"/>
  <c r="AA75" i="35" s="1"/>
  <c r="S13" i="28"/>
  <c r="S9" i="28" s="1"/>
  <c r="S15" i="28"/>
  <c r="L135" i="42"/>
  <c r="P8" i="30"/>
  <c r="R34" i="3"/>
  <c r="X51" i="35"/>
  <c r="W72" i="35"/>
  <c r="AA8" i="35"/>
  <c r="AA30" i="35" s="1"/>
  <c r="AC11" i="6"/>
  <c r="AN54" i="40" l="1"/>
  <c r="AN22" i="40"/>
  <c r="U72" i="34"/>
  <c r="C12" i="34" s="1"/>
  <c r="C75" i="34"/>
  <c r="J59" i="38"/>
  <c r="J325" i="39"/>
  <c r="W390" i="42"/>
  <c r="I399" i="42"/>
  <c r="H406" i="42"/>
  <c r="P17" i="31"/>
  <c r="Q16" i="31"/>
  <c r="P44" i="31"/>
  <c r="P62" i="34"/>
  <c r="Q20" i="34"/>
  <c r="P21" i="34"/>
  <c r="P58" i="34" s="1"/>
  <c r="P73" i="34"/>
  <c r="P57" i="34"/>
  <c r="P59" i="34" s="1"/>
  <c r="U7" i="31"/>
  <c r="T43" i="31"/>
  <c r="T8" i="31"/>
  <c r="G325" i="39"/>
  <c r="G59" i="38"/>
  <c r="Z52" i="35"/>
  <c r="Z73" i="35" s="1"/>
  <c r="AA9" i="35"/>
  <c r="AA31" i="35" s="1"/>
  <c r="CG22" i="42"/>
  <c r="Y53" i="35"/>
  <c r="Y74" i="35" s="1"/>
  <c r="Z10" i="35"/>
  <c r="Z32" i="35" s="1"/>
  <c r="M24" i="42"/>
  <c r="CG24" i="42" s="1"/>
  <c r="M131" i="42"/>
  <c r="M252" i="42" s="1"/>
  <c r="W155" i="9"/>
  <c r="X163" i="9" s="1"/>
  <c r="M138" i="9" s="1"/>
  <c r="T154" i="9"/>
  <c r="T148" i="9" s="1"/>
  <c r="S154" i="9"/>
  <c r="S149" i="9" s="1"/>
  <c r="U61" i="35"/>
  <c r="Q10" i="42"/>
  <c r="U88" i="35"/>
  <c r="X11" i="23" s="1"/>
  <c r="X41" i="23" s="1"/>
  <c r="L12" i="38"/>
  <c r="L293" i="39"/>
  <c r="CP293" i="39" s="1"/>
  <c r="O141" i="41"/>
  <c r="R13" i="43" s="1"/>
  <c r="CG127" i="42"/>
  <c r="M128" i="42"/>
  <c r="J14" i="44"/>
  <c r="Q14" i="43"/>
  <c r="M246" i="42"/>
  <c r="Q140" i="41"/>
  <c r="M11" i="38"/>
  <c r="M292" i="39"/>
  <c r="CR292" i="39" s="1"/>
  <c r="Y30" i="22"/>
  <c r="Y42" i="22"/>
  <c r="O21" i="41"/>
  <c r="L131" i="42"/>
  <c r="CF22" i="42"/>
  <c r="L24" i="42"/>
  <c r="Z13" i="35"/>
  <c r="Z35" i="35" s="1"/>
  <c r="S18" i="41"/>
  <c r="S124" i="41" s="1"/>
  <c r="N130" i="42"/>
  <c r="CH19" i="42"/>
  <c r="T8" i="3"/>
  <c r="W47" i="22"/>
  <c r="R147" i="9"/>
  <c r="R149" i="9"/>
  <c r="R148" i="9"/>
  <c r="O8" i="30"/>
  <c r="K135" i="42"/>
  <c r="R13" i="28"/>
  <c r="R9" i="28" s="1"/>
  <c r="R15" i="28"/>
  <c r="Y31" i="22"/>
  <c r="X31" i="22"/>
  <c r="L15" i="43"/>
  <c r="I15" i="44"/>
  <c r="S135" i="41"/>
  <c r="Z12" i="43"/>
  <c r="M146" i="41"/>
  <c r="O12" i="44"/>
  <c r="K299" i="39"/>
  <c r="CN299" i="39" s="1"/>
  <c r="W56" i="35"/>
  <c r="W36" i="35"/>
  <c r="W38" i="35" s="1"/>
  <c r="K14" i="44"/>
  <c r="M14" i="38"/>
  <c r="M295" i="39"/>
  <c r="CR295" i="39" s="1"/>
  <c r="V14" i="43"/>
  <c r="Q11" i="42"/>
  <c r="U82" i="35"/>
  <c r="U84" i="35" s="1"/>
  <c r="U85" i="35" s="1"/>
  <c r="Z26" i="22"/>
  <c r="AJ10" i="42"/>
  <c r="P12" i="42"/>
  <c r="CJ10" i="42"/>
  <c r="W9" i="41"/>
  <c r="X46" i="22"/>
  <c r="V10" i="23"/>
  <c r="X50" i="22"/>
  <c r="X54" i="22" s="1"/>
  <c r="X55" i="22" s="1"/>
  <c r="V77" i="35"/>
  <c r="V78" i="35" s="1"/>
  <c r="V80" i="35" s="1"/>
  <c r="V57" i="35"/>
  <c r="V59" i="35" s="1"/>
  <c r="S15" i="41"/>
  <c r="S123" i="41" s="1"/>
  <c r="CH16" i="42"/>
  <c r="N127" i="42"/>
  <c r="U40" i="23"/>
  <c r="U12" i="23"/>
  <c r="CI12" i="42"/>
  <c r="O19" i="42"/>
  <c r="U11" i="41"/>
  <c r="U119" i="41" s="1"/>
  <c r="O16" i="42"/>
  <c r="T13" i="23"/>
  <c r="T14" i="23" s="1"/>
  <c r="T18" i="28"/>
  <c r="Q16" i="6"/>
  <c r="Q17" i="6" s="1"/>
  <c r="S26" i="3"/>
  <c r="Q4" i="30"/>
  <c r="S24" i="3"/>
  <c r="CJ11" i="42"/>
  <c r="W10" i="41"/>
  <c r="AB12" i="35"/>
  <c r="AB34" i="35" s="1"/>
  <c r="AA55" i="35"/>
  <c r="AA76" i="35" s="1"/>
  <c r="AB54" i="35"/>
  <c r="AB75" i="35" s="1"/>
  <c r="AC11" i="35"/>
  <c r="AC33" i="35" s="1"/>
  <c r="AB8" i="35"/>
  <c r="AB30" i="35" s="1"/>
  <c r="L19" i="38"/>
  <c r="O147" i="41"/>
  <c r="L300" i="39"/>
  <c r="L309" i="42"/>
  <c r="CF135" i="42"/>
  <c r="AA13" i="43"/>
  <c r="P13" i="44"/>
  <c r="L235" i="42"/>
  <c r="Y51" i="35"/>
  <c r="X72" i="35"/>
  <c r="AD11" i="6"/>
  <c r="Q17" i="31" l="1"/>
  <c r="Q44" i="31"/>
  <c r="R16" i="31"/>
  <c r="U8" i="31"/>
  <c r="U43" i="31"/>
  <c r="G13" i="34" s="1"/>
  <c r="Q62" i="34"/>
  <c r="Q73" i="34"/>
  <c r="Q21" i="34"/>
  <c r="Q58" i="34" s="1"/>
  <c r="R20" i="34"/>
  <c r="Q57" i="34"/>
  <c r="Q59" i="34" s="1"/>
  <c r="Y390" i="42"/>
  <c r="I400" i="42"/>
  <c r="I402" i="42"/>
  <c r="H405" i="42"/>
  <c r="H408" i="42"/>
  <c r="AN23" i="40"/>
  <c r="AN55" i="40"/>
  <c r="I401" i="42"/>
  <c r="W14" i="43"/>
  <c r="AA52" i="35"/>
  <c r="AA73" i="35" s="1"/>
  <c r="AB9" i="35"/>
  <c r="AB31" i="35" s="1"/>
  <c r="M249" i="42"/>
  <c r="Q143" i="41"/>
  <c r="M15" i="38"/>
  <c r="M17" i="38" s="1"/>
  <c r="M18" i="38" s="1"/>
  <c r="M296" i="39"/>
  <c r="CR296" i="39" s="1"/>
  <c r="Q23" i="41"/>
  <c r="Q125" i="41" s="1"/>
  <c r="Q126" i="41" s="1"/>
  <c r="R126" i="41" s="1"/>
  <c r="CG131" i="42"/>
  <c r="M25" i="42"/>
  <c r="Q24" i="41" s="1"/>
  <c r="K138" i="9"/>
  <c r="M133" i="42"/>
  <c r="CG133" i="42" s="1"/>
  <c r="E138" i="9"/>
  <c r="AA10" i="35"/>
  <c r="AA32" i="35" s="1"/>
  <c r="Z53" i="35"/>
  <c r="Z74" i="35" s="1"/>
  <c r="X160" i="9"/>
  <c r="V135" i="9" s="1"/>
  <c r="V138" i="9"/>
  <c r="R138" i="9"/>
  <c r="D138" i="9"/>
  <c r="G138" i="9"/>
  <c r="U138" i="9"/>
  <c r="J138" i="9"/>
  <c r="X171" i="9"/>
  <c r="G146" i="9" s="1"/>
  <c r="X167" i="9"/>
  <c r="F142" i="9" s="1"/>
  <c r="P138" i="9"/>
  <c r="I138" i="9"/>
  <c r="H138" i="9"/>
  <c r="N138" i="9"/>
  <c r="X164" i="9"/>
  <c r="V139" i="9" s="1"/>
  <c r="Q138" i="9"/>
  <c r="F138" i="9"/>
  <c r="L138" i="9"/>
  <c r="O138" i="9"/>
  <c r="X174" i="9"/>
  <c r="X159" i="9"/>
  <c r="D134" i="9" s="1"/>
  <c r="X166" i="9"/>
  <c r="P141" i="9" s="1"/>
  <c r="X161" i="9"/>
  <c r="S136" i="9" s="1"/>
  <c r="X165" i="9"/>
  <c r="V140" i="9" s="1"/>
  <c r="X169" i="9"/>
  <c r="K144" i="9" s="1"/>
  <c r="X157" i="9"/>
  <c r="K132" i="9" s="1"/>
  <c r="X158" i="9"/>
  <c r="H133" i="9" s="1"/>
  <c r="X156" i="9"/>
  <c r="P131" i="9" s="1"/>
  <c r="T149" i="9"/>
  <c r="W149" i="9" s="1"/>
  <c r="X173" i="9"/>
  <c r="X170" i="9"/>
  <c r="Q145" i="9" s="1"/>
  <c r="X172" i="9"/>
  <c r="X162" i="9"/>
  <c r="O137" i="9" s="1"/>
  <c r="X168" i="9"/>
  <c r="F143" i="9" s="1"/>
  <c r="S148" i="9"/>
  <c r="W148" i="9" s="1"/>
  <c r="T138" i="9"/>
  <c r="T147" i="9"/>
  <c r="S147" i="9"/>
  <c r="S138" i="9"/>
  <c r="AA13" i="35"/>
  <c r="AA35" i="35" s="1"/>
  <c r="S33" i="3"/>
  <c r="T27" i="28"/>
  <c r="CI16" i="42"/>
  <c r="U15" i="41"/>
  <c r="U123" i="41" s="1"/>
  <c r="O127" i="42"/>
  <c r="U42" i="23"/>
  <c r="N22" i="42" s="1"/>
  <c r="U13" i="23"/>
  <c r="U14" i="23" s="1"/>
  <c r="V40" i="23"/>
  <c r="V12" i="23"/>
  <c r="CJ12" i="42"/>
  <c r="P16" i="42"/>
  <c r="W11" i="41"/>
  <c r="W119" i="41" s="1"/>
  <c r="P19" i="42"/>
  <c r="AJ12" i="42"/>
  <c r="Z42" i="22"/>
  <c r="Z30" i="22"/>
  <c r="Z31" i="22" s="1"/>
  <c r="M147" i="41"/>
  <c r="P12" i="44"/>
  <c r="K137" i="42"/>
  <c r="K309" i="42"/>
  <c r="K235" i="42"/>
  <c r="K19" i="38"/>
  <c r="CE135" i="42"/>
  <c r="K300" i="39"/>
  <c r="AA12" i="43"/>
  <c r="V15" i="43"/>
  <c r="K15" i="44"/>
  <c r="N14" i="38"/>
  <c r="N295" i="39"/>
  <c r="CT295" i="39" s="1"/>
  <c r="CF24" i="42"/>
  <c r="O23" i="41"/>
  <c r="O125" i="41" s="1"/>
  <c r="O126" i="41" s="1"/>
  <c r="P126" i="41" s="1"/>
  <c r="L25" i="42"/>
  <c r="Y50" i="22"/>
  <c r="Y54" i="22" s="1"/>
  <c r="Y55" i="22" s="1"/>
  <c r="Y46" i="22"/>
  <c r="W10" i="23"/>
  <c r="M293" i="39"/>
  <c r="CR293" i="39" s="1"/>
  <c r="Q141" i="41"/>
  <c r="R14" i="43" s="1"/>
  <c r="M12" i="38"/>
  <c r="U135" i="41"/>
  <c r="I16" i="44"/>
  <c r="L16" i="43"/>
  <c r="V88" i="35"/>
  <c r="Y11" i="23" s="1"/>
  <c r="Y41" i="23" s="1"/>
  <c r="R10" i="42"/>
  <c r="V61" i="35"/>
  <c r="X47" i="22"/>
  <c r="U8" i="3"/>
  <c r="BK9" i="41"/>
  <c r="DD10" i="42"/>
  <c r="W77" i="35"/>
  <c r="W78" i="35" s="1"/>
  <c r="W80" i="35" s="1"/>
  <c r="W57" i="35"/>
  <c r="W59" i="35" s="1"/>
  <c r="M247" i="42"/>
  <c r="X56" i="35"/>
  <c r="X36" i="35"/>
  <c r="X38" i="35" s="1"/>
  <c r="U18" i="41"/>
  <c r="U124" i="41" s="1"/>
  <c r="CI19" i="42"/>
  <c r="O130" i="42"/>
  <c r="J15" i="44"/>
  <c r="N292" i="39"/>
  <c r="CT292" i="39" s="1"/>
  <c r="S140" i="41"/>
  <c r="N246" i="42"/>
  <c r="N247" i="42" s="1"/>
  <c r="Q15" i="43"/>
  <c r="N128" i="42"/>
  <c r="CH127" i="42"/>
  <c r="N11" i="38"/>
  <c r="AA26" i="22"/>
  <c r="R11" i="42"/>
  <c r="V82" i="35"/>
  <c r="V84" i="35" s="1"/>
  <c r="V85" i="35" s="1"/>
  <c r="Y10" i="41"/>
  <c r="CK11" i="42"/>
  <c r="T26" i="3"/>
  <c r="R16" i="6"/>
  <c r="R17" i="6" s="1"/>
  <c r="U18" i="28"/>
  <c r="R4" i="30"/>
  <c r="T24" i="3"/>
  <c r="W13" i="43"/>
  <c r="L133" i="42"/>
  <c r="L296" i="39"/>
  <c r="CP296" i="39" s="1"/>
  <c r="L249" i="42"/>
  <c r="L250" i="42" s="1"/>
  <c r="CF131" i="42"/>
  <c r="L252" i="42"/>
  <c r="L253" i="42" s="1"/>
  <c r="O143" i="41"/>
  <c r="L15" i="38"/>
  <c r="L17" i="38" s="1"/>
  <c r="L18" i="38" s="1"/>
  <c r="CK10" i="42"/>
  <c r="Q12" i="42"/>
  <c r="Y9" i="41"/>
  <c r="AC12" i="35"/>
  <c r="AC34" i="35" s="1"/>
  <c r="AB55" i="35"/>
  <c r="AB76" i="35" s="1"/>
  <c r="AD11" i="35"/>
  <c r="AC54" i="35"/>
  <c r="AC75" i="35" s="1"/>
  <c r="Z51" i="35"/>
  <c r="L360" i="39"/>
  <c r="CP300" i="39"/>
  <c r="Y72" i="35"/>
  <c r="L87" i="38"/>
  <c r="L179" i="38"/>
  <c r="L320" i="39"/>
  <c r="L54" i="38"/>
  <c r="AC8" i="35"/>
  <c r="AC30" i="35" s="1"/>
  <c r="AA390" i="42" l="1"/>
  <c r="I403" i="42"/>
  <c r="H407" i="42"/>
  <c r="S16" i="31"/>
  <c r="R17" i="31"/>
  <c r="R44" i="31"/>
  <c r="AD33" i="35"/>
  <c r="AD54" i="35" s="1"/>
  <c r="AD75" i="35" s="1"/>
  <c r="AN24" i="40"/>
  <c r="AN56" i="40"/>
  <c r="R62" i="34"/>
  <c r="R21" i="34"/>
  <c r="R58" i="34" s="1"/>
  <c r="R73" i="34"/>
  <c r="S20" i="34"/>
  <c r="R57" i="34"/>
  <c r="N14" i="44"/>
  <c r="O135" i="9"/>
  <c r="M134" i="42"/>
  <c r="Z14" i="43" s="1"/>
  <c r="U135" i="9"/>
  <c r="I142" i="9"/>
  <c r="R135" i="9"/>
  <c r="AB52" i="35"/>
  <c r="AB73" i="35" s="1"/>
  <c r="AC9" i="35"/>
  <c r="AC31" i="35" s="1"/>
  <c r="K142" i="9"/>
  <c r="CG25" i="42"/>
  <c r="N142" i="9"/>
  <c r="T135" i="9"/>
  <c r="P135" i="9"/>
  <c r="J142" i="9"/>
  <c r="G132" i="9"/>
  <c r="Q146" i="9"/>
  <c r="T146" i="9"/>
  <c r="V146" i="9"/>
  <c r="T137" i="9"/>
  <c r="G134" i="9"/>
  <c r="R146" i="9"/>
  <c r="W147" i="9"/>
  <c r="O146" i="9"/>
  <c r="Q145" i="41"/>
  <c r="Q142" i="9"/>
  <c r="G142" i="9"/>
  <c r="K135" i="9"/>
  <c r="S141" i="9"/>
  <c r="N135" i="9"/>
  <c r="M141" i="9"/>
  <c r="R142" i="9"/>
  <c r="G135" i="9"/>
  <c r="S135" i="9"/>
  <c r="M135" i="9"/>
  <c r="H135" i="9"/>
  <c r="R145" i="9"/>
  <c r="F135" i="9"/>
  <c r="T145" i="9"/>
  <c r="M132" i="9"/>
  <c r="M298" i="39"/>
  <c r="CR298" i="39" s="1"/>
  <c r="L142" i="9"/>
  <c r="O142" i="9"/>
  <c r="D142" i="9"/>
  <c r="E142" i="9"/>
  <c r="I132" i="9"/>
  <c r="E135" i="9"/>
  <c r="M142" i="9"/>
  <c r="S132" i="9"/>
  <c r="Q135" i="9"/>
  <c r="F132" i="9"/>
  <c r="T132" i="9"/>
  <c r="I141" i="9"/>
  <c r="S142" i="9"/>
  <c r="Y14" i="43"/>
  <c r="U142" i="9"/>
  <c r="H142" i="9"/>
  <c r="T142" i="9"/>
  <c r="V142" i="9"/>
  <c r="Q132" i="9"/>
  <c r="D135" i="9"/>
  <c r="P142" i="9"/>
  <c r="V132" i="9"/>
  <c r="L135" i="9"/>
  <c r="I135" i="9"/>
  <c r="U132" i="9"/>
  <c r="L141" i="9"/>
  <c r="T141" i="9"/>
  <c r="J141" i="9"/>
  <c r="K141" i="9"/>
  <c r="J135" i="9"/>
  <c r="U141" i="9"/>
  <c r="I139" i="9"/>
  <c r="H145" i="9"/>
  <c r="F139" i="9"/>
  <c r="L145" i="9"/>
  <c r="N134" i="9"/>
  <c r="F146" i="9"/>
  <c r="O134" i="9"/>
  <c r="AB10" i="35"/>
  <c r="AB32" i="35" s="1"/>
  <c r="AA53" i="35"/>
  <c r="AA74" i="35" s="1"/>
  <c r="F134" i="9"/>
  <c r="E146" i="9"/>
  <c r="N132" i="9"/>
  <c r="I146" i="9"/>
  <c r="L132" i="9"/>
  <c r="N146" i="9"/>
  <c r="J132" i="9"/>
  <c r="K146" i="9"/>
  <c r="I134" i="9"/>
  <c r="H132" i="9"/>
  <c r="P132" i="9"/>
  <c r="E132" i="9"/>
  <c r="P146" i="9"/>
  <c r="P134" i="9"/>
  <c r="Q134" i="9"/>
  <c r="U146" i="9"/>
  <c r="T134" i="9"/>
  <c r="L146" i="9"/>
  <c r="D132" i="9"/>
  <c r="S146" i="9"/>
  <c r="J146" i="9"/>
  <c r="O132" i="9"/>
  <c r="H146" i="9"/>
  <c r="R132" i="9"/>
  <c r="V137" i="9"/>
  <c r="D146" i="9"/>
  <c r="M146" i="9"/>
  <c r="J139" i="9"/>
  <c r="H139" i="9"/>
  <c r="Q139" i="9"/>
  <c r="L139" i="9"/>
  <c r="O139" i="9"/>
  <c r="T139" i="9"/>
  <c r="S139" i="9"/>
  <c r="U139" i="9"/>
  <c r="K139" i="9"/>
  <c r="G139" i="9"/>
  <c r="U144" i="9"/>
  <c r="K134" i="9"/>
  <c r="S134" i="9"/>
  <c r="D139" i="9"/>
  <c r="E134" i="9"/>
  <c r="H141" i="9"/>
  <c r="R141" i="9"/>
  <c r="O141" i="9"/>
  <c r="Q141" i="9"/>
  <c r="H134" i="9"/>
  <c r="R139" i="9"/>
  <c r="E139" i="9"/>
  <c r="P139" i="9"/>
  <c r="M139" i="9"/>
  <c r="J134" i="9"/>
  <c r="N139" i="9"/>
  <c r="V134" i="9"/>
  <c r="M134" i="9"/>
  <c r="R134" i="9"/>
  <c r="U134" i="9"/>
  <c r="F141" i="9"/>
  <c r="I133" i="9"/>
  <c r="E141" i="9"/>
  <c r="L134" i="9"/>
  <c r="S144" i="9"/>
  <c r="N140" i="9"/>
  <c r="G145" i="9"/>
  <c r="V145" i="9"/>
  <c r="G141" i="9"/>
  <c r="D141" i="9"/>
  <c r="N145" i="9"/>
  <c r="P144" i="9"/>
  <c r="Q144" i="9"/>
  <c r="R144" i="9"/>
  <c r="M144" i="9"/>
  <c r="T140" i="9"/>
  <c r="P140" i="9"/>
  <c r="Q140" i="9"/>
  <c r="H140" i="9"/>
  <c r="I140" i="9"/>
  <c r="L140" i="9"/>
  <c r="I144" i="9"/>
  <c r="E145" i="9"/>
  <c r="L144" i="9"/>
  <c r="O144" i="9"/>
  <c r="F144" i="9"/>
  <c r="K145" i="9"/>
  <c r="H144" i="9"/>
  <c r="V144" i="9"/>
  <c r="S140" i="9"/>
  <c r="G140" i="9"/>
  <c r="K140" i="9"/>
  <c r="M140" i="9"/>
  <c r="E140" i="9"/>
  <c r="U140" i="9"/>
  <c r="D136" i="9"/>
  <c r="M136" i="9"/>
  <c r="O136" i="9"/>
  <c r="P136" i="9"/>
  <c r="L136" i="9"/>
  <c r="V136" i="9"/>
  <c r="J136" i="9"/>
  <c r="K136" i="9"/>
  <c r="U136" i="9"/>
  <c r="H136" i="9"/>
  <c r="G136" i="9"/>
  <c r="F136" i="9"/>
  <c r="E136" i="9"/>
  <c r="N136" i="9"/>
  <c r="R136" i="9"/>
  <c r="I136" i="9"/>
  <c r="Q136" i="9"/>
  <c r="J145" i="9"/>
  <c r="D144" i="9"/>
  <c r="J144" i="9"/>
  <c r="P145" i="9"/>
  <c r="E144" i="9"/>
  <c r="R131" i="9"/>
  <c r="D145" i="9"/>
  <c r="G144" i="9"/>
  <c r="T144" i="9"/>
  <c r="M131" i="9"/>
  <c r="S145" i="9"/>
  <c r="N144" i="9"/>
  <c r="F140" i="9"/>
  <c r="O140" i="9"/>
  <c r="T136" i="9"/>
  <c r="R140" i="9"/>
  <c r="D140" i="9"/>
  <c r="J140" i="9"/>
  <c r="V141" i="9"/>
  <c r="N141" i="9"/>
  <c r="V131" i="9"/>
  <c r="G131" i="9"/>
  <c r="U133" i="9"/>
  <c r="K133" i="9"/>
  <c r="O133" i="9"/>
  <c r="L133" i="9"/>
  <c r="F133" i="9"/>
  <c r="E133" i="9"/>
  <c r="M133" i="9"/>
  <c r="N133" i="9"/>
  <c r="Q133" i="9"/>
  <c r="T133" i="9"/>
  <c r="I145" i="9"/>
  <c r="F145" i="9"/>
  <c r="U131" i="9"/>
  <c r="F131" i="9"/>
  <c r="R137" i="9"/>
  <c r="L131" i="9"/>
  <c r="G133" i="9"/>
  <c r="J133" i="9"/>
  <c r="D133" i="9"/>
  <c r="K131" i="9"/>
  <c r="Q131" i="9"/>
  <c r="T131" i="9"/>
  <c r="S133" i="9"/>
  <c r="V133" i="9"/>
  <c r="S131" i="9"/>
  <c r="P133" i="9"/>
  <c r="R133" i="9"/>
  <c r="S143" i="9"/>
  <c r="I143" i="9"/>
  <c r="U137" i="9"/>
  <c r="O131" i="9"/>
  <c r="K137" i="9"/>
  <c r="I131" i="9"/>
  <c r="P137" i="9"/>
  <c r="E131" i="9"/>
  <c r="N131" i="9"/>
  <c r="J131" i="9"/>
  <c r="H137" i="9"/>
  <c r="H131" i="9"/>
  <c r="D131" i="9"/>
  <c r="G137" i="9"/>
  <c r="I137" i="9"/>
  <c r="N137" i="9"/>
  <c r="V143" i="9"/>
  <c r="S137" i="9"/>
  <c r="W138" i="9"/>
  <c r="O143" i="9"/>
  <c r="M137" i="9"/>
  <c r="D137" i="9"/>
  <c r="F137" i="9"/>
  <c r="L143" i="9"/>
  <c r="U143" i="9"/>
  <c r="H143" i="9"/>
  <c r="E137" i="9"/>
  <c r="L137" i="9"/>
  <c r="J137" i="9"/>
  <c r="Q137" i="9"/>
  <c r="P143" i="9"/>
  <c r="R143" i="9"/>
  <c r="D143" i="9"/>
  <c r="E143" i="9"/>
  <c r="G143" i="9"/>
  <c r="Q143" i="9"/>
  <c r="K143" i="9"/>
  <c r="N143" i="9"/>
  <c r="M143" i="9"/>
  <c r="T143" i="9"/>
  <c r="J143" i="9"/>
  <c r="U145" i="9"/>
  <c r="M145" i="9"/>
  <c r="O145" i="9"/>
  <c r="M253" i="42"/>
  <c r="L255" i="42"/>
  <c r="M250" i="42"/>
  <c r="L21" i="38"/>
  <c r="L22" i="38" s="1"/>
  <c r="AA42" i="22"/>
  <c r="AA30" i="22"/>
  <c r="O24" i="41"/>
  <c r="CF25" i="42"/>
  <c r="CN300" i="39"/>
  <c r="K360" i="39"/>
  <c r="CK12" i="42"/>
  <c r="Y11" i="41"/>
  <c r="Y119" i="41" s="1"/>
  <c r="Q19" i="42"/>
  <c r="Q16" i="42"/>
  <c r="N13" i="44"/>
  <c r="O145" i="41"/>
  <c r="L298" i="39"/>
  <c r="CP298" i="39" s="1"/>
  <c r="L134" i="42"/>
  <c r="Y13" i="43"/>
  <c r="CF133" i="42"/>
  <c r="L137" i="42"/>
  <c r="T33" i="3"/>
  <c r="U27" i="28"/>
  <c r="CL11" i="42"/>
  <c r="AA10" i="41"/>
  <c r="S141" i="41"/>
  <c r="R15" i="43" s="1"/>
  <c r="N293" i="39"/>
  <c r="CT293" i="39" s="1"/>
  <c r="N12" i="38"/>
  <c r="AA9" i="41"/>
  <c r="CL10" i="42"/>
  <c r="R12" i="42"/>
  <c r="K320" i="39"/>
  <c r="K54" i="38"/>
  <c r="AJ19" i="42"/>
  <c r="P130" i="42"/>
  <c r="CJ19" i="42"/>
  <c r="W18" i="41"/>
  <c r="W124" i="41" s="1"/>
  <c r="V42" i="23"/>
  <c r="O22" i="42" s="1"/>
  <c r="V13" i="23"/>
  <c r="V14" i="23" s="1"/>
  <c r="J16" i="44"/>
  <c r="CI127" i="42"/>
  <c r="U140" i="41"/>
  <c r="O11" i="38"/>
  <c r="Q16" i="43"/>
  <c r="O292" i="39"/>
  <c r="CV292" i="39" s="1"/>
  <c r="O246" i="42"/>
  <c r="O128" i="42"/>
  <c r="M135" i="42"/>
  <c r="Q8" i="30"/>
  <c r="T13" i="28"/>
  <c r="T9" i="28" s="1"/>
  <c r="S34" i="3"/>
  <c r="T15" i="28"/>
  <c r="S4" i="30"/>
  <c r="U26" i="3"/>
  <c r="S16" i="6"/>
  <c r="S17" i="6" s="1"/>
  <c r="U24" i="3"/>
  <c r="V18" i="28"/>
  <c r="L17" i="43"/>
  <c r="I17" i="44"/>
  <c r="W135" i="41"/>
  <c r="K16" i="44"/>
  <c r="O14" i="38"/>
  <c r="V16" i="43"/>
  <c r="O295" i="39"/>
  <c r="CV295" i="39" s="1"/>
  <c r="X77" i="35"/>
  <c r="X78" i="35" s="1"/>
  <c r="X80" i="35" s="1"/>
  <c r="X57" i="35"/>
  <c r="X59" i="35" s="1"/>
  <c r="S11" i="42"/>
  <c r="W82" i="35"/>
  <c r="W84" i="35" s="1"/>
  <c r="W85" i="35" s="1"/>
  <c r="AB26" i="22"/>
  <c r="W12" i="23"/>
  <c r="W40" i="23"/>
  <c r="K236" i="42"/>
  <c r="K140" i="42"/>
  <c r="R12" i="44"/>
  <c r="CE137" i="42"/>
  <c r="M149" i="41"/>
  <c r="AC12" i="43"/>
  <c r="K138" i="42"/>
  <c r="K302" i="39"/>
  <c r="CN302" i="39" s="1"/>
  <c r="Z50" i="22"/>
  <c r="Z54" i="22" s="1"/>
  <c r="Z55" i="22" s="1"/>
  <c r="Z46" i="22"/>
  <c r="W8" i="3" s="1"/>
  <c r="U4" i="30" s="1"/>
  <c r="X10" i="23"/>
  <c r="P127" i="42"/>
  <c r="W15" i="41"/>
  <c r="W123" i="41" s="1"/>
  <c r="CJ16" i="42"/>
  <c r="AB13" i="35"/>
  <c r="AB35" i="35" s="1"/>
  <c r="W61" i="35"/>
  <c r="W88" i="35"/>
  <c r="Z11" i="23" s="1"/>
  <c r="Z41" i="23" s="1"/>
  <c r="S10" i="42"/>
  <c r="Y56" i="35"/>
  <c r="Y36" i="35"/>
  <c r="Y38" i="35" s="1"/>
  <c r="Y47" i="22"/>
  <c r="V8" i="3"/>
  <c r="K87" i="38"/>
  <c r="K179" i="38"/>
  <c r="K21" i="38"/>
  <c r="K22" i="38" s="1"/>
  <c r="L378" i="42"/>
  <c r="DD12" i="42"/>
  <c r="AJ11" i="42"/>
  <c r="BK11" i="41"/>
  <c r="BK119" i="41" s="1"/>
  <c r="BK135" i="41" s="1"/>
  <c r="N131" i="42"/>
  <c r="N24" i="42"/>
  <c r="CH22" i="42"/>
  <c r="S21" i="41"/>
  <c r="AD12" i="35"/>
  <c r="AC55" i="35"/>
  <c r="AC76" i="35" s="1"/>
  <c r="AD8" i="35"/>
  <c r="AD30" i="35" s="1"/>
  <c r="AA51" i="35"/>
  <c r="Z72" i="35"/>
  <c r="AD34" i="35" l="1"/>
  <c r="AD55" i="35" s="1"/>
  <c r="AD76" i="35" s="1"/>
  <c r="T20" i="34"/>
  <c r="S73" i="34"/>
  <c r="S62" i="34"/>
  <c r="S21" i="34"/>
  <c r="S58" i="34" s="1"/>
  <c r="S57" i="34"/>
  <c r="S59" i="34" s="1"/>
  <c r="AN25" i="40"/>
  <c r="AN57" i="40"/>
  <c r="T16" i="31"/>
  <c r="S17" i="31"/>
  <c r="S44" i="31"/>
  <c r="R59" i="34"/>
  <c r="AC390" i="42"/>
  <c r="I404" i="42"/>
  <c r="H409" i="42"/>
  <c r="I405" i="42"/>
  <c r="M299" i="39"/>
  <c r="CR299" i="39" s="1"/>
  <c r="O14" i="44"/>
  <c r="Q146" i="41"/>
  <c r="AC52" i="35"/>
  <c r="AC73" i="35" s="1"/>
  <c r="AD9" i="35"/>
  <c r="W135" i="9"/>
  <c r="W142" i="9"/>
  <c r="W146" i="9"/>
  <c r="W132" i="9"/>
  <c r="W134" i="9"/>
  <c r="AB53" i="35"/>
  <c r="AB74" i="35" s="1"/>
  <c r="AC10" i="35"/>
  <c r="AC32" i="35" s="1"/>
  <c r="W139" i="9"/>
  <c r="W144" i="9"/>
  <c r="W141" i="9"/>
  <c r="V151" i="9"/>
  <c r="X27" i="23" s="1"/>
  <c r="X28" i="23" s="1"/>
  <c r="R151" i="9"/>
  <c r="T27" i="23" s="1"/>
  <c r="T43" i="23" s="1"/>
  <c r="S9" i="3" s="1"/>
  <c r="W140" i="9"/>
  <c r="W136" i="9"/>
  <c r="H151" i="9"/>
  <c r="G14" i="6" s="1"/>
  <c r="J36" i="28" s="1"/>
  <c r="F151" i="9"/>
  <c r="E14" i="6" s="1"/>
  <c r="H36" i="28" s="1"/>
  <c r="W24" i="3"/>
  <c r="M255" i="42"/>
  <c r="T151" i="9"/>
  <c r="S14" i="6" s="1"/>
  <c r="V36" i="28" s="1"/>
  <c r="L151" i="9"/>
  <c r="K14" i="6" s="1"/>
  <c r="N36" i="28" s="1"/>
  <c r="P151" i="9"/>
  <c r="R27" i="23" s="1"/>
  <c r="R28" i="23" s="1"/>
  <c r="R44" i="23" s="1"/>
  <c r="S151" i="9"/>
  <c r="U27" i="23" s="1"/>
  <c r="U43" i="23" s="1"/>
  <c r="T9" i="3" s="1"/>
  <c r="T10" i="3" s="1"/>
  <c r="W133" i="9"/>
  <c r="G151" i="9"/>
  <c r="F14" i="6" s="1"/>
  <c r="I36" i="28" s="1"/>
  <c r="W26" i="3"/>
  <c r="W33" i="3" s="1"/>
  <c r="U16" i="6"/>
  <c r="Q151" i="9"/>
  <c r="P14" i="6" s="1"/>
  <c r="S36" i="28" s="1"/>
  <c r="W131" i="9"/>
  <c r="E151" i="9"/>
  <c r="C18" i="29" s="1"/>
  <c r="C21" i="29" s="1"/>
  <c r="D151" i="9"/>
  <c r="F27" i="23" s="1"/>
  <c r="W145" i="9"/>
  <c r="M151" i="9"/>
  <c r="K18" i="29" s="1"/>
  <c r="K21" i="29" s="1"/>
  <c r="O151" i="9"/>
  <c r="N14" i="6" s="1"/>
  <c r="Q36" i="28" s="1"/>
  <c r="N151" i="9"/>
  <c r="M14" i="6" s="1"/>
  <c r="P36" i="28" s="1"/>
  <c r="Z47" i="22"/>
  <c r="I151" i="9"/>
  <c r="H14" i="6" s="1"/>
  <c r="K36" i="28" s="1"/>
  <c r="K151" i="9"/>
  <c r="J14" i="6" s="1"/>
  <c r="M36" i="28" s="1"/>
  <c r="X18" i="28"/>
  <c r="W143" i="9"/>
  <c r="W137" i="9"/>
  <c r="U151" i="9"/>
  <c r="W27" i="23" s="1"/>
  <c r="W28" i="23" s="1"/>
  <c r="J151" i="9"/>
  <c r="L27" i="23" s="1"/>
  <c r="L28" i="23" s="1"/>
  <c r="L44" i="23" s="1"/>
  <c r="CH131" i="42"/>
  <c r="N133" i="42"/>
  <c r="N249" i="42"/>
  <c r="N250" i="42" s="1"/>
  <c r="N15" i="38"/>
  <c r="N17" i="38" s="1"/>
  <c r="S143" i="41"/>
  <c r="N296" i="39"/>
  <c r="CT296" i="39" s="1"/>
  <c r="W15" i="43"/>
  <c r="N252" i="42"/>
  <c r="N253" i="42" s="1"/>
  <c r="U141" i="41"/>
  <c r="R16" i="43" s="1"/>
  <c r="O293" i="39"/>
  <c r="CV293" i="39" s="1"/>
  <c r="O12" i="38"/>
  <c r="P295" i="39"/>
  <c r="CX295" i="39" s="1"/>
  <c r="K17" i="44"/>
  <c r="P14" i="38"/>
  <c r="V17" i="43"/>
  <c r="R16" i="42"/>
  <c r="AA11" i="41"/>
  <c r="AA119" i="41" s="1"/>
  <c r="R19" i="42"/>
  <c r="CL12" i="42"/>
  <c r="AC9" i="41"/>
  <c r="CM10" i="42"/>
  <c r="S12" i="42"/>
  <c r="X12" i="23"/>
  <c r="X40" i="23"/>
  <c r="M150" i="41"/>
  <c r="AD12" i="43"/>
  <c r="K303" i="39"/>
  <c r="CN303" i="39" s="1"/>
  <c r="W42" i="23"/>
  <c r="P22" i="42" s="1"/>
  <c r="W13" i="23"/>
  <c r="W14" i="23" s="1"/>
  <c r="X61" i="35"/>
  <c r="X88" i="35"/>
  <c r="AA11" i="23" s="1"/>
  <c r="AA41" i="23" s="1"/>
  <c r="T10" i="42"/>
  <c r="U33" i="3"/>
  <c r="V27" i="28"/>
  <c r="O247" i="42"/>
  <c r="O24" i="42"/>
  <c r="U21" i="41"/>
  <c r="CI22" i="42"/>
  <c r="O131" i="42"/>
  <c r="DD19" i="42"/>
  <c r="BK18" i="41"/>
  <c r="BK124" i="41" s="1"/>
  <c r="U15" i="28"/>
  <c r="U13" i="28"/>
  <c r="U9" i="28" s="1"/>
  <c r="N135" i="42"/>
  <c r="R8" i="30"/>
  <c r="T34" i="3"/>
  <c r="O146" i="41"/>
  <c r="L299" i="39"/>
  <c r="CP299" i="39" s="1"/>
  <c r="Z13" i="43"/>
  <c r="O13" i="44"/>
  <c r="CK16" i="42"/>
  <c r="Y15" i="41"/>
  <c r="Y123" i="41" s="1"/>
  <c r="Q127" i="42"/>
  <c r="Z56" i="35"/>
  <c r="Z36" i="35"/>
  <c r="Z38" i="35" s="1"/>
  <c r="V26" i="3"/>
  <c r="W18" i="28"/>
  <c r="T16" i="6"/>
  <c r="T17" i="6" s="1"/>
  <c r="T4" i="30"/>
  <c r="V24" i="3"/>
  <c r="AC13" i="35"/>
  <c r="AC35" i="35" s="1"/>
  <c r="CM11" i="42"/>
  <c r="AC10" i="41"/>
  <c r="DD11" i="42"/>
  <c r="BK10" i="41"/>
  <c r="K141" i="42"/>
  <c r="CE140" i="42"/>
  <c r="AF12" i="43"/>
  <c r="K24" i="38"/>
  <c r="K25" i="38" s="1"/>
  <c r="K26" i="38" s="1"/>
  <c r="K305" i="39"/>
  <c r="CN305" i="39" s="1"/>
  <c r="M152" i="41"/>
  <c r="AB30" i="22"/>
  <c r="AB31" i="22" s="1"/>
  <c r="AB42" i="22"/>
  <c r="X82" i="35"/>
  <c r="X84" i="35" s="1"/>
  <c r="X85" i="35" s="1"/>
  <c r="AC26" i="22"/>
  <c r="T11" i="42"/>
  <c r="AC13" i="43"/>
  <c r="L236" i="42"/>
  <c r="L138" i="42"/>
  <c r="O149" i="41"/>
  <c r="L302" i="39"/>
  <c r="CP302" i="39" s="1"/>
  <c r="L140" i="42"/>
  <c r="R13" i="44"/>
  <c r="CF137" i="42"/>
  <c r="Q130" i="42"/>
  <c r="CK19" i="42"/>
  <c r="Y18" i="41"/>
  <c r="Y124" i="41" s="1"/>
  <c r="AA31" i="22"/>
  <c r="M381" i="42"/>
  <c r="M379" i="42"/>
  <c r="M380" i="42"/>
  <c r="Y77" i="35"/>
  <c r="Y78" i="35" s="1"/>
  <c r="Y80" i="35" s="1"/>
  <c r="Y57" i="35"/>
  <c r="Y59" i="35" s="1"/>
  <c r="P292" i="39"/>
  <c r="CX292" i="39" s="1"/>
  <c r="J17" i="44"/>
  <c r="AG261" i="42"/>
  <c r="Q17" i="43"/>
  <c r="P11" i="38"/>
  <c r="AJ128" i="42"/>
  <c r="CJ127" i="42"/>
  <c r="P128" i="42"/>
  <c r="P246" i="42"/>
  <c r="P247" i="42" s="1"/>
  <c r="W140" i="41"/>
  <c r="N25" i="42"/>
  <c r="CH24" i="42"/>
  <c r="S23" i="41"/>
  <c r="S125" i="41" s="1"/>
  <c r="S126" i="41" s="1"/>
  <c r="T126" i="41" s="1"/>
  <c r="K321" i="39"/>
  <c r="K55" i="38"/>
  <c r="M300" i="39"/>
  <c r="AA14" i="43"/>
  <c r="M19" i="38"/>
  <c r="CG135" i="42"/>
  <c r="P14" i="44"/>
  <c r="M309" i="42"/>
  <c r="M235" i="42"/>
  <c r="M137" i="42"/>
  <c r="Q147" i="41"/>
  <c r="L18" i="43"/>
  <c r="I18" i="44"/>
  <c r="Y135" i="41"/>
  <c r="AA46" i="22"/>
  <c r="Y10" i="23"/>
  <c r="AA50" i="22"/>
  <c r="AA54" i="22" s="1"/>
  <c r="AA55" i="22" s="1"/>
  <c r="AA72" i="35"/>
  <c r="AB51" i="35"/>
  <c r="AD31" i="35" l="1"/>
  <c r="AD52" i="35" s="1"/>
  <c r="AD73" i="35" s="1"/>
  <c r="AN58" i="40"/>
  <c r="AN26" i="40"/>
  <c r="T62" i="34"/>
  <c r="T73" i="34"/>
  <c r="T21" i="34"/>
  <c r="T58" i="34" s="1"/>
  <c r="U20" i="34"/>
  <c r="T57" i="34"/>
  <c r="T59" i="34" s="1"/>
  <c r="AE390" i="42"/>
  <c r="I406" i="42"/>
  <c r="I407" i="42"/>
  <c r="T44" i="31"/>
  <c r="T17" i="31"/>
  <c r="U16" i="31"/>
  <c r="G18" i="29"/>
  <c r="G21" i="29" s="1"/>
  <c r="V27" i="23"/>
  <c r="V43" i="23" s="1"/>
  <c r="U9" i="3" s="1"/>
  <c r="V26" i="28" s="1"/>
  <c r="J27" i="23"/>
  <c r="J28" i="23" s="1"/>
  <c r="J44" i="23" s="1"/>
  <c r="O18" i="29"/>
  <c r="O21" i="29" s="1"/>
  <c r="X27" i="28"/>
  <c r="X43" i="23"/>
  <c r="G27" i="23"/>
  <c r="G43" i="23" s="1"/>
  <c r="F9" i="3" s="1"/>
  <c r="D19" i="6" s="1"/>
  <c r="H18" i="29"/>
  <c r="H21" i="29" s="1"/>
  <c r="R14" i="6"/>
  <c r="U36" i="28" s="1"/>
  <c r="U28" i="23"/>
  <c r="U44" i="23" s="1"/>
  <c r="U45" i="23" s="1"/>
  <c r="J18" i="29"/>
  <c r="J21" i="29" s="1"/>
  <c r="D18" i="29"/>
  <c r="D21" i="29" s="1"/>
  <c r="P18" i="29"/>
  <c r="P21" i="29" s="1"/>
  <c r="Q14" i="6"/>
  <c r="T36" i="28" s="1"/>
  <c r="AD10" i="35"/>
  <c r="AC53" i="35"/>
  <c r="AC74" i="35" s="1"/>
  <c r="U17" i="6"/>
  <c r="I14" i="6"/>
  <c r="L36" i="28" s="1"/>
  <c r="Q18" i="29"/>
  <c r="Q21" i="29" s="1"/>
  <c r="I27" i="23"/>
  <c r="I28" i="23" s="1"/>
  <c r="I44" i="23" s="1"/>
  <c r="N27" i="23"/>
  <c r="N28" i="23" s="1"/>
  <c r="N44" i="23" s="1"/>
  <c r="H27" i="23"/>
  <c r="H43" i="23" s="1"/>
  <c r="G9" i="3" s="1"/>
  <c r="G10" i="3" s="1"/>
  <c r="B18" i="29"/>
  <c r="B21" i="29" s="1"/>
  <c r="T28" i="23"/>
  <c r="T44" i="23" s="1"/>
  <c r="T45" i="23" s="1"/>
  <c r="O14" i="6"/>
  <c r="R36" i="28" s="1"/>
  <c r="R43" i="23"/>
  <c r="Q9" i="3" s="1"/>
  <c r="Q10" i="3" s="1"/>
  <c r="N18" i="29"/>
  <c r="N21" i="29" s="1"/>
  <c r="R19" i="6"/>
  <c r="E18" i="29"/>
  <c r="E21" i="29" s="1"/>
  <c r="D14" i="6"/>
  <c r="G36" i="28" s="1"/>
  <c r="R18" i="29"/>
  <c r="R21" i="29" s="1"/>
  <c r="M18" i="29"/>
  <c r="M21" i="29" s="1"/>
  <c r="F18" i="29"/>
  <c r="F21" i="29" s="1"/>
  <c r="V28" i="23"/>
  <c r="V44" i="23" s="1"/>
  <c r="V45" i="23" s="1"/>
  <c r="S27" i="23"/>
  <c r="Q27" i="23"/>
  <c r="Q43" i="23" s="1"/>
  <c r="P9" i="3" s="1"/>
  <c r="N5" i="30" s="1"/>
  <c r="N6" i="30" s="1"/>
  <c r="N9" i="30" s="1"/>
  <c r="M27" i="23"/>
  <c r="M28" i="23" s="1"/>
  <c r="M44" i="23" s="1"/>
  <c r="C14" i="6"/>
  <c r="F36" i="28" s="1"/>
  <c r="L43" i="23"/>
  <c r="K9" i="3" s="1"/>
  <c r="I5" i="30" s="1"/>
  <c r="I6" i="30" s="1"/>
  <c r="I9" i="30" s="1"/>
  <c r="F43" i="23"/>
  <c r="E9" i="3" s="1"/>
  <c r="F26" i="28" s="1"/>
  <c r="F28" i="23"/>
  <c r="F44" i="23" s="1"/>
  <c r="L18" i="29"/>
  <c r="L21" i="29" s="1"/>
  <c r="I18" i="29"/>
  <c r="I21" i="29" s="1"/>
  <c r="P27" i="23"/>
  <c r="P43" i="23" s="1"/>
  <c r="O9" i="3" s="1"/>
  <c r="P26" i="28" s="1"/>
  <c r="L14" i="6"/>
  <c r="O36" i="28" s="1"/>
  <c r="O27" i="23"/>
  <c r="O28" i="23" s="1"/>
  <c r="O44" i="23" s="1"/>
  <c r="K27" i="23"/>
  <c r="W43" i="23"/>
  <c r="V9" i="3" s="1"/>
  <c r="T19" i="6" s="1"/>
  <c r="U26" i="28"/>
  <c r="R5" i="30"/>
  <c r="R6" i="30" s="1"/>
  <c r="R9" i="30" s="1"/>
  <c r="W151" i="9"/>
  <c r="N255" i="42"/>
  <c r="AA47" i="22"/>
  <c r="X8" i="3"/>
  <c r="CR300" i="39"/>
  <c r="M360" i="39"/>
  <c r="Y82" i="35"/>
  <c r="Y84" i="35" s="1"/>
  <c r="Y85" i="35" s="1"/>
  <c r="AD26" i="22"/>
  <c r="U11" i="42"/>
  <c r="W27" i="28"/>
  <c r="V33" i="3"/>
  <c r="Y12" i="23"/>
  <c r="Y40" i="23"/>
  <c r="P12" i="38"/>
  <c r="P293" i="39"/>
  <c r="CX293" i="39" s="1"/>
  <c r="W141" i="41"/>
  <c r="R17" i="43" s="1"/>
  <c r="Y88" i="35"/>
  <c r="AB11" i="23" s="1"/>
  <c r="AB41" i="23" s="1"/>
  <c r="Y61" i="35"/>
  <c r="U10" i="42"/>
  <c r="AD13" i="43"/>
  <c r="L303" i="39"/>
  <c r="CP303" i="39" s="1"/>
  <c r="O150" i="41"/>
  <c r="AC42" i="22"/>
  <c r="AC30" i="22"/>
  <c r="AC31" i="22" s="1"/>
  <c r="AD13" i="35"/>
  <c r="AD35" i="35" s="1"/>
  <c r="Q246" i="42"/>
  <c r="Q247" i="42" s="1"/>
  <c r="Q292" i="39"/>
  <c r="CZ292" i="39" s="1"/>
  <c r="CK127" i="42"/>
  <c r="Y140" i="41"/>
  <c r="Q18" i="43"/>
  <c r="J18" i="44"/>
  <c r="Q11" i="38"/>
  <c r="Q128" i="42"/>
  <c r="R127" i="42"/>
  <c r="CL16" i="42"/>
  <c r="AA15" i="41"/>
  <c r="AA123" i="41" s="1"/>
  <c r="N18" i="38"/>
  <c r="V15" i="28"/>
  <c r="V13" i="28"/>
  <c r="V9" i="28" s="1"/>
  <c r="S8" i="30"/>
  <c r="O135" i="42"/>
  <c r="U34" i="3"/>
  <c r="AA56" i="35"/>
  <c r="AA36" i="35"/>
  <c r="AA38" i="35" s="1"/>
  <c r="CG137" i="42"/>
  <c r="M302" i="39"/>
  <c r="CR302" i="39" s="1"/>
  <c r="M236" i="42"/>
  <c r="M138" i="42"/>
  <c r="M140" i="42"/>
  <c r="Q149" i="41"/>
  <c r="AC14" i="43"/>
  <c r="R14" i="44"/>
  <c r="S24" i="41"/>
  <c r="CH25" i="42"/>
  <c r="AJ12" i="38"/>
  <c r="AJ293" i="39"/>
  <c r="EL293" i="39" s="1"/>
  <c r="BK141" i="41"/>
  <c r="K18" i="44"/>
  <c r="Q14" i="38"/>
  <c r="Q295" i="39"/>
  <c r="CZ295" i="39" s="1"/>
  <c r="V18" i="43"/>
  <c r="AB50" i="22"/>
  <c r="AB54" i="22" s="1"/>
  <c r="AB55" i="22" s="1"/>
  <c r="Z10" i="23"/>
  <c r="AB46" i="22"/>
  <c r="O252" i="42"/>
  <c r="O253" i="42" s="1"/>
  <c r="O133" i="42"/>
  <c r="CI131" i="42"/>
  <c r="O15" i="38"/>
  <c r="O17" i="38" s="1"/>
  <c r="O296" i="39"/>
  <c r="CV296" i="39" s="1"/>
  <c r="U143" i="41"/>
  <c r="O249" i="42"/>
  <c r="O250" i="42" s="1"/>
  <c r="W16" i="43"/>
  <c r="CN10" i="42"/>
  <c r="AE9" i="41"/>
  <c r="T12" i="42"/>
  <c r="P24" i="42"/>
  <c r="W21" i="41"/>
  <c r="CJ22" i="42"/>
  <c r="P131" i="42"/>
  <c r="S19" i="42"/>
  <c r="AC11" i="41"/>
  <c r="AC119" i="41" s="1"/>
  <c r="S16" i="42"/>
  <c r="CM12" i="42"/>
  <c r="R130" i="42"/>
  <c r="CL19" i="42"/>
  <c r="AA18" i="41"/>
  <c r="AA124" i="41" s="1"/>
  <c r="N15" i="44"/>
  <c r="S145" i="41"/>
  <c r="N134" i="42"/>
  <c r="Y15" i="43"/>
  <c r="N298" i="39"/>
  <c r="CT298" i="39" s="1"/>
  <c r="N137" i="42"/>
  <c r="CH133" i="42"/>
  <c r="AF13" i="43"/>
  <c r="CF140" i="42"/>
  <c r="L24" i="38"/>
  <c r="L25" i="38" s="1"/>
  <c r="L26" i="38" s="1"/>
  <c r="L141" i="42"/>
  <c r="L305" i="39"/>
  <c r="CP305" i="39" s="1"/>
  <c r="O152" i="41"/>
  <c r="L55" i="38"/>
  <c r="L321" i="39"/>
  <c r="K306" i="39"/>
  <c r="CN306" i="39" s="1"/>
  <c r="CE141" i="42"/>
  <c r="K144" i="42"/>
  <c r="K142" i="42"/>
  <c r="AG12" i="43"/>
  <c r="M153" i="41"/>
  <c r="S12" i="44"/>
  <c r="N19" i="38"/>
  <c r="N21" i="38" s="1"/>
  <c r="N22" i="38" s="1"/>
  <c r="CH135" i="42"/>
  <c r="S147" i="41"/>
  <c r="P15" i="44"/>
  <c r="N300" i="39"/>
  <c r="N309" i="42"/>
  <c r="N235" i="42"/>
  <c r="AA15" i="43"/>
  <c r="U23" i="41"/>
  <c r="U125" i="41" s="1"/>
  <c r="U126" i="41" s="1"/>
  <c r="V126" i="41" s="1"/>
  <c r="CI24" i="42"/>
  <c r="O25" i="42"/>
  <c r="M54" i="38"/>
  <c r="M320" i="39"/>
  <c r="M21" i="38"/>
  <c r="M22" i="38" s="1"/>
  <c r="M87" i="38"/>
  <c r="M179" i="38"/>
  <c r="W44" i="23"/>
  <c r="W45" i="23" s="1"/>
  <c r="CN11" i="42"/>
  <c r="AE10" i="41"/>
  <c r="Z77" i="35"/>
  <c r="Z78" i="35" s="1"/>
  <c r="Z80" i="35" s="1"/>
  <c r="Z57" i="35"/>
  <c r="Z59" i="35" s="1"/>
  <c r="X42" i="23"/>
  <c r="X13" i="23"/>
  <c r="AA135" i="41"/>
  <c r="I19" i="44"/>
  <c r="L19" i="43"/>
  <c r="U32" i="28"/>
  <c r="T37" i="3"/>
  <c r="R22" i="6"/>
  <c r="T11" i="3"/>
  <c r="Q135" i="42"/>
  <c r="X15" i="28"/>
  <c r="X13" i="28"/>
  <c r="X9" i="28" s="1"/>
  <c r="U8" i="30"/>
  <c r="W34" i="3"/>
  <c r="AB72" i="35"/>
  <c r="T26" i="28"/>
  <c r="Q5" i="30"/>
  <c r="Q6" i="30" s="1"/>
  <c r="Q19" i="6"/>
  <c r="S10" i="3"/>
  <c r="AD51" i="35"/>
  <c r="AC51" i="35"/>
  <c r="U21" i="34" l="1"/>
  <c r="U73" i="34"/>
  <c r="U62" i="34"/>
  <c r="U57" i="34"/>
  <c r="AN27" i="40"/>
  <c r="AN59" i="40"/>
  <c r="U44" i="31"/>
  <c r="G17" i="34" s="1"/>
  <c r="U17" i="31"/>
  <c r="AD32" i="35"/>
  <c r="AD53" i="35" s="1"/>
  <c r="AD74" i="35" s="1"/>
  <c r="AG390" i="42"/>
  <c r="AI390" i="42" s="1"/>
  <c r="I409" i="42"/>
  <c r="I408" i="42"/>
  <c r="S19" i="6"/>
  <c r="T20" i="6" s="1"/>
  <c r="D5" i="30"/>
  <c r="D6" i="30" s="1"/>
  <c r="D9" i="30" s="1"/>
  <c r="C5" i="30"/>
  <c r="C6" i="30" s="1"/>
  <c r="C9" i="30" s="1"/>
  <c r="S5" i="30"/>
  <c r="S6" i="30" s="1"/>
  <c r="S9" i="30" s="1"/>
  <c r="F10" i="3"/>
  <c r="F37" i="3" s="1"/>
  <c r="G26" i="28"/>
  <c r="U10" i="3"/>
  <c r="U37" i="3" s="1"/>
  <c r="J43" i="23"/>
  <c r="I9" i="3" s="1"/>
  <c r="G5" i="30" s="1"/>
  <c r="G6" i="30" s="1"/>
  <c r="G9" i="30" s="1"/>
  <c r="G28" i="23"/>
  <c r="G44" i="23" s="1"/>
  <c r="N43" i="23"/>
  <c r="M9" i="3" s="1"/>
  <c r="N26" i="28" s="1"/>
  <c r="H26" i="28"/>
  <c r="E19" i="6"/>
  <c r="E20" i="6" s="1"/>
  <c r="O5" i="30"/>
  <c r="O6" i="30" s="1"/>
  <c r="O9" i="30" s="1"/>
  <c r="I43" i="23"/>
  <c r="H9" i="3" s="1"/>
  <c r="F5" i="30" s="1"/>
  <c r="F6" i="30" s="1"/>
  <c r="F9" i="30" s="1"/>
  <c r="O43" i="23"/>
  <c r="N9" i="3" s="1"/>
  <c r="N10" i="3" s="1"/>
  <c r="O10" i="3"/>
  <c r="P32" i="28" s="1"/>
  <c r="R20" i="6"/>
  <c r="E5" i="30"/>
  <c r="E6" i="30" s="1"/>
  <c r="E9" i="30" s="1"/>
  <c r="R26" i="28"/>
  <c r="H28" i="23"/>
  <c r="H44" i="23" s="1"/>
  <c r="C19" i="6"/>
  <c r="C20" i="6" s="1"/>
  <c r="M19" i="6"/>
  <c r="I19" i="6"/>
  <c r="O19" i="6"/>
  <c r="E10" i="3"/>
  <c r="F32" i="28" s="1"/>
  <c r="M5" i="30"/>
  <c r="M6" i="30" s="1"/>
  <c r="M9" i="30" s="1"/>
  <c r="M43" i="23"/>
  <c r="L9" i="3" s="1"/>
  <c r="J19" i="6" s="1"/>
  <c r="N19" i="6"/>
  <c r="S18" i="29"/>
  <c r="S21" i="29" s="1"/>
  <c r="Q26" i="28"/>
  <c r="L26" i="28"/>
  <c r="P10" i="3"/>
  <c r="N22" i="6" s="1"/>
  <c r="K10" i="3"/>
  <c r="L32" i="28" s="1"/>
  <c r="P28" i="23"/>
  <c r="P44" i="23" s="1"/>
  <c r="Q28" i="23"/>
  <c r="Q44" i="23" s="1"/>
  <c r="S28" i="23"/>
  <c r="S44" i="23" s="1"/>
  <c r="S45" i="23" s="1"/>
  <c r="S43" i="23"/>
  <c r="R9" i="3" s="1"/>
  <c r="K43" i="23"/>
  <c r="J9" i="3" s="1"/>
  <c r="K28" i="23"/>
  <c r="K44" i="23" s="1"/>
  <c r="R7" i="30"/>
  <c r="W26" i="28"/>
  <c r="T5" i="30"/>
  <c r="T6" i="30" s="1"/>
  <c r="T7" i="30" s="1"/>
  <c r="V10" i="3"/>
  <c r="T22" i="6" s="1"/>
  <c r="O255" i="42"/>
  <c r="X14" i="23"/>
  <c r="X44" i="23"/>
  <c r="X45" i="23" s="1"/>
  <c r="CI25" i="42"/>
  <c r="U24" i="41"/>
  <c r="N320" i="39"/>
  <c r="N54" i="38"/>
  <c r="P249" i="42"/>
  <c r="P250" i="42" s="1"/>
  <c r="P15" i="38"/>
  <c r="P17" i="38" s="1"/>
  <c r="P18" i="38" s="1"/>
  <c r="P296" i="39"/>
  <c r="CX296" i="39" s="1"/>
  <c r="P252" i="42"/>
  <c r="W143" i="41"/>
  <c r="W17" i="43"/>
  <c r="CJ131" i="42"/>
  <c r="P133" i="42"/>
  <c r="CN12" i="42"/>
  <c r="T16" i="42"/>
  <c r="AE11" i="41"/>
  <c r="AE119" i="41" s="1"/>
  <c r="T19" i="42"/>
  <c r="Z40" i="23"/>
  <c r="Z12" i="23"/>
  <c r="M55" i="38"/>
  <c r="M321" i="39"/>
  <c r="U147" i="41"/>
  <c r="CI135" i="42"/>
  <c r="AA16" i="43"/>
  <c r="O235" i="42"/>
  <c r="O300" i="39"/>
  <c r="P16" i="44"/>
  <c r="O309" i="42"/>
  <c r="O19" i="38"/>
  <c r="O21" i="38" s="1"/>
  <c r="O22" i="38" s="1"/>
  <c r="CL127" i="42"/>
  <c r="R292" i="39"/>
  <c r="DB292" i="39" s="1"/>
  <c r="AA140" i="41"/>
  <c r="R128" i="42"/>
  <c r="R11" i="38"/>
  <c r="Q19" i="43"/>
  <c r="R246" i="42"/>
  <c r="J19" i="44"/>
  <c r="AA10" i="23"/>
  <c r="AC50" i="22"/>
  <c r="AC54" i="22" s="1"/>
  <c r="AC55" i="22" s="1"/>
  <c r="AC46" i="22"/>
  <c r="Z8" i="3" s="1"/>
  <c r="Z26" i="3" s="1"/>
  <c r="Z33" i="3" s="1"/>
  <c r="CO10" i="42"/>
  <c r="AG9" i="41"/>
  <c r="U12" i="42"/>
  <c r="AD42" i="22"/>
  <c r="AD30" i="22"/>
  <c r="AD31" i="22" s="1"/>
  <c r="V4" i="30"/>
  <c r="X26" i="3"/>
  <c r="X33" i="3" s="1"/>
  <c r="X24" i="3"/>
  <c r="V16" i="6"/>
  <c r="Q22" i="42"/>
  <c r="W9" i="3"/>
  <c r="AB56" i="35"/>
  <c r="AB36" i="35"/>
  <c r="AB38" i="35" s="1"/>
  <c r="S127" i="42"/>
  <c r="AC15" i="41"/>
  <c r="AC123" i="41" s="1"/>
  <c r="CM16" i="42"/>
  <c r="CI133" i="42"/>
  <c r="O137" i="42"/>
  <c r="Y16" i="43"/>
  <c r="N16" i="44"/>
  <c r="U145" i="41"/>
  <c r="O298" i="39"/>
  <c r="CV298" i="39" s="1"/>
  <c r="O134" i="42"/>
  <c r="Y141" i="41"/>
  <c r="R18" i="43" s="1"/>
  <c r="Q293" i="39"/>
  <c r="CZ293" i="39" s="1"/>
  <c r="Q12" i="38"/>
  <c r="W15" i="28"/>
  <c r="T8" i="30"/>
  <c r="P135" i="42"/>
  <c r="W13" i="28"/>
  <c r="W9" i="28" s="1"/>
  <c r="V34" i="3"/>
  <c r="Z88" i="35"/>
  <c r="AC11" i="23" s="1"/>
  <c r="AC41" i="23" s="1"/>
  <c r="Z61" i="35"/>
  <c r="V10" i="42"/>
  <c r="CT300" i="39"/>
  <c r="N360" i="39"/>
  <c r="N179" i="38"/>
  <c r="N87" i="38"/>
  <c r="AH12" i="43"/>
  <c r="K307" i="39"/>
  <c r="CN307" i="39" s="1"/>
  <c r="M154" i="41"/>
  <c r="AG13" i="43"/>
  <c r="L142" i="42"/>
  <c r="S13" i="44"/>
  <c r="L306" i="39"/>
  <c r="CP306" i="39" s="1"/>
  <c r="O153" i="41"/>
  <c r="CF141" i="42"/>
  <c r="L144" i="42"/>
  <c r="O15" i="44"/>
  <c r="Z15" i="43"/>
  <c r="S146" i="41"/>
  <c r="N299" i="39"/>
  <c r="CT299" i="39" s="1"/>
  <c r="AC135" i="41"/>
  <c r="L20" i="43"/>
  <c r="I20" i="44"/>
  <c r="Q152" i="41"/>
  <c r="AF14" i="43"/>
  <c r="CG140" i="42"/>
  <c r="M24" i="38"/>
  <c r="M25" i="38" s="1"/>
  <c r="M26" i="38" s="1"/>
  <c r="M141" i="42"/>
  <c r="M305" i="39"/>
  <c r="CR305" i="39" s="1"/>
  <c r="AA77" i="35"/>
  <c r="AA78" i="35" s="1"/>
  <c r="AA80" i="35" s="1"/>
  <c r="AA57" i="35"/>
  <c r="AA59" i="35" s="1"/>
  <c r="V11" i="42"/>
  <c r="AE26" i="22"/>
  <c r="Z82" i="35"/>
  <c r="Z84" i="35" s="1"/>
  <c r="Z85" i="35" s="1"/>
  <c r="K145" i="42"/>
  <c r="K309" i="39"/>
  <c r="CN309" i="39" s="1"/>
  <c r="AJ12" i="43"/>
  <c r="M156" i="41"/>
  <c r="K28" i="38"/>
  <c r="K29" i="38" s="1"/>
  <c r="K30" i="38" s="1"/>
  <c r="CE144" i="42"/>
  <c r="U12" i="44"/>
  <c r="N138" i="42"/>
  <c r="CH137" i="42"/>
  <c r="N302" i="39"/>
  <c r="CT302" i="39" s="1"/>
  <c r="R15" i="44"/>
  <c r="N140" i="42"/>
  <c r="S149" i="41"/>
  <c r="N236" i="42"/>
  <c r="AC15" i="43"/>
  <c r="R14" i="38"/>
  <c r="R295" i="39"/>
  <c r="DB295" i="39" s="1"/>
  <c r="V19" i="43"/>
  <c r="K19" i="44"/>
  <c r="CM19" i="42"/>
  <c r="AC18" i="41"/>
  <c r="AC124" i="41" s="1"/>
  <c r="S130" i="42"/>
  <c r="P25" i="42"/>
  <c r="CJ24" i="42"/>
  <c r="W23" i="41"/>
  <c r="W125" i="41" s="1"/>
  <c r="W126" i="41" s="1"/>
  <c r="X126" i="41" s="1"/>
  <c r="O18" i="38"/>
  <c r="AB47" i="22"/>
  <c r="Y8" i="3"/>
  <c r="M303" i="39"/>
  <c r="CR303" i="39" s="1"/>
  <c r="AD14" i="43"/>
  <c r="Q150" i="41"/>
  <c r="Y42" i="23"/>
  <c r="Y13" i="23"/>
  <c r="AG10" i="41"/>
  <c r="CO11" i="42"/>
  <c r="AJ24" i="42"/>
  <c r="T32" i="28"/>
  <c r="S37" i="3"/>
  <c r="Q22" i="6"/>
  <c r="S11" i="3"/>
  <c r="AC72" i="35"/>
  <c r="AD72" i="35"/>
  <c r="R32" i="28"/>
  <c r="Q37" i="3"/>
  <c r="O22" i="6"/>
  <c r="U33" i="28"/>
  <c r="T43" i="3"/>
  <c r="T44" i="3" s="1"/>
  <c r="T41" i="3"/>
  <c r="Q9" i="30"/>
  <c r="Q7" i="30"/>
  <c r="E22" i="6"/>
  <c r="H32" i="28"/>
  <c r="G37" i="3"/>
  <c r="Q19" i="38"/>
  <c r="Q300" i="39"/>
  <c r="CK135" i="42"/>
  <c r="Y147" i="41"/>
  <c r="P18" i="44"/>
  <c r="Q309" i="42"/>
  <c r="AA18" i="43"/>
  <c r="Q235" i="42"/>
  <c r="AN60" i="40" l="1"/>
  <c r="AN28" i="40"/>
  <c r="U58" i="34"/>
  <c r="U59" i="34" s="1"/>
  <c r="B12" i="34" s="1"/>
  <c r="B11" i="34" s="1"/>
  <c r="B13" i="34"/>
  <c r="C13" i="34"/>
  <c r="C11" i="34" s="1"/>
  <c r="C64" i="34"/>
  <c r="S7" i="30"/>
  <c r="O20" i="6"/>
  <c r="K19" i="6"/>
  <c r="K20" i="6" s="1"/>
  <c r="S20" i="6"/>
  <c r="J26" i="28"/>
  <c r="C22" i="6"/>
  <c r="C23" i="6" s="1"/>
  <c r="F37" i="28" s="1"/>
  <c r="D22" i="6"/>
  <c r="S22" i="6"/>
  <c r="S23" i="6" s="1"/>
  <c r="V32" i="28"/>
  <c r="G32" i="28"/>
  <c r="U11" i="3"/>
  <c r="G19" i="6"/>
  <c r="I10" i="3"/>
  <c r="K5" i="30"/>
  <c r="K6" i="30" s="1"/>
  <c r="K9" i="30" s="1"/>
  <c r="M10" i="3"/>
  <c r="K37" i="3"/>
  <c r="K43" i="3" s="1"/>
  <c r="K44" i="3" s="1"/>
  <c r="Q32" i="28"/>
  <c r="N20" i="6"/>
  <c r="I26" i="28"/>
  <c r="F19" i="6"/>
  <c r="D20" i="6"/>
  <c r="O26" i="28"/>
  <c r="H10" i="3"/>
  <c r="H37" i="3" s="1"/>
  <c r="I33" i="28" s="1"/>
  <c r="O37" i="3"/>
  <c r="P33" i="28" s="1"/>
  <c r="L22" i="6"/>
  <c r="O32" i="28"/>
  <c r="N37" i="3"/>
  <c r="O33" i="28" s="1"/>
  <c r="M22" i="6"/>
  <c r="N23" i="6" s="1"/>
  <c r="L19" i="6"/>
  <c r="L5" i="30"/>
  <c r="L6" i="30" s="1"/>
  <c r="L9" i="30" s="1"/>
  <c r="I22" i="6"/>
  <c r="E37" i="3"/>
  <c r="F33" i="28" s="1"/>
  <c r="L10" i="3"/>
  <c r="M26" i="28"/>
  <c r="P37" i="3"/>
  <c r="P43" i="3" s="1"/>
  <c r="P44" i="3" s="1"/>
  <c r="J5" i="30"/>
  <c r="J6" i="30" s="1"/>
  <c r="J9" i="30" s="1"/>
  <c r="X16" i="6"/>
  <c r="P5" i="30"/>
  <c r="P6" i="30" s="1"/>
  <c r="R10" i="3"/>
  <c r="S26" i="28"/>
  <c r="P19" i="6"/>
  <c r="T9" i="30"/>
  <c r="V11" i="3"/>
  <c r="Z24" i="3"/>
  <c r="X4" i="30"/>
  <c r="J20" i="6"/>
  <c r="H19" i="6"/>
  <c r="J10" i="3"/>
  <c r="H5" i="30"/>
  <c r="H6" i="30" s="1"/>
  <c r="H9" i="30" s="1"/>
  <c r="K26" i="28"/>
  <c r="AC47" i="22"/>
  <c r="V37" i="3"/>
  <c r="V43" i="3" s="1"/>
  <c r="V44" i="3" s="1"/>
  <c r="W34" i="28" s="1"/>
  <c r="W32" i="28"/>
  <c r="O23" i="6"/>
  <c r="AJ25" i="42"/>
  <c r="DD25" i="42" s="1"/>
  <c r="BK23" i="41"/>
  <c r="BK125" i="41" s="1"/>
  <c r="BK126" i="41" s="1"/>
  <c r="BM126" i="41" s="1"/>
  <c r="DD24" i="42"/>
  <c r="R22" i="42"/>
  <c r="X9" i="3"/>
  <c r="S295" i="39"/>
  <c r="DD295" i="39" s="1"/>
  <c r="S14" i="38"/>
  <c r="K20" i="44"/>
  <c r="V20" i="43"/>
  <c r="N55" i="38"/>
  <c r="N321" i="39"/>
  <c r="AI10" i="41"/>
  <c r="CP11" i="42"/>
  <c r="W11" i="42"/>
  <c r="AA82" i="35"/>
  <c r="AA84" i="35" s="1"/>
  <c r="AA85" i="35" s="1"/>
  <c r="AF26" i="22"/>
  <c r="AI9" i="41"/>
  <c r="V12" i="42"/>
  <c r="CP10" i="42"/>
  <c r="U149" i="41"/>
  <c r="O236" i="42"/>
  <c r="R16" i="44"/>
  <c r="O140" i="42"/>
  <c r="O138" i="42"/>
  <c r="O302" i="39"/>
  <c r="CV302" i="39" s="1"/>
  <c r="CI137" i="42"/>
  <c r="AC16" i="43"/>
  <c r="S292" i="39"/>
  <c r="DD292" i="39" s="1"/>
  <c r="AC140" i="41"/>
  <c r="S128" i="42"/>
  <c r="Q20" i="43"/>
  <c r="J20" i="44"/>
  <c r="CM127" i="42"/>
  <c r="S246" i="42"/>
  <c r="S247" i="42" s="1"/>
  <c r="S11" i="38"/>
  <c r="Q131" i="42"/>
  <c r="Y21" i="41"/>
  <c r="CK22" i="42"/>
  <c r="Q24" i="42"/>
  <c r="AA12" i="23"/>
  <c r="AA40" i="23"/>
  <c r="CV300" i="39"/>
  <c r="O360" i="39"/>
  <c r="Y26" i="3"/>
  <c r="Y33" i="3" s="1"/>
  <c r="Y24" i="3"/>
  <c r="W4" i="30"/>
  <c r="W16" i="6"/>
  <c r="W17" i="6" s="1"/>
  <c r="K147" i="42"/>
  <c r="CE145" i="42"/>
  <c r="M157" i="41"/>
  <c r="K233" i="42"/>
  <c r="V12" i="44"/>
  <c r="K146" i="42"/>
  <c r="K310" i="39"/>
  <c r="CN310" i="39" s="1"/>
  <c r="AK12" i="43"/>
  <c r="V17" i="6"/>
  <c r="R12" i="38"/>
  <c r="R293" i="39"/>
  <c r="DB293" i="39" s="1"/>
  <c r="AA141" i="41"/>
  <c r="R19" i="43" s="1"/>
  <c r="O87" i="38"/>
  <c r="O179" i="38"/>
  <c r="O54" i="38"/>
  <c r="O320" i="39"/>
  <c r="CN19" i="42"/>
  <c r="T130" i="42"/>
  <c r="AE18" i="41"/>
  <c r="AE124" i="41" s="1"/>
  <c r="CJ133" i="42"/>
  <c r="P134" i="42"/>
  <c r="N17" i="44"/>
  <c r="P137" i="42"/>
  <c r="Y17" i="43"/>
  <c r="W145" i="41"/>
  <c r="P298" i="39"/>
  <c r="CX298" i="39" s="1"/>
  <c r="P253" i="42"/>
  <c r="P255" i="42" s="1"/>
  <c r="N141" i="42"/>
  <c r="AF15" i="43"/>
  <c r="N305" i="39"/>
  <c r="CT305" i="39" s="1"/>
  <c r="CH140" i="42"/>
  <c r="S152" i="41"/>
  <c r="N24" i="38"/>
  <c r="N25" i="38" s="1"/>
  <c r="N26" i="38" s="1"/>
  <c r="N303" i="39"/>
  <c r="CT303" i="39" s="1"/>
  <c r="AD15" i="43"/>
  <c r="S150" i="41"/>
  <c r="AC56" i="35"/>
  <c r="AC36" i="35"/>
  <c r="AC38" i="35" s="1"/>
  <c r="M144" i="42"/>
  <c r="AG14" i="43"/>
  <c r="CG141" i="42"/>
  <c r="M306" i="39"/>
  <c r="CR306" i="39" s="1"/>
  <c r="M142" i="42"/>
  <c r="Q153" i="41"/>
  <c r="S14" i="44"/>
  <c r="L145" i="42"/>
  <c r="L28" i="38"/>
  <c r="L29" i="38" s="1"/>
  <c r="L30" i="38" s="1"/>
  <c r="CF144" i="42"/>
  <c r="U13" i="44"/>
  <c r="L309" i="39"/>
  <c r="CP309" i="39" s="1"/>
  <c r="AJ13" i="43"/>
  <c r="O156" i="41"/>
  <c r="AB77" i="35"/>
  <c r="AB78" i="35" s="1"/>
  <c r="AB80" i="35" s="1"/>
  <c r="AB57" i="35"/>
  <c r="AB59" i="35" s="1"/>
  <c r="AD50" i="22"/>
  <c r="AD54" i="22" s="1"/>
  <c r="AD55" i="22" s="1"/>
  <c r="AD46" i="22"/>
  <c r="AB10" i="23"/>
  <c r="R247" i="42"/>
  <c r="I21" i="44"/>
  <c r="L21" i="43"/>
  <c r="AE135" i="41"/>
  <c r="Y44" i="23"/>
  <c r="Y45" i="23" s="1"/>
  <c r="Y14" i="23"/>
  <c r="CJ25" i="42"/>
  <c r="W24" i="41"/>
  <c r="AE42" i="22"/>
  <c r="AE30" i="22"/>
  <c r="AE31" i="22" s="1"/>
  <c r="AA88" i="35"/>
  <c r="AD11" i="23" s="1"/>
  <c r="AD41" i="23" s="1"/>
  <c r="W10" i="42"/>
  <c r="AA61" i="35"/>
  <c r="L307" i="39"/>
  <c r="CP307" i="39" s="1"/>
  <c r="AH13" i="43"/>
  <c r="O154" i="41"/>
  <c r="W147" i="41"/>
  <c r="AA17" i="43"/>
  <c r="CJ135" i="42"/>
  <c r="P235" i="42"/>
  <c r="P17" i="44"/>
  <c r="P19" i="38"/>
  <c r="AJ135" i="42"/>
  <c r="P300" i="39"/>
  <c r="P309" i="42"/>
  <c r="AD56" i="35"/>
  <c r="AD36" i="35"/>
  <c r="AD38" i="35" s="1"/>
  <c r="O299" i="39"/>
  <c r="CV299" i="39" s="1"/>
  <c r="O16" i="44"/>
  <c r="Z16" i="43"/>
  <c r="U146" i="41"/>
  <c r="X26" i="28"/>
  <c r="U19" i="6"/>
  <c r="W10" i="3"/>
  <c r="U5" i="30"/>
  <c r="U6" i="30" s="1"/>
  <c r="R135" i="42"/>
  <c r="V8" i="30"/>
  <c r="CO12" i="42"/>
  <c r="U19" i="42"/>
  <c r="U16" i="42"/>
  <c r="AG11" i="41"/>
  <c r="AG119" i="41" s="1"/>
  <c r="Z42" i="23"/>
  <c r="Z13" i="23"/>
  <c r="T127" i="42"/>
  <c r="CN16" i="42"/>
  <c r="AE15" i="41"/>
  <c r="AE123" i="41" s="1"/>
  <c r="V33" i="28"/>
  <c r="U43" i="3"/>
  <c r="U44" i="3" s="1"/>
  <c r="U41" i="3"/>
  <c r="O24" i="6"/>
  <c r="Q360" i="39"/>
  <c r="CZ300" i="39"/>
  <c r="Q43" i="3"/>
  <c r="Q44" i="3" s="1"/>
  <c r="R33" i="28"/>
  <c r="R23" i="6"/>
  <c r="U37" i="28" s="1"/>
  <c r="R24" i="6"/>
  <c r="Q179" i="38"/>
  <c r="Q87" i="38"/>
  <c r="T135" i="42"/>
  <c r="X8" i="30"/>
  <c r="U34" i="28"/>
  <c r="R5" i="6"/>
  <c r="F43" i="3"/>
  <c r="F44" i="3" s="1"/>
  <c r="G33" i="28"/>
  <c r="Q320" i="39"/>
  <c r="Q54" i="38"/>
  <c r="G43" i="3"/>
  <c r="G44" i="3" s="1"/>
  <c r="H33" i="28"/>
  <c r="T33" i="28"/>
  <c r="S43" i="3"/>
  <c r="S44" i="3" s="1"/>
  <c r="S41" i="3"/>
  <c r="AN29" i="40" l="1"/>
  <c r="AN61" i="40"/>
  <c r="B14" i="34"/>
  <c r="V37" i="28"/>
  <c r="S24" i="6"/>
  <c r="R37" i="28"/>
  <c r="T23" i="6"/>
  <c r="W37" i="28" s="1"/>
  <c r="T24" i="6"/>
  <c r="D24" i="6"/>
  <c r="E23" i="6"/>
  <c r="H37" i="28" s="1"/>
  <c r="N43" i="3"/>
  <c r="N44" i="3" s="1"/>
  <c r="L5" i="6" s="1"/>
  <c r="E24" i="6"/>
  <c r="D23" i="6"/>
  <c r="G37" i="28" s="1"/>
  <c r="L33" i="28"/>
  <c r="M23" i="6"/>
  <c r="H43" i="3"/>
  <c r="H44" i="3" s="1"/>
  <c r="I34" i="28" s="1"/>
  <c r="I37" i="3"/>
  <c r="G22" i="6"/>
  <c r="J32" i="28"/>
  <c r="I32" i="28"/>
  <c r="K22" i="6"/>
  <c r="L24" i="6" s="1"/>
  <c r="M37" i="3"/>
  <c r="N32" i="28"/>
  <c r="Q33" i="28"/>
  <c r="Q37" i="28"/>
  <c r="M24" i="6"/>
  <c r="N24" i="6"/>
  <c r="E43" i="3"/>
  <c r="E44" i="3" s="1"/>
  <c r="C5" i="6" s="1"/>
  <c r="C26" i="6" s="1"/>
  <c r="F20" i="6"/>
  <c r="G20" i="6"/>
  <c r="O43" i="3"/>
  <c r="O44" i="3" s="1"/>
  <c r="P34" i="28" s="1"/>
  <c r="F22" i="6"/>
  <c r="M20" i="6"/>
  <c r="L20" i="6"/>
  <c r="J22" i="6"/>
  <c r="J24" i="6" s="1"/>
  <c r="M32" i="28"/>
  <c r="L37" i="3"/>
  <c r="S32" i="28"/>
  <c r="R37" i="3"/>
  <c r="R11" i="3"/>
  <c r="P22" i="6"/>
  <c r="P9" i="30"/>
  <c r="P7" i="30"/>
  <c r="Q20" i="6"/>
  <c r="P20" i="6"/>
  <c r="I20" i="6"/>
  <c r="H20" i="6"/>
  <c r="H22" i="6"/>
  <c r="J37" i="3"/>
  <c r="K32" i="28"/>
  <c r="W33" i="28"/>
  <c r="V41" i="3"/>
  <c r="T5" i="6"/>
  <c r="Z44" i="23"/>
  <c r="Z45" i="23" s="1"/>
  <c r="Z14" i="23"/>
  <c r="CO19" i="42"/>
  <c r="U130" i="42"/>
  <c r="AG18" i="41"/>
  <c r="AG124" i="41" s="1"/>
  <c r="U7" i="30"/>
  <c r="U9" i="30"/>
  <c r="AJ300" i="39"/>
  <c r="EL300" i="39" s="1"/>
  <c r="DD135" i="42"/>
  <c r="BK147" i="41"/>
  <c r="AJ19" i="38"/>
  <c r="AB88" i="35"/>
  <c r="AE11" i="23" s="1"/>
  <c r="AE41" i="23" s="1"/>
  <c r="AB61" i="35"/>
  <c r="V13" i="44"/>
  <c r="L146" i="42"/>
  <c r="L233" i="42"/>
  <c r="L310" i="39"/>
  <c r="CP310" i="39" s="1"/>
  <c r="L147" i="42"/>
  <c r="CF145" i="42"/>
  <c r="O157" i="41"/>
  <c r="AK13" i="43"/>
  <c r="X17" i="6"/>
  <c r="O17" i="44"/>
  <c r="Z17" i="43"/>
  <c r="W146" i="41"/>
  <c r="P299" i="39"/>
  <c r="CX299" i="39" s="1"/>
  <c r="K311" i="39"/>
  <c r="CN311" i="39" s="1"/>
  <c r="AL12" i="43"/>
  <c r="M158" i="41"/>
  <c r="Q25" i="42"/>
  <c r="Y23" i="41"/>
  <c r="Y125" i="41" s="1"/>
  <c r="Y126" i="41" s="1"/>
  <c r="Z126" i="41" s="1"/>
  <c r="CK24" i="42"/>
  <c r="AF16" i="43"/>
  <c r="O305" i="39"/>
  <c r="CV305" i="39" s="1"/>
  <c r="CI140" i="42"/>
  <c r="O141" i="42"/>
  <c r="O24" i="38"/>
  <c r="O25" i="38" s="1"/>
  <c r="O26" i="38" s="1"/>
  <c r="U152" i="41"/>
  <c r="S22" i="42"/>
  <c r="Y9" i="3"/>
  <c r="U22" i="6"/>
  <c r="U24" i="6" s="1"/>
  <c r="W11" i="3"/>
  <c r="W37" i="3"/>
  <c r="X32" i="28"/>
  <c r="AD77" i="35"/>
  <c r="AD78" i="35" s="1"/>
  <c r="AD80" i="35" s="1"/>
  <c r="AD57" i="35"/>
  <c r="AD59" i="35" s="1"/>
  <c r="P179" i="38"/>
  <c r="P87" i="38"/>
  <c r="P21" i="38"/>
  <c r="P22" i="38" s="1"/>
  <c r="AB40" i="23"/>
  <c r="AB12" i="23"/>
  <c r="AG26" i="22"/>
  <c r="AB82" i="35"/>
  <c r="AB84" i="35" s="1"/>
  <c r="AB85" i="35" s="1"/>
  <c r="AC77" i="35"/>
  <c r="AC78" i="35" s="1"/>
  <c r="AC80" i="35" s="1"/>
  <c r="AC57" i="35"/>
  <c r="AC59" i="35" s="1"/>
  <c r="K312" i="39"/>
  <c r="CN312" i="39" s="1"/>
  <c r="M159" i="41"/>
  <c r="K31" i="38"/>
  <c r="AM12" i="43"/>
  <c r="S135" i="42"/>
  <c r="W8" i="30"/>
  <c r="S12" i="38"/>
  <c r="AC141" i="41"/>
  <c r="R20" i="43" s="1"/>
  <c r="S293" i="39"/>
  <c r="DD293" i="39" s="1"/>
  <c r="V19" i="42"/>
  <c r="V16" i="42"/>
  <c r="CP12" i="42"/>
  <c r="AI11" i="41"/>
  <c r="AI119" i="41" s="1"/>
  <c r="AK10" i="41"/>
  <c r="CQ11" i="42"/>
  <c r="L22" i="43"/>
  <c r="I22" i="44"/>
  <c r="AG135" i="41"/>
  <c r="U20" i="6"/>
  <c r="AE50" i="22"/>
  <c r="AE54" i="22" s="1"/>
  <c r="AC10" i="23"/>
  <c r="AE46" i="22"/>
  <c r="AD47" i="22"/>
  <c r="AA8" i="3"/>
  <c r="AG15" i="43"/>
  <c r="N144" i="42"/>
  <c r="N306" i="39"/>
  <c r="CT306" i="39" s="1"/>
  <c r="CH141" i="42"/>
  <c r="S15" i="44"/>
  <c r="N142" i="42"/>
  <c r="S153" i="41"/>
  <c r="W149" i="41"/>
  <c r="P236" i="42"/>
  <c r="G213" i="42" s="1"/>
  <c r="AC17" i="43"/>
  <c r="P302" i="39"/>
  <c r="CX302" i="39" s="1"/>
  <c r="P140" i="42"/>
  <c r="CJ137" i="42"/>
  <c r="P138" i="42"/>
  <c r="R17" i="44"/>
  <c r="K318" i="39"/>
  <c r="K52" i="38"/>
  <c r="AU296" i="42"/>
  <c r="K239" i="42"/>
  <c r="K296" i="42"/>
  <c r="K238" i="42"/>
  <c r="O55" i="38"/>
  <c r="O321" i="39"/>
  <c r="X10" i="3"/>
  <c r="V19" i="6"/>
  <c r="V5" i="30"/>
  <c r="V6" i="30" s="1"/>
  <c r="J21" i="44"/>
  <c r="Q21" i="43"/>
  <c r="CN127" i="42"/>
  <c r="T292" i="39"/>
  <c r="DF292" i="39" s="1"/>
  <c r="AE140" i="41"/>
  <c r="T128" i="42"/>
  <c r="T11" i="38"/>
  <c r="T246" i="42"/>
  <c r="U127" i="42"/>
  <c r="AG15" i="41"/>
  <c r="AG123" i="41" s="1"/>
  <c r="CO16" i="42"/>
  <c r="P19" i="44"/>
  <c r="AA19" i="43"/>
  <c r="R309" i="42"/>
  <c r="CL135" i="42"/>
  <c r="AA147" i="41"/>
  <c r="R235" i="42"/>
  <c r="R19" i="38"/>
  <c r="R300" i="39"/>
  <c r="CX300" i="39"/>
  <c r="P360" i="39"/>
  <c r="P320" i="39"/>
  <c r="P54" i="38"/>
  <c r="CQ10" i="42"/>
  <c r="W12" i="42"/>
  <c r="AK9" i="41"/>
  <c r="AH14" i="43"/>
  <c r="Q154" i="41"/>
  <c r="M307" i="39"/>
  <c r="CR307" i="39" s="1"/>
  <c r="M145" i="42"/>
  <c r="M309" i="39"/>
  <c r="CR309" i="39" s="1"/>
  <c r="CG144" i="42"/>
  <c r="M28" i="38"/>
  <c r="M29" i="38" s="1"/>
  <c r="M30" i="38" s="1"/>
  <c r="U14" i="44"/>
  <c r="Q156" i="41"/>
  <c r="AJ14" i="43"/>
  <c r="K21" i="44"/>
  <c r="T295" i="39"/>
  <c r="DF295" i="39" s="1"/>
  <c r="V21" i="43"/>
  <c r="T14" i="38"/>
  <c r="AA42" i="23"/>
  <c r="AA13" i="23"/>
  <c r="Q15" i="38"/>
  <c r="Q17" i="38" s="1"/>
  <c r="CK131" i="42"/>
  <c r="Y143" i="41"/>
  <c r="W18" i="43"/>
  <c r="Q133" i="42"/>
  <c r="Q296" i="39"/>
  <c r="CZ296" i="39" s="1"/>
  <c r="Q249" i="42"/>
  <c r="Q252" i="42"/>
  <c r="O303" i="39"/>
  <c r="CV303" i="39" s="1"/>
  <c r="AD16" i="43"/>
  <c r="U150" i="41"/>
  <c r="AF30" i="22"/>
  <c r="AF31" i="22" s="1"/>
  <c r="AF42" i="22"/>
  <c r="R131" i="42"/>
  <c r="CL22" i="42"/>
  <c r="AA21" i="41"/>
  <c r="R24" i="42"/>
  <c r="R26" i="6"/>
  <c r="R30" i="6" s="1"/>
  <c r="W31" i="28"/>
  <c r="U31" i="28"/>
  <c r="H34" i="28"/>
  <c r="E5" i="6"/>
  <c r="G34" i="28"/>
  <c r="D5" i="6"/>
  <c r="Q34" i="28"/>
  <c r="N5" i="6"/>
  <c r="N26" i="6" s="1"/>
  <c r="T300" i="39"/>
  <c r="AA21" i="43"/>
  <c r="T19" i="38"/>
  <c r="AE147" i="41"/>
  <c r="P21" i="44"/>
  <c r="CN135" i="42"/>
  <c r="T309" i="42"/>
  <c r="T235" i="42"/>
  <c r="AM10" i="42"/>
  <c r="L34" i="28"/>
  <c r="I5" i="6"/>
  <c r="V34" i="28"/>
  <c r="S5" i="6"/>
  <c r="S26" i="6" s="1"/>
  <c r="Q5" i="6"/>
  <c r="T34" i="28"/>
  <c r="R34" i="28"/>
  <c r="R31" i="28" s="1"/>
  <c r="O5" i="6"/>
  <c r="O26" i="6" s="1"/>
  <c r="AN30" i="40" l="1"/>
  <c r="AN62" i="40"/>
  <c r="H31" i="28"/>
  <c r="V31" i="28"/>
  <c r="T26" i="6"/>
  <c r="T30" i="6" s="1"/>
  <c r="E26" i="6"/>
  <c r="E29" i="6" s="1"/>
  <c r="D26" i="6"/>
  <c r="D10" i="30" s="1"/>
  <c r="M5" i="6"/>
  <c r="M26" i="6" s="1"/>
  <c r="M30" i="6" s="1"/>
  <c r="O34" i="28"/>
  <c r="P37" i="28"/>
  <c r="P31" i="28" s="1"/>
  <c r="F5" i="6"/>
  <c r="G31" i="28"/>
  <c r="L23" i="6"/>
  <c r="O37" i="28" s="1"/>
  <c r="J33" i="28"/>
  <c r="I43" i="3"/>
  <c r="I44" i="3" s="1"/>
  <c r="F34" i="28"/>
  <c r="F31" i="28" s="1"/>
  <c r="N33" i="28"/>
  <c r="M43" i="3"/>
  <c r="M44" i="3" s="1"/>
  <c r="Q31" i="28"/>
  <c r="F24" i="6"/>
  <c r="F23" i="6"/>
  <c r="I37" i="28" s="1"/>
  <c r="I31" i="28" s="1"/>
  <c r="I40" i="28" s="1"/>
  <c r="G23" i="6"/>
  <c r="J37" i="28" s="1"/>
  <c r="G24" i="6"/>
  <c r="L43" i="3"/>
  <c r="L44" i="3" s="1"/>
  <c r="M33" i="28"/>
  <c r="K23" i="6"/>
  <c r="N37" i="28" s="1"/>
  <c r="J23" i="6"/>
  <c r="M37" i="28" s="1"/>
  <c r="K24" i="6"/>
  <c r="Q24" i="6"/>
  <c r="P23" i="6"/>
  <c r="S37" i="28" s="1"/>
  <c r="P24" i="6"/>
  <c r="Q23" i="6"/>
  <c r="T37" i="28" s="1"/>
  <c r="T31" i="28" s="1"/>
  <c r="S33" i="28"/>
  <c r="R43" i="3"/>
  <c r="R44" i="3" s="1"/>
  <c r="R41" i="3"/>
  <c r="H24" i="6"/>
  <c r="I23" i="6"/>
  <c r="L37" i="28" s="1"/>
  <c r="L31" i="28" s="1"/>
  <c r="I24" i="6"/>
  <c r="H23" i="6"/>
  <c r="K37" i="28" s="1"/>
  <c r="K213" i="42"/>
  <c r="I180" i="42" s="1"/>
  <c r="J43" i="3"/>
  <c r="J44" i="3" s="1"/>
  <c r="K33" i="28"/>
  <c r="R29" i="6"/>
  <c r="R10" i="30"/>
  <c r="AF59" i="6"/>
  <c r="I179" i="42"/>
  <c r="F179" i="42"/>
  <c r="Q253" i="42"/>
  <c r="AA14" i="23"/>
  <c r="AA44" i="23"/>
  <c r="AA45" i="23" s="1"/>
  <c r="DB300" i="39"/>
  <c r="R360" i="39"/>
  <c r="K240" i="42"/>
  <c r="K324" i="39"/>
  <c r="K58" i="38"/>
  <c r="V20" i="6"/>
  <c r="AC88" i="35"/>
  <c r="AF11" i="23" s="1"/>
  <c r="AF41" i="23" s="1"/>
  <c r="AC61" i="35"/>
  <c r="AB42" i="23"/>
  <c r="AB13" i="23"/>
  <c r="Y10" i="3"/>
  <c r="W19" i="6"/>
  <c r="W20" i="6" s="1"/>
  <c r="W5" i="30"/>
  <c r="W6" i="30" s="1"/>
  <c r="S16" i="44"/>
  <c r="O306" i="39"/>
  <c r="CV306" i="39" s="1"/>
  <c r="O142" i="42"/>
  <c r="U153" i="41"/>
  <c r="AG16" i="43"/>
  <c r="O144" i="42"/>
  <c r="CI141" i="42"/>
  <c r="AV296" i="42"/>
  <c r="L52" i="38"/>
  <c r="L239" i="42"/>
  <c r="L240" i="42" s="1"/>
  <c r="L318" i="39"/>
  <c r="L296" i="42"/>
  <c r="L238" i="42"/>
  <c r="U295" i="39"/>
  <c r="DH295" i="39" s="1"/>
  <c r="V22" i="43"/>
  <c r="K22" i="44"/>
  <c r="U14" i="38"/>
  <c r="Q250" i="42"/>
  <c r="Z9" i="3"/>
  <c r="T22" i="42"/>
  <c r="M233" i="42"/>
  <c r="AK14" i="43"/>
  <c r="M147" i="42"/>
  <c r="M310" i="39"/>
  <c r="CR310" i="39" s="1"/>
  <c r="V14" i="44"/>
  <c r="M146" i="42"/>
  <c r="CG145" i="42"/>
  <c r="Q157" i="41"/>
  <c r="R87" i="38"/>
  <c r="R179" i="38"/>
  <c r="AE141" i="41"/>
  <c r="R21" i="43" s="1"/>
  <c r="T293" i="39"/>
  <c r="DF293" i="39" s="1"/>
  <c r="T12" i="38"/>
  <c r="X37" i="3"/>
  <c r="V22" i="6"/>
  <c r="V24" i="6" s="1"/>
  <c r="X11" i="3"/>
  <c r="AD17" i="43"/>
  <c r="P303" i="39"/>
  <c r="CX303" i="39" s="1"/>
  <c r="W150" i="41"/>
  <c r="AH15" i="43"/>
  <c r="S154" i="41"/>
  <c r="N307" i="39"/>
  <c r="CT307" i="39" s="1"/>
  <c r="N28" i="38"/>
  <c r="N29" i="38" s="1"/>
  <c r="N30" i="38" s="1"/>
  <c r="CH144" i="42"/>
  <c r="N309" i="39"/>
  <c r="CT309" i="39" s="1"/>
  <c r="N145" i="42"/>
  <c r="AJ15" i="43"/>
  <c r="S156" i="41"/>
  <c r="U15" i="44"/>
  <c r="AE47" i="22"/>
  <c r="AB8" i="3"/>
  <c r="V127" i="42"/>
  <c r="AI15" i="41"/>
  <c r="AI123" i="41" s="1"/>
  <c r="CP16" i="42"/>
  <c r="AC82" i="35"/>
  <c r="AC84" i="35" s="1"/>
  <c r="AC85" i="35" s="1"/>
  <c r="AH26" i="22"/>
  <c r="X22" i="42"/>
  <c r="AD61" i="35"/>
  <c r="AD88" i="35"/>
  <c r="AG11" i="23" s="1"/>
  <c r="AG41" i="23" s="1"/>
  <c r="X10" i="42"/>
  <c r="W43" i="3"/>
  <c r="W44" i="3" s="1"/>
  <c r="W41" i="3"/>
  <c r="X33" i="28"/>
  <c r="S24" i="42"/>
  <c r="S131" i="42"/>
  <c r="AC21" i="41"/>
  <c r="CM22" i="42"/>
  <c r="AL13" i="43"/>
  <c r="L311" i="39"/>
  <c r="CP311" i="39" s="1"/>
  <c r="O158" i="41"/>
  <c r="R296" i="39"/>
  <c r="DB296" i="39" s="1"/>
  <c r="R15" i="38"/>
  <c r="R17" i="38" s="1"/>
  <c r="R249" i="42"/>
  <c r="R250" i="42" s="1"/>
  <c r="AA143" i="41"/>
  <c r="R252" i="42"/>
  <c r="W19" i="43"/>
  <c r="R133" i="42"/>
  <c r="CL131" i="42"/>
  <c r="AK11" i="41"/>
  <c r="AK119" i="41" s="1"/>
  <c r="W16" i="42"/>
  <c r="CQ12" i="42"/>
  <c r="W19" i="42"/>
  <c r="R320" i="39"/>
  <c r="R54" i="38"/>
  <c r="J22" i="44"/>
  <c r="CO127" i="42"/>
  <c r="U246" i="42"/>
  <c r="U247" i="42" s="1"/>
  <c r="U128" i="42"/>
  <c r="Q22" i="43"/>
  <c r="AM128" i="42"/>
  <c r="AM293" i="39" s="1"/>
  <c r="EP293" i="39" s="1"/>
  <c r="AG140" i="41"/>
  <c r="U11" i="38"/>
  <c r="U292" i="39"/>
  <c r="DH292" i="39" s="1"/>
  <c r="K57" i="38"/>
  <c r="K323" i="39"/>
  <c r="P321" i="39"/>
  <c r="P55" i="38"/>
  <c r="AC12" i="23"/>
  <c r="AC42" i="23" s="1"/>
  <c r="AC40" i="23"/>
  <c r="AI18" i="41"/>
  <c r="AI124" i="41" s="1"/>
  <c r="CP19" i="42"/>
  <c r="V130" i="42"/>
  <c r="AI26" i="22"/>
  <c r="AD82" i="35"/>
  <c r="AD84" i="35" s="1"/>
  <c r="AD85" i="35" s="1"/>
  <c r="X11" i="42"/>
  <c r="CK25" i="42"/>
  <c r="Y24" i="41"/>
  <c r="L312" i="39"/>
  <c r="CP312" i="39" s="1"/>
  <c r="AM13" i="43"/>
  <c r="L31" i="38"/>
  <c r="O159" i="41"/>
  <c r="R25" i="42"/>
  <c r="CL24" i="42"/>
  <c r="AA23" i="41"/>
  <c r="AA125" i="41" s="1"/>
  <c r="AA126" i="41" s="1"/>
  <c r="AB126" i="41" s="1"/>
  <c r="AF46" i="22"/>
  <c r="AC8" i="3" s="1"/>
  <c r="AA16" i="6" s="1"/>
  <c r="AD10" i="23"/>
  <c r="AF50" i="22"/>
  <c r="AF54" i="22" s="1"/>
  <c r="AF55" i="22" s="1"/>
  <c r="Y18" i="43"/>
  <c r="Q298" i="39"/>
  <c r="CZ298" i="39" s="1"/>
  <c r="N18" i="44"/>
  <c r="CK133" i="42"/>
  <c r="Y145" i="41"/>
  <c r="Q134" i="42"/>
  <c r="Q137" i="42"/>
  <c r="Q18" i="38"/>
  <c r="Q21" i="38"/>
  <c r="Q22" i="38" s="1"/>
  <c r="T247" i="42"/>
  <c r="V9" i="30"/>
  <c r="V7" i="30"/>
  <c r="K347" i="39"/>
  <c r="AU347" i="39"/>
  <c r="P141" i="42"/>
  <c r="AF17" i="43"/>
  <c r="AJ140" i="42"/>
  <c r="P24" i="38"/>
  <c r="P25" i="38" s="1"/>
  <c r="P26" i="38" s="1"/>
  <c r="W152" i="41"/>
  <c r="P305" i="39"/>
  <c r="CX305" i="39" s="1"/>
  <c r="CJ140" i="42"/>
  <c r="AA24" i="3"/>
  <c r="Y4" i="30"/>
  <c r="Y16" i="6"/>
  <c r="AA26" i="3"/>
  <c r="AA33" i="3" s="1"/>
  <c r="AE55" i="22"/>
  <c r="L23" i="43"/>
  <c r="AI135" i="41"/>
  <c r="I23" i="44"/>
  <c r="S19" i="38"/>
  <c r="CM135" i="42"/>
  <c r="P20" i="44"/>
  <c r="S300" i="39"/>
  <c r="AA20" i="43"/>
  <c r="S235" i="42"/>
  <c r="S309" i="42"/>
  <c r="AC147" i="41"/>
  <c r="AG42" i="22"/>
  <c r="AG30" i="22"/>
  <c r="AG31" i="22" s="1"/>
  <c r="U23" i="6"/>
  <c r="O10" i="30"/>
  <c r="O29" i="6"/>
  <c r="O30" i="6"/>
  <c r="DF10" i="42"/>
  <c r="BP9" i="41"/>
  <c r="DF300" i="39"/>
  <c r="T360" i="39"/>
  <c r="N10" i="30"/>
  <c r="N29" i="6"/>
  <c r="N30" i="6"/>
  <c r="T54" i="38"/>
  <c r="T320" i="39"/>
  <c r="AF62" i="6"/>
  <c r="S29" i="6"/>
  <c r="S30" i="6"/>
  <c r="S10" i="30"/>
  <c r="T87" i="38"/>
  <c r="T179" i="38"/>
  <c r="AJ131" i="42"/>
  <c r="C29" i="6"/>
  <c r="C10" i="30"/>
  <c r="C27" i="6"/>
  <c r="AG45" i="6"/>
  <c r="AM12" i="42"/>
  <c r="AN31" i="40" l="1"/>
  <c r="AN63" i="40"/>
  <c r="AF61" i="6"/>
  <c r="T29" i="6"/>
  <c r="AF60" i="6"/>
  <c r="AG46" i="6"/>
  <c r="AG47" i="6"/>
  <c r="T10" i="30"/>
  <c r="D29" i="6"/>
  <c r="E10" i="30"/>
  <c r="D27" i="6"/>
  <c r="E27" i="6" s="1"/>
  <c r="O31" i="28"/>
  <c r="L26" i="6"/>
  <c r="G5" i="6"/>
  <c r="G26" i="6" s="1"/>
  <c r="J34" i="28"/>
  <c r="J31" i="28" s="1"/>
  <c r="M29" i="6"/>
  <c r="M10" i="30"/>
  <c r="N34" i="28"/>
  <c r="N31" i="28" s="1"/>
  <c r="K5" i="6"/>
  <c r="K26" i="6" s="1"/>
  <c r="F26" i="6"/>
  <c r="F180" i="42"/>
  <c r="HP2" i="43" s="1"/>
  <c r="M34" i="28"/>
  <c r="M31" i="28" s="1"/>
  <c r="J5" i="6"/>
  <c r="J26" i="6" s="1"/>
  <c r="V23" i="6"/>
  <c r="I26" i="6"/>
  <c r="S34" i="28"/>
  <c r="S31" i="28" s="1"/>
  <c r="P5" i="6"/>
  <c r="P26" i="6" s="1"/>
  <c r="Q26" i="6"/>
  <c r="H5" i="6"/>
  <c r="H26" i="6" s="1"/>
  <c r="K34" i="28"/>
  <c r="K31" i="28" s="1"/>
  <c r="AC24" i="3"/>
  <c r="AA4" i="30"/>
  <c r="AC26" i="3"/>
  <c r="AC33" i="3" s="1"/>
  <c r="W135" i="42" s="1"/>
  <c r="AC13" i="23"/>
  <c r="AC14" i="23" s="1"/>
  <c r="Q255" i="42"/>
  <c r="AG50" i="22"/>
  <c r="AG54" i="22" s="1"/>
  <c r="AG55" i="22" s="1"/>
  <c r="AG46" i="22"/>
  <c r="AE10" i="23"/>
  <c r="S87" i="38"/>
  <c r="S179" i="38"/>
  <c r="P306" i="39"/>
  <c r="CX306" i="39" s="1"/>
  <c r="S17" i="44"/>
  <c r="CJ141" i="42"/>
  <c r="W153" i="41"/>
  <c r="P144" i="42"/>
  <c r="AJ144" i="42" s="1"/>
  <c r="AG17" i="43"/>
  <c r="P142" i="42"/>
  <c r="CR11" i="42"/>
  <c r="AM10" i="41"/>
  <c r="V22" i="42"/>
  <c r="AB9" i="3"/>
  <c r="AG141" i="41"/>
  <c r="R22" i="43" s="1"/>
  <c r="U12" i="38"/>
  <c r="U293" i="39"/>
  <c r="DH293" i="39" s="1"/>
  <c r="CQ16" i="42"/>
  <c r="W127" i="42"/>
  <c r="AK15" i="41"/>
  <c r="AK123" i="41" s="1"/>
  <c r="R21" i="38"/>
  <c r="R22" i="38" s="1"/>
  <c r="R18" i="38"/>
  <c r="S25" i="42"/>
  <c r="CM24" i="42"/>
  <c r="AC23" i="41"/>
  <c r="AC125" i="41" s="1"/>
  <c r="AC126" i="41" s="1"/>
  <c r="AD126" i="41" s="1"/>
  <c r="AM9" i="41"/>
  <c r="X24" i="42"/>
  <c r="X12" i="42"/>
  <c r="CR10" i="42"/>
  <c r="AH30" i="22"/>
  <c r="AH42" i="22"/>
  <c r="V128" i="42"/>
  <c r="V292" i="39"/>
  <c r="DJ292" i="39" s="1"/>
  <c r="V11" i="38"/>
  <c r="Q23" i="43"/>
  <c r="V246" i="42"/>
  <c r="V247" i="42" s="1"/>
  <c r="CP127" i="42"/>
  <c r="J23" i="44"/>
  <c r="AI140" i="41"/>
  <c r="X43" i="3"/>
  <c r="X44" i="3" s="1"/>
  <c r="V5" i="6" s="1"/>
  <c r="X41" i="3"/>
  <c r="M311" i="39"/>
  <c r="CR311" i="39" s="1"/>
  <c r="AL14" i="43"/>
  <c r="Q158" i="41"/>
  <c r="W9" i="30"/>
  <c r="W7" i="30"/>
  <c r="U22" i="42"/>
  <c r="AA9" i="3"/>
  <c r="S360" i="39"/>
  <c r="DD300" i="39"/>
  <c r="Q302" i="39"/>
  <c r="CZ302" i="39" s="1"/>
  <c r="Y149" i="41"/>
  <c r="Q236" i="42"/>
  <c r="Q140" i="42"/>
  <c r="AC18" i="43"/>
  <c r="Q138" i="42"/>
  <c r="R18" i="44"/>
  <c r="CK137" i="42"/>
  <c r="AD12" i="23"/>
  <c r="AD40" i="23"/>
  <c r="CL25" i="42"/>
  <c r="AA24" i="41"/>
  <c r="AK135" i="41"/>
  <c r="I24" i="44"/>
  <c r="L24" i="43"/>
  <c r="Z4" i="30"/>
  <c r="Z16" i="6"/>
  <c r="Z17" i="6" s="1"/>
  <c r="AB24" i="3"/>
  <c r="AB26" i="3"/>
  <c r="AB33" i="3" s="1"/>
  <c r="M318" i="39"/>
  <c r="M52" i="38"/>
  <c r="M296" i="42"/>
  <c r="M238" i="42"/>
  <c r="AW296" i="42"/>
  <c r="M239" i="42"/>
  <c r="M240" i="42" s="1"/>
  <c r="AV347" i="39"/>
  <c r="L347" i="39"/>
  <c r="U154" i="41"/>
  <c r="O307" i="39"/>
  <c r="CV307" i="39" s="1"/>
  <c r="AH16" i="43"/>
  <c r="R253" i="42"/>
  <c r="R255" i="42" s="1"/>
  <c r="Y8" i="30"/>
  <c r="U135" i="42"/>
  <c r="DD140" i="42"/>
  <c r="BK152" i="41"/>
  <c r="AJ305" i="39"/>
  <c r="EL305" i="39" s="1"/>
  <c r="AJ24" i="38"/>
  <c r="Q299" i="39"/>
  <c r="CZ299" i="39" s="1"/>
  <c r="Y146" i="41"/>
  <c r="O18" i="44"/>
  <c r="Z18" i="43"/>
  <c r="AI30" i="22"/>
  <c r="AI42" i="22"/>
  <c r="EP2" i="44"/>
  <c r="HV2" i="43"/>
  <c r="AK18" i="41"/>
  <c r="AK124" i="41" s="1"/>
  <c r="W130" i="42"/>
  <c r="CQ19" i="42"/>
  <c r="AF47" i="22"/>
  <c r="T131" i="42"/>
  <c r="CN22" i="42"/>
  <c r="T24" i="42"/>
  <c r="AE21" i="41"/>
  <c r="L59" i="38"/>
  <c r="L325" i="39"/>
  <c r="L324" i="39"/>
  <c r="L58" i="38"/>
  <c r="O28" i="38"/>
  <c r="O29" i="38" s="1"/>
  <c r="O30" i="38" s="1"/>
  <c r="O145" i="42"/>
  <c r="U156" i="41"/>
  <c r="U16" i="44"/>
  <c r="CI144" i="42"/>
  <c r="O309" i="39"/>
  <c r="CV309" i="39" s="1"/>
  <c r="AJ16" i="43"/>
  <c r="Y11" i="3"/>
  <c r="Y37" i="3"/>
  <c r="W22" i="6"/>
  <c r="W24" i="6" s="1"/>
  <c r="K59" i="38"/>
  <c r="K325" i="39"/>
  <c r="HF2" i="43"/>
  <c r="EB2" i="44"/>
  <c r="S54" i="38"/>
  <c r="S320" i="39"/>
  <c r="Y17" i="6"/>
  <c r="V23" i="43"/>
  <c r="V295" i="39"/>
  <c r="DJ295" i="39" s="1"/>
  <c r="K23" i="44"/>
  <c r="V14" i="38"/>
  <c r="Y19" i="43"/>
  <c r="R134" i="42"/>
  <c r="N19" i="44"/>
  <c r="CL133" i="42"/>
  <c r="R298" i="39"/>
  <c r="DB298" i="39" s="1"/>
  <c r="AA145" i="41"/>
  <c r="R137" i="42"/>
  <c r="S15" i="38"/>
  <c r="S17" i="38" s="1"/>
  <c r="CM131" i="42"/>
  <c r="W20" i="43"/>
  <c r="S252" i="42"/>
  <c r="S296" i="39"/>
  <c r="DD296" i="39" s="1"/>
  <c r="S133" i="42"/>
  <c r="AC143" i="41"/>
  <c r="S249" i="42"/>
  <c r="U5" i="6"/>
  <c r="U26" i="6" s="1"/>
  <c r="X34" i="28"/>
  <c r="X31" i="28" s="1"/>
  <c r="CR22" i="42"/>
  <c r="X131" i="42"/>
  <c r="AM21" i="41"/>
  <c r="CH145" i="42"/>
  <c r="N146" i="42"/>
  <c r="N147" i="42"/>
  <c r="S157" i="41"/>
  <c r="V15" i="44"/>
  <c r="N310" i="39"/>
  <c r="CT310" i="39" s="1"/>
  <c r="AK15" i="43"/>
  <c r="N233" i="42"/>
  <c r="Q159" i="41"/>
  <c r="M31" i="38"/>
  <c r="M312" i="39"/>
  <c r="CR312" i="39" s="1"/>
  <c r="AM14" i="43"/>
  <c r="Z10" i="3"/>
  <c r="X19" i="6"/>
  <c r="X5" i="30"/>
  <c r="X6" i="30" s="1"/>
  <c r="L323" i="39"/>
  <c r="L57" i="38"/>
  <c r="AB44" i="23"/>
  <c r="AB45" i="23" s="1"/>
  <c r="AB14" i="23"/>
  <c r="EH2" i="44"/>
  <c r="HL2" i="43"/>
  <c r="AM19" i="42"/>
  <c r="AJ296" i="39"/>
  <c r="EL296" i="39" s="1"/>
  <c r="BK143" i="41"/>
  <c r="AJ15" i="38"/>
  <c r="DD131" i="42"/>
  <c r="AM11" i="42"/>
  <c r="DF11" i="42" s="1"/>
  <c r="BP11" i="41"/>
  <c r="BP119" i="41" s="1"/>
  <c r="BP135" i="41" s="1"/>
  <c r="DF12" i="42"/>
  <c r="Q378" i="42"/>
  <c r="AJ16" i="42"/>
  <c r="AM16" i="42"/>
  <c r="AN32" i="40" l="1"/>
  <c r="AN64" i="40"/>
  <c r="F27" i="6"/>
  <c r="G27" i="6" s="1"/>
  <c r="H27" i="6" s="1"/>
  <c r="I27" i="6" s="1"/>
  <c r="J27" i="6" s="1"/>
  <c r="K27" i="6" s="1"/>
  <c r="L27" i="6" s="1"/>
  <c r="M27" i="6" s="1"/>
  <c r="N27" i="6" s="1"/>
  <c r="O27" i="6" s="1"/>
  <c r="L29" i="6"/>
  <c r="L30" i="6"/>
  <c r="L10" i="30"/>
  <c r="EJ2" i="44"/>
  <c r="G10" i="30"/>
  <c r="G29" i="6"/>
  <c r="F29" i="6"/>
  <c r="AG49" i="6"/>
  <c r="F10" i="30"/>
  <c r="AG48" i="6"/>
  <c r="AF50" i="6"/>
  <c r="K30" i="6"/>
  <c r="K29" i="6"/>
  <c r="K10" i="30"/>
  <c r="J29" i="6"/>
  <c r="J10" i="30"/>
  <c r="V26" i="6"/>
  <c r="V10" i="30" s="1"/>
  <c r="I10" i="30"/>
  <c r="I29" i="6"/>
  <c r="Q10" i="30"/>
  <c r="AF58" i="6"/>
  <c r="Q29" i="6"/>
  <c r="Q30" i="6"/>
  <c r="AF57" i="6"/>
  <c r="AF54" i="6"/>
  <c r="P10" i="30"/>
  <c r="G38" i="6"/>
  <c r="AF53" i="6"/>
  <c r="AF51" i="6"/>
  <c r="P27" i="6"/>
  <c r="Q27" i="6" s="1"/>
  <c r="R27" i="6" s="1"/>
  <c r="S27" i="6" s="1"/>
  <c r="T27" i="6" s="1"/>
  <c r="U27" i="6" s="1"/>
  <c r="P30" i="6"/>
  <c r="P29" i="6"/>
  <c r="AF56" i="6"/>
  <c r="AF55" i="6"/>
  <c r="AF52" i="6"/>
  <c r="W23" i="6"/>
  <c r="AF49" i="6"/>
  <c r="AA8" i="30"/>
  <c r="AA17" i="6"/>
  <c r="AC44" i="23"/>
  <c r="AC45" i="23" s="1"/>
  <c r="H29" i="6"/>
  <c r="AG52" i="6"/>
  <c r="AG56" i="6"/>
  <c r="AG55" i="6"/>
  <c r="AG62" i="6"/>
  <c r="AH62" i="6" s="1"/>
  <c r="AG57" i="6"/>
  <c r="AG59" i="6"/>
  <c r="AH59" i="6" s="1"/>
  <c r="AF48" i="6"/>
  <c r="AG50" i="6"/>
  <c r="AG53" i="6"/>
  <c r="AG60" i="6"/>
  <c r="AH60" i="6" s="1"/>
  <c r="AF47" i="6"/>
  <c r="AH47" i="6" s="1"/>
  <c r="AF45" i="6"/>
  <c r="AH45" i="6" s="1"/>
  <c r="AF46" i="6"/>
  <c r="AH46" i="6" s="1"/>
  <c r="AG58" i="6"/>
  <c r="AF44" i="6"/>
  <c r="AH44" i="6" s="1"/>
  <c r="H10" i="30"/>
  <c r="AG51" i="6"/>
  <c r="AG54" i="6"/>
  <c r="AG61" i="6"/>
  <c r="AH61" i="6" s="1"/>
  <c r="P145" i="42"/>
  <c r="P147" i="42" s="1"/>
  <c r="M325" i="39"/>
  <c r="M59" i="38"/>
  <c r="X20" i="6"/>
  <c r="AM15" i="43"/>
  <c r="N31" i="38"/>
  <c r="S159" i="41"/>
  <c r="N312" i="39"/>
  <c r="CT312" i="39" s="1"/>
  <c r="X252" i="42"/>
  <c r="Y253" i="42" s="1"/>
  <c r="AM143" i="41"/>
  <c r="CR131" i="42"/>
  <c r="W25" i="43"/>
  <c r="X249" i="42"/>
  <c r="Y250" i="42" s="1"/>
  <c r="X296" i="39"/>
  <c r="DN296" i="39" s="1"/>
  <c r="X15" i="38"/>
  <c r="S250" i="42"/>
  <c r="Y41" i="3"/>
  <c r="Y43" i="3"/>
  <c r="Y44" i="3" s="1"/>
  <c r="W5" i="6" s="1"/>
  <c r="O146" i="42"/>
  <c r="O310" i="39"/>
  <c r="CV310" i="39" s="1"/>
  <c r="CI145" i="42"/>
  <c r="O233" i="42"/>
  <c r="U157" i="41"/>
  <c r="O147" i="42"/>
  <c r="V16" i="44"/>
  <c r="AK16" i="43"/>
  <c r="V24" i="43"/>
  <c r="W14" i="38"/>
  <c r="K24" i="44"/>
  <c r="W295" i="39"/>
  <c r="DL295" i="39" s="1"/>
  <c r="U19" i="38"/>
  <c r="CO135" i="42"/>
  <c r="AG147" i="41"/>
  <c r="U300" i="39"/>
  <c r="U309" i="42"/>
  <c r="P22" i="44"/>
  <c r="AA22" i="43"/>
  <c r="U235" i="42"/>
  <c r="V135" i="42"/>
  <c r="Z8" i="30"/>
  <c r="S253" i="42"/>
  <c r="AD18" i="43"/>
  <c r="Q303" i="39"/>
  <c r="CZ303" i="39" s="1"/>
  <c r="Y150" i="41"/>
  <c r="AA10" i="3"/>
  <c r="Y5" i="30"/>
  <c r="Y6" i="30" s="1"/>
  <c r="Y19" i="6"/>
  <c r="Y20" i="6" s="1"/>
  <c r="V12" i="38"/>
  <c r="AI141" i="41"/>
  <c r="R23" i="43" s="1"/>
  <c r="V293" i="39"/>
  <c r="DJ293" i="39" s="1"/>
  <c r="X19" i="42"/>
  <c r="AM11" i="41"/>
  <c r="AM119" i="41" s="1"/>
  <c r="X16" i="42"/>
  <c r="CR12" i="42"/>
  <c r="AE40" i="23"/>
  <c r="AE12" i="23"/>
  <c r="Z37" i="3"/>
  <c r="Z11" i="3"/>
  <c r="X22" i="6"/>
  <c r="X24" i="6" s="1"/>
  <c r="AL15" i="43"/>
  <c r="S158" i="41"/>
  <c r="N311" i="39"/>
  <c r="CT311" i="39" s="1"/>
  <c r="AA149" i="41"/>
  <c r="AC19" i="43"/>
  <c r="CL137" i="42"/>
  <c r="R302" i="39"/>
  <c r="DB302" i="39" s="1"/>
  <c r="R140" i="42"/>
  <c r="R19" i="44"/>
  <c r="R236" i="42"/>
  <c r="K215" i="42" s="1"/>
  <c r="R138" i="42"/>
  <c r="DD144" i="42"/>
  <c r="BK156" i="41"/>
  <c r="AJ28" i="38"/>
  <c r="AJ309" i="39"/>
  <c r="EL309" i="39" s="1"/>
  <c r="T252" i="42"/>
  <c r="T253" i="42" s="1"/>
  <c r="T15" i="38"/>
  <c r="T17" i="38" s="1"/>
  <c r="CN131" i="42"/>
  <c r="W21" i="43"/>
  <c r="AE143" i="41"/>
  <c r="T133" i="42"/>
  <c r="T249" i="42"/>
  <c r="T250" i="42" s="1"/>
  <c r="T296" i="39"/>
  <c r="DF296" i="39" s="1"/>
  <c r="M324" i="39"/>
  <c r="M58" i="38"/>
  <c r="AD42" i="23"/>
  <c r="AD13" i="23"/>
  <c r="CO22" i="42"/>
  <c r="U24" i="42"/>
  <c r="AM24" i="42" s="1"/>
  <c r="U131" i="42"/>
  <c r="AM131" i="42" s="1"/>
  <c r="AG21" i="41"/>
  <c r="AH46" i="22"/>
  <c r="AF10" i="23"/>
  <c r="AH50" i="22"/>
  <c r="AH54" i="22" s="1"/>
  <c r="AM23" i="41"/>
  <c r="AM125" i="41" s="1"/>
  <c r="CR24" i="42"/>
  <c r="X25" i="42"/>
  <c r="AC24" i="41"/>
  <c r="CM25" i="42"/>
  <c r="W292" i="39"/>
  <c r="DL292" i="39" s="1"/>
  <c r="CQ127" i="42"/>
  <c r="W246" i="42"/>
  <c r="W247" i="42" s="1"/>
  <c r="W128" i="42"/>
  <c r="J24" i="44"/>
  <c r="Q24" i="43"/>
  <c r="AK140" i="41"/>
  <c r="W11" i="38"/>
  <c r="AJ17" i="43"/>
  <c r="W156" i="41"/>
  <c r="P309" i="39"/>
  <c r="CX309" i="39" s="1"/>
  <c r="CJ144" i="42"/>
  <c r="U17" i="44"/>
  <c r="P28" i="38"/>
  <c r="P29" i="38" s="1"/>
  <c r="P30" i="38" s="1"/>
  <c r="AD8" i="3"/>
  <c r="AG47" i="22"/>
  <c r="CM133" i="42"/>
  <c r="S137" i="42"/>
  <c r="N20" i="44"/>
  <c r="S134" i="42"/>
  <c r="S298" i="39"/>
  <c r="DD298" i="39" s="1"/>
  <c r="AC145" i="41"/>
  <c r="Y20" i="43"/>
  <c r="AA146" i="41"/>
  <c r="R299" i="39"/>
  <c r="DB299" i="39" s="1"/>
  <c r="O19" i="44"/>
  <c r="Z19" i="43"/>
  <c r="AI46" i="22"/>
  <c r="AF8" i="3" s="1"/>
  <c r="AG10" i="23"/>
  <c r="AI50" i="22"/>
  <c r="AI54" i="22" s="1"/>
  <c r="Q141" i="42"/>
  <c r="Y152" i="41"/>
  <c r="AF18" i="43"/>
  <c r="CK140" i="42"/>
  <c r="Q305" i="39"/>
  <c r="CZ305" i="39" s="1"/>
  <c r="Q24" i="38"/>
  <c r="Q25" i="38" s="1"/>
  <c r="Q26" i="38" s="1"/>
  <c r="AH31" i="22"/>
  <c r="AI31" i="22"/>
  <c r="Z19" i="6"/>
  <c r="Z5" i="30"/>
  <c r="Z6" i="30" s="1"/>
  <c r="AB10" i="3"/>
  <c r="X9" i="30"/>
  <c r="X7" i="30"/>
  <c r="AX296" i="42"/>
  <c r="N239" i="42"/>
  <c r="N52" i="38"/>
  <c r="N296" i="42"/>
  <c r="N238" i="42"/>
  <c r="N318" i="39"/>
  <c r="AT35" i="6"/>
  <c r="AT36" i="6" s="1"/>
  <c r="AO35" i="6"/>
  <c r="AO36" i="6" s="1"/>
  <c r="AG35" i="6"/>
  <c r="AG36" i="6" s="1"/>
  <c r="AQ35" i="6"/>
  <c r="AQ36" i="6" s="1"/>
  <c r="AP35" i="6"/>
  <c r="AP36" i="6" s="1"/>
  <c r="AM35" i="6"/>
  <c r="AM36" i="6" s="1"/>
  <c r="AS35" i="6"/>
  <c r="AS36" i="6" s="1"/>
  <c r="BC35" i="6"/>
  <c r="BC36" i="6" s="1"/>
  <c r="AZ35" i="6"/>
  <c r="AZ36" i="6" s="1"/>
  <c r="AF35" i="6"/>
  <c r="AW35" i="6"/>
  <c r="AW36" i="6" s="1"/>
  <c r="BD35" i="6"/>
  <c r="BD36" i="6" s="1"/>
  <c r="AU35" i="6"/>
  <c r="AU36" i="6" s="1"/>
  <c r="U10" i="30"/>
  <c r="AH35" i="6"/>
  <c r="AH36" i="6" s="1"/>
  <c r="AY35" i="6"/>
  <c r="AY36" i="6" s="1"/>
  <c r="BB35" i="6"/>
  <c r="BB36" i="6" s="1"/>
  <c r="AN35" i="6"/>
  <c r="AN36" i="6" s="1"/>
  <c r="AV35" i="6"/>
  <c r="AV36" i="6" s="1"/>
  <c r="AJ35" i="6"/>
  <c r="AJ36" i="6" s="1"/>
  <c r="AK35" i="6"/>
  <c r="AK36" i="6" s="1"/>
  <c r="AX35" i="6"/>
  <c r="AX36" i="6" s="1"/>
  <c r="BA35" i="6"/>
  <c r="BA36" i="6" s="1"/>
  <c r="U29" i="6"/>
  <c r="AI35" i="6"/>
  <c r="AI36" i="6" s="1"/>
  <c r="AR35" i="6"/>
  <c r="AR36" i="6" s="1"/>
  <c r="AL35" i="6"/>
  <c r="AL36" i="6" s="1"/>
  <c r="C55" i="6"/>
  <c r="C49" i="6"/>
  <c r="C53" i="6"/>
  <c r="C50" i="6"/>
  <c r="C54" i="6"/>
  <c r="C51" i="6"/>
  <c r="C52" i="6"/>
  <c r="C48" i="6"/>
  <c r="S21" i="38"/>
  <c r="S22" i="38" s="1"/>
  <c r="S18" i="38"/>
  <c r="AE23" i="41"/>
  <c r="AE125" i="41" s="1"/>
  <c r="AE126" i="41" s="1"/>
  <c r="AF126" i="41" s="1"/>
  <c r="CN24" i="42"/>
  <c r="T25" i="42"/>
  <c r="M57" i="38"/>
  <c r="M323" i="39"/>
  <c r="AW347" i="39"/>
  <c r="M347" i="39"/>
  <c r="Q321" i="39"/>
  <c r="Q55" i="38"/>
  <c r="K214" i="42"/>
  <c r="G214" i="42"/>
  <c r="CP22" i="42"/>
  <c r="AI21" i="41"/>
  <c r="V24" i="42"/>
  <c r="V131" i="42"/>
  <c r="P307" i="39"/>
  <c r="CX307" i="39" s="1"/>
  <c r="W154" i="41"/>
  <c r="AH17" i="43"/>
  <c r="W309" i="42"/>
  <c r="AK147" i="41"/>
  <c r="CQ135" i="42"/>
  <c r="W19" i="38"/>
  <c r="P24" i="44"/>
  <c r="AA24" i="43"/>
  <c r="W300" i="39"/>
  <c r="W235" i="42"/>
  <c r="AM135" i="42"/>
  <c r="BK15" i="41"/>
  <c r="BK123" i="41" s="1"/>
  <c r="DD16" i="42"/>
  <c r="L382" i="42"/>
  <c r="M382" i="42" s="1"/>
  <c r="R381" i="42"/>
  <c r="R380" i="42"/>
  <c r="R379" i="42"/>
  <c r="AJ130" i="42"/>
  <c r="AM130" i="42"/>
  <c r="AJ127" i="42"/>
  <c r="AM127" i="42"/>
  <c r="Q382" i="42"/>
  <c r="R382" i="42" s="1"/>
  <c r="DF16" i="42"/>
  <c r="BP15" i="41"/>
  <c r="BP123" i="41" s="1"/>
  <c r="DF19" i="42"/>
  <c r="BP18" i="41"/>
  <c r="BP124" i="41" s="1"/>
  <c r="AN33" i="40" l="1"/>
  <c r="AN65" i="40"/>
  <c r="AH49" i="6"/>
  <c r="V29" i="6"/>
  <c r="V27" i="6"/>
  <c r="AH50" i="6"/>
  <c r="AH48" i="6"/>
  <c r="AH55" i="6"/>
  <c r="W157" i="41"/>
  <c r="AH54" i="6"/>
  <c r="AH58" i="6"/>
  <c r="AH56" i="6"/>
  <c r="P146" i="42"/>
  <c r="W158" i="41" s="1"/>
  <c r="W26" i="6"/>
  <c r="W10" i="30" s="1"/>
  <c r="AH53" i="6"/>
  <c r="AH57" i="6"/>
  <c r="G44" i="6"/>
  <c r="G40" i="6"/>
  <c r="AH51" i="6"/>
  <c r="G43" i="6"/>
  <c r="G42" i="6"/>
  <c r="V17" i="44"/>
  <c r="D43" i="6"/>
  <c r="CJ145" i="42"/>
  <c r="P233" i="42"/>
  <c r="W220" i="42" s="1"/>
  <c r="AE42" i="6"/>
  <c r="AH52" i="6"/>
  <c r="P310" i="39"/>
  <c r="CX310" i="39" s="1"/>
  <c r="AK17" i="43"/>
  <c r="AM126" i="41"/>
  <c r="AN126" i="41" s="1"/>
  <c r="X23" i="6"/>
  <c r="AM25" i="42"/>
  <c r="DF25" i="42" s="1"/>
  <c r="BP23" i="41"/>
  <c r="DF24" i="42"/>
  <c r="C35" i="30"/>
  <c r="E35" i="30" s="1"/>
  <c r="G52" i="6"/>
  <c r="G53" i="6"/>
  <c r="C36" i="30"/>
  <c r="E36" i="30" s="1"/>
  <c r="AF36" i="6"/>
  <c r="AF37" i="6" s="1"/>
  <c r="BD38" i="6"/>
  <c r="AX347" i="39"/>
  <c r="N347" i="39"/>
  <c r="AC20" i="43"/>
  <c r="S302" i="39"/>
  <c r="DD302" i="39" s="1"/>
  <c r="R20" i="44"/>
  <c r="CM137" i="42"/>
  <c r="S138" i="42"/>
  <c r="S140" i="42"/>
  <c r="AC149" i="41"/>
  <c r="S236" i="42"/>
  <c r="K216" i="42" s="1"/>
  <c r="AM24" i="41"/>
  <c r="CR25" i="42"/>
  <c r="AF40" i="23"/>
  <c r="AF12" i="23"/>
  <c r="U25" i="42"/>
  <c r="AG23" i="41"/>
  <c r="AG125" i="41" s="1"/>
  <c r="AG126" i="41" s="1"/>
  <c r="AH126" i="41" s="1"/>
  <c r="CO24" i="42"/>
  <c r="G215" i="42"/>
  <c r="R55" i="38"/>
  <c r="R321" i="39"/>
  <c r="O31" i="38"/>
  <c r="U159" i="41"/>
  <c r="O312" i="39"/>
  <c r="CV312" i="39" s="1"/>
  <c r="AM16" i="43"/>
  <c r="S255" i="42"/>
  <c r="AJ147" i="42"/>
  <c r="CN25" i="42"/>
  <c r="AE24" i="41"/>
  <c r="C34" i="30"/>
  <c r="E34" i="30" s="1"/>
  <c r="G51" i="6"/>
  <c r="G49" i="6"/>
  <c r="C32" i="30"/>
  <c r="E32" i="30" s="1"/>
  <c r="N57" i="38"/>
  <c r="N323" i="39"/>
  <c r="N240" i="42"/>
  <c r="N58" i="38"/>
  <c r="N324" i="39"/>
  <c r="W159" i="41"/>
  <c r="AM17" i="43"/>
  <c r="P312" i="39"/>
  <c r="CX312" i="39" s="1"/>
  <c r="P31" i="38"/>
  <c r="AB11" i="3"/>
  <c r="AB37" i="3"/>
  <c r="Z22" i="6"/>
  <c r="AG40" i="23"/>
  <c r="AG12" i="23"/>
  <c r="AE8" i="3"/>
  <c r="AI47" i="22"/>
  <c r="AH47" i="22"/>
  <c r="T134" i="42"/>
  <c r="T137" i="42"/>
  <c r="Y21" i="43"/>
  <c r="CN133" i="42"/>
  <c r="T298" i="39"/>
  <c r="DF298" i="39" s="1"/>
  <c r="N21" i="44"/>
  <c r="AE145" i="41"/>
  <c r="T18" i="38"/>
  <c r="T21" i="38"/>
  <c r="T22" i="38" s="1"/>
  <c r="Z43" i="3"/>
  <c r="Z44" i="3" s="1"/>
  <c r="X5" i="6" s="1"/>
  <c r="Z41" i="3"/>
  <c r="CR16" i="42"/>
  <c r="AM15" i="41"/>
  <c r="AM123" i="41" s="1"/>
  <c r="X127" i="42"/>
  <c r="Z20" i="6"/>
  <c r="V300" i="39"/>
  <c r="AI147" i="41"/>
  <c r="P23" i="44"/>
  <c r="V309" i="42"/>
  <c r="AA23" i="43"/>
  <c r="V19" i="38"/>
  <c r="CP135" i="42"/>
  <c r="V235" i="42"/>
  <c r="U87" i="38"/>
  <c r="U179" i="38"/>
  <c r="O311" i="39"/>
  <c r="CV311" i="39" s="1"/>
  <c r="U158" i="41"/>
  <c r="AL16" i="43"/>
  <c r="V252" i="42"/>
  <c r="CP131" i="42"/>
  <c r="V296" i="39"/>
  <c r="DJ296" i="39" s="1"/>
  <c r="V249" i="42"/>
  <c r="W23" i="43"/>
  <c r="V133" i="42"/>
  <c r="V15" i="38"/>
  <c r="V17" i="38" s="1"/>
  <c r="AI143" i="41"/>
  <c r="G54" i="6"/>
  <c r="C37" i="30"/>
  <c r="E37" i="30" s="1"/>
  <c r="C38" i="30"/>
  <c r="E38" i="30" s="1"/>
  <c r="G55" i="6"/>
  <c r="AD16" i="6"/>
  <c r="AF24" i="3"/>
  <c r="AF26" i="3"/>
  <c r="AF33" i="3" s="1"/>
  <c r="AC146" i="41"/>
  <c r="Z20" i="43"/>
  <c r="S299" i="39"/>
  <c r="DD299" i="39" s="1"/>
  <c r="O20" i="44"/>
  <c r="W293" i="39"/>
  <c r="DL293" i="39" s="1"/>
  <c r="W12" i="38"/>
  <c r="AK141" i="41"/>
  <c r="R24" i="43" s="1"/>
  <c r="AD44" i="23"/>
  <c r="AD45" i="23" s="1"/>
  <c r="AD14" i="23"/>
  <c r="AM296" i="39"/>
  <c r="EP296" i="39" s="1"/>
  <c r="DF131" i="42"/>
  <c r="BP143" i="41"/>
  <c r="AM15" i="38"/>
  <c r="R141" i="42"/>
  <c r="R305" i="39"/>
  <c r="DB305" i="39" s="1"/>
  <c r="AA152" i="41"/>
  <c r="AF19" i="43"/>
  <c r="R24" i="38"/>
  <c r="R25" i="38" s="1"/>
  <c r="R26" i="38" s="1"/>
  <c r="CL140" i="42"/>
  <c r="AE42" i="23"/>
  <c r="AD9" i="3" s="1"/>
  <c r="AB19" i="6" s="1"/>
  <c r="AE13" i="23"/>
  <c r="L25" i="43"/>
  <c r="AM135" i="41"/>
  <c r="I25" i="44"/>
  <c r="Y9" i="30"/>
  <c r="Y7" i="30"/>
  <c r="U54" i="38"/>
  <c r="U320" i="39"/>
  <c r="DH300" i="39"/>
  <c r="U360" i="39"/>
  <c r="O52" i="38"/>
  <c r="O296" i="42"/>
  <c r="O318" i="39"/>
  <c r="O238" i="42"/>
  <c r="AY296" i="42"/>
  <c r="O239" i="42"/>
  <c r="T255" i="42"/>
  <c r="V25" i="42"/>
  <c r="AI23" i="41"/>
  <c r="AI125" i="41" s="1"/>
  <c r="AI126" i="41" s="1"/>
  <c r="AJ126" i="41" s="1"/>
  <c r="CP24" i="42"/>
  <c r="Z7" i="30"/>
  <c r="Z9" i="30"/>
  <c r="G48" i="6"/>
  <c r="C31" i="30"/>
  <c r="E31" i="30" s="1"/>
  <c r="G50" i="6"/>
  <c r="C33" i="30"/>
  <c r="E33" i="30" s="1"/>
  <c r="S18" i="44"/>
  <c r="Q142" i="42"/>
  <c r="Q306" i="39"/>
  <c r="CZ306" i="39" s="1"/>
  <c r="Y153" i="41"/>
  <c r="Q144" i="42"/>
  <c r="AG18" i="43"/>
  <c r="CK141" i="42"/>
  <c r="AD26" i="3"/>
  <c r="AD33" i="3" s="1"/>
  <c r="AD24" i="3"/>
  <c r="AB16" i="6"/>
  <c r="AB17" i="6" s="1"/>
  <c r="AH55" i="22"/>
  <c r="AI55" i="22"/>
  <c r="CO131" i="42"/>
  <c r="U15" i="38"/>
  <c r="U17" i="38" s="1"/>
  <c r="U252" i="42"/>
  <c r="U249" i="42"/>
  <c r="U250" i="42" s="1"/>
  <c r="AG143" i="41"/>
  <c r="U133" i="42"/>
  <c r="U296" i="39"/>
  <c r="DH296" i="39" s="1"/>
  <c r="W22" i="43"/>
  <c r="W22" i="42"/>
  <c r="AC9" i="3"/>
  <c r="AA150" i="41"/>
  <c r="R303" i="39"/>
  <c r="DB303" i="39" s="1"/>
  <c r="AD19" i="43"/>
  <c r="AM18" i="41"/>
  <c r="AM124" i="41" s="1"/>
  <c r="CR19" i="42"/>
  <c r="X130" i="42"/>
  <c r="AA11" i="3"/>
  <c r="AA37" i="3"/>
  <c r="Y22" i="6"/>
  <c r="Y24" i="6" s="1"/>
  <c r="AJ14" i="38"/>
  <c r="AJ295" i="39"/>
  <c r="EL295" i="39" s="1"/>
  <c r="DL300" i="39"/>
  <c r="W360" i="39"/>
  <c r="BP140" i="41"/>
  <c r="AM11" i="38"/>
  <c r="DF127" i="42"/>
  <c r="AM292" i="39"/>
  <c r="EP292" i="39" s="1"/>
  <c r="AM133" i="42"/>
  <c r="DD127" i="42"/>
  <c r="AJ11" i="38"/>
  <c r="AK132" i="42"/>
  <c r="BK140" i="41"/>
  <c r="AJ133" i="42"/>
  <c r="AJ292" i="39"/>
  <c r="EL292" i="39" s="1"/>
  <c r="AK143" i="42"/>
  <c r="AK136" i="42"/>
  <c r="AK135" i="42"/>
  <c r="AK144" i="42"/>
  <c r="AK131" i="42"/>
  <c r="BP147" i="41"/>
  <c r="AM300" i="39"/>
  <c r="EP300" i="39" s="1"/>
  <c r="DF135" i="42"/>
  <c r="AM19" i="38"/>
  <c r="AM295" i="39"/>
  <c r="EP295" i="39" s="1"/>
  <c r="AM14" i="38"/>
  <c r="W54" i="38"/>
  <c r="W320" i="39"/>
  <c r="W87" i="38"/>
  <c r="W179" i="38"/>
  <c r="AN34" i="40" l="1"/>
  <c r="AN66" i="40"/>
  <c r="W221" i="42"/>
  <c r="W219" i="42"/>
  <c r="AL17" i="43"/>
  <c r="W29" i="6"/>
  <c r="W27" i="6"/>
  <c r="P311" i="39"/>
  <c r="CX311" i="39" s="1"/>
  <c r="I55" i="6"/>
  <c r="F38" i="30" s="1"/>
  <c r="AZ296" i="42"/>
  <c r="P318" i="39"/>
  <c r="AZ347" i="39" s="1"/>
  <c r="P296" i="42"/>
  <c r="U178" i="42"/>
  <c r="AC178" i="42" s="1"/>
  <c r="X26" i="6"/>
  <c r="X10" i="30" s="1"/>
  <c r="P52" i="38"/>
  <c r="W222" i="42"/>
  <c r="P239" i="42"/>
  <c r="P58" i="38" s="1"/>
  <c r="U176" i="42"/>
  <c r="AG196" i="42" s="1"/>
  <c r="BU17" i="43" s="1"/>
  <c r="P238" i="42"/>
  <c r="AL175" i="38" s="1"/>
  <c r="AJ168" i="38" s="1"/>
  <c r="G216" i="42"/>
  <c r="AG37" i="6"/>
  <c r="AH37" i="6" s="1"/>
  <c r="AI37" i="6" s="1"/>
  <c r="AJ37" i="6" s="1"/>
  <c r="AK37" i="6" s="1"/>
  <c r="AL37" i="6" s="1"/>
  <c r="AM37" i="6" s="1"/>
  <c r="AN37" i="6" s="1"/>
  <c r="AO37" i="6" s="1"/>
  <c r="AP37" i="6" s="1"/>
  <c r="AQ37" i="6" s="1"/>
  <c r="AR37" i="6" s="1"/>
  <c r="AS37" i="6" s="1"/>
  <c r="AT37" i="6" s="1"/>
  <c r="AU37" i="6" s="1"/>
  <c r="AV37" i="6" s="1"/>
  <c r="AW37" i="6" s="1"/>
  <c r="AX37" i="6" s="1"/>
  <c r="AY37" i="6" s="1"/>
  <c r="AZ37" i="6" s="1"/>
  <c r="BA37" i="6" s="1"/>
  <c r="BB37" i="6" s="1"/>
  <c r="BC37" i="6" s="1"/>
  <c r="BD37" i="6" s="1"/>
  <c r="Y23" i="6"/>
  <c r="Z23" i="6"/>
  <c r="Z24" i="6"/>
  <c r="U253" i="42"/>
  <c r="U255" i="42" s="1"/>
  <c r="V253" i="42"/>
  <c r="H49" i="6"/>
  <c r="I48" i="6"/>
  <c r="F31" i="30" s="1"/>
  <c r="CL141" i="42"/>
  <c r="AA153" i="41"/>
  <c r="AG19" i="43"/>
  <c r="S19" i="44"/>
  <c r="R142" i="42"/>
  <c r="R306" i="39"/>
  <c r="DB306" i="39" s="1"/>
  <c r="R144" i="42"/>
  <c r="V18" i="38"/>
  <c r="V21" i="38"/>
  <c r="V22" i="38" s="1"/>
  <c r="V54" i="38"/>
  <c r="V320" i="39"/>
  <c r="AA43" i="3"/>
  <c r="AA44" i="3" s="1"/>
  <c r="Y5" i="6" s="1"/>
  <c r="AA41" i="3"/>
  <c r="AC10" i="3"/>
  <c r="AA19" i="6"/>
  <c r="AA5" i="30"/>
  <c r="AA6" i="30" s="1"/>
  <c r="CO133" i="42"/>
  <c r="N22" i="44"/>
  <c r="AG145" i="41"/>
  <c r="U134" i="42"/>
  <c r="U298" i="39"/>
  <c r="DH298" i="39" s="1"/>
  <c r="U137" i="42"/>
  <c r="Y22" i="43"/>
  <c r="U18" i="38"/>
  <c r="U21" i="38"/>
  <c r="U22" i="38" s="1"/>
  <c r="AD10" i="3"/>
  <c r="CP25" i="42"/>
  <c r="AI24" i="41"/>
  <c r="O324" i="39"/>
  <c r="O240" i="42"/>
  <c r="O58" i="38"/>
  <c r="O347" i="39"/>
  <c r="AY347" i="39"/>
  <c r="AE44" i="23"/>
  <c r="AE45" i="23" s="1"/>
  <c r="AE14" i="23"/>
  <c r="CP133" i="42"/>
  <c r="V298" i="39"/>
  <c r="DJ298" i="39" s="1"/>
  <c r="Y23" i="43"/>
  <c r="AI145" i="41"/>
  <c r="V134" i="42"/>
  <c r="V137" i="42"/>
  <c r="N23" i="44"/>
  <c r="X246" i="42"/>
  <c r="J25" i="44"/>
  <c r="X128" i="42"/>
  <c r="X11" i="38"/>
  <c r="X17" i="38" s="1"/>
  <c r="X133" i="42"/>
  <c r="Y128" i="42"/>
  <c r="AM140" i="41"/>
  <c r="Q25" i="43"/>
  <c r="CR127" i="42"/>
  <c r="X292" i="39"/>
  <c r="DN292" i="39" s="1"/>
  <c r="CN137" i="42"/>
  <c r="T140" i="42"/>
  <c r="AC21" i="43"/>
  <c r="T302" i="39"/>
  <c r="DF302" i="39" s="1"/>
  <c r="AE149" i="41"/>
  <c r="T138" i="42"/>
  <c r="T236" i="42"/>
  <c r="R21" i="44"/>
  <c r="AE24" i="3"/>
  <c r="AE26" i="3"/>
  <c r="AE33" i="3" s="1"/>
  <c r="AC16" i="6"/>
  <c r="AD17" i="6" s="1"/>
  <c r="AB43" i="3"/>
  <c r="AB44" i="3" s="1"/>
  <c r="Z5" i="6" s="1"/>
  <c r="AB41" i="3"/>
  <c r="N59" i="38"/>
  <c r="N325" i="39"/>
  <c r="H50" i="6"/>
  <c r="I49" i="6"/>
  <c r="F32" i="30" s="1"/>
  <c r="S141" i="42"/>
  <c r="S305" i="39"/>
  <c r="DD305" i="39" s="1"/>
  <c r="AC152" i="41"/>
  <c r="CM140" i="42"/>
  <c r="AF20" i="43"/>
  <c r="S24" i="38"/>
  <c r="S25" i="38" s="1"/>
  <c r="S26" i="38" s="1"/>
  <c r="I53" i="6"/>
  <c r="F36" i="30" s="1"/>
  <c r="H54" i="6"/>
  <c r="BP125" i="41"/>
  <c r="BP126" i="41" s="1"/>
  <c r="BP24" i="41"/>
  <c r="AK21" i="41"/>
  <c r="CQ22" i="42"/>
  <c r="W131" i="42"/>
  <c r="W24" i="42"/>
  <c r="Y154" i="41"/>
  <c r="Q307" i="39"/>
  <c r="CZ307" i="39" s="1"/>
  <c r="AH18" i="43"/>
  <c r="I50" i="6"/>
  <c r="F33" i="30" s="1"/>
  <c r="H51" i="6"/>
  <c r="I54" i="6"/>
  <c r="F37" i="30" s="1"/>
  <c r="H55" i="6"/>
  <c r="V87" i="38"/>
  <c r="V179" i="38"/>
  <c r="AE146" i="41"/>
  <c r="T299" i="39"/>
  <c r="DF299" i="39" s="1"/>
  <c r="O21" i="44"/>
  <c r="Z21" i="43"/>
  <c r="AG42" i="23"/>
  <c r="AF9" i="3" s="1"/>
  <c r="AG13" i="23"/>
  <c r="H52" i="6"/>
  <c r="I51" i="6"/>
  <c r="F34" i="30" s="1"/>
  <c r="BK159" i="41"/>
  <c r="AJ312" i="39"/>
  <c r="EL312" i="39" s="1"/>
  <c r="AJ31" i="38"/>
  <c r="AG24" i="41"/>
  <c r="CO25" i="42"/>
  <c r="S303" i="39"/>
  <c r="DD303" i="39" s="1"/>
  <c r="AC150" i="41"/>
  <c r="AD20" i="43"/>
  <c r="H53" i="6"/>
  <c r="I52" i="6"/>
  <c r="F35" i="30" s="1"/>
  <c r="X295" i="39"/>
  <c r="DN295" i="39" s="1"/>
  <c r="K25" i="44"/>
  <c r="V25" i="43"/>
  <c r="X14" i="38"/>
  <c r="Q145" i="42"/>
  <c r="CK144" i="42"/>
  <c r="Q309" i="39"/>
  <c r="CZ309" i="39" s="1"/>
  <c r="Y156" i="41"/>
  <c r="Q28" i="38"/>
  <c r="Q29" i="38" s="1"/>
  <c r="Q30" i="38" s="1"/>
  <c r="U18" i="44"/>
  <c r="AJ18" i="43"/>
  <c r="O57" i="38"/>
  <c r="O323" i="39"/>
  <c r="V250" i="42"/>
  <c r="V360" i="39"/>
  <c r="DJ300" i="39"/>
  <c r="AF42" i="23"/>
  <c r="AE9" i="3" s="1"/>
  <c r="AC19" i="6" s="1"/>
  <c r="AC20" i="6" s="1"/>
  <c r="AF13" i="23"/>
  <c r="S55" i="38"/>
  <c r="S321" i="39"/>
  <c r="BQ147" i="41"/>
  <c r="AK309" i="39"/>
  <c r="EM309" i="39" s="1"/>
  <c r="AK28" i="38"/>
  <c r="BL156" i="41"/>
  <c r="AK300" i="39"/>
  <c r="EM300" i="39" s="1"/>
  <c r="BL147" i="41"/>
  <c r="AK19" i="38"/>
  <c r="DD133" i="42"/>
  <c r="BK145" i="41"/>
  <c r="AJ298" i="39"/>
  <c r="EL298" i="39" s="1"/>
  <c r="AJ134" i="42"/>
  <c r="AJ17" i="38"/>
  <c r="AJ18" i="38" s="1"/>
  <c r="AJ137" i="42"/>
  <c r="AK301" i="39"/>
  <c r="EM301" i="39" s="1"/>
  <c r="AK20" i="38"/>
  <c r="BL148" i="41"/>
  <c r="DF133" i="42"/>
  <c r="AM298" i="39"/>
  <c r="EP298" i="39" s="1"/>
  <c r="BP145" i="41"/>
  <c r="BP146" i="41" s="1"/>
  <c r="AM134" i="42"/>
  <c r="AM299" i="39" s="1"/>
  <c r="AM17" i="38"/>
  <c r="AM137" i="42"/>
  <c r="BQ144" i="41"/>
  <c r="BQ151" i="41"/>
  <c r="BQ148" i="41"/>
  <c r="BQ155" i="41"/>
  <c r="BQ143" i="41"/>
  <c r="BL143" i="41"/>
  <c r="AK15" i="38"/>
  <c r="AK296" i="39"/>
  <c r="EM296" i="39" s="1"/>
  <c r="AK308" i="39"/>
  <c r="EM308" i="39" s="1"/>
  <c r="AK27" i="38"/>
  <c r="BL155" i="41"/>
  <c r="BL144" i="41"/>
  <c r="AK297" i="39"/>
  <c r="EM297" i="39" s="1"/>
  <c r="AK16" i="38"/>
  <c r="AN35" i="40" l="1"/>
  <c r="AN68" i="40" s="1"/>
  <c r="AN67" i="40"/>
  <c r="AC176" i="42"/>
  <c r="X27" i="6"/>
  <c r="Y26" i="6"/>
  <c r="H38" i="6" s="1"/>
  <c r="W196" i="42"/>
  <c r="I178" i="42" s="1"/>
  <c r="V255" i="42"/>
  <c r="X29" i="6"/>
  <c r="O196" i="42"/>
  <c r="AJ169" i="38" s="1"/>
  <c r="AJ166" i="38" s="1"/>
  <c r="H239" i="38" s="1"/>
  <c r="F239" i="38" s="1"/>
  <c r="P347" i="39"/>
  <c r="P324" i="39"/>
  <c r="P240" i="42"/>
  <c r="S213" i="42" s="1"/>
  <c r="AG198" i="42"/>
  <c r="G196" i="42"/>
  <c r="F176" i="42" s="1"/>
  <c r="P323" i="39"/>
  <c r="O213" i="42"/>
  <c r="P57" i="38"/>
  <c r="AL83" i="38"/>
  <c r="AJ76" i="38" s="1"/>
  <c r="Z26" i="6"/>
  <c r="AF14" i="23"/>
  <c r="AF44" i="23"/>
  <c r="AF45" i="23" s="1"/>
  <c r="AD19" i="6"/>
  <c r="AD20" i="6" s="1"/>
  <c r="AF10" i="3"/>
  <c r="S142" i="42"/>
  <c r="S306" i="39"/>
  <c r="DD306" i="39" s="1"/>
  <c r="S144" i="42"/>
  <c r="S145" i="42" s="1"/>
  <c r="AG20" i="43"/>
  <c r="CM141" i="42"/>
  <c r="S20" i="44"/>
  <c r="AC153" i="41"/>
  <c r="T321" i="39"/>
  <c r="T55" i="38"/>
  <c r="K217" i="42"/>
  <c r="X12" i="38"/>
  <c r="AM141" i="41"/>
  <c r="R25" i="43" s="1"/>
  <c r="X293" i="39"/>
  <c r="DN293" i="39" s="1"/>
  <c r="R23" i="44"/>
  <c r="V236" i="42"/>
  <c r="V302" i="39"/>
  <c r="DJ302" i="39" s="1"/>
  <c r="CP137" i="42"/>
  <c r="V140" i="42"/>
  <c r="AI149" i="41"/>
  <c r="V138" i="42"/>
  <c r="AC23" i="43"/>
  <c r="AB20" i="6"/>
  <c r="AA20" i="6"/>
  <c r="R145" i="42"/>
  <c r="AJ19" i="43"/>
  <c r="R28" i="38"/>
  <c r="R29" i="38" s="1"/>
  <c r="R30" i="38" s="1"/>
  <c r="CL144" i="42"/>
  <c r="AA156" i="41"/>
  <c r="U19" i="44"/>
  <c r="R309" i="39"/>
  <c r="DB309" i="39" s="1"/>
  <c r="C45" i="6"/>
  <c r="C29" i="30" s="1"/>
  <c r="AK23" i="41"/>
  <c r="AK125" i="41" s="1"/>
  <c r="AK126" i="41" s="1"/>
  <c r="AL126" i="41" s="1"/>
  <c r="W25" i="42"/>
  <c r="CQ24" i="42"/>
  <c r="AE150" i="41"/>
  <c r="T303" i="39"/>
  <c r="DF303" i="39" s="1"/>
  <c r="AD21" i="43"/>
  <c r="T141" i="42"/>
  <c r="CN140" i="42"/>
  <c r="T305" i="39"/>
  <c r="DF305" i="39" s="1"/>
  <c r="T24" i="38"/>
  <c r="T25" i="38" s="1"/>
  <c r="T26" i="38" s="1"/>
  <c r="AE152" i="41"/>
  <c r="AF21" i="43"/>
  <c r="AO141" i="41"/>
  <c r="R26" i="43" s="1"/>
  <c r="Y12" i="38"/>
  <c r="Y293" i="39"/>
  <c r="DP293" i="39" s="1"/>
  <c r="V299" i="39"/>
  <c r="DJ299" i="39" s="1"/>
  <c r="Z23" i="43"/>
  <c r="O23" i="44"/>
  <c r="AI146" i="41"/>
  <c r="O59" i="38"/>
  <c r="O325" i="39"/>
  <c r="AB22" i="6"/>
  <c r="AD11" i="3"/>
  <c r="AD37" i="3"/>
  <c r="U302" i="39"/>
  <c r="DH302" i="39" s="1"/>
  <c r="AG149" i="41"/>
  <c r="U138" i="42"/>
  <c r="U236" i="42"/>
  <c r="G218" i="42" s="1"/>
  <c r="R22" i="44"/>
  <c r="AC22" i="43"/>
  <c r="CO137" i="42"/>
  <c r="U140" i="42"/>
  <c r="U141" i="42" s="1"/>
  <c r="AC37" i="3"/>
  <c r="AA22" i="6"/>
  <c r="AA24" i="6" s="1"/>
  <c r="AC11" i="3"/>
  <c r="Q233" i="42"/>
  <c r="Q310" i="39"/>
  <c r="CZ310" i="39" s="1"/>
  <c r="V18" i="44"/>
  <c r="Q147" i="42"/>
  <c r="Q146" i="42"/>
  <c r="AK18" i="43"/>
  <c r="Y157" i="41"/>
  <c r="CK145" i="42"/>
  <c r="W24" i="43"/>
  <c r="W133" i="42"/>
  <c r="W15" i="38"/>
  <c r="W17" i="38" s="1"/>
  <c r="AK143" i="41"/>
  <c r="W252" i="42"/>
  <c r="W249" i="42"/>
  <c r="W296" i="39"/>
  <c r="DL296" i="39" s="1"/>
  <c r="CQ131" i="42"/>
  <c r="AE10" i="3"/>
  <c r="X134" i="42"/>
  <c r="Y25" i="43"/>
  <c r="AM145" i="41"/>
  <c r="N25" i="44"/>
  <c r="X137" i="42"/>
  <c r="CR133" i="42"/>
  <c r="X298" i="39"/>
  <c r="DN298" i="39" s="1"/>
  <c r="X247" i="42"/>
  <c r="Y247" i="42"/>
  <c r="Y255" i="42" s="1"/>
  <c r="Y144" i="42" s="1"/>
  <c r="G217" i="42"/>
  <c r="AA154" i="41"/>
  <c r="R307" i="39"/>
  <c r="DB307" i="39" s="1"/>
  <c r="AH19" i="43"/>
  <c r="AC17" i="6"/>
  <c r="AG14" i="23"/>
  <c r="AG44" i="23"/>
  <c r="AG45" i="23" s="1"/>
  <c r="X18" i="38"/>
  <c r="X21" i="38"/>
  <c r="X22" i="38" s="1"/>
  <c r="Z22" i="43"/>
  <c r="AG146" i="41"/>
  <c r="U299" i="39"/>
  <c r="DH299" i="39" s="1"/>
  <c r="O22" i="44"/>
  <c r="AA9" i="30"/>
  <c r="AA7" i="30"/>
  <c r="AM21" i="38"/>
  <c r="AM138" i="42"/>
  <c r="AM303" i="39" s="1"/>
  <c r="DF137" i="42"/>
  <c r="AM302" i="39"/>
  <c r="EP302" i="39" s="1"/>
  <c r="BP149" i="41"/>
  <c r="BP150" i="41" s="1"/>
  <c r="BK146" i="41"/>
  <c r="AJ299" i="39"/>
  <c r="AJ138" i="42"/>
  <c r="AJ302" i="39"/>
  <c r="EL302" i="39" s="1"/>
  <c r="BK149" i="41"/>
  <c r="DD137" i="42"/>
  <c r="AJ21" i="38"/>
  <c r="AJ22" i="38" s="1"/>
  <c r="AJ141" i="42"/>
  <c r="AK140" i="42"/>
  <c r="Y29" i="6" l="1"/>
  <c r="H43" i="6" s="1"/>
  <c r="Y10" i="30"/>
  <c r="K196" i="42"/>
  <c r="I185" i="42" s="1"/>
  <c r="Y27" i="6"/>
  <c r="Z27" i="6" s="1"/>
  <c r="I177" i="42"/>
  <c r="BV171" i="41" s="1"/>
  <c r="AJ77" i="38"/>
  <c r="AJ74" i="38" s="1"/>
  <c r="H147" i="38" s="1"/>
  <c r="JY2" i="43" s="1"/>
  <c r="F178" i="42"/>
  <c r="GL2" i="43" s="1"/>
  <c r="F177" i="42"/>
  <c r="DB2" i="43" s="1"/>
  <c r="P325" i="39"/>
  <c r="AM140" i="42"/>
  <c r="DF140" i="42" s="1"/>
  <c r="P59" i="38"/>
  <c r="S196" i="42"/>
  <c r="I186" i="42" s="1"/>
  <c r="AA196" i="42"/>
  <c r="I187" i="42" s="1"/>
  <c r="Z10" i="30"/>
  <c r="Z29" i="6"/>
  <c r="I176" i="42"/>
  <c r="R37" i="38" s="1"/>
  <c r="L140" i="38" s="1"/>
  <c r="KY2" i="43"/>
  <c r="S233" i="42"/>
  <c r="AC157" i="41"/>
  <c r="S146" i="42"/>
  <c r="CM145" i="42"/>
  <c r="S147" i="42"/>
  <c r="AK20" i="43"/>
  <c r="V20" i="44"/>
  <c r="S310" i="39"/>
  <c r="DD310" i="39" s="1"/>
  <c r="U306" i="39"/>
  <c r="DH306" i="39" s="1"/>
  <c r="U142" i="42"/>
  <c r="CO141" i="42"/>
  <c r="AG153" i="41"/>
  <c r="S22" i="44"/>
  <c r="AG22" i="43"/>
  <c r="U144" i="42"/>
  <c r="GU2" i="43"/>
  <c r="DU2" i="44"/>
  <c r="X250" i="42"/>
  <c r="W250" i="42"/>
  <c r="Y24" i="43"/>
  <c r="CQ133" i="42"/>
  <c r="N24" i="44"/>
  <c r="AK145" i="41"/>
  <c r="W134" i="42"/>
  <c r="W137" i="42"/>
  <c r="W298" i="39"/>
  <c r="DL298" i="39" s="1"/>
  <c r="AB23" i="6"/>
  <c r="AA23" i="6"/>
  <c r="AD22" i="43"/>
  <c r="AG150" i="41"/>
  <c r="U303" i="39"/>
  <c r="DH303" i="39" s="1"/>
  <c r="AB24" i="6"/>
  <c r="V141" i="42"/>
  <c r="AI152" i="41"/>
  <c r="CP140" i="42"/>
  <c r="AF23" i="43"/>
  <c r="V24" i="38"/>
  <c r="V25" i="38" s="1"/>
  <c r="V26" i="38" s="1"/>
  <c r="V305" i="39"/>
  <c r="DJ305" i="39" s="1"/>
  <c r="L213" i="42"/>
  <c r="H213" i="42"/>
  <c r="AH20" i="43"/>
  <c r="AC154" i="41"/>
  <c r="S307" i="39"/>
  <c r="DD307" i="39" s="1"/>
  <c r="DT2" i="43"/>
  <c r="X253" i="42"/>
  <c r="W253" i="42"/>
  <c r="Y158" i="41"/>
  <c r="Q311" i="39"/>
  <c r="CZ311" i="39" s="1"/>
  <c r="AL18" i="43"/>
  <c r="Q318" i="39"/>
  <c r="Q238" i="42"/>
  <c r="Q239" i="42"/>
  <c r="Q240" i="42" s="1"/>
  <c r="Q296" i="42"/>
  <c r="Q52" i="38"/>
  <c r="W223" i="42"/>
  <c r="BA296" i="42"/>
  <c r="AC41" i="3"/>
  <c r="AC43" i="3"/>
  <c r="AC44" i="3" s="1"/>
  <c r="AA5" i="6" s="1"/>
  <c r="AG21" i="43"/>
  <c r="T142" i="42"/>
  <c r="S21" i="44"/>
  <c r="CN141" i="42"/>
  <c r="T144" i="42"/>
  <c r="T145" i="42" s="1"/>
  <c r="AE153" i="41"/>
  <c r="T306" i="39"/>
  <c r="DF306" i="39" s="1"/>
  <c r="K219" i="42"/>
  <c r="G219" i="42"/>
  <c r="AF37" i="3"/>
  <c r="AF11" i="3"/>
  <c r="AD22" i="6"/>
  <c r="Y28" i="38"/>
  <c r="Y29" i="38" s="1"/>
  <c r="Y30" i="38" s="1"/>
  <c r="AO156" i="41"/>
  <c r="Y145" i="42"/>
  <c r="AJ26" i="43"/>
  <c r="U26" i="44"/>
  <c r="CS144" i="42"/>
  <c r="Y309" i="39"/>
  <c r="DP309" i="39" s="1"/>
  <c r="R25" i="44"/>
  <c r="CR137" i="42"/>
  <c r="X138" i="42"/>
  <c r="AM149" i="41"/>
  <c r="X302" i="39"/>
  <c r="DN302" i="39" s="1"/>
  <c r="AC25" i="43"/>
  <c r="X236" i="42"/>
  <c r="X140" i="42"/>
  <c r="Z25" i="43"/>
  <c r="X299" i="39"/>
  <c r="DN299" i="39" s="1"/>
  <c r="O25" i="44"/>
  <c r="AM146" i="41"/>
  <c r="Q31" i="38"/>
  <c r="AM18" i="43"/>
  <c r="Y159" i="41"/>
  <c r="Q312" i="39"/>
  <c r="CZ312" i="39" s="1"/>
  <c r="AF22" i="43"/>
  <c r="U305" i="39"/>
  <c r="DH305" i="39" s="1"/>
  <c r="U24" i="38"/>
  <c r="U25" i="38" s="1"/>
  <c r="U26" i="38" s="1"/>
  <c r="CO140" i="42"/>
  <c r="AG152" i="41"/>
  <c r="AK24" i="41"/>
  <c r="CQ25" i="42"/>
  <c r="R146" i="42"/>
  <c r="AA157" i="41"/>
  <c r="R310" i="39"/>
  <c r="DB310" i="39" s="1"/>
  <c r="R233" i="42"/>
  <c r="V19" i="44"/>
  <c r="CL145" i="42"/>
  <c r="AK19" i="43"/>
  <c r="R147" i="42"/>
  <c r="V303" i="39"/>
  <c r="DJ303" i="39" s="1"/>
  <c r="AI150" i="41"/>
  <c r="AD23" i="43"/>
  <c r="U20" i="44"/>
  <c r="AJ20" i="43"/>
  <c r="AC156" i="41"/>
  <c r="S28" i="38"/>
  <c r="S29" i="38" s="1"/>
  <c r="S30" i="38" s="1"/>
  <c r="CM144" i="42"/>
  <c r="S309" i="39"/>
  <c r="DD309" i="39" s="1"/>
  <c r="CZ2" i="43"/>
  <c r="AL2" i="44"/>
  <c r="AE11" i="3"/>
  <c r="AC22" i="6"/>
  <c r="AE37" i="3"/>
  <c r="W18" i="38"/>
  <c r="W21" i="38"/>
  <c r="W22" i="38" s="1"/>
  <c r="U321" i="39"/>
  <c r="U55" i="38"/>
  <c r="H214" i="42"/>
  <c r="L214" i="42"/>
  <c r="AD41" i="3"/>
  <c r="AD43" i="3"/>
  <c r="AD44" i="3" s="1"/>
  <c r="AB5" i="6" s="1"/>
  <c r="V55" i="38"/>
  <c r="V321" i="39"/>
  <c r="K218" i="42"/>
  <c r="BL152" i="41"/>
  <c r="AK305" i="39"/>
  <c r="EM305" i="39" s="1"/>
  <c r="AK24" i="38"/>
  <c r="AJ25" i="38"/>
  <c r="AJ26" i="38" s="1"/>
  <c r="AJ142" i="42"/>
  <c r="BK153" i="41"/>
  <c r="DD141" i="42"/>
  <c r="AJ306" i="39"/>
  <c r="EL306" i="39" s="1"/>
  <c r="AJ145" i="42"/>
  <c r="AJ303" i="39"/>
  <c r="BK150" i="41"/>
  <c r="H42" i="6" l="1"/>
  <c r="R38" i="38"/>
  <c r="AJ75" i="38" s="1"/>
  <c r="BF2" i="44"/>
  <c r="F185" i="42"/>
  <c r="AM2" i="44" s="1"/>
  <c r="BX171" i="41"/>
  <c r="F187" i="42"/>
  <c r="DM2" i="44" s="1"/>
  <c r="DL2" i="44"/>
  <c r="AM24" i="38"/>
  <c r="DR2" i="43"/>
  <c r="W218" i="42"/>
  <c r="W217" i="42"/>
  <c r="AN2" i="44"/>
  <c r="BP152" i="41"/>
  <c r="BQ152" i="41" s="1"/>
  <c r="AM305" i="39"/>
  <c r="EP305" i="39" s="1"/>
  <c r="AM141" i="42"/>
  <c r="AM25" i="38" s="1"/>
  <c r="F186" i="42"/>
  <c r="DC2" i="43" s="1"/>
  <c r="BX170" i="41"/>
  <c r="NZ2" i="43"/>
  <c r="NX2" i="43"/>
  <c r="BD2" i="44"/>
  <c r="BV170" i="41"/>
  <c r="F147" i="38"/>
  <c r="AD23" i="6"/>
  <c r="AA26" i="6"/>
  <c r="AA10" i="30" s="1"/>
  <c r="X255" i="42"/>
  <c r="AC24" i="6"/>
  <c r="AB26" i="6"/>
  <c r="AB29" i="6" s="1"/>
  <c r="AM144" i="42"/>
  <c r="AM309" i="39" s="1"/>
  <c r="EP309" i="39" s="1"/>
  <c r="DV2" i="44"/>
  <c r="GV2" i="43"/>
  <c r="R311" i="39"/>
  <c r="DB311" i="39" s="1"/>
  <c r="AL19" i="43"/>
  <c r="AA158" i="41"/>
  <c r="X55" i="38"/>
  <c r="X321" i="39"/>
  <c r="X303" i="39"/>
  <c r="DN303" i="39" s="1"/>
  <c r="AD25" i="43"/>
  <c r="AM150" i="41"/>
  <c r="Q324" i="39"/>
  <c r="Q58" i="38"/>
  <c r="N179" i="42"/>
  <c r="K179" i="42"/>
  <c r="Z24" i="43"/>
  <c r="W299" i="39"/>
  <c r="DL299" i="39" s="1"/>
  <c r="AK146" i="41"/>
  <c r="O24" i="44"/>
  <c r="R312" i="39"/>
  <c r="DB312" i="39" s="1"/>
  <c r="AM19" i="43"/>
  <c r="AA159" i="41"/>
  <c r="R31" i="38"/>
  <c r="R239" i="42"/>
  <c r="R240" i="42" s="1"/>
  <c r="W224" i="42"/>
  <c r="R296" i="42"/>
  <c r="R318" i="39"/>
  <c r="BB296" i="42"/>
  <c r="R238" i="42"/>
  <c r="R52" i="38"/>
  <c r="AC23" i="6"/>
  <c r="OL2" i="43"/>
  <c r="OJ2" i="43"/>
  <c r="BE2" i="44"/>
  <c r="R41" i="38"/>
  <c r="DS2" i="43"/>
  <c r="AH21" i="43"/>
  <c r="T307" i="39"/>
  <c r="DF307" i="39" s="1"/>
  <c r="AE154" i="41"/>
  <c r="G197" i="42"/>
  <c r="O197" i="42"/>
  <c r="AL84" i="38"/>
  <c r="W197" i="42"/>
  <c r="Q323" i="39"/>
  <c r="O214" i="42"/>
  <c r="Q57" i="38"/>
  <c r="AL176" i="38"/>
  <c r="N180" i="42"/>
  <c r="K180" i="42"/>
  <c r="W255" i="42"/>
  <c r="U145" i="42"/>
  <c r="CO144" i="42"/>
  <c r="U22" i="44"/>
  <c r="AG156" i="41"/>
  <c r="U28" i="38"/>
  <c r="U29" i="38" s="1"/>
  <c r="U30" i="38" s="1"/>
  <c r="U309" i="39"/>
  <c r="DH309" i="39" s="1"/>
  <c r="AJ22" i="43"/>
  <c r="AC158" i="41"/>
  <c r="AL20" i="43"/>
  <c r="S311" i="39"/>
  <c r="DD311" i="39" s="1"/>
  <c r="BG2" i="44"/>
  <c r="R42" i="38"/>
  <c r="OR2" i="43"/>
  <c r="OP2" i="43"/>
  <c r="DU2" i="43"/>
  <c r="AF43" i="3"/>
  <c r="AF44" i="3" s="1"/>
  <c r="AD5" i="6" s="1"/>
  <c r="AF41" i="3"/>
  <c r="U21" i="44"/>
  <c r="T28" i="38"/>
  <c r="T29" i="38" s="1"/>
  <c r="T30" i="38" s="1"/>
  <c r="CN144" i="42"/>
  <c r="AJ21" i="43"/>
  <c r="T309" i="39"/>
  <c r="DF309" i="39" s="1"/>
  <c r="AE156" i="41"/>
  <c r="Q347" i="39"/>
  <c r="BA347" i="39"/>
  <c r="U307" i="39"/>
  <c r="DH307" i="39" s="1"/>
  <c r="AH22" i="43"/>
  <c r="AG154" i="41"/>
  <c r="AE41" i="3"/>
  <c r="AE43" i="3"/>
  <c r="AE44" i="3" s="1"/>
  <c r="AC5" i="6" s="1"/>
  <c r="AF25" i="43"/>
  <c r="X305" i="39"/>
  <c r="DN305" i="39" s="1"/>
  <c r="CR140" i="42"/>
  <c r="AM152" i="41"/>
  <c r="X141" i="42"/>
  <c r="X24" i="38"/>
  <c r="X25" i="38" s="1"/>
  <c r="X26" i="38" s="1"/>
  <c r="AK26" i="43"/>
  <c r="AO157" i="41"/>
  <c r="Y146" i="42"/>
  <c r="Y233" i="42"/>
  <c r="CS145" i="42"/>
  <c r="Y310" i="39"/>
  <c r="DP310" i="39" s="1"/>
  <c r="V26" i="44"/>
  <c r="Y147" i="42"/>
  <c r="AD24" i="6"/>
  <c r="CN145" i="42"/>
  <c r="AE157" i="41"/>
  <c r="T147" i="42"/>
  <c r="AK21" i="43"/>
  <c r="T233" i="42"/>
  <c r="W216" i="42" s="1"/>
  <c r="T310" i="39"/>
  <c r="DF310" i="39" s="1"/>
  <c r="T146" i="42"/>
  <c r="V21" i="44"/>
  <c r="Q59" i="38"/>
  <c r="S197" i="42"/>
  <c r="AA197" i="42"/>
  <c r="S214" i="42"/>
  <c r="Q325" i="39"/>
  <c r="K197" i="42"/>
  <c r="CP141" i="42"/>
  <c r="V144" i="42"/>
  <c r="V145" i="42" s="1"/>
  <c r="S23" i="44"/>
  <c r="V306" i="39"/>
  <c r="DJ306" i="39" s="1"/>
  <c r="V142" i="42"/>
  <c r="AI153" i="41"/>
  <c r="AG23" i="43"/>
  <c r="AC24" i="43"/>
  <c r="W302" i="39"/>
  <c r="DL302" i="39" s="1"/>
  <c r="W236" i="42"/>
  <c r="AK149" i="41"/>
  <c r="W140" i="42"/>
  <c r="W141" i="42" s="1"/>
  <c r="R24" i="44"/>
  <c r="CQ137" i="42"/>
  <c r="W138" i="42"/>
  <c r="AC159" i="41"/>
  <c r="S31" i="38"/>
  <c r="S312" i="39"/>
  <c r="DD312" i="39" s="1"/>
  <c r="AM20" i="43"/>
  <c r="W225" i="42"/>
  <c r="S296" i="42"/>
  <c r="BC296" i="42"/>
  <c r="S318" i="39"/>
  <c r="S52" i="38"/>
  <c r="S238" i="42"/>
  <c r="AL178" i="38" s="1"/>
  <c r="S239" i="42"/>
  <c r="S240" i="42" s="1"/>
  <c r="K199" i="42" s="1"/>
  <c r="DD145" i="42"/>
  <c r="AJ310" i="39"/>
  <c r="EL310" i="39" s="1"/>
  <c r="BK157" i="41"/>
  <c r="AJ29" i="38"/>
  <c r="AJ30" i="38" s="1"/>
  <c r="AJ146" i="42"/>
  <c r="BK154" i="41"/>
  <c r="AJ307" i="39"/>
  <c r="H141" i="38" l="1"/>
  <c r="JT2" i="43" s="1"/>
  <c r="AJ167" i="38"/>
  <c r="H231" i="38" s="1"/>
  <c r="DA2" i="43"/>
  <c r="GM2" i="43"/>
  <c r="AM306" i="39"/>
  <c r="EP306" i="39" s="1"/>
  <c r="AM142" i="42"/>
  <c r="AM307" i="39" s="1"/>
  <c r="BP153" i="41"/>
  <c r="BP154" i="41" s="1"/>
  <c r="AO2" i="44"/>
  <c r="D38" i="6"/>
  <c r="D21" i="30" s="1"/>
  <c r="D23" i="30" s="1"/>
  <c r="DF141" i="42"/>
  <c r="AA27" i="6"/>
  <c r="AB27" i="6" s="1"/>
  <c r="AA29" i="6"/>
  <c r="B43" i="6" s="1"/>
  <c r="AD26" i="6"/>
  <c r="AD29" i="6" s="1"/>
  <c r="B38" i="6"/>
  <c r="C21" i="30" s="1"/>
  <c r="C23" i="30" s="1"/>
  <c r="AC26" i="6"/>
  <c r="AC29" i="6" s="1"/>
  <c r="AM28" i="38"/>
  <c r="AM145" i="42"/>
  <c r="AM310" i="39" s="1"/>
  <c r="EP310" i="39" s="1"/>
  <c r="DF144" i="42"/>
  <c r="BP156" i="41"/>
  <c r="BQ156" i="41" s="1"/>
  <c r="V307" i="39"/>
  <c r="DJ307" i="39" s="1"/>
  <c r="AH23" i="43"/>
  <c r="AI154" i="41"/>
  <c r="CP144" i="42"/>
  <c r="V28" i="38"/>
  <c r="V29" i="38" s="1"/>
  <c r="V30" i="38" s="1"/>
  <c r="U23" i="44"/>
  <c r="AI156" i="41"/>
  <c r="V309" i="39"/>
  <c r="DJ309" i="39" s="1"/>
  <c r="AJ23" i="43"/>
  <c r="BD296" i="42"/>
  <c r="T296" i="42"/>
  <c r="T238" i="42"/>
  <c r="T318" i="39"/>
  <c r="T239" i="42"/>
  <c r="T52" i="38"/>
  <c r="G199" i="42"/>
  <c r="S59" i="38"/>
  <c r="S325" i="39"/>
  <c r="S347" i="39"/>
  <c r="BC347" i="39"/>
  <c r="W306" i="39"/>
  <c r="DL306" i="39" s="1"/>
  <c r="W144" i="42"/>
  <c r="W145" i="42" s="1"/>
  <c r="AG24" i="43"/>
  <c r="CQ141" i="42"/>
  <c r="S24" i="44"/>
  <c r="AK153" i="41"/>
  <c r="W142" i="42"/>
  <c r="AF24" i="43"/>
  <c r="W24" i="38"/>
  <c r="W25" i="38" s="1"/>
  <c r="W26" i="38" s="1"/>
  <c r="W305" i="39"/>
  <c r="DL305" i="39" s="1"/>
  <c r="AK152" i="41"/>
  <c r="CQ140" i="42"/>
  <c r="EK2" i="44"/>
  <c r="HQ2" i="43"/>
  <c r="H148" i="38"/>
  <c r="H139" i="38"/>
  <c r="S216" i="42"/>
  <c r="AA199" i="42"/>
  <c r="O216" i="42"/>
  <c r="R57" i="38"/>
  <c r="R323" i="39"/>
  <c r="G198" i="42"/>
  <c r="O198" i="42"/>
  <c r="AL177" i="38"/>
  <c r="W198" i="42"/>
  <c r="AL85" i="38"/>
  <c r="O215" i="42"/>
  <c r="HG2" i="43"/>
  <c r="EC2" i="44"/>
  <c r="S324" i="39"/>
  <c r="S58" i="38"/>
  <c r="AD24" i="43"/>
  <c r="AK150" i="41"/>
  <c r="W303" i="39"/>
  <c r="DL303" i="39" s="1"/>
  <c r="V233" i="42"/>
  <c r="CP145" i="42"/>
  <c r="V310" i="39"/>
  <c r="DJ310" i="39" s="1"/>
  <c r="AI157" i="41"/>
  <c r="V23" i="44"/>
  <c r="V147" i="42"/>
  <c r="AK23" i="43"/>
  <c r="V146" i="42"/>
  <c r="AE158" i="41"/>
  <c r="T311" i="39"/>
  <c r="DF311" i="39" s="1"/>
  <c r="AL21" i="43"/>
  <c r="AM21" i="43"/>
  <c r="T312" i="39"/>
  <c r="DF312" i="39" s="1"/>
  <c r="AE159" i="41"/>
  <c r="T31" i="38"/>
  <c r="Y312" i="39"/>
  <c r="DP312" i="39" s="1"/>
  <c r="AO159" i="41"/>
  <c r="Y31" i="38"/>
  <c r="AM26" i="43"/>
  <c r="Y239" i="42"/>
  <c r="Y52" i="38"/>
  <c r="BI296" i="42"/>
  <c r="Y238" i="42"/>
  <c r="Y296" i="42"/>
  <c r="Y318" i="39"/>
  <c r="HW2" i="43"/>
  <c r="EQ2" i="44"/>
  <c r="O199" i="42"/>
  <c r="S199" i="42"/>
  <c r="R58" i="38"/>
  <c r="R324" i="39"/>
  <c r="EI2" i="44"/>
  <c r="HM2" i="43"/>
  <c r="S323" i="39"/>
  <c r="S57" i="38"/>
  <c r="H224" i="42"/>
  <c r="H217" i="42"/>
  <c r="L216" i="42"/>
  <c r="L219" i="42"/>
  <c r="H215" i="42"/>
  <c r="L223" i="42"/>
  <c r="L222" i="42"/>
  <c r="H221" i="42"/>
  <c r="H225" i="42"/>
  <c r="L217" i="42"/>
  <c r="H222" i="42"/>
  <c r="H219" i="42"/>
  <c r="W55" i="38"/>
  <c r="L225" i="42"/>
  <c r="G224" i="42"/>
  <c r="L221" i="42"/>
  <c r="K225" i="42"/>
  <c r="G221" i="42"/>
  <c r="L218" i="42"/>
  <c r="H216" i="42"/>
  <c r="L220" i="42"/>
  <c r="W321" i="39"/>
  <c r="K224" i="42"/>
  <c r="G220" i="42"/>
  <c r="H223" i="42"/>
  <c r="K221" i="42"/>
  <c r="G222" i="42"/>
  <c r="L215" i="42"/>
  <c r="G225" i="42"/>
  <c r="K223" i="42"/>
  <c r="H220" i="42"/>
  <c r="H218" i="42"/>
  <c r="K222" i="42"/>
  <c r="G223" i="42"/>
  <c r="L224" i="42"/>
  <c r="K220" i="42"/>
  <c r="AL26" i="43"/>
  <c r="AO158" i="41"/>
  <c r="Y311" i="39"/>
  <c r="DP311" i="39" s="1"/>
  <c r="AM153" i="41"/>
  <c r="AG25" i="43"/>
  <c r="CR141" i="42"/>
  <c r="X144" i="42"/>
  <c r="S25" i="44"/>
  <c r="X306" i="39"/>
  <c r="DN306" i="39" s="1"/>
  <c r="X142" i="42"/>
  <c r="U147" i="42"/>
  <c r="U310" i="39"/>
  <c r="DH310" i="39" s="1"/>
  <c r="U233" i="42"/>
  <c r="W215" i="42" s="1"/>
  <c r="AK22" i="43"/>
  <c r="U146" i="42"/>
  <c r="AG157" i="41"/>
  <c r="V22" i="44"/>
  <c r="CO145" i="42"/>
  <c r="AL86" i="38"/>
  <c r="W199" i="42"/>
  <c r="R325" i="39"/>
  <c r="R59" i="38"/>
  <c r="S215" i="42"/>
  <c r="AA198" i="42"/>
  <c r="K198" i="42"/>
  <c r="S198" i="42"/>
  <c r="BB347" i="39"/>
  <c r="R347" i="39"/>
  <c r="BK158" i="41"/>
  <c r="AJ311" i="39"/>
  <c r="H240" i="38" l="1"/>
  <c r="W214" i="42"/>
  <c r="D40" i="6"/>
  <c r="E39" i="6" s="1"/>
  <c r="B42" i="6"/>
  <c r="C25" i="30" s="1"/>
  <c r="B40" i="6"/>
  <c r="C38" i="6" s="1"/>
  <c r="W213" i="42"/>
  <c r="I38" i="6"/>
  <c r="AC27" i="6"/>
  <c r="AD27" i="6" s="1"/>
  <c r="BP157" i="41"/>
  <c r="BP158" i="41" s="1"/>
  <c r="V24" i="44"/>
  <c r="W147" i="42"/>
  <c r="W31" i="38" s="1"/>
  <c r="AK157" i="41"/>
  <c r="W310" i="39"/>
  <c r="DL310" i="39" s="1"/>
  <c r="W146" i="42"/>
  <c r="W311" i="39" s="1"/>
  <c r="DL311" i="39" s="1"/>
  <c r="W233" i="42"/>
  <c r="W52" i="38" s="1"/>
  <c r="AK24" i="43"/>
  <c r="CQ145" i="42"/>
  <c r="AM146" i="42"/>
  <c r="AM311" i="39" s="1"/>
  <c r="DF145" i="42"/>
  <c r="AM29" i="38"/>
  <c r="Y240" i="42"/>
  <c r="Y58" i="38"/>
  <c r="Y324" i="39"/>
  <c r="V312" i="39"/>
  <c r="DJ312" i="39" s="1"/>
  <c r="AM23" i="43"/>
  <c r="AI159" i="41"/>
  <c r="V31" i="38"/>
  <c r="I140" i="38"/>
  <c r="K139" i="38"/>
  <c r="K141" i="38"/>
  <c r="JR2" i="43"/>
  <c r="I142" i="38"/>
  <c r="J141" i="38"/>
  <c r="AK154" i="41"/>
  <c r="W307" i="39"/>
  <c r="DL307" i="39" s="1"/>
  <c r="AH24" i="43"/>
  <c r="KZ2" i="43"/>
  <c r="F240" i="38"/>
  <c r="AL22" i="43"/>
  <c r="U311" i="39"/>
  <c r="DH311" i="39" s="1"/>
  <c r="AG158" i="41"/>
  <c r="U31" i="38"/>
  <c r="U312" i="39"/>
  <c r="DH312" i="39" s="1"/>
  <c r="AG159" i="41"/>
  <c r="AM22" i="43"/>
  <c r="X145" i="42"/>
  <c r="U25" i="44"/>
  <c r="AM156" i="41"/>
  <c r="AJ25" i="43"/>
  <c r="CR144" i="42"/>
  <c r="X28" i="38"/>
  <c r="X29" i="38" s="1"/>
  <c r="X30" i="38" s="1"/>
  <c r="X309" i="39"/>
  <c r="DN309" i="39" s="1"/>
  <c r="Y57" i="38"/>
  <c r="Y323" i="39"/>
  <c r="AM147" i="42"/>
  <c r="V238" i="42"/>
  <c r="AM84" i="38" s="1"/>
  <c r="V239" i="42"/>
  <c r="V52" i="38"/>
  <c r="V296" i="42"/>
  <c r="BF296" i="42"/>
  <c r="V318" i="39"/>
  <c r="JZ2" i="43"/>
  <c r="F148" i="38"/>
  <c r="W28" i="38"/>
  <c r="W29" i="38" s="1"/>
  <c r="W30" i="38" s="1"/>
  <c r="AJ24" i="43"/>
  <c r="U24" i="44"/>
  <c r="CQ144" i="42"/>
  <c r="AK156" i="41"/>
  <c r="W309" i="39"/>
  <c r="DL309" i="39" s="1"/>
  <c r="I232" i="38"/>
  <c r="K231" i="38"/>
  <c r="KT2" i="43"/>
  <c r="CM2" i="44"/>
  <c r="T240" i="42"/>
  <c r="T58" i="38"/>
  <c r="T324" i="39"/>
  <c r="AH25" i="43"/>
  <c r="X307" i="39"/>
  <c r="DN307" i="39" s="1"/>
  <c r="AM154" i="41"/>
  <c r="AL23" i="43"/>
  <c r="AI158" i="41"/>
  <c r="V311" i="39"/>
  <c r="DJ311" i="39" s="1"/>
  <c r="BD347" i="39"/>
  <c r="T347" i="39"/>
  <c r="U296" i="42"/>
  <c r="BE296" i="42"/>
  <c r="U52" i="38"/>
  <c r="U318" i="39"/>
  <c r="U238" i="42"/>
  <c r="U239" i="42"/>
  <c r="U240" i="42" s="1"/>
  <c r="Y347" i="39"/>
  <c r="BI347" i="39"/>
  <c r="I43" i="6"/>
  <c r="D42" i="6"/>
  <c r="D25" i="30" s="1"/>
  <c r="I42" i="6"/>
  <c r="O200" i="42"/>
  <c r="T323" i="39"/>
  <c r="AL87" i="38"/>
  <c r="T57" i="38"/>
  <c r="W200" i="42"/>
  <c r="O217" i="42"/>
  <c r="AL179" i="38"/>
  <c r="G200" i="42"/>
  <c r="E38" i="6" l="1"/>
  <c r="E40" i="6" s="1"/>
  <c r="W312" i="39"/>
  <c r="DL312" i="39" s="1"/>
  <c r="B41" i="6"/>
  <c r="C24" i="30" s="1"/>
  <c r="C39" i="6"/>
  <c r="C40" i="6" s="1"/>
  <c r="I181" i="42"/>
  <c r="F181" i="42"/>
  <c r="P214" i="42"/>
  <c r="O219" i="42"/>
  <c r="W239" i="42"/>
  <c r="W58" i="38" s="1"/>
  <c r="X197" i="42"/>
  <c r="AL24" i="43"/>
  <c r="AK158" i="41"/>
  <c r="BG296" i="42"/>
  <c r="W296" i="42"/>
  <c r="AK159" i="41"/>
  <c r="AM24" i="43"/>
  <c r="W238" i="42"/>
  <c r="P198" i="42" s="1"/>
  <c r="W318" i="39"/>
  <c r="BG347" i="39" s="1"/>
  <c r="AM176" i="38"/>
  <c r="W202" i="42"/>
  <c r="O202" i="42"/>
  <c r="G202" i="42"/>
  <c r="AL181" i="38"/>
  <c r="P197" i="42"/>
  <c r="AL89" i="38"/>
  <c r="H197" i="42"/>
  <c r="U57" i="38"/>
  <c r="U323" i="39"/>
  <c r="O201" i="42"/>
  <c r="X196" i="42"/>
  <c r="AL180" i="38"/>
  <c r="AM83" i="38"/>
  <c r="BT76" i="38" s="1"/>
  <c r="O218" i="42"/>
  <c r="G201" i="42"/>
  <c r="AL88" i="38"/>
  <c r="W201" i="42"/>
  <c r="AM175" i="38"/>
  <c r="BT168" i="38" s="1"/>
  <c r="H196" i="42"/>
  <c r="P213" i="42"/>
  <c r="P196" i="42"/>
  <c r="AM31" i="38"/>
  <c r="BP159" i="41"/>
  <c r="AM312" i="39"/>
  <c r="EP312" i="39" s="1"/>
  <c r="M142" i="38"/>
  <c r="JU2" i="43"/>
  <c r="M140" i="38"/>
  <c r="JS2" i="43"/>
  <c r="M135" i="38"/>
  <c r="M139" i="38"/>
  <c r="M137" i="38"/>
  <c r="M136" i="38"/>
  <c r="M138" i="38"/>
  <c r="BE347" i="39"/>
  <c r="U347" i="39"/>
  <c r="S200" i="42"/>
  <c r="AA200" i="42"/>
  <c r="T325" i="39"/>
  <c r="S217" i="42"/>
  <c r="T59" i="38"/>
  <c r="K200" i="42"/>
  <c r="M231" i="38"/>
  <c r="M232" i="38"/>
  <c r="M229" i="38"/>
  <c r="M227" i="38"/>
  <c r="KU2" i="43"/>
  <c r="M230" i="38"/>
  <c r="M228" i="38"/>
  <c r="AM157" i="41"/>
  <c r="X310" i="39"/>
  <c r="DN310" i="39" s="1"/>
  <c r="AK25" i="43"/>
  <c r="CR145" i="42"/>
  <c r="X147" i="42"/>
  <c r="X233" i="42"/>
  <c r="V25" i="44"/>
  <c r="X146" i="42"/>
  <c r="U59" i="38"/>
  <c r="AB196" i="42"/>
  <c r="AA201" i="42"/>
  <c r="K201" i="42"/>
  <c r="S218" i="42"/>
  <c r="U325" i="39"/>
  <c r="S201" i="42"/>
  <c r="L196" i="42"/>
  <c r="T196" i="42"/>
  <c r="T213" i="42"/>
  <c r="BF347" i="39"/>
  <c r="V347" i="39"/>
  <c r="V240" i="42"/>
  <c r="V324" i="39"/>
  <c r="V58" i="38"/>
  <c r="U324" i="39"/>
  <c r="U58" i="38"/>
  <c r="V57" i="38"/>
  <c r="V323" i="39"/>
  <c r="Y325" i="39"/>
  <c r="Y59" i="38"/>
  <c r="W240" i="42"/>
  <c r="W347" i="39"/>
  <c r="O203" i="42" l="1"/>
  <c r="X198" i="42"/>
  <c r="AM177" i="38"/>
  <c r="W323" i="39"/>
  <c r="AM85" i="38"/>
  <c r="AL182" i="38"/>
  <c r="H198" i="42"/>
  <c r="W324" i="39"/>
  <c r="O220" i="42"/>
  <c r="AL90" i="38"/>
  <c r="W57" i="38"/>
  <c r="P215" i="42"/>
  <c r="G203" i="42"/>
  <c r="W203" i="42"/>
  <c r="DX2" i="44"/>
  <c r="HA2" i="43"/>
  <c r="HD2" i="43"/>
  <c r="EA2" i="44"/>
  <c r="N176" i="42"/>
  <c r="K176" i="42"/>
  <c r="N178" i="42"/>
  <c r="K178" i="42"/>
  <c r="BH296" i="42"/>
  <c r="X296" i="42"/>
  <c r="X239" i="42"/>
  <c r="X240" i="42" s="1"/>
  <c r="X52" i="38"/>
  <c r="X238" i="42"/>
  <c r="X318" i="39"/>
  <c r="AB206" i="42"/>
  <c r="S206" i="42"/>
  <c r="T206" i="42"/>
  <c r="O208" i="42"/>
  <c r="AB204" i="42"/>
  <c r="X206" i="42"/>
  <c r="AM183" i="38"/>
  <c r="T222" i="42"/>
  <c r="T224" i="42"/>
  <c r="T220" i="42"/>
  <c r="S222" i="42"/>
  <c r="AM184" i="38"/>
  <c r="T203" i="42"/>
  <c r="AL184" i="38"/>
  <c r="AM92" i="38"/>
  <c r="P205" i="42"/>
  <c r="O225" i="42"/>
  <c r="O205" i="42"/>
  <c r="AL95" i="38"/>
  <c r="L208" i="42"/>
  <c r="AL186" i="38"/>
  <c r="X202" i="42"/>
  <c r="X205" i="42"/>
  <c r="AL187" i="38"/>
  <c r="T201" i="42"/>
  <c r="X201" i="42"/>
  <c r="P219" i="42"/>
  <c r="H200" i="42"/>
  <c r="X203" i="42"/>
  <c r="AM179" i="38"/>
  <c r="H207" i="42"/>
  <c r="P200" i="42"/>
  <c r="AM90" i="38"/>
  <c r="T202" i="42"/>
  <c r="AM87" i="38"/>
  <c r="X200" i="42"/>
  <c r="P202" i="42"/>
  <c r="L201" i="42"/>
  <c r="AM180" i="38"/>
  <c r="T218" i="42"/>
  <c r="O222" i="42"/>
  <c r="L205" i="42"/>
  <c r="G206" i="42"/>
  <c r="S207" i="42"/>
  <c r="AA208" i="42"/>
  <c r="T225" i="42"/>
  <c r="P206" i="42"/>
  <c r="L206" i="42"/>
  <c r="W207" i="42"/>
  <c r="S208" i="42"/>
  <c r="H204" i="42"/>
  <c r="H208" i="42"/>
  <c r="AM185" i="38"/>
  <c r="AM182" i="38"/>
  <c r="P221" i="42"/>
  <c r="G208" i="42"/>
  <c r="AL92" i="38"/>
  <c r="P225" i="42"/>
  <c r="W205" i="42"/>
  <c r="AM95" i="38"/>
  <c r="P201" i="42"/>
  <c r="AB208" i="42"/>
  <c r="P218" i="42"/>
  <c r="T221" i="42"/>
  <c r="L207" i="42"/>
  <c r="AB205" i="42"/>
  <c r="L202" i="42"/>
  <c r="L203" i="42"/>
  <c r="H202" i="42"/>
  <c r="AL185" i="38"/>
  <c r="S225" i="42"/>
  <c r="AL94" i="38"/>
  <c r="AM94" i="38"/>
  <c r="G207" i="42"/>
  <c r="X208" i="42"/>
  <c r="AA205" i="42"/>
  <c r="P204" i="42"/>
  <c r="T208" i="42"/>
  <c r="AM91" i="38"/>
  <c r="P224" i="42"/>
  <c r="T204" i="42"/>
  <c r="P208" i="42"/>
  <c r="L204" i="42"/>
  <c r="O224" i="42"/>
  <c r="P203" i="42"/>
  <c r="O207" i="42"/>
  <c r="S224" i="42"/>
  <c r="H205" i="42"/>
  <c r="P207" i="42"/>
  <c r="S205" i="42"/>
  <c r="AA207" i="42"/>
  <c r="AL93" i="38"/>
  <c r="K205" i="42"/>
  <c r="AA206" i="42"/>
  <c r="K207" i="42"/>
  <c r="AM186" i="38"/>
  <c r="K208" i="42"/>
  <c r="K206" i="42"/>
  <c r="AB207" i="42"/>
  <c r="P223" i="42"/>
  <c r="S223" i="42"/>
  <c r="O206" i="42"/>
  <c r="T207" i="42"/>
  <c r="P220" i="42"/>
  <c r="O223" i="42"/>
  <c r="P222" i="42"/>
  <c r="AB203" i="42"/>
  <c r="H203" i="42"/>
  <c r="T223" i="42"/>
  <c r="T205" i="42"/>
  <c r="AM93" i="38"/>
  <c r="W206" i="42"/>
  <c r="G205" i="42"/>
  <c r="X204" i="42"/>
  <c r="AM187" i="38"/>
  <c r="AM89" i="38"/>
  <c r="AM181" i="38"/>
  <c r="T200" i="42"/>
  <c r="L200" i="42"/>
  <c r="AM88" i="38"/>
  <c r="P217" i="42"/>
  <c r="H206" i="42"/>
  <c r="T219" i="42"/>
  <c r="H201" i="42"/>
  <c r="AB200" i="42"/>
  <c r="W208" i="42"/>
  <c r="X207" i="42"/>
  <c r="AB202" i="42"/>
  <c r="T217" i="42"/>
  <c r="AB201" i="42"/>
  <c r="AM25" i="43"/>
  <c r="X312" i="39"/>
  <c r="DN312" i="39" s="1"/>
  <c r="X31" i="38"/>
  <c r="AM159" i="41"/>
  <c r="K177" i="42"/>
  <c r="BT169" i="38"/>
  <c r="BT166" i="38" s="1"/>
  <c r="AS239" i="38" s="1"/>
  <c r="N177" i="42"/>
  <c r="BT77" i="38"/>
  <c r="BT74" i="38" s="1"/>
  <c r="AS147" i="38" s="1"/>
  <c r="V59" i="38"/>
  <c r="V325" i="39"/>
  <c r="AB197" i="42"/>
  <c r="AA202" i="42"/>
  <c r="K202" i="42"/>
  <c r="S219" i="42"/>
  <c r="T214" i="42"/>
  <c r="L197" i="42"/>
  <c r="T197" i="42"/>
  <c r="S202" i="42"/>
  <c r="AM158" i="41"/>
  <c r="X311" i="39"/>
  <c r="DN311" i="39" s="1"/>
  <c r="AL25" i="43"/>
  <c r="W59" i="38"/>
  <c r="W325" i="39"/>
  <c r="AA203" i="42"/>
  <c r="S220" i="42"/>
  <c r="K203" i="42"/>
  <c r="AB198" i="42"/>
  <c r="T215" i="42"/>
  <c r="T198" i="42"/>
  <c r="L198" i="42"/>
  <c r="S203" i="42"/>
  <c r="KM2" i="43" l="1"/>
  <c r="AQ147" i="38"/>
  <c r="V38" i="38"/>
  <c r="BX178" i="41"/>
  <c r="DW2" i="43"/>
  <c r="BV178" i="41"/>
  <c r="BI2" i="44"/>
  <c r="DN2" i="44"/>
  <c r="GN2" i="43"/>
  <c r="AQ239" i="38"/>
  <c r="LK2" i="43"/>
  <c r="X324" i="39"/>
  <c r="X58" i="38"/>
  <c r="DW2" i="44"/>
  <c r="GW2" i="43"/>
  <c r="L199" i="42"/>
  <c r="S204" i="42"/>
  <c r="X59" i="38"/>
  <c r="AB199" i="42"/>
  <c r="K204" i="42"/>
  <c r="AA204" i="42"/>
  <c r="T199" i="42"/>
  <c r="S221" i="42"/>
  <c r="T216" i="42"/>
  <c r="X325" i="39"/>
  <c r="X347" i="39"/>
  <c r="BH347" i="39"/>
  <c r="AP2" i="44"/>
  <c r="DD2" i="43"/>
  <c r="DE2" i="43"/>
  <c r="AQ2" i="44"/>
  <c r="P216" i="42"/>
  <c r="AL183" i="38"/>
  <c r="AL91" i="38"/>
  <c r="W204" i="42"/>
  <c r="P199" i="42"/>
  <c r="H199" i="42"/>
  <c r="O204" i="42"/>
  <c r="AM86" i="38"/>
  <c r="AM178" i="38"/>
  <c r="O221" i="42"/>
  <c r="G204" i="42"/>
  <c r="X57" i="38"/>
  <c r="X199" i="42"/>
  <c r="X323" i="39"/>
  <c r="OF2" i="43"/>
  <c r="BV177" i="41"/>
  <c r="DV2" i="43"/>
  <c r="OD2" i="43"/>
  <c r="BX177" i="41"/>
  <c r="BH2" i="44"/>
  <c r="V37" i="38"/>
  <c r="AW140" i="38" s="1"/>
  <c r="BT75" i="38" l="1"/>
  <c r="BT167" i="38"/>
  <c r="AS141" i="38"/>
  <c r="KH2" i="43" s="1"/>
  <c r="AS240" i="38" l="1"/>
  <c r="AS231" i="38"/>
  <c r="AS148" i="38"/>
  <c r="AS139" i="38"/>
  <c r="LL2" i="43" l="1"/>
  <c r="AQ240" i="38"/>
  <c r="AV141" i="38"/>
  <c r="KF2" i="43"/>
  <c r="AT140" i="38"/>
  <c r="AX139" i="38" s="1"/>
  <c r="AT142" i="38"/>
  <c r="AV139" i="38"/>
  <c r="AU141" i="38"/>
  <c r="AV231" i="38"/>
  <c r="AT232" i="38"/>
  <c r="AX231" i="38" s="1"/>
  <c r="LF2" i="43"/>
  <c r="KN2" i="43"/>
  <c r="AQ148" i="38"/>
  <c r="AX138" i="38" l="1"/>
  <c r="KG2" i="43"/>
  <c r="AX136" i="38"/>
  <c r="AX137" i="38"/>
  <c r="AX135" i="38"/>
  <c r="AX140" i="38"/>
  <c r="AX142" i="38"/>
  <c r="KI2" i="43"/>
  <c r="AX229" i="38"/>
  <c r="AX227" i="38"/>
  <c r="AX232" i="38"/>
  <c r="AX230" i="38"/>
  <c r="LG2" i="43"/>
  <c r="AX228"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Flavio Namura Macari</author>
  </authors>
  <commentList>
    <comment ref="B14" authorId="0" shapeId="0" xr:uid="{00000000-0006-0000-0100-000001000000}">
      <text>
        <r>
          <rPr>
            <sz val="9"/>
            <color indexed="81"/>
            <rFont val="Tahoma"/>
            <family val="2"/>
          </rPr>
          <t xml:space="preserve">User should list all BPC Projects (equivalent to PPD rows) that are part of this Business Case (BC)
If it is a standalone project / business case, user just need to enter one BPC code
</t>
        </r>
      </text>
    </comment>
    <comment ref="B51" authorId="0" shapeId="0" xr:uid="{00000000-0006-0000-0100-000002000000}">
      <text>
        <r>
          <rPr>
            <sz val="9"/>
            <color indexed="81"/>
            <rFont val="Tahoma"/>
            <family val="2"/>
          </rPr>
          <t>Please use drop down list to provide comparison scenario: 
Definition Exit (</t>
        </r>
        <r>
          <rPr>
            <b/>
            <sz val="9"/>
            <color indexed="81"/>
            <rFont val="Tahoma"/>
            <family val="2"/>
          </rPr>
          <t>Def Exit</t>
        </r>
        <r>
          <rPr>
            <sz val="9"/>
            <color indexed="81"/>
            <rFont val="Tahoma"/>
            <family val="2"/>
          </rPr>
          <t>) 
Rebaseline 1 (</t>
        </r>
        <r>
          <rPr>
            <b/>
            <sz val="9"/>
            <color indexed="81"/>
            <rFont val="Tahoma"/>
            <family val="2"/>
          </rPr>
          <t>RB1</t>
        </r>
        <r>
          <rPr>
            <sz val="9"/>
            <color indexed="81"/>
            <rFont val="Tahoma"/>
            <family val="2"/>
          </rPr>
          <t>)
Rebaseline 2 (</t>
        </r>
        <r>
          <rPr>
            <b/>
            <sz val="9"/>
            <color indexed="81"/>
            <rFont val="Tahoma"/>
            <family val="2"/>
          </rPr>
          <t>RB2</t>
        </r>
        <r>
          <rPr>
            <sz val="9"/>
            <color indexed="81"/>
            <rFont val="Tahoma"/>
            <family val="2"/>
          </rPr>
          <t>)
Rebaseline 3 (</t>
        </r>
        <r>
          <rPr>
            <b/>
            <sz val="9"/>
            <color indexed="81"/>
            <rFont val="Tahoma"/>
            <family val="2"/>
          </rPr>
          <t>RB3</t>
        </r>
        <r>
          <rPr>
            <sz val="9"/>
            <color indexed="81"/>
            <rFont val="Tahoma"/>
            <family val="2"/>
          </rPr>
          <t>)</t>
        </r>
      </text>
    </comment>
    <comment ref="W64" authorId="0" shapeId="0" xr:uid="{00000000-0006-0000-0100-000003000000}">
      <text>
        <r>
          <rPr>
            <sz val="9"/>
            <color indexed="81"/>
            <rFont val="Tahoma"/>
            <family val="2"/>
          </rPr>
          <t xml:space="preserve">Revenue Representativess estimate of this product / region / country compared to the whole project.
Consider 10 or 15 year time horizon, starting at Def Exit FY
</t>
        </r>
      </text>
    </comment>
    <comment ref="B68" authorId="0" shapeId="0" xr:uid="{00000000-0006-0000-0100-000004000000}">
      <text>
        <r>
          <rPr>
            <sz val="9"/>
            <color indexed="81"/>
            <rFont val="Tahoma"/>
            <family val="2"/>
          </rPr>
          <t xml:space="preserve">Row 72 shows standard Discount Rate (Hurdle Rate), based on combination of SMS and Tech Innov quadrants
</t>
        </r>
      </text>
    </comment>
    <comment ref="B69" authorId="0" shapeId="0" xr:uid="{00000000-0006-0000-0100-000005000000}">
      <text>
        <r>
          <rPr>
            <sz val="9"/>
            <color indexed="81"/>
            <rFont val="Tahoma"/>
            <family val="2"/>
          </rPr>
          <t xml:space="preserve">Row 72 shows standard Discount Rate (Hurdle Rate), based on combination of SMS and Tech Innov quadrants
</t>
        </r>
      </text>
    </comment>
    <comment ref="D72" authorId="0" shapeId="0" xr:uid="{00000000-0006-0000-0100-000006000000}">
      <text>
        <r>
          <rPr>
            <sz val="9"/>
            <color indexed="81"/>
            <rFont val="Tahoma"/>
            <family val="2"/>
          </rPr>
          <t xml:space="preserve">Finance Rate: 8%
</t>
        </r>
      </text>
    </comment>
    <comment ref="D73" authorId="0" shapeId="0" xr:uid="{00000000-0006-0000-0100-000007000000}">
      <text>
        <r>
          <rPr>
            <sz val="9"/>
            <color indexed="81"/>
            <rFont val="Tahoma"/>
            <family val="2"/>
          </rPr>
          <t xml:space="preserve">Reinvestment Rate: 12.5%
</t>
        </r>
      </text>
    </comment>
    <comment ref="J75" authorId="0" shapeId="0" xr:uid="{00000000-0006-0000-0100-000008000000}">
      <text>
        <r>
          <rPr>
            <sz val="9"/>
            <color indexed="81"/>
            <rFont val="Tahoma"/>
            <family val="2"/>
          </rPr>
          <t>More detailed break down is available at "FT_PPD_DD" tab:
i) DSO and DPO by Region 
ii) DIO by Business Unit</t>
        </r>
      </text>
    </comment>
    <comment ref="B89" authorId="0" shapeId="0" xr:uid="{00000000-0006-0000-0100-000009000000}">
      <text>
        <r>
          <rPr>
            <sz val="9"/>
            <color indexed="81"/>
            <rFont val="Tahoma"/>
            <family val="2"/>
          </rPr>
          <t xml:space="preserve">Hurdle Rate as a result of  SMS and Technology Innovation Quadrant combination:
</t>
        </r>
        <r>
          <rPr>
            <u/>
            <sz val="9"/>
            <color indexed="81"/>
            <rFont val="Tahoma"/>
            <family val="2"/>
          </rPr>
          <t>SMS quad:</t>
        </r>
        <r>
          <rPr>
            <sz val="9"/>
            <color indexed="81"/>
            <rFont val="Tahoma"/>
            <family val="2"/>
          </rPr>
          <t xml:space="preserve">
Growth: 15%
Maintain: 15%
Bet: 20%
Exit / TA: 20%
</t>
        </r>
        <r>
          <rPr>
            <u/>
            <sz val="9"/>
            <color indexed="81"/>
            <rFont val="Tahoma"/>
            <family val="2"/>
          </rPr>
          <t>Tech Innov quad:</t>
        </r>
        <r>
          <rPr>
            <sz val="9"/>
            <color indexed="81"/>
            <rFont val="Tahoma"/>
            <family val="2"/>
          </rPr>
          <t xml:space="preserve">
Radical: 0%
Routine: 0%
Architectural: 5%
Disruptive: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Flavio Namura Macari</author>
  </authors>
  <commentList>
    <comment ref="AQ13" authorId="0" shapeId="0" xr:uid="{00000000-0006-0000-0300-000001000000}">
      <text>
        <r>
          <rPr>
            <sz val="9"/>
            <color indexed="81"/>
            <rFont val="Tahoma"/>
            <family val="2"/>
          </rPr>
          <t>Current Rebaseline is pulling from Calc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Flavio Namura Macari</author>
  </authors>
  <commentList>
    <comment ref="X152" authorId="0" shapeId="0" xr:uid="{00000000-0006-0000-0600-000001000000}">
      <text>
        <r>
          <rPr>
            <sz val="9"/>
            <color indexed="81"/>
            <rFont val="Tahoma"/>
            <family val="2"/>
          </rPr>
          <t>Provide FY that product reaches peak category share</t>
        </r>
      </text>
    </comment>
    <comment ref="X153" authorId="0" shapeId="0" xr:uid="{00000000-0006-0000-0600-000002000000}">
      <text>
        <r>
          <rPr>
            <b/>
            <sz val="9"/>
            <color indexed="81"/>
            <rFont val="Tahoma"/>
            <family val="2"/>
          </rPr>
          <t>Market</t>
        </r>
        <r>
          <rPr>
            <sz val="9"/>
            <color indexed="81"/>
            <rFont val="Tahoma"/>
            <family val="2"/>
          </rPr>
          <t xml:space="preserve">
TAM: Total Addressable Market; Provide TAM at FY tha product reaches peak category share</t>
        </r>
      </text>
    </comment>
    <comment ref="X154" authorId="0" shapeId="0" xr:uid="{00000000-0006-0000-0600-000003000000}">
      <text>
        <r>
          <rPr>
            <b/>
            <sz val="9"/>
            <color indexed="81"/>
            <rFont val="Tahoma"/>
            <family val="2"/>
          </rPr>
          <t>Competition</t>
        </r>
        <r>
          <rPr>
            <sz val="9"/>
            <color indexed="81"/>
            <rFont val="Tahoma"/>
            <family val="2"/>
          </rPr>
          <t xml:space="preserve">
Expected Category share at peak</t>
        </r>
      </text>
    </comment>
    <comment ref="X155" authorId="0" shapeId="0" xr:uid="{00000000-0006-0000-0600-000004000000}">
      <text>
        <r>
          <rPr>
            <b/>
            <sz val="9"/>
            <color indexed="81"/>
            <rFont val="Tahoma"/>
            <family val="2"/>
          </rPr>
          <t>BD Offer</t>
        </r>
        <r>
          <rPr>
            <sz val="9"/>
            <color indexed="81"/>
            <rFont val="Tahoma"/>
            <family val="2"/>
          </rPr>
          <t xml:space="preserve">
TPP: Target Product Profile; What kind of differentiation product brings to market?</t>
        </r>
      </text>
    </comment>
    <comment ref="X156" authorId="0" shapeId="0" xr:uid="{00000000-0006-0000-0600-000005000000}">
      <text>
        <r>
          <rPr>
            <b/>
            <sz val="9"/>
            <color indexed="81"/>
            <rFont val="Tahoma"/>
            <family val="2"/>
          </rPr>
          <t>Pricing</t>
        </r>
        <r>
          <rPr>
            <sz val="9"/>
            <color indexed="81"/>
            <rFont val="Tahoma"/>
            <family val="2"/>
          </rPr>
          <t xml:space="preserve">
ASP: Average Selling Price; Provide ASP at peak category share FY</t>
        </r>
      </text>
    </comment>
    <comment ref="X157" authorId="0" shapeId="0" xr:uid="{00000000-0006-0000-0600-000006000000}">
      <text>
        <r>
          <rPr>
            <b/>
            <sz val="9"/>
            <color indexed="81"/>
            <rFont val="Tahoma"/>
            <family val="2"/>
          </rPr>
          <t>Commercial</t>
        </r>
        <r>
          <rPr>
            <sz val="9"/>
            <color indexed="81"/>
            <rFont val="Tahoma"/>
            <family val="2"/>
          </rPr>
          <t xml:space="preserve">
Provide SSG&amp;A/Revenues ratio; consider revenues and SSG&amp;A expenses from Launch FY to Peak Category Share FY</t>
        </r>
      </text>
    </comment>
    <comment ref="N418" authorId="0" shapeId="0" xr:uid="{00000000-0006-0000-0600-000007000000}">
      <text>
        <r>
          <rPr>
            <sz val="9"/>
            <color indexed="81"/>
            <rFont val="Tahoma"/>
            <family val="2"/>
          </rPr>
          <t xml:space="preserve">Def Exit or RB + 9Yrs timeframe with Updated Figures
</t>
        </r>
      </text>
    </comment>
    <comment ref="O418" authorId="0" shapeId="0" xr:uid="{00000000-0006-0000-0600-000008000000}">
      <text>
        <r>
          <rPr>
            <sz val="9"/>
            <color indexed="81"/>
            <rFont val="Tahoma"/>
            <family val="2"/>
          </rPr>
          <t>Fwd Look at Oct Collection</t>
        </r>
      </text>
    </comment>
    <comment ref="P418" authorId="0" shapeId="0" xr:uid="{00000000-0006-0000-0600-000009000000}">
      <text>
        <r>
          <rPr>
            <sz val="9"/>
            <color indexed="81"/>
            <rFont val="Tahoma"/>
            <family val="2"/>
          </rPr>
          <t>Fwd Look at May Collection</t>
        </r>
      </text>
    </comment>
    <comment ref="AT418" authorId="0" shapeId="0" xr:uid="{00000000-0006-0000-0600-00000A000000}">
      <text>
        <r>
          <rPr>
            <sz val="9"/>
            <color indexed="81"/>
            <rFont val="Tahoma"/>
            <family val="2"/>
          </rPr>
          <t>Def Exit or RB + 9Yrs timeframe with Updated Figures</t>
        </r>
      </text>
    </comment>
    <comment ref="AU418" authorId="0" shapeId="0" xr:uid="{00000000-0006-0000-0600-00000B000000}">
      <text>
        <r>
          <rPr>
            <sz val="9"/>
            <color indexed="81"/>
            <rFont val="Tahoma"/>
            <family val="2"/>
          </rPr>
          <t>Fwd Look at Oct Collection</t>
        </r>
      </text>
    </comment>
    <comment ref="AV418" authorId="0" shapeId="0" xr:uid="{00000000-0006-0000-0600-00000C000000}">
      <text>
        <r>
          <rPr>
            <sz val="9"/>
            <color indexed="81"/>
            <rFont val="Tahoma"/>
            <family val="2"/>
          </rPr>
          <t>Fwd Look at May Collection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Ranga Partha</author>
  </authors>
  <commentList>
    <comment ref="Q101" authorId="0" shapeId="0" xr:uid="{00000000-0006-0000-0D00-000001000000}">
      <text>
        <r>
          <rPr>
            <b/>
            <sz val="9"/>
            <color indexed="81"/>
            <rFont val="Tahoma"/>
            <family val="2"/>
          </rPr>
          <t>Ranga Partha:</t>
        </r>
        <r>
          <rPr>
            <sz val="9"/>
            <color indexed="81"/>
            <rFont val="Tahoma"/>
            <family val="2"/>
          </rPr>
          <t xml:space="preserve">
Progression starts at FY24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10104751</author>
  </authors>
  <commentList>
    <comment ref="CE13" authorId="0" shapeId="0" xr:uid="{00000000-0006-0000-1000-000001000000}">
      <text>
        <r>
          <rPr>
            <b/>
            <sz val="9"/>
            <color indexed="81"/>
            <rFont val="Tahoma"/>
            <family val="2"/>
          </rPr>
          <t>10104751:</t>
        </r>
        <r>
          <rPr>
            <sz val="9"/>
            <color indexed="81"/>
            <rFont val="Tahoma"/>
            <family val="2"/>
          </rPr>
          <t xml:space="preserve">
Updated as of 10/3/12
</t>
        </r>
      </text>
    </comment>
    <comment ref="CG13" authorId="0" shapeId="0" xr:uid="{00000000-0006-0000-1000-000002000000}">
      <text>
        <r>
          <rPr>
            <b/>
            <sz val="9"/>
            <color indexed="81"/>
            <rFont val="Tahoma"/>
            <family val="2"/>
          </rPr>
          <t>10104751:</t>
        </r>
        <r>
          <rPr>
            <sz val="9"/>
            <color indexed="81"/>
            <rFont val="Tahoma"/>
            <family val="2"/>
          </rPr>
          <t xml:space="preserve">
Updated as of 10/3/12
</t>
        </r>
      </text>
    </comment>
    <comment ref="CE14" authorId="0" shapeId="0" xr:uid="{00000000-0006-0000-1000-000003000000}">
      <text>
        <r>
          <rPr>
            <b/>
            <sz val="9"/>
            <color indexed="81"/>
            <rFont val="Tahoma"/>
            <family val="2"/>
          </rPr>
          <t>10104751:</t>
        </r>
        <r>
          <rPr>
            <sz val="9"/>
            <color indexed="81"/>
            <rFont val="Tahoma"/>
            <family val="2"/>
          </rPr>
          <t xml:space="preserve">
Updated as of 10/3/12
</t>
        </r>
      </text>
    </comment>
    <comment ref="CG14" authorId="0" shapeId="0" xr:uid="{00000000-0006-0000-1000-000004000000}">
      <text>
        <r>
          <rPr>
            <b/>
            <sz val="9"/>
            <color indexed="81"/>
            <rFont val="Tahoma"/>
            <family val="2"/>
          </rPr>
          <t>10104751:</t>
        </r>
        <r>
          <rPr>
            <sz val="9"/>
            <color indexed="81"/>
            <rFont val="Tahoma"/>
            <family val="2"/>
          </rPr>
          <t xml:space="preserve">
Updated as of 10/3/12
</t>
        </r>
      </text>
    </comment>
    <comment ref="CE15" authorId="0" shapeId="0" xr:uid="{00000000-0006-0000-1000-000005000000}">
      <text>
        <r>
          <rPr>
            <b/>
            <sz val="9"/>
            <color indexed="81"/>
            <rFont val="Tahoma"/>
            <family val="2"/>
          </rPr>
          <t>10104751:</t>
        </r>
        <r>
          <rPr>
            <sz val="9"/>
            <color indexed="81"/>
            <rFont val="Tahoma"/>
            <family val="2"/>
          </rPr>
          <t xml:space="preserve">
Updated as of 10/3/12
</t>
        </r>
      </text>
    </comment>
    <comment ref="CG15" authorId="0" shapeId="0" xr:uid="{00000000-0006-0000-1000-000006000000}">
      <text>
        <r>
          <rPr>
            <b/>
            <sz val="9"/>
            <color indexed="81"/>
            <rFont val="Tahoma"/>
            <family val="2"/>
          </rPr>
          <t>10104751:</t>
        </r>
        <r>
          <rPr>
            <sz val="9"/>
            <color indexed="81"/>
            <rFont val="Tahoma"/>
            <family val="2"/>
          </rPr>
          <t xml:space="preserve">
Updated as of 10/3/12
</t>
        </r>
      </text>
    </comment>
    <comment ref="CE16" authorId="0" shapeId="0" xr:uid="{00000000-0006-0000-1000-000007000000}">
      <text>
        <r>
          <rPr>
            <b/>
            <sz val="9"/>
            <color indexed="81"/>
            <rFont val="Tahoma"/>
            <family val="2"/>
          </rPr>
          <t>10104751:</t>
        </r>
        <r>
          <rPr>
            <sz val="9"/>
            <color indexed="81"/>
            <rFont val="Tahoma"/>
            <family val="2"/>
          </rPr>
          <t xml:space="preserve">
Updated as of 10/3/12
</t>
        </r>
      </text>
    </comment>
    <comment ref="CG16" authorId="0" shapeId="0" xr:uid="{00000000-0006-0000-1000-000008000000}">
      <text>
        <r>
          <rPr>
            <b/>
            <sz val="9"/>
            <color indexed="81"/>
            <rFont val="Tahoma"/>
            <family val="2"/>
          </rPr>
          <t>10104751:</t>
        </r>
        <r>
          <rPr>
            <sz val="9"/>
            <color indexed="81"/>
            <rFont val="Tahoma"/>
            <family val="2"/>
          </rPr>
          <t xml:space="preserve">
Updated as of 10/3/12
</t>
        </r>
      </text>
    </comment>
    <comment ref="CE17" authorId="0" shapeId="0" xr:uid="{00000000-0006-0000-1000-000009000000}">
      <text>
        <r>
          <rPr>
            <b/>
            <sz val="9"/>
            <color indexed="81"/>
            <rFont val="Tahoma"/>
            <family val="2"/>
          </rPr>
          <t>10104751:</t>
        </r>
        <r>
          <rPr>
            <sz val="9"/>
            <color indexed="81"/>
            <rFont val="Tahoma"/>
            <family val="2"/>
          </rPr>
          <t xml:space="preserve">
Updated as of 10/3/12
</t>
        </r>
      </text>
    </comment>
    <comment ref="CG17" authorId="0" shapeId="0" xr:uid="{00000000-0006-0000-1000-00000A000000}">
      <text>
        <r>
          <rPr>
            <b/>
            <sz val="9"/>
            <color indexed="81"/>
            <rFont val="Tahoma"/>
            <family val="2"/>
          </rPr>
          <t>10104751:</t>
        </r>
        <r>
          <rPr>
            <sz val="9"/>
            <color indexed="81"/>
            <rFont val="Tahoma"/>
            <family val="2"/>
          </rPr>
          <t xml:space="preserve">
Updated as of 10/3/12
</t>
        </r>
      </text>
    </comment>
    <comment ref="CE18" authorId="0" shapeId="0" xr:uid="{00000000-0006-0000-1000-00000B000000}">
      <text>
        <r>
          <rPr>
            <b/>
            <sz val="9"/>
            <color indexed="81"/>
            <rFont val="Tahoma"/>
            <family val="2"/>
          </rPr>
          <t>10104751:</t>
        </r>
        <r>
          <rPr>
            <sz val="9"/>
            <color indexed="81"/>
            <rFont val="Tahoma"/>
            <family val="2"/>
          </rPr>
          <t xml:space="preserve">
Updated as of 10/3/12
</t>
        </r>
      </text>
    </comment>
    <comment ref="CG18" authorId="0" shapeId="0" xr:uid="{00000000-0006-0000-1000-00000C000000}">
      <text>
        <r>
          <rPr>
            <b/>
            <sz val="9"/>
            <color indexed="81"/>
            <rFont val="Tahoma"/>
            <family val="2"/>
          </rPr>
          <t>10104751:</t>
        </r>
        <r>
          <rPr>
            <sz val="9"/>
            <color indexed="81"/>
            <rFont val="Tahoma"/>
            <family val="2"/>
          </rPr>
          <t xml:space="preserve">
Updated as of 10/3/12
</t>
        </r>
      </text>
    </comment>
    <comment ref="CE19" authorId="0" shapeId="0" xr:uid="{00000000-0006-0000-1000-00000D000000}">
      <text>
        <r>
          <rPr>
            <b/>
            <sz val="9"/>
            <color indexed="81"/>
            <rFont val="Tahoma"/>
            <family val="2"/>
          </rPr>
          <t>10104751:</t>
        </r>
        <r>
          <rPr>
            <sz val="9"/>
            <color indexed="81"/>
            <rFont val="Tahoma"/>
            <family val="2"/>
          </rPr>
          <t xml:space="preserve">
Updated as of 10/3/12
</t>
        </r>
      </text>
    </comment>
    <comment ref="CG19" authorId="0" shapeId="0" xr:uid="{00000000-0006-0000-1000-00000E000000}">
      <text>
        <r>
          <rPr>
            <b/>
            <sz val="9"/>
            <color indexed="81"/>
            <rFont val="Tahoma"/>
            <family val="2"/>
          </rPr>
          <t>10104751:</t>
        </r>
        <r>
          <rPr>
            <sz val="9"/>
            <color indexed="81"/>
            <rFont val="Tahoma"/>
            <family val="2"/>
          </rPr>
          <t xml:space="preserve">
Updated as of 10/3/12
</t>
        </r>
      </text>
    </comment>
    <comment ref="CE33" authorId="0" shapeId="0" xr:uid="{00000000-0006-0000-1000-00000F000000}">
      <text>
        <r>
          <rPr>
            <b/>
            <sz val="9"/>
            <color indexed="81"/>
            <rFont val="Tahoma"/>
            <family val="2"/>
          </rPr>
          <t>10104751:</t>
        </r>
        <r>
          <rPr>
            <sz val="9"/>
            <color indexed="81"/>
            <rFont val="Tahoma"/>
            <family val="2"/>
          </rPr>
          <t xml:space="preserve">
Updated as of 10/3/12
</t>
        </r>
      </text>
    </comment>
    <comment ref="CG33" authorId="0" shapeId="0" xr:uid="{00000000-0006-0000-1000-000010000000}">
      <text>
        <r>
          <rPr>
            <b/>
            <sz val="9"/>
            <color indexed="81"/>
            <rFont val="Tahoma"/>
            <family val="2"/>
          </rPr>
          <t>10104751:</t>
        </r>
        <r>
          <rPr>
            <sz val="9"/>
            <color indexed="81"/>
            <rFont val="Tahoma"/>
            <family val="2"/>
          </rPr>
          <t xml:space="preserve">
Updated as of 10/3/12
</t>
        </r>
      </text>
    </comment>
    <comment ref="CE34" authorId="0" shapeId="0" xr:uid="{00000000-0006-0000-1000-000011000000}">
      <text>
        <r>
          <rPr>
            <b/>
            <sz val="9"/>
            <color indexed="81"/>
            <rFont val="Tahoma"/>
            <family val="2"/>
          </rPr>
          <t>10104751:</t>
        </r>
        <r>
          <rPr>
            <sz val="9"/>
            <color indexed="81"/>
            <rFont val="Tahoma"/>
            <family val="2"/>
          </rPr>
          <t xml:space="preserve">
Updated as of 10/3/12
</t>
        </r>
      </text>
    </comment>
    <comment ref="CG34" authorId="0" shapeId="0" xr:uid="{00000000-0006-0000-1000-000012000000}">
      <text>
        <r>
          <rPr>
            <b/>
            <sz val="9"/>
            <color indexed="81"/>
            <rFont val="Tahoma"/>
            <family val="2"/>
          </rPr>
          <t>10104751:</t>
        </r>
        <r>
          <rPr>
            <sz val="9"/>
            <color indexed="81"/>
            <rFont val="Tahoma"/>
            <family val="2"/>
          </rPr>
          <t xml:space="preserve">
Updated as of 10/3/12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Ranga Partha</author>
    <author>Wei Ye</author>
  </authors>
  <commentList>
    <comment ref="N15" authorId="0" shapeId="0" xr:uid="{00000000-0006-0000-1100-000001000000}">
      <text>
        <r>
          <rPr>
            <b/>
            <sz val="9"/>
            <color indexed="81"/>
            <rFont val="Tahoma"/>
            <family val="2"/>
          </rPr>
          <t>Ranga Partha:</t>
        </r>
        <r>
          <rPr>
            <sz val="9"/>
            <color indexed="81"/>
            <rFont val="Tahoma"/>
            <family val="2"/>
          </rPr>
          <t xml:space="preserve">
Market Dev Costs</t>
        </r>
      </text>
    </comment>
    <comment ref="M16" authorId="0" shapeId="0" xr:uid="{00000000-0006-0000-1100-000002000000}">
      <text>
        <r>
          <rPr>
            <b/>
            <sz val="9"/>
            <color indexed="81"/>
            <rFont val="Tahoma"/>
            <family val="2"/>
          </rPr>
          <t>Ranga Partha:</t>
        </r>
        <r>
          <rPr>
            <sz val="9"/>
            <color indexed="81"/>
            <rFont val="Tahoma"/>
            <family val="2"/>
          </rPr>
          <t xml:space="preserve">
Lalvani consulting fee</t>
        </r>
      </text>
    </comment>
    <comment ref="M17" authorId="0" shapeId="0" xr:uid="{00000000-0006-0000-1100-000003000000}">
      <text>
        <r>
          <rPr>
            <b/>
            <sz val="9"/>
            <color indexed="81"/>
            <rFont val="Tahoma"/>
            <family val="2"/>
          </rPr>
          <t>Ranga Partha:</t>
        </r>
        <r>
          <rPr>
            <sz val="9"/>
            <color indexed="81"/>
            <rFont val="Tahoma"/>
            <family val="2"/>
          </rPr>
          <t xml:space="preserve">
Specimens</t>
        </r>
      </text>
    </comment>
    <comment ref="M18" authorId="1" shapeId="0" xr:uid="{00000000-0006-0000-1100-000004000000}">
      <text>
        <r>
          <rPr>
            <b/>
            <sz val="9"/>
            <color indexed="81"/>
            <rFont val="Tahoma"/>
            <family val="2"/>
          </rPr>
          <t>Wei Ye:</t>
        </r>
        <r>
          <rPr>
            <sz val="9"/>
            <color indexed="81"/>
            <rFont val="Tahoma"/>
            <family val="2"/>
          </rPr>
          <t xml:space="preserve">
Lavani milestone payment</t>
        </r>
      </text>
    </comment>
    <comment ref="P20" authorId="0" shapeId="0" xr:uid="{00000000-0006-0000-1100-000005000000}">
      <text>
        <r>
          <rPr>
            <b/>
            <sz val="9"/>
            <color indexed="81"/>
            <rFont val="Tahoma"/>
            <family val="2"/>
          </rPr>
          <t>Ranga Partha:</t>
        </r>
        <r>
          <rPr>
            <sz val="9"/>
            <color indexed="81"/>
            <rFont val="Tahoma"/>
            <family val="2"/>
          </rPr>
          <t xml:space="preserve">
$1M cost for Clinical Trials &amp; $0.5M for Regulatory Submission Charges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Wei Ye</author>
  </authors>
  <commentList>
    <comment ref="P10" authorId="0" shapeId="0" xr:uid="{00000000-0006-0000-1300-000001000000}">
      <text>
        <r>
          <rPr>
            <b/>
            <sz val="9"/>
            <color indexed="81"/>
            <rFont val="Tahoma"/>
            <family val="2"/>
          </rPr>
          <t>Wei Ye:</t>
        </r>
        <r>
          <rPr>
            <sz val="9"/>
            <color indexed="81"/>
            <rFont val="Tahoma"/>
            <family val="2"/>
          </rPr>
          <t xml:space="preserve">
$4.0M Milestone payment for first commercial launch - Recency Claim</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Edmund Wong</author>
  </authors>
  <commentList>
    <comment ref="A57" authorId="0" shapeId="0" xr:uid="{00000000-0006-0000-1600-000001000000}">
      <text>
        <r>
          <rPr>
            <b/>
            <sz val="9"/>
            <color indexed="8"/>
            <rFont val="Tahoma"/>
            <family val="2"/>
          </rPr>
          <t>Edmund Wong:</t>
        </r>
        <r>
          <rPr>
            <sz val="9"/>
            <color indexed="8"/>
            <rFont val="Tahoma"/>
            <family val="2"/>
          </rPr>
          <t xml:space="preserve">
Automatically checks: 1) current fiscal year to remove sunk costs; 2) perpetuity base year and zeroes any benefit in years after perpetuity base year to avoid double counting. </t>
        </r>
      </text>
    </comment>
  </commentList>
</comments>
</file>

<file path=xl/sharedStrings.xml><?xml version="1.0" encoding="utf-8"?>
<sst xmlns="http://schemas.openxmlformats.org/spreadsheetml/2006/main" count="7232" uniqueCount="2519">
  <si>
    <t>Comments</t>
  </si>
  <si>
    <t>Notes:  Include comments on strategic value of project, competition, etc.</t>
  </si>
  <si>
    <t>Total Cost of Good Sold ($)</t>
  </si>
  <si>
    <t>Tax Rate</t>
  </si>
  <si>
    <t xml:space="preserve">  Supplies </t>
  </si>
  <si>
    <t>BDX (as default)</t>
  </si>
  <si>
    <t>US</t>
  </si>
  <si>
    <t>International</t>
  </si>
  <si>
    <t>Canada</t>
  </si>
  <si>
    <t>Europe</t>
  </si>
  <si>
    <t>Asia Pacific</t>
  </si>
  <si>
    <t>Japan</t>
  </si>
  <si>
    <t>South LA</t>
  </si>
  <si>
    <t>North LA</t>
  </si>
  <si>
    <t>AR/AP Days</t>
  </si>
  <si>
    <t>Effective Tax Rate</t>
  </si>
  <si>
    <t xml:space="preserve">4. For terminal value of cash flows, if products have life beyond the forecast period, </t>
  </si>
  <si>
    <t>model will calculate the value of terminal cash flow.  If not, TV will be zero.</t>
  </si>
  <si>
    <t>Tax Expense</t>
  </si>
  <si>
    <t xml:space="preserve">Capital Property, Instrument, </t>
  </si>
  <si>
    <t>Amortz of IP</t>
  </si>
  <si>
    <t xml:space="preserve">  License fees, upfront, milestone, payment</t>
  </si>
  <si>
    <t>Depreciation Schedule-Capital</t>
  </si>
  <si>
    <t>Revenue</t>
  </si>
  <si>
    <t>High</t>
  </si>
  <si>
    <t>Medium</t>
  </si>
  <si>
    <t>Low</t>
  </si>
  <si>
    <t>Discount Rate Table</t>
  </si>
  <si>
    <t xml:space="preserve">Discount rate </t>
  </si>
  <si>
    <t>Terminal NPV</t>
  </si>
  <si>
    <t xml:space="preserve">Return on Total R&amp;D Investment </t>
  </si>
  <si>
    <t>IRR</t>
  </si>
  <si>
    <t>NPV Sensitivity (NPV change per 1% discount rate)</t>
  </si>
  <si>
    <t>Default 38%</t>
  </si>
  <si>
    <t>Notes</t>
  </si>
  <si>
    <t>Program Name:</t>
  </si>
  <si>
    <t>Program Description</t>
  </si>
  <si>
    <t>Product Change</t>
  </si>
  <si>
    <t>Project Name:</t>
  </si>
  <si>
    <t>Project Dependencies:</t>
  </si>
  <si>
    <t>(list program/project interdependencies - categorized according to [A] those on which this project is dependant , or [B] those which are dependant on this project)</t>
  </si>
  <si>
    <t>Sustaining</t>
  </si>
  <si>
    <t>Line Extension / Enhancements</t>
  </si>
  <si>
    <t>Next Generation</t>
  </si>
  <si>
    <t>New Core Technology</t>
  </si>
  <si>
    <t xml:space="preserve"> Project Type:</t>
  </si>
  <si>
    <t>&lt;SELECT FROM LIST&gt;</t>
  </si>
  <si>
    <t xml:space="preserve">(select option from drop-down list) ----&gt; </t>
  </si>
  <si>
    <t>Market Change</t>
  </si>
  <si>
    <t>Current</t>
  </si>
  <si>
    <t>A</t>
  </si>
  <si>
    <t>B1</t>
  </si>
  <si>
    <t>C1</t>
  </si>
  <si>
    <t>D1</t>
  </si>
  <si>
    <t>n/a</t>
  </si>
  <si>
    <t>B2</t>
  </si>
  <si>
    <t>C2</t>
  </si>
  <si>
    <t>D2</t>
  </si>
  <si>
    <t xml:space="preserve"> Business Unit(s):</t>
  </si>
  <si>
    <t>(select options from drop-down list)</t>
  </si>
  <si>
    <t>Market Segment(s):</t>
  </si>
  <si>
    <t>Product Manager</t>
  </si>
  <si>
    <t>R&amp;D Project Manager</t>
  </si>
  <si>
    <t>(select option from drop-down list)</t>
  </si>
  <si>
    <t>Strategic Fit</t>
  </si>
  <si>
    <t>Competitive Advantage</t>
  </si>
  <si>
    <t>(include activities expected to be performed</t>
  </si>
  <si>
    <r>
      <t xml:space="preserve">by quarter, </t>
    </r>
    <r>
      <rPr>
        <b/>
        <sz val="10"/>
        <rFont val="Arial"/>
        <family val="2"/>
      </rPr>
      <t>please be as explicit as</t>
    </r>
  </si>
  <si>
    <t>Project Type</t>
  </si>
  <si>
    <t>A - Maintenance of Existing Product</t>
  </si>
  <si>
    <t>B1 - Line Extension / Product Enhancements - Existing Market Penetration</t>
  </si>
  <si>
    <t>B2 - Line Extension / Product Enhancements - New Market Penetration</t>
  </si>
  <si>
    <t>C1 - New Platform - Existing Market</t>
  </si>
  <si>
    <t>C2 - New Platform - New Market</t>
  </si>
  <si>
    <t>D1 - New Core Product - Existing Market</t>
  </si>
  <si>
    <t>D2 - New Core Product - New Market (Diversification)</t>
  </si>
  <si>
    <t>Business Unit</t>
  </si>
  <si>
    <t>Immunocytometry Systems</t>
  </si>
  <si>
    <t>Pharmingen</t>
  </si>
  <si>
    <t>Discovery Labware</t>
  </si>
  <si>
    <t>Atto</t>
  </si>
  <si>
    <t>Market Segment</t>
  </si>
  <si>
    <t>Clinical Diagnostics</t>
  </si>
  <si>
    <t>Updated 02-07-2006 (changed dbase summary to separate FTE spending btw R&amp;D, SSG&amp;A and COGS)</t>
  </si>
  <si>
    <t>Clinical Research</t>
  </si>
  <si>
    <t>Basic Research</t>
  </si>
  <si>
    <t>Pharma / Biotech</t>
  </si>
  <si>
    <t>1- New Technology Concept, Feasibility not yet demonstrated</t>
  </si>
  <si>
    <t>2 - New technology – proof of principal demonstrated</t>
  </si>
  <si>
    <t xml:space="preserve">3 - Existing technology, feasibility demonstrated, pushed to the performance limits or requiring new single source content. </t>
  </si>
  <si>
    <t xml:space="preserve">4 - Feasibility and viability established.  Minor process development or clinical trial risk. </t>
  </si>
  <si>
    <t>5 - Product line extension, no new technology or materials risk</t>
  </si>
  <si>
    <t>1 - Unique product in new, emerging, or rapidly changing market area, new customer group, new distribution channel.</t>
  </si>
  <si>
    <t>2 - Well-understood product concept in new market and customer group for BD.  Stable market environment.</t>
  </si>
  <si>
    <t>3 - Unique product concept in well understood BD market with existing customers. Product will require educational sell.</t>
  </si>
  <si>
    <t>4 - Well-understood product concept in new application for BD.  Existing BD customers.  Stable market environment.</t>
  </si>
  <si>
    <t>5 - Product line extension, well understood stable market, existing customers. Low competition.</t>
  </si>
  <si>
    <t>1 - Not in Business Strategy - new served market</t>
  </si>
  <si>
    <t>2 - Not in Business Strategy - maps onto served market</t>
  </si>
  <si>
    <t>3 - In Business Strategy - served low growth market</t>
  </si>
  <si>
    <t>4 - In Business Strategy - new or "underserved" market</t>
  </si>
  <si>
    <t>5 - In Business Strategy - served high growth market</t>
  </si>
  <si>
    <t>1 - Significantly Behind in a strategically important area</t>
  </si>
  <si>
    <t>2 - Behind the Competition</t>
  </si>
  <si>
    <t>3 - At parity with Competition</t>
  </si>
  <si>
    <t>4 - Ahead of Competition</t>
  </si>
  <si>
    <t>5 - Significantly Ahead in a strategically important area</t>
  </si>
  <si>
    <r>
      <t xml:space="preserve">(describe key assumptions, program scope, </t>
    </r>
    <r>
      <rPr>
        <b/>
        <i/>
        <sz val="10"/>
        <rFont val="Arial"/>
        <family val="2"/>
      </rPr>
      <t>please be as explicit as possible including specific deliverables and timing, use additional space if necessary</t>
    </r>
    <r>
      <rPr>
        <i/>
        <sz val="10"/>
        <rFont val="Arial"/>
        <family val="2"/>
      </rPr>
      <t>)</t>
    </r>
  </si>
  <si>
    <r>
      <t xml:space="preserve">(describe key assumptions, project scope, </t>
    </r>
    <r>
      <rPr>
        <b/>
        <i/>
        <sz val="10"/>
        <rFont val="Arial"/>
        <family val="2"/>
      </rPr>
      <t>please be as explicit as possible including specific deliverables and timing, use additional space if necessary</t>
    </r>
    <r>
      <rPr>
        <i/>
        <sz val="10"/>
        <rFont val="Arial"/>
        <family val="2"/>
      </rPr>
      <t>)</t>
    </r>
  </si>
  <si>
    <r>
      <t>possible</t>
    </r>
    <r>
      <rPr>
        <sz val="10"/>
        <rFont val="Arial"/>
        <family val="2"/>
      </rPr>
      <t>)</t>
    </r>
  </si>
  <si>
    <t>PROGRAM NAME:</t>
  </si>
  <si>
    <t>Project FTE Table</t>
  </si>
  <si>
    <t>&lt;ENTER&gt;</t>
  </si>
  <si>
    <r>
      <t xml:space="preserve">Receivables - Balance   </t>
    </r>
    <r>
      <rPr>
        <sz val="10"/>
        <color indexed="12"/>
        <rFont val="Arial"/>
        <family val="2"/>
      </rPr>
      <t>Default Days 55</t>
    </r>
  </si>
  <si>
    <r>
      <t xml:space="preserve">Payables - Balance   </t>
    </r>
    <r>
      <rPr>
        <sz val="10"/>
        <color indexed="12"/>
        <rFont val="Arial"/>
        <family val="2"/>
      </rPr>
      <t>Default Days 55</t>
    </r>
  </si>
  <si>
    <r>
      <t>Perpetuity growth rate (</t>
    </r>
    <r>
      <rPr>
        <b/>
        <sz val="10"/>
        <color indexed="12"/>
        <rFont val="Arial"/>
        <family val="2"/>
      </rPr>
      <t>default 0%</t>
    </r>
    <r>
      <rPr>
        <b/>
        <sz val="10"/>
        <rFont val="Arial"/>
        <family val="2"/>
      </rPr>
      <t>)</t>
    </r>
  </si>
  <si>
    <t>Workbook Instructions</t>
  </si>
  <si>
    <t xml:space="preserve">Please enter information in yellow shaded cells only.  </t>
  </si>
  <si>
    <t>Basic Project Info</t>
  </si>
  <si>
    <t>Milestone example:  Q1:  510(k) submission</t>
  </si>
  <si>
    <t>Market Risk, Technical risk, Strategic Fit: rate 1 to 5 using the descriptions provided</t>
  </si>
  <si>
    <t>Describe capital requirements</t>
  </si>
  <si>
    <t>Describe acquisition fees of technology, licenses, distribution agreements etc ..</t>
  </si>
  <si>
    <t>FTE Costs - LEAVE BLANK (to be completed by finance)</t>
  </si>
  <si>
    <t>Income Statement</t>
  </si>
  <si>
    <r>
      <t xml:space="preserve">Competitive Advantage: rate 1 to 5 </t>
    </r>
    <r>
      <rPr>
        <sz val="10"/>
        <rFont val="Arial"/>
        <family val="2"/>
      </rPr>
      <t>based on our where our competitive position would be if we proceeded with the project</t>
    </r>
  </si>
  <si>
    <r>
      <t>1. Validate Receivables Days (</t>
    </r>
    <r>
      <rPr>
        <sz val="10"/>
        <color indexed="12"/>
        <rFont val="Arial"/>
        <family val="2"/>
      </rPr>
      <t>default 55</t>
    </r>
    <r>
      <rPr>
        <sz val="10"/>
        <rFont val="Arial"/>
        <family val="2"/>
      </rPr>
      <t>, change in applicable cases)</t>
    </r>
  </si>
  <si>
    <r>
      <t>2. Validate Payables Days (</t>
    </r>
    <r>
      <rPr>
        <sz val="10"/>
        <color indexed="12"/>
        <rFont val="Arial"/>
        <family val="2"/>
      </rPr>
      <t>default 55</t>
    </r>
    <r>
      <rPr>
        <sz val="10"/>
        <rFont val="Arial"/>
        <family val="2"/>
      </rPr>
      <t>, change in applicable cases)</t>
    </r>
  </si>
  <si>
    <r>
      <t>3. Validate Days of Inventory to be maintained (</t>
    </r>
    <r>
      <rPr>
        <sz val="10"/>
        <color indexed="12"/>
        <rFont val="Arial"/>
        <family val="2"/>
      </rPr>
      <t>default 10</t>
    </r>
    <r>
      <rPr>
        <sz val="10"/>
        <rFont val="Arial"/>
        <family val="2"/>
      </rPr>
      <t>0, change in applicable cases)</t>
    </r>
  </si>
  <si>
    <t>Reagents</t>
  </si>
  <si>
    <t>Instruments</t>
  </si>
  <si>
    <t>Software</t>
  </si>
  <si>
    <t>Reagent Rental Sales (Inst &amp; Reagent Combined)</t>
  </si>
  <si>
    <t>Product Line</t>
  </si>
  <si>
    <t>Product Set</t>
  </si>
  <si>
    <t>Instructions:</t>
  </si>
  <si>
    <t>Product Line(s)</t>
  </si>
  <si>
    <t>Product Set(s)</t>
  </si>
  <si>
    <t>HIV</t>
  </si>
  <si>
    <t>CANCER</t>
  </si>
  <si>
    <t>TRANSPLANT &amp; TRANSFU</t>
  </si>
  <si>
    <t>SEPSIS</t>
  </si>
  <si>
    <t>Immune Function</t>
  </si>
  <si>
    <t>Other Clinical</t>
  </si>
  <si>
    <t>QC Reagents</t>
  </si>
  <si>
    <t>Sample Prep Fluids</t>
  </si>
  <si>
    <t>Instrument Fluids</t>
  </si>
  <si>
    <t>Non Sale Reagents</t>
  </si>
  <si>
    <t>Spares</t>
  </si>
  <si>
    <t>Analyzers</t>
  </si>
  <si>
    <t>Sorters</t>
  </si>
  <si>
    <t>Sample Preppers</t>
  </si>
  <si>
    <t>Plate Readers</t>
  </si>
  <si>
    <t>Computers &amp; Software</t>
  </si>
  <si>
    <t>RR Instruments</t>
  </si>
  <si>
    <t>Non Sale Instruments</t>
  </si>
  <si>
    <t>Service Contract</t>
  </si>
  <si>
    <t>Cell Signal/Cancer</t>
  </si>
  <si>
    <t>Support Products</t>
  </si>
  <si>
    <t>Molecular Biology</t>
  </si>
  <si>
    <t>REAGENT RENTALS</t>
  </si>
  <si>
    <t>FACSCount</t>
  </si>
  <si>
    <t>IMAGN</t>
  </si>
  <si>
    <t>SPA</t>
  </si>
  <si>
    <t>LWA</t>
  </si>
  <si>
    <t>RR Reagents</t>
  </si>
  <si>
    <t>HIV MultiTEST</t>
  </si>
  <si>
    <t>HIV TriTEST</t>
  </si>
  <si>
    <t>HIV SimulTEST</t>
  </si>
  <si>
    <t>HIV FACSCount</t>
  </si>
  <si>
    <t>HIV Process Controls</t>
  </si>
  <si>
    <t>HIV Single Col</t>
  </si>
  <si>
    <t>HIV Hematology</t>
  </si>
  <si>
    <t>HIV Quantibrite</t>
  </si>
  <si>
    <t>CAN Oncomark</t>
  </si>
  <si>
    <t>CAN Single Color</t>
  </si>
  <si>
    <t>CAN SimulTEST</t>
  </si>
  <si>
    <t>CAN Quantibrite</t>
  </si>
  <si>
    <t>TT ReticCOUNT</t>
  </si>
  <si>
    <t>TT HLA-B27</t>
  </si>
  <si>
    <t>TT LeucoCOUNT</t>
  </si>
  <si>
    <t>TT ProCOUNT</t>
  </si>
  <si>
    <t>TT IMAGN - rWBC</t>
  </si>
  <si>
    <t>TT Process Controls</t>
  </si>
  <si>
    <t>TT Single Color</t>
  </si>
  <si>
    <t>SEPS Single Color</t>
  </si>
  <si>
    <t>SEPS Quantibrite</t>
  </si>
  <si>
    <t>IFX Multicolor</t>
  </si>
  <si>
    <t>IFX Single color</t>
  </si>
  <si>
    <t>CTT Materials</t>
  </si>
  <si>
    <t>OC Multicolor</t>
  </si>
  <si>
    <t>OC Single color</t>
  </si>
  <si>
    <t>OC Customs</t>
  </si>
  <si>
    <t>QC CaliBRITE beads</t>
  </si>
  <si>
    <t>QC QBRITE Beads</t>
  </si>
  <si>
    <t>SPF FACSLyse</t>
  </si>
  <si>
    <t>SPFClin Prep Fluids</t>
  </si>
  <si>
    <t>IF System Fluids</t>
  </si>
  <si>
    <t>Instruments Adj/Exp</t>
  </si>
  <si>
    <t>FACSCalibur</t>
  </si>
  <si>
    <t>FACSCAN/FACSort</t>
  </si>
  <si>
    <t>Resold Instruments</t>
  </si>
  <si>
    <t>LSR II</t>
  </si>
  <si>
    <t>FACSCanto</t>
  </si>
  <si>
    <t>FACSArray</t>
  </si>
  <si>
    <t>FACS Vantage</t>
  </si>
  <si>
    <t>FACSAria</t>
  </si>
  <si>
    <t>Medimachine</t>
  </si>
  <si>
    <t>Luminometer</t>
  </si>
  <si>
    <t>FACStation Mac</t>
  </si>
  <si>
    <t>Clinical Software</t>
  </si>
  <si>
    <t>Research Software</t>
  </si>
  <si>
    <t>PC Workstations</t>
  </si>
  <si>
    <t>Inst. Opt Conversion</t>
  </si>
  <si>
    <t>Deferred Rev/COS</t>
  </si>
  <si>
    <t>S/C FACSCalibur</t>
  </si>
  <si>
    <t>S/C FACSort</t>
  </si>
  <si>
    <t>S/C Vantage</t>
  </si>
  <si>
    <t>S/C FACSCount</t>
  </si>
  <si>
    <t>S/C LSR</t>
  </si>
  <si>
    <t>S/C Other</t>
  </si>
  <si>
    <t>S/C FACSCan</t>
  </si>
  <si>
    <t>S/C Clin Automation</t>
  </si>
  <si>
    <t>S/C FACStar</t>
  </si>
  <si>
    <t>S/C FACSAria</t>
  </si>
  <si>
    <t>S/C FACSCanto</t>
  </si>
  <si>
    <t>Time &amp; Material</t>
  </si>
  <si>
    <t>Purchased Training</t>
  </si>
  <si>
    <t>Applications</t>
  </si>
  <si>
    <t>Instr SVC Adj/Exp</t>
  </si>
  <si>
    <t>Immuno Sys Op Exp</t>
  </si>
  <si>
    <t>CS Flow Cytometry</t>
  </si>
  <si>
    <t>CS Immstain</t>
  </si>
  <si>
    <t>CS Biotin</t>
  </si>
  <si>
    <t>CS CBA/Arrays</t>
  </si>
  <si>
    <t>CS Elisa</t>
  </si>
  <si>
    <t>CS NA/LE</t>
  </si>
  <si>
    <t>IFX Flow Cytometry</t>
  </si>
  <si>
    <t>IFX Biotin</t>
  </si>
  <si>
    <t>IFX Immstain</t>
  </si>
  <si>
    <t>IFX CBA/Array</t>
  </si>
  <si>
    <t>IFX ELISA</t>
  </si>
  <si>
    <t>IFX NA/LE</t>
  </si>
  <si>
    <t>IFX Pure</t>
  </si>
  <si>
    <t>IFX Antigen Present</t>
  </si>
  <si>
    <t>IFX ELISPOT</t>
  </si>
  <si>
    <t>IFX Magnetic</t>
  </si>
  <si>
    <t>IFX FCM Multi</t>
  </si>
  <si>
    <t>SP Flow Cytometry</t>
  </si>
  <si>
    <t>SP Biotin</t>
  </si>
  <si>
    <t>SP CBA/Array</t>
  </si>
  <si>
    <t>SP ELISA</t>
  </si>
  <si>
    <t>SP NA/LE</t>
  </si>
  <si>
    <t>SP Pure</t>
  </si>
  <si>
    <t>SP Elispot</t>
  </si>
  <si>
    <t>SP Magnetic</t>
  </si>
  <si>
    <t>SP RiboQuant</t>
  </si>
  <si>
    <t>SP Protein Express</t>
  </si>
  <si>
    <t>SP Immstain</t>
  </si>
  <si>
    <t>MB RiboQuant</t>
  </si>
  <si>
    <t>MB Protein Express</t>
  </si>
  <si>
    <t>REVENUE WORKSHEET</t>
  </si>
  <si>
    <t>Other / Multiple (add comments)</t>
  </si>
  <si>
    <t>Instructions</t>
  </si>
  <si>
    <t>TOTAL</t>
  </si>
  <si>
    <t xml:space="preserve">  Growth rate</t>
  </si>
  <si>
    <t>Calculation.</t>
  </si>
  <si>
    <t>Categorization should match current SAP data hierachy.</t>
  </si>
  <si>
    <t>List Reference</t>
  </si>
  <si>
    <t>Please enter an estimate of total market size and</t>
  </si>
  <si>
    <t>anticipated growth rates for the market segments</t>
  </si>
  <si>
    <t xml:space="preserve">lines anticipated as a result of this project. </t>
  </si>
  <si>
    <t>numbers.</t>
  </si>
  <si>
    <r>
      <t xml:space="preserve">A) Addressable Market Size </t>
    </r>
    <r>
      <rPr>
        <b/>
        <i/>
        <sz val="10"/>
        <rFont val="Arial"/>
        <family val="2"/>
      </rPr>
      <t>(for specific market segments linked to this project)</t>
    </r>
  </si>
  <si>
    <r>
      <t>B) "Do Nothing" Scenario - Baseline Sales</t>
    </r>
    <r>
      <rPr>
        <b/>
        <i/>
        <sz val="10"/>
        <rFont val="Arial"/>
        <family val="2"/>
      </rPr>
      <t xml:space="preserve"> (for specific market segments linked to this project)</t>
    </r>
  </si>
  <si>
    <r>
      <t xml:space="preserve">E) Net Incremental Sales </t>
    </r>
    <r>
      <rPr>
        <b/>
        <i/>
        <sz val="10"/>
        <rFont val="Arial"/>
        <family val="2"/>
      </rPr>
      <t>(due specifically to this project)</t>
    </r>
  </si>
  <si>
    <t>Note: Total links to Income Statement Worksheet</t>
  </si>
  <si>
    <t>Enter the expected life (must be btw 3-10 yrs)</t>
  </si>
  <si>
    <t>Quantity</t>
  </si>
  <si>
    <t>Avg Cost</t>
  </si>
  <si>
    <t>Reagent Rental Instruments ($thousands)</t>
  </si>
  <si>
    <t>Depreciation Schedule-Reagent Rental Instruments (assume 4-yr depreciation schedule)</t>
  </si>
  <si>
    <t>&lt;-- Links to FTE Worksheet</t>
  </si>
  <si>
    <t>Net Incremental Sales</t>
  </si>
  <si>
    <t>Costs of Goods Sold</t>
  </si>
  <si>
    <t xml:space="preserve">    Gross Margin %</t>
  </si>
  <si>
    <t>Gross Profit</t>
  </si>
  <si>
    <t>Costs of Goods Sold - Reagents</t>
  </si>
  <si>
    <t>Royalties</t>
  </si>
  <si>
    <t>Enter Percent % --&gt;</t>
  </si>
  <si>
    <t>Acquired IP (License Fees, etc.) Amortization Schedule</t>
  </si>
  <si>
    <t>Acquired IP (License Fees, etc.) Costs ($thousands)</t>
  </si>
  <si>
    <t>Reagent Development</t>
  </si>
  <si>
    <t>Hardware Development</t>
  </si>
  <si>
    <t>Biostats</t>
  </si>
  <si>
    <t>Please enter the estimated Costs of Goods Sold,</t>
  </si>
  <si>
    <t>including materials, labor (direct/indirect) and</t>
  </si>
  <si>
    <t>overhead.  Also please include any applicable</t>
  </si>
  <si>
    <t>variances (start-up costs, cost reduction programs,</t>
  </si>
  <si>
    <t>economies of scale, pricing pressures over time, etc.</t>
  </si>
  <si>
    <t xml:space="preserve">Please enter royalties (as a % of sales) on a separate  </t>
  </si>
  <si>
    <t xml:space="preserve">line item as shown. </t>
  </si>
  <si>
    <t>also note that Instrument Depreciation is calculated</t>
  </si>
  <si>
    <t>using the Amortz &amp; Depr worksheet (the data is linked</t>
  </si>
  <si>
    <t>to this worksheet).</t>
  </si>
  <si>
    <t>For Reagent Rentals specifically, please</t>
  </si>
  <si>
    <t>The following items should not be included in this worksheet:</t>
  </si>
  <si>
    <t xml:space="preserve">    - Amortization of Licenses  (this information is entered</t>
  </si>
  <si>
    <t xml:space="preserve">      instead on the Amortz &amp; Depr tab)</t>
  </si>
  <si>
    <t xml:space="preserve">   - Depreciation of any capital (this information is entered </t>
  </si>
  <si>
    <t>addressed by this project.</t>
  </si>
  <si>
    <t>Please enter baseline sales for the applicable existing</t>
  </si>
  <si>
    <t xml:space="preserve">product families assuming a 'do-nothing' scenario. </t>
  </si>
  <si>
    <t>Totals shown should match summary revenue</t>
  </si>
  <si>
    <t>projections from March reforecast, adjusted to remove</t>
  </si>
  <si>
    <t>portfolio planning assumptions already built into the</t>
  </si>
  <si>
    <t>reforecast figures.</t>
  </si>
  <si>
    <t>Please enter incremental sales anticipated as a result of this project. As appropriate,</t>
  </si>
  <si>
    <t>"co-dependencies" with other projects being evaluated.  Please use additional  space</t>
  </si>
  <si>
    <t>as necessary.</t>
  </si>
  <si>
    <t>&lt;----------------------------------------------------------</t>
  </si>
  <si>
    <t>etc.)  Note your key assumptions based on unit volumes,</t>
  </si>
  <si>
    <t>Incremental Sales should be calculated using the Revenue</t>
  </si>
  <si>
    <t xml:space="preserve">worksheet (linked to this tab).  </t>
  </si>
  <si>
    <t>please attach or reference a 'bottom-up' analysis (ie. number of patients,</t>
  </si>
  <si>
    <t>tests per patient, market penetration rates, etc.)   Please list all key assumptions</t>
  </si>
  <si>
    <t>including product launch date, product AUSP, and competitive or substitute products</t>
  </si>
  <si>
    <t>in the market, and how these factor vary by geography and over time.  Also please list</t>
  </si>
  <si>
    <t>Reagent Rentals (Inst &amp; Reagent Combined)</t>
  </si>
  <si>
    <t>&lt;-- Links to COGS Worksheet</t>
  </si>
  <si>
    <t>&lt;-- Links to REV Worksheet</t>
  </si>
  <si>
    <r>
      <t xml:space="preserve">Shipping Costs % of Sales                 BDB </t>
    </r>
    <r>
      <rPr>
        <sz val="10"/>
        <color indexed="18"/>
        <rFont val="Arial"/>
        <family val="2"/>
      </rPr>
      <t>Default 1.8%</t>
    </r>
  </si>
  <si>
    <r>
      <t xml:space="preserve">Inventories - Balance     </t>
    </r>
    <r>
      <rPr>
        <sz val="10"/>
        <color indexed="12"/>
        <rFont val="Arial"/>
        <family val="2"/>
      </rPr>
      <t>Default Days 100</t>
    </r>
  </si>
  <si>
    <t>Market Risk (1-5)</t>
  </si>
  <si>
    <t>Technical Risk (1-5)</t>
  </si>
  <si>
    <t xml:space="preserve"> &lt;SELECT FROM LIST&gt;</t>
  </si>
  <si>
    <t>Revenues &amp; COGS</t>
  </si>
  <si>
    <t>Development Expenses</t>
  </si>
  <si>
    <t xml:space="preserve">5. Discount Rate -- Use the pre-determined rate to calculate NPV </t>
  </si>
  <si>
    <t>General (all tabs)</t>
  </si>
  <si>
    <t>Software Amortization (developed internally)</t>
  </si>
  <si>
    <t>Depreciation / Amortization</t>
  </si>
  <si>
    <t>Instrument Depreciation</t>
  </si>
  <si>
    <t>Software Amortization</t>
  </si>
  <si>
    <r>
      <t xml:space="preserve">C) Project Sales </t>
    </r>
    <r>
      <rPr>
        <b/>
        <i/>
        <sz val="10"/>
        <rFont val="Arial"/>
        <family val="2"/>
      </rPr>
      <t>(due specifically to this project)</t>
    </r>
  </si>
  <si>
    <t>FTE Costs</t>
  </si>
  <si>
    <t>Total ($)</t>
  </si>
  <si>
    <t>Other Costs</t>
  </si>
  <si>
    <t>Amortization of Internally Developed Software(assume 4-yr depreciation schedule)</t>
  </si>
  <si>
    <t>Capital Exp (includes Reagent Rentals)</t>
  </si>
  <si>
    <t>IP  Payments / Amortizable Software Costs</t>
  </si>
  <si>
    <t>Product Subset(s)</t>
  </si>
  <si>
    <t>Product Subset</t>
  </si>
  <si>
    <t>HIV MultiTEST IVD</t>
  </si>
  <si>
    <t>HIV TriTEST IVD</t>
  </si>
  <si>
    <t>HIV TriTEST ASR</t>
  </si>
  <si>
    <t>HIV TriTEST RUO-GMP</t>
  </si>
  <si>
    <t>HIV SimulTEST IVD</t>
  </si>
  <si>
    <t>HIV SimulTEST ASR</t>
  </si>
  <si>
    <t>HIV SimulTEST RUO</t>
  </si>
  <si>
    <t>HIV FACSCount IVD</t>
  </si>
  <si>
    <t>HIV Proc Ctrl IVD</t>
  </si>
  <si>
    <t>HIV Single Col IVD</t>
  </si>
  <si>
    <t>HIV Single Col RUO</t>
  </si>
  <si>
    <t>HIV Customs RUO-GMP</t>
  </si>
  <si>
    <t>HIV Abbott Cell-Dyn</t>
  </si>
  <si>
    <t>HIV Quantibrite RUO</t>
  </si>
  <si>
    <t>CAN Oncomark IVD</t>
  </si>
  <si>
    <t>CAN Oncomark ASR</t>
  </si>
  <si>
    <t>CAN Oncomark RUO-GMP</t>
  </si>
  <si>
    <t>CAN Single IVD</t>
  </si>
  <si>
    <t>CAN Single ASR</t>
  </si>
  <si>
    <t>CAN Single RUO-GMP</t>
  </si>
  <si>
    <t>CAN SimulTEST IVD</t>
  </si>
  <si>
    <t>CAN SimulTEST ASR</t>
  </si>
  <si>
    <t>CAN SimulTEST RUO</t>
  </si>
  <si>
    <t>CAN Quantibrite IVD</t>
  </si>
  <si>
    <t>CAN Quantibrite RUO</t>
  </si>
  <si>
    <t>TT ReticCOUNT IVD</t>
  </si>
  <si>
    <t>TT HLA-B27 IVD</t>
  </si>
  <si>
    <t>TT LeucoCOUNT IVD</t>
  </si>
  <si>
    <t>TT LeucoCOUNT RUO</t>
  </si>
  <si>
    <t>TT ProCOUNT IVD</t>
  </si>
  <si>
    <t>TT IMAGN - rWBC IVD</t>
  </si>
  <si>
    <t>TT Proc Ctrl IVD</t>
  </si>
  <si>
    <t>TT Single IVD</t>
  </si>
  <si>
    <t>TT Single ASR</t>
  </si>
  <si>
    <t>TT Single RUO-GMP</t>
  </si>
  <si>
    <t>SEPS Single IVD</t>
  </si>
  <si>
    <t>SEPS Single ASR</t>
  </si>
  <si>
    <t>SEPS Quantibrite RUO</t>
  </si>
  <si>
    <t>IFX Multicolor RUO</t>
  </si>
  <si>
    <t>IFX Single RUO-GMP</t>
  </si>
  <si>
    <t>OC Multicolor RUO</t>
  </si>
  <si>
    <t>OC Single IVD</t>
  </si>
  <si>
    <t>OC Single ASR</t>
  </si>
  <si>
    <t>OC Single RUO-GMP</t>
  </si>
  <si>
    <t>OC Customs RUO-GMP</t>
  </si>
  <si>
    <t>OC Cust Custom Bulk</t>
  </si>
  <si>
    <t>QC CalBRITE Bead IVD</t>
  </si>
  <si>
    <t>QC QBRITE Beads RUO</t>
  </si>
  <si>
    <t>SPF FACSLyse IVD</t>
  </si>
  <si>
    <t>SPF FACSLyse RUO-GMP</t>
  </si>
  <si>
    <t>SPF Clin Prep RUO</t>
  </si>
  <si>
    <t>IF FACSFlow</t>
  </si>
  <si>
    <t>IF FACSClean</t>
  </si>
  <si>
    <t>IF FACSRinse</t>
  </si>
  <si>
    <t>($000)</t>
  </si>
  <si>
    <t>FY'12</t>
  </si>
  <si>
    <t>ANNUAL</t>
  </si>
  <si>
    <t>AVG</t>
  </si>
  <si>
    <t>COL</t>
  </si>
  <si>
    <t>Phase</t>
  </si>
  <si>
    <t>R&amp;D Direct Resources (non-amortizable)</t>
  </si>
  <si>
    <t>Systems Engineering</t>
  </si>
  <si>
    <t>Other</t>
  </si>
  <si>
    <t>Subtotal FTEs</t>
  </si>
  <si>
    <t>R&amp;D Indirect Resources (non-amortizable)</t>
  </si>
  <si>
    <t>Software Development</t>
  </si>
  <si>
    <t>Firmware Development</t>
  </si>
  <si>
    <t xml:space="preserve">Subtotal FTEs </t>
  </si>
  <si>
    <t>Customer Education / Service</t>
  </si>
  <si>
    <t>Manufacturing - Instruments</t>
  </si>
  <si>
    <t>Manufacturing - Reagents</t>
  </si>
  <si>
    <t>Planning (Demand, Supply)</t>
  </si>
  <si>
    <t>TOTAL FTEs (expensed)</t>
  </si>
  <si>
    <t>TOTAL FTEs (amortizable)</t>
  </si>
  <si>
    <t>TOTAL FTEs</t>
  </si>
  <si>
    <t>[1] Salary assumptions to be based on fully loaded rates.</t>
  </si>
  <si>
    <r>
      <t xml:space="preserve">($000) Total by Year </t>
    </r>
    <r>
      <rPr>
        <b/>
        <i/>
        <sz val="14"/>
        <rFont val="Arial"/>
        <family val="2"/>
      </rPr>
      <t>(including sunk costs)</t>
    </r>
  </si>
  <si>
    <r>
      <t xml:space="preserve">($000) Total by Year </t>
    </r>
    <r>
      <rPr>
        <b/>
        <i/>
        <sz val="14"/>
        <rFont val="Arial"/>
        <family val="2"/>
      </rPr>
      <t xml:space="preserve">(does </t>
    </r>
    <r>
      <rPr>
        <b/>
        <i/>
        <sz val="14"/>
        <color indexed="16"/>
        <rFont val="Arial"/>
        <family val="2"/>
      </rPr>
      <t>not</t>
    </r>
    <r>
      <rPr>
        <b/>
        <i/>
        <sz val="14"/>
        <rFont val="Arial"/>
        <family val="2"/>
      </rPr>
      <t xml:space="preserve"> include sunk costs)</t>
    </r>
  </si>
  <si>
    <r>
      <t>SALARY</t>
    </r>
    <r>
      <rPr>
        <b/>
        <vertAlign val="superscript"/>
        <sz val="10"/>
        <rFont val="Arial"/>
        <family val="2"/>
      </rPr>
      <t>[1]</t>
    </r>
  </si>
  <si>
    <r>
      <t xml:space="preserve">ENTER THE CURRENT QUARTER </t>
    </r>
    <r>
      <rPr>
        <vertAlign val="superscript"/>
        <sz val="10"/>
        <rFont val="Arial"/>
        <family val="2"/>
      </rPr>
      <t>[2]</t>
    </r>
  </si>
  <si>
    <t>INCLUDE SUNK FTE COSTS IN FINANCIALS?</t>
  </si>
  <si>
    <r>
      <t xml:space="preserve">($000) Total by Year </t>
    </r>
    <r>
      <rPr>
        <b/>
        <i/>
        <sz val="14"/>
        <rFont val="Arial"/>
        <family val="2"/>
      </rPr>
      <t>(links to financial analysis)</t>
    </r>
  </si>
  <si>
    <t>New Product Development Costs</t>
  </si>
  <si>
    <t>YES</t>
  </si>
  <si>
    <t>Incremental Marketing and Sales Launch Expenses (not incl. headcount)</t>
  </si>
  <si>
    <r>
      <t xml:space="preserve">ENTER THE CURRENT YEAR </t>
    </r>
    <r>
      <rPr>
        <vertAlign val="superscript"/>
        <sz val="10"/>
        <rFont val="Arial"/>
        <family val="2"/>
      </rPr>
      <t>[2]</t>
    </r>
  </si>
  <si>
    <t xml:space="preserve">[2] Financials assume all costs through the end of the </t>
  </si>
  <si>
    <t xml:space="preserve">     current quarter are sunk costs.</t>
  </si>
  <si>
    <t>Procurement</t>
  </si>
  <si>
    <t>Operations / Quality (include only project resoures)</t>
  </si>
  <si>
    <t>Cell Analysis Portfolio Analysis Data Entry Form</t>
  </si>
  <si>
    <t>FY15</t>
  </si>
  <si>
    <t>FY16</t>
  </si>
  <si>
    <t>R&amp;D</t>
  </si>
  <si>
    <t>Commercial Risk</t>
  </si>
  <si>
    <t>(+/-) WC Change</t>
  </si>
  <si>
    <t>Cash Flow</t>
  </si>
  <si>
    <t>Payables - Use / (Source)</t>
  </si>
  <si>
    <t>Updated 01-30-2006</t>
  </si>
  <si>
    <t>Verification Engineering</t>
  </si>
  <si>
    <t>Validation Engineering</t>
  </si>
  <si>
    <t>Business Development</t>
  </si>
  <si>
    <t>Advanced Technology Group Support</t>
  </si>
  <si>
    <t>IT</t>
  </si>
  <si>
    <t>Non-Cell Analysis Resources (BDB, BDX, etc.)</t>
  </si>
  <si>
    <t>Please list</t>
  </si>
  <si>
    <t>Updated 01-31-2006 (added add'l resource categories)</t>
  </si>
  <si>
    <r>
      <t xml:space="preserve">F) Total Sales </t>
    </r>
    <r>
      <rPr>
        <b/>
        <i/>
        <sz val="10"/>
        <rFont val="Arial"/>
        <family val="2"/>
      </rPr>
      <t>(Do Nothing + Net Incremental Sales)</t>
    </r>
  </si>
  <si>
    <r>
      <t xml:space="preserve">G) Addressable Market Share </t>
    </r>
    <r>
      <rPr>
        <b/>
        <i/>
        <sz val="10"/>
        <rFont val="Arial"/>
        <family val="2"/>
      </rPr>
      <t>(baseline + this project)</t>
    </r>
  </si>
  <si>
    <t>REVISED TO REFLECT LAUNCH</t>
  </si>
  <si>
    <t>FACSCalibur Systems</t>
  </si>
  <si>
    <t>FACSCalibur Options</t>
  </si>
  <si>
    <t>Scan/Sort Options</t>
  </si>
  <si>
    <t>FACSCount Systems</t>
  </si>
  <si>
    <t>FACSCount Options</t>
  </si>
  <si>
    <t>LSR II Systems</t>
  </si>
  <si>
    <t>LSR II Options</t>
  </si>
  <si>
    <t>IMAGN Options</t>
  </si>
  <si>
    <t>FACSCanto Options</t>
  </si>
  <si>
    <t>FACSCanto Systems</t>
  </si>
  <si>
    <t>FACSArray Systems</t>
  </si>
  <si>
    <t>FACSArray Options</t>
  </si>
  <si>
    <t>FACS Vantage Systems</t>
  </si>
  <si>
    <t>FACS Vantage Options</t>
  </si>
  <si>
    <t>FACSAria Systems</t>
  </si>
  <si>
    <t>FACSAria Options</t>
  </si>
  <si>
    <t>LWA Systems</t>
  </si>
  <si>
    <t>SPA Systems</t>
  </si>
  <si>
    <t>SPA Options</t>
  </si>
  <si>
    <t>SP1 Systems</t>
  </si>
  <si>
    <t>Medimachine-Instrume</t>
  </si>
  <si>
    <t>Medimachine-Medicon</t>
  </si>
  <si>
    <t>Medimachine-Filcon</t>
  </si>
  <si>
    <t>Clin SW Macintosh</t>
  </si>
  <si>
    <t>Clin SW PC</t>
  </si>
  <si>
    <t>Res SW Macintosh</t>
  </si>
  <si>
    <t>Res SW PC</t>
  </si>
  <si>
    <t>Data Mgmt NuGenesis</t>
  </si>
  <si>
    <t>Other Software</t>
  </si>
  <si>
    <t>S/C FACSArray</t>
  </si>
  <si>
    <t>SVC IQ/OQ</t>
  </si>
  <si>
    <t>CS FCM Mouse</t>
  </si>
  <si>
    <t>CS FCM Human</t>
  </si>
  <si>
    <t>CS FCM Rat</t>
  </si>
  <si>
    <t>CS FCM NHP</t>
  </si>
  <si>
    <t>CS FCM Other</t>
  </si>
  <si>
    <t>CS FCM No Species</t>
  </si>
  <si>
    <t>CS Immstain Mouse</t>
  </si>
  <si>
    <t>CS Immstain Human</t>
  </si>
  <si>
    <t>CS Immstain Rat</t>
  </si>
  <si>
    <t>CS Immstain NHP</t>
  </si>
  <si>
    <t>CS Immstain Other</t>
  </si>
  <si>
    <t>CS Immstain No Spec</t>
  </si>
  <si>
    <t>CS Biotin Mouse</t>
  </si>
  <si>
    <t>CS Biotin Human</t>
  </si>
  <si>
    <t>CS Biotin Rat</t>
  </si>
  <si>
    <t>CS Biotin Other</t>
  </si>
  <si>
    <t>CS CBA/Arrays No spe</t>
  </si>
  <si>
    <t>CS Elisa Human</t>
  </si>
  <si>
    <t>CS NA/LE Mouse</t>
  </si>
  <si>
    <t>CS NA/LE Human</t>
  </si>
  <si>
    <t>CS NA/LE Rat</t>
  </si>
  <si>
    <t>CS Pure Human</t>
  </si>
  <si>
    <t>CS Pure Other</t>
  </si>
  <si>
    <t>CS Magnetic Human</t>
  </si>
  <si>
    <t>IFX FCM Mouse</t>
  </si>
  <si>
    <t>IFX FCM Human</t>
  </si>
  <si>
    <t>IFX FCM Rat</t>
  </si>
  <si>
    <t>IFX FCM NHP</t>
  </si>
  <si>
    <t>IFX FCM Other</t>
  </si>
  <si>
    <t>IFX FCM No Species</t>
  </si>
  <si>
    <t>IFX Biotin Mouse</t>
  </si>
  <si>
    <t>IFX Biotin Human</t>
  </si>
  <si>
    <t>IFX Biotin Rat</t>
  </si>
  <si>
    <t>IFX Biotin Other</t>
  </si>
  <si>
    <t>IFX Immstain Mouse</t>
  </si>
  <si>
    <t>IFX Immstain Human</t>
  </si>
  <si>
    <t>IFX Immstain Rat</t>
  </si>
  <si>
    <t>IFX CBA/Array Mouse</t>
  </si>
  <si>
    <t>IFX CBA/Array Human</t>
  </si>
  <si>
    <t>IFX CBA/Array NHP</t>
  </si>
  <si>
    <t>IFX ELISA Mouse</t>
  </si>
  <si>
    <t>IFX ELISA Human</t>
  </si>
  <si>
    <t>IFX ELISA Rat</t>
  </si>
  <si>
    <t>IFX ELISA Other</t>
  </si>
  <si>
    <t>IFX NA/LE Mouse</t>
  </si>
  <si>
    <t>IFX NA/LE Human</t>
  </si>
  <si>
    <t>IFX NA/LE Rat</t>
  </si>
  <si>
    <t>IFX NA/LE NHP</t>
  </si>
  <si>
    <t>IFX NA/LE Other</t>
  </si>
  <si>
    <t>IFX Pure Mouse</t>
  </si>
  <si>
    <t>IFX Pure Human</t>
  </si>
  <si>
    <t>IFX Pure Rat</t>
  </si>
  <si>
    <t>IFX Pure NHP</t>
  </si>
  <si>
    <t>IFX Pure Other</t>
  </si>
  <si>
    <t>IFX Ag Pres Mouse</t>
  </si>
  <si>
    <t>IFX Ag Pres Human</t>
  </si>
  <si>
    <t>IFX ELISPOT Mouse</t>
  </si>
  <si>
    <t>IFX ELISPOT Human</t>
  </si>
  <si>
    <t>IFX ELISPOT Rat</t>
  </si>
  <si>
    <t>IFX Magnetic Mouse</t>
  </si>
  <si>
    <t>IFX Magnetic Human</t>
  </si>
  <si>
    <t>IFX Magnetic Rat</t>
  </si>
  <si>
    <t>IFX FCM-MC Mouse</t>
  </si>
  <si>
    <t>SP FCM Mouse</t>
  </si>
  <si>
    <t>SP FCM Human</t>
  </si>
  <si>
    <t>SP FCM Rat</t>
  </si>
  <si>
    <t>SP FCM NHP</t>
  </si>
  <si>
    <t>SP FCM Other</t>
  </si>
  <si>
    <t>SP FCM No Species</t>
  </si>
  <si>
    <t>SP Biotin Mouse</t>
  </si>
  <si>
    <t>SP Biotin Rat</t>
  </si>
  <si>
    <t>SP Biotin Other</t>
  </si>
  <si>
    <t>SP CBA/Array No Spec</t>
  </si>
  <si>
    <t>SP ELISA Mouse</t>
  </si>
  <si>
    <t>SP ELISA Rat</t>
  </si>
  <si>
    <t>SP ELISA Other</t>
  </si>
  <si>
    <t>SP ELISA No Species</t>
  </si>
  <si>
    <t>SP NA/LE Mouse</t>
  </si>
  <si>
    <t>SP NA/LE Rat</t>
  </si>
  <si>
    <t>SP NA/LE Other</t>
  </si>
  <si>
    <t>SP Pure Mouse</t>
  </si>
  <si>
    <t>SP Pure Rat</t>
  </si>
  <si>
    <t>SP Pure NHP</t>
  </si>
  <si>
    <t>SP Pure Other</t>
  </si>
  <si>
    <t>SP Elispot No Spec</t>
  </si>
  <si>
    <t>SP Magnetic Other</t>
  </si>
  <si>
    <t>SP Magnetic No Spec</t>
  </si>
  <si>
    <t>SP RiboQ Mouse</t>
  </si>
  <si>
    <t>SP RiboQ Human</t>
  </si>
  <si>
    <t>SP RiboQ Rat</t>
  </si>
  <si>
    <t>SP RiboQ Other</t>
  </si>
  <si>
    <t>SP RiboQ No Species</t>
  </si>
  <si>
    <t>SP Protein Exp Other</t>
  </si>
  <si>
    <t>SP Protein Exp No Sp</t>
  </si>
  <si>
    <t>SP Immstain Mouse</t>
  </si>
  <si>
    <t>SP Immstain Human</t>
  </si>
  <si>
    <t>SP Immstain Rat</t>
  </si>
  <si>
    <t>SP Immstain Other</t>
  </si>
  <si>
    <t>SP Immstain No Spec</t>
  </si>
  <si>
    <t>MB RiboQ Mouse</t>
  </si>
  <si>
    <t>MB RiboQ Human</t>
  </si>
  <si>
    <t>MB RiboQ Rat</t>
  </si>
  <si>
    <t>MB RiboQ Other</t>
  </si>
  <si>
    <t>MB RiboQ No Species</t>
  </si>
  <si>
    <t>MB Protein Exp Mouse</t>
  </si>
  <si>
    <t>MB Protein Exp Human</t>
  </si>
  <si>
    <t>MB Protein Exp Other</t>
  </si>
  <si>
    <t>MB Protein Exp No Sp</t>
  </si>
  <si>
    <t>Non FG Materials</t>
  </si>
  <si>
    <t>CO FCM Human</t>
  </si>
  <si>
    <t>CO FCM NHP</t>
  </si>
  <si>
    <t>CO FCM No Species</t>
  </si>
  <si>
    <t>CO Immstain Human</t>
  </si>
  <si>
    <t>CO Immstain No Spec</t>
  </si>
  <si>
    <t>CO Biotin Mouse</t>
  </si>
  <si>
    <t>CO Biotin No Spec</t>
  </si>
  <si>
    <t>CO CBA/Array Mouse</t>
  </si>
  <si>
    <t>CO CBA/Array Human</t>
  </si>
  <si>
    <t>CO CBA/Array No Spec</t>
  </si>
  <si>
    <t>CO ELISA Mouse</t>
  </si>
  <si>
    <t>CO ELISA Human</t>
  </si>
  <si>
    <t>CO ELISA No Species</t>
  </si>
  <si>
    <t>CO NA/LE Mouse</t>
  </si>
  <si>
    <t>CO NA/LE No Species</t>
  </si>
  <si>
    <t>CO Pure Mouse</t>
  </si>
  <si>
    <t>CO Pure Human</t>
  </si>
  <si>
    <t>CO Pure Rat</t>
  </si>
  <si>
    <t>CO Pure No Species</t>
  </si>
  <si>
    <t>CO Ag Pres Human</t>
  </si>
  <si>
    <t>CO Ag Pres Other</t>
  </si>
  <si>
    <t>CO Ag Pres No Spec</t>
  </si>
  <si>
    <t>CO Elispot No Spec</t>
  </si>
  <si>
    <t>CO Magnetic Mouse</t>
  </si>
  <si>
    <t>CO RiboQ No Species</t>
  </si>
  <si>
    <t>CO Protein Exp No Sp</t>
  </si>
  <si>
    <t>CO FCM-MC Human</t>
  </si>
  <si>
    <t>CO FCM-MC Rat</t>
  </si>
  <si>
    <t>CO FCM-MC NHP</t>
  </si>
  <si>
    <t>Choose applicable product line and/or product set from drop-down list.  For items impacting multiple</t>
  </si>
  <si>
    <t>areas, choose "Other / Mutiple" and add a description in the comments section to the right.</t>
  </si>
  <si>
    <t>Revision</t>
  </si>
  <si>
    <t>Please do not reformat (add / delete rows / columns or rename) the following tabs "FTEs", "Income Statement", "Amortz &amp; Depr", "CashFlow &amp; NPV" (a consistent format is being used across BDX as part of this year planning process)</t>
  </si>
  <si>
    <t>Please see detailed instructions on REV and COGS worksheets which are linked to these line items.</t>
  </si>
  <si>
    <t xml:space="preserve">Row 14 - FTE staffing costs will be calculated automatically based on the FTE tab inputs.  </t>
  </si>
  <si>
    <t>Rows 15 to 19 - Please enter applicable expenses associated with the project (travel, prototypes, feasibility study, other, etc…) as incurred.</t>
  </si>
  <si>
    <r>
      <t>Row 24 - Please enter projected shipping costs as a % of sales (</t>
    </r>
    <r>
      <rPr>
        <sz val="10"/>
        <color indexed="12"/>
        <rFont val="Arial"/>
        <family val="2"/>
      </rPr>
      <t>default is 1.8% for BDB</t>
    </r>
    <r>
      <rPr>
        <sz val="10"/>
        <rFont val="Arial"/>
        <family val="2"/>
      </rPr>
      <t>, change if applicable)</t>
    </r>
  </si>
  <si>
    <t>Rows 25 to 27 - Please enter incremental expense and headcount related costs associated with the project.</t>
  </si>
  <si>
    <t>Amortz / Depr</t>
  </si>
  <si>
    <t>Please note that license fees or milestone payments will be expensed (row 18 of the Income Statement tab)</t>
  </si>
  <si>
    <t>Rows 10 to 18 - Please enter acquired IP or other intangibles.  These amount can be capitalized and amortized over the less of (expected life, 10 yrs).</t>
  </si>
  <si>
    <t>Rows 23 to 31 - Please enter capital expenditures and reagent rental instrument placements seperately.  (Equipment/Instrument investment straight line depreciation (no salvage value) over less of (expected life, 10 yrs))</t>
  </si>
  <si>
    <t>Default is 38%.</t>
  </si>
  <si>
    <t xml:space="preserve"> FTE Expenses</t>
  </si>
  <si>
    <t>Q1</t>
  </si>
  <si>
    <t>Q2</t>
  </si>
  <si>
    <t>Q3</t>
  </si>
  <si>
    <t>Q4</t>
  </si>
  <si>
    <t>Notes:</t>
  </si>
  <si>
    <t>Medical Affairs</t>
  </si>
  <si>
    <t>Regulatory Affairs</t>
  </si>
  <si>
    <t>Service</t>
  </si>
  <si>
    <t>Total</t>
  </si>
  <si>
    <t>FY06</t>
  </si>
  <si>
    <t>FY07</t>
  </si>
  <si>
    <t>FY08</t>
  </si>
  <si>
    <t>Total Gross Profit ($)</t>
  </si>
  <si>
    <t>OIBT</t>
  </si>
  <si>
    <t>OIAT</t>
  </si>
  <si>
    <t>PROJECT NAME:</t>
  </si>
  <si>
    <t>Information in non-shaded cells will be calculated automatically.</t>
  </si>
  <si>
    <t>Program Management</t>
  </si>
  <si>
    <t>QA</t>
  </si>
  <si>
    <t>Note:  numbers entered for FTEs may be fractional (0.25 FTE, 0.5 FTE, etc.)</t>
  </si>
  <si>
    <t>Project Description</t>
  </si>
  <si>
    <t>Amount ($)</t>
  </si>
  <si>
    <t>Description</t>
  </si>
  <si>
    <t>FTEs</t>
  </si>
  <si>
    <t xml:space="preserve"> </t>
  </si>
  <si>
    <t>Terminal</t>
  </si>
  <si>
    <t>Value</t>
  </si>
  <si>
    <t>Net Income</t>
  </si>
  <si>
    <t>Receivables - (Use) / Source</t>
  </si>
  <si>
    <t>Inventories - (Use) / Source</t>
  </si>
  <si>
    <t>Operating Cash Flow</t>
  </si>
  <si>
    <t>Cumulative cash flow</t>
  </si>
  <si>
    <t xml:space="preserve"> Discount Rates:</t>
  </si>
  <si>
    <t>NPV of CF</t>
  </si>
  <si>
    <t>Total NPV</t>
  </si>
  <si>
    <t>Year</t>
  </si>
  <si>
    <t xml:space="preserve">Year </t>
  </si>
  <si>
    <t>FY09</t>
  </si>
  <si>
    <t>FY10</t>
  </si>
  <si>
    <t>FY11</t>
  </si>
  <si>
    <t>FY12</t>
  </si>
  <si>
    <t>Total Revenue</t>
  </si>
  <si>
    <t>% of Sales</t>
  </si>
  <si>
    <t>SSG&amp;A</t>
  </si>
  <si>
    <t>Total SSG&amp;A</t>
  </si>
  <si>
    <t>Profit and Loss Statement</t>
  </si>
  <si>
    <t>ROS</t>
  </si>
  <si>
    <t>Amortization and Depreciation Schedule</t>
  </si>
  <si>
    <t>Total to Amortize</t>
  </si>
  <si>
    <t>Inventory Turns</t>
  </si>
  <si>
    <t>Description of  Capital spending</t>
  </si>
  <si>
    <t>Description of License/Technology acquisition fees</t>
  </si>
  <si>
    <t>Expenses: (000s)</t>
  </si>
  <si>
    <t>Sales and Gross Profit:  (000s)</t>
  </si>
  <si>
    <t>(all dollar amounts in thousands)</t>
  </si>
  <si>
    <t>Cash Flow Statement (USD Thousands)</t>
  </si>
  <si>
    <t>Capital Expenditures  ($thousands)</t>
  </si>
  <si>
    <t>GP</t>
  </si>
  <si>
    <t>SSGA</t>
  </si>
  <si>
    <t>Cash-Flow / NPV</t>
  </si>
  <si>
    <t>Explanation of "Other Expenses":</t>
  </si>
  <si>
    <t>Lifes in Years</t>
  </si>
  <si>
    <t>Total Capital to depreciate</t>
  </si>
  <si>
    <t>NPV of Terminal Value</t>
  </si>
  <si>
    <t>FY13</t>
  </si>
  <si>
    <t xml:space="preserve">Check </t>
  </si>
  <si>
    <t>NBV</t>
  </si>
  <si>
    <t xml:space="preserve">  Direct Project Expenses including Other, Travel, prototypes etc... </t>
  </si>
  <si>
    <t>Technical Risk</t>
  </si>
  <si>
    <t>Market Risk</t>
  </si>
  <si>
    <t>New</t>
  </si>
  <si>
    <t>PROJECT ID:</t>
  </si>
  <si>
    <t>FY14</t>
  </si>
  <si>
    <t xml:space="preserve">Please list </t>
  </si>
  <si>
    <t xml:space="preserve">Other </t>
  </si>
  <si>
    <t>FY17</t>
  </si>
  <si>
    <t>%</t>
  </si>
  <si>
    <t>Cmp Growth</t>
  </si>
  <si>
    <t>NPV</t>
  </si>
  <si>
    <t>TV</t>
  </si>
  <si>
    <r>
      <t xml:space="preserve">Enter all dollar amounts </t>
    </r>
    <r>
      <rPr>
        <b/>
        <sz val="8"/>
        <rFont val="Arial"/>
        <family val="2"/>
      </rPr>
      <t>in thousands (enter $100,000 as $100)</t>
    </r>
  </si>
  <si>
    <t xml:space="preserve">By Eunme </t>
  </si>
  <si>
    <t>Do Not Touch!</t>
  </si>
  <si>
    <t>Marketing</t>
  </si>
  <si>
    <t>By Eunme</t>
  </si>
  <si>
    <t># of Yrs of Amortization:</t>
  </si>
  <si>
    <t>Calc's 1st Yr of Revenue</t>
  </si>
  <si>
    <t>Total NPV (Includes Sunk Cost)</t>
  </si>
  <si>
    <t>W/O Sunk Cost</t>
  </si>
  <si>
    <t>W/ Sunk Cost</t>
  </si>
  <si>
    <t>Sunk cost</t>
  </si>
  <si>
    <t>Current Year</t>
  </si>
  <si>
    <t>Sunk</t>
  </si>
  <si>
    <t>Total FTEs (Operations/QA)</t>
  </si>
  <si>
    <t>FY10 Milestones:</t>
  </si>
  <si>
    <t>Total Project Exp =</t>
  </si>
  <si>
    <t>M</t>
  </si>
  <si>
    <t>$'000</t>
  </si>
  <si>
    <t>When it will be spent</t>
  </si>
  <si>
    <t>Total Spending</t>
  </si>
  <si>
    <t>FTE Program Resource (excl S/W)</t>
  </si>
  <si>
    <t>FTE S/W Development</t>
  </si>
  <si>
    <t>Other Expenses (Program Exp)</t>
  </si>
  <si>
    <t>Capital Equipment</t>
  </si>
  <si>
    <t>When it will hit the P&amp;L</t>
  </si>
  <si>
    <t>FTE S/W Development (Amortz)</t>
  </si>
  <si>
    <t>Capital Equipment (Depreciated)</t>
  </si>
  <si>
    <t>Total Expense</t>
  </si>
  <si>
    <t>Project Expenses</t>
  </si>
  <si>
    <t>Concept</t>
  </si>
  <si>
    <t>Definition</t>
  </si>
  <si>
    <t>Development</t>
  </si>
  <si>
    <t>Qualification</t>
  </si>
  <si>
    <t>Perpetuity growth rate (default 0%)</t>
  </si>
  <si>
    <t>$MM</t>
  </si>
  <si>
    <t>Net Incremental Revenue</t>
  </si>
  <si>
    <t>Financial Summary</t>
  </si>
  <si>
    <t>Total COGS</t>
  </si>
  <si>
    <t>% Gross Profit</t>
  </si>
  <si>
    <t>Expenses</t>
  </si>
  <si>
    <t>Total NPV (W/ Sunk Cost)</t>
  </si>
  <si>
    <t>Total NPV (W/O Sunk Cost)</t>
  </si>
  <si>
    <t xml:space="preserve">NPV 1% Sensitivity </t>
  </si>
  <si>
    <t>FY18</t>
  </si>
  <si>
    <t>Depreciation Costs  (includes Reagent Rentals)</t>
  </si>
  <si>
    <r>
      <t xml:space="preserve">D) Cannibalization of Baseline Sales </t>
    </r>
    <r>
      <rPr>
        <b/>
        <i/>
        <sz val="10"/>
        <rFont val="Arial"/>
        <family val="2"/>
      </rPr>
      <t>(due specifically to this project) - ENTER AS NEGATIVE NUMBERS</t>
    </r>
  </si>
  <si>
    <t>Please enter cannibalization of any existing product</t>
  </si>
  <si>
    <r>
      <t xml:space="preserve">Cannibalization figures should </t>
    </r>
    <r>
      <rPr>
        <i/>
        <sz val="11"/>
        <color indexed="16"/>
        <rFont val="Arial"/>
        <family val="2"/>
      </rPr>
      <t xml:space="preserve">be </t>
    </r>
    <r>
      <rPr>
        <b/>
        <i/>
        <sz val="11"/>
        <color indexed="16"/>
        <rFont val="Arial"/>
        <family val="2"/>
      </rPr>
      <t>entered as negative</t>
    </r>
  </si>
  <si>
    <t xml:space="preserve">           FTE S/W development (Amortz) and Capital Equipment (Depreciated) are a part of COGS</t>
  </si>
  <si>
    <t>NOTE: Other Expenses do not include SSG&amp;A</t>
  </si>
  <si>
    <t>NOTE: Expenses include FTE Program Resource (excl S/W) Plus SSG&amp;A</t>
  </si>
  <si>
    <t>G3 Portfolio Builder UMP Data Entry Form</t>
  </si>
  <si>
    <t xml:space="preserve">Incremental Cash Flow </t>
  </si>
  <si>
    <t>Investment Cost Est.</t>
  </si>
  <si>
    <t>Project Cost</t>
  </si>
  <si>
    <t>CapX</t>
  </si>
  <si>
    <t>Benefit Estimates</t>
  </si>
  <si>
    <t>Incremental Revenue</t>
  </si>
  <si>
    <t>Incremental Cost</t>
  </si>
  <si>
    <t>COGS</t>
  </si>
  <si>
    <t>Incremental Cash Flow</t>
  </si>
  <si>
    <t>(-) CapX</t>
  </si>
  <si>
    <t>(+) Depreciation</t>
  </si>
  <si>
    <t>FY19</t>
  </si>
  <si>
    <t>FY11 Milestones:</t>
  </si>
  <si>
    <t>FY12 Milestones:</t>
  </si>
  <si>
    <t>FY13 Milestones:</t>
  </si>
  <si>
    <t>MIRR</t>
  </si>
  <si>
    <t>ENTER AS NEGATIVE NUMBERS</t>
  </si>
  <si>
    <t>End Yr</t>
  </si>
  <si>
    <t>Fiscal Year</t>
  </si>
  <si>
    <t>Begin Yr</t>
  </si>
  <si>
    <t>Note(s):</t>
  </si>
  <si>
    <t>Gaps in revenue (i.e. zero in a middle year) will cause model to fail</t>
  </si>
  <si>
    <t>Net Incremental Sales - Reagents</t>
  </si>
  <si>
    <t>Total Development</t>
  </si>
  <si>
    <t>FY20</t>
  </si>
  <si>
    <t>FY21</t>
  </si>
  <si>
    <t>Options</t>
  </si>
  <si>
    <t>NPV Type</t>
  </si>
  <si>
    <t>Calculate NPV</t>
  </si>
  <si>
    <t>Terminal Value Type</t>
  </si>
  <si>
    <t>Terminal Value Base Year</t>
  </si>
  <si>
    <t>Terminal Value Years</t>
  </si>
  <si>
    <t>Terminal Value Growth Rate</t>
  </si>
  <si>
    <t>Forecast End Year (SC)</t>
  </si>
  <si>
    <t>Discount Sunk Costs</t>
  </si>
  <si>
    <t>Start Date</t>
  </si>
  <si>
    <t>End Date</t>
  </si>
  <si>
    <t>Yes</t>
  </si>
  <si>
    <t>Sunk Cost</t>
  </si>
  <si>
    <t>Project Cost Estimate</t>
  </si>
  <si>
    <t>Discount  Year</t>
  </si>
  <si>
    <t>R&amp;D / Resources</t>
  </si>
  <si>
    <t>R&amp;D / Direct Expenses</t>
  </si>
  <si>
    <t>Other / Resources</t>
  </si>
  <si>
    <t>Other / Direct Expenses</t>
  </si>
  <si>
    <t>New Revenue</t>
  </si>
  <si>
    <t>Erosion Avoidance</t>
  </si>
  <si>
    <t>Indirect Revenue</t>
  </si>
  <si>
    <t>Royalty Revenue</t>
  </si>
  <si>
    <t>(-) Cannibalization</t>
  </si>
  <si>
    <t>Costs</t>
  </si>
  <si>
    <t>(+/-) Variances</t>
  </si>
  <si>
    <t>(+/-) Royalties</t>
  </si>
  <si>
    <t>R&amp;D - Operating Support</t>
  </si>
  <si>
    <t>SSGA / Resources</t>
  </si>
  <si>
    <t>SSGA / Direct Expenses</t>
  </si>
  <si>
    <t>(+/-) Other Income/(Expense)</t>
  </si>
  <si>
    <t>Incremental:CashFlow</t>
  </si>
  <si>
    <t>Depreciation</t>
  </si>
  <si>
    <t xml:space="preserve">(+/-) WC Change </t>
  </si>
  <si>
    <t>(+/-) Milestone Adjustment</t>
  </si>
  <si>
    <t>CALCULATIONS</t>
  </si>
  <si>
    <t>Remaining Development Cost</t>
  </si>
  <si>
    <t>10 Year Revenue</t>
  </si>
  <si>
    <t>PROJECT NAME</t>
  </si>
  <si>
    <t>PROJECT TYPE</t>
  </si>
  <si>
    <t>PROJECT CATEGORY</t>
  </si>
  <si>
    <t>PHASE</t>
  </si>
  <si>
    <t>WORKFLOW STATUS</t>
  </si>
  <si>
    <t>LAST MODIFIED</t>
  </si>
  <si>
    <t>Forecast Years</t>
  </si>
  <si>
    <t>SC</t>
  </si>
  <si>
    <t>Risk-Adj Disc Rate</t>
  </si>
  <si>
    <t>B57:C57</t>
  </si>
  <si>
    <t>B70:C70</t>
  </si>
  <si>
    <t>B57:D57</t>
  </si>
  <si>
    <t>B70:D70</t>
  </si>
  <si>
    <t>B57:E57</t>
  </si>
  <si>
    <t>B70:E70</t>
  </si>
  <si>
    <t>VALUATION</t>
  </si>
  <si>
    <t>Sunk Costs</t>
  </si>
  <si>
    <t>PROJECT SUMMARY</t>
  </si>
  <si>
    <t>Model Assumptions</t>
  </si>
  <si>
    <t>B57:F57</t>
  </si>
  <si>
    <t>B70:F70</t>
  </si>
  <si>
    <t>B57:G57</t>
  </si>
  <si>
    <t>B70:G70</t>
  </si>
  <si>
    <t>NPV (NO TV)</t>
  </si>
  <si>
    <t>Total Development Cost</t>
  </si>
  <si>
    <t>B57:H57</t>
  </si>
  <si>
    <t>B70:H70</t>
  </si>
  <si>
    <t>Present Value of TV</t>
  </si>
  <si>
    <t>B57:I57</t>
  </si>
  <si>
    <t>B70:I70</t>
  </si>
  <si>
    <t>TV % OF NPV</t>
  </si>
  <si>
    <t>Forecast Period (SC)</t>
  </si>
  <si>
    <t>B57:J57</t>
  </si>
  <si>
    <t>B70:J70</t>
  </si>
  <si>
    <t>B57:K57</t>
  </si>
  <si>
    <t>B70:K70</t>
  </si>
  <si>
    <t>Total Incremental Revenue</t>
  </si>
  <si>
    <t>Finance Rate</t>
  </si>
  <si>
    <t>B57:L57</t>
  </si>
  <si>
    <t>B70:L70</t>
  </si>
  <si>
    <t>Reinvestment Rate</t>
  </si>
  <si>
    <t>B57:M57</t>
  </si>
  <si>
    <t>B70:M70</t>
  </si>
  <si>
    <t>B57:N57</t>
  </si>
  <si>
    <t>B70:N70</t>
  </si>
  <si>
    <t>FINANCIAL FORECAST</t>
  </si>
  <si>
    <t>B57:O57</t>
  </si>
  <si>
    <t>B70:O70</t>
  </si>
  <si>
    <t>B57:P57</t>
  </si>
  <si>
    <t>B70:P70</t>
  </si>
  <si>
    <t>Current Discount Year</t>
  </si>
  <si>
    <t>B57:Q57</t>
  </si>
  <si>
    <t>B70:Q70</t>
  </si>
  <si>
    <t>B57:R57</t>
  </si>
  <si>
    <t>B70:R70</t>
  </si>
  <si>
    <t>Profit &amp; Loss Statement</t>
  </si>
  <si>
    <t>B57:S57</t>
  </si>
  <si>
    <t>B70:S70</t>
  </si>
  <si>
    <t>B57:T57</t>
  </si>
  <si>
    <t>B70:T70</t>
  </si>
  <si>
    <t>B57:U57</t>
  </si>
  <si>
    <t>B70:U70</t>
  </si>
  <si>
    <t>GP % of Sales</t>
  </si>
  <si>
    <t>R&amp;D - Resources</t>
  </si>
  <si>
    <t>R&amp;D - Direct Expenses</t>
  </si>
  <si>
    <t>R&amp;D - Ongoing Support</t>
  </si>
  <si>
    <t>R&amp;D % of Sales</t>
  </si>
  <si>
    <t>Other /Resources</t>
  </si>
  <si>
    <t>Other/SSGA % of Sales</t>
  </si>
  <si>
    <t>CASH FLOW</t>
  </si>
  <si>
    <t>Cash Flow without Sunk Costs</t>
  </si>
  <si>
    <t>Discount Factor</t>
  </si>
  <si>
    <t>Discounted Cash Flow</t>
  </si>
  <si>
    <t>TERMINAL VALUE</t>
  </si>
  <si>
    <t>Perpetuity TV</t>
  </si>
  <si>
    <t>TV Limited Years</t>
  </si>
  <si>
    <t>BASE</t>
  </si>
  <si>
    <t>BASE VAL</t>
  </si>
  <si>
    <t>SUNK COSTS</t>
  </si>
  <si>
    <t>Discount Year (SC)</t>
  </si>
  <si>
    <t>Cash Flow (with SC)</t>
  </si>
  <si>
    <t>Discount Factor (SC)</t>
  </si>
  <si>
    <t>Discounted Cash Flow (SC)</t>
  </si>
  <si>
    <t>Perpetuity (SC)</t>
  </si>
  <si>
    <t>TV BASE</t>
  </si>
  <si>
    <t>BASE CF</t>
  </si>
  <si>
    <t>Project Start Date</t>
  </si>
  <si>
    <t>Project End Date</t>
  </si>
  <si>
    <t>Limited</t>
  </si>
  <si>
    <t>No</t>
  </si>
  <si>
    <t>Operating Cash Flow for IRR Calculation</t>
  </si>
  <si>
    <r>
      <t>SALARY</t>
    </r>
    <r>
      <rPr>
        <b/>
        <vertAlign val="superscript"/>
        <sz val="10"/>
        <rFont val="Arial"/>
        <family val="2"/>
      </rPr>
      <t>[2]</t>
    </r>
  </si>
  <si>
    <t>[3] Salary assumptions to be based on fully loaded rates updated on July 2010.</t>
  </si>
  <si>
    <t xml:space="preserve">SALARIES ARE EXPENSED UP TO (BUT NOT INCLUDING) PHASE </t>
  </si>
  <si>
    <t>Choices for Amortization of Internally Developed Software(assume 4-yr depreciation schedule)</t>
  </si>
  <si>
    <t>Phases</t>
  </si>
  <si>
    <t xml:space="preserve"> Release</t>
  </si>
  <si>
    <t>R&amp;D Resources</t>
  </si>
  <si>
    <t>R&amp;D Expenses</t>
  </si>
  <si>
    <t xml:space="preserve">Other Resources </t>
  </si>
  <si>
    <t>Other Expenses</t>
  </si>
  <si>
    <t>SSG&amp;A Direct Expense</t>
  </si>
  <si>
    <t>Not Amortized</t>
  </si>
  <si>
    <t>FY22</t>
  </si>
  <si>
    <t xml:space="preserve">  Depreciation</t>
  </si>
  <si>
    <t>FY23</t>
  </si>
  <si>
    <t>FY24</t>
  </si>
  <si>
    <t xml:space="preserve">  Other Expenses</t>
  </si>
  <si>
    <t>PDWare Adjustment</t>
  </si>
  <si>
    <t>FY14 Milestones:</t>
  </si>
  <si>
    <t>Info Development</t>
  </si>
  <si>
    <r>
      <t>Please name this file using the following nomenclature: "BDB-FY16-</t>
    </r>
    <r>
      <rPr>
        <i/>
        <sz val="10"/>
        <rFont val="Arial"/>
        <family val="2"/>
      </rPr>
      <t>&lt;enter project name here&gt;</t>
    </r>
    <r>
      <rPr>
        <sz val="10"/>
        <rFont val="Arial"/>
        <family val="2"/>
      </rPr>
      <t>.xls"</t>
    </r>
  </si>
  <si>
    <t>Fill in the name of project/program, description of project/program and anticipated milestones for FY16, FY17 and FY18</t>
  </si>
  <si>
    <r>
      <t xml:space="preserve">Fill in number of FTEs required from each indicated department by quarter for </t>
    </r>
    <r>
      <rPr>
        <b/>
        <sz val="10"/>
        <rFont val="Arial"/>
        <family val="2"/>
      </rPr>
      <t>FY16-FY19</t>
    </r>
  </si>
  <si>
    <r>
      <t xml:space="preserve">Fill in number of FTEs required from each indicated department by fiscal year for </t>
    </r>
    <r>
      <rPr>
        <b/>
        <sz val="10"/>
        <rFont val="Arial"/>
        <family val="2"/>
      </rPr>
      <t>FY10 through FY13.</t>
    </r>
  </si>
  <si>
    <t>BD BIOSCIENCES FY16 PORTFOLIO PLANNING</t>
  </si>
  <si>
    <t>FY15 Milestones:</t>
  </si>
  <si>
    <t>FY16 Milestones:</t>
  </si>
  <si>
    <t>FY17 Milestones:</t>
  </si>
  <si>
    <t>FY18 Milestones:</t>
  </si>
  <si>
    <t>FY19 Milestones:</t>
  </si>
  <si>
    <t>FY20 Milestones:</t>
  </si>
  <si>
    <t>FY25</t>
  </si>
  <si>
    <t>FY26</t>
  </si>
  <si>
    <t>FY27</t>
  </si>
  <si>
    <t>FY28</t>
  </si>
  <si>
    <t>CAGR</t>
  </si>
  <si>
    <t>Variable</t>
  </si>
  <si>
    <t>Per conversation with Ketan regarding bulk pricing arrangments with suppliers as volume increases</t>
  </si>
  <si>
    <t>Assuming BD will have to pay royalties to some collaborator</t>
  </si>
  <si>
    <t>5% per conversation with Ketan</t>
  </si>
  <si>
    <t>BD BIOSCIENCES FY18 PORTFOLIO PLANNING</t>
  </si>
  <si>
    <t>1/1/2017</t>
  </si>
  <si>
    <t>1/1/2018</t>
  </si>
  <si>
    <t>Clinical Trials</t>
  </si>
  <si>
    <t>Lalvani license fee $13.2m</t>
  </si>
  <si>
    <t>FY29</t>
  </si>
  <si>
    <t>FY30</t>
  </si>
  <si>
    <t>FY31</t>
  </si>
  <si>
    <t>FY32</t>
  </si>
  <si>
    <t>FY33</t>
  </si>
  <si>
    <t>FY34</t>
  </si>
  <si>
    <t>Recency Claim</t>
  </si>
  <si>
    <t>Progression Claim</t>
  </si>
  <si>
    <t>US/EU and Japan Markets Only</t>
  </si>
  <si>
    <t>Addressable Market (Progression Tests)</t>
  </si>
  <si>
    <t>Progression Tests Market Adoption</t>
  </si>
  <si>
    <t># of Progression Tests</t>
  </si>
  <si>
    <t>BD Share of Progression Tests</t>
  </si>
  <si>
    <t># of BD Flow Progression Tests</t>
  </si>
  <si>
    <t>Price per Flow test</t>
  </si>
  <si>
    <t>BD Progression Testing Sales</t>
  </si>
  <si>
    <t>Standard Cost per Test</t>
  </si>
  <si>
    <t>Standard Margin ($)</t>
  </si>
  <si>
    <t>Standard Margin (%)</t>
  </si>
  <si>
    <t># of Competitive Progression Tests</t>
  </si>
  <si>
    <t>Latent Screening Tests (Skin, IGRA, ELISPOT)</t>
  </si>
  <si>
    <t>Standard Cost of Sales</t>
  </si>
  <si>
    <t>Additional # of years of benefit beyond FY'34</t>
  </si>
  <si>
    <t>LTBI Tests</t>
  </si>
  <si>
    <t>18M</t>
  </si>
  <si>
    <t>EU</t>
  </si>
  <si>
    <t>9M</t>
  </si>
  <si>
    <t>JPN</t>
  </si>
  <si>
    <t>7M</t>
  </si>
  <si>
    <t>AP</t>
  </si>
  <si>
    <t>15M</t>
  </si>
  <si>
    <t>CHN</t>
  </si>
  <si>
    <t>LA</t>
  </si>
  <si>
    <t>8M</t>
  </si>
  <si>
    <t>72M</t>
  </si>
  <si>
    <t>Excludes India, Africa and Middle East</t>
  </si>
  <si>
    <t>Growth of population</t>
  </si>
  <si>
    <t>Pricing</t>
  </si>
  <si>
    <t>% of + Tests</t>
  </si>
  <si>
    <t>Market Adoption</t>
  </si>
  <si>
    <t>Development Progress Milestones</t>
  </si>
  <si>
    <t>10 Years</t>
  </si>
  <si>
    <t>15 Years</t>
  </si>
  <si>
    <t>Steps to incorporate Financial Template to your current R&amp;D Business Cases</t>
  </si>
  <si>
    <t>Create and Move a copy of all green tabs from this file ("Inst", "Input", "Calc", "Current_Prior", "HistInfo" "PPT" and "PPD_DD") to your current business case (BC) models.</t>
  </si>
  <si>
    <t>Populate and Link information at "Input", "Calc", "Current_Prior" and "HistInfo". "PPT" tab is a summary of recommended information to be used in R&amp;D BC discussions.</t>
  </si>
  <si>
    <t>Save new BC package (BC model + Financial Template) at R&amp;D BC Sharepoint. Access is segregated by BU folder. Keep a "live" file, which should be updated any time that project has a significant change, exits any GPDS phase, goes through ASR and budget review cycles. However, before updating BC at Sharepoint, make sure that you create a copy of previous version and save it at Repositorium/Historical folder (it is important to keep previous BC versions to assuring continuity and to avoid information loss, mainly when associates rotate to new positions).</t>
  </si>
  <si>
    <t>Tab: Basic Input (Input)</t>
  </si>
  <si>
    <t>#</t>
  </si>
  <si>
    <t>Columns</t>
  </si>
  <si>
    <t>Rows</t>
  </si>
  <si>
    <t>Required Input: fileds in this session will load formulas on following tabs</t>
  </si>
  <si>
    <t>Segment: Input Segment name</t>
  </si>
  <si>
    <t>Business Unit: Input BU name</t>
  </si>
  <si>
    <t>Update Date: Input last update date (calendar year)</t>
  </si>
  <si>
    <t>PDT (Portfolio Decision Team): Input date of last PDT (calendar year)</t>
  </si>
  <si>
    <t>Business Case (BC) Name: Input Business Case Name</t>
  </si>
  <si>
    <t>Business Case Identification (BCID): Input Business Case ID number</t>
  </si>
  <si>
    <t>15 Yr Business Case?: Using drop down list, select whether project is a 10 or 15 yr time horizon. NOTE: standard guide is to projects be under 10 yr time horizon - 15 yr projects should be approved on an exception base</t>
  </si>
  <si>
    <t>BPC Number: Input BPC project number and names associated to business case. It might be the case that multiple BPC projects refer to a single business case (BC)</t>
  </si>
  <si>
    <t>Input product name. If business case is compounded by multiple products, list product names on following columns, starting on column D with most representative product in sales</t>
  </si>
  <si>
    <t>Project Start FY: Input project start fiscal year</t>
  </si>
  <si>
    <t>Current FY: Input current fiscal year</t>
  </si>
  <si>
    <t>ASR FY: Input first year of ASR period</t>
  </si>
  <si>
    <t xml:space="preserve">Comparison Scenario: Use drop down list to select compariosn bases. The default comparison base is the Def Exit scenario, but there are cases that a new rebaseline was approved and set as comparison scenario </t>
  </si>
  <si>
    <t>If Rebaseline, input switch date: provide date of rebaseline, if a new scenario other than the Def Exit is been used</t>
  </si>
  <si>
    <t>Current GPDS Phase: Input current GPDS phase (Concept, Definition, Development, Qualification, Launch). If project has multiple phase, input phase related to the most relevant product</t>
  </si>
  <si>
    <t>Project Start: Input month and year of project start (calendar year)</t>
  </si>
  <si>
    <t>Date of Exit GPDS Phase (Mth/Year): for each GPDS phase listed (Concept, Definition, Development, Qualification, Launch), input month and year (calendar year) of exiting. 
Use Commitment column to input dates expected to project exit each phase by the time that Project Exited Definition phase. Use "Current" column to input actual and/or most updated dates.
Definition and Launch Current and Exit fileds will be used to adjust formulas at "Calculation" and "Presentation" tabs</t>
  </si>
  <si>
    <t>Tax Rate: Input tax rate used for modeling</t>
  </si>
  <si>
    <t>Tax Rate: Input tax rate used in Definition Exit or Rebaseline scenario. If there is no distinction, please input same number on both fields</t>
  </si>
  <si>
    <t>Discount Rate: Input discount rate used for modeling. Discount rate will also be considered as project hurdle rate</t>
  </si>
  <si>
    <t>Discount Rate @ Def Exit: If project had a different discount rate by the time that it exited Definition GPDS phase, insert its rate at this row</t>
  </si>
  <si>
    <t>Commercial Risk: Input Commercail risk of project; use drop down list (low, medium, high)</t>
  </si>
  <si>
    <t>Technical Risk: Input Technical risk of project; use drop down list (low, medium, high)</t>
  </si>
  <si>
    <t>Finance Rate (for MIRR calc): Input finance rate (used to calculate MIRR); this is the cost of capital that is funding the project. BD WACC is a resonable rate, if project is funded internally (no debt is required to fund it). Please, double check most updated BD WACC rate (we are currently using 8%)</t>
  </si>
  <si>
    <t>Reinvestment Rate (for MIRR calc): Input reinvestment rate (used to calculate MIRR); it represents the rate at which project cash flow is reinvested. Per capital recommendation, rate should be 12.5%</t>
  </si>
  <si>
    <t>Growth Rate (for Terminal Value calc): Input growth rate used for modeling terminal value, if applicable</t>
  </si>
  <si>
    <t>Number of Days (for Working Capital calculation): Input number of days to be considered in each of those 3 metrics: DSO (Receivables), DPO (Payables), DIO (Inventories). Columns J and K show BDX days related to FY16 actual figures. If needed, as reference, "PPD_DD" tab, rows 101 to 113 show a more detailed breakdown by BU (for DIO) and by region (for DSO and DPO) as FY16 actuals. Figures provide by Treasury.</t>
  </si>
  <si>
    <t>SMS Name: Input SMS (Strategic Market Space) name, using drop down list. Based on the SMS name, table will automatically load remaining information. If you have a new SMS, override formula and fill information accordingly</t>
  </si>
  <si>
    <t>Quadrant: Populated automatically; Input SMS quadrant, if formula does not work</t>
  </si>
  <si>
    <t>SMS FY17 Rev ($ M): Populated automatically; Input revenues related to SMS as FY current year or most updated revenue expectation on SMS category, if formula does not work</t>
  </si>
  <si>
    <t>FY17 Share:  Populated automatically; Input share defined by SMS FY 15 Revenues divided by Size Addressable FY 17 WW Mkt ($ M), if formula does not work</t>
  </si>
  <si>
    <t>Size Addressable FY 17 WW Mkt ($ M):  Populated automatically; Input size in dollar amount of addressabale worldwide SMS market as FY17, if formula does not work</t>
  </si>
  <si>
    <t>Addressable FY17-FY22 WW Mkt growth (%):  Populated automatically; Input growth CAGR %, defined by the worldwide SMS market size in FY22 over FY17, if formula does not work</t>
  </si>
  <si>
    <t>FY22 Std Gross Margin %:  Populated automatically; Input expected gross margin % of SMS in FY22, if formula does not work</t>
  </si>
  <si>
    <t>Technology Innovation Quadrant: Select  quadrant that refers to your project (Disruptive, Architectural, Routine, Radical)</t>
  </si>
  <si>
    <t>Standard Discount Rate (Hurdle Rate): This cell shows the recommended discount rate to be used by business case, as an output of combination of SMS and Technology Innovation Quadrants</t>
  </si>
  <si>
    <t># Years to Reach Target Conversion (aft launch): Input number of years to reach target conversion</t>
  </si>
  <si>
    <t>Peak Category Share: Input peak category share, based on dollar amount</t>
  </si>
  <si>
    <t>Product Life Cycle (Yrs after launch): Input expected product life cycle, counting on launch year</t>
  </si>
  <si>
    <t>BC Owners: provide Finance, Marketing, R&amp;D and Operations associates that were responsible for developing BC and last time that they reviewed BC figures (calendar year). By inputing name and date of last review, they acknoledge that they believe and commit to assumptions, timelines out outcomes.</t>
  </si>
  <si>
    <t>Attestation Statement: please, read it before signing project</t>
  </si>
  <si>
    <t>Project Description: Input a high level project description</t>
  </si>
  <si>
    <t>Tab: Calculation (Calc)</t>
  </si>
  <si>
    <t>General Rules</t>
  </si>
  <si>
    <t>Link cells to business case tabs or hard code figures (past as values)</t>
  </si>
  <si>
    <t>Input from Marketing - if available</t>
  </si>
  <si>
    <t>Manual Input</t>
  </si>
  <si>
    <t>Sub-totals or/and automated formulas based on dates (calculations should automatically roll for FY change) or links to "Input &amp; Assumptions" tab</t>
  </si>
  <si>
    <t>Revenue and Profitability Input</t>
  </si>
  <si>
    <t>New Product Volume: link new product volumes to your financial model in green cells. Volumes to be provide in thousands</t>
  </si>
  <si>
    <t>New Product ASP: link new product Average Selling Price (ASP) to your financial model</t>
  </si>
  <si>
    <t>Cannibalization $: link cannibalization as a negative number; Definition: sales reduction on current portfolio due to introduction of this new product</t>
  </si>
  <si>
    <t>Pull-Through $: link pull-through as a positive number; Definition: additional sales of other products due to introduction of this new product, also named as indirect revenues</t>
  </si>
  <si>
    <t>Loss Avoidance $: link avoidance as a positive number ; Definition: revenues that would be lost, if new product is not launched</t>
  </si>
  <si>
    <t>Total Incremental Revenue: formula; this line should tie to your incremental revenue in the business case model</t>
  </si>
  <si>
    <t>Volume Category Share (%): provide category share based on volumes, excluding pull-through revenues. Total Addressable Market (TAM) should be basis for calculation.</t>
  </si>
  <si>
    <t>$ Category Share (%): provide category share based on dollar amount, excluding pull-through revenues. Total Addressable Market (TAM) should be basis for calculation.</t>
  </si>
  <si>
    <t>True Incremental Revenue (exc. Loss Avoid): formula; this line should source and tie to PPD file. It basically subtract Cannibalization and adds Pull Through to Revenues</t>
  </si>
  <si>
    <t>New Product ASR Rev (Hyperion): Input the New Product Revenue submitted in Hyperion for the most recent ASR submission. Leave revenues related to years not covered in ASR in blank; Leave in blank, if not applicable.</t>
  </si>
  <si>
    <t>New Product Revenue vs ASR Revenue: Difference between New Product Revenue and ASR Revenue</t>
  </si>
  <si>
    <t>Std Cost w/ Depr ($): Standard cost per unit for the new product with depreciation (should not consider variances)</t>
  </si>
  <si>
    <t>Std Cost w/o Depr ($): Standard cost per unit for the new product without depreciation  (should not consider variances)</t>
  </si>
  <si>
    <t>Gross Profit Information. New Product Gross Profit and Gross Profit % are formulas</t>
  </si>
  <si>
    <t>Gross Profit Information. Provide GP % information of BD's Product Family (line 26) and Competitor's GP (Market GP%, line 27)</t>
  </si>
  <si>
    <t>Multiple revenue source: For projects with multiple revenue source, uncollapse aggregate button (or unhide lines) on row 30 in order to input detailed information by product. In total, Financial Template can capture 5 products. As guideline, use this functionality for distinct product lines, e.g. reagents and instruments</t>
  </si>
  <si>
    <t xml:space="preserve">Revenue and Profitability Input (K): Latest Update:  Information to be provided based on latest Business Case update. FY counter starts on project start year. </t>
  </si>
  <si>
    <t>Revenue and Profitability Input (K): Definition Exit:  Information to be provided based on Definition Exit GPDS phase. Although FY counter starts on project start year, figures related to years before the Def Exit phase should be blank.</t>
  </si>
  <si>
    <t>H / (L) vs. Definition Exit: columns to calculate high and lows; they are the difference between Current info and Def Exit (no need to take any action, formulas are automated)</t>
  </si>
  <si>
    <t>P&amp;L and Free Cash Flow</t>
  </si>
  <si>
    <t xml:space="preserve">Revenue, Growth, Category Share, True Inc Rev (exc. Loss Avoidance): automatically pull information from Revenue and Profitability session </t>
  </si>
  <si>
    <r>
      <t>Category Share: Formula is linked to category Share provided on Revenue Build Up at 1st product based on drop down list available at cell "C129" (</t>
    </r>
    <r>
      <rPr>
        <i/>
        <sz val="11"/>
        <color theme="1"/>
        <rFont val="Calibri"/>
        <family val="2"/>
        <scheme val="minor"/>
      </rPr>
      <t>Dollar ($)</t>
    </r>
    <r>
      <rPr>
        <sz val="10"/>
        <rFont val="Arial"/>
        <family val="2"/>
      </rPr>
      <t xml:space="preserve"> or </t>
    </r>
    <r>
      <rPr>
        <i/>
        <sz val="11"/>
        <color theme="1"/>
        <rFont val="Calibri"/>
        <family val="2"/>
        <scheme val="minor"/>
      </rPr>
      <t>Volume (units)</t>
    </r>
    <r>
      <rPr>
        <sz val="10"/>
        <rFont val="Arial"/>
        <family val="2"/>
      </rPr>
      <t>). Formula can be overwritten, if needed; i.e. multiple product revenues are considered on business case - please calculate a new category share (dollar seems to be more applicable) including the whole category as basis</t>
    </r>
  </si>
  <si>
    <t>Cost of Sales: Link Cost of Sales (excluding depreciation) from business case (positive number). This line should consider all product related costs, including variances</t>
  </si>
  <si>
    <t>Depreciation: Link Depreciation from business case (positive number)</t>
  </si>
  <si>
    <t>Gross Profit: Calculates GP = Revenues - Cost of Sales - Depreciation</t>
  </si>
  <si>
    <t>SSG&amp;A: Link SSG&amp;A from business case. All SSG&amp;A expenses related to BC should be considered in this line</t>
  </si>
  <si>
    <t>R&amp;D: Link R&amp;D from business case. All R&amp;D expenses related to BC should be considered in this line</t>
  </si>
  <si>
    <t>OIBT: Operating Income Before Taxes; OIBT = GP - SSG&amp;A - R&amp;D</t>
  </si>
  <si>
    <t>Other (Inc) / Exp: Include any Other Income or Expenses that should be considererd in project</t>
  </si>
  <si>
    <t>Tax Exp / Ben: Calculates taxes automatically based on tax rate</t>
  </si>
  <si>
    <t>Net Income: Automatically calculated: NI = OIBT - OIE -Tax</t>
  </si>
  <si>
    <t>Capital Expenses: Link Capital from business case (positive number)</t>
  </si>
  <si>
    <t>Increase in Working Capital: ield is automatically populated based on COGS, Revenues and number of days provided for DPO, DSO, DIO at Input tab. Formulas are available at rows 244 to 255.</t>
  </si>
  <si>
    <t>Free Cash Flow: Calculates FCF = NI - Capital - Inc in WC + Depreciation</t>
  </si>
  <si>
    <t>Discounted Free Cash Flow: This row shows the FCF discounted to Current FY (as set at Input tab). It does not consider: TV nor Undepreciated Capital</t>
  </si>
  <si>
    <t>Discounted Free Cash Flow: This row shows the FCF discounted to Def Exit FY (as set at Input tab). It does not consider: TV nor Undepreciated Capital</t>
  </si>
  <si>
    <t>All Sunk Costs in Column F are automatically calculated based on the dates you provided in the "Basic Input &amp; Assumptions" Tab</t>
  </si>
  <si>
    <t>P&amp;L and FCF Input (K): Latest Update:  Information to be provided based on latest Business Case update. FY counter starts on project start year; as a result, previous FYs (before the current update) should be populated with actual figures and will be treated as sunk costs</t>
  </si>
  <si>
    <t>P&amp;L and FCF Input (K): Definition Exit:  Information to be provided based on Definition Exit GPDS phase. As Definition Exit FY occurs later than project start, fields related to years before the Def Exit phase may be left blank, if info is not available. Moreover, Definition Exit figures are static and should not be changed throughout project evolution, unless there is a Rebaseline in place.</t>
  </si>
  <si>
    <t>Terminal Value (TV): It is strongly recommended not to use TV. The reason is that products will probably require future capital investments by the end of life cycle and revenues will probably not be in the level indefinitely, what raises the point that the use of a Terminal Value may not be appropriate. If your BC requires a Terminal Value Calculation, spreadsheet is built with perpetuity formula "LastFCF*(1+g)/(r-g)", which is linked to last Free Cash Flow, discount rate and growth rate (the last two were defined on Input tab). If your BC requires a different way to calculate the Terminal Value, you may overhide the formula. As Terminal Value should be considered on the last year of project, you will notice that there are four lines related to Terminal Value, deppending on the last period of the scenarios considered on return metrics calculation session at BC template.
Instead of using TV, you may extend your FCF calculations for the next years (extended time horizon - 15 years) as an exception. The standard time horizon for project life is 10 years and 15 year projects are treated as exception</t>
  </si>
  <si>
    <t>Terminal Value as of Project Start: TV will be considered on return metrics calculation at the 9th year after Project Start FY</t>
  </si>
  <si>
    <t>Terminal Value as of DefExit: TV will be considered on return metrics calculation at the 9th year after Def Exit FY</t>
  </si>
  <si>
    <t>Terminal Value as Current FY: TV will be considered on return metrics calculation at the 9th year after Current FY</t>
  </si>
  <si>
    <t>Terminal Value as ASR FY: TV will be considered on return metrics calculation at the 9th year after ASR FY</t>
  </si>
  <si>
    <t>Undepreciated Capital: it is calculated as the summation of CapEx less summation of Depreciation amounts (from beginning of project until last year of each scenario). Undepreciated Capital will be added back to Free Cash Flow at last year of each scenario, as project has not benefited from all capital invested so far (another way to think about it is as book value of assets)</t>
  </si>
  <si>
    <t>Undepreciated Capital as of Project Start: TV will be considered on return metrics calculation at the 9th year after Project Start FY</t>
  </si>
  <si>
    <t>Undepreciated Capital as of DefExit: TV will be considered on return metrics calculation at the 9th or 14th year after Def Exit FY</t>
  </si>
  <si>
    <t>Undepreciated Capital as Current FY: TV will be considered on return metrics calculation at the 9th or 14th year after Current FY</t>
  </si>
  <si>
    <t>Undepreciated Capital as ASR FY: TV will be considered on return metrics calculation at the 9th or 14th year after ASR FY</t>
  </si>
  <si>
    <t>Discounted Terminal Value and Undepreciated Capital: table shows TV and Undepreciated Capital discounted to 9th or 14th year in each scenario. The goal is to show how much those values contribute the NPV</t>
  </si>
  <si>
    <t>GPDS Expense Tracking</t>
  </si>
  <si>
    <t>For each GPDS phase (lines), input incurred expenses (actual expenses at SSG&amp;A, R&amp;D and Capital categories) per year. Year counter starts on project start FY and goes up to 11 years. No need to list expenses after project launch. A specific FY might have expenses in two or more GPDS phases. Additionally, a specific GPDS phase might have expenses on multiple FY (please split amounts, accordingly).</t>
  </si>
  <si>
    <t>Product Launch Details</t>
  </si>
  <si>
    <t>Input product launch expense details. Column "Current" should consider actual and reviewed forecasted expenses (as of Def Exit FY), while column "Def Exit" should consider forecasted expenses set at time that project exits Definition phase. Required breakdown is (lines): SSG&amp;A, R&amp;D and Capital before launch and SSG&amp;A after launch (2 years after launch date)</t>
  </si>
  <si>
    <t>New Product Revenues</t>
  </si>
  <si>
    <t>New Product Revenues: automatically calculates New Product Revenues based on 48 consecutive months (16 quarters) after product launch in 1st region. Instead of using flat (average) sales per month at last year, spreadsheet considers "78-triangle spread" methodology, in which sales increase month by month. If methodology does not apply or if you have a better information related to first 48 month sales, feel free to override formula at cell.</t>
  </si>
  <si>
    <t>"78-triangle spread" considers that sales ramp up month by month starting on 1st month of FY (Oct) and peak at last month of FY (Sep); table bellow presents month by month distribution:</t>
  </si>
  <si>
    <t>Oct</t>
  </si>
  <si>
    <t>Nov</t>
  </si>
  <si>
    <t>Dec</t>
  </si>
  <si>
    <t>Jan</t>
  </si>
  <si>
    <t>Feb</t>
  </si>
  <si>
    <t>Mar</t>
  </si>
  <si>
    <t>Apr</t>
  </si>
  <si>
    <t>May</t>
  </si>
  <si>
    <t>Jun</t>
  </si>
  <si>
    <t>Jul</t>
  </si>
  <si>
    <t>Aug</t>
  </si>
  <si>
    <t>Sep</t>
  </si>
  <si>
    <t>Monthly</t>
  </si>
  <si>
    <t>Accumulated (YTD)</t>
  </si>
  <si>
    <t>Input Marketing Driver Changes: for each of those 5 categories, please provide Def Exit and Current scenario, highlighting the representativeness of those changes using the color code. Please provide a brief explanation that reflected on those changes</t>
  </si>
  <si>
    <t xml:space="preserve">Financial Metrics Calculations </t>
  </si>
  <si>
    <t>Project Financial Metrics</t>
  </si>
  <si>
    <t>MIRR: Modified Internal Rate of Return will be calculated using FCF with Undepreciated Capital and finance and reinvestment rates (both provided on input tab)</t>
  </si>
  <si>
    <t>NPV: Net Present Value will be calculated using FCF with Undepreciated Capital, discounted by rate defined on input tab. If you have a different discount rate at Definition Exit, you may input this discount rate at Input tab (row 40) and NPV with this discount rate will be calculated at columns G-H and L-M, considering Def Exit timeframe.</t>
  </si>
  <si>
    <t>IRR: Internal Rate of Return will be calculated using FCF with Undepreciated Capital</t>
  </si>
  <si>
    <t>ROI (R&amp;D): Return of Investment is automatically calculated considering only R&amp;D expenses.</t>
  </si>
  <si>
    <t>ROI (R&amp;D, SSG&amp;A, CAP): Return of Investment is automatically calculated considering R&amp;D, SSG&amp;A and Capital expenses.</t>
  </si>
  <si>
    <t>Payback Period: it is automatically calculated over life of the project</t>
  </si>
  <si>
    <t>with TV: MIRR, IRR and NPV are also calculated using the FCF added by the Terminal Value and Undepreciated Capital</t>
  </si>
  <si>
    <t>10 Yr Horizon: Financial Metrics will be calculated using a standard 10 year horizon</t>
  </si>
  <si>
    <t>15 Yr Horizon: this extended time horizon can be used for longer projects, treated as exceptions</t>
  </si>
  <si>
    <t>* NPV and MIRR calculated in this session take advantage of Undepreciated Capital; TV is only considered when specified (rows 185 to 187)</t>
  </si>
  <si>
    <t>Scenarios</t>
  </si>
  <si>
    <t>Proj Start FY + 9Y or + 14Y: Financial Metrics will be calculated based on project start fiscal year, as defined on input tab. This scenario considers updated figures and sunk costs on metric calculations</t>
  </si>
  <si>
    <t>Def Exit FY + 9Y or + 14Y (Commitment): Financial Metrics will be calculated based on fiscal year that project exited Definition phase, as defined on input tab. It considers figures that were set at Definition Exit contract (Commitment) and should not change (figures are static in this scenario); this scenario is relevant for institutional memory, serving as a baseline for comparisons</t>
  </si>
  <si>
    <t>Def Exit FY + 9Y or + 14Y (Actuals/Projections): Financial Metrics will be calculated based on fiscal year that project exited Definition phase, as defined on input tab. However, differently from scenario described above, it considers the updated figures (that may change when BC is reviewed); both considers the same timeframe (start and end time window), but different cash flows: this refers to actual and projected cash flows, while Commitment refers to cash flows from contract</t>
  </si>
  <si>
    <t>Fwd Look + 9Y or + 14Y: Financial Metrics will be calculated based on current fiscal year , as defined on input tab. This scenario brings a 10 y or 15 year forward looking, without considering any sunk costs. Besides that, it considers the updated figures (that may change when BC is reviewed)</t>
  </si>
  <si>
    <t xml:space="preserve">Fwd Look ASR + 9Y or + 14Y: Financial Metrics will be calculated based on ASR FY as a start date, as defined on input tab. This scenario brings a 10 y or 15 year forward looking, without considering any sunk costs. </t>
  </si>
  <si>
    <t>Discounted TV and Discounted Undepreciated Capital</t>
  </si>
  <si>
    <t>Discounted TV: it shows the contribution of Terminal Value (TV) for each of those 4 scenarios on the NPV calculation</t>
  </si>
  <si>
    <t>Discounted Undepreciated Capital: it shows the contribution of Undepreciated Capital for each of those 8 scenarios on the NPV calculation</t>
  </si>
  <si>
    <t>Hiden Calculation / Lines</t>
  </si>
  <si>
    <t>Hiden lines have all necessary calculation for spreadsheet automatization. There is no need to adapt or adjust those formulas, but you may want to understand formulas and calculation rationale</t>
  </si>
  <si>
    <t>Return Metric Calculation: formulas reflect calculation of all return metrics, considering all definied scenarios</t>
  </si>
  <si>
    <t>Return Metric Subtotals: formulas reflect calculation of subtotals required as input for Return Metric Calculation</t>
  </si>
  <si>
    <t>Working Capital Calculation: formulas calculate changes in working capital based on the number of days defined at Input Tab for DSO (receivables0, DIO (inventory), DPO (payables). Row 255 is linked to row 144</t>
  </si>
  <si>
    <t>NPV Change Drivers:</t>
  </si>
  <si>
    <t>Those formulas were developed in order to identify and automatically calculate the key and most common drivers at BC NPV changes</t>
  </si>
  <si>
    <t>10 Yer Waterfall: graph refelects the contribution of each lever as output of NPV Analysis, comparing the Def Exit Commitment to Def Exit Act/Proj scenarios</t>
  </si>
  <si>
    <t>15 Yer Waterfall: graph refelects the contribution of each lever as output of NPV Analysis, comparing the Def Exit Commitment to Def Exit Act/Proj scenarios</t>
  </si>
  <si>
    <t>NPV Levers Details:
Each column shows the financial impact on a NPV basis (discounted FCF);
Launch Investment: it reflects changes in SSG&amp;A, R&amp;D and Capital between 2 scenarios, from Def Exit FY to 2 years after Launch FY. Green columns shows that project requires less investment to be developed, comparing to its Commitment;
Launch Delay: column captures NPV impact due to Launch date change (Commitment vs. Act/Proj); Delays are represented in red, while anticipations are green; 
Revenue (excl Delays): column shows NPV impact due to Revenue change. Re column shows a reduction in sales;
Margin: column reprresents impact of Std Margin change, aplied to current revenues. Green columns indicate a Std Cost Reduction;
Other: column captures all other changes in project that have not been captured on previous 4 levers</t>
  </si>
  <si>
    <t>Revenue Build Up Visualization</t>
  </si>
  <si>
    <t>Pie graph visually reflects contibution of Cannibalization, Pull Through and Loss Avoidance at business case Incremental Revenues. One graph considers 10 years project, while the other captures 15 years project</t>
  </si>
  <si>
    <t>NPV Trajectory</t>
  </si>
  <si>
    <t>Graph intents to show NPV evolution of project - goal is to understand how project's gain/loss of value throughout time; Majority of its data needs to be manually provided</t>
  </si>
  <si>
    <t>Def Exit Commitment: this column shows the Def Exit Commitment NPVs on a 10 (or 15) yrs timeframe, starting at each FY; it is represented by a black dashed line and it is automaticaly calculated; the goal is to show the NPV trend/extrapolation of Def Exit Commitment scenario</t>
  </si>
  <si>
    <t>Def Exit Act/Proj: this column shows the Def Exit Act/Proj NPVs on a 10 (or 15) yrs timeframe, starting at each FY; it is represented by a gray dashed line; it has to be manually provided by user in each year; the goal is to show the NPV trend of Def Exit Act/Proj scenario</t>
  </si>
  <si>
    <t>Fwd Look Budget: this column shows the Fwd Look NPVs on a 10 (or 15) yrs timeframe, starting at each FY, defined as budget period (October/November collection); it is represented by a salmon column on graph; it has to be manually provided by user in each year; the goal is to compare what was the Fwd Look NPV expected during budget cycle to the following collection (May)</t>
  </si>
  <si>
    <t>Fwd Look Act/Proj: this column shows the Fwd Look NPVs on a 10 (or 15) yrs timeframe, starting at each FY, defined as ASR period (May collection); it is represented by a light blue column on graph; it has to be manually provided by user in each year; the goal is to compare what was the Fwd Look NPV to what was expected during budget cycle</t>
  </si>
  <si>
    <t>NPV Trajectory for 10 Yrs Project</t>
  </si>
  <si>
    <t>NPV Trajectory for 15 Yrs Project</t>
  </si>
  <si>
    <t>Tab: Current_Prior</t>
  </si>
  <si>
    <t>This tab is intended to compare Current vs. Prior Submissions</t>
  </si>
  <si>
    <t>Current Submission: it is automaticaly pulled from "Calc" tab. No need to take any action here</t>
  </si>
  <si>
    <t>Prior Submission: you will need to paste (values) on all light green highlighted cells. This step needs to be taken before you update the model with current figures, as they refer to figures from previous submission.</t>
  </si>
  <si>
    <t>NPV Analysis (Current vs. Prior Submission)</t>
  </si>
  <si>
    <t>It shows NPV Levers for 10 and 15 yrs projects as described on regular analysis. Important to notice that these rows should be used for ASR collections (May timeframe), as they have the Roll Forward lever that reprsents the effect of dopping a year of investments and adding a year of benefits at the end of project lyfe</t>
  </si>
  <si>
    <t>It shows NPV Levers for 10 and 15 yrs projects as described on regular analysis. Important to notice that these rows should be used for Budget collections (Oct/Nov timeframe).</t>
  </si>
  <si>
    <t>Update Log</t>
  </si>
  <si>
    <t>Table can be used as a list to keep project changes; objective is to capture the main assumption changes between submissions. Data needs to be manually provided.</t>
  </si>
  <si>
    <t>Tab: HistInfo</t>
  </si>
  <si>
    <t>This tab is intended to capture all project historical information</t>
  </si>
  <si>
    <t>For each session, please provide financials that relate to each GPDS Exit phase. You will need to paste (values) on all light green highlighted cells.</t>
  </si>
  <si>
    <t>This session compares Latest Rebaseline to Def Exit Scenaios, including a NPV Analysis. All cells are pulling from "Calc" and HistInfo"" (as a result, there is no need to provide any input here)</t>
  </si>
  <si>
    <t>If project has gone through Rebaselines, please paste figures that refer to each of them. You will need to paste (values) on all light green highlighted cells.</t>
  </si>
  <si>
    <t>Tab: Capital_Depreciation</t>
  </si>
  <si>
    <t>This tab is intended to capture project Capital Investments and calculate annual depreciation</t>
  </si>
  <si>
    <t>Based on a list of capital expenses (provided year by year), number of years of asset life and start date of asset usage, this protion of spreadsheet calculates the annual depreciation at row 69. Columns C to AJ should capture the Act/Proj scenario</t>
  </si>
  <si>
    <t>Based on a list of capital expenses (provided year by year), number of years of asset life and start date of asset usage, this protion of spreadsheet calculates the annual depreciation at row 69. Columns AO to BV should capture the Def Exit scenario</t>
  </si>
  <si>
    <t>Tab: Presentation (PPT)</t>
  </si>
  <si>
    <t>Use drop down list to display $ figures in $ K or $ M. All $ fields will be adjusted in Presentation tab. All cells are pulling from the calculation tab. No need to input data</t>
  </si>
  <si>
    <t>For projects with multiple revenue source, uncollapse aggregate button (or unhide lines) at row 28 in order to show detailed information by product at "Presentation" tab. For those projects, there is also a secondary button that sums and consolidates the main lines on the revenue build-up</t>
  </si>
  <si>
    <t>For BC with multiple product source of revenues, this table consolidates the main relevante information, without distorting figures that would not be well captured, such as volume, category share, std cost and Product and Family GPs</t>
  </si>
  <si>
    <t>This session presents P&amp;L and Cash Flow calculation year by year and, at same time, the high and lows compared to baseline scenario (Def Exit). All information provided here pulls from Input tab. Overall, this tab presents columns related to more than 10 years to adequate to multiple BCs; it contains sunk costs and extends beyond 10 years as well. You will need to hide columns that don't apply to current 10 year outlook or do not show relevant information for presentations purpose.</t>
  </si>
  <si>
    <t>Return metrics: table shows the main return metrics to be shown in presentations as standard output, capturing projects MIRRs and NPVs for 10 and 15 yrs projects. You may copy and past those tables in your presentations.</t>
  </si>
  <si>
    <t>Tables bring additional information relevant to unerstand and explain BC outputs. You may copy and past those tables in your presentations.</t>
  </si>
  <si>
    <t>Tab: PPDInterface_DropDowns (PPD_DD)</t>
  </si>
  <si>
    <t>There is no work to be done at "FT_PPD_DD" tab. However, it is essential to copy this tab to your BC in order to assure formula references. This tab will also be used to feed PPD file (functionality still to be developed)</t>
  </si>
  <si>
    <t>Useful Definitions</t>
  </si>
  <si>
    <r>
      <rPr>
        <b/>
        <u/>
        <sz val="11"/>
        <color theme="1"/>
        <rFont val="Calibri"/>
        <family val="2"/>
        <scheme val="minor"/>
      </rPr>
      <t>FCF</t>
    </r>
    <r>
      <rPr>
        <sz val="10"/>
        <rFont val="Arial"/>
        <family val="2"/>
      </rPr>
      <t xml:space="preserve"> - Free Cash Flow: FCF = NI - Capital - Inc in WC + Depreciation</t>
    </r>
  </si>
  <si>
    <r>
      <rPr>
        <b/>
        <u/>
        <sz val="11"/>
        <color theme="1"/>
        <rFont val="Calibri"/>
        <family val="2"/>
        <scheme val="minor"/>
      </rPr>
      <t>ROI</t>
    </r>
    <r>
      <rPr>
        <sz val="10"/>
        <rFont val="Arial"/>
        <family val="2"/>
      </rPr>
      <t xml:space="preserve"> - OIBT divided by either R&amp;D or R&amp;D+SSGA+Capital over the life of the project</t>
    </r>
  </si>
  <si>
    <r>
      <rPr>
        <b/>
        <u/>
        <sz val="11"/>
        <color theme="1"/>
        <rFont val="Calibri"/>
        <family val="2"/>
        <scheme val="minor"/>
      </rPr>
      <t>Payback Period</t>
    </r>
    <r>
      <rPr>
        <sz val="10"/>
        <rFont val="Arial"/>
        <family val="2"/>
      </rPr>
      <t xml:space="preserve"> - Amount of years it takes to break even on cash flow</t>
    </r>
  </si>
  <si>
    <r>
      <t>Product Life Cycle</t>
    </r>
    <r>
      <rPr>
        <sz val="10"/>
        <rFont val="Arial"/>
        <family val="2"/>
      </rPr>
      <t xml:space="preserve"> - How many years this product is expected to be in market before investments are required to innovate next product (if marketing doesn't provide, clear cells)</t>
    </r>
  </si>
  <si>
    <t>NOTE: DO NOT ADD/DELETE ROWS IN SPREADSHEETS AS FORMULAS ARE EMBEDDED</t>
  </si>
  <si>
    <r>
      <t>Required Inputs</t>
    </r>
    <r>
      <rPr>
        <i/>
        <sz val="11"/>
        <color theme="1"/>
        <rFont val="Calibri"/>
        <family val="2"/>
        <scheme val="minor"/>
      </rPr>
      <t xml:space="preserve"> (feed template fornulas)</t>
    </r>
  </si>
  <si>
    <r>
      <t>Additional Inputs</t>
    </r>
    <r>
      <rPr>
        <i/>
        <sz val="11"/>
        <color theme="1"/>
        <rFont val="Calibri"/>
        <family val="2"/>
        <scheme val="minor"/>
      </rPr>
      <t xml:space="preserve"> (provide extra contextect to project - not linked to formulas)</t>
    </r>
  </si>
  <si>
    <t>Segment</t>
  </si>
  <si>
    <t>N/A</t>
  </si>
  <si>
    <r>
      <rPr>
        <b/>
        <sz val="11"/>
        <color theme="1"/>
        <rFont val="Calibri"/>
        <family val="2"/>
        <scheme val="minor"/>
      </rPr>
      <t>Latest Update on</t>
    </r>
    <r>
      <rPr>
        <sz val="10"/>
        <rFont val="Arial"/>
        <family val="2"/>
      </rPr>
      <t xml:space="preserve"> </t>
    </r>
    <r>
      <rPr>
        <sz val="11"/>
        <color rgb="FFFF0000"/>
        <rFont val="Calibri"/>
        <family val="2"/>
        <scheme val="minor"/>
      </rPr>
      <t>(calendar year)</t>
    </r>
    <r>
      <rPr>
        <sz val="10"/>
        <rFont val="Arial"/>
        <family val="2"/>
      </rPr>
      <t>:</t>
    </r>
  </si>
  <si>
    <r>
      <rPr>
        <b/>
        <sz val="11"/>
        <color theme="1"/>
        <rFont val="Calibri"/>
        <family val="2"/>
        <scheme val="minor"/>
      </rPr>
      <t>Latest Portfolio Decision Team - PDT on</t>
    </r>
    <r>
      <rPr>
        <sz val="10"/>
        <rFont val="Arial"/>
        <family val="2"/>
      </rPr>
      <t xml:space="preserve"> </t>
    </r>
    <r>
      <rPr>
        <sz val="11"/>
        <color rgb="FFFF0000"/>
        <rFont val="Calibri"/>
        <family val="2"/>
        <scheme val="minor"/>
      </rPr>
      <t>(calendar year)</t>
    </r>
    <r>
      <rPr>
        <sz val="10"/>
        <rFont val="Arial"/>
        <family val="2"/>
      </rPr>
      <t>:</t>
    </r>
  </si>
  <si>
    <t>Business Case Name</t>
  </si>
  <si>
    <t>Business Case Identification (BCID)</t>
  </si>
  <si>
    <t>15 Yr Business Case? (Y/N)</t>
  </si>
  <si>
    <t>BPC Projects Associated to Business Case:</t>
  </si>
  <si>
    <t>Code</t>
  </si>
  <si>
    <t>Name</t>
  </si>
  <si>
    <t>New Product (NP) Revenue Build Up</t>
  </si>
  <si>
    <t>NP - Main</t>
  </si>
  <si>
    <t>NP 2</t>
  </si>
  <si>
    <t>B</t>
  </si>
  <si>
    <t>NP 3</t>
  </si>
  <si>
    <t>C</t>
  </si>
  <si>
    <t>NP 4</t>
  </si>
  <si>
    <t>D</t>
  </si>
  <si>
    <t>NP 5</t>
  </si>
  <si>
    <t>E</t>
  </si>
  <si>
    <t>&lt;&lt;Please provide a brief and high level project / product description; no need to be a technical explanation&gt;&gt;</t>
  </si>
  <si>
    <r>
      <t xml:space="preserve">Dates and Terms - </t>
    </r>
    <r>
      <rPr>
        <b/>
        <u/>
        <sz val="11"/>
        <color rgb="FFFF0000"/>
        <rFont val="Calibri"/>
        <family val="2"/>
        <scheme val="minor"/>
      </rPr>
      <t>Fiscal Year Input</t>
    </r>
  </si>
  <si>
    <t>Project Start FY</t>
  </si>
  <si>
    <t>Current FY</t>
  </si>
  <si>
    <t>ASR FY (start yr)</t>
  </si>
  <si>
    <t>Comparison Scenario</t>
  </si>
  <si>
    <t>Def Exit</t>
  </si>
  <si>
    <t>Information provided in this session is not physically linked to template formulas (further tabs or left side of this tab). However, you may prefer to link them, if applicable to your model.</t>
  </si>
  <si>
    <r>
      <t>If Rebaseline, input switch date (</t>
    </r>
    <r>
      <rPr>
        <u/>
        <sz val="11"/>
        <color rgb="FFFF0000"/>
        <rFont val="Calibri"/>
        <family val="2"/>
        <scheme val="minor"/>
      </rPr>
      <t>Calendar Year</t>
    </r>
    <r>
      <rPr>
        <sz val="10"/>
        <rFont val="Arial"/>
        <family val="2"/>
      </rPr>
      <t>)</t>
    </r>
  </si>
  <si>
    <r>
      <t xml:space="preserve">Dates of Exit GPDS Phase: Month / </t>
    </r>
    <r>
      <rPr>
        <i/>
        <u/>
        <sz val="11"/>
        <color rgb="FFFF0000"/>
        <rFont val="Calibri"/>
        <family val="2"/>
        <scheme val="minor"/>
      </rPr>
      <t>Calendar Year</t>
    </r>
  </si>
  <si>
    <t>GPDS Phase and Terms</t>
  </si>
  <si>
    <t>Product or Region</t>
  </si>
  <si>
    <t>&lt;Name&gt;</t>
  </si>
  <si>
    <t>Current GPDS Phase</t>
  </si>
  <si>
    <r>
      <rPr>
        <b/>
        <sz val="11"/>
        <color rgb="FFFF0000"/>
        <rFont val="Calibri"/>
        <family val="2"/>
        <scheme val="minor"/>
      </rPr>
      <t>Fiscal Year</t>
    </r>
    <r>
      <rPr>
        <b/>
        <sz val="11"/>
        <color theme="1"/>
        <rFont val="Calibri"/>
        <family val="2"/>
        <scheme val="minor"/>
      </rPr>
      <t xml:space="preserve"> Equivalent</t>
    </r>
  </si>
  <si>
    <r>
      <t xml:space="preserve">Dates of Exit GPDS Phase: Month / </t>
    </r>
    <r>
      <rPr>
        <b/>
        <u/>
        <sz val="11"/>
        <color rgb="FFFF0000"/>
        <rFont val="Calibri"/>
        <family val="2"/>
        <scheme val="minor"/>
      </rPr>
      <t>Calendar Year</t>
    </r>
  </si>
  <si>
    <t>Commitment</t>
  </si>
  <si>
    <t>Commit</t>
  </si>
  <si>
    <r>
      <t xml:space="preserve">Month / </t>
    </r>
    <r>
      <rPr>
        <b/>
        <u/>
        <sz val="11"/>
        <color rgb="FFFF0000"/>
        <rFont val="Calibri"/>
        <family val="2"/>
        <scheme val="minor"/>
      </rPr>
      <t>Calendar Year</t>
    </r>
  </si>
  <si>
    <t>Project Start</t>
  </si>
  <si>
    <t>Launch</t>
  </si>
  <si>
    <t>Financial Inputs</t>
  </si>
  <si>
    <t>Tax Rate @ Act/Projection Scenarios</t>
  </si>
  <si>
    <t>Discount (Hurdle) Rate @ Act/Projection Scenarios</t>
  </si>
  <si>
    <t>Regional Launches</t>
  </si>
  <si>
    <t>Expected Launch at</t>
  </si>
  <si>
    <t>Actual</t>
  </si>
  <si>
    <t>Finance Rate (for MIRR calc)</t>
  </si>
  <si>
    <t>WEU</t>
  </si>
  <si>
    <t>Reinvestment Rate (for MIRR calc)</t>
  </si>
  <si>
    <t>EMA</t>
  </si>
  <si>
    <t>Growth Rate (for Terminal Value calc)</t>
  </si>
  <si>
    <t>BDX Referece Figures</t>
  </si>
  <si>
    <t>China</t>
  </si>
  <si>
    <r>
      <t>Working Capital Calculation:</t>
    </r>
    <r>
      <rPr>
        <sz val="10"/>
        <rFont val="Arial"/>
        <family val="2"/>
      </rPr>
      <t xml:space="preserve"> # of Days</t>
    </r>
  </si>
  <si>
    <t>(FY16 Actuals)</t>
  </si>
  <si>
    <t>AP ex China</t>
  </si>
  <si>
    <t>Receivables (DSO)</t>
  </si>
  <si>
    <t>DSO</t>
  </si>
  <si>
    <t>Payables (DPO)</t>
  </si>
  <si>
    <t>DPO</t>
  </si>
  <si>
    <t>Inventories (DIO)</t>
  </si>
  <si>
    <t>DIO</t>
  </si>
  <si>
    <t>SMS + Technology Innovation</t>
  </si>
  <si>
    <t>SMS Name</t>
  </si>
  <si>
    <t>Standard Discount Rate (Hurdle Rate)</t>
  </si>
  <si>
    <t>Marketing Asusmptions</t>
  </si>
  <si>
    <t># Years to Reach Target Conversion (after launch)</t>
  </si>
  <si>
    <t>Peak Category Share</t>
  </si>
  <si>
    <t>Product Life Cycle (Yrs after launch)</t>
  </si>
  <si>
    <t>Business Case Owners</t>
  </si>
  <si>
    <r>
      <t xml:space="preserve">Name and Last Review Date </t>
    </r>
    <r>
      <rPr>
        <i/>
        <sz val="11"/>
        <color theme="1"/>
        <rFont val="Calibri"/>
        <family val="2"/>
        <scheme val="minor"/>
      </rPr>
      <t>(Calendar Year)</t>
    </r>
  </si>
  <si>
    <t>Month</t>
  </si>
  <si>
    <t>Finance</t>
  </si>
  <si>
    <t>AA</t>
  </si>
  <si>
    <t>BB</t>
  </si>
  <si>
    <t>CC</t>
  </si>
  <si>
    <t>Operations</t>
  </si>
  <si>
    <t>DD</t>
  </si>
  <si>
    <t>Attestation Statement:</t>
  </si>
  <si>
    <t>By signing this business case, I (R&amp;D, Finance, Marketing, Operations owner) attest that:
1. This business case is a realistic portrayal of the expected financials (i.e. potential for overachievement = potential for underachievement).
2. I have:   
    a. Reviewed/pressure tested all major assumptions, confirming that they are reasonable and balanced
    b. Confirmed that the financials reflect the most recent project status/information as of this date (no material differences)
3. We, the business case owners, have recently:
    a. Challenged ourselves / each other on the completeness and reasonableness of our individual inputs and this collective output
    b. Reviewed and aligned the assumptions and outputs with BU Leadership</t>
  </si>
  <si>
    <t>Current vs. Prios Submission Comparison</t>
  </si>
  <si>
    <t>Please, paste values refereing to Prior Submission on light green highlighted cells (AP14 to BW 47)</t>
  </si>
  <si>
    <t>Current Submission</t>
  </si>
  <si>
    <t>Prior Submission</t>
  </si>
  <si>
    <t>10 Yrs</t>
  </si>
  <si>
    <t>15 Yrs</t>
  </si>
  <si>
    <t>% Rev</t>
  </si>
  <si>
    <t>FYAA-FYBB</t>
  </si>
  <si>
    <t xml:space="preserve">   Growth %</t>
  </si>
  <si>
    <t>5 Yr CAGR</t>
  </si>
  <si>
    <t xml:space="preserve">  Category Share</t>
  </si>
  <si>
    <t>True Inc Rev (exc. Loss Avoid): PPD</t>
  </si>
  <si>
    <t xml:space="preserve">   Cost of Sales</t>
  </si>
  <si>
    <t xml:space="preserve">   Depreciation</t>
  </si>
  <si>
    <t>% of Revenue</t>
  </si>
  <si>
    <t xml:space="preserve">   SSG&amp;A</t>
  </si>
  <si>
    <t xml:space="preserve">   R&amp;D</t>
  </si>
  <si>
    <t xml:space="preserve">   Other (Inc) / Exp</t>
  </si>
  <si>
    <t xml:space="preserve">   Tax Exp / (Ben)</t>
  </si>
  <si>
    <t xml:space="preserve">   Capital</t>
  </si>
  <si>
    <t xml:space="preserve">   Increase in Working Capital</t>
  </si>
  <si>
    <t>Free Cash Flow</t>
  </si>
  <si>
    <t>* No Undepreciated Captital and/or Terminal Value Adjustment</t>
  </si>
  <si>
    <t>Current FY (Prior Submission)</t>
  </si>
  <si>
    <t>Disc Rate (Prior Submission)</t>
  </si>
  <si>
    <t>Business Case Owners (Current)</t>
  </si>
  <si>
    <t>Fwd Look</t>
  </si>
  <si>
    <t>Fwd Look ASR</t>
  </si>
  <si>
    <t>Business Case Owners (Prior Submission)</t>
  </si>
  <si>
    <t>Proj Start</t>
  </si>
  <si>
    <t>Calendar Year</t>
  </si>
  <si>
    <r>
      <t xml:space="preserve">Date of Exit GPDS Phase </t>
    </r>
    <r>
      <rPr>
        <b/>
        <i/>
        <sz val="11"/>
        <color theme="1"/>
        <rFont val="Calibri"/>
        <family val="2"/>
        <scheme val="minor"/>
      </rPr>
      <t>(Calendar Year)</t>
    </r>
  </si>
  <si>
    <r>
      <t xml:space="preserve">Name and Last Review Date </t>
    </r>
    <r>
      <rPr>
        <i/>
        <sz val="11"/>
        <color theme="1"/>
        <rFont val="Calibri"/>
        <family val="2"/>
        <scheme val="minor"/>
      </rPr>
      <t>(Calendar Based)</t>
    </r>
  </si>
  <si>
    <t>FY XX - ZZ</t>
  </si>
  <si>
    <t>Date of Exit GPDS Phase</t>
  </si>
  <si>
    <t>(MM)</t>
  </si>
  <si>
    <t>(YY)</t>
  </si>
  <si>
    <t>Def Exit (FY)</t>
  </si>
  <si>
    <t>Metrics with TV</t>
  </si>
  <si>
    <t>MIRR (with TV)</t>
  </si>
  <si>
    <t>NPV (with TV)</t>
  </si>
  <si>
    <t>&gt;&gt; No need to populate</t>
  </si>
  <si>
    <t>Return Metric Calculations SubTotals</t>
  </si>
  <si>
    <t>Data available at "Calc" tab, cells G233 to AI240</t>
  </si>
  <si>
    <t>Free Cash Flow (FCF)</t>
  </si>
  <si>
    <t>R&amp;D Exp (used for ROI calculation)</t>
  </si>
  <si>
    <t>R&amp;D, SGA &amp; Cap Exp (used for ROI calculation)</t>
  </si>
  <si>
    <t>OIBT (used for ROI calculation)</t>
  </si>
  <si>
    <t>Undepreciated (Undp) Capital</t>
  </si>
  <si>
    <t>Free Cash Flow (FCF) + Undp Capital</t>
  </si>
  <si>
    <t>Terminal Value</t>
  </si>
  <si>
    <t>Free Cash Flow (FCF) + Undp Capital + TV</t>
  </si>
  <si>
    <t>NPV Change Drivers: To be used on ASR Collection (May timeframe)</t>
  </si>
  <si>
    <t>Discounted FCFs (Present Value at Current FY)</t>
  </si>
  <si>
    <t>Loss: (neg)</t>
  </si>
  <si>
    <t>Gain: pos</t>
  </si>
  <si>
    <t>Discounted FCFs (Present Value to Current FY)</t>
  </si>
  <si>
    <t>Capital</t>
  </si>
  <si>
    <t>Investment Launch+2Yrs (SSG&amp;A+R&amp;D+Capital)</t>
  </si>
  <si>
    <t>Launch Delay</t>
  </si>
  <si>
    <t>Revenue Change</t>
  </si>
  <si>
    <t>Std Cost Change</t>
  </si>
  <si>
    <t>Hurdle Rate Change</t>
  </si>
  <si>
    <t>Fwd Look at Previous Disc Rate</t>
  </si>
  <si>
    <t>Counters and Markers</t>
  </si>
  <si>
    <t>Investment +2 (2 Yr Marker)</t>
  </si>
  <si>
    <t>Current Year (Prior Sub) Start Marker</t>
  </si>
  <si>
    <t>@ Prior Disc Rate</t>
  </si>
  <si>
    <t>10 Yrs Marker</t>
  </si>
  <si>
    <t>NPV + Undp Capital</t>
  </si>
  <si>
    <t>15 Yrs Marker</t>
  </si>
  <si>
    <t>Year counter</t>
  </si>
  <si>
    <t>FY \ Window</t>
  </si>
  <si>
    <t>Current Year (Prior Sub) Time Horizon Marker (10yrs)</t>
  </si>
  <si>
    <t>Current FY (Prior Sub) Time Horizon Marker (15yrs)</t>
  </si>
  <si>
    <t>Effect in FCF level due to:</t>
  </si>
  <si>
    <t>Investment Change:</t>
  </si>
  <si>
    <t>Fwd Look (Current Submission)</t>
  </si>
  <si>
    <t>Fwd Look (Prior Submission)</t>
  </si>
  <si>
    <t>Launch Delay: (Based on Prior Submission Scenario - 10yrs)</t>
  </si>
  <si>
    <t>Launch Delay: (Based on Prior Submission Scenario - 15yrs)</t>
  </si>
  <si>
    <t>Current Sub</t>
  </si>
  <si>
    <t>Prior Sub</t>
  </si>
  <si>
    <t>Slippage</t>
  </si>
  <si>
    <t>Deferred Yrs</t>
  </si>
  <si>
    <t>Deferred Mths</t>
  </si>
  <si>
    <t>Launch Date</t>
  </si>
  <si>
    <t>Post Launch FCF</t>
  </si>
  <si>
    <t>To be deferred</t>
  </si>
  <si>
    <t>Delay</t>
  </si>
  <si>
    <t>New post-launch FCF (shifted by time difference)</t>
  </si>
  <si>
    <t>0 - 0.99</t>
  </si>
  <si>
    <t>1 - 1.99</t>
  </si>
  <si>
    <t>2 - 2.99</t>
  </si>
  <si>
    <t>3 - 3.99</t>
  </si>
  <si>
    <t>4 - 4.99</t>
  </si>
  <si>
    <t>Discted FCF Post Launch</t>
  </si>
  <si>
    <t>Discted FCF Post Launch Deferred</t>
  </si>
  <si>
    <t>Earlier Launch</t>
  </si>
  <si>
    <t>Earlier</t>
  </si>
  <si>
    <t>COGS/Rev Ratio</t>
  </si>
  <si>
    <t>Def Exit Updated</t>
  </si>
  <si>
    <t>DefExit Orig</t>
  </si>
  <si>
    <t>10 Yrs Project</t>
  </si>
  <si>
    <t>15 Yrs Project</t>
  </si>
  <si>
    <t>Values</t>
  </si>
  <si>
    <t>Ends</t>
  </si>
  <si>
    <t>Before</t>
  </si>
  <si>
    <t>After</t>
  </si>
  <si>
    <t>MIRR vs Hdle</t>
  </si>
  <si>
    <t>Var (%)</t>
  </si>
  <si>
    <t>Prior Sub
(Fwd Look)</t>
  </si>
  <si>
    <t>Launch
Investment</t>
  </si>
  <si>
    <t>Launch
Delay</t>
  </si>
  <si>
    <t>Revenue
(exc. Delay)</t>
  </si>
  <si>
    <t>Margin</t>
  </si>
  <si>
    <t>Current Sub
(Fwd Look)</t>
  </si>
  <si>
    <t>Roll Fwd</t>
  </si>
  <si>
    <t>NPV Change Drivers: to be used on Budget Collection (Oct timeframe)</t>
  </si>
  <si>
    <t>Not required, but it may help on tracking changes throughout multiple submissions.</t>
  </si>
  <si>
    <t>Changes</t>
  </si>
  <si>
    <t>NPV Levers</t>
  </si>
  <si>
    <t>Comments/Reasons for changes (updates, assumptions, ...):</t>
  </si>
  <si>
    <t>Mth</t>
  </si>
  <si>
    <t>Prior Sub
Fwd Look</t>
  </si>
  <si>
    <t>Launch Invst</t>
  </si>
  <si>
    <t>Revenue (exc Delay)</t>
  </si>
  <si>
    <t>Current Sub
Fwd Look</t>
  </si>
  <si>
    <t>Fwd Look (extra year)</t>
  </si>
  <si>
    <t>&lt;name&gt;</t>
  </si>
  <si>
    <t>Historical Information</t>
  </si>
  <si>
    <t>This tab intents to keep historical information. At light green highlited cells, please paste figures as value (there are no formulas set).</t>
  </si>
  <si>
    <t>Financials at GPDS Exit Phases</t>
  </si>
  <si>
    <r>
      <t>Dates (</t>
    </r>
    <r>
      <rPr>
        <b/>
        <u/>
        <sz val="11"/>
        <color theme="1"/>
        <rFont val="Calibri"/>
        <family val="2"/>
        <scheme val="minor"/>
      </rPr>
      <t>Calendar Year</t>
    </r>
    <r>
      <rPr>
        <b/>
        <sz val="11"/>
        <color theme="1"/>
        <rFont val="Calibri"/>
        <family val="2"/>
        <scheme val="minor"/>
      </rPr>
      <t>):</t>
    </r>
  </si>
  <si>
    <t>** No Action needed on this portion</t>
  </si>
  <si>
    <t>Def Exit Approved</t>
  </si>
  <si>
    <t>NA</t>
  </si>
  <si>
    <t>Provide when Def Exit was approved</t>
  </si>
  <si>
    <t>H/(L) Table</t>
  </si>
  <si>
    <t>Current Rebaseline vs Definition Exit Commitment</t>
  </si>
  <si>
    <t>Volume (units)</t>
  </si>
  <si>
    <t>Free Cash Flow*</t>
  </si>
  <si>
    <t>Def Exit Approvers and Dates:</t>
  </si>
  <si>
    <t>Def Exit Commitment</t>
  </si>
  <si>
    <t>Actual / Expected Exit GPDS Phases, as project exited Definition</t>
  </si>
  <si>
    <t>Dates (Calendar Year)</t>
  </si>
  <si>
    <t>FY (equivalent)</t>
  </si>
  <si>
    <t>&lt;Enter Name&gt;</t>
  </si>
  <si>
    <t>Def Exit Commt</t>
  </si>
  <si>
    <t>Discount Rate</t>
  </si>
  <si>
    <t>Dev Exit Approved</t>
  </si>
  <si>
    <t>Provide when Development Exit was approved</t>
  </si>
  <si>
    <t>FY</t>
  </si>
  <si>
    <t>Dev Exit Approvers and Dates:</t>
  </si>
  <si>
    <t>Fwd Look (as of Dev Exit)</t>
  </si>
  <si>
    <t>Actual / Expected Exit GPDS Phases, as project exited Qualification</t>
  </si>
  <si>
    <t>FY XX-YY</t>
  </si>
  <si>
    <t>Qual Exit Approved</t>
  </si>
  <si>
    <t>Provide when Qualification Exit was approved</t>
  </si>
  <si>
    <t>Qual Exit Approvers and Dates:</t>
  </si>
  <si>
    <t>Fwd Look (as of Qual Exit)</t>
  </si>
  <si>
    <t>Launch Exit Approved</t>
  </si>
  <si>
    <t>Provide when Launch Exit was approved</t>
  </si>
  <si>
    <t>Launch Exit Approvers and Dates:</t>
  </si>
  <si>
    <t>Fwd Look (as of Launch Exit)</t>
  </si>
  <si>
    <t>Actual / Expected Exit GPDS Phases, as project exited Launch GPDS Phase</t>
  </si>
  <si>
    <t>Launch + 2Yrs</t>
  </si>
  <si>
    <t>Launch + 2 Yrs</t>
  </si>
  <si>
    <t>Fwd Look (Launch + 2 Yrs)</t>
  </si>
  <si>
    <t>Launch + 4Yrs</t>
  </si>
  <si>
    <t>Launch + 4 Yrs</t>
  </si>
  <si>
    <t>Fwd Look (Launch + 4 Yrs)</t>
  </si>
  <si>
    <t>Actual/Projections vs Definition Exit Commitment (Original): NPV Analysis and H/(L) Table</t>
  </si>
  <si>
    <t>Actuals / Projections</t>
  </si>
  <si>
    <t>Definition Exit Commitment (Original)</t>
  </si>
  <si>
    <t>H/(L) Table: Rebaseline (Current) vs. Definition Exit Original (Commitment)</t>
  </si>
  <si>
    <t>($'s in Millions)</t>
  </si>
  <si>
    <t>vs Def</t>
  </si>
  <si>
    <t>% of Rev</t>
  </si>
  <si>
    <t>vs Def
H/(L)</t>
  </si>
  <si>
    <t xml:space="preserve">   Category Share Volume (units)</t>
  </si>
  <si>
    <t xml:space="preserve">   True Incr Rev**</t>
  </si>
  <si>
    <t xml:space="preserve">    % of Revenue</t>
  </si>
  <si>
    <t xml:space="preserve">  Other (Inc) / Exp</t>
  </si>
  <si>
    <t xml:space="preserve">  Tax Exp / (Ben)</t>
  </si>
  <si>
    <t xml:space="preserve">   Inc Work Capital</t>
  </si>
  <si>
    <t>Act/Proj</t>
  </si>
  <si>
    <t>NPV Change Drivers</t>
  </si>
  <si>
    <t>Discounted FCFs (Present Value at Def Exit Orig FY)</t>
  </si>
  <si>
    <t>Discounted FCFs (Present Value to Def Exit FY)</t>
  </si>
  <si>
    <t>Hurdle Rate Change (not capturing Undep Capital)</t>
  </si>
  <si>
    <t>Others (capturing Undep Capital 10 yrs, attention: Hurdle rate change)</t>
  </si>
  <si>
    <t>Total Disc FCF (Decrease) / Increase</t>
  </si>
  <si>
    <t>Def Exit Orig Start Marker</t>
  </si>
  <si>
    <t>Def Exit Time Horizon Marker (10yrs)</t>
  </si>
  <si>
    <t>Def Exit Time Horizon Marker (15yrs)</t>
  </si>
  <si>
    <t>Def Exit (Rebaseline)</t>
  </si>
  <si>
    <t>Def Exit  (Rebaseline)</t>
  </si>
  <si>
    <t>Launch Delay: (Based on Def Exit Scenario - 10yrs)</t>
  </si>
  <si>
    <t>Launch Delay: (15yrs)</t>
  </si>
  <si>
    <t>Def Exit (Original)</t>
  </si>
  <si>
    <t>Act/Proj during Def Exit Orig timeframe</t>
  </si>
  <si>
    <t>Def Exit Original</t>
  </si>
  <si>
    <t>Commitment
(Def Exit)</t>
  </si>
  <si>
    <t>Act/Proj
(Def Exit)</t>
  </si>
  <si>
    <t>If project has gone through a rebaseline (new Def Exit scenario), please paste previous Def Exit financials and return metrics in table below for reference.</t>
  </si>
  <si>
    <t>Provide when Def Exit Commitment (Original) was approved</t>
  </si>
  <si>
    <t>Def Exit Commitment Approvers and Dates:</t>
  </si>
  <si>
    <t>Expected Exit GPDS Phases, as project exited Def Exit Commitment</t>
  </si>
  <si>
    <t>** Note: Recalibrated scenarios need to be aproved by corss functional group (Finance, Marketing, R&amp;D and Operations).**</t>
  </si>
  <si>
    <t>Def Exit RB1 Approved</t>
  </si>
  <si>
    <t>Provide when Def Exit RB1 was approved</t>
  </si>
  <si>
    <t>Def Exit RB1 Approvers and Dates:</t>
  </si>
  <si>
    <t>Def Exit RB1</t>
  </si>
  <si>
    <t>Expected Exit GPDS Phases, as project exited Def Exit RB1</t>
  </si>
  <si>
    <t>Definition Exit Rebaseline 1 (RB1)</t>
  </si>
  <si>
    <t>** Note: Recalibrated scenarios need to be aproved by same group of people that aproves Def Exit scenario.**</t>
  </si>
  <si>
    <t>Def Exit RB2 Approved</t>
  </si>
  <si>
    <t>Provide when Def Exit RB2 was approved</t>
  </si>
  <si>
    <t>Def Exit RB2</t>
  </si>
  <si>
    <t>Expected Exit GPDS Phases, as project exited Def Exit RB2</t>
  </si>
  <si>
    <t>Definition Exit Rebaseline 2 (RB2)</t>
  </si>
  <si>
    <t>Def Exit RB3 Approved</t>
  </si>
  <si>
    <t>Provide when Def Exit RB3 was approved</t>
  </si>
  <si>
    <t>Def Exit RB3</t>
  </si>
  <si>
    <t>Expected Exit GPDS Phases, as project exited Def Exit RB3</t>
  </si>
  <si>
    <t>Definition Exit Rebaseline 3 (RB3)</t>
  </si>
  <si>
    <t>Capital and Depreciation: Actual / Projections</t>
  </si>
  <si>
    <t>Item</t>
  </si>
  <si>
    <t>Capital Requirements</t>
  </si>
  <si>
    <t>Asset Useful Life (years)</t>
  </si>
  <si>
    <t>Service Mth</t>
  </si>
  <si>
    <t>Service Year</t>
  </si>
  <si>
    <t>AAA - Assembly Line</t>
  </si>
  <si>
    <t xml:space="preserve">JJJ </t>
  </si>
  <si>
    <t>KKK</t>
  </si>
  <si>
    <t>LLL</t>
  </si>
  <si>
    <t>MMM</t>
  </si>
  <si>
    <t>NNN</t>
  </si>
  <si>
    <t>OOO</t>
  </si>
  <si>
    <t>PPP</t>
  </si>
  <si>
    <t>QQQ</t>
  </si>
  <si>
    <t>RRR</t>
  </si>
  <si>
    <t>SSS</t>
  </si>
  <si>
    <t>TTT</t>
  </si>
  <si>
    <t>UUU</t>
  </si>
  <si>
    <t>VVV</t>
  </si>
  <si>
    <t>WWW</t>
  </si>
  <si>
    <t>XXX</t>
  </si>
  <si>
    <t>YYY</t>
  </si>
  <si>
    <t>ZZZ</t>
  </si>
  <si>
    <t>AA1</t>
  </si>
  <si>
    <t>BB1</t>
  </si>
  <si>
    <t>CC1</t>
  </si>
  <si>
    <t>DD1</t>
  </si>
  <si>
    <t>Total Capital Employed</t>
  </si>
  <si>
    <t>Depreciation for New Line</t>
  </si>
  <si>
    <t>Monthly Depreciation</t>
  </si>
  <si>
    <t>Total Depreciation on Capital Employed</t>
  </si>
  <si>
    <t>Display $ Figures (K or M)</t>
  </si>
  <si>
    <t>$ M</t>
  </si>
  <si>
    <t>10 Yr Total</t>
  </si>
  <si>
    <t>New Product Volume (k)</t>
  </si>
  <si>
    <t>New Product ASP ($)</t>
  </si>
  <si>
    <r>
      <t>New Product Revenue</t>
    </r>
    <r>
      <rPr>
        <sz val="10"/>
        <rFont val="Arial"/>
        <family val="2"/>
      </rPr>
      <t xml:space="preserve"> </t>
    </r>
    <r>
      <rPr>
        <sz val="10"/>
        <color theme="1"/>
        <rFont val="Calibri"/>
        <family val="2"/>
        <scheme val="minor"/>
      </rPr>
      <t>(VolxASP)</t>
    </r>
  </si>
  <si>
    <t xml:space="preserve">   Less: Cannibilzation</t>
  </si>
  <si>
    <t xml:space="preserve">   Add: Pull Through</t>
  </si>
  <si>
    <t xml:space="preserve">   Add: Loss Avoidance</t>
  </si>
  <si>
    <t>Volume Category Share (%)  - (excl. pull-through)</t>
  </si>
  <si>
    <t>$ Category Share (%)  - (excl. pull-through)</t>
  </si>
  <si>
    <t>True Incr Rev (exc Loss Avoid)</t>
  </si>
  <si>
    <t>ASR Rev (Hyperion)</t>
  </si>
  <si>
    <t>New Prod vs ASR Rev</t>
  </si>
  <si>
    <t>Std Cost w/ Depr ($)</t>
  </si>
  <si>
    <t>Std Cost w/o Depr ($)</t>
  </si>
  <si>
    <t>New Product Gross Profit</t>
  </si>
  <si>
    <t>Gross Profit %</t>
  </si>
  <si>
    <t>Product Family GP %</t>
  </si>
  <si>
    <t>Market GP %</t>
  </si>
  <si>
    <t>Revenues Build Up Consolidation</t>
  </si>
  <si>
    <t>Bus Case Revenue (Incr Rev)</t>
  </si>
  <si>
    <r>
      <t xml:space="preserve">       ASR Revenue</t>
    </r>
    <r>
      <rPr>
        <sz val="10"/>
        <rFont val="Arial"/>
        <family val="2"/>
      </rPr>
      <t xml:space="preserve"> (HFM)</t>
    </r>
  </si>
  <si>
    <t xml:space="preserve">   Cannibilzation</t>
  </si>
  <si>
    <t xml:space="preserve">   Pull Through</t>
  </si>
  <si>
    <t xml:space="preserve">   Loss Avoidance</t>
  </si>
  <si>
    <t>Bus Case Revenue (Inc Rev)</t>
  </si>
  <si>
    <t>5 Y CAGR</t>
  </si>
  <si>
    <t>** (exc Loss Avoid): PPD</t>
  </si>
  <si>
    <t>Return Metrics</t>
  </si>
  <si>
    <t>Budget (Oct) Collection</t>
  </si>
  <si>
    <t>ASR (May) Collection</t>
  </si>
  <si>
    <t>10 yr Project</t>
  </si>
  <si>
    <t>Prior</t>
  </si>
  <si>
    <t>Commt</t>
  </si>
  <si>
    <t>MIRR (vs. Hdle)</t>
  </si>
  <si>
    <t>15 yr Project</t>
  </si>
  <si>
    <t>Tables</t>
  </si>
  <si>
    <t>Graphs</t>
  </si>
  <si>
    <t>Development Timeline</t>
  </si>
  <si>
    <t>Financial Assumptions</t>
  </si>
  <si>
    <t>Graph Name</t>
  </si>
  <si>
    <t>Tab</t>
  </si>
  <si>
    <t>Cells</t>
  </si>
  <si>
    <t>Phase Exit</t>
  </si>
  <si>
    <t>NPV Change Levers: Def Exit Comparison</t>
  </si>
  <si>
    <t>FT_Calc</t>
  </si>
  <si>
    <t>Q 354 to Z 369</t>
  </si>
  <si>
    <t>AZ 354 to BI 369</t>
  </si>
  <si>
    <t>R 419 to W 434</t>
  </si>
  <si>
    <t>AX 419 to BC 434</t>
  </si>
  <si>
    <t>Revenue Build Up</t>
  </si>
  <si>
    <t>L 375 to N 383</t>
  </si>
  <si>
    <t>P 375 to R 383</t>
  </si>
  <si>
    <t>DefE Commit</t>
  </si>
  <si>
    <t>NPV Change Drivers: Current vs. Prior Submission</t>
  </si>
  <si>
    <t>Business Case Assumptions</t>
  </si>
  <si>
    <t>With Roll Over (May Timeframe)</t>
  </si>
  <si>
    <t>Current vs. Prior Sub</t>
  </si>
  <si>
    <t>O 131 to X 148</t>
  </si>
  <si>
    <t>AZ 131 to BI 148</t>
  </si>
  <si>
    <t>W/o Roll Over (Oct Timeframe)</t>
  </si>
  <si>
    <t>O 223 to X 240</t>
  </si>
  <si>
    <t>AZ 223 to BI 240</t>
  </si>
  <si>
    <t># Yrs to Target Convert. (aft launch)</t>
  </si>
  <si>
    <t>Date</t>
  </si>
  <si>
    <t>Technical Innovation Quad:</t>
  </si>
  <si>
    <t>* Dates provided on "Development Timeline" and "Business Case Owners" tables are based on Calendar Year (not Fiscal Year)</t>
  </si>
  <si>
    <t>Peak Cat Share FY</t>
  </si>
  <si>
    <t>TAM*</t>
  </si>
  <si>
    <t>Peak Cat Share</t>
  </si>
  <si>
    <t>TPP</t>
  </si>
  <si>
    <t>ASP*</t>
  </si>
  <si>
    <t>SSG&amp;A/Rev Ratio**</t>
  </si>
  <si>
    <t>* at Peak Category Share</t>
  </si>
  <si>
    <t>** Launch FY to Peak Category Share FY</t>
  </si>
  <si>
    <t>Figures in thousands (except by %s, ASP and Std Cost fields)</t>
  </si>
  <si>
    <t>New Product Volume (k units)</t>
  </si>
  <si>
    <t>New Product Revenue (from Model)</t>
  </si>
  <si>
    <t>Less: Cannibilzation ($)</t>
  </si>
  <si>
    <t>Add: Pull Through ($)</t>
  </si>
  <si>
    <t>Add: Loss Avoidance ($)</t>
  </si>
  <si>
    <t>Business Case Revenue (Incremental Rev)</t>
  </si>
  <si>
    <t xml:space="preserve">Volume Category Share (%) </t>
  </si>
  <si>
    <t xml:space="preserve">$ Category Share (%) </t>
  </si>
  <si>
    <t>Dollar ($)</t>
  </si>
  <si>
    <t>True Inc Rev (exc. Loss Avoid)</t>
  </si>
  <si>
    <t>New Product ASR Rev (HFM)</t>
  </si>
  <si>
    <t>New Product Revenue vs ASR Revenue</t>
  </si>
  <si>
    <t>Totalizer Marker</t>
  </si>
  <si>
    <t>CAGR Counter</t>
  </si>
  <si>
    <t>DefExit</t>
  </si>
  <si>
    <t>DefExit Counter</t>
  </si>
  <si>
    <t>Current FY Counter</t>
  </si>
  <si>
    <t>Figures in thousands (except by % fields)</t>
  </si>
  <si>
    <t>True Inc Rev (exc. Loss Avoid):</t>
  </si>
  <si>
    <t>GPDS Expense Tracking ($k)</t>
  </si>
  <si>
    <t>Marketing Driver Changes vs. Def Exit</t>
  </si>
  <si>
    <t>GPDS Phase</t>
  </si>
  <si>
    <t>Expense</t>
  </si>
  <si>
    <t>Dimensions</t>
  </si>
  <si>
    <t>Comment Significant Variances</t>
  </si>
  <si>
    <t>Peak Category Share FY</t>
  </si>
  <si>
    <t>SSG&amp;A Exp to Launch ($)</t>
  </si>
  <si>
    <t>AAA</t>
  </si>
  <si>
    <t>R&amp;D Exp to Launch ($)</t>
  </si>
  <si>
    <t>BBB</t>
  </si>
  <si>
    <t>Capital Exp to Launch ($)</t>
  </si>
  <si>
    <t>TPP / Differentiation</t>
  </si>
  <si>
    <t>CCC</t>
  </si>
  <si>
    <t>SSG&amp;A Exp aft Launch* ($)</t>
  </si>
  <si>
    <t>DDD</t>
  </si>
  <si>
    <t>*Consider 2 years after product launch</t>
  </si>
  <si>
    <t>EEE</t>
  </si>
  <si>
    <t>48 Mths after Launch* ($)</t>
  </si>
  <si>
    <t>* uses 78-triangle spread methodology to calculate revenues on last year. Feel free to overwrite it, if ot applicable or if you have a better monthly forecast.</t>
  </si>
  <si>
    <t>Return Metrics Summary Table</t>
  </si>
  <si>
    <t>Terminal Value and Undepreciated Capital Tables</t>
  </si>
  <si>
    <t>10 Yr Horizon</t>
  </si>
  <si>
    <t>15 Yr Horizon</t>
  </si>
  <si>
    <t>Proj Start + 9Y</t>
  </si>
  <si>
    <t>Fwd Look + 9Y</t>
  </si>
  <si>
    <t>Fwd Look
ASR FY + 9Y</t>
  </si>
  <si>
    <t>Proj Start + 14Y</t>
  </si>
  <si>
    <t>Fwd Look + 14Y</t>
  </si>
  <si>
    <t>Fwd Look
ASR FY + 14Y</t>
  </si>
  <si>
    <t>Discounted to</t>
  </si>
  <si>
    <t>Undp Cap</t>
  </si>
  <si>
    <t>Undepreciated Capital</t>
  </si>
  <si>
    <t>10 yrs</t>
  </si>
  <si>
    <t>15 yrs</t>
  </si>
  <si>
    <t>ROI (R&amp;D)</t>
  </si>
  <si>
    <t>ROI (R&amp;D, SGA, Cap)</t>
  </si>
  <si>
    <t>Payback Period</t>
  </si>
  <si>
    <t>MIRR with TV</t>
  </si>
  <si>
    <t>NPV with TV</t>
  </si>
  <si>
    <t>IRR with TV</t>
  </si>
  <si>
    <t>Return Metric Calculation: Latest Update</t>
  </si>
  <si>
    <t>MIRR + Undp Capital</t>
  </si>
  <si>
    <t>MIRR+Undp Capital+TV</t>
  </si>
  <si>
    <t>NPV+Undp Capital+TV</t>
  </si>
  <si>
    <t>IRR + Undp Capital</t>
  </si>
  <si>
    <t>IRR + Undp Capital + TV</t>
  </si>
  <si>
    <t>Bridge Table for PPD tab: TV and Und Cap Act/Proj</t>
  </si>
  <si>
    <t>Und Capital</t>
  </si>
  <si>
    <t>Und Capital Disc</t>
  </si>
  <si>
    <t>Bridge Table for PPD tab: TV and Und Cap Def Exit</t>
  </si>
  <si>
    <t>ROI R&amp;D</t>
  </si>
  <si>
    <t>Payback</t>
  </si>
  <si>
    <t>Working Capital Calculation</t>
  </si>
  <si>
    <t># of Days</t>
  </si>
  <si>
    <t>Receivables</t>
  </si>
  <si>
    <t>Payables</t>
  </si>
  <si>
    <t>Inventories</t>
  </si>
  <si>
    <t>*Actual FY16 BDX number of days for each metric (DSO, DPO, DIO)</t>
  </si>
  <si>
    <t>Increase in Working Capital - (Use) / Source</t>
  </si>
  <si>
    <t>Growth Calculation</t>
  </si>
  <si>
    <t>Y1</t>
  </si>
  <si>
    <t>Y2</t>
  </si>
  <si>
    <t>Y3</t>
  </si>
  <si>
    <t>Y4</t>
  </si>
  <si>
    <t>Y5</t>
  </si>
  <si>
    <r>
      <t>3 Yrs Rev Growth CAGR (7</t>
    </r>
    <r>
      <rPr>
        <vertAlign val="superscript"/>
        <sz val="10"/>
        <color theme="1"/>
        <rFont val="Calibri"/>
        <family val="2"/>
        <scheme val="minor"/>
      </rPr>
      <t>th</t>
    </r>
    <r>
      <rPr>
        <sz val="10"/>
        <color theme="1"/>
        <rFont val="Calibri"/>
        <family val="2"/>
        <scheme val="minor"/>
      </rPr>
      <t xml:space="preserve"> to 10</t>
    </r>
    <r>
      <rPr>
        <vertAlign val="superscript"/>
        <sz val="10"/>
        <color theme="1"/>
        <rFont val="Calibri"/>
        <family val="2"/>
        <scheme val="minor"/>
      </rPr>
      <t>th</t>
    </r>
    <r>
      <rPr>
        <sz val="10"/>
        <color theme="1"/>
        <rFont val="Calibri"/>
        <family val="2"/>
        <scheme val="minor"/>
      </rPr>
      <t>)</t>
    </r>
  </si>
  <si>
    <t>Year Launch</t>
  </si>
  <si>
    <t>Start</t>
  </si>
  <si>
    <t>78 - triangle spread</t>
  </si>
  <si>
    <t>End</t>
  </si>
  <si>
    <t>Mth After</t>
  </si>
  <si>
    <t>Mth Before</t>
  </si>
  <si>
    <t>Total p year</t>
  </si>
  <si>
    <t>Total 16Q Revenues</t>
  </si>
  <si>
    <r>
      <t xml:space="preserve">Hurdle Rate Change </t>
    </r>
    <r>
      <rPr>
        <i/>
        <sz val="11"/>
        <rFont val="Calibri"/>
        <family val="2"/>
        <scheme val="minor"/>
      </rPr>
      <t>(not capturing Undep Capital)</t>
    </r>
  </si>
  <si>
    <r>
      <t xml:space="preserve">Others </t>
    </r>
    <r>
      <rPr>
        <i/>
        <sz val="11"/>
        <rFont val="Calibri"/>
        <family val="2"/>
        <scheme val="minor"/>
      </rPr>
      <t>(capturing Undep Capital)</t>
    </r>
  </si>
  <si>
    <t>10 Yrs Projects</t>
  </si>
  <si>
    <t>15 Yrs Projects</t>
  </si>
  <si>
    <t>Amounts in $ M</t>
  </si>
  <si>
    <t>Rev ($)</t>
  </si>
  <si>
    <t>NPR</t>
  </si>
  <si>
    <t>Less: Canibilzation ($)</t>
  </si>
  <si>
    <t>PT</t>
  </si>
  <si>
    <t>IR</t>
  </si>
  <si>
    <t>Total Incremental Revenue (from Model)</t>
  </si>
  <si>
    <t>Def Exit or Recalibration</t>
  </si>
  <si>
    <t>Def Exit (or Recalibrated FCF)</t>
  </si>
  <si>
    <t xml:space="preserve">   Undepreciated Capital</t>
  </si>
  <si>
    <t xml:space="preserve">   Final FCF (considering the Undepreciated FCF)</t>
  </si>
  <si>
    <t>FY+9</t>
  </si>
  <si>
    <t>FY+14</t>
  </si>
  <si>
    <t>At FY:</t>
  </si>
  <si>
    <t>Budget</t>
  </si>
  <si>
    <t>Act / Proj</t>
  </si>
  <si>
    <t>Fwd Looking (FY+9)</t>
  </si>
  <si>
    <t>Fwd Looking (FY+14)</t>
  </si>
  <si>
    <t>BU</t>
  </si>
  <si>
    <t>BCID</t>
  </si>
  <si>
    <t>BC Name</t>
  </si>
  <si>
    <t>BPC Project Code</t>
  </si>
  <si>
    <t>BPC Project Name</t>
  </si>
  <si>
    <t>Submission_FY</t>
  </si>
  <si>
    <t>Submission_Type</t>
  </si>
  <si>
    <t>Version</t>
  </si>
  <si>
    <t>Submission</t>
  </si>
  <si>
    <t>NP Rev</t>
  </si>
  <si>
    <t>ASR Rev</t>
  </si>
  <si>
    <t>Cannibalization</t>
  </si>
  <si>
    <t>Pull Through</t>
  </si>
  <si>
    <t>Loss Avoidance</t>
  </si>
  <si>
    <t>BC Rev Inc Rev</t>
  </si>
  <si>
    <t>BC Rev Inc Rev Grwt %</t>
  </si>
  <si>
    <t>Category Share PPT ($/vol) %</t>
  </si>
  <si>
    <t>Category Share ($) %</t>
  </si>
  <si>
    <t>Market Share (vol) %</t>
  </si>
  <si>
    <t>True Inc Rev</t>
  </si>
  <si>
    <t>Incr Gross Profit ($)</t>
  </si>
  <si>
    <t>Incremental Gross Profit (%)</t>
  </si>
  <si>
    <t>SSG&amp;A Exp</t>
  </si>
  <si>
    <t>R&amp;D Exp</t>
  </si>
  <si>
    <t>OIBT %</t>
  </si>
  <si>
    <t>OIE</t>
  </si>
  <si>
    <t>Tax</t>
  </si>
  <si>
    <t>Net Income %</t>
  </si>
  <si>
    <t>Capital Exp</t>
  </si>
  <si>
    <t>Increase in Working Capital</t>
  </si>
  <si>
    <t>FCF %</t>
  </si>
  <si>
    <t>Free Cash Flow Disc</t>
  </si>
  <si>
    <t>NP Rev_DEHL</t>
  </si>
  <si>
    <t>ASR Rev_DEHL</t>
  </si>
  <si>
    <t>Cannibalization_DEHL</t>
  </si>
  <si>
    <t>Pull Through_DEHL</t>
  </si>
  <si>
    <t>Loss Avoidance_DEHL</t>
  </si>
  <si>
    <t>BC Rev Inc Rev_DEHL</t>
  </si>
  <si>
    <t>COGS_DEHL</t>
  </si>
  <si>
    <t>Depreciation_DEHL</t>
  </si>
  <si>
    <t>Incr Gross Profit ($)_DEHL</t>
  </si>
  <si>
    <t>SSG&amp;A Exp_DEHL</t>
  </si>
  <si>
    <t>R&amp;D Exp_DEHL</t>
  </si>
  <si>
    <t>OIBT_DEHL</t>
  </si>
  <si>
    <t>OIE_DEHL</t>
  </si>
  <si>
    <t>Tax_DEHL</t>
  </si>
  <si>
    <t>Net Income_DEHL</t>
  </si>
  <si>
    <t>Capital Exp_DEHL</t>
  </si>
  <si>
    <t>Increase in Working Capital_DEHL</t>
  </si>
  <si>
    <t>Free Cash Flow_DEHL</t>
  </si>
  <si>
    <t>Concept SSGA</t>
  </si>
  <si>
    <t>Concept R&amp;D</t>
  </si>
  <si>
    <t>Concept Capital</t>
  </si>
  <si>
    <t>Definition SSGA</t>
  </si>
  <si>
    <t>Definition R&amp;D</t>
  </si>
  <si>
    <t>Definition Capital</t>
  </si>
  <si>
    <t>Development SSGA</t>
  </si>
  <si>
    <t>Development R&amp;D</t>
  </si>
  <si>
    <t>Development Capital</t>
  </si>
  <si>
    <t>Qualification SSGA</t>
  </si>
  <si>
    <t>Qualification R&amp;D</t>
  </si>
  <si>
    <t>Qualification Capital</t>
  </si>
  <si>
    <t>Launch SSGA</t>
  </si>
  <si>
    <t>Launch R&amp;D</t>
  </si>
  <si>
    <t>Launch Capital</t>
  </si>
  <si>
    <t>Und Capital Dep</t>
  </si>
  <si>
    <t>TV_DefExit</t>
  </si>
  <si>
    <t>Und Capital_DefExit</t>
  </si>
  <si>
    <t>Und Capital Dep_DefExit</t>
  </si>
  <si>
    <t>NPVTrajectory_DefExitCommit+9</t>
  </si>
  <si>
    <t>NPVTrajectory_DefExitActProj+9</t>
  </si>
  <si>
    <t>NPVTrajectory_FwdLookBudget+9</t>
  </si>
  <si>
    <t>NPVTrajectory_FwdLookActProj+9</t>
  </si>
  <si>
    <t>NPVTrajectory_DefExitCommit+14</t>
  </si>
  <si>
    <t>NPVTrajectory_DefExitActProj+14</t>
  </si>
  <si>
    <t>NPVTrajectory_FwdLookBudget+14</t>
  </si>
  <si>
    <t>NPVTrajectory_FwdLookActProj+14</t>
  </si>
  <si>
    <t>DE/RB_Incremental Revenues</t>
  </si>
  <si>
    <t>DE/RB_True Inc Revenes</t>
  </si>
  <si>
    <t>DE/RB_Category Share ($)</t>
  </si>
  <si>
    <t>DE/RB_Market Share (vol)</t>
  </si>
  <si>
    <t>DE/RB_Incremental Gross Profit ($)</t>
  </si>
  <si>
    <t>DE/RB_Incremental Gross Profit (%)</t>
  </si>
  <si>
    <t>DE/RB_SSG&amp;A Exp</t>
  </si>
  <si>
    <t>DE/RB_R&amp;D Exp</t>
  </si>
  <si>
    <t>DE/RB_OIBT</t>
  </si>
  <si>
    <t>DE/RB_Net Income</t>
  </si>
  <si>
    <t>DE/RB_Capital Exp</t>
  </si>
  <si>
    <t>DE/RB_Increase in Working Capital</t>
  </si>
  <si>
    <t>DE/RB_Free Cash Flow</t>
  </si>
  <si>
    <t>DE/RB_Free Cash Flow Disc</t>
  </si>
  <si>
    <t>Cannibilzation_DefExit</t>
  </si>
  <si>
    <t>Pull Through_DefExit</t>
  </si>
  <si>
    <t>Loss Avoidance_DefExit</t>
  </si>
  <si>
    <t>MIRR_10yrs_Proj Start</t>
  </si>
  <si>
    <t>MIRR (with TV)_10yrs_Proj Start</t>
  </si>
  <si>
    <t>NPV_10yrs_Proj Start</t>
  </si>
  <si>
    <t>NPV (with TV)_10yrs_Proj Start</t>
  </si>
  <si>
    <t>MIRR_15yrs_Proj Start</t>
  </si>
  <si>
    <t>NPV_15yrs_Proj Start</t>
  </si>
  <si>
    <t>MIRR_10yrs_Def Exit_Commit</t>
  </si>
  <si>
    <t>MIRR (with TV)_10yrs_Def Exit_Commit</t>
  </si>
  <si>
    <t>NPV_10yrs_Def Exit_Commit</t>
  </si>
  <si>
    <t>NPV (with TV)_10yrs_Def Exit_Commit</t>
  </si>
  <si>
    <t>MIRR_15yrs_Def Exit_Commit</t>
  </si>
  <si>
    <t>NPV_15yrs_Def Exit_Commit</t>
  </si>
  <si>
    <t>MIRR_10yrs_Def Exit_Act/Proj</t>
  </si>
  <si>
    <t>MIRR (with TV)_10yrs_Def Exit_Act/Proj</t>
  </si>
  <si>
    <t>NPV_10yrs_Def Exit_Act/Proj</t>
  </si>
  <si>
    <t>NPV (with TV)_10yrs_Def Exit_Act/Proj</t>
  </si>
  <si>
    <t>MIRR_15yrs_Def Exit_Act/Proj</t>
  </si>
  <si>
    <t>NPV_15yrs_Def Exit_Act/Proj</t>
  </si>
  <si>
    <t>MIRR_10yrs_FwdLook</t>
  </si>
  <si>
    <t>MIRR (with TV)_10yrs_FwdLook</t>
  </si>
  <si>
    <t>NPV_10yrs_FwdLook</t>
  </si>
  <si>
    <t>NPV (with TV)_10yrs_FwdLook</t>
  </si>
  <si>
    <t>MIRR_15yrs_FwdLook</t>
  </si>
  <si>
    <t>NPV_15yrs_FwdLook</t>
  </si>
  <si>
    <t>MIRR_10yrs_FwdLookASR</t>
  </si>
  <si>
    <t>MIRR (with TV)_10yrs_FwdLookASR</t>
  </si>
  <si>
    <t>NPV_10yrs_FwdLookASR</t>
  </si>
  <si>
    <t>NPV (with TV)_10yrs_FwdLookASR</t>
  </si>
  <si>
    <t>MIRR_15yrs_FwdLookASR</t>
  </si>
  <si>
    <t>NPV_15yrs_FwdLookASR</t>
  </si>
  <si>
    <t>SSG&amp;A Exp to Launch_Current</t>
  </si>
  <si>
    <t>R&amp;D Exp to Launch_Current</t>
  </si>
  <si>
    <t>Capital Exp to Launch_Current</t>
  </si>
  <si>
    <t>SSG&amp;A Exp after Launch_Current</t>
  </si>
  <si>
    <t>Rev 48Mth aft Launch $_Current</t>
  </si>
  <si>
    <t>SSG&amp;A Exp to Launch_Def Exit</t>
  </si>
  <si>
    <t>R&amp;D Exp to Launch_Def Exit</t>
  </si>
  <si>
    <t>Capital Exp to Launch_Def Exit</t>
  </si>
  <si>
    <t>SSG&amp;A Exp after Launch_Def Exit</t>
  </si>
  <si>
    <t>Rev 48Mth aft Launch $_Def Exit</t>
  </si>
  <si>
    <t>Latest Update</t>
  </si>
  <si>
    <t>Comp Scenario</t>
  </si>
  <si>
    <t>Current Phase</t>
  </si>
  <si>
    <t>Concept_Current</t>
  </si>
  <si>
    <t>Definition_Current</t>
  </si>
  <si>
    <t>Development_Current</t>
  </si>
  <si>
    <t>Qualification_Current</t>
  </si>
  <si>
    <t>Launch_Current</t>
  </si>
  <si>
    <t>Proj Start_Commit</t>
  </si>
  <si>
    <t>Concept_Commit</t>
  </si>
  <si>
    <t>Definition_Commit</t>
  </si>
  <si>
    <t>Development_DefExitCommit</t>
  </si>
  <si>
    <t>Qualification_DefExitCommit</t>
  </si>
  <si>
    <t>Launch_DefExitCommit</t>
  </si>
  <si>
    <t>Tax Rate @ Act/Proj</t>
  </si>
  <si>
    <t>Tax Rate @ DefExit</t>
  </si>
  <si>
    <t>Discount Rate @ Act/Proj</t>
  </si>
  <si>
    <t>Discount Rate @ Def Exit</t>
  </si>
  <si>
    <t>SMS_Name</t>
  </si>
  <si>
    <t>SMS_Quadrant</t>
  </si>
  <si>
    <t>SMS_FY Rev ($ M)</t>
  </si>
  <si>
    <t>SMS_FY Share</t>
  </si>
  <si>
    <t>SMS_Size Address FY WW Mkt ($ M)</t>
  </si>
  <si>
    <t>SMS_Address FY-FY5+ WW Mkt gwth (%)</t>
  </si>
  <si>
    <t>SMS_FY5+ Std Gross Margin (%)</t>
  </si>
  <si>
    <t>Tech Innov_Quad</t>
  </si>
  <si>
    <t>Std Disc Rate</t>
  </si>
  <si>
    <t>Owner_Finance</t>
  </si>
  <si>
    <t>Review Date_Finance</t>
  </si>
  <si>
    <t>Owner_Marketing</t>
  </si>
  <si>
    <t>Review Date_Marketing</t>
  </si>
  <si>
    <t>Owner_R&amp;D</t>
  </si>
  <si>
    <t>Review Date_R&amp;D</t>
  </si>
  <si>
    <t>Owner_Operations</t>
  </si>
  <si>
    <t>Review Date_Operations</t>
  </si>
  <si>
    <t>Years to Target Conversion</t>
  </si>
  <si>
    <t>Peak Share</t>
  </si>
  <si>
    <t>Life Cycle</t>
  </si>
  <si>
    <t>IRR_10yrs_Proj Start</t>
  </si>
  <si>
    <t>IRR (with TV)_10yrs_Proj Start</t>
  </si>
  <si>
    <t>IRR_15yrs_Proj Start</t>
  </si>
  <si>
    <t>IRR_10yrs_Def Exit_Commit</t>
  </si>
  <si>
    <t>IRR (with TV)_10yrs_Def Exit_Commit</t>
  </si>
  <si>
    <t>IRR_15yrs_Def Exit_Commit</t>
  </si>
  <si>
    <t>IRR_10yrs_Def Exit_Act/Proj</t>
  </si>
  <si>
    <t>IRR (with TV)_10yrs_Def Exit_Act/Proj</t>
  </si>
  <si>
    <t>IRR_15yrs_Def Exit_Act/Proj</t>
  </si>
  <si>
    <t>IRR_10yrs_FwdLook</t>
  </si>
  <si>
    <t>IRR (with TV)_10yrs_FwdLook</t>
  </si>
  <si>
    <t>IRR_15yrs_FwdLook</t>
  </si>
  <si>
    <t>IRR_10yrs_FwdLookASR</t>
  </si>
  <si>
    <t>IRR (with TV)_10yrs_FwdLookASR</t>
  </si>
  <si>
    <t>IRR_15yrs_FwdLookASR</t>
  </si>
  <si>
    <t>Payback Period_10yrs_Proj Start</t>
  </si>
  <si>
    <t>Payback Period_10yrs_DefExitCommit</t>
  </si>
  <si>
    <t>Payback Period_10yrs_DefExitAct/Proj</t>
  </si>
  <si>
    <t>Payback Period_10yrs_FwdLook</t>
  </si>
  <si>
    <t>Payback Period_10yrs_FwdLookASR</t>
  </si>
  <si>
    <t>ROI (R&amp;D)_10yrs_Proj Start</t>
  </si>
  <si>
    <t>ROI (R&amp;D)_15yrs_Proj Start</t>
  </si>
  <si>
    <t>ROI (R&amp;D)_10yrs_DefExitCommit</t>
  </si>
  <si>
    <t>ROI (R&amp;D)_15yrs_DefExitCommit</t>
  </si>
  <si>
    <t>ROI (R&amp;D)_10yrs_DefExitAct/Proj</t>
  </si>
  <si>
    <t>ROI (R&amp;D)_15yrs_DefExitAct/Proj</t>
  </si>
  <si>
    <t>ROI (R&amp;D)_10yrs_FwdLook</t>
  </si>
  <si>
    <t>ROI (R&amp;D)_15yrs_FwdLook</t>
  </si>
  <si>
    <t>ROI (R&amp;D)_10yrs_FwdLookASR</t>
  </si>
  <si>
    <t>ROI (R&amp;D)_15yrs_FwdLookASR</t>
  </si>
  <si>
    <t>ROI (R&amp;D, SGA, Cap)_10yrs_Proj Start</t>
  </si>
  <si>
    <t>ROI (R&amp;D, SGA, Cap)_15yrs_Proj Start</t>
  </si>
  <si>
    <t>ROI (R&amp;D, SGA, Cap)_10yrs_DefExitCommit</t>
  </si>
  <si>
    <t>ROI (R&amp;D, SGA, Cap)_15yrs_DefExitCommit</t>
  </si>
  <si>
    <t>ROI (R&amp;D, SGA, Cap)_10yrs_DefExitAct/Proj</t>
  </si>
  <si>
    <t>ROI (R&amp;D, SGA, Cap)_15yrs_DefExitAct/Proj</t>
  </si>
  <si>
    <t>ROI (R&amp;D, SGA, Cap)_10yrs_FwdLook</t>
  </si>
  <si>
    <t>ROI (R&amp;D, SGA, Cap)_15yrs_FwdLook</t>
  </si>
  <si>
    <t>ROI (R&amp;D, SGA, Cap)_10yrs_FwdLookASR</t>
  </si>
  <si>
    <t>ROI (R&amp;D, SGA, Cap)_15yrs_FwdLookASR</t>
  </si>
  <si>
    <t>NPVLevers_CommitDefExit_10y</t>
  </si>
  <si>
    <t>NPVLevers_LaunchInvestment_10y</t>
  </si>
  <si>
    <t>NPVLevers_LaunchDelay_10y</t>
  </si>
  <si>
    <t>NPVLevers_Revenue(exc. Delay)_10y</t>
  </si>
  <si>
    <t>NPVLevers_Margin_10y</t>
  </si>
  <si>
    <t>NPVLevers_Other_10y</t>
  </si>
  <si>
    <t>NPVLevers_Act/ProjDefExit_10y</t>
  </si>
  <si>
    <t>NPVLevers_SSG&amp;A_10y</t>
  </si>
  <si>
    <t>NPVLevers_R&amp;D_10y</t>
  </si>
  <si>
    <t>NPVLevers_CapEx_10y</t>
  </si>
  <si>
    <t>NPVLevers_Hurdle_10y</t>
  </si>
  <si>
    <t>NPVLevers_OtherOther_10y</t>
  </si>
  <si>
    <t>NPVLevers_CommitDefExit_15y</t>
  </si>
  <si>
    <t>NPVLevers_LaunchInvestment_15y</t>
  </si>
  <si>
    <t>NPVLevers_LaunchDelay_15y</t>
  </si>
  <si>
    <t>NPVLevers_Revenue(exc. Delay)_15y</t>
  </si>
  <si>
    <t>NPVLevers_Margin_15y</t>
  </si>
  <si>
    <t>NPVLevers_Other_15y</t>
  </si>
  <si>
    <t>NPVLevers_Act/ProjDefExit_15y</t>
  </si>
  <si>
    <t>NPVLevers_SSG&amp;A_15y</t>
  </si>
  <si>
    <t>NPVLevers_R&amp;D_15y</t>
  </si>
  <si>
    <t>NPVLevers_CapEx_15y</t>
  </si>
  <si>
    <t>NPVLevers_Hurdle_15y</t>
  </si>
  <si>
    <t>NPVLevers_OtherOther_15y</t>
  </si>
  <si>
    <t>PriorSub_Incremental Revenues</t>
  </si>
  <si>
    <t>PriorSub_True Inc Revenes</t>
  </si>
  <si>
    <t>PriorSub_Category Share ($)</t>
  </si>
  <si>
    <t>PriorSub_Market Share (vol)</t>
  </si>
  <si>
    <t>PriorSub_Incremental Gross Profit ($)</t>
  </si>
  <si>
    <t>PriorSub_Incremental Gross Profit (%)</t>
  </si>
  <si>
    <t>PriorSub_SSG&amp;A Exp</t>
  </si>
  <si>
    <t>PriorSub_R&amp;D Exp</t>
  </si>
  <si>
    <t>PriorSub_OIBT</t>
  </si>
  <si>
    <t>PriorSub_Net Income</t>
  </si>
  <si>
    <t>PriorSub_Capital Exp</t>
  </si>
  <si>
    <t>PriorSub_Increase in Working Capital</t>
  </si>
  <si>
    <t>PriorSub_Free Cash Flow</t>
  </si>
  <si>
    <t>PriorSub_Free Cash Flow Disc</t>
  </si>
  <si>
    <t>NPVLevers_PriorSub_10y_ASR</t>
  </si>
  <si>
    <t>NPVLevers_LaunchInvestment_10y_ASR</t>
  </si>
  <si>
    <t>NPVLevers_LaunchDelay_10y_ASR</t>
  </si>
  <si>
    <t>NPVLevers_Revenue(exc. Delay)_10y_ASR</t>
  </si>
  <si>
    <t>NPVLevers_Margin_10y_ASR</t>
  </si>
  <si>
    <t>NPVLevers_Other_10y_ASR</t>
  </si>
  <si>
    <t>NPVLevers_CurrentSub_10y_ASR</t>
  </si>
  <si>
    <t>NPVLevers_CurrentSubRollFwd_10y_ASR</t>
  </si>
  <si>
    <t>NPVLevers_CurrentSubFwdLook_10y_ASR</t>
  </si>
  <si>
    <t>NPVLevers_SSG&amp;A_10y_ASR</t>
  </si>
  <si>
    <t>NPVLevers_R&amp;D_10y_ASR</t>
  </si>
  <si>
    <t>NPVLevers_CapEx_10y_ASR</t>
  </si>
  <si>
    <t>NPVLevers_Hurdle_10y_ASR</t>
  </si>
  <si>
    <t>NPVLevers_OtherOther_10y_ASR</t>
  </si>
  <si>
    <t>NPVLevers_PriorSub_15y_ASR</t>
  </si>
  <si>
    <t>NPVLevers_LaunchInvestment_15y_ASR</t>
  </si>
  <si>
    <t>NPVLevers_LaunchDelay_15y_ASR</t>
  </si>
  <si>
    <t>NPVLevers_Revenue(exc. Delay)_15y_ASR</t>
  </si>
  <si>
    <t>NPVLevers_Margin_15y_ASR</t>
  </si>
  <si>
    <t>NPVLevers_Other_15y_ASR</t>
  </si>
  <si>
    <t>NPVLevers_CurrentSub_15y_ASR</t>
  </si>
  <si>
    <t>NPVLevers_CurrentSubRollFwd_15y_ASR</t>
  </si>
  <si>
    <t>NPVLevers_CurrentSubFwdLook_15y_ASR</t>
  </si>
  <si>
    <t>NPVLevers_SSG&amp;A_15y_ASR</t>
  </si>
  <si>
    <t>NPVLevers_R&amp;D_15y_ASR</t>
  </si>
  <si>
    <t>NPVLevers_CapEx_15y_ASR</t>
  </si>
  <si>
    <t>NPVLevers_Hurdle_15y_ASR</t>
  </si>
  <si>
    <t>NPVLevers_OtherOther_15y_ASR</t>
  </si>
  <si>
    <t>NPVLevers_PriorSub_10y_Bdgt</t>
  </si>
  <si>
    <t>NPVLevers_LaunchInvestment_10y_Bdgt</t>
  </si>
  <si>
    <t>NPVLevers_LaunchDelay_10y_Bdgt</t>
  </si>
  <si>
    <t>NPVLevers_Revenue(exc. Delay)_10y_Bdgt</t>
  </si>
  <si>
    <t>NPVLevers_Margin_10y_Bdgt</t>
  </si>
  <si>
    <t>NPVLevers_Other_10y_Bdgt</t>
  </si>
  <si>
    <t>NPVLevers_CurrentSub_10y_Bdgt</t>
  </si>
  <si>
    <t>NPVLevers_SSG&amp;A_10y_Bdgt</t>
  </si>
  <si>
    <t>NPVLevers_R&amp;D_10y_Bdgt</t>
  </si>
  <si>
    <t>NPVLevers_CapEx_10y_Bdgt</t>
  </si>
  <si>
    <t>NPVLevers_Hurdle_10y_Bdgt</t>
  </si>
  <si>
    <t>NPVLevers_OtherOther_10y_Bdgt</t>
  </si>
  <si>
    <t>NPVLevers_PriorSub_15y_Bdgt</t>
  </si>
  <si>
    <t>NPVLevers_LaunchInvestment_15y_Bdgt</t>
  </si>
  <si>
    <t>NPVLevers_LaunchDelay_15y_Bdgt</t>
  </si>
  <si>
    <t>NPVLevers_Revenue(exc. Delay)_15y_Bdgt</t>
  </si>
  <si>
    <t>NPVLevers_Margin_15y_Bdgt</t>
  </si>
  <si>
    <t>NPVLevers_Other_15y_Bdgt</t>
  </si>
  <si>
    <t>NPVLevers_CurrentSub_15y_Bdgt</t>
  </si>
  <si>
    <t>NPVLevers_SSG&amp;A_15y_Bdgt</t>
  </si>
  <si>
    <t>NPVLevers_R&amp;D_15y_Bdgt</t>
  </si>
  <si>
    <t>NPVLevers_CapEx_15y_Bdgt</t>
  </si>
  <si>
    <t>NPVLevers_Hurdle_15y_Bdgt</t>
  </si>
  <si>
    <t>NPVLevers_OtherOther_15y_Bdgt</t>
  </si>
  <si>
    <t>CvP_MIRR_10yrs_Def Exit_Act/Proj</t>
  </si>
  <si>
    <t>CvP_MIRR (with TV)_10yrs_Def Exit_Act/Proj</t>
  </si>
  <si>
    <t>CvP_NPV_10yrs_Def Exit_Act/Proj</t>
  </si>
  <si>
    <t>CvP_NPV (with TV)_10yrs_Def Exit_Act/Proj</t>
  </si>
  <si>
    <t>CvP_MIRR_15yrs_Def Exit_Act/Proj</t>
  </si>
  <si>
    <t>CvP_NPV_15yrs_Def Exit_Act/Proj</t>
  </si>
  <si>
    <t>CvP_MIRR_10yrs_FwdLook</t>
  </si>
  <si>
    <t>CvP_MIRR (with TV)_10yrs_FwdLook</t>
  </si>
  <si>
    <t>CvP_NPV_10yrs_FwdLook</t>
  </si>
  <si>
    <t>CvP_NPV (with TV)_10yrs_FwdLook</t>
  </si>
  <si>
    <t>CvP_MIRR_15yrs_FwdLook</t>
  </si>
  <si>
    <t>CvP_NPV_15yrs_FwdLook</t>
  </si>
  <si>
    <t>CvP_MIRR_10yrs_FwdLookASR</t>
  </si>
  <si>
    <t>CvP_MIRR (with TV)_10yrs_FwdLookASR</t>
  </si>
  <si>
    <t>CvP_NPV_10yrs_FwdLookASR</t>
  </si>
  <si>
    <t>CvP_NPV (with TV)_10yrs_FwdLookASR</t>
  </si>
  <si>
    <t>CvP_MIRR_15yrs_FwdLookASR</t>
  </si>
  <si>
    <t>NPV_15yrs_FwdLCvP_ookASR</t>
  </si>
  <si>
    <t>FY_PriorSub</t>
  </si>
  <si>
    <t>DiscRate_PriorSub</t>
  </si>
  <si>
    <t>ConceptDate_PriorSub</t>
  </si>
  <si>
    <t>DefDate_PriorSub</t>
  </si>
  <si>
    <t>DevDate_PriorSub</t>
  </si>
  <si>
    <t>QualDate_PriorSub</t>
  </si>
  <si>
    <t>LaunchDate_PriorSub</t>
  </si>
  <si>
    <t>DefExitOrig_Incremental Revenues</t>
  </si>
  <si>
    <t>DefExitOrig_True Inc Revenes</t>
  </si>
  <si>
    <t>DefExitOrig_Category Share ($)</t>
  </si>
  <si>
    <t>DefExitOrig_Market Share (vol)</t>
  </si>
  <si>
    <t>DefExitOrig_Incremental Gross Profit ($)</t>
  </si>
  <si>
    <t>DefExitOrig_Incremental Gross Profit (%)</t>
  </si>
  <si>
    <t>DefExitOrig_SSG&amp;A Exp</t>
  </si>
  <si>
    <t>DefExitOrig_R&amp;D Exp</t>
  </si>
  <si>
    <t>DefExitOrig_OIBT</t>
  </si>
  <si>
    <t>DefExitOrig_Net Income</t>
  </si>
  <si>
    <t>DefExitOrig_Capital Exp</t>
  </si>
  <si>
    <t>DefExitOrig_Increase in Working Capital</t>
  </si>
  <si>
    <t>DefExitOrig_Free Cash Flow</t>
  </si>
  <si>
    <t>DefExitOrig_Free Cash Flow Disc</t>
  </si>
  <si>
    <t>NPVLevers_PriorSub_10y_DefExitOrig</t>
  </si>
  <si>
    <t>NPVLevers_LaunchInvestment_10y_DefExitOrig</t>
  </si>
  <si>
    <t>NPVLevers_LaunchDelay_10y_DefExitOrig</t>
  </si>
  <si>
    <t>NPVLevers_Revenue(exc. Delay)_10y_DefExitOrig</t>
  </si>
  <si>
    <t>NPVLevers_Margin_10y_DefExitOrig</t>
  </si>
  <si>
    <t>NPVLevers_Other_10y_DefExitOrig</t>
  </si>
  <si>
    <t>NPVLevers_CurrentSub_10y_DefExitOrig</t>
  </si>
  <si>
    <t>NPVLevers_SSG&amp;A_10y_DefExitOrig</t>
  </si>
  <si>
    <t>NPVLevers_R&amp;D_10y_DefExitOrig</t>
  </si>
  <si>
    <t>NPVLevers_CapEx_10y_DefExitOrig</t>
  </si>
  <si>
    <t>NPVLevers_Hurdle_10y_DefExitOrig</t>
  </si>
  <si>
    <t>NPVLevers_OtherOther_10y_DefExitOrig</t>
  </si>
  <si>
    <t>NPVLevers_PriorSub_15y_DefExitOrig</t>
  </si>
  <si>
    <t>NPVLevers_LaunchInvestment_15y_DefExitOrig</t>
  </si>
  <si>
    <t>NPVLevers_LaunchDelay_15y_DefExitOrig</t>
  </si>
  <si>
    <t>NPVLevers_Revenue(exc. Delay)_15y_DefExitOrig</t>
  </si>
  <si>
    <t>NPVLevers_Margin_15y_DefExitOrig</t>
  </si>
  <si>
    <t>NPVLevers_Other_15y_DefExitOrig</t>
  </si>
  <si>
    <t>NPVLevers_CurrentSub_15y_DefExitOrig</t>
  </si>
  <si>
    <t>NPVLevers_SSG&amp;A_15y_DefExitOrig</t>
  </si>
  <si>
    <t>NPVLevers_R&amp;D_15y_DefExitOrig</t>
  </si>
  <si>
    <t>NPVLevers_CapEx_15y_DefExitOrig</t>
  </si>
  <si>
    <t>NPVLevers_Hurdle_15y_DefExitOrig</t>
  </si>
  <si>
    <t>NPVLevers_OtherOther_15y_DefExitOrig</t>
  </si>
  <si>
    <t>MIRRvHDL_Budget_FL_ActProj_10y</t>
  </si>
  <si>
    <t>MIRRvHDL_Budget_FL_Prior_10y</t>
  </si>
  <si>
    <t>MIRRvHDL_ASR_FL_ActProj_10y</t>
  </si>
  <si>
    <t>MIRRvHDL_ASR_FL_Prior_10y</t>
  </si>
  <si>
    <t>MIRRvHDL_DefExit_ActProj_10y</t>
  </si>
  <si>
    <t>MIRRvHDL_DefExit_Commit_10y</t>
  </si>
  <si>
    <t>MIRRvHDL_Budget_FL_ActProj_15y</t>
  </si>
  <si>
    <t>MIRRvHDL_Budget_FL_Prior_15y</t>
  </si>
  <si>
    <t>MIRRvHDL_ASR_FL_ActProj_15y</t>
  </si>
  <si>
    <t>MIRRvHDL_ASR_FL_Prior_15y</t>
  </si>
  <si>
    <t>MIRRvHDL_DefExit_ActProj_15y</t>
  </si>
  <si>
    <t>MIRRvHDL_DefExit_Commit_15y</t>
  </si>
  <si>
    <t>MIRRvHDL_Budget_FL_ActProj_10yTV</t>
  </si>
  <si>
    <t>MIRRvHDL_Budget_FL_Prior_10yTV</t>
  </si>
  <si>
    <t>MIRRvHDL_ASR_FL_ActProj_10yTV</t>
  </si>
  <si>
    <t>MIRRvHDL_ASR_FL_Prior_10yTV</t>
  </si>
  <si>
    <t>MIRRvHDL_DefExit_ActProj_10yTV</t>
  </si>
  <si>
    <t>MIRRvHDL_DefExit_Commit_10yTV</t>
  </si>
  <si>
    <t>NPV_Budget_FL_ActProj_10yTV</t>
  </si>
  <si>
    <t>NPV_Budget_FL_Prior_10yTV</t>
  </si>
  <si>
    <t>NPV_ASR_FL_ActProj_10yTV</t>
  </si>
  <si>
    <t>NPV_ASR_FL_Prior_10yTV</t>
  </si>
  <si>
    <t>NPV_DefExit_ActProj_10yTV</t>
  </si>
  <si>
    <t>NPV_DefExit_Commit_10yTV</t>
  </si>
  <si>
    <t>PeakCategoryShareFY_Current</t>
  </si>
  <si>
    <t>TAM_Current</t>
  </si>
  <si>
    <t>PeakCategoryShare_Current</t>
  </si>
  <si>
    <t>TPPDifferentiation_Current</t>
  </si>
  <si>
    <t>ASP_Current</t>
  </si>
  <si>
    <t>SSG&amp;A/RevRatio_Current</t>
  </si>
  <si>
    <t>PeakCategoryShareFY_DefExit</t>
  </si>
  <si>
    <t>TAM_DefExit</t>
  </si>
  <si>
    <t>PeakCategoryShare_DefExit</t>
  </si>
  <si>
    <t>TPPDifferentiation_DefExit</t>
  </si>
  <si>
    <t>ASP_DefExit</t>
  </si>
  <si>
    <t>SSG&amp;A/RevRatio_DefExit</t>
  </si>
  <si>
    <t>PeakCategoryShareFY_Comment</t>
  </si>
  <si>
    <t>TAM_Comment</t>
  </si>
  <si>
    <t>PeakCategoryShare_Comment</t>
  </si>
  <si>
    <t>TPPDifferentiation_Comment</t>
  </si>
  <si>
    <t>ASP_Comment</t>
  </si>
  <si>
    <t>SSG&amp;A/RevRatio_Comment</t>
  </si>
  <si>
    <t/>
  </si>
  <si>
    <t>Drop Down List</t>
  </si>
  <si>
    <t>Quadrant</t>
  </si>
  <si>
    <t>SMS FY17 Rev ($ M)</t>
  </si>
  <si>
    <t>Size Address. FY 17 WW Mkt ($ M)</t>
  </si>
  <si>
    <t>Address. FY17-FY22 WW Mkt gwth (%)</t>
  </si>
  <si>
    <t>FY17 Share</t>
  </si>
  <si>
    <t>FY22 Std Gross Margin (%)</t>
  </si>
  <si>
    <t>LS</t>
  </si>
  <si>
    <t>BDB</t>
  </si>
  <si>
    <t>Advanced  Bioprocessing</t>
  </si>
  <si>
    <t>Growth</t>
  </si>
  <si>
    <t>Cell Analysis Clinical Solutions</t>
  </si>
  <si>
    <t>Maintain</t>
  </si>
  <si>
    <t>Cell Analysis Research Solutions</t>
  </si>
  <si>
    <t>Cell Therapy</t>
  </si>
  <si>
    <t>Bet</t>
  </si>
  <si>
    <t>DS</t>
  </si>
  <si>
    <t>Blood Culture/ Sepsis/ TB</t>
  </si>
  <si>
    <t>Cervical Cancer Screening</t>
  </si>
  <si>
    <t>ID Molecular Diagnostics</t>
  </si>
  <si>
    <t>ID/AST</t>
  </si>
  <si>
    <t>Market Share</t>
  </si>
  <si>
    <t>Industrial Microbiology</t>
  </si>
  <si>
    <t>Exit / TA</t>
  </si>
  <si>
    <t>Media and Transport</t>
  </si>
  <si>
    <t>Microbiology Lab Automation/ Informatics</t>
  </si>
  <si>
    <t>POC Veritor Diagnostic Solutions (non-molecular)</t>
  </si>
  <si>
    <t>Day</t>
  </si>
  <si>
    <t>Genomics</t>
  </si>
  <si>
    <t>Library Prep &amp; Target Enrichment</t>
  </si>
  <si>
    <t>Sample Prep (incl. Single Cell)</t>
  </si>
  <si>
    <t>PAS</t>
  </si>
  <si>
    <t>Acquisition: Arterial Blood Collection</t>
  </si>
  <si>
    <t>Acquisition: Venipuncture</t>
  </si>
  <si>
    <t>Cell &amp; Biomarker Preservation</t>
  </si>
  <si>
    <t>Containment: Microcollection &amp; Tubes</t>
  </si>
  <si>
    <t>Containment: Urine Collection</t>
  </si>
  <si>
    <t>IMC: Integrated Microcollection</t>
  </si>
  <si>
    <t>Liquid Biopsy</t>
  </si>
  <si>
    <t>Quarter</t>
  </si>
  <si>
    <t>Preanalytical Lab Informatics</t>
  </si>
  <si>
    <t>Tissue Containment</t>
  </si>
  <si>
    <t>Medical</t>
  </si>
  <si>
    <t>DC</t>
  </si>
  <si>
    <t>Diabetes Infusion- Consumables</t>
  </si>
  <si>
    <t>Diabetes Infusion- Pumps</t>
  </si>
  <si>
    <t>Diabetes Injection</t>
  </si>
  <si>
    <t>IDM – Devices</t>
  </si>
  <si>
    <t>IDM - Make Meaning &amp; Act</t>
  </si>
  <si>
    <t>MPS</t>
  </si>
  <si>
    <t>Anesthesia Delivery Sys &amp; Pain Mgmt</t>
  </si>
  <si>
    <t>Hazardous Drug Management</t>
  </si>
  <si>
    <t>Infection Prevention</t>
  </si>
  <si>
    <t>Medication Delivery</t>
  </si>
  <si>
    <t>Medication Preparation</t>
  </si>
  <si>
    <t>Pleural/Peritoneal Fluid Drainage</t>
  </si>
  <si>
    <t>Surgical Instruments &amp; Instrument Kits</t>
  </si>
  <si>
    <t>Tissue Sample Collection</t>
  </si>
  <si>
    <t>Display $</t>
  </si>
  <si>
    <t>Vascular Access Management</t>
  </si>
  <si>
    <t>$ K</t>
  </si>
  <si>
    <t>MMS</t>
  </si>
  <si>
    <t>Acute: Central Rx Med Mgmt</t>
  </si>
  <si>
    <t>Acute: Distributed Med Mgmt</t>
  </si>
  <si>
    <t>Acute: Infusion</t>
  </si>
  <si>
    <t>Commercial and Marketing Risk</t>
  </si>
  <si>
    <t>Acute: Med Use Platform &amp; Solutions</t>
  </si>
  <si>
    <t>Acute: Med/IP Surveillance</t>
  </si>
  <si>
    <t>Acute: Supply Automation</t>
  </si>
  <si>
    <t>Non-Acute: Infusion</t>
  </si>
  <si>
    <t>Non-Acute: Med Distribution</t>
  </si>
  <si>
    <t>Non-Acute: Med/IP Surveillance</t>
  </si>
  <si>
    <t>Retail: Front-End Rx &amp; Willcall</t>
  </si>
  <si>
    <t>Retail: RX Automation (Store &amp; High Volume)</t>
  </si>
  <si>
    <t>w/ Terminal Value</t>
  </si>
  <si>
    <t>PS</t>
  </si>
  <si>
    <t>Prefillable Systems Acute Care</t>
  </si>
  <si>
    <t>Prefillable Systems Anticoagulant</t>
  </si>
  <si>
    <t>Technology Innovation Quadrant</t>
  </si>
  <si>
    <t>Prefillable Systems Chronic</t>
  </si>
  <si>
    <t>Disruptive</t>
  </si>
  <si>
    <t>Prefillable Systems Vaccines</t>
  </si>
  <si>
    <t>Architectural</t>
  </si>
  <si>
    <t>Safety Devices</t>
  </si>
  <si>
    <t>Routine</t>
  </si>
  <si>
    <t>SAIS Auto-injectors</t>
  </si>
  <si>
    <t>Radical</t>
  </si>
  <si>
    <t>SAIS Pen</t>
  </si>
  <si>
    <t>SAIS Wearable Injectors</t>
  </si>
  <si>
    <t>Life Sciences</t>
  </si>
  <si>
    <t>Material Change?</t>
  </si>
  <si>
    <t>SMS Quadrant</t>
  </si>
  <si>
    <t>No material Δ</t>
  </si>
  <si>
    <t xml:space="preserve">Working Capital Metrics </t>
  </si>
  <si>
    <t>Interventional</t>
  </si>
  <si>
    <t>Moderate Δ</t>
  </si>
  <si>
    <t xml:space="preserve">Actual FY16 </t>
  </si>
  <si>
    <t>Greater Asia</t>
  </si>
  <si>
    <t>Significative Δ</t>
  </si>
  <si>
    <t>DSO (Receivab)</t>
  </si>
  <si>
    <t>DPO (Payab)</t>
  </si>
  <si>
    <t>DIO (Invent)</t>
  </si>
  <si>
    <t>BDX Proforma</t>
  </si>
  <si>
    <t>BDX</t>
  </si>
  <si>
    <t>Base Case</t>
  </si>
  <si>
    <t>Tech Innov Quadrant</t>
  </si>
  <si>
    <t>Optimal</t>
  </si>
  <si>
    <t>RB1</t>
  </si>
  <si>
    <t>United States</t>
  </si>
  <si>
    <t>Minimum</t>
  </si>
  <si>
    <t>RB2</t>
  </si>
  <si>
    <t>Latin America</t>
  </si>
  <si>
    <t>GA</t>
  </si>
  <si>
    <t>RB3</t>
  </si>
  <si>
    <t>RS</t>
  </si>
  <si>
    <t>Surgery</t>
  </si>
  <si>
    <t>BD Canada Inc</t>
  </si>
  <si>
    <t>Peripheral Int.</t>
  </si>
  <si>
    <t>CareFusion</t>
  </si>
  <si>
    <t>Moderate</t>
  </si>
  <si>
    <t>Urology and Critical Care</t>
  </si>
  <si>
    <t>Yes (exception)</t>
  </si>
  <si>
    <t>BIO</t>
  </si>
  <si>
    <t>Parity / Me too</t>
  </si>
  <si>
    <t>MED</t>
  </si>
  <si>
    <t>Lagged / Follower</t>
  </si>
  <si>
    <t>Data provided by Corporate Treasury</t>
  </si>
  <si>
    <t>LIFE</t>
  </si>
  <si>
    <t>Cell Address Table</t>
  </si>
  <si>
    <t>F</t>
  </si>
  <si>
    <t>G</t>
  </si>
  <si>
    <t>H</t>
  </si>
  <si>
    <t>I</t>
  </si>
  <si>
    <t>J</t>
  </si>
  <si>
    <t>K</t>
  </si>
  <si>
    <t>L</t>
  </si>
  <si>
    <t>N</t>
  </si>
  <si>
    <t>O</t>
  </si>
  <si>
    <t>P</t>
  </si>
  <si>
    <t>Q</t>
  </si>
  <si>
    <t>R</t>
  </si>
  <si>
    <t>S</t>
  </si>
  <si>
    <t>T</t>
  </si>
  <si>
    <t>U</t>
  </si>
  <si>
    <t>V</t>
  </si>
  <si>
    <t>W</t>
  </si>
  <si>
    <t>X</t>
  </si>
  <si>
    <t>Y</t>
  </si>
  <si>
    <t>Z</t>
  </si>
  <si>
    <t>AB</t>
  </si>
  <si>
    <t>AC</t>
  </si>
  <si>
    <t>AD</t>
  </si>
  <si>
    <t>AE</t>
  </si>
  <si>
    <t>AF</t>
  </si>
  <si>
    <t>AG</t>
  </si>
  <si>
    <t>AH</t>
  </si>
  <si>
    <t>AI</t>
  </si>
  <si>
    <t>AJ</t>
  </si>
  <si>
    <t>AK</t>
  </si>
  <si>
    <t>AL</t>
  </si>
  <si>
    <t>AM</t>
  </si>
  <si>
    <t>AN</t>
  </si>
  <si>
    <t>AO</t>
  </si>
  <si>
    <t>AQ</t>
  </si>
  <si>
    <t>AR</t>
  </si>
  <si>
    <t>AS</t>
  </si>
  <si>
    <t>AT</t>
  </si>
  <si>
    <t>AU</t>
  </si>
  <si>
    <t>AV</t>
  </si>
  <si>
    <t>AW</t>
  </si>
  <si>
    <t>AX</t>
  </si>
  <si>
    <t>AY</t>
  </si>
  <si>
    <t>AZ</t>
  </si>
  <si>
    <t>BA</t>
  </si>
  <si>
    <t>BC</t>
  </si>
  <si>
    <t>BD</t>
  </si>
  <si>
    <t>BE</t>
  </si>
  <si>
    <t>BF</t>
  </si>
  <si>
    <t>BG</t>
  </si>
  <si>
    <t>BH</t>
  </si>
  <si>
    <t>BI</t>
  </si>
  <si>
    <t>BJ</t>
  </si>
  <si>
    <t>BK</t>
  </si>
  <si>
    <t>BL</t>
  </si>
  <si>
    <t>BM</t>
  </si>
  <si>
    <t>BN</t>
  </si>
  <si>
    <t>BO</t>
  </si>
  <si>
    <t>BP</t>
  </si>
  <si>
    <t>BQ</t>
  </si>
  <si>
    <t>BR</t>
  </si>
  <si>
    <t>BS</t>
  </si>
  <si>
    <t>BT</t>
  </si>
  <si>
    <t>BV</t>
  </si>
  <si>
    <t>BW</t>
  </si>
  <si>
    <t>BX</t>
  </si>
  <si>
    <t>BY</t>
  </si>
  <si>
    <t>BZ</t>
  </si>
  <si>
    <t>CA</t>
  </si>
  <si>
    <t>CB</t>
  </si>
  <si>
    <t>CD</t>
  </si>
  <si>
    <t>CE</t>
  </si>
  <si>
    <t>CF</t>
  </si>
  <si>
    <t>CG</t>
  </si>
  <si>
    <t>CH</t>
  </si>
  <si>
    <t>CI</t>
  </si>
  <si>
    <t>CJ</t>
  </si>
  <si>
    <t>CK</t>
  </si>
  <si>
    <t>CL</t>
  </si>
  <si>
    <t>CM</t>
  </si>
  <si>
    <t>CN</t>
  </si>
  <si>
    <t>CO</t>
  </si>
  <si>
    <t>CP</t>
  </si>
  <si>
    <t>CQ</t>
  </si>
  <si>
    <t>CR</t>
  </si>
  <si>
    <t>CS</t>
  </si>
  <si>
    <t>CT</t>
  </si>
  <si>
    <t>CU</t>
  </si>
  <si>
    <t>CV</t>
  </si>
  <si>
    <t>CW</t>
  </si>
  <si>
    <t>CX</t>
  </si>
  <si>
    <t>CY</t>
  </si>
  <si>
    <t>CZ</t>
  </si>
  <si>
    <t>DA</t>
  </si>
  <si>
    <t>DB</t>
  </si>
  <si>
    <t>DE</t>
  </si>
  <si>
    <t>DF</t>
  </si>
  <si>
    <t>DG</t>
  </si>
  <si>
    <t>DH</t>
  </si>
  <si>
    <t>DI</t>
  </si>
  <si>
    <t>DJ</t>
  </si>
  <si>
    <t>DK</t>
  </si>
  <si>
    <t>DL</t>
  </si>
  <si>
    <t>DM</t>
  </si>
  <si>
    <t>DN</t>
  </si>
  <si>
    <t>DO</t>
  </si>
  <si>
    <t>DP</t>
  </si>
  <si>
    <t>DQ</t>
  </si>
  <si>
    <t>DR</t>
  </si>
  <si>
    <t>DT</t>
  </si>
  <si>
    <t>DU</t>
  </si>
  <si>
    <t>DV</t>
  </si>
  <si>
    <t>DW</t>
  </si>
  <si>
    <t>DX</t>
  </si>
  <si>
    <t>DY</t>
  </si>
  <si>
    <t>DZ</t>
  </si>
  <si>
    <t>PID</t>
  </si>
  <si>
    <t>Project BPC Number</t>
  </si>
  <si>
    <t>Project Name (BPC)</t>
  </si>
  <si>
    <t>Revenues</t>
  </si>
  <si>
    <t>Incremental Revenues</t>
  </si>
  <si>
    <t>True Inc Revenes</t>
  </si>
  <si>
    <t>Category Share ($)</t>
  </si>
  <si>
    <t>Market Share (vol)</t>
  </si>
  <si>
    <t>Incremental Gross Profit ($)</t>
  </si>
  <si>
    <t>MIRR_10yrs_Def Exit_Orig</t>
  </si>
  <si>
    <t>MIRR (with TV)_10yrs_Def Exit_Orig</t>
  </si>
  <si>
    <t>NPV_10yrs_Def Exit_Orig</t>
  </si>
  <si>
    <t>NPV (with TV)_10yrs_Def Exit_Orig</t>
  </si>
  <si>
    <t>MIRR_15yrs_Def Exit_Orig</t>
  </si>
  <si>
    <t>NPV_15yrs_Def Exit_Orig</t>
  </si>
  <si>
    <t>MIRR_10yrs_Def Exit_Current</t>
  </si>
  <si>
    <t>MIRR (with TV)_10yrs_Def Exit_Current</t>
  </si>
  <si>
    <t>NPV_10yrs_Def Exit_Current</t>
  </si>
  <si>
    <t>NPV (with TV)_10yrs_Def Exit_Current</t>
  </si>
  <si>
    <t>MIRR_15yrs_Def Exit_Current</t>
  </si>
  <si>
    <t>NPV_15yrs_Def Exit_Current</t>
  </si>
  <si>
    <t>MIRR_10yrs_Current</t>
  </si>
  <si>
    <t>MIRR (with TV)_10yrs_Current</t>
  </si>
  <si>
    <t>NPV_10yrs_Current</t>
  </si>
  <si>
    <t>NPV (with TV)_10yrs_Current</t>
  </si>
  <si>
    <t>MIRR_15yrs_Current</t>
  </si>
  <si>
    <t>NPV_15yrs_Current</t>
  </si>
  <si>
    <t>NPV_10yrs_Original_Disc Rate at Def Exit</t>
  </si>
  <si>
    <t>NPV_15yrs_Original_Disc Rate at Def Exit</t>
  </si>
  <si>
    <t>Concept_Original</t>
  </si>
  <si>
    <t>Definition_Original</t>
  </si>
  <si>
    <t>Development_Original</t>
  </si>
  <si>
    <t>Qualification_Original</t>
  </si>
  <si>
    <t>Launch_Original</t>
  </si>
  <si>
    <t>NPVChange_Def Exit_Orig</t>
  </si>
  <si>
    <t>NPVChange_Invest PreLaunch</t>
  </si>
  <si>
    <t>NPVChange_Launch Delay</t>
  </si>
  <si>
    <t>NPVChange_Rev Change</t>
  </si>
  <si>
    <t>NPVChange_Others</t>
  </si>
  <si>
    <t>NPVChange_Def Exit_Current</t>
  </si>
  <si>
    <t>Discount Rate (Hurdle Rate)</t>
  </si>
  <si>
    <t>Discount Rate @ Def Exit (if different)</t>
  </si>
  <si>
    <t>SMS_FY15 Rev ($ M)</t>
  </si>
  <si>
    <t>SMS_FY15 Share</t>
  </si>
  <si>
    <t>SMS_Size Address FY 15 WW Mkt ($ M)</t>
  </si>
  <si>
    <t>SMS_Address FY15-FY20 WW Mkt gwth (%)</t>
  </si>
  <si>
    <t>SMS_FY20 Std Gross Margin (%)</t>
  </si>
  <si>
    <t>IRR_10yrs_Def Exit_Orig</t>
  </si>
  <si>
    <t>IRR (with TV)_10yrs_Def Exit_Orig</t>
  </si>
  <si>
    <t>IRR_15yrs_Def Exit_Orig</t>
  </si>
  <si>
    <t>IRR_10yrs_Def Exit_Current</t>
  </si>
  <si>
    <t>IRR (with TV)_10yrs_Def Exit_Current</t>
  </si>
  <si>
    <t>IRR_15yrs_Def Exit_Current</t>
  </si>
  <si>
    <t>IRR_10yrs_Current</t>
  </si>
  <si>
    <t>IRR (with TV)_10yrs_Current</t>
  </si>
  <si>
    <t>IRR_15yrs_Current</t>
  </si>
  <si>
    <t>Payback Period_10yrs_Def Exit_Orig</t>
  </si>
  <si>
    <t>Payback Period_10yrs_Def Exit_Current</t>
  </si>
  <si>
    <t>Payback Period_10yrs_Current</t>
  </si>
  <si>
    <t>ROI (R&amp;D)_10yrs_Def Exit_Orig</t>
  </si>
  <si>
    <t>ROI (R&amp;D)_15yrs_Def Exit_Orig</t>
  </si>
  <si>
    <t>ROI (R&amp;D)_10yrs_Def Exit_Current</t>
  </si>
  <si>
    <t>ROI (R&amp;D)_15yrs_Def Exit_Current</t>
  </si>
  <si>
    <t>ROI (R&amp;D)_10yrs_Current</t>
  </si>
  <si>
    <t>ROI (R&amp;D)_15yrs_Current</t>
  </si>
  <si>
    <t>ROI (R&amp;D, SGA, Cap)_10yrs_Def Exit_Orig</t>
  </si>
  <si>
    <t>ROI (R&amp;D, SGA, Cap)_15yrs_Def Exit_Orig</t>
  </si>
  <si>
    <t>ROI (R&amp;D, SGA, Cap)_10yrs_Def Exit_Current</t>
  </si>
  <si>
    <t>ROI (R&amp;D, SGA, Cap)_15yrs_Def Exit_Current</t>
  </si>
  <si>
    <t>ROI (R&amp;D, SGA, Cap)_10yrs_Current</t>
  </si>
  <si>
    <t>ROI (R&amp;D, SGA, Cap)_15yrs_Current</t>
  </si>
  <si>
    <t>MIRR_UpASR_10yrs_Current</t>
  </si>
  <si>
    <t>MIRR wTV_UpASR_10yrs_Current</t>
  </si>
  <si>
    <t>IRR_UpASR_10yrs_Current</t>
  </si>
  <si>
    <t>IRR wTV_UpASR_10yrs_Current</t>
  </si>
  <si>
    <t>NPV_UpASR_10yrs_Current</t>
  </si>
  <si>
    <t>NPV wTV_UpASR_10yrs_Current</t>
  </si>
  <si>
    <t>ROI R&amp;D_UpASR_10yrs_Current</t>
  </si>
  <si>
    <t>ROI R&amp;D SSG&amp;A Cap_UpASR_10yrs_Current</t>
  </si>
  <si>
    <t>Payback_UpASR_10yrs_Current</t>
  </si>
  <si>
    <t>MIRR_UpASR_15yrs_Current</t>
  </si>
  <si>
    <t>MIRR wTV_UpASR_15yrs_Current</t>
  </si>
  <si>
    <t>IRR_UpASR_15yrs_Current</t>
  </si>
  <si>
    <t>IRR wTV_UpASR_15yrs_Current</t>
  </si>
  <si>
    <t>NPV_UpASR_15yrs_Current</t>
  </si>
  <si>
    <t>NPV wTV_UpASR_15yrs_Current</t>
  </si>
  <si>
    <t>ROI R&amp;D_UpASR_15yrs_Current</t>
  </si>
  <si>
    <t>ROI R&amp;D SSG&amp;A Cap_UpASR_15yrs_Current</t>
  </si>
  <si>
    <t>ASR</t>
  </si>
  <si>
    <t>MIRR With TV</t>
  </si>
  <si>
    <t>Q1 FY23</t>
  </si>
  <si>
    <t>Q1 FY24</t>
  </si>
  <si>
    <t>Q3 FY24</t>
  </si>
  <si>
    <t>Q3 FY25</t>
  </si>
  <si>
    <t>Intangible Asset Depreciation</t>
  </si>
  <si>
    <t>Intangible Assets</t>
  </si>
  <si>
    <t>Amortz of Intangible Assets</t>
  </si>
  <si>
    <t>FY35</t>
  </si>
  <si>
    <t>FY36</t>
  </si>
  <si>
    <t>FY37</t>
  </si>
  <si>
    <t>20 Years</t>
  </si>
  <si>
    <t>HCW</t>
  </si>
  <si>
    <t>% LTBI (+)</t>
  </si>
  <si>
    <t>Foreign Born</t>
  </si>
  <si>
    <t>ImmunoComp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</si>
</sst>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
    <numFmt numFmtId="165" formatCode="&quot;$&quot;#,##0.00"/>
    <numFmt numFmtId="166" formatCode="0.0%"/>
    <numFmt numFmtId="167" formatCode="_(* #,##0.0_);_(* \(#,##0.0\);_(* &quot;-&quot;??_);_(@_)"/>
    <numFmt numFmtId="168" formatCode="_(* #,##0_);_(* \(#,##0\);_(* &quot;-&quot;??_);_(@_)"/>
    <numFmt numFmtId="169" formatCode="_(&quot;$&quot;* #,##0_);_(&quot;$&quot;* \(#,##0\);_(&quot;$&quot;* &quot;-&quot;??_);_(@_)"/>
    <numFmt numFmtId="170" formatCode="&quot;$&quot;#,##0.0_);\(&quot;$&quot;#,##0.0\)"/>
    <numFmt numFmtId="171" formatCode="&quot;$&quot;#,##0.0"/>
    <numFmt numFmtId="172" formatCode="_(&quot;$&quot;* #,##0.000_);_(&quot;$&quot;* \(#,##0.000\);_(&quot;$&quot;* &quot;-&quot;??_);_(@_)"/>
    <numFmt numFmtId="173" formatCode="#,##0.0_);[Red]\(#,##0.0\)"/>
    <numFmt numFmtId="174" formatCode="0.0"/>
    <numFmt numFmtId="175" formatCode="&quot;$&quot;#,##0.0_);[Red]\(&quot;$&quot;#,##0.0\)"/>
    <numFmt numFmtId="176" formatCode="_(* #,##0.000_);_(* \(#,##0.000\);_(* &quot;-&quot;??_);_(@_)"/>
    <numFmt numFmtId="177" formatCode="#,##0.0"/>
    <numFmt numFmtId="178" formatCode="0_);[Red]\(0\)"/>
    <numFmt numFmtId="179" formatCode="_(\ #,##0_);_(\ \(#,##0\);_(\ &quot;-&quot;??_);_(@_)"/>
    <numFmt numFmtId="180" formatCode="#,##0.0_);\(#,##0.0\)"/>
    <numFmt numFmtId="181" formatCode="_(\ #,##0.0_);_(\ \(#,##0.0\);_(\ &quot;-&quot;??_);_(@_)"/>
    <numFmt numFmtId="182" formatCode="m/d/yy;@"/>
    <numFmt numFmtId="183" formatCode="_(\ #,##0.00_);_(\ \(#,##0.00\);_(\ &quot;-&quot;??_);_(@_)"/>
    <numFmt numFmtId="184" formatCode="_(\ #,##0_);_(\ \(#,##0\);_(\ &quot;-&quot;_);_(@_)"/>
    <numFmt numFmtId="185" formatCode="_(&quot;$&quot;\ #,##0.00_);_(&quot;$&quot;\ \(#,##0.00\);_(&quot;$&quot;\ &quot;-&quot;??_);_(@_)"/>
    <numFmt numFmtId="186" formatCode="_(#,##0_);_(\(#,##0\);_(&quot;-&quot;??_);_(@_)"/>
    <numFmt numFmtId="187" formatCode="[$-F800]dddd\,\ mmmm\ dd\,\ yyyy"/>
  </numFmts>
  <fonts count="163" x14ac:knownFonts="1">
    <font>
      <sz val="10"/>
      <name val="Arial"/>
      <family val="2"/>
    </font>
    <font>
      <sz val="10"/>
      <color theme="1"/>
      <name val="Arial"/>
      <family val="2"/>
    </font>
    <font>
      <sz val="10"/>
      <name val="Arial"/>
      <family val="2"/>
    </font>
    <font>
      <b/>
      <sz val="10"/>
      <name val="Arial"/>
      <family val="2"/>
    </font>
    <font>
      <b/>
      <sz val="12"/>
      <name val="Arial"/>
      <family val="2"/>
    </font>
    <font>
      <i/>
      <sz val="10"/>
      <name val="Arial"/>
      <family val="2"/>
    </font>
    <font>
      <sz val="10"/>
      <name val="Arial"/>
      <family val="2"/>
    </font>
    <font>
      <b/>
      <u/>
      <sz val="10"/>
      <name val="Arial"/>
      <family val="2"/>
    </font>
    <font>
      <b/>
      <i/>
      <sz val="10"/>
      <name val="Arial"/>
      <family val="2"/>
    </font>
    <font>
      <u/>
      <sz val="10"/>
      <name val="Arial"/>
      <family val="2"/>
    </font>
    <font>
      <sz val="12"/>
      <name val="Times New Roman"/>
      <family val="1"/>
    </font>
    <font>
      <sz val="9"/>
      <name val="Arial"/>
      <family val="2"/>
    </font>
    <font>
      <i/>
      <sz val="8"/>
      <name val="Arial"/>
      <family val="2"/>
    </font>
    <font>
      <i/>
      <sz val="9"/>
      <name val="Arial"/>
      <family val="2"/>
    </font>
    <font>
      <b/>
      <i/>
      <u/>
      <sz val="10"/>
      <name val="Arial"/>
      <family val="2"/>
    </font>
    <font>
      <sz val="10"/>
      <color indexed="12"/>
      <name val="Arial"/>
      <family val="2"/>
    </font>
    <font>
      <i/>
      <sz val="10"/>
      <color indexed="12"/>
      <name val="Arial"/>
      <family val="2"/>
    </font>
    <font>
      <b/>
      <sz val="10"/>
      <color indexed="48"/>
      <name val="Arial"/>
      <family val="2"/>
    </font>
    <font>
      <sz val="8"/>
      <name val="Arial"/>
      <family val="2"/>
    </font>
    <font>
      <b/>
      <sz val="8"/>
      <name val="Arial"/>
      <family val="2"/>
    </font>
    <font>
      <b/>
      <sz val="10"/>
      <color indexed="18"/>
      <name val="Arial"/>
      <family val="2"/>
    </font>
    <font>
      <b/>
      <sz val="10"/>
      <color indexed="12"/>
      <name val="Arial"/>
      <family val="2"/>
    </font>
    <font>
      <b/>
      <sz val="11"/>
      <name val="Arial"/>
      <family val="2"/>
    </font>
    <font>
      <b/>
      <u/>
      <sz val="12"/>
      <name val="Arial"/>
      <family val="2"/>
    </font>
    <font>
      <i/>
      <sz val="8"/>
      <color indexed="9"/>
      <name val="Arial"/>
      <family val="2"/>
    </font>
    <font>
      <u/>
      <sz val="8"/>
      <name val="Arial"/>
      <family val="2"/>
    </font>
    <font>
      <sz val="10"/>
      <color indexed="18"/>
      <name val="Arial"/>
      <family val="2"/>
    </font>
    <font>
      <b/>
      <sz val="9"/>
      <color indexed="18"/>
      <name val="Arial"/>
      <family val="2"/>
    </font>
    <font>
      <sz val="10"/>
      <name val="Arial"/>
      <family val="2"/>
    </font>
    <font>
      <u/>
      <sz val="10"/>
      <name val="Arial"/>
      <family val="2"/>
    </font>
    <font>
      <sz val="8"/>
      <name val="Arial"/>
      <family val="2"/>
    </font>
    <font>
      <sz val="10"/>
      <name val="Arial"/>
      <family val="2"/>
    </font>
    <font>
      <b/>
      <sz val="10"/>
      <color indexed="63"/>
      <name val="Arial"/>
      <family val="2"/>
    </font>
    <font>
      <sz val="10"/>
      <name val="Arial"/>
      <family val="2"/>
    </font>
    <font>
      <sz val="10"/>
      <color indexed="16"/>
      <name val="Arial"/>
      <family val="2"/>
    </font>
    <font>
      <i/>
      <sz val="10"/>
      <color indexed="16"/>
      <name val="Arial"/>
      <family val="2"/>
    </font>
    <font>
      <b/>
      <sz val="10"/>
      <color indexed="8"/>
      <name val="Arial"/>
      <family val="2"/>
    </font>
    <font>
      <sz val="10"/>
      <color indexed="8"/>
      <name val="Arial"/>
      <family val="2"/>
    </font>
    <font>
      <b/>
      <sz val="10"/>
      <color indexed="16"/>
      <name val="Arial"/>
      <family val="2"/>
    </font>
    <font>
      <b/>
      <u/>
      <sz val="10"/>
      <color indexed="16"/>
      <name val="Arial"/>
      <family val="2"/>
    </font>
    <font>
      <b/>
      <i/>
      <sz val="10"/>
      <color indexed="16"/>
      <name val="Arial"/>
      <family val="2"/>
    </font>
    <font>
      <b/>
      <sz val="10"/>
      <color indexed="39"/>
      <name val="Arial"/>
      <family val="2"/>
    </font>
    <font>
      <b/>
      <sz val="12"/>
      <color indexed="8"/>
      <name val="Arial"/>
      <family val="2"/>
    </font>
    <font>
      <sz val="10"/>
      <color indexed="8"/>
      <name val="Arial"/>
      <family val="2"/>
    </font>
    <font>
      <sz val="10"/>
      <color indexed="39"/>
      <name val="Arial"/>
      <family val="2"/>
    </font>
    <font>
      <sz val="19"/>
      <color indexed="48"/>
      <name val="Arial"/>
      <family val="2"/>
    </font>
    <font>
      <sz val="10"/>
      <color indexed="10"/>
      <name val="Arial"/>
      <family val="2"/>
    </font>
    <font>
      <sz val="8.3000000000000007"/>
      <name val="Arial"/>
      <family val="2"/>
    </font>
    <font>
      <sz val="10"/>
      <name val="Arial"/>
      <family val="2"/>
    </font>
    <font>
      <b/>
      <sz val="8.3000000000000007"/>
      <color indexed="10"/>
      <name val="Arial"/>
      <family val="2"/>
    </font>
    <font>
      <sz val="8.3000000000000007"/>
      <color indexed="10"/>
      <name val="Arial"/>
      <family val="2"/>
    </font>
    <font>
      <sz val="10"/>
      <color indexed="55"/>
      <name val="Arial"/>
      <family val="2"/>
    </font>
    <font>
      <b/>
      <sz val="14"/>
      <name val="Arial"/>
      <family val="2"/>
    </font>
    <font>
      <b/>
      <i/>
      <sz val="14"/>
      <name val="Arial"/>
      <family val="2"/>
    </font>
    <font>
      <b/>
      <i/>
      <sz val="14"/>
      <color indexed="16"/>
      <name val="Arial"/>
      <family val="2"/>
    </font>
    <font>
      <b/>
      <vertAlign val="superscript"/>
      <sz val="10"/>
      <name val="Arial"/>
      <family val="2"/>
    </font>
    <font>
      <vertAlign val="superscript"/>
      <sz val="10"/>
      <name val="Arial"/>
      <family val="2"/>
    </font>
    <font>
      <b/>
      <sz val="14"/>
      <color indexed="9"/>
      <name val="Arial"/>
      <family val="2"/>
    </font>
    <font>
      <b/>
      <sz val="12"/>
      <color indexed="9"/>
      <name val="Arial"/>
      <family val="2"/>
    </font>
    <font>
      <sz val="11"/>
      <name val="Arial"/>
      <family val="2"/>
    </font>
    <font>
      <sz val="10"/>
      <color indexed="22"/>
      <name val="Arial"/>
      <family val="2"/>
    </font>
    <font>
      <b/>
      <sz val="10"/>
      <color indexed="10"/>
      <name val="Arial"/>
      <family val="2"/>
    </font>
    <font>
      <sz val="10"/>
      <color indexed="12"/>
      <name val="Times New Roman"/>
      <family val="1"/>
    </font>
    <font>
      <i/>
      <sz val="11"/>
      <color indexed="16"/>
      <name val="Arial"/>
      <family val="2"/>
    </font>
    <font>
      <b/>
      <i/>
      <sz val="11"/>
      <color indexed="16"/>
      <name val="Arial"/>
      <family val="2"/>
    </font>
    <font>
      <sz val="10"/>
      <color indexed="9"/>
      <name val="Arial"/>
      <family val="2"/>
    </font>
    <font>
      <b/>
      <sz val="10"/>
      <color indexed="9"/>
      <name val="Arial"/>
      <family val="2"/>
    </font>
    <font>
      <b/>
      <sz val="12"/>
      <color indexed="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9"/>
      <name val="Arial"/>
      <family val="2"/>
    </font>
    <font>
      <b/>
      <sz val="9"/>
      <color indexed="8"/>
      <name val="Tahoma"/>
      <family val="2"/>
    </font>
    <font>
      <sz val="9"/>
      <color indexed="8"/>
      <name val="Tahoma"/>
      <family val="2"/>
    </font>
    <font>
      <sz val="12"/>
      <name val="Arial"/>
      <family val="2"/>
    </font>
    <font>
      <b/>
      <sz val="9"/>
      <color indexed="81"/>
      <name val="Tahoma"/>
      <family val="2"/>
    </font>
    <font>
      <sz val="9"/>
      <color indexed="81"/>
      <name val="Tahoma"/>
      <family val="2"/>
    </font>
    <font>
      <sz val="10"/>
      <color indexed="63"/>
      <name val="Arial"/>
      <family val="2"/>
    </font>
    <font>
      <sz val="10"/>
      <color rgb="FFFF0000"/>
      <name val="Arial"/>
      <family val="2"/>
    </font>
    <font>
      <i/>
      <sz val="9"/>
      <name val="Calibri"/>
      <family val="2"/>
      <scheme val="minor"/>
    </font>
    <font>
      <sz val="9"/>
      <name val="Calibri"/>
      <family val="2"/>
      <scheme val="minor"/>
    </font>
    <font>
      <b/>
      <sz val="9"/>
      <name val="Calibri"/>
      <family val="2"/>
      <scheme val="minor"/>
    </font>
    <font>
      <i/>
      <sz val="9"/>
      <color rgb="FFFF0000"/>
      <name val="Calibri"/>
      <family val="2"/>
      <scheme val="minor"/>
    </font>
    <font>
      <b/>
      <sz val="10"/>
      <color rgb="FFFF0000"/>
      <name val="Arial"/>
      <family val="2"/>
    </font>
    <font>
      <b/>
      <sz val="10"/>
      <color theme="1"/>
      <name val="Arial"/>
      <family val="2"/>
    </font>
    <font>
      <sz val="11"/>
      <color theme="1"/>
      <name val="Calibri"/>
      <family val="2"/>
      <scheme val="minor"/>
    </font>
    <font>
      <b/>
      <u/>
      <sz val="14"/>
      <color theme="1"/>
      <name val="Calibri"/>
      <family val="2"/>
      <scheme val="minor"/>
    </font>
    <font>
      <b/>
      <u/>
      <sz val="11"/>
      <color theme="1"/>
      <name val="Calibri"/>
      <family val="2"/>
      <scheme val="minor"/>
    </font>
    <font>
      <b/>
      <sz val="8"/>
      <color theme="1"/>
      <name val="Calibri"/>
      <family val="2"/>
      <scheme val="minor"/>
    </font>
    <font>
      <i/>
      <sz val="11"/>
      <color theme="1"/>
      <name val="Calibri"/>
      <family val="2"/>
      <scheme val="minor"/>
    </font>
    <font>
      <sz val="11"/>
      <name val="Calibri"/>
      <family val="2"/>
      <scheme val="minor"/>
    </font>
    <font>
      <u/>
      <sz val="11"/>
      <color theme="1"/>
      <name val="Calibri"/>
      <family val="2"/>
      <scheme val="minor"/>
    </font>
    <font>
      <b/>
      <u/>
      <sz val="11"/>
      <color rgb="FFFF0000"/>
      <name val="Calibri"/>
      <family val="2"/>
      <scheme val="minor"/>
    </font>
    <font>
      <sz val="11"/>
      <color rgb="FFFF0000"/>
      <name val="Calibri"/>
      <family val="2"/>
      <scheme val="minor"/>
    </font>
    <font>
      <b/>
      <sz val="11"/>
      <color rgb="FFFF0000"/>
      <name val="Calibri"/>
      <family val="2"/>
      <scheme val="minor"/>
    </font>
    <font>
      <b/>
      <sz val="11"/>
      <color theme="1"/>
      <name val="Calibri"/>
      <family val="2"/>
      <scheme val="minor"/>
    </font>
    <font>
      <i/>
      <sz val="9"/>
      <color theme="1"/>
      <name val="Calibri"/>
      <family val="2"/>
      <scheme val="minor"/>
    </font>
    <font>
      <sz val="11"/>
      <color theme="0"/>
      <name val="Calibri"/>
      <family val="2"/>
      <scheme val="minor"/>
    </font>
    <font>
      <u/>
      <sz val="11"/>
      <color rgb="FFFF0000"/>
      <name val="Calibri"/>
      <family val="2"/>
      <scheme val="minor"/>
    </font>
    <font>
      <i/>
      <u/>
      <sz val="11"/>
      <color rgb="FFFF0000"/>
      <name val="Calibri"/>
      <family val="2"/>
      <scheme val="minor"/>
    </font>
    <font>
      <b/>
      <sz val="11"/>
      <color theme="0"/>
      <name val="Calibri"/>
      <family val="2"/>
      <scheme val="minor"/>
    </font>
    <font>
      <b/>
      <i/>
      <sz val="11"/>
      <color theme="1"/>
      <name val="Calibri"/>
      <family val="2"/>
      <scheme val="minor"/>
    </font>
    <font>
      <u/>
      <sz val="9"/>
      <color indexed="81"/>
      <name val="Tahoma"/>
      <family val="2"/>
    </font>
    <font>
      <b/>
      <sz val="14"/>
      <color theme="0"/>
      <name val="Calibri"/>
      <family val="2"/>
      <scheme val="minor"/>
    </font>
    <font>
      <b/>
      <sz val="14"/>
      <color theme="1"/>
      <name val="Calibri"/>
      <family val="2"/>
      <scheme val="minor"/>
    </font>
    <font>
      <sz val="14"/>
      <color theme="1"/>
      <name val="Calibri"/>
      <family val="2"/>
      <scheme val="minor"/>
    </font>
    <font>
      <b/>
      <i/>
      <sz val="10"/>
      <color theme="0"/>
      <name val="Calibri"/>
      <family val="2"/>
      <scheme val="minor"/>
    </font>
    <font>
      <sz val="8"/>
      <color theme="1"/>
      <name val="Calibri"/>
      <family val="2"/>
      <scheme val="minor"/>
    </font>
    <font>
      <sz val="12"/>
      <color theme="1"/>
      <name val="Calibri"/>
      <family val="2"/>
      <scheme val="minor"/>
    </font>
    <font>
      <sz val="9"/>
      <color theme="1"/>
      <name val="Calibri"/>
      <family val="2"/>
      <scheme val="minor"/>
    </font>
    <font>
      <i/>
      <sz val="9"/>
      <color theme="6" tint="-0.249977111117893"/>
      <name val="Calibri"/>
      <family val="2"/>
      <scheme val="minor"/>
    </font>
    <font>
      <b/>
      <sz val="9"/>
      <color theme="1"/>
      <name val="Calibri"/>
      <family val="2"/>
      <scheme val="minor"/>
    </font>
    <font>
      <b/>
      <i/>
      <u/>
      <sz val="11"/>
      <color theme="1"/>
      <name val="Calibri"/>
      <family val="2"/>
      <scheme val="minor"/>
    </font>
    <font>
      <b/>
      <sz val="11"/>
      <name val="Calibri"/>
      <family val="2"/>
      <scheme val="minor"/>
    </font>
    <font>
      <b/>
      <i/>
      <sz val="9"/>
      <color theme="1"/>
      <name val="Calibri"/>
      <family val="2"/>
      <scheme val="minor"/>
    </font>
    <font>
      <i/>
      <sz val="12"/>
      <color theme="1"/>
      <name val="Calibri"/>
      <family val="2"/>
      <scheme val="minor"/>
    </font>
    <font>
      <i/>
      <sz val="10"/>
      <color theme="1"/>
      <name val="Calibri"/>
      <family val="2"/>
      <scheme val="minor"/>
    </font>
    <font>
      <b/>
      <sz val="14"/>
      <name val="Calibri"/>
      <family val="2"/>
      <scheme val="minor"/>
    </font>
    <font>
      <b/>
      <i/>
      <sz val="10"/>
      <name val="Calibri"/>
      <family val="2"/>
      <scheme val="minor"/>
    </font>
    <font>
      <b/>
      <sz val="14"/>
      <color rgb="FFFF0000"/>
      <name val="Calibri"/>
      <family val="2"/>
      <scheme val="minor"/>
    </font>
    <font>
      <b/>
      <i/>
      <u/>
      <sz val="12"/>
      <color theme="1"/>
      <name val="Calibri"/>
      <family val="2"/>
      <scheme val="minor"/>
    </font>
    <font>
      <b/>
      <sz val="9"/>
      <color theme="0"/>
      <name val="Calibri"/>
      <family val="2"/>
      <scheme val="minor"/>
    </font>
    <font>
      <b/>
      <sz val="8"/>
      <color theme="0"/>
      <name val="Calibri"/>
      <family val="2"/>
      <scheme val="minor"/>
    </font>
    <font>
      <i/>
      <sz val="8"/>
      <color theme="1"/>
      <name val="Calibri"/>
      <family val="2"/>
      <scheme val="minor"/>
    </font>
    <font>
      <sz val="11"/>
      <color theme="1"/>
      <name val="Arial"/>
      <family val="2"/>
    </font>
    <font>
      <b/>
      <sz val="14"/>
      <color theme="0"/>
      <name val="Arial"/>
      <family val="2"/>
    </font>
    <font>
      <b/>
      <u/>
      <sz val="11"/>
      <color theme="1"/>
      <name val="Arial"/>
      <family val="2"/>
    </font>
    <font>
      <b/>
      <sz val="11"/>
      <color theme="1"/>
      <name val="Arial"/>
      <family val="2"/>
    </font>
    <font>
      <b/>
      <sz val="10"/>
      <color theme="0"/>
      <name val="Arial"/>
      <family val="2"/>
    </font>
    <font>
      <b/>
      <sz val="12"/>
      <color theme="0"/>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sz val="14"/>
      <color theme="0"/>
      <name val="Calibri"/>
      <family val="2"/>
      <scheme val="minor"/>
    </font>
    <font>
      <sz val="8"/>
      <color theme="0"/>
      <name val="Calibri"/>
      <family val="2"/>
      <scheme val="minor"/>
    </font>
    <font>
      <u/>
      <sz val="9"/>
      <color theme="1"/>
      <name val="Calibri"/>
      <family val="2"/>
      <scheme val="minor"/>
    </font>
    <font>
      <i/>
      <sz val="9"/>
      <color theme="1"/>
      <name val="Arial"/>
      <family val="2"/>
    </font>
    <font>
      <sz val="12"/>
      <color theme="0"/>
      <name val="Calibri"/>
      <family val="2"/>
      <scheme val="minor"/>
    </font>
    <font>
      <sz val="12"/>
      <name val="Calibri"/>
      <family val="2"/>
      <scheme val="minor"/>
    </font>
    <font>
      <b/>
      <sz val="13"/>
      <color theme="1"/>
      <name val="Calibri"/>
      <family val="2"/>
      <scheme val="minor"/>
    </font>
    <font>
      <b/>
      <sz val="10"/>
      <color theme="0"/>
      <name val="Calibri"/>
      <family val="2"/>
      <scheme val="minor"/>
    </font>
    <font>
      <b/>
      <u/>
      <sz val="11"/>
      <color theme="0"/>
      <name val="Calibri"/>
      <family val="2"/>
      <scheme val="minor"/>
    </font>
    <font>
      <sz val="10"/>
      <color theme="0"/>
      <name val="Calibri"/>
      <family val="2"/>
      <scheme val="minor"/>
    </font>
    <font>
      <sz val="10"/>
      <color theme="0"/>
      <name val="Arial"/>
      <family val="2"/>
    </font>
    <font>
      <b/>
      <i/>
      <sz val="10"/>
      <color theme="1"/>
      <name val="Calibri"/>
      <family val="2"/>
      <scheme val="minor"/>
    </font>
    <font>
      <vertAlign val="superscript"/>
      <sz val="10"/>
      <color theme="1"/>
      <name val="Calibri"/>
      <family val="2"/>
      <scheme val="minor"/>
    </font>
    <font>
      <i/>
      <sz val="11"/>
      <name val="Calibri"/>
      <family val="2"/>
      <scheme val="minor"/>
    </font>
    <font>
      <sz val="9"/>
      <color rgb="FFFF0000"/>
      <name val="Calibri"/>
      <family val="2"/>
      <scheme val="minor"/>
    </font>
    <font>
      <b/>
      <i/>
      <sz val="9"/>
      <color rgb="FFFF0000"/>
      <name val="Calibri"/>
      <family val="2"/>
      <scheme val="minor"/>
    </font>
  </fonts>
  <fills count="8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26"/>
        <bgColor indexed="64"/>
      </patternFill>
    </fill>
    <fill>
      <patternFill patternType="solid">
        <fgColor indexed="15"/>
      </patternFill>
    </fill>
    <fill>
      <patternFill patternType="solid">
        <fgColor indexed="22"/>
        <bgColor indexed="64"/>
      </patternFill>
    </fill>
    <fill>
      <patternFill patternType="solid">
        <fgColor indexed="42"/>
        <bgColor indexed="64"/>
      </patternFill>
    </fill>
    <fill>
      <patternFill patternType="solid">
        <fgColor indexed="9"/>
        <bgColor indexed="64"/>
      </patternFill>
    </fill>
    <fill>
      <patternFill patternType="solid">
        <fgColor indexed="51"/>
        <bgColor indexed="64"/>
      </patternFill>
    </fill>
    <fill>
      <patternFill patternType="solid">
        <fgColor indexed="10"/>
        <bgColor indexed="64"/>
      </patternFill>
    </fill>
    <fill>
      <patternFill patternType="solid">
        <fgColor indexed="50"/>
        <bgColor indexed="64"/>
      </patternFill>
    </fill>
    <fill>
      <patternFill patternType="solid">
        <fgColor indexed="47"/>
        <bgColor indexed="64"/>
      </patternFill>
    </fill>
    <fill>
      <patternFill patternType="solid">
        <fgColor indexed="46"/>
        <bgColor indexed="64"/>
      </patternFill>
    </fill>
    <fill>
      <patternFill patternType="solid">
        <fgColor indexed="12"/>
        <bgColor indexed="64"/>
      </patternFill>
    </fill>
    <fill>
      <patternFill patternType="solid">
        <fgColor indexed="62"/>
        <bgColor indexed="64"/>
      </patternFill>
    </fill>
    <fill>
      <patternFill patternType="solid">
        <fgColor indexed="55"/>
        <bgColor indexed="64"/>
      </patternFill>
    </fill>
    <fill>
      <patternFill patternType="solid">
        <fgColor indexed="13"/>
        <bgColor indexed="64"/>
      </patternFill>
    </fill>
    <fill>
      <patternFill patternType="solid">
        <fgColor indexed="8"/>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99"/>
        <bgColor indexed="64"/>
      </patternFill>
    </fill>
    <fill>
      <patternFill patternType="solid">
        <fgColor rgb="FFFF0000"/>
        <bgColor indexed="64"/>
      </patternFill>
    </fill>
    <fill>
      <patternFill patternType="solid">
        <fgColor theme="9"/>
        <bgColor indexed="64"/>
      </patternFill>
    </fill>
    <fill>
      <patternFill patternType="solid">
        <fgColor theme="3"/>
        <bgColor indexed="64"/>
      </patternFill>
    </fill>
    <fill>
      <patternFill patternType="solid">
        <fgColor theme="6" tint="0.39997558519241921"/>
        <bgColor indexed="64"/>
      </patternFill>
    </fill>
    <fill>
      <patternFill patternType="solid">
        <fgColor theme="1"/>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6"/>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CC99"/>
        <bgColor indexed="64"/>
      </patternFill>
    </fill>
    <fill>
      <patternFill patternType="solid">
        <fgColor theme="0" tint="-0.34998626667073579"/>
        <bgColor indexed="64"/>
      </patternFill>
    </fill>
    <fill>
      <patternFill patternType="solid">
        <fgColor rgb="FF66FF33"/>
        <bgColor indexed="64"/>
      </patternFill>
    </fill>
    <fill>
      <patternFill patternType="solid">
        <fgColor theme="4" tint="0.79998168889431442"/>
        <bgColor indexed="64"/>
      </patternFill>
    </fill>
  </fills>
  <borders count="25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
      <left/>
      <right/>
      <top style="thick">
        <color indexed="22"/>
      </top>
      <bottom/>
      <diagonal/>
    </border>
    <border>
      <left/>
      <right style="thin">
        <color indexed="22"/>
      </right>
      <top style="thick">
        <color indexed="22"/>
      </top>
      <bottom/>
      <diagonal/>
    </border>
    <border>
      <left/>
      <right style="thin">
        <color indexed="22"/>
      </right>
      <top/>
      <bottom/>
      <diagonal/>
    </border>
    <border>
      <left style="thin">
        <color indexed="22"/>
      </left>
      <right style="thin">
        <color indexed="22"/>
      </right>
      <top style="thin">
        <color indexed="22"/>
      </top>
      <bottom style="thick">
        <color indexed="22"/>
      </bottom>
      <diagonal/>
    </border>
    <border>
      <left style="thin">
        <color indexed="22"/>
      </left>
      <right style="thin">
        <color indexed="22"/>
      </right>
      <top style="thin">
        <color indexed="22"/>
      </top>
      <bottom/>
      <diagonal/>
    </border>
    <border>
      <left style="thin">
        <color indexed="64"/>
      </left>
      <right style="thin">
        <color indexed="64"/>
      </right>
      <top style="thin">
        <color indexed="64"/>
      </top>
      <bottom style="thin">
        <color indexed="64"/>
      </bottom>
      <diagonal/>
    </border>
    <border>
      <left style="thin">
        <color indexed="22"/>
      </left>
      <right/>
      <top style="thin">
        <color indexed="22"/>
      </top>
      <bottom style="thick">
        <color indexed="22"/>
      </bottom>
      <diagonal/>
    </border>
    <border>
      <left/>
      <right style="thin">
        <color indexed="22"/>
      </right>
      <top style="thin">
        <color indexed="22"/>
      </top>
      <bottom style="thick">
        <color indexed="22"/>
      </bottom>
      <diagonal/>
    </border>
    <border>
      <left style="thin">
        <color indexed="22"/>
      </left>
      <right style="thin">
        <color indexed="22"/>
      </right>
      <top style="thick">
        <color indexed="22"/>
      </top>
      <bottom style="thin">
        <color indexed="22"/>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22"/>
      </left>
      <right style="thin">
        <color indexed="22"/>
      </right>
      <top/>
      <bottom style="thin">
        <color indexed="22"/>
      </bottom>
      <diagonal/>
    </border>
    <border>
      <left/>
      <right style="thin">
        <color indexed="22"/>
      </right>
      <top style="thin">
        <color indexed="22"/>
      </top>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thin">
        <color indexed="22"/>
      </left>
      <right style="thin">
        <color indexed="22"/>
      </right>
      <top/>
      <bottom style="thick">
        <color indexed="22"/>
      </bottom>
      <diagonal/>
    </border>
    <border>
      <left/>
      <right/>
      <top/>
      <bottom style="medium">
        <color indexed="64"/>
      </bottom>
      <diagonal/>
    </border>
    <border>
      <left/>
      <right/>
      <top/>
      <bottom style="double">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dotted">
        <color indexed="64"/>
      </left>
      <right style="thin">
        <color indexed="64"/>
      </right>
      <top style="thin">
        <color indexed="64"/>
      </top>
      <bottom style="thin">
        <color indexed="64"/>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22"/>
      </left>
      <right style="thin">
        <color indexed="64"/>
      </right>
      <top style="thin">
        <color indexed="22"/>
      </top>
      <bottom style="thin">
        <color indexed="22"/>
      </bottom>
      <diagonal/>
    </border>
    <border>
      <left style="thin">
        <color indexed="64"/>
      </left>
      <right style="thin">
        <color indexed="64"/>
      </right>
      <top/>
      <bottom style="double">
        <color indexed="64"/>
      </bottom>
      <diagonal/>
    </border>
    <border>
      <left style="thin">
        <color indexed="22"/>
      </left>
      <right style="thin">
        <color indexed="22"/>
      </right>
      <top style="thick">
        <color indexed="22"/>
      </top>
      <bottom/>
      <diagonal/>
    </border>
    <border>
      <left style="thin">
        <color indexed="22"/>
      </left>
      <right style="thin">
        <color indexed="22"/>
      </right>
      <top style="thin">
        <color indexed="22"/>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dotted">
        <color indexed="64"/>
      </right>
      <top/>
      <bottom/>
      <diagonal/>
    </border>
    <border>
      <left/>
      <right style="dotted">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dotted">
        <color indexed="64"/>
      </left>
      <right style="thin">
        <color indexed="64"/>
      </right>
      <top style="thin">
        <color indexed="64"/>
      </top>
      <bottom/>
      <diagonal/>
    </border>
    <border>
      <left style="thin">
        <color indexed="8"/>
      </left>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right style="thin">
        <color indexed="8"/>
      </right>
      <top style="thin">
        <color indexed="8"/>
      </top>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style="thin">
        <color indexed="64"/>
      </bottom>
      <diagonal/>
    </border>
    <border>
      <left style="thin">
        <color indexed="64"/>
      </left>
      <right/>
      <top style="thin">
        <color indexed="64"/>
      </top>
      <bottom style="thin">
        <color indexed="8"/>
      </bottom>
      <diagonal/>
    </border>
    <border>
      <left style="thin">
        <color indexed="8"/>
      </left>
      <right/>
      <top style="thin">
        <color indexed="64"/>
      </top>
      <bottom style="thin">
        <color indexed="8"/>
      </bottom>
      <diagonal/>
    </border>
    <border>
      <left style="thin">
        <color indexed="8"/>
      </left>
      <right style="thin">
        <color indexed="64"/>
      </right>
      <top style="thin">
        <color indexed="64"/>
      </top>
      <bottom style="thin">
        <color indexed="8"/>
      </bottom>
      <diagonal/>
    </border>
    <border>
      <left/>
      <right style="dotted">
        <color indexed="64"/>
      </right>
      <top style="thin">
        <color indexed="64"/>
      </top>
      <bottom/>
      <diagonal/>
    </border>
    <border>
      <left style="thin">
        <color indexed="22"/>
      </left>
      <right/>
      <top/>
      <bottom style="thin">
        <color indexed="22"/>
      </bottom>
      <diagonal/>
    </border>
    <border>
      <left style="thin">
        <color indexed="22"/>
      </left>
      <right/>
      <top style="thin">
        <color indexed="22"/>
      </top>
      <bottom style="thin">
        <color indexed="22"/>
      </bottom>
      <diagonal/>
    </border>
    <border>
      <left style="thin">
        <color indexed="22"/>
      </left>
      <right/>
      <top style="thin">
        <color indexed="22"/>
      </top>
      <bottom/>
      <diagonal/>
    </border>
    <border>
      <left/>
      <right style="thin">
        <color indexed="22"/>
      </right>
      <top style="thin">
        <color indexed="22"/>
      </top>
      <bottom style="thin">
        <color indexed="22"/>
      </bottom>
      <diagonal/>
    </border>
    <border>
      <left style="hair">
        <color indexed="64"/>
      </left>
      <right/>
      <top/>
      <bottom/>
      <diagonal/>
    </border>
    <border>
      <left/>
      <right style="hair">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auto="1"/>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auto="1"/>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thin">
        <color indexed="64"/>
      </left>
      <right/>
      <top/>
      <bottom style="hair">
        <color auto="1"/>
      </bottom>
      <diagonal/>
    </border>
    <border>
      <left/>
      <right/>
      <top/>
      <bottom style="hair">
        <color auto="1"/>
      </bottom>
      <diagonal/>
    </border>
    <border>
      <left style="hair">
        <color auto="1"/>
      </left>
      <right/>
      <top/>
      <bottom style="hair">
        <color auto="1"/>
      </bottom>
      <diagonal/>
    </border>
    <border>
      <left/>
      <right style="thin">
        <color auto="1"/>
      </right>
      <top/>
      <bottom style="hair">
        <color auto="1"/>
      </bottom>
      <diagonal/>
    </border>
    <border>
      <left style="hair">
        <color indexed="64"/>
      </left>
      <right/>
      <top/>
      <bottom style="thin">
        <color auto="1"/>
      </bottom>
      <diagonal/>
    </border>
    <border>
      <left style="thin">
        <color theme="0"/>
      </left>
      <right/>
      <top/>
      <bottom/>
      <diagonal/>
    </border>
    <border>
      <left style="thin">
        <color theme="0"/>
      </left>
      <right/>
      <top style="thin">
        <color theme="0"/>
      </top>
      <bottom style="thin">
        <color indexed="64"/>
      </bottom>
      <diagonal/>
    </border>
    <border>
      <left style="dashDotDot">
        <color indexed="64"/>
      </left>
      <right style="thin">
        <color theme="0"/>
      </right>
      <top style="thin">
        <color theme="0"/>
      </top>
      <bottom style="thin">
        <color indexed="64"/>
      </bottom>
      <diagonal/>
    </border>
    <border>
      <left style="thin">
        <color theme="0"/>
      </left>
      <right style="thin">
        <color theme="0"/>
      </right>
      <top/>
      <bottom style="thin">
        <color indexed="64"/>
      </bottom>
      <diagonal/>
    </border>
    <border>
      <left/>
      <right style="thin">
        <color theme="0"/>
      </right>
      <top style="thin">
        <color theme="0"/>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style="thin">
        <color indexed="64"/>
      </right>
      <top style="double">
        <color indexed="64"/>
      </top>
      <bottom style="double">
        <color indexed="64"/>
      </bottom>
      <diagonal/>
    </border>
    <border>
      <left/>
      <right/>
      <top style="thin">
        <color auto="1"/>
      </top>
      <bottom style="thin">
        <color theme="0"/>
      </bottom>
      <diagonal/>
    </border>
    <border>
      <left/>
      <right style="thin">
        <color theme="0"/>
      </right>
      <top style="thin">
        <color auto="1"/>
      </top>
      <bottom style="thin">
        <color theme="0"/>
      </bottom>
      <diagonal/>
    </border>
    <border>
      <left/>
      <right/>
      <top/>
      <bottom style="thin">
        <color theme="0"/>
      </bottom>
      <diagonal/>
    </border>
    <border>
      <left style="thin">
        <color theme="0"/>
      </left>
      <right/>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theme="0"/>
      </right>
      <top style="thin">
        <color theme="0"/>
      </top>
      <bottom/>
      <diagonal/>
    </border>
    <border>
      <left style="thin">
        <color auto="1"/>
      </left>
      <right style="thin">
        <color theme="0"/>
      </right>
      <top style="thin">
        <color theme="0"/>
      </top>
      <bottom style="thin">
        <color indexed="64"/>
      </bottom>
      <diagonal/>
    </border>
    <border>
      <left style="thin">
        <color auto="1"/>
      </left>
      <right/>
      <top style="thin">
        <color auto="1"/>
      </top>
      <bottom style="thin">
        <color theme="0"/>
      </bottom>
      <diagonal/>
    </border>
    <border>
      <left/>
      <right style="thin">
        <color auto="1"/>
      </right>
      <top style="thin">
        <color auto="1"/>
      </top>
      <bottom style="thin">
        <color theme="0"/>
      </bottom>
      <diagonal/>
    </border>
    <border>
      <left/>
      <right style="thin">
        <color indexed="64"/>
      </right>
      <top style="medium">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bottom style="medium">
        <color indexed="64"/>
      </bottom>
      <diagonal/>
    </border>
    <border>
      <left style="thin">
        <color indexed="64"/>
      </left>
      <right/>
      <top style="medium">
        <color indexed="64"/>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bottom/>
      <diagonal/>
    </border>
    <border>
      <left style="hair">
        <color indexed="64"/>
      </left>
      <right style="thin">
        <color indexed="64"/>
      </right>
      <top style="hair">
        <color indexed="64"/>
      </top>
      <bottom/>
      <diagonal/>
    </border>
    <border>
      <left style="hair">
        <color indexed="64"/>
      </left>
      <right style="thin">
        <color indexed="64"/>
      </right>
      <top/>
      <bottom style="thin">
        <color indexed="64"/>
      </bottom>
      <diagonal/>
    </border>
    <border>
      <left style="hair">
        <color indexed="64"/>
      </left>
      <right style="hair">
        <color indexed="64"/>
      </right>
      <top style="hair">
        <color indexed="64"/>
      </top>
      <bottom/>
      <diagonal/>
    </border>
    <border>
      <left/>
      <right style="hair">
        <color auto="1"/>
      </right>
      <top style="hair">
        <color indexed="64"/>
      </top>
      <bottom/>
      <diagonal/>
    </border>
    <border>
      <left/>
      <right style="hair">
        <color auto="1"/>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style="hair">
        <color auto="1"/>
      </left>
      <right style="hair">
        <color auto="1"/>
      </right>
      <top style="thin">
        <color auto="1"/>
      </top>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style="hair">
        <color auto="1"/>
      </right>
      <top/>
      <bottom style="thin">
        <color auto="1"/>
      </bottom>
      <diagonal/>
    </border>
    <border>
      <left style="hair">
        <color indexed="64"/>
      </left>
      <right style="hair">
        <color indexed="64"/>
      </right>
      <top/>
      <bottom style="thin">
        <color auto="1"/>
      </bottom>
      <diagonal/>
    </border>
    <border>
      <left style="thin">
        <color indexed="64"/>
      </left>
      <right/>
      <top/>
      <bottom style="medium">
        <color indexed="64"/>
      </bottom>
      <diagonal/>
    </border>
    <border>
      <left style="thin">
        <color theme="0"/>
      </left>
      <right style="thin">
        <color theme="0"/>
      </right>
      <top style="thin">
        <color theme="0"/>
      </top>
      <bottom style="thin">
        <color indexed="64"/>
      </bottom>
      <diagonal/>
    </border>
    <border>
      <left style="thin">
        <color indexed="64"/>
      </left>
      <right/>
      <top style="hair">
        <color indexed="64"/>
      </top>
      <bottom style="double">
        <color indexed="64"/>
      </bottom>
      <diagonal/>
    </border>
    <border>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thin">
        <color indexed="64"/>
      </right>
      <top style="hair">
        <color indexed="64"/>
      </top>
      <bottom style="double">
        <color indexed="64"/>
      </bottom>
      <diagonal/>
    </border>
    <border>
      <left style="thin">
        <color theme="0"/>
      </left>
      <right/>
      <top style="thin">
        <color theme="0"/>
      </top>
      <bottom/>
      <diagonal/>
    </border>
    <border>
      <left style="thin">
        <color theme="0"/>
      </left>
      <right/>
      <top/>
      <bottom style="thin">
        <color auto="1"/>
      </bottom>
      <diagonal/>
    </border>
    <border>
      <left/>
      <right style="medium">
        <color theme="0"/>
      </right>
      <top style="thin">
        <color indexed="64"/>
      </top>
      <bottom style="thin">
        <color indexed="64"/>
      </bottom>
      <diagonal/>
    </border>
    <border>
      <left/>
      <right style="medium">
        <color theme="0"/>
      </right>
      <top style="thin">
        <color theme="0"/>
      </top>
      <bottom style="thin">
        <color indexed="64"/>
      </bottom>
      <diagonal/>
    </border>
    <border>
      <left/>
      <right style="medium">
        <color theme="0"/>
      </right>
      <top/>
      <bottom style="thin">
        <color indexed="64"/>
      </bottom>
      <diagonal/>
    </border>
    <border>
      <left style="dashed">
        <color indexed="64"/>
      </left>
      <right/>
      <top style="thin">
        <color indexed="64"/>
      </top>
      <bottom/>
      <diagonal/>
    </border>
    <border>
      <left style="medium">
        <color theme="0"/>
      </left>
      <right/>
      <top style="thin">
        <color indexed="64"/>
      </top>
      <bottom/>
      <diagonal/>
    </border>
    <border>
      <left style="dashed">
        <color indexed="64"/>
      </left>
      <right/>
      <top/>
      <bottom/>
      <diagonal/>
    </border>
    <border>
      <left style="medium">
        <color theme="0"/>
      </left>
      <right/>
      <top/>
      <bottom/>
      <diagonal/>
    </border>
    <border>
      <left style="dashed">
        <color indexed="64"/>
      </left>
      <right/>
      <top/>
      <bottom style="thin">
        <color indexed="64"/>
      </bottom>
      <diagonal/>
    </border>
    <border>
      <left style="medium">
        <color theme="0"/>
      </left>
      <right/>
      <top/>
      <bottom style="thin">
        <color indexed="64"/>
      </bottom>
      <diagonal/>
    </border>
    <border>
      <left style="dashed">
        <color indexed="64"/>
      </left>
      <right/>
      <top style="thin">
        <color indexed="64"/>
      </top>
      <bottom style="thin">
        <color indexed="64"/>
      </bottom>
      <diagonal/>
    </border>
    <border>
      <left style="medium">
        <color theme="0"/>
      </left>
      <right/>
      <top style="thin">
        <color indexed="64"/>
      </top>
      <bottom style="thin">
        <color indexed="64"/>
      </bottom>
      <diagonal/>
    </border>
    <border>
      <left style="dashed">
        <color indexed="64"/>
      </left>
      <right/>
      <top style="thin">
        <color indexed="64"/>
      </top>
      <bottom style="double">
        <color indexed="64"/>
      </bottom>
      <diagonal/>
    </border>
    <border>
      <left style="medium">
        <color theme="0"/>
      </left>
      <right/>
      <top style="thin">
        <color indexed="64"/>
      </top>
      <bottom style="double">
        <color indexed="64"/>
      </bottom>
      <diagonal/>
    </border>
    <border>
      <left style="thin">
        <color indexed="64"/>
      </left>
      <right/>
      <top style="double">
        <color indexed="64"/>
      </top>
      <bottom/>
      <diagonal/>
    </border>
    <border>
      <left style="dashed">
        <color indexed="64"/>
      </left>
      <right/>
      <top style="double">
        <color indexed="64"/>
      </top>
      <bottom/>
      <diagonal/>
    </border>
    <border>
      <left/>
      <right/>
      <top style="double">
        <color indexed="64"/>
      </top>
      <bottom/>
      <diagonal/>
    </border>
    <border>
      <left style="medium">
        <color theme="0"/>
      </left>
      <right/>
      <top style="double">
        <color indexed="64"/>
      </top>
      <bottom/>
      <diagonal/>
    </border>
    <border>
      <left/>
      <right style="thin">
        <color indexed="64"/>
      </right>
      <top style="double">
        <color indexed="64"/>
      </top>
      <bottom/>
      <diagonal/>
    </border>
    <border>
      <left style="dashed">
        <color indexed="64"/>
      </left>
      <right/>
      <top/>
      <bottom style="double">
        <color indexed="64"/>
      </bottom>
      <diagonal/>
    </border>
    <border>
      <left/>
      <right style="medium">
        <color theme="0"/>
      </right>
      <top/>
      <bottom style="double">
        <color indexed="64"/>
      </bottom>
      <diagonal/>
    </border>
    <border>
      <left style="medium">
        <color theme="0"/>
      </left>
      <right/>
      <top style="medium">
        <color theme="0"/>
      </top>
      <bottom style="double">
        <color indexed="64"/>
      </bottom>
      <diagonal/>
    </border>
    <border>
      <left/>
      <right/>
      <top style="medium">
        <color theme="0"/>
      </top>
      <bottom style="double">
        <color indexed="64"/>
      </bottom>
      <diagonal/>
    </border>
    <border>
      <left style="thin">
        <color indexed="64"/>
      </left>
      <right style="medium">
        <color indexed="64"/>
      </right>
      <top style="hair">
        <color indexed="64"/>
      </top>
      <bottom/>
      <diagonal/>
    </border>
    <border>
      <left style="thin">
        <color indexed="64"/>
      </left>
      <right style="medium">
        <color indexed="64"/>
      </right>
      <top/>
      <bottom/>
      <diagonal/>
    </border>
    <border>
      <left style="thin">
        <color indexed="64"/>
      </left>
      <right style="hair">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theme="0"/>
      </right>
      <top style="thin">
        <color auto="1"/>
      </top>
      <bottom style="thin">
        <color auto="1"/>
      </bottom>
      <diagonal/>
    </border>
    <border>
      <left style="thin">
        <color theme="0"/>
      </left>
      <right style="thin">
        <color theme="0"/>
      </right>
      <top style="thin">
        <color auto="1"/>
      </top>
      <bottom style="thin">
        <color auto="1"/>
      </bottom>
      <diagonal/>
    </border>
    <border>
      <left style="thin">
        <color theme="0"/>
      </left>
      <right style="thin">
        <color auto="1"/>
      </right>
      <top style="thin">
        <color auto="1"/>
      </top>
      <bottom style="thin">
        <color auto="1"/>
      </bottom>
      <diagonal/>
    </border>
    <border>
      <left style="medium">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medium">
        <color theme="0"/>
      </right>
      <top style="thin">
        <color theme="0"/>
      </top>
      <bottom style="thin">
        <color theme="0"/>
      </bottom>
      <diagonal/>
    </border>
    <border>
      <left style="medium">
        <color theme="0"/>
      </left>
      <right/>
      <top style="medium">
        <color theme="0"/>
      </top>
      <bottom style="thin">
        <color theme="0"/>
      </bottom>
      <diagonal/>
    </border>
    <border>
      <left/>
      <right/>
      <top style="medium">
        <color theme="0"/>
      </top>
      <bottom style="thin">
        <color theme="0"/>
      </bottom>
      <diagonal/>
    </border>
    <border>
      <left/>
      <right style="medium">
        <color theme="0"/>
      </right>
      <top style="medium">
        <color theme="0"/>
      </top>
      <bottom style="thin">
        <color theme="0"/>
      </bottom>
      <diagonal/>
    </border>
    <border>
      <left style="medium">
        <color theme="0"/>
      </left>
      <right/>
      <top style="thin">
        <color theme="0"/>
      </top>
      <bottom style="medium">
        <color theme="0"/>
      </bottom>
      <diagonal/>
    </border>
    <border>
      <left/>
      <right/>
      <top style="thin">
        <color theme="0"/>
      </top>
      <bottom style="medium">
        <color theme="0"/>
      </bottom>
      <diagonal/>
    </border>
    <border>
      <left/>
      <right style="medium">
        <color theme="0"/>
      </right>
      <top style="thin">
        <color theme="0"/>
      </top>
      <bottom style="medium">
        <color theme="0"/>
      </bottom>
      <diagonal/>
    </border>
    <border>
      <left/>
      <right style="dashDotDot">
        <color indexed="64"/>
      </right>
      <top style="thin">
        <color indexed="64"/>
      </top>
      <bottom/>
      <diagonal/>
    </border>
    <border>
      <left/>
      <right style="dashDotDot">
        <color indexed="64"/>
      </right>
      <top/>
      <bottom style="thin">
        <color indexed="64"/>
      </bottom>
      <diagonal/>
    </border>
    <border>
      <left/>
      <right style="dashDotDot">
        <color indexed="64"/>
      </right>
      <top style="thin">
        <color indexed="64"/>
      </top>
      <bottom style="thin">
        <color indexed="64"/>
      </bottom>
      <diagonal/>
    </border>
    <border>
      <left/>
      <right style="dashDotDot">
        <color indexed="64"/>
      </right>
      <top/>
      <bottom/>
      <diagonal/>
    </border>
    <border>
      <left style="medium">
        <color theme="0"/>
      </left>
      <right/>
      <top style="thin">
        <color theme="0"/>
      </top>
      <bottom/>
      <diagonal/>
    </border>
    <border>
      <left/>
      <right/>
      <top style="thin">
        <color theme="0"/>
      </top>
      <bottom/>
      <diagonal/>
    </border>
    <border>
      <left style="medium">
        <color theme="0"/>
      </left>
      <right/>
      <top/>
      <bottom style="thin">
        <color theme="0"/>
      </bottom>
      <diagonal/>
    </border>
    <border>
      <left/>
      <right style="medium">
        <color theme="0"/>
      </right>
      <top/>
      <bottom style="thin">
        <color theme="0"/>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bottom style="thin">
        <color theme="0"/>
      </bottom>
      <diagonal/>
    </border>
    <border>
      <left style="thin">
        <color theme="0"/>
      </left>
      <right style="thin">
        <color auto="1"/>
      </right>
      <top style="thin">
        <color theme="0"/>
      </top>
      <bottom style="thin">
        <color theme="0"/>
      </bottom>
      <diagonal/>
    </border>
    <border>
      <left/>
      <right style="thin">
        <color auto="1"/>
      </right>
      <top style="thin">
        <color theme="0"/>
      </top>
      <bottom/>
      <diagonal/>
    </border>
    <border>
      <left/>
      <right style="hair">
        <color auto="1"/>
      </right>
      <top style="thin">
        <color auto="1"/>
      </top>
      <bottom/>
      <diagonal/>
    </border>
    <border>
      <left style="hair">
        <color indexed="64"/>
      </left>
      <right style="thin">
        <color indexed="64"/>
      </right>
      <top style="thin">
        <color indexed="64"/>
      </top>
      <bottom/>
      <diagonal/>
    </border>
    <border>
      <left/>
      <right style="hair">
        <color indexed="64"/>
      </right>
      <top/>
      <bottom style="medium">
        <color indexed="64"/>
      </bottom>
      <diagonal/>
    </border>
    <border>
      <left style="hair">
        <color indexed="64"/>
      </left>
      <right/>
      <top/>
      <bottom style="medium">
        <color indexed="64"/>
      </bottom>
      <diagonal/>
    </border>
    <border>
      <left/>
      <right style="hair">
        <color indexed="64"/>
      </right>
      <top style="thin">
        <color indexed="64"/>
      </top>
      <bottom style="thin">
        <color auto="1"/>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s>
  <cellStyleXfs count="99">
    <xf numFmtId="0" fontId="0" fillId="0" borderId="0"/>
    <xf numFmtId="0" fontId="68" fillId="2" borderId="0" applyNumberFormat="0" applyBorder="0" applyAlignment="0" applyProtection="0"/>
    <xf numFmtId="0" fontId="68" fillId="3" borderId="0" applyNumberFormat="0" applyBorder="0" applyAlignment="0" applyProtection="0"/>
    <xf numFmtId="0" fontId="68" fillId="4" borderId="0" applyNumberFormat="0" applyBorder="0" applyAlignment="0" applyProtection="0"/>
    <xf numFmtId="0" fontId="68" fillId="5" borderId="0" applyNumberFormat="0" applyBorder="0" applyAlignment="0" applyProtection="0"/>
    <xf numFmtId="0" fontId="68" fillId="6" borderId="0" applyNumberFormat="0" applyBorder="0" applyAlignment="0" applyProtection="0"/>
    <xf numFmtId="0" fontId="68" fillId="7" borderId="0" applyNumberFormat="0" applyBorder="0" applyAlignment="0" applyProtection="0"/>
    <xf numFmtId="0" fontId="68" fillId="8"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5" borderId="0" applyNumberFormat="0" applyBorder="0" applyAlignment="0" applyProtection="0"/>
    <xf numFmtId="0" fontId="68" fillId="8" borderId="0" applyNumberFormat="0" applyBorder="0" applyAlignment="0" applyProtection="0"/>
    <xf numFmtId="0" fontId="68" fillId="11" borderId="0" applyNumberFormat="0" applyBorder="0" applyAlignment="0" applyProtection="0"/>
    <xf numFmtId="0" fontId="69" fillId="12" borderId="0" applyNumberFormat="0" applyBorder="0" applyAlignment="0" applyProtection="0"/>
    <xf numFmtId="0" fontId="69" fillId="9" borderId="0" applyNumberFormat="0" applyBorder="0" applyAlignment="0" applyProtection="0"/>
    <xf numFmtId="0" fontId="69" fillId="10" borderId="0" applyNumberFormat="0" applyBorder="0" applyAlignment="0" applyProtection="0"/>
    <xf numFmtId="0" fontId="69" fillId="13" borderId="0" applyNumberFormat="0" applyBorder="0" applyAlignment="0" applyProtection="0"/>
    <xf numFmtId="0" fontId="69" fillId="14" borderId="0" applyNumberFormat="0" applyBorder="0" applyAlignment="0" applyProtection="0"/>
    <xf numFmtId="0" fontId="69" fillId="15" borderId="0" applyNumberFormat="0" applyBorder="0" applyAlignment="0" applyProtection="0"/>
    <xf numFmtId="0" fontId="69" fillId="16" borderId="0" applyNumberFormat="0" applyBorder="0" applyAlignment="0" applyProtection="0"/>
    <xf numFmtId="0" fontId="69" fillId="17" borderId="0" applyNumberFormat="0" applyBorder="0" applyAlignment="0" applyProtection="0"/>
    <xf numFmtId="0" fontId="69" fillId="18" borderId="0" applyNumberFormat="0" applyBorder="0" applyAlignment="0" applyProtection="0"/>
    <xf numFmtId="0" fontId="69" fillId="13" borderId="0" applyNumberFormat="0" applyBorder="0" applyAlignment="0" applyProtection="0"/>
    <xf numFmtId="0" fontId="69" fillId="14" borderId="0" applyNumberFormat="0" applyBorder="0" applyAlignment="0" applyProtection="0"/>
    <xf numFmtId="0" fontId="69" fillId="19" borderId="0" applyNumberFormat="0" applyBorder="0" applyAlignment="0" applyProtection="0"/>
    <xf numFmtId="0" fontId="70" fillId="3" borderId="0" applyNumberFormat="0" applyBorder="0" applyAlignment="0" applyProtection="0"/>
    <xf numFmtId="0" fontId="71" fillId="20" borderId="1" applyNumberFormat="0" applyAlignment="0" applyProtection="0"/>
    <xf numFmtId="0" fontId="72" fillId="21" borderId="2" applyNumberFormat="0" applyAlignment="0" applyProtection="0"/>
    <xf numFmtId="43" fontId="2" fillId="0" borderId="0" applyFont="0" applyFill="0" applyBorder="0" applyAlignment="0" applyProtection="0"/>
    <xf numFmtId="44" fontId="2" fillId="0" borderId="0" applyFont="0" applyFill="0" applyBorder="0" applyAlignment="0" applyProtection="0"/>
    <xf numFmtId="0" fontId="73" fillId="0" borderId="0" applyNumberFormat="0" applyFill="0" applyBorder="0" applyAlignment="0" applyProtection="0"/>
    <xf numFmtId="0" fontId="74" fillId="4" borderId="0" applyNumberFormat="0" applyBorder="0" applyAlignment="0" applyProtection="0"/>
    <xf numFmtId="0" fontId="75" fillId="0" borderId="3" applyNumberFormat="0" applyFill="0" applyAlignment="0" applyProtection="0"/>
    <xf numFmtId="0" fontId="76" fillId="0" borderId="4" applyNumberFormat="0" applyFill="0" applyAlignment="0" applyProtection="0"/>
    <xf numFmtId="0" fontId="77" fillId="0" borderId="5" applyNumberFormat="0" applyFill="0" applyAlignment="0" applyProtection="0"/>
    <xf numFmtId="0" fontId="77" fillId="0" borderId="0" applyNumberFormat="0" applyFill="0" applyBorder="0" applyAlignment="0" applyProtection="0"/>
    <xf numFmtId="0" fontId="78" fillId="7" borderId="1" applyNumberFormat="0" applyAlignment="0" applyProtection="0"/>
    <xf numFmtId="0" fontId="79" fillId="0" borderId="6" applyNumberFormat="0" applyFill="0" applyAlignment="0" applyProtection="0"/>
    <xf numFmtId="0" fontId="80" fillId="22" borderId="0" applyNumberFormat="0" applyBorder="0" applyAlignment="0" applyProtection="0"/>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2" fillId="0" borderId="0">
      <alignment wrapText="1"/>
    </xf>
    <xf numFmtId="0" fontId="10" fillId="0" borderId="0"/>
    <xf numFmtId="0" fontId="28" fillId="0" borderId="0"/>
    <xf numFmtId="0" fontId="2" fillId="23" borderId="7" applyNumberFormat="0" applyFont="0" applyAlignment="0" applyProtection="0"/>
    <xf numFmtId="0" fontId="81" fillId="20" borderId="8" applyNumberFormat="0" applyAlignment="0" applyProtection="0"/>
    <xf numFmtId="9" fontId="2" fillId="0" borderId="0" applyFont="0" applyFill="0" applyBorder="0" applyAlignment="0" applyProtection="0"/>
    <xf numFmtId="4" fontId="36" fillId="22" borderId="9" applyNumberFormat="0" applyProtection="0">
      <alignment vertical="center"/>
    </xf>
    <xf numFmtId="4" fontId="41" fillId="24" borderId="9" applyNumberFormat="0" applyProtection="0">
      <alignment vertical="center"/>
    </xf>
    <xf numFmtId="4" fontId="36" fillId="24" borderId="9" applyNumberFormat="0" applyProtection="0">
      <alignment horizontal="left" vertical="center" indent="1"/>
    </xf>
    <xf numFmtId="0" fontId="36" fillId="24" borderId="9" applyNumberFormat="0" applyProtection="0">
      <alignment horizontal="left" vertical="top" indent="1"/>
    </xf>
    <xf numFmtId="4" fontId="36" fillId="25" borderId="0" applyNumberFormat="0" applyProtection="0">
      <alignment horizontal="left" vertical="center" indent="1"/>
    </xf>
    <xf numFmtId="4" fontId="37" fillId="3" borderId="9" applyNumberFormat="0" applyProtection="0">
      <alignment horizontal="right" vertical="center"/>
    </xf>
    <xf numFmtId="4" fontId="37" fillId="9" borderId="9" applyNumberFormat="0" applyProtection="0">
      <alignment horizontal="right" vertical="center"/>
    </xf>
    <xf numFmtId="4" fontId="37" fillId="17" borderId="9" applyNumberFormat="0" applyProtection="0">
      <alignment horizontal="right" vertical="center"/>
    </xf>
    <xf numFmtId="4" fontId="37" fillId="11" borderId="9" applyNumberFormat="0" applyProtection="0">
      <alignment horizontal="right" vertical="center"/>
    </xf>
    <xf numFmtId="4" fontId="37" fillId="15" borderId="9" applyNumberFormat="0" applyProtection="0">
      <alignment horizontal="right" vertical="center"/>
    </xf>
    <xf numFmtId="4" fontId="37" fillId="19" borderId="9" applyNumberFormat="0" applyProtection="0">
      <alignment horizontal="right" vertical="center"/>
    </xf>
    <xf numFmtId="4" fontId="37" fillId="18" borderId="9" applyNumberFormat="0" applyProtection="0">
      <alignment horizontal="right" vertical="center"/>
    </xf>
    <xf numFmtId="4" fontId="37" fillId="26" borderId="9" applyNumberFormat="0" applyProtection="0">
      <alignment horizontal="right" vertical="center"/>
    </xf>
    <xf numFmtId="4" fontId="37" fillId="10" borderId="9" applyNumberFormat="0" applyProtection="0">
      <alignment horizontal="right" vertical="center"/>
    </xf>
    <xf numFmtId="4" fontId="36" fillId="27" borderId="10" applyNumberFormat="0" applyProtection="0">
      <alignment horizontal="left" vertical="center" indent="1"/>
    </xf>
    <xf numFmtId="4" fontId="37" fillId="28" borderId="0" applyNumberFormat="0" applyProtection="0">
      <alignment horizontal="left" vertical="center" indent="1"/>
    </xf>
    <xf numFmtId="4" fontId="42" fillId="29" borderId="0" applyNumberFormat="0" applyProtection="0">
      <alignment horizontal="left" vertical="center" indent="1"/>
    </xf>
    <xf numFmtId="4" fontId="37" fillId="30" borderId="9" applyNumberFormat="0" applyProtection="0">
      <alignment horizontal="right" vertical="center"/>
    </xf>
    <xf numFmtId="4" fontId="43" fillId="28" borderId="0" applyNumberFormat="0" applyProtection="0">
      <alignment horizontal="left" vertical="center" indent="1"/>
    </xf>
    <xf numFmtId="4" fontId="43" fillId="25" borderId="0" applyNumberFormat="0" applyProtection="0">
      <alignment horizontal="left" vertical="center" indent="1"/>
    </xf>
    <xf numFmtId="0" fontId="28" fillId="29" borderId="9" applyNumberFormat="0" applyProtection="0">
      <alignment horizontal="left" vertical="center" indent="1"/>
    </xf>
    <xf numFmtId="0" fontId="28" fillId="29" borderId="9" applyNumberFormat="0" applyProtection="0">
      <alignment horizontal="left" vertical="top" indent="1"/>
    </xf>
    <xf numFmtId="0" fontId="28" fillId="25" borderId="9" applyNumberFormat="0" applyProtection="0">
      <alignment horizontal="left" vertical="center" indent="1"/>
    </xf>
    <xf numFmtId="0" fontId="28" fillId="25" borderId="9" applyNumberFormat="0" applyProtection="0">
      <alignment horizontal="left" vertical="top" indent="1"/>
    </xf>
    <xf numFmtId="0" fontId="28" fillId="31" borderId="9" applyNumberFormat="0" applyProtection="0">
      <alignment horizontal="left" vertical="center" indent="1"/>
    </xf>
    <xf numFmtId="0" fontId="28" fillId="31" borderId="9" applyNumberFormat="0" applyProtection="0">
      <alignment horizontal="left" vertical="top" indent="1"/>
    </xf>
    <xf numFmtId="0" fontId="28" fillId="32" borderId="9" applyNumberFormat="0" applyProtection="0">
      <alignment horizontal="left" vertical="center" indent="1"/>
    </xf>
    <xf numFmtId="0" fontId="28" fillId="32" borderId="9" applyNumberFormat="0" applyProtection="0">
      <alignment horizontal="left" vertical="top" indent="1"/>
    </xf>
    <xf numFmtId="4" fontId="37" fillId="33" borderId="9" applyNumberFormat="0" applyProtection="0">
      <alignment vertical="center"/>
    </xf>
    <xf numFmtId="4" fontId="44" fillId="33" borderId="9" applyNumberFormat="0" applyProtection="0">
      <alignment vertical="center"/>
    </xf>
    <xf numFmtId="4" fontId="37" fillId="33" borderId="9" applyNumberFormat="0" applyProtection="0">
      <alignment horizontal="left" vertical="center" indent="1"/>
    </xf>
    <xf numFmtId="0" fontId="37" fillId="33" borderId="9" applyNumberFormat="0" applyProtection="0">
      <alignment horizontal="left" vertical="top" indent="1"/>
    </xf>
    <xf numFmtId="4" fontId="37" fillId="28" borderId="9" applyNumberFormat="0" applyProtection="0">
      <alignment horizontal="right" vertical="center"/>
    </xf>
    <xf numFmtId="4" fontId="44" fillId="28" borderId="9" applyNumberFormat="0" applyProtection="0">
      <alignment horizontal="right" vertical="center"/>
    </xf>
    <xf numFmtId="4" fontId="37" fillId="30" borderId="9" applyNumberFormat="0" applyProtection="0">
      <alignment horizontal="left" vertical="center" indent="1"/>
    </xf>
    <xf numFmtId="0" fontId="37" fillId="25" borderId="9" applyNumberFormat="0" applyProtection="0">
      <alignment horizontal="left" vertical="top" indent="1"/>
    </xf>
    <xf numFmtId="4" fontId="45" fillId="34" borderId="0" applyNumberFormat="0" applyProtection="0">
      <alignment horizontal="left" vertical="center" indent="1"/>
    </xf>
    <xf numFmtId="4" fontId="46" fillId="28" borderId="9" applyNumberFormat="0" applyProtection="0">
      <alignment horizontal="right" vertical="center"/>
    </xf>
    <xf numFmtId="0" fontId="82" fillId="0" borderId="0" applyNumberFormat="0" applyFill="0" applyBorder="0" applyAlignment="0" applyProtection="0"/>
    <xf numFmtId="0" fontId="83" fillId="0" borderId="11" applyNumberFormat="0" applyFill="0" applyAlignment="0" applyProtection="0"/>
    <xf numFmtId="0" fontId="84" fillId="0" borderId="0" applyNumberFormat="0" applyFill="0" applyBorder="0" applyAlignment="0" applyProtection="0"/>
    <xf numFmtId="0" fontId="99" fillId="0" borderId="0"/>
    <xf numFmtId="9" fontId="99" fillId="0" borderId="0" applyFont="0" applyFill="0" applyBorder="0" applyAlignment="0" applyProtection="0"/>
    <xf numFmtId="43" fontId="99" fillId="0" borderId="0" applyFont="0" applyFill="0" applyBorder="0" applyAlignment="0" applyProtection="0"/>
    <xf numFmtId="44" fontId="99" fillId="0" borderId="0" applyFont="0" applyFill="0" applyBorder="0" applyAlignment="0" applyProtection="0"/>
    <xf numFmtId="0" fontId="1" fillId="0" borderId="0"/>
  </cellStyleXfs>
  <cellXfs count="3423">
    <xf numFmtId="0" fontId="0" fillId="0" borderId="0" xfId="0"/>
    <xf numFmtId="0" fontId="3" fillId="0" borderId="0" xfId="0" applyFont="1"/>
    <xf numFmtId="0" fontId="4" fillId="0" borderId="0" xfId="0" applyFont="1"/>
    <xf numFmtId="0" fontId="0" fillId="0" borderId="0" xfId="0" applyBorder="1"/>
    <xf numFmtId="49" fontId="0" fillId="0" borderId="0" xfId="0" applyNumberFormat="1" applyBorder="1"/>
    <xf numFmtId="0" fontId="6" fillId="0" borderId="0" xfId="0" applyFont="1"/>
    <xf numFmtId="0" fontId="0" fillId="0" borderId="0" xfId="0" applyFill="1" applyBorder="1"/>
    <xf numFmtId="0" fontId="7" fillId="0" borderId="0" xfId="0" applyFont="1"/>
    <xf numFmtId="0" fontId="0" fillId="0" borderId="0" xfId="0" applyAlignment="1">
      <alignment horizontal="left"/>
    </xf>
    <xf numFmtId="0" fontId="3" fillId="0" borderId="0" xfId="0" applyFont="1" applyAlignment="1">
      <alignment horizontal="right"/>
    </xf>
    <xf numFmtId="0" fontId="3" fillId="0" borderId="0" xfId="0" applyFont="1" applyAlignment="1">
      <alignment horizontal="center"/>
    </xf>
    <xf numFmtId="0" fontId="3" fillId="0" borderId="12" xfId="0" applyFont="1" applyBorder="1"/>
    <xf numFmtId="0" fontId="6" fillId="0" borderId="0" xfId="0" applyFont="1" applyAlignment="1">
      <alignment horizontal="left"/>
    </xf>
    <xf numFmtId="0" fontId="0" fillId="0" borderId="13" xfId="0" applyBorder="1"/>
    <xf numFmtId="0" fontId="0" fillId="0" borderId="14" xfId="0" applyBorder="1" applyAlignment="1">
      <alignment horizontal="left"/>
    </xf>
    <xf numFmtId="0" fontId="0" fillId="0" borderId="0" xfId="0" applyAlignment="1">
      <alignment horizontal="right"/>
    </xf>
    <xf numFmtId="0" fontId="3" fillId="0" borderId="0" xfId="0" applyFont="1" applyBorder="1"/>
    <xf numFmtId="49" fontId="0" fillId="33" borderId="15" xfId="0" applyNumberFormat="1" applyFill="1" applyBorder="1" applyAlignment="1">
      <alignment horizontal="left" vertical="top" wrapText="1"/>
    </xf>
    <xf numFmtId="0" fontId="0" fillId="0" borderId="0" xfId="0" applyFill="1"/>
    <xf numFmtId="0" fontId="6" fillId="0" borderId="14" xfId="0" applyFont="1" applyFill="1" applyBorder="1" applyAlignment="1">
      <alignment horizontal="left"/>
    </xf>
    <xf numFmtId="0" fontId="0" fillId="0" borderId="0" xfId="0" applyAlignment="1">
      <alignment horizontal="center"/>
    </xf>
    <xf numFmtId="0" fontId="12" fillId="0" borderId="0" xfId="0" applyFont="1" applyAlignment="1">
      <alignment horizontal="center"/>
    </xf>
    <xf numFmtId="0" fontId="3" fillId="0" borderId="0" xfId="0" applyFont="1" applyBorder="1" applyAlignment="1">
      <alignment horizontal="right"/>
    </xf>
    <xf numFmtId="166" fontId="8" fillId="0" borderId="0" xfId="52" applyNumberFormat="1" applyFont="1" applyFill="1" applyBorder="1" applyAlignment="1">
      <alignment horizontal="right"/>
    </xf>
    <xf numFmtId="0" fontId="0" fillId="0" borderId="0" xfId="0" applyFill="1" applyBorder="1" applyAlignment="1">
      <alignment horizontal="left"/>
    </xf>
    <xf numFmtId="0" fontId="4" fillId="0" borderId="0" xfId="0" applyFont="1" applyFill="1" applyBorder="1"/>
    <xf numFmtId="0" fontId="0" fillId="0" borderId="0" xfId="0" applyFill="1" applyAlignment="1">
      <alignment horizontal="right"/>
    </xf>
    <xf numFmtId="0" fontId="0" fillId="0" borderId="0" xfId="0" applyFill="1" applyAlignment="1">
      <alignment horizontal="center"/>
    </xf>
    <xf numFmtId="166" fontId="8" fillId="0" borderId="0" xfId="52" applyNumberFormat="1" applyFont="1" applyFill="1" applyBorder="1" applyAlignment="1">
      <alignment horizontal="center"/>
    </xf>
    <xf numFmtId="164" fontId="3" fillId="0" borderId="0" xfId="0" applyNumberFormat="1" applyFont="1" applyFill="1" applyBorder="1" applyAlignment="1">
      <alignment horizontal="center"/>
    </xf>
    <xf numFmtId="0" fontId="3" fillId="0" borderId="0" xfId="0" applyFont="1" applyFill="1" applyAlignment="1">
      <alignment horizontal="center"/>
    </xf>
    <xf numFmtId="0" fontId="6" fillId="0" borderId="0" xfId="0" applyFont="1" applyFill="1" applyAlignment="1">
      <alignment horizontal="center"/>
    </xf>
    <xf numFmtId="0" fontId="0" fillId="0" borderId="7" xfId="0" applyFill="1" applyBorder="1" applyAlignment="1">
      <alignment horizontal="center"/>
    </xf>
    <xf numFmtId="0" fontId="12" fillId="0" borderId="0" xfId="0" applyFont="1" applyFill="1" applyAlignment="1">
      <alignment horizontal="center"/>
    </xf>
    <xf numFmtId="0" fontId="6" fillId="0" borderId="7" xfId="0" applyFont="1" applyFill="1" applyBorder="1" applyAlignment="1">
      <alignment horizontal="center" vertical="top" wrapText="1"/>
    </xf>
    <xf numFmtId="0" fontId="6" fillId="0" borderId="16" xfId="0" applyFont="1" applyFill="1" applyBorder="1" applyAlignment="1">
      <alignment horizontal="center" vertical="top" wrapText="1"/>
    </xf>
    <xf numFmtId="0" fontId="3" fillId="31" borderId="0" xfId="0" applyFont="1" applyFill="1"/>
    <xf numFmtId="0" fontId="3" fillId="31" borderId="12" xfId="0" applyFont="1" applyFill="1" applyBorder="1"/>
    <xf numFmtId="0" fontId="3" fillId="0" borderId="0" xfId="0" applyFont="1" applyFill="1" applyBorder="1" applyAlignment="1">
      <alignment horizontal="left"/>
    </xf>
    <xf numFmtId="0" fontId="3" fillId="0" borderId="0" xfId="0" applyFont="1" applyFill="1" applyAlignment="1">
      <alignment horizontal="left"/>
    </xf>
    <xf numFmtId="0" fontId="8" fillId="0" borderId="0" xfId="0" applyFont="1" applyBorder="1" applyAlignment="1">
      <alignment horizontal="right"/>
    </xf>
    <xf numFmtId="167" fontId="3" fillId="0" borderId="0" xfId="28" applyNumberFormat="1" applyFont="1" applyBorder="1"/>
    <xf numFmtId="0" fontId="3" fillId="35" borderId="17" xfId="0" applyFont="1" applyFill="1" applyBorder="1" applyAlignment="1">
      <alignment horizontal="center"/>
    </xf>
    <xf numFmtId="0" fontId="14" fillId="0" borderId="0" xfId="0" applyFont="1"/>
    <xf numFmtId="0" fontId="3" fillId="0" borderId="17" xfId="0" applyFont="1" applyBorder="1" applyAlignment="1">
      <alignment horizontal="center"/>
    </xf>
    <xf numFmtId="167" fontId="2" fillId="0" borderId="0" xfId="28" applyNumberFormat="1"/>
    <xf numFmtId="0" fontId="0" fillId="0" borderId="0" xfId="0" applyBorder="1" applyAlignment="1">
      <alignment horizontal="left"/>
    </xf>
    <xf numFmtId="0" fontId="6" fillId="0" borderId="0" xfId="0" applyFont="1" applyFill="1" applyBorder="1" applyAlignment="1">
      <alignment horizontal="left"/>
    </xf>
    <xf numFmtId="0" fontId="0" fillId="33" borderId="18" xfId="0" applyFill="1" applyBorder="1" applyAlignment="1">
      <alignment vertical="top" wrapText="1"/>
    </xf>
    <xf numFmtId="0" fontId="0" fillId="33" borderId="19" xfId="0" applyFill="1" applyBorder="1" applyAlignment="1">
      <alignment vertical="top" wrapText="1"/>
    </xf>
    <xf numFmtId="169" fontId="2" fillId="33" borderId="7" xfId="29" applyNumberFormat="1" applyFill="1" applyBorder="1" applyAlignment="1">
      <alignment horizontal="center" vertical="top" wrapText="1"/>
    </xf>
    <xf numFmtId="49" fontId="3" fillId="0" borderId="0" xfId="0" applyNumberFormat="1" applyFont="1" applyBorder="1" applyAlignment="1"/>
    <xf numFmtId="38" fontId="0" fillId="33" borderId="16" xfId="0" applyNumberFormat="1" applyFill="1" applyBorder="1" applyAlignment="1">
      <alignment horizontal="center"/>
    </xf>
    <xf numFmtId="38" fontId="0" fillId="0" borderId="16" xfId="0" applyNumberFormat="1" applyFill="1" applyBorder="1" applyAlignment="1">
      <alignment horizontal="center"/>
    </xf>
    <xf numFmtId="41" fontId="0" fillId="0" borderId="16" xfId="0" applyNumberFormat="1" applyFill="1" applyBorder="1" applyAlignment="1">
      <alignment horizontal="center"/>
    </xf>
    <xf numFmtId="41" fontId="3" fillId="31" borderId="20" xfId="28" applyNumberFormat="1" applyFont="1" applyFill="1" applyBorder="1" applyAlignment="1">
      <alignment horizontal="center"/>
    </xf>
    <xf numFmtId="6" fontId="3" fillId="31" borderId="7" xfId="0" applyNumberFormat="1" applyFont="1" applyFill="1" applyBorder="1" applyAlignment="1">
      <alignment horizontal="center"/>
    </xf>
    <xf numFmtId="38" fontId="0" fillId="0" borderId="0" xfId="0" applyNumberFormat="1" applyFill="1"/>
    <xf numFmtId="0" fontId="6" fillId="0" borderId="0" xfId="0" applyFont="1" applyFill="1" applyBorder="1"/>
    <xf numFmtId="3" fontId="2" fillId="33" borderId="7" xfId="28" applyNumberFormat="1" applyFill="1" applyBorder="1" applyAlignment="1">
      <alignment horizontal="center" vertical="top" wrapText="1"/>
    </xf>
    <xf numFmtId="0" fontId="3" fillId="35" borderId="0" xfId="0" applyFont="1" applyFill="1" applyAlignment="1">
      <alignment horizontal="left"/>
    </xf>
    <xf numFmtId="38" fontId="3" fillId="35" borderId="17" xfId="0" applyNumberFormat="1" applyFont="1" applyFill="1" applyBorder="1" applyAlignment="1">
      <alignment horizontal="center"/>
    </xf>
    <xf numFmtId="38" fontId="2" fillId="0" borderId="17" xfId="28" applyNumberFormat="1" applyBorder="1" applyAlignment="1">
      <alignment horizontal="center"/>
    </xf>
    <xf numFmtId="38" fontId="3" fillId="36" borderId="21" xfId="28" applyNumberFormat="1" applyFont="1" applyFill="1" applyBorder="1" applyAlignment="1">
      <alignment horizontal="center"/>
    </xf>
    <xf numFmtId="38" fontId="0" fillId="0" borderId="0" xfId="0" applyNumberFormat="1" applyAlignment="1">
      <alignment horizontal="center"/>
    </xf>
    <xf numFmtId="38" fontId="14" fillId="0" borderId="0" xfId="0" applyNumberFormat="1" applyFont="1" applyAlignment="1">
      <alignment horizontal="center"/>
    </xf>
    <xf numFmtId="38" fontId="0" fillId="0" borderId="17" xfId="0" applyNumberFormat="1" applyBorder="1" applyAlignment="1">
      <alignment horizontal="center"/>
    </xf>
    <xf numFmtId="0" fontId="3" fillId="0" borderId="22" xfId="0" applyFont="1" applyFill="1" applyBorder="1" applyAlignment="1">
      <alignment horizontal="center"/>
    </xf>
    <xf numFmtId="0" fontId="17" fillId="0" borderId="0" xfId="0" applyFont="1" applyFill="1" applyAlignment="1">
      <alignment horizontal="center"/>
    </xf>
    <xf numFmtId="0" fontId="17" fillId="0" borderId="0" xfId="0" applyFont="1" applyAlignment="1">
      <alignment horizontal="center"/>
    </xf>
    <xf numFmtId="3" fontId="0" fillId="0" borderId="0" xfId="0" applyNumberFormat="1"/>
    <xf numFmtId="0" fontId="6" fillId="0" borderId="0" xfId="0" applyFont="1" applyFill="1"/>
    <xf numFmtId="41" fontId="0" fillId="0" borderId="0" xfId="0" applyNumberFormat="1"/>
    <xf numFmtId="41" fontId="8" fillId="0" borderId="0" xfId="52" applyNumberFormat="1" applyFont="1" applyFill="1" applyBorder="1" applyAlignment="1">
      <alignment horizontal="right"/>
    </xf>
    <xf numFmtId="41" fontId="0" fillId="0" borderId="0" xfId="0" applyNumberFormat="1" applyFill="1" applyAlignment="1">
      <alignment horizontal="center"/>
    </xf>
    <xf numFmtId="41" fontId="0" fillId="33" borderId="16" xfId="0" applyNumberFormat="1" applyFill="1" applyBorder="1" applyAlignment="1">
      <alignment horizontal="center"/>
    </xf>
    <xf numFmtId="41" fontId="3" fillId="31" borderId="20" xfId="0" applyNumberFormat="1" applyFont="1" applyFill="1" applyBorder="1" applyAlignment="1">
      <alignment horizontal="center"/>
    </xf>
    <xf numFmtId="41" fontId="8" fillId="0" borderId="0" xfId="52" applyNumberFormat="1" applyFont="1" applyFill="1" applyBorder="1" applyAlignment="1">
      <alignment horizontal="center"/>
    </xf>
    <xf numFmtId="41" fontId="3" fillId="0" borderId="0" xfId="0" applyNumberFormat="1" applyFont="1" applyFill="1" applyBorder="1" applyAlignment="1">
      <alignment horizontal="center"/>
    </xf>
    <xf numFmtId="41" fontId="5" fillId="0" borderId="0" xfId="0" applyNumberFormat="1" applyFont="1" applyAlignment="1">
      <alignment horizontal="center"/>
    </xf>
    <xf numFmtId="0" fontId="0" fillId="0" borderId="7" xfId="0" applyFill="1" applyBorder="1" applyAlignment="1">
      <alignment horizontal="right"/>
    </xf>
    <xf numFmtId="0" fontId="6" fillId="0" borderId="7" xfId="0" applyFont="1" applyFill="1" applyBorder="1" applyAlignment="1">
      <alignment horizontal="right" vertical="top" wrapText="1"/>
    </xf>
    <xf numFmtId="0" fontId="6" fillId="0" borderId="16" xfId="0" applyFont="1" applyFill="1" applyBorder="1" applyAlignment="1">
      <alignment horizontal="right" vertical="top" wrapText="1"/>
    </xf>
    <xf numFmtId="0" fontId="0" fillId="0" borderId="23" xfId="0" applyBorder="1"/>
    <xf numFmtId="0" fontId="18" fillId="0" borderId="0" xfId="0" applyFont="1" applyBorder="1"/>
    <xf numFmtId="0" fontId="11" fillId="0" borderId="0" xfId="0" applyFont="1"/>
    <xf numFmtId="0" fontId="3" fillId="0" borderId="0" xfId="0" applyFont="1" applyFill="1" applyBorder="1"/>
    <xf numFmtId="0" fontId="19" fillId="0" borderId="0" xfId="0" quotePrefix="1" applyFont="1" applyBorder="1" applyAlignment="1">
      <alignment horizontal="left"/>
    </xf>
    <xf numFmtId="0" fontId="19" fillId="0" borderId="0" xfId="0" applyFont="1" applyBorder="1" applyAlignment="1">
      <alignment horizontal="left"/>
    </xf>
    <xf numFmtId="0" fontId="3" fillId="31" borderId="23" xfId="0" applyFont="1" applyFill="1" applyBorder="1"/>
    <xf numFmtId="43" fontId="0" fillId="33" borderId="16" xfId="28" applyFont="1" applyFill="1" applyBorder="1" applyAlignment="1">
      <alignment horizontal="center"/>
    </xf>
    <xf numFmtId="0" fontId="0" fillId="0" borderId="14" xfId="0" applyFill="1" applyBorder="1"/>
    <xf numFmtId="41" fontId="3" fillId="0" borderId="24" xfId="28" applyNumberFormat="1" applyFont="1" applyFill="1" applyBorder="1" applyAlignment="1">
      <alignment horizontal="center"/>
    </xf>
    <xf numFmtId="0" fontId="0" fillId="0" borderId="0" xfId="0" applyFill="1" applyBorder="1" applyAlignment="1">
      <alignment horizontal="right"/>
    </xf>
    <xf numFmtId="43" fontId="0" fillId="33" borderId="7" xfId="28" applyFont="1" applyFill="1" applyBorder="1" applyAlignment="1">
      <alignment horizontal="center"/>
    </xf>
    <xf numFmtId="43" fontId="0" fillId="0" borderId="25" xfId="28" applyFont="1" applyFill="1" applyBorder="1" applyAlignment="1">
      <alignment horizontal="center"/>
    </xf>
    <xf numFmtId="0" fontId="0" fillId="0" borderId="0" xfId="0" applyFill="1" applyBorder="1" applyAlignment="1">
      <alignment horizontal="center"/>
    </xf>
    <xf numFmtId="0" fontId="24" fillId="0" borderId="0" xfId="0" applyFont="1" applyFill="1" applyAlignment="1">
      <alignment horizontal="center"/>
    </xf>
    <xf numFmtId="0" fontId="3" fillId="0" borderId="0" xfId="0" applyFont="1" applyFill="1" applyBorder="1" applyAlignment="1">
      <alignment horizontal="center"/>
    </xf>
    <xf numFmtId="40" fontId="3" fillId="0" borderId="21" xfId="28" applyNumberFormat="1" applyFont="1" applyBorder="1" applyAlignment="1">
      <alignment horizontal="center"/>
    </xf>
    <xf numFmtId="174" fontId="2" fillId="0" borderId="17" xfId="28" applyNumberFormat="1" applyBorder="1" applyAlignment="1">
      <alignment horizontal="center"/>
    </xf>
    <xf numFmtId="2" fontId="2" fillId="0" borderId="17" xfId="28" applyNumberFormat="1" applyBorder="1" applyAlignment="1">
      <alignment horizontal="center"/>
    </xf>
    <xf numFmtId="2" fontId="2" fillId="0" borderId="26" xfId="28" applyNumberFormat="1" applyBorder="1" applyAlignment="1">
      <alignment horizontal="center"/>
    </xf>
    <xf numFmtId="2" fontId="3" fillId="0" borderId="21" xfId="28" applyNumberFormat="1" applyFont="1" applyBorder="1" applyAlignment="1">
      <alignment horizontal="center"/>
    </xf>
    <xf numFmtId="0" fontId="11" fillId="0" borderId="0" xfId="0" applyFont="1" applyFill="1"/>
    <xf numFmtId="0" fontId="13" fillId="0" borderId="0" xfId="0" applyFont="1" applyAlignment="1">
      <alignment horizontal="right"/>
    </xf>
    <xf numFmtId="166" fontId="13" fillId="0" borderId="16" xfId="52" applyNumberFormat="1" applyFont="1" applyFill="1" applyBorder="1" applyAlignment="1">
      <alignment horizontal="center"/>
    </xf>
    <xf numFmtId="0" fontId="3" fillId="0" borderId="0" xfId="0" applyFont="1" applyAlignment="1">
      <alignment horizontal="right" vertical="center"/>
    </xf>
    <xf numFmtId="0" fontId="3" fillId="0" borderId="0" xfId="0" applyFont="1" applyAlignment="1">
      <alignment horizontal="center" vertical="top"/>
    </xf>
    <xf numFmtId="166" fontId="20" fillId="33" borderId="27" xfId="52" applyNumberFormat="1" applyFont="1" applyFill="1" applyBorder="1" applyAlignment="1">
      <alignment horizontal="center"/>
    </xf>
    <xf numFmtId="166" fontId="27" fillId="33" borderId="27" xfId="52" applyNumberFormat="1" applyFont="1" applyFill="1" applyBorder="1" applyAlignment="1">
      <alignment horizontal="center"/>
    </xf>
    <xf numFmtId="0" fontId="27" fillId="0" borderId="0" xfId="0" applyFont="1" applyAlignment="1">
      <alignment horizontal="center"/>
    </xf>
    <xf numFmtId="0" fontId="7" fillId="0" borderId="0" xfId="49" applyFont="1" applyAlignment="1">
      <alignment vertical="top"/>
    </xf>
    <xf numFmtId="0" fontId="3" fillId="0" borderId="0" xfId="49" applyFont="1" applyAlignment="1">
      <alignment vertical="top"/>
    </xf>
    <xf numFmtId="0" fontId="4" fillId="0" borderId="0" xfId="49" applyFont="1"/>
    <xf numFmtId="0" fontId="28" fillId="0" borderId="0" xfId="49"/>
    <xf numFmtId="0" fontId="28" fillId="0" borderId="0" xfId="49" applyAlignment="1">
      <alignment vertical="top"/>
    </xf>
    <xf numFmtId="0" fontId="3" fillId="0" borderId="0" xfId="49" applyFont="1"/>
    <xf numFmtId="0" fontId="5" fillId="0" borderId="0" xfId="49" applyFont="1" applyAlignment="1">
      <alignment vertical="top" wrapText="1"/>
    </xf>
    <xf numFmtId="49" fontId="28" fillId="0" borderId="0" xfId="49" applyNumberFormat="1" applyFill="1" applyBorder="1" applyAlignment="1">
      <alignment horizontal="left" wrapText="1"/>
    </xf>
    <xf numFmtId="0" fontId="28" fillId="0" borderId="0" xfId="49" applyAlignment="1">
      <alignment wrapText="1"/>
    </xf>
    <xf numFmtId="0" fontId="28" fillId="33" borderId="15" xfId="49" applyFill="1" applyBorder="1" applyAlignment="1">
      <alignment horizontal="left" vertical="top" wrapText="1"/>
    </xf>
    <xf numFmtId="0" fontId="5" fillId="0" borderId="0" xfId="49" applyFont="1" applyAlignment="1">
      <alignment vertical="top"/>
    </xf>
    <xf numFmtId="0" fontId="28" fillId="0" borderId="17" xfId="49" applyBorder="1" applyAlignment="1">
      <alignment horizontal="center"/>
    </xf>
    <xf numFmtId="0" fontId="28" fillId="33" borderId="7" xfId="49" applyFill="1" applyBorder="1" applyAlignment="1">
      <alignment horizontal="left" vertical="top" wrapText="1"/>
    </xf>
    <xf numFmtId="0" fontId="28" fillId="33" borderId="24" xfId="49" applyFill="1" applyBorder="1" applyAlignment="1">
      <alignment horizontal="left" vertical="top" wrapText="1"/>
    </xf>
    <xf numFmtId="0" fontId="28" fillId="33" borderId="28" xfId="49" applyFill="1" applyBorder="1" applyAlignment="1">
      <alignment horizontal="left" vertical="top" wrapText="1"/>
    </xf>
    <xf numFmtId="0" fontId="28" fillId="33" borderId="16" xfId="49" applyFill="1" applyBorder="1" applyAlignment="1">
      <alignment horizontal="left" vertical="top" wrapText="1"/>
    </xf>
    <xf numFmtId="0" fontId="28" fillId="37" borderId="0" xfId="49" applyFill="1" applyBorder="1" applyAlignment="1">
      <alignment horizontal="left" vertical="top" wrapText="1"/>
    </xf>
    <xf numFmtId="0" fontId="3" fillId="0" borderId="0" xfId="49" applyFont="1" applyAlignment="1">
      <alignment horizontal="left" vertical="top"/>
    </xf>
    <xf numFmtId="0" fontId="5" fillId="0" borderId="0" xfId="49" applyFont="1" applyAlignment="1">
      <alignment horizontal="right" vertical="top"/>
    </xf>
    <xf numFmtId="0" fontId="28" fillId="0" borderId="0" xfId="49" applyBorder="1" applyAlignment="1">
      <alignment vertical="top"/>
    </xf>
    <xf numFmtId="0" fontId="28" fillId="0" borderId="0" xfId="49" applyBorder="1"/>
    <xf numFmtId="0" fontId="5" fillId="0" borderId="0" xfId="49" applyFont="1" applyFill="1" applyBorder="1" applyAlignment="1">
      <alignment horizontal="right" vertical="top"/>
    </xf>
    <xf numFmtId="0" fontId="3" fillId="0" borderId="0" xfId="49" applyFont="1" applyAlignment="1">
      <alignment vertical="top" wrapText="1"/>
    </xf>
    <xf numFmtId="0" fontId="29" fillId="0" borderId="0" xfId="49" applyFont="1"/>
    <xf numFmtId="49" fontId="30" fillId="0" borderId="0" xfId="49" applyNumberFormat="1" applyFont="1" applyAlignment="1"/>
    <xf numFmtId="49" fontId="0" fillId="0" borderId="0" xfId="0" applyNumberFormat="1" applyFill="1"/>
    <xf numFmtId="0" fontId="2" fillId="0" borderId="0" xfId="0" applyFont="1" applyFill="1" applyBorder="1"/>
    <xf numFmtId="9" fontId="6" fillId="38" borderId="17" xfId="0" applyNumberFormat="1" applyFont="1" applyFill="1" applyBorder="1" applyAlignment="1">
      <alignment horizontal="center" vertical="center"/>
    </xf>
    <xf numFmtId="9" fontId="6" fillId="39" borderId="17" xfId="0" applyNumberFormat="1" applyFont="1" applyFill="1" applyBorder="1" applyAlignment="1">
      <alignment horizontal="center" vertical="center" wrapText="1"/>
    </xf>
    <xf numFmtId="9" fontId="6" fillId="24" borderId="17" xfId="0" applyNumberFormat="1" applyFont="1" applyFill="1" applyBorder="1" applyAlignment="1">
      <alignment horizontal="center" vertical="center"/>
    </xf>
    <xf numFmtId="9" fontId="6" fillId="40" borderId="17" xfId="0" applyNumberFormat="1" applyFont="1" applyFill="1" applyBorder="1" applyAlignment="1">
      <alignment horizontal="center" vertical="center"/>
    </xf>
    <xf numFmtId="0" fontId="31" fillId="0" borderId="0" xfId="0" applyFont="1"/>
    <xf numFmtId="0" fontId="31" fillId="0" borderId="0" xfId="0" applyFont="1" applyAlignment="1">
      <alignment horizontal="center"/>
    </xf>
    <xf numFmtId="0" fontId="31" fillId="0" borderId="0" xfId="0" applyFont="1" applyAlignment="1">
      <alignment horizontal="right"/>
    </xf>
    <xf numFmtId="9" fontId="31" fillId="0" borderId="0" xfId="0" applyNumberFormat="1" applyFont="1" applyAlignment="1">
      <alignment horizontal="center"/>
    </xf>
    <xf numFmtId="9" fontId="31" fillId="0" borderId="0" xfId="0" applyNumberFormat="1" applyFont="1"/>
    <xf numFmtId="171" fontId="31" fillId="0" borderId="0" xfId="28" applyNumberFormat="1" applyFont="1"/>
    <xf numFmtId="49" fontId="3" fillId="0" borderId="0" xfId="48" applyNumberFormat="1" applyFont="1"/>
    <xf numFmtId="49" fontId="3" fillId="0" borderId="0" xfId="48" applyNumberFormat="1" applyFont="1" applyAlignment="1">
      <alignment horizontal="center"/>
    </xf>
    <xf numFmtId="0" fontId="6" fillId="0" borderId="0" xfId="48" applyFont="1" applyBorder="1"/>
    <xf numFmtId="0" fontId="6" fillId="0" borderId="0" xfId="48" applyFont="1"/>
    <xf numFmtId="49" fontId="6" fillId="0" borderId="0" xfId="48" applyNumberFormat="1" applyFont="1" applyFill="1" applyAlignment="1">
      <alignment horizontal="right"/>
    </xf>
    <xf numFmtId="0" fontId="6" fillId="0" borderId="0" xfId="48" applyFont="1" applyAlignment="1">
      <alignment horizontal="centerContinuous"/>
    </xf>
    <xf numFmtId="0" fontId="3" fillId="0" borderId="29" xfId="48" applyFont="1" applyBorder="1" applyAlignment="1">
      <alignment horizontal="center"/>
    </xf>
    <xf numFmtId="0" fontId="3" fillId="0" borderId="0" xfId="0" applyFont="1" applyBorder="1" applyAlignment="1">
      <alignment horizontal="center"/>
    </xf>
    <xf numFmtId="0" fontId="3" fillId="0" borderId="0" xfId="48" applyFont="1"/>
    <xf numFmtId="168" fontId="6" fillId="0" borderId="0" xfId="28" applyNumberFormat="1" applyFont="1" applyBorder="1"/>
    <xf numFmtId="168" fontId="6" fillId="0" borderId="0" xfId="28" applyNumberFormat="1" applyFont="1" applyFill="1" applyBorder="1"/>
    <xf numFmtId="42" fontId="3" fillId="0" borderId="0" xfId="29" applyNumberFormat="1" applyFont="1" applyBorder="1"/>
    <xf numFmtId="42" fontId="3" fillId="0" borderId="0" xfId="29" applyNumberFormat="1" applyFont="1" applyFill="1" applyBorder="1"/>
    <xf numFmtId="169" fontId="3" fillId="0" borderId="30" xfId="29" applyNumberFormat="1" applyFont="1" applyBorder="1"/>
    <xf numFmtId="42" fontId="6" fillId="0" borderId="0" xfId="48" applyNumberFormat="1" applyFont="1"/>
    <xf numFmtId="42" fontId="6" fillId="0" borderId="0" xfId="48" applyNumberFormat="1" applyFont="1" applyFill="1"/>
    <xf numFmtId="167" fontId="3" fillId="0" borderId="0" xfId="28" applyNumberFormat="1" applyFont="1"/>
    <xf numFmtId="167" fontId="6" fillId="0" borderId="0" xfId="28" applyNumberFormat="1" applyFont="1"/>
    <xf numFmtId="167" fontId="6" fillId="0" borderId="0" xfId="28" applyNumberFormat="1" applyFont="1" applyFill="1"/>
    <xf numFmtId="0" fontId="21" fillId="24" borderId="17" xfId="48" applyFont="1" applyFill="1" applyBorder="1" applyAlignment="1">
      <alignment horizontal="center"/>
    </xf>
    <xf numFmtId="167" fontId="3" fillId="0" borderId="0" xfId="28" applyNumberFormat="1" applyFont="1" applyFill="1"/>
    <xf numFmtId="0" fontId="5" fillId="0" borderId="0" xfId="48" applyFont="1"/>
    <xf numFmtId="167" fontId="5" fillId="0" borderId="0" xfId="28" applyNumberFormat="1" applyFont="1" applyFill="1"/>
    <xf numFmtId="167" fontId="5" fillId="0" borderId="23" xfId="28" applyNumberFormat="1" applyFont="1" applyBorder="1"/>
    <xf numFmtId="167" fontId="5" fillId="0" borderId="23" xfId="28" applyNumberFormat="1" applyFont="1" applyFill="1" applyBorder="1"/>
    <xf numFmtId="44" fontId="6" fillId="0" borderId="0" xfId="28" applyNumberFormat="1" applyFont="1"/>
    <xf numFmtId="44" fontId="6" fillId="0" borderId="0" xfId="28" applyNumberFormat="1" applyFont="1" applyFill="1"/>
    <xf numFmtId="42" fontId="3" fillId="0" borderId="30" xfId="29" applyNumberFormat="1" applyFont="1" applyFill="1" applyBorder="1"/>
    <xf numFmtId="42" fontId="6" fillId="0" borderId="0" xfId="29" applyNumberFormat="1" applyFont="1" applyBorder="1"/>
    <xf numFmtId="42" fontId="6" fillId="0" borderId="0" xfId="29" applyNumberFormat="1" applyFont="1" applyFill="1" applyBorder="1"/>
    <xf numFmtId="5" fontId="6" fillId="0" borderId="0" xfId="29" applyNumberFormat="1" applyFont="1"/>
    <xf numFmtId="0" fontId="3" fillId="0" borderId="0" xfId="0" applyFont="1" applyFill="1"/>
    <xf numFmtId="0" fontId="32" fillId="0" borderId="0" xfId="0" applyFont="1" applyFill="1"/>
    <xf numFmtId="9" fontId="21" fillId="24" borderId="17" xfId="52" applyFont="1" applyFill="1" applyBorder="1" applyAlignment="1">
      <alignment horizontal="center"/>
    </xf>
    <xf numFmtId="0" fontId="3" fillId="0" borderId="0" xfId="48" applyFont="1" applyFill="1"/>
    <xf numFmtId="0" fontId="6" fillId="0" borderId="0" xfId="48" applyFont="1" applyFill="1" applyAlignment="1">
      <alignment horizontal="center"/>
    </xf>
    <xf numFmtId="168" fontId="21" fillId="24" borderId="17" xfId="28" applyNumberFormat="1" applyFont="1" applyFill="1" applyBorder="1" applyAlignment="1">
      <alignment horizontal="center"/>
    </xf>
    <xf numFmtId="0" fontId="31" fillId="0" borderId="0" xfId="48" applyFont="1"/>
    <xf numFmtId="0" fontId="3" fillId="0" borderId="31" xfId="48" applyFont="1" applyBorder="1"/>
    <xf numFmtId="0" fontId="3" fillId="0" borderId="32" xfId="48" applyFont="1" applyBorder="1"/>
    <xf numFmtId="0" fontId="6" fillId="0" borderId="0" xfId="0" applyFont="1" applyBorder="1" applyAlignment="1">
      <alignment horizontal="center"/>
    </xf>
    <xf numFmtId="9" fontId="6" fillId="0" borderId="31" xfId="48" applyNumberFormat="1" applyFont="1" applyBorder="1" applyAlignment="1">
      <alignment horizontal="center"/>
    </xf>
    <xf numFmtId="9" fontId="6" fillId="0" borderId="33" xfId="0" applyNumberFormat="1" applyFont="1" applyBorder="1"/>
    <xf numFmtId="5" fontId="6" fillId="0" borderId="33" xfId="28" applyNumberFormat="1" applyFont="1" applyBorder="1"/>
    <xf numFmtId="9" fontId="6" fillId="0" borderId="34" xfId="48" applyNumberFormat="1" applyFont="1" applyBorder="1" applyAlignment="1">
      <alignment horizontal="center"/>
    </xf>
    <xf numFmtId="9" fontId="6" fillId="0" borderId="0" xfId="48" applyNumberFormat="1" applyFont="1" applyBorder="1"/>
    <xf numFmtId="5" fontId="3" fillId="0" borderId="0" xfId="48" applyNumberFormat="1" applyFont="1" applyBorder="1"/>
    <xf numFmtId="168" fontId="31" fillId="0" borderId="0" xfId="28" applyNumberFormat="1" applyFont="1" applyBorder="1"/>
    <xf numFmtId="9" fontId="31" fillId="0" borderId="34" xfId="48" applyNumberFormat="1" applyFont="1" applyFill="1" applyBorder="1" applyAlignment="1">
      <alignment horizontal="center"/>
    </xf>
    <xf numFmtId="9" fontId="31" fillId="0" borderId="0" xfId="48" applyNumberFormat="1" applyFont="1" applyFill="1" applyBorder="1"/>
    <xf numFmtId="5" fontId="31" fillId="0" borderId="0" xfId="48" applyNumberFormat="1" applyFont="1" applyFill="1" applyBorder="1"/>
    <xf numFmtId="9" fontId="31" fillId="0" borderId="34" xfId="48" applyNumberFormat="1" applyFont="1" applyBorder="1" applyAlignment="1">
      <alignment horizontal="center"/>
    </xf>
    <xf numFmtId="9" fontId="31" fillId="0" borderId="0" xfId="48" applyNumberFormat="1" applyFont="1" applyBorder="1"/>
    <xf numFmtId="5" fontId="31" fillId="0" borderId="0" xfId="28" applyNumberFormat="1" applyFont="1" applyBorder="1" applyAlignment="1"/>
    <xf numFmtId="5" fontId="31" fillId="0" borderId="0" xfId="28" applyNumberFormat="1" applyFont="1" applyBorder="1"/>
    <xf numFmtId="169" fontId="3" fillId="0" borderId="0" xfId="48" applyNumberFormat="1" applyFont="1" applyBorder="1"/>
    <xf numFmtId="9" fontId="6" fillId="0" borderId="32" xfId="48" applyNumberFormat="1" applyFont="1" applyBorder="1" applyAlignment="1">
      <alignment horizontal="center"/>
    </xf>
    <xf numFmtId="9" fontId="6" fillId="0" borderId="23" xfId="48" applyNumberFormat="1" applyFont="1" applyBorder="1"/>
    <xf numFmtId="5" fontId="6" fillId="0" borderId="23" xfId="28" applyNumberFormat="1" applyFont="1" applyBorder="1"/>
    <xf numFmtId="9" fontId="31" fillId="0" borderId="0" xfId="48" applyNumberFormat="1" applyFont="1" applyAlignment="1">
      <alignment horizontal="center"/>
    </xf>
    <xf numFmtId="9" fontId="31" fillId="0" borderId="0" xfId="48" applyNumberFormat="1" applyFont="1"/>
    <xf numFmtId="5" fontId="31" fillId="0" borderId="0" xfId="48" applyNumberFormat="1" applyFont="1"/>
    <xf numFmtId="5" fontId="31" fillId="0" borderId="0" xfId="29" applyNumberFormat="1" applyFont="1"/>
    <xf numFmtId="5" fontId="31" fillId="0" borderId="0" xfId="28" applyNumberFormat="1" applyFont="1"/>
    <xf numFmtId="0" fontId="7" fillId="0" borderId="0" xfId="49" applyFont="1"/>
    <xf numFmtId="0" fontId="2" fillId="33" borderId="0" xfId="49" applyFont="1" applyFill="1"/>
    <xf numFmtId="0" fontId="28" fillId="33" borderId="0" xfId="49" applyFill="1"/>
    <xf numFmtId="0" fontId="5" fillId="0" borderId="0" xfId="49" applyFont="1"/>
    <xf numFmtId="0" fontId="2" fillId="0" borderId="0" xfId="49" applyFont="1" applyFill="1"/>
    <xf numFmtId="0" fontId="16" fillId="0" borderId="0" xfId="49" applyFont="1" applyFill="1"/>
    <xf numFmtId="0" fontId="15" fillId="0" borderId="0" xfId="49" applyFont="1" applyFill="1"/>
    <xf numFmtId="0" fontId="28" fillId="0" borderId="0" xfId="49" applyFill="1" applyBorder="1"/>
    <xf numFmtId="0" fontId="2" fillId="0" borderId="0" xfId="49" applyFont="1" applyFill="1" applyBorder="1"/>
    <xf numFmtId="0" fontId="7" fillId="0" borderId="0" xfId="49" applyFont="1" applyBorder="1"/>
    <xf numFmtId="0" fontId="9" fillId="0" borderId="0" xfId="49" applyFont="1" applyFill="1" applyBorder="1"/>
    <xf numFmtId="0" fontId="2" fillId="0" borderId="14" xfId="49" applyFont="1" applyFill="1" applyBorder="1" applyAlignment="1">
      <alignment horizontal="left"/>
    </xf>
    <xf numFmtId="0" fontId="7" fillId="0" borderId="0" xfId="49" applyFont="1" applyFill="1" applyBorder="1"/>
    <xf numFmtId="0" fontId="2" fillId="0" borderId="0" xfId="49" applyFont="1" applyFill="1" applyBorder="1" applyAlignment="1">
      <alignment horizontal="left"/>
    </xf>
    <xf numFmtId="0" fontId="22" fillId="0" borderId="31" xfId="49" applyFont="1" applyBorder="1"/>
    <xf numFmtId="0" fontId="28" fillId="0" borderId="33" xfId="49" applyBorder="1"/>
    <xf numFmtId="0" fontId="21" fillId="0" borderId="35" xfId="49" applyFont="1" applyBorder="1"/>
    <xf numFmtId="0" fontId="2" fillId="0" borderId="34" xfId="49" applyFont="1" applyBorder="1"/>
    <xf numFmtId="0" fontId="28" fillId="0" borderId="36" xfId="49" applyBorder="1"/>
    <xf numFmtId="0" fontId="28" fillId="0" borderId="34" xfId="49" applyBorder="1"/>
    <xf numFmtId="0" fontId="28" fillId="0" borderId="0" xfId="49" applyFill="1"/>
    <xf numFmtId="0" fontId="28" fillId="0" borderId="36" xfId="49" applyFill="1" applyBorder="1"/>
    <xf numFmtId="0" fontId="28" fillId="0" borderId="34" xfId="49" applyFill="1" applyBorder="1"/>
    <xf numFmtId="0" fontId="28" fillId="0" borderId="32" xfId="49" applyFill="1" applyBorder="1"/>
    <xf numFmtId="0" fontId="28" fillId="0" borderId="23" xfId="49" applyBorder="1"/>
    <xf numFmtId="0" fontId="28" fillId="0" borderId="37" xfId="49" applyFill="1" applyBorder="1"/>
    <xf numFmtId="49" fontId="0" fillId="33" borderId="7" xfId="0" applyNumberFormat="1" applyFill="1" applyBorder="1"/>
    <xf numFmtId="168" fontId="2" fillId="33" borderId="7" xfId="28" applyNumberFormat="1" applyFont="1" applyFill="1" applyBorder="1" applyAlignment="1">
      <alignment horizontal="right"/>
    </xf>
    <xf numFmtId="0" fontId="35" fillId="37" borderId="22" xfId="0" applyFont="1" applyFill="1" applyBorder="1"/>
    <xf numFmtId="0" fontId="35" fillId="37" borderId="22" xfId="0" quotePrefix="1" applyFont="1" applyFill="1" applyBorder="1"/>
    <xf numFmtId="0" fontId="35" fillId="37" borderId="21" xfId="0" applyFont="1" applyFill="1" applyBorder="1"/>
    <xf numFmtId="0" fontId="4" fillId="37" borderId="0" xfId="0" applyFont="1" applyFill="1"/>
    <xf numFmtId="0" fontId="0" fillId="37" borderId="0" xfId="0" applyFill="1"/>
    <xf numFmtId="41" fontId="0" fillId="37" borderId="0" xfId="0" applyNumberFormat="1" applyFill="1"/>
    <xf numFmtId="0" fontId="34" fillId="37" borderId="0" xfId="0" applyFont="1" applyFill="1"/>
    <xf numFmtId="0" fontId="38" fillId="37" borderId="0" xfId="0" applyFont="1" applyFill="1"/>
    <xf numFmtId="0" fontId="3" fillId="37" borderId="0" xfId="0" applyFont="1" applyFill="1"/>
    <xf numFmtId="0" fontId="35" fillId="37" borderId="0" xfId="0" applyFont="1" applyFill="1"/>
    <xf numFmtId="0" fontId="35" fillId="37" borderId="0" xfId="0" applyFont="1" applyFill="1" applyBorder="1"/>
    <xf numFmtId="41" fontId="5" fillId="37" borderId="0" xfId="0" applyNumberFormat="1" applyFont="1" applyFill="1" applyAlignment="1">
      <alignment horizontal="center"/>
    </xf>
    <xf numFmtId="0" fontId="39" fillId="37" borderId="0" xfId="49" applyFont="1" applyFill="1" applyAlignment="1">
      <alignment vertical="top"/>
    </xf>
    <xf numFmtId="0" fontId="0" fillId="37" borderId="0" xfId="0" applyFill="1" applyBorder="1"/>
    <xf numFmtId="0" fontId="3" fillId="37" borderId="29" xfId="0" applyFont="1" applyFill="1" applyBorder="1"/>
    <xf numFmtId="49" fontId="0" fillId="37" borderId="29" xfId="0" applyNumberFormat="1" applyFill="1" applyBorder="1"/>
    <xf numFmtId="49" fontId="7" fillId="37" borderId="29" xfId="0" applyNumberFormat="1" applyFont="1" applyFill="1" applyBorder="1"/>
    <xf numFmtId="0" fontId="7" fillId="37" borderId="29" xfId="0" applyFont="1" applyFill="1" applyBorder="1"/>
    <xf numFmtId="41" fontId="3" fillId="37" borderId="29" xfId="0" applyNumberFormat="1" applyFont="1" applyFill="1" applyBorder="1" applyAlignment="1">
      <alignment horizontal="center"/>
    </xf>
    <xf numFmtId="49" fontId="0" fillId="37" borderId="0" xfId="0" applyNumberFormat="1" applyFill="1" applyBorder="1"/>
    <xf numFmtId="49" fontId="7" fillId="37" borderId="0" xfId="0" applyNumberFormat="1" applyFont="1" applyFill="1" applyBorder="1"/>
    <xf numFmtId="0" fontId="7" fillId="37" borderId="0" xfId="0" applyFont="1" applyFill="1"/>
    <xf numFmtId="168" fontId="2" fillId="37" borderId="7" xfId="28" applyNumberFormat="1" applyFont="1" applyFill="1" applyBorder="1" applyAlignment="1">
      <alignment horizontal="right"/>
    </xf>
    <xf numFmtId="0" fontId="8" fillId="37" borderId="0" xfId="0" applyFont="1" applyFill="1"/>
    <xf numFmtId="49" fontId="5" fillId="37" borderId="0" xfId="0" applyNumberFormat="1" applyFont="1" applyFill="1" applyBorder="1"/>
    <xf numFmtId="49" fontId="5" fillId="37" borderId="0" xfId="0" quotePrefix="1" applyNumberFormat="1" applyFont="1" applyFill="1" applyBorder="1"/>
    <xf numFmtId="49" fontId="14" fillId="37" borderId="0" xfId="0" applyNumberFormat="1" applyFont="1" applyFill="1" applyBorder="1"/>
    <xf numFmtId="0" fontId="14" fillId="37" borderId="0" xfId="0" applyFont="1" applyFill="1"/>
    <xf numFmtId="0" fontId="5" fillId="37" borderId="0" xfId="0" applyFont="1" applyFill="1"/>
    <xf numFmtId="41" fontId="5" fillId="37" borderId="0" xfId="0" applyNumberFormat="1" applyFont="1" applyFill="1"/>
    <xf numFmtId="166" fontId="5" fillId="37" borderId="0" xfId="52" applyNumberFormat="1" applyFont="1" applyFill="1" applyAlignment="1">
      <alignment horizontal="right"/>
    </xf>
    <xf numFmtId="49" fontId="4" fillId="37" borderId="0" xfId="0" applyNumberFormat="1" applyFont="1" applyFill="1" applyBorder="1"/>
    <xf numFmtId="0" fontId="0" fillId="37" borderId="0" xfId="0" applyFill="1" applyProtection="1">
      <protection locked="0"/>
    </xf>
    <xf numFmtId="0" fontId="0" fillId="37" borderId="0" xfId="0" quotePrefix="1" applyFill="1" applyProtection="1">
      <protection locked="0"/>
    </xf>
    <xf numFmtId="0" fontId="7" fillId="37" borderId="0" xfId="0" applyFont="1" applyFill="1" applyBorder="1"/>
    <xf numFmtId="168" fontId="2" fillId="37" borderId="16" xfId="28" applyNumberFormat="1" applyFont="1" applyFill="1" applyBorder="1" applyAlignment="1">
      <alignment horizontal="right"/>
    </xf>
    <xf numFmtId="168" fontId="2" fillId="33" borderId="16" xfId="28" applyNumberFormat="1" applyFont="1" applyFill="1" applyBorder="1" applyAlignment="1">
      <alignment horizontal="right"/>
    </xf>
    <xf numFmtId="41" fontId="5" fillId="37" borderId="7" xfId="0" applyNumberFormat="1" applyFont="1" applyFill="1" applyBorder="1"/>
    <xf numFmtId="166" fontId="5" fillId="37" borderId="7" xfId="52" applyNumberFormat="1" applyFont="1" applyFill="1" applyBorder="1" applyAlignment="1">
      <alignment horizontal="right"/>
    </xf>
    <xf numFmtId="0" fontId="36" fillId="37" borderId="0" xfId="57" quotePrefix="1" applyNumberFormat="1" applyFill="1" applyBorder="1" applyProtection="1">
      <alignment horizontal="left" vertical="center" indent="1"/>
      <protection locked="0"/>
    </xf>
    <xf numFmtId="0" fontId="37" fillId="37" borderId="0" xfId="57" applyNumberFormat="1" applyFont="1" applyFill="1" applyBorder="1" applyProtection="1">
      <alignment horizontal="left" vertical="center" indent="1"/>
      <protection locked="0"/>
    </xf>
    <xf numFmtId="0" fontId="37" fillId="37" borderId="0" xfId="87" quotePrefix="1" applyNumberFormat="1" applyFill="1" applyBorder="1" applyProtection="1">
      <alignment horizontal="left" vertical="center" indent="1"/>
      <protection locked="0"/>
    </xf>
    <xf numFmtId="0" fontId="37" fillId="37" borderId="0" xfId="87" quotePrefix="1" applyNumberFormat="1" applyFill="1" applyBorder="1">
      <alignment horizontal="left" vertical="center" indent="1"/>
    </xf>
    <xf numFmtId="0" fontId="37" fillId="37" borderId="0" xfId="87" applyNumberFormat="1" applyFont="1" applyFill="1" applyBorder="1">
      <alignment horizontal="left" vertical="center" indent="1"/>
    </xf>
    <xf numFmtId="0" fontId="37" fillId="37" borderId="0" xfId="87" applyNumberFormat="1" applyFont="1" applyFill="1" applyBorder="1" applyProtection="1">
      <alignment horizontal="left" vertical="center" indent="1"/>
      <protection locked="0"/>
    </xf>
    <xf numFmtId="49" fontId="2" fillId="37" borderId="0" xfId="0" applyNumberFormat="1" applyFont="1" applyFill="1" applyBorder="1"/>
    <xf numFmtId="0" fontId="9" fillId="37" borderId="0" xfId="0" applyFont="1" applyFill="1"/>
    <xf numFmtId="49" fontId="3" fillId="37" borderId="0" xfId="0" applyNumberFormat="1" applyFont="1" applyFill="1" applyBorder="1"/>
    <xf numFmtId="41" fontId="3" fillId="37" borderId="0" xfId="0" applyNumberFormat="1" applyFont="1" applyFill="1"/>
    <xf numFmtId="168" fontId="3" fillId="37" borderId="7" xfId="28" applyNumberFormat="1" applyFont="1" applyFill="1" applyBorder="1"/>
    <xf numFmtId="168" fontId="3" fillId="37" borderId="7" xfId="28" applyNumberFormat="1" applyFont="1" applyFill="1" applyBorder="1" applyAlignment="1">
      <alignment horizontal="right"/>
    </xf>
    <xf numFmtId="0" fontId="40" fillId="37" borderId="0" xfId="0" applyFont="1" applyFill="1"/>
    <xf numFmtId="168" fontId="3" fillId="32" borderId="7" xfId="28" applyNumberFormat="1" applyFont="1" applyFill="1" applyBorder="1"/>
    <xf numFmtId="166" fontId="8" fillId="37" borderId="7" xfId="52" applyNumberFormat="1" applyFont="1" applyFill="1" applyBorder="1" applyAlignment="1">
      <alignment horizontal="right"/>
    </xf>
    <xf numFmtId="0" fontId="0" fillId="0" borderId="0" xfId="0" quotePrefix="1" applyFill="1"/>
    <xf numFmtId="168" fontId="2" fillId="33" borderId="7" xfId="28" applyNumberFormat="1" applyFill="1" applyBorder="1" applyAlignment="1">
      <alignment horizontal="center" vertical="top" wrapText="1"/>
    </xf>
    <xf numFmtId="169" fontId="2" fillId="37" borderId="7" xfId="29" applyNumberFormat="1" applyFill="1" applyBorder="1" applyAlignment="1">
      <alignment horizontal="center" vertical="top" wrapText="1"/>
    </xf>
    <xf numFmtId="49" fontId="5" fillId="33" borderId="7" xfId="0" applyNumberFormat="1" applyFont="1" applyFill="1" applyBorder="1"/>
    <xf numFmtId="168" fontId="5" fillId="33" borderId="7" xfId="28" applyNumberFormat="1" applyFont="1" applyFill="1" applyBorder="1" applyAlignment="1">
      <alignment horizontal="right"/>
    </xf>
    <xf numFmtId="168" fontId="5" fillId="37" borderId="7" xfId="28" applyNumberFormat="1" applyFont="1" applyFill="1" applyBorder="1" applyAlignment="1">
      <alignment horizontal="right"/>
    </xf>
    <xf numFmtId="166" fontId="5" fillId="0" borderId="0" xfId="52" applyNumberFormat="1" applyFont="1" applyFill="1" applyBorder="1" applyAlignment="1">
      <alignment horizontal="right"/>
    </xf>
    <xf numFmtId="168" fontId="5" fillId="0" borderId="7" xfId="28" applyNumberFormat="1" applyFont="1" applyFill="1" applyBorder="1" applyAlignment="1">
      <alignment horizontal="right"/>
    </xf>
    <xf numFmtId="10" fontId="5" fillId="33" borderId="7" xfId="52" applyNumberFormat="1" applyFont="1" applyFill="1" applyBorder="1" applyAlignment="1">
      <alignment horizontal="right"/>
    </xf>
    <xf numFmtId="0" fontId="35" fillId="37" borderId="38" xfId="0" applyFont="1" applyFill="1" applyBorder="1"/>
    <xf numFmtId="0" fontId="35" fillId="37" borderId="0" xfId="0" quotePrefix="1" applyFont="1" applyFill="1" applyBorder="1"/>
    <xf numFmtId="0" fontId="40" fillId="37" borderId="22" xfId="0" applyFont="1" applyFill="1" applyBorder="1"/>
    <xf numFmtId="0" fontId="34" fillId="37" borderId="22" xfId="0" applyFont="1" applyFill="1" applyBorder="1"/>
    <xf numFmtId="0" fontId="38" fillId="37" borderId="22" xfId="0" applyFont="1" applyFill="1" applyBorder="1"/>
    <xf numFmtId="0" fontId="34" fillId="37" borderId="21" xfId="0" applyFont="1" applyFill="1" applyBorder="1"/>
    <xf numFmtId="0" fontId="28" fillId="0" borderId="0" xfId="49" applyFont="1"/>
    <xf numFmtId="0" fontId="28" fillId="0" borderId="0" xfId="49" quotePrefix="1" applyFont="1"/>
    <xf numFmtId="0" fontId="28" fillId="0" borderId="0" xfId="49" applyFont="1" applyFill="1" applyBorder="1"/>
    <xf numFmtId="0" fontId="9" fillId="0" borderId="0" xfId="49" applyFont="1"/>
    <xf numFmtId="0" fontId="23" fillId="0" borderId="0" xfId="49" applyFont="1"/>
    <xf numFmtId="0" fontId="0" fillId="35" borderId="0" xfId="0" applyFill="1"/>
    <xf numFmtId="0" fontId="0" fillId="35" borderId="0" xfId="0" applyFill="1" applyAlignment="1">
      <alignment horizontal="center"/>
    </xf>
    <xf numFmtId="164" fontId="3" fillId="35" borderId="0" xfId="0" applyNumberFormat="1" applyFont="1" applyFill="1" applyBorder="1" applyAlignment="1">
      <alignment horizontal="center"/>
    </xf>
    <xf numFmtId="3" fontId="2" fillId="0" borderId="0" xfId="28" applyNumberFormat="1" applyFill="1" applyBorder="1" applyAlignment="1">
      <alignment horizontal="center" vertical="top" wrapText="1"/>
    </xf>
    <xf numFmtId="10" fontId="5" fillId="0" borderId="0" xfId="52" applyNumberFormat="1" applyFont="1" applyFill="1" applyBorder="1" applyAlignment="1">
      <alignment horizontal="right"/>
    </xf>
    <xf numFmtId="0" fontId="36" fillId="37" borderId="0" xfId="57" quotePrefix="1" applyNumberFormat="1" applyFont="1" applyFill="1" applyBorder="1" applyProtection="1">
      <alignment horizontal="left" vertical="center" indent="1"/>
      <protection locked="0"/>
    </xf>
    <xf numFmtId="0" fontId="28" fillId="33" borderId="7" xfId="49" applyFont="1" applyFill="1" applyBorder="1" applyAlignment="1">
      <alignment horizontal="left" wrapText="1"/>
    </xf>
    <xf numFmtId="49" fontId="28" fillId="33" borderId="15" xfId="49" applyNumberFormat="1" applyFont="1" applyFill="1" applyBorder="1" applyAlignment="1">
      <alignment horizontal="left" vertical="top" wrapText="1"/>
    </xf>
    <xf numFmtId="49" fontId="28" fillId="33" borderId="15" xfId="49" applyNumberFormat="1" applyFont="1" applyFill="1" applyBorder="1" applyAlignment="1">
      <alignment horizontal="left" wrapText="1"/>
    </xf>
    <xf numFmtId="0" fontId="28" fillId="33" borderId="15" xfId="49" applyFont="1" applyFill="1" applyBorder="1" applyAlignment="1">
      <alignment horizontal="left" vertical="top" wrapText="1"/>
    </xf>
    <xf numFmtId="0" fontId="0" fillId="33" borderId="15" xfId="0" applyFill="1" applyBorder="1" applyAlignment="1">
      <alignment wrapText="1"/>
    </xf>
    <xf numFmtId="0" fontId="2" fillId="0" borderId="0" xfId="49" applyFont="1"/>
    <xf numFmtId="0" fontId="47" fillId="0" borderId="0" xfId="0" applyFont="1"/>
    <xf numFmtId="0" fontId="48" fillId="0" borderId="0" xfId="0" applyFont="1"/>
    <xf numFmtId="0" fontId="48" fillId="0" borderId="0" xfId="49" applyFont="1"/>
    <xf numFmtId="0" fontId="49" fillId="0" borderId="0" xfId="0" applyFont="1"/>
    <xf numFmtId="0" fontId="50" fillId="0" borderId="0" xfId="0" applyFont="1"/>
    <xf numFmtId="0" fontId="46" fillId="0" borderId="0" xfId="49" applyFont="1" applyAlignment="1">
      <alignment vertical="top"/>
    </xf>
    <xf numFmtId="168" fontId="0" fillId="32" borderId="7" xfId="28" applyNumberFormat="1" applyFont="1" applyFill="1" applyBorder="1" applyAlignment="1">
      <alignment horizontal="center"/>
    </xf>
    <xf numFmtId="168" fontId="0" fillId="33" borderId="7" xfId="28" applyNumberFormat="1" applyFont="1" applyFill="1" applyBorder="1" applyAlignment="1">
      <alignment horizontal="center"/>
    </xf>
    <xf numFmtId="168" fontId="0" fillId="33" borderId="16" xfId="28" applyNumberFormat="1" applyFont="1" applyFill="1" applyBorder="1" applyAlignment="1">
      <alignment horizontal="center"/>
    </xf>
    <xf numFmtId="168" fontId="0" fillId="33" borderId="15" xfId="28" applyNumberFormat="1" applyFont="1" applyFill="1" applyBorder="1" applyAlignment="1">
      <alignment horizontal="center"/>
    </xf>
    <xf numFmtId="0" fontId="51" fillId="37" borderId="0" xfId="0" applyFont="1" applyFill="1" applyBorder="1"/>
    <xf numFmtId="0" fontId="25" fillId="37" borderId="0" xfId="0" applyFont="1" applyFill="1" applyBorder="1"/>
    <xf numFmtId="0" fontId="28" fillId="37" borderId="0" xfId="49" applyFill="1" applyBorder="1"/>
    <xf numFmtId="49" fontId="0" fillId="37" borderId="0" xfId="0" applyNumberFormat="1" applyFill="1" applyBorder="1" applyAlignment="1">
      <alignment horizontal="left"/>
    </xf>
    <xf numFmtId="0" fontId="3" fillId="37" borderId="34" xfId="0" applyFont="1" applyFill="1" applyBorder="1" applyAlignment="1">
      <alignment horizontal="center"/>
    </xf>
    <xf numFmtId="0" fontId="3" fillId="37" borderId="38" xfId="0" applyFont="1" applyFill="1" applyBorder="1" applyAlignment="1">
      <alignment horizontal="center"/>
    </xf>
    <xf numFmtId="0" fontId="3" fillId="37" borderId="22" xfId="0" applyFont="1" applyFill="1" applyBorder="1" applyAlignment="1">
      <alignment horizontal="center"/>
    </xf>
    <xf numFmtId="0" fontId="3" fillId="37" borderId="0" xfId="0" applyFont="1" applyFill="1" applyBorder="1" applyAlignment="1">
      <alignment horizontal="center"/>
    </xf>
    <xf numFmtId="0" fontId="3" fillId="37" borderId="0" xfId="0" applyFont="1" applyFill="1" applyBorder="1" applyAlignment="1">
      <alignment horizontal="left"/>
    </xf>
    <xf numFmtId="167" fontId="3" fillId="37" borderId="34" xfId="28" applyNumberFormat="1" applyFont="1" applyFill="1" applyBorder="1" applyAlignment="1">
      <alignment horizontal="center"/>
    </xf>
    <xf numFmtId="167" fontId="3" fillId="37" borderId="22" xfId="28" applyNumberFormat="1" applyFont="1" applyFill="1" applyBorder="1" applyAlignment="1">
      <alignment horizontal="center"/>
    </xf>
    <xf numFmtId="167" fontId="3" fillId="37" borderId="0" xfId="28" applyNumberFormat="1" applyFont="1" applyFill="1" applyBorder="1" applyAlignment="1">
      <alignment horizontal="center"/>
    </xf>
    <xf numFmtId="4" fontId="3" fillId="37" borderId="0" xfId="0" applyNumberFormat="1" applyFont="1" applyFill="1" applyBorder="1" applyAlignment="1">
      <alignment horizontal="center"/>
    </xf>
    <xf numFmtId="4" fontId="3" fillId="37" borderId="22" xfId="0" applyNumberFormat="1" applyFont="1" applyFill="1" applyBorder="1" applyAlignment="1">
      <alignment horizontal="left"/>
    </xf>
    <xf numFmtId="167" fontId="3" fillId="37" borderId="31" xfId="28" applyNumberFormat="1" applyFont="1" applyFill="1" applyBorder="1" applyAlignment="1">
      <alignment horizontal="center"/>
    </xf>
    <xf numFmtId="167" fontId="3" fillId="37" borderId="33" xfId="28" applyNumberFormat="1" applyFont="1" applyFill="1" applyBorder="1" applyAlignment="1">
      <alignment horizontal="center"/>
    </xf>
    <xf numFmtId="167" fontId="3" fillId="37" borderId="38" xfId="28" applyNumberFormat="1" applyFont="1" applyFill="1" applyBorder="1" applyAlignment="1">
      <alignment horizontal="center"/>
    </xf>
    <xf numFmtId="0" fontId="51" fillId="0" borderId="0" xfId="0" applyFont="1" applyFill="1" applyBorder="1"/>
    <xf numFmtId="0" fontId="3" fillId="0" borderId="39" xfId="0" applyFont="1" applyFill="1" applyBorder="1" applyAlignment="1">
      <alignment horizontal="center"/>
    </xf>
    <xf numFmtId="0" fontId="3" fillId="0" borderId="40" xfId="0" applyFont="1" applyFill="1" applyBorder="1" applyAlignment="1">
      <alignment horizontal="center"/>
    </xf>
    <xf numFmtId="167" fontId="3" fillId="0" borderId="40" xfId="28" applyNumberFormat="1" applyFont="1" applyFill="1" applyBorder="1" applyAlignment="1">
      <alignment horizontal="center"/>
    </xf>
    <xf numFmtId="167" fontId="3" fillId="0" borderId="41" xfId="28" applyNumberFormat="1" applyFont="1" applyFill="1" applyBorder="1" applyAlignment="1">
      <alignment horizontal="center"/>
    </xf>
    <xf numFmtId="0" fontId="4" fillId="37" borderId="0" xfId="0" applyFont="1" applyFill="1" applyBorder="1"/>
    <xf numFmtId="0" fontId="0" fillId="37" borderId="0" xfId="0" applyFill="1" applyBorder="1" applyAlignment="1">
      <alignment horizontal="left"/>
    </xf>
    <xf numFmtId="0" fontId="2" fillId="37" borderId="0" xfId="0" applyFont="1" applyFill="1" applyBorder="1"/>
    <xf numFmtId="0" fontId="51" fillId="0" borderId="0" xfId="0" applyFont="1" applyFill="1" applyBorder="1" applyAlignment="1">
      <alignment horizontal="right"/>
    </xf>
    <xf numFmtId="49" fontId="51" fillId="0" borderId="0" xfId="0" applyNumberFormat="1" applyFont="1" applyFill="1" applyBorder="1" applyAlignment="1">
      <alignment horizontal="right"/>
    </xf>
    <xf numFmtId="0" fontId="51" fillId="0" borderId="0" xfId="49" applyFont="1" applyFill="1" applyBorder="1" applyAlignment="1">
      <alignment horizontal="right"/>
    </xf>
    <xf numFmtId="0" fontId="9" fillId="37" borderId="0" xfId="0" applyFont="1" applyFill="1" applyBorder="1"/>
    <xf numFmtId="49" fontId="3" fillId="37" borderId="0" xfId="0" applyNumberFormat="1" applyFont="1" applyFill="1" applyBorder="1" applyAlignment="1"/>
    <xf numFmtId="0" fontId="3" fillId="37" borderId="0" xfId="0" applyFont="1" applyFill="1" applyBorder="1"/>
    <xf numFmtId="0" fontId="2" fillId="37" borderId="0" xfId="0" applyFont="1" applyFill="1" applyBorder="1" applyAlignment="1">
      <alignment horizontal="left"/>
    </xf>
    <xf numFmtId="167" fontId="15" fillId="33" borderId="0" xfId="28" applyNumberFormat="1" applyFont="1" applyFill="1" applyBorder="1" applyAlignment="1">
      <alignment horizontal="center"/>
    </xf>
    <xf numFmtId="4" fontId="2" fillId="37" borderId="0" xfId="0" applyNumberFormat="1" applyFont="1" applyFill="1" applyBorder="1" applyAlignment="1">
      <alignment horizontal="center"/>
    </xf>
    <xf numFmtId="166" fontId="15" fillId="33" borderId="0" xfId="52" applyNumberFormat="1" applyFont="1" applyFill="1" applyBorder="1" applyAlignment="1">
      <alignment horizontal="right"/>
    </xf>
    <xf numFmtId="168" fontId="2" fillId="0" borderId="0" xfId="28" applyNumberFormat="1" applyFont="1" applyFill="1" applyBorder="1" applyAlignment="1">
      <alignment horizontal="right"/>
    </xf>
    <xf numFmtId="166" fontId="3" fillId="37" borderId="0" xfId="0" applyNumberFormat="1" applyFont="1" applyFill="1" applyBorder="1" applyAlignment="1">
      <alignment horizontal="right"/>
    </xf>
    <xf numFmtId="168" fontId="3" fillId="0" borderId="0" xfId="28" applyNumberFormat="1" applyFont="1" applyFill="1" applyBorder="1" applyAlignment="1">
      <alignment horizontal="center"/>
    </xf>
    <xf numFmtId="167" fontId="15" fillId="37" borderId="0" xfId="28" applyNumberFormat="1" applyFont="1" applyFill="1" applyBorder="1" applyAlignment="1">
      <alignment horizontal="center"/>
    </xf>
    <xf numFmtId="166" fontId="15" fillId="37" borderId="0" xfId="52" applyNumberFormat="1" applyFont="1" applyFill="1" applyBorder="1" applyAlignment="1">
      <alignment horizontal="right"/>
    </xf>
    <xf numFmtId="167" fontId="2" fillId="37" borderId="0" xfId="28" applyNumberFormat="1" applyFill="1" applyBorder="1" applyAlignment="1">
      <alignment horizontal="center"/>
    </xf>
    <xf numFmtId="4" fontId="0" fillId="37" borderId="0" xfId="0" applyNumberFormat="1" applyFill="1" applyBorder="1" applyAlignment="1">
      <alignment horizontal="center"/>
    </xf>
    <xf numFmtId="166" fontId="0" fillId="37" borderId="0" xfId="0" applyNumberFormat="1" applyFill="1" applyBorder="1" applyAlignment="1">
      <alignment horizontal="right"/>
    </xf>
    <xf numFmtId="168" fontId="2" fillId="0" borderId="0" xfId="28" applyNumberFormat="1" applyFill="1" applyBorder="1" applyAlignment="1">
      <alignment horizontal="center"/>
    </xf>
    <xf numFmtId="4" fontId="3" fillId="37" borderId="0" xfId="0" applyNumberFormat="1" applyFont="1" applyFill="1" applyBorder="1" applyAlignment="1">
      <alignment horizontal="left"/>
    </xf>
    <xf numFmtId="0" fontId="3" fillId="37" borderId="0" xfId="0" applyFont="1" applyFill="1" applyBorder="1" applyAlignment="1">
      <alignment horizontal="right"/>
    </xf>
    <xf numFmtId="0" fontId="0" fillId="37" borderId="0" xfId="0" quotePrefix="1" applyFill="1" applyBorder="1"/>
    <xf numFmtId="0" fontId="3" fillId="37" borderId="42" xfId="0" applyFont="1" applyFill="1" applyBorder="1" applyAlignment="1">
      <alignment horizontal="center"/>
    </xf>
    <xf numFmtId="0" fontId="3" fillId="37" borderId="43" xfId="0" applyFont="1" applyFill="1" applyBorder="1" applyAlignment="1">
      <alignment horizontal="center"/>
    </xf>
    <xf numFmtId="167" fontId="15" fillId="33" borderId="34" xfId="28" applyNumberFormat="1" applyFont="1" applyFill="1" applyBorder="1" applyAlignment="1">
      <alignment horizontal="center"/>
    </xf>
    <xf numFmtId="167" fontId="15" fillId="37" borderId="34" xfId="28" applyNumberFormat="1" applyFont="1" applyFill="1" applyBorder="1" applyAlignment="1">
      <alignment horizontal="center"/>
    </xf>
    <xf numFmtId="167" fontId="2" fillId="37" borderId="34" xfId="28" applyNumberFormat="1" applyFill="1" applyBorder="1" applyAlignment="1">
      <alignment horizontal="center"/>
    </xf>
    <xf numFmtId="167" fontId="15" fillId="33" borderId="22" xfId="28" applyNumberFormat="1" applyFont="1" applyFill="1" applyBorder="1" applyAlignment="1">
      <alignment horizontal="center"/>
    </xf>
    <xf numFmtId="167" fontId="15" fillId="37" borderId="22" xfId="28" applyNumberFormat="1" applyFont="1" applyFill="1" applyBorder="1" applyAlignment="1">
      <alignment horizontal="center"/>
    </xf>
    <xf numFmtId="167" fontId="2" fillId="37" borderId="22" xfId="28" applyNumberFormat="1" applyFill="1" applyBorder="1" applyAlignment="1">
      <alignment horizontal="center"/>
    </xf>
    <xf numFmtId="0" fontId="3" fillId="37" borderId="22" xfId="0" applyFont="1" applyFill="1" applyBorder="1" applyAlignment="1">
      <alignment horizontal="left"/>
    </xf>
    <xf numFmtId="168" fontId="3" fillId="0" borderId="34" xfId="28" applyNumberFormat="1" applyFont="1" applyFill="1" applyBorder="1" applyAlignment="1">
      <alignment horizontal="center"/>
    </xf>
    <xf numFmtId="168" fontId="3" fillId="0" borderId="36" xfId="28" applyNumberFormat="1" applyFont="1" applyFill="1" applyBorder="1" applyAlignment="1">
      <alignment horizontal="center"/>
    </xf>
    <xf numFmtId="177" fontId="15" fillId="33" borderId="22" xfId="0" applyNumberFormat="1" applyFont="1" applyFill="1" applyBorder="1" applyAlignment="1">
      <alignment horizontal="right"/>
    </xf>
    <xf numFmtId="177" fontId="3" fillId="37" borderId="22" xfId="0" applyNumberFormat="1" applyFont="1" applyFill="1" applyBorder="1" applyAlignment="1">
      <alignment horizontal="right"/>
    </xf>
    <xf numFmtId="177" fontId="15" fillId="37" borderId="22" xfId="0" applyNumberFormat="1" applyFont="1" applyFill="1" applyBorder="1" applyAlignment="1">
      <alignment horizontal="right"/>
    </xf>
    <xf numFmtId="177" fontId="0" fillId="37" borderId="22" xfId="0" applyNumberFormat="1" applyFill="1" applyBorder="1" applyAlignment="1">
      <alignment horizontal="right"/>
    </xf>
    <xf numFmtId="4" fontId="0" fillId="37" borderId="22" xfId="0" applyNumberFormat="1" applyFill="1" applyBorder="1" applyAlignment="1">
      <alignment horizontal="left"/>
    </xf>
    <xf numFmtId="0" fontId="3" fillId="0" borderId="31" xfId="0" applyFont="1" applyFill="1" applyBorder="1" applyAlignment="1">
      <alignment horizontal="center"/>
    </xf>
    <xf numFmtId="0" fontId="3" fillId="0" borderId="33" xfId="0" applyFont="1" applyFill="1" applyBorder="1" applyAlignment="1">
      <alignment horizontal="center"/>
    </xf>
    <xf numFmtId="0" fontId="3" fillId="0" borderId="35" xfId="0" applyFont="1" applyFill="1" applyBorder="1" applyAlignment="1">
      <alignment horizontal="center"/>
    </xf>
    <xf numFmtId="0" fontId="3" fillId="0" borderId="34" xfId="0" applyFont="1" applyFill="1" applyBorder="1" applyAlignment="1">
      <alignment horizontal="center"/>
    </xf>
    <xf numFmtId="0" fontId="3" fillId="0" borderId="36" xfId="0" applyFont="1" applyFill="1" applyBorder="1" applyAlignment="1">
      <alignment horizontal="center"/>
    </xf>
    <xf numFmtId="168" fontId="2" fillId="0" borderId="34" xfId="28" applyNumberFormat="1" applyFont="1" applyFill="1" applyBorder="1" applyAlignment="1">
      <alignment horizontal="right"/>
    </xf>
    <xf numFmtId="168" fontId="2" fillId="0" borderId="36" xfId="28" applyNumberFormat="1" applyFont="1" applyFill="1" applyBorder="1" applyAlignment="1">
      <alignment horizontal="right"/>
    </xf>
    <xf numFmtId="168" fontId="2" fillId="0" borderId="34" xfId="28" applyNumberFormat="1" applyFill="1" applyBorder="1" applyAlignment="1">
      <alignment horizontal="center"/>
    </xf>
    <xf numFmtId="168" fontId="2" fillId="0" borderId="36" xfId="28" applyNumberFormat="1" applyFill="1" applyBorder="1" applyAlignment="1">
      <alignment horizontal="center"/>
    </xf>
    <xf numFmtId="168" fontId="3" fillId="0" borderId="37" xfId="28" applyNumberFormat="1" applyFont="1" applyFill="1" applyBorder="1"/>
    <xf numFmtId="0" fontId="3" fillId="37" borderId="33" xfId="0" applyFont="1" applyFill="1" applyBorder="1" applyAlignment="1">
      <alignment horizontal="center"/>
    </xf>
    <xf numFmtId="4" fontId="3" fillId="37" borderId="38" xfId="0" applyNumberFormat="1" applyFont="1" applyFill="1" applyBorder="1" applyAlignment="1">
      <alignment horizontal="left"/>
    </xf>
    <xf numFmtId="168" fontId="3" fillId="0" borderId="31" xfId="28" applyNumberFormat="1" applyFont="1" applyFill="1" applyBorder="1" applyAlignment="1">
      <alignment horizontal="center"/>
    </xf>
    <xf numFmtId="168" fontId="3" fillId="0" borderId="33" xfId="28" applyNumberFormat="1" applyFont="1" applyFill="1" applyBorder="1" applyAlignment="1">
      <alignment horizontal="center"/>
    </xf>
    <xf numFmtId="168" fontId="3" fillId="0" borderId="35" xfId="28" applyNumberFormat="1" applyFont="1" applyFill="1" applyBorder="1" applyAlignment="1">
      <alignment horizontal="center"/>
    </xf>
    <xf numFmtId="0" fontId="3" fillId="0" borderId="38" xfId="0" applyFont="1" applyFill="1" applyBorder="1" applyAlignment="1">
      <alignment horizontal="center"/>
    </xf>
    <xf numFmtId="168" fontId="2" fillId="0" borderId="22" xfId="28" applyNumberFormat="1" applyFont="1" applyFill="1" applyBorder="1" applyAlignment="1">
      <alignment horizontal="center"/>
    </xf>
    <xf numFmtId="168" fontId="3" fillId="0" borderId="22" xfId="28" applyNumberFormat="1" applyFont="1" applyFill="1" applyBorder="1" applyAlignment="1">
      <alignment horizontal="center"/>
    </xf>
    <xf numFmtId="0" fontId="60" fillId="0" borderId="0" xfId="0" applyFont="1"/>
    <xf numFmtId="168" fontId="2" fillId="0" borderId="22" xfId="28" applyNumberFormat="1" applyFill="1" applyBorder="1" applyAlignment="1">
      <alignment horizontal="center"/>
    </xf>
    <xf numFmtId="168" fontId="3" fillId="0" borderId="21" xfId="28" applyNumberFormat="1" applyFont="1" applyFill="1" applyBorder="1"/>
    <xf numFmtId="0" fontId="3" fillId="0" borderId="32" xfId="0" applyFont="1" applyFill="1" applyBorder="1" applyAlignment="1">
      <alignment horizontal="center"/>
    </xf>
    <xf numFmtId="0" fontId="3" fillId="0" borderId="23" xfId="0" applyFont="1" applyFill="1" applyBorder="1" applyAlignment="1">
      <alignment horizontal="center"/>
    </xf>
    <xf numFmtId="168" fontId="3" fillId="0" borderId="42" xfId="28" applyNumberFormat="1" applyFont="1" applyFill="1" applyBorder="1"/>
    <xf numFmtId="168" fontId="3" fillId="0" borderId="43" xfId="28" applyNumberFormat="1" applyFont="1" applyFill="1" applyBorder="1"/>
    <xf numFmtId="168" fontId="3" fillId="0" borderId="44" xfId="28" applyNumberFormat="1" applyFont="1" applyFill="1" applyBorder="1"/>
    <xf numFmtId="0" fontId="2" fillId="37" borderId="23" xfId="0" applyFont="1" applyFill="1" applyBorder="1" applyAlignment="1">
      <alignment horizontal="left"/>
    </xf>
    <xf numFmtId="167" fontId="15" fillId="33" borderId="32" xfId="28" applyNumberFormat="1" applyFont="1" applyFill="1" applyBorder="1" applyAlignment="1">
      <alignment horizontal="center"/>
    </xf>
    <xf numFmtId="167" fontId="15" fillId="33" borderId="23" xfId="28" applyNumberFormat="1" applyFont="1" applyFill="1" applyBorder="1" applyAlignment="1">
      <alignment horizontal="center"/>
    </xf>
    <xf numFmtId="167" fontId="15" fillId="33" borderId="21" xfId="28" applyNumberFormat="1" applyFont="1" applyFill="1" applyBorder="1" applyAlignment="1">
      <alignment horizontal="center"/>
    </xf>
    <xf numFmtId="4" fontId="2" fillId="37" borderId="23" xfId="0" applyNumberFormat="1" applyFont="1" applyFill="1" applyBorder="1" applyAlignment="1">
      <alignment horizontal="center"/>
    </xf>
    <xf numFmtId="177" fontId="15" fillId="33" borderId="21" xfId="0" applyNumberFormat="1" applyFont="1" applyFill="1" applyBorder="1" applyAlignment="1">
      <alignment horizontal="right"/>
    </xf>
    <xf numFmtId="166" fontId="15" fillId="33" borderId="23" xfId="52" applyNumberFormat="1" applyFont="1" applyFill="1" applyBorder="1" applyAlignment="1">
      <alignment horizontal="right"/>
    </xf>
    <xf numFmtId="168" fontId="2" fillId="0" borderId="32" xfId="28" applyNumberFormat="1" applyFont="1" applyFill="1" applyBorder="1" applyAlignment="1">
      <alignment horizontal="right"/>
    </xf>
    <xf numFmtId="168" fontId="2" fillId="0" borderId="23" xfId="28" applyNumberFormat="1" applyFont="1" applyFill="1" applyBorder="1" applyAlignment="1">
      <alignment horizontal="right"/>
    </xf>
    <xf numFmtId="168" fontId="2" fillId="0" borderId="37" xfId="28" applyNumberFormat="1" applyFont="1" applyFill="1" applyBorder="1" applyAlignment="1">
      <alignment horizontal="right"/>
    </xf>
    <xf numFmtId="168" fontId="2" fillId="0" borderId="21" xfId="28" applyNumberFormat="1" applyFont="1" applyFill="1" applyBorder="1" applyAlignment="1">
      <alignment horizontal="center"/>
    </xf>
    <xf numFmtId="0" fontId="2" fillId="0" borderId="23" xfId="0" applyFont="1" applyFill="1" applyBorder="1"/>
    <xf numFmtId="0" fontId="3" fillId="37" borderId="33" xfId="0" applyFont="1" applyFill="1" applyBorder="1" applyAlignment="1">
      <alignment horizontal="left"/>
    </xf>
    <xf numFmtId="0" fontId="3" fillId="37" borderId="35" xfId="0" applyFont="1" applyFill="1" applyBorder="1" applyAlignment="1">
      <alignment horizontal="left"/>
    </xf>
    <xf numFmtId="0" fontId="59" fillId="0" borderId="0" xfId="0" applyFont="1" applyBorder="1"/>
    <xf numFmtId="0" fontId="59" fillId="0" borderId="0" xfId="0" applyFont="1" applyAlignment="1">
      <alignment horizontal="right"/>
    </xf>
    <xf numFmtId="44" fontId="6" fillId="0" borderId="0" xfId="48" applyNumberFormat="1" applyFont="1"/>
    <xf numFmtId="0" fontId="0" fillId="0" borderId="45" xfId="0" applyBorder="1"/>
    <xf numFmtId="9" fontId="2" fillId="37" borderId="0" xfId="52" applyFill="1"/>
    <xf numFmtId="9" fontId="3" fillId="37" borderId="0" xfId="52" applyFont="1" applyFill="1"/>
    <xf numFmtId="0" fontId="35" fillId="37" borderId="0" xfId="0" quotePrefix="1" applyFont="1" applyFill="1"/>
    <xf numFmtId="43" fontId="3" fillId="37" borderId="0" xfId="0" applyNumberFormat="1" applyFont="1" applyFill="1"/>
    <xf numFmtId="49" fontId="8" fillId="33" borderId="7" xfId="0" applyNumberFormat="1" applyFont="1" applyFill="1" applyBorder="1"/>
    <xf numFmtId="0" fontId="61" fillId="37" borderId="0" xfId="0" applyFont="1" applyFill="1"/>
    <xf numFmtId="49" fontId="61" fillId="37" borderId="0" xfId="0" applyNumberFormat="1" applyFont="1" applyFill="1" applyBorder="1" applyAlignment="1"/>
    <xf numFmtId="49" fontId="3" fillId="37" borderId="0" xfId="0" applyNumberFormat="1" applyFont="1" applyFill="1" applyBorder="1" applyAlignment="1">
      <alignment wrapText="1"/>
    </xf>
    <xf numFmtId="49" fontId="0" fillId="33" borderId="7" xfId="0" applyNumberFormat="1" applyFill="1" applyBorder="1" applyAlignment="1">
      <alignment wrapText="1"/>
    </xf>
    <xf numFmtId="0" fontId="35" fillId="37" borderId="0" xfId="0" quotePrefix="1" applyFont="1" applyFill="1" applyAlignment="1">
      <alignment wrapText="1"/>
    </xf>
    <xf numFmtId="0" fontId="14" fillId="37" borderId="0" xfId="0" applyFont="1" applyFill="1" applyAlignment="1">
      <alignment wrapText="1"/>
    </xf>
    <xf numFmtId="168" fontId="0" fillId="37" borderId="0" xfId="0" applyNumberFormat="1" applyFill="1"/>
    <xf numFmtId="167" fontId="5" fillId="33" borderId="7" xfId="28" applyNumberFormat="1" applyFont="1" applyFill="1" applyBorder="1" applyAlignment="1">
      <alignment horizontal="right"/>
    </xf>
    <xf numFmtId="49" fontId="52" fillId="37" borderId="43" xfId="0" applyNumberFormat="1" applyFont="1" applyFill="1" applyBorder="1" applyAlignment="1">
      <alignment horizontal="center"/>
    </xf>
    <xf numFmtId="167" fontId="62" fillId="33" borderId="0" xfId="28" applyNumberFormat="1" applyFont="1" applyFill="1" applyBorder="1" applyAlignment="1">
      <alignment horizontal="center"/>
    </xf>
    <xf numFmtId="167" fontId="62" fillId="33" borderId="23" xfId="28" applyNumberFormat="1" applyFont="1" applyFill="1" applyBorder="1" applyAlignment="1">
      <alignment horizontal="center"/>
    </xf>
    <xf numFmtId="167" fontId="62" fillId="33" borderId="34" xfId="28" applyNumberFormat="1" applyFont="1" applyFill="1" applyBorder="1" applyAlignment="1">
      <alignment horizontal="center"/>
    </xf>
    <xf numFmtId="167" fontId="62" fillId="33" borderId="32" xfId="28" applyNumberFormat="1" applyFont="1" applyFill="1" applyBorder="1" applyAlignment="1">
      <alignment horizontal="center"/>
    </xf>
    <xf numFmtId="0" fontId="15" fillId="37" borderId="0" xfId="0" applyFont="1" applyFill="1" applyBorder="1" applyAlignment="1">
      <alignment horizontal="left"/>
    </xf>
    <xf numFmtId="167" fontId="62" fillId="33" borderId="22" xfId="28" applyNumberFormat="1" applyFont="1" applyFill="1" applyBorder="1" applyAlignment="1">
      <alignment horizontal="center"/>
    </xf>
    <xf numFmtId="167" fontId="62" fillId="33" borderId="21" xfId="28" applyNumberFormat="1" applyFont="1" applyFill="1" applyBorder="1" applyAlignment="1">
      <alignment horizontal="center"/>
    </xf>
    <xf numFmtId="168" fontId="3" fillId="37" borderId="38" xfId="28" applyNumberFormat="1" applyFont="1" applyFill="1" applyBorder="1" applyAlignment="1">
      <alignment horizontal="center"/>
    </xf>
    <xf numFmtId="3" fontId="2" fillId="33" borderId="16" xfId="28" applyNumberFormat="1" applyFill="1" applyBorder="1" applyAlignment="1">
      <alignment horizontal="center" vertical="top" wrapText="1"/>
    </xf>
    <xf numFmtId="168" fontId="2" fillId="33" borderId="16" xfId="28" applyNumberFormat="1" applyFill="1" applyBorder="1" applyAlignment="1">
      <alignment horizontal="center" vertical="top" wrapText="1"/>
    </xf>
    <xf numFmtId="169" fontId="2" fillId="37" borderId="16" xfId="29" applyNumberFormat="1" applyFill="1" applyBorder="1" applyAlignment="1">
      <alignment horizontal="center" vertical="top" wrapText="1"/>
    </xf>
    <xf numFmtId="0" fontId="6" fillId="0" borderId="0" xfId="0" applyFont="1" applyFill="1" applyBorder="1" applyAlignment="1">
      <alignment horizontal="right" vertical="top" wrapText="1"/>
    </xf>
    <xf numFmtId="174" fontId="2" fillId="0" borderId="38" xfId="28" applyNumberFormat="1" applyBorder="1" applyAlignment="1">
      <alignment horizontal="center"/>
    </xf>
    <xf numFmtId="2" fontId="2" fillId="0" borderId="38" xfId="28" applyNumberFormat="1" applyBorder="1" applyAlignment="1">
      <alignment horizontal="center"/>
    </xf>
    <xf numFmtId="0" fontId="6" fillId="0" borderId="46" xfId="0" applyFont="1" applyFill="1" applyBorder="1" applyAlignment="1">
      <alignment horizontal="right" vertical="top" wrapText="1"/>
    </xf>
    <xf numFmtId="2" fontId="2" fillId="0" borderId="31" xfId="28" applyNumberFormat="1" applyBorder="1" applyAlignment="1">
      <alignment horizontal="center"/>
    </xf>
    <xf numFmtId="2" fontId="2" fillId="0" borderId="47" xfId="28" applyNumberFormat="1" applyBorder="1" applyAlignment="1">
      <alignment horizontal="center"/>
    </xf>
    <xf numFmtId="168" fontId="0" fillId="32" borderId="48" xfId="28" applyNumberFormat="1" applyFont="1" applyFill="1" applyBorder="1" applyAlignment="1">
      <alignment horizontal="center"/>
    </xf>
    <xf numFmtId="168" fontId="0" fillId="32" borderId="49" xfId="28" applyNumberFormat="1" applyFont="1" applyFill="1" applyBorder="1" applyAlignment="1">
      <alignment horizontal="center"/>
    </xf>
    <xf numFmtId="0" fontId="2" fillId="0" borderId="0" xfId="0" applyFont="1"/>
    <xf numFmtId="0" fontId="3" fillId="36" borderId="50" xfId="48" applyFont="1" applyFill="1" applyBorder="1" applyAlignment="1">
      <alignment horizontal="right"/>
    </xf>
    <xf numFmtId="0" fontId="3" fillId="36" borderId="51" xfId="48" applyFont="1" applyFill="1" applyBorder="1"/>
    <xf numFmtId="0" fontId="3" fillId="36" borderId="45" xfId="48" applyFont="1" applyFill="1" applyBorder="1"/>
    <xf numFmtId="0" fontId="3" fillId="36" borderId="52" xfId="48" applyFont="1" applyFill="1" applyBorder="1" applyAlignment="1">
      <alignment horizontal="right"/>
    </xf>
    <xf numFmtId="9" fontId="2" fillId="36" borderId="0" xfId="48" applyNumberFormat="1" applyFont="1" applyFill="1" applyBorder="1" applyAlignment="1">
      <alignment horizontal="right"/>
    </xf>
    <xf numFmtId="9" fontId="2" fillId="36" borderId="0" xfId="48" applyNumberFormat="1" applyFont="1" applyFill="1" applyBorder="1"/>
    <xf numFmtId="9" fontId="2" fillId="36" borderId="53" xfId="48" applyNumberFormat="1" applyFont="1" applyFill="1" applyBorder="1"/>
    <xf numFmtId="42" fontId="2" fillId="36" borderId="0" xfId="48" applyNumberFormat="1" applyFont="1" applyFill="1" applyBorder="1" applyAlignment="1">
      <alignment horizontal="left"/>
    </xf>
    <xf numFmtId="169" fontId="3" fillId="36" borderId="0" xfId="29" applyNumberFormat="1" applyFont="1" applyFill="1" applyBorder="1"/>
    <xf numFmtId="169" fontId="3" fillId="36" borderId="53" xfId="29" applyNumberFormat="1" applyFont="1" applyFill="1" applyBorder="1"/>
    <xf numFmtId="0" fontId="3" fillId="36" borderId="54" xfId="48" applyFont="1" applyFill="1" applyBorder="1" applyAlignment="1">
      <alignment horizontal="right"/>
    </xf>
    <xf numFmtId="169" fontId="2" fillId="36" borderId="29" xfId="48" applyNumberFormat="1" applyFont="1" applyFill="1" applyBorder="1" applyAlignment="1">
      <alignment horizontal="left"/>
    </xf>
    <xf numFmtId="169" fontId="2" fillId="36" borderId="29" xfId="48" applyNumberFormat="1" applyFont="1" applyFill="1" applyBorder="1"/>
    <xf numFmtId="169" fontId="2" fillId="36" borderId="55" xfId="48" applyNumberFormat="1" applyFont="1" applyFill="1" applyBorder="1"/>
    <xf numFmtId="5" fontId="6" fillId="0" borderId="0" xfId="48" applyNumberFormat="1" applyFont="1"/>
    <xf numFmtId="0" fontId="6" fillId="0" borderId="0" xfId="0" applyFont="1" applyFill="1" applyAlignment="1">
      <alignment horizontal="right"/>
    </xf>
    <xf numFmtId="6" fontId="6" fillId="0" borderId="0" xfId="48" applyNumberFormat="1" applyFont="1"/>
    <xf numFmtId="6" fontId="3" fillId="0" borderId="27" xfId="28" applyNumberFormat="1" applyFont="1" applyFill="1" applyBorder="1"/>
    <xf numFmtId="0" fontId="3" fillId="36" borderId="52" xfId="48" applyFont="1" applyFill="1" applyBorder="1"/>
    <xf numFmtId="0" fontId="3" fillId="36" borderId="0" xfId="48" applyFont="1" applyFill="1" applyBorder="1"/>
    <xf numFmtId="0" fontId="3" fillId="36" borderId="53" xfId="48" applyFont="1" applyFill="1" applyBorder="1"/>
    <xf numFmtId="0" fontId="3" fillId="36" borderId="50" xfId="48" applyFont="1" applyFill="1" applyBorder="1" applyAlignment="1">
      <alignment horizontal="left"/>
    </xf>
    <xf numFmtId="169" fontId="3" fillId="36" borderId="27" xfId="29" applyNumberFormat="1" applyFont="1" applyFill="1" applyBorder="1"/>
    <xf numFmtId="0" fontId="3" fillId="41" borderId="17" xfId="0" applyFont="1" applyFill="1" applyBorder="1" applyAlignment="1">
      <alignment horizontal="center"/>
    </xf>
    <xf numFmtId="0" fontId="3" fillId="41" borderId="42" xfId="0" applyFont="1" applyFill="1" applyBorder="1"/>
    <xf numFmtId="0" fontId="3" fillId="41" borderId="43" xfId="0" applyFont="1" applyFill="1" applyBorder="1" applyAlignment="1">
      <alignment horizontal="right"/>
    </xf>
    <xf numFmtId="0" fontId="3" fillId="41" borderId="38" xfId="0" applyFont="1" applyFill="1" applyBorder="1" applyAlignment="1">
      <alignment horizontal="center"/>
    </xf>
    <xf numFmtId="0" fontId="3" fillId="41" borderId="42" xfId="0" applyFont="1" applyFill="1" applyBorder="1" applyAlignment="1">
      <alignment horizontal="right"/>
    </xf>
    <xf numFmtId="0" fontId="3" fillId="41" borderId="43" xfId="0" applyFont="1" applyFill="1" applyBorder="1" applyAlignment="1">
      <alignment horizontal="center"/>
    </xf>
    <xf numFmtId="0" fontId="3" fillId="41" borderId="44" xfId="0" applyFont="1" applyFill="1" applyBorder="1" applyAlignment="1">
      <alignment horizontal="center"/>
    </xf>
    <xf numFmtId="0" fontId="0" fillId="41" borderId="21" xfId="0" applyFill="1" applyBorder="1"/>
    <xf numFmtId="0" fontId="0" fillId="41" borderId="38" xfId="0" applyFill="1" applyBorder="1"/>
    <xf numFmtId="42" fontId="2" fillId="41" borderId="38" xfId="29" applyNumberFormat="1" applyFill="1" applyBorder="1" applyAlignment="1">
      <alignment horizontal="center" vertical="top" wrapText="1"/>
    </xf>
    <xf numFmtId="0" fontId="2" fillId="41" borderId="44" xfId="28" applyNumberFormat="1" applyFill="1" applyBorder="1" applyAlignment="1">
      <alignment horizontal="center" vertical="top" wrapText="1"/>
    </xf>
    <xf numFmtId="0" fontId="2" fillId="41" borderId="17" xfId="28" applyNumberFormat="1" applyFill="1" applyBorder="1" applyAlignment="1">
      <alignment horizontal="center" vertical="top" wrapText="1"/>
    </xf>
    <xf numFmtId="0" fontId="2" fillId="35" borderId="17" xfId="28" applyNumberFormat="1" applyFill="1" applyBorder="1" applyAlignment="1">
      <alignment horizontal="center" vertical="top" wrapText="1"/>
    </xf>
    <xf numFmtId="0" fontId="0" fillId="35" borderId="17" xfId="28" applyNumberFormat="1" applyFont="1" applyFill="1" applyBorder="1" applyAlignment="1">
      <alignment horizontal="center"/>
    </xf>
    <xf numFmtId="0" fontId="0" fillId="41" borderId="22" xfId="0" applyFill="1" applyBorder="1"/>
    <xf numFmtId="42" fontId="2" fillId="41" borderId="22" xfId="29" applyNumberFormat="1" applyFill="1" applyBorder="1" applyAlignment="1">
      <alignment horizontal="center" vertical="top" wrapText="1"/>
    </xf>
    <xf numFmtId="0" fontId="0" fillId="0" borderId="17" xfId="0" applyBorder="1" applyAlignment="1">
      <alignment horizontal="center"/>
    </xf>
    <xf numFmtId="42" fontId="2" fillId="41" borderId="21" xfId="29" applyNumberFormat="1" applyFill="1" applyBorder="1" applyAlignment="1">
      <alignment horizontal="center" vertical="top" wrapText="1"/>
    </xf>
    <xf numFmtId="2" fontId="2" fillId="41" borderId="17" xfId="28" applyNumberFormat="1" applyFill="1" applyBorder="1" applyAlignment="1">
      <alignment horizontal="center"/>
    </xf>
    <xf numFmtId="2" fontId="2" fillId="0" borderId="17" xfId="28" applyNumberFormat="1" applyFill="1" applyBorder="1" applyAlignment="1">
      <alignment horizontal="center"/>
    </xf>
    <xf numFmtId="0" fontId="6" fillId="32" borderId="0" xfId="48" applyFont="1" applyFill="1"/>
    <xf numFmtId="0" fontId="3" fillId="36" borderId="56" xfId="48" applyFont="1" applyFill="1" applyBorder="1"/>
    <xf numFmtId="0" fontId="2" fillId="0" borderId="0" xfId="48" applyFont="1"/>
    <xf numFmtId="0" fontId="3" fillId="36" borderId="57" xfId="48" applyFont="1" applyFill="1" applyBorder="1"/>
    <xf numFmtId="0" fontId="61" fillId="32" borderId="0" xfId="48" applyFont="1" applyFill="1"/>
    <xf numFmtId="0" fontId="61" fillId="41" borderId="0" xfId="0" applyFont="1" applyFill="1"/>
    <xf numFmtId="0" fontId="2" fillId="41" borderId="0" xfId="0" applyFont="1" applyFill="1"/>
    <xf numFmtId="9" fontId="2" fillId="0" borderId="0" xfId="52" applyFont="1"/>
    <xf numFmtId="0" fontId="2" fillId="41" borderId="51" xfId="48" applyFont="1" applyFill="1" applyBorder="1"/>
    <xf numFmtId="168" fontId="6" fillId="41" borderId="45" xfId="28" applyNumberFormat="1" applyFont="1" applyFill="1" applyBorder="1"/>
    <xf numFmtId="0" fontId="2" fillId="41" borderId="0" xfId="48" applyFont="1" applyFill="1" applyBorder="1"/>
    <xf numFmtId="168" fontId="31" fillId="41" borderId="53" xfId="28" applyNumberFormat="1" applyFont="1" applyFill="1" applyBorder="1"/>
    <xf numFmtId="168" fontId="2" fillId="41" borderId="0" xfId="28" applyNumberFormat="1" applyFont="1" applyFill="1" applyBorder="1"/>
    <xf numFmtId="169" fontId="3" fillId="41" borderId="53" xfId="48" applyNumberFormat="1" applyFont="1" applyFill="1" applyBorder="1"/>
    <xf numFmtId="169" fontId="3" fillId="41" borderId="0" xfId="48" applyNumberFormat="1" applyFont="1" applyFill="1" applyBorder="1"/>
    <xf numFmtId="0" fontId="31" fillId="41" borderId="53" xfId="0" applyFont="1" applyFill="1" applyBorder="1"/>
    <xf numFmtId="0" fontId="2" fillId="41" borderId="29" xfId="0" applyFont="1" applyFill="1" applyBorder="1"/>
    <xf numFmtId="0" fontId="31" fillId="41" borderId="55" xfId="0" applyFont="1" applyFill="1" applyBorder="1"/>
    <xf numFmtId="0" fontId="6" fillId="41" borderId="58" xfId="0" applyFont="1" applyFill="1" applyBorder="1"/>
    <xf numFmtId="168" fontId="6" fillId="41" borderId="59" xfId="28" applyNumberFormat="1" applyFont="1" applyFill="1" applyBorder="1"/>
    <xf numFmtId="0" fontId="3" fillId="41" borderId="60" xfId="0" applyFont="1" applyFill="1" applyBorder="1" applyAlignment="1">
      <alignment horizontal="left"/>
    </xf>
    <xf numFmtId="0" fontId="6" fillId="0" borderId="31" xfId="0" applyFont="1" applyBorder="1"/>
    <xf numFmtId="0" fontId="6" fillId="0" borderId="33" xfId="0" applyFont="1" applyBorder="1"/>
    <xf numFmtId="0" fontId="6" fillId="0" borderId="33" xfId="0" applyFont="1" applyBorder="1" applyAlignment="1">
      <alignment horizontal="center"/>
    </xf>
    <xf numFmtId="0" fontId="6" fillId="0" borderId="33" xfId="48" applyFont="1" applyBorder="1"/>
    <xf numFmtId="0" fontId="3" fillId="41" borderId="50" xfId="48" applyFont="1" applyFill="1" applyBorder="1"/>
    <xf numFmtId="0" fontId="3" fillId="37" borderId="36" xfId="0" applyFont="1" applyFill="1" applyBorder="1" applyAlignment="1">
      <alignment horizontal="left"/>
    </xf>
    <xf numFmtId="167" fontId="3" fillId="37" borderId="42" xfId="28" applyNumberFormat="1" applyFont="1" applyFill="1" applyBorder="1"/>
    <xf numFmtId="0" fontId="3" fillId="36" borderId="61" xfId="48" applyFont="1" applyFill="1" applyBorder="1" applyAlignment="1">
      <alignment horizontal="center"/>
    </xf>
    <xf numFmtId="0" fontId="3" fillId="36" borderId="62" xfId="0" applyFont="1" applyFill="1" applyBorder="1" applyAlignment="1">
      <alignment horizontal="center"/>
    </xf>
    <xf numFmtId="168" fontId="3" fillId="36" borderId="63" xfId="28" applyNumberFormat="1" applyFont="1" applyFill="1" applyBorder="1"/>
    <xf numFmtId="0" fontId="3" fillId="36" borderId="64" xfId="0" applyFont="1" applyFill="1" applyBorder="1" applyAlignment="1">
      <alignment horizontal="center"/>
    </xf>
    <xf numFmtId="0" fontId="3" fillId="36" borderId="65" xfId="0" applyFont="1" applyFill="1" applyBorder="1" applyAlignment="1">
      <alignment horizontal="center"/>
    </xf>
    <xf numFmtId="0" fontId="3" fillId="36" borderId="66" xfId="0" applyFont="1" applyFill="1" applyBorder="1" applyAlignment="1">
      <alignment horizontal="center"/>
    </xf>
    <xf numFmtId="0" fontId="3" fillId="36" borderId="66" xfId="48" applyFont="1" applyFill="1" applyBorder="1" applyAlignment="1">
      <alignment horizontal="center"/>
    </xf>
    <xf numFmtId="0" fontId="3" fillId="36" borderId="67" xfId="48" applyFont="1" applyFill="1" applyBorder="1" applyAlignment="1">
      <alignment horizontal="center"/>
    </xf>
    <xf numFmtId="0" fontId="3" fillId="36" borderId="52" xfId="48" applyFont="1" applyFill="1" applyBorder="1" applyAlignment="1">
      <alignment horizontal="center"/>
    </xf>
    <xf numFmtId="168" fontId="0" fillId="36" borderId="0" xfId="28" applyNumberFormat="1" applyFont="1" applyFill="1" applyBorder="1"/>
    <xf numFmtId="168" fontId="3" fillId="36" borderId="53" xfId="28" applyNumberFormat="1" applyFont="1" applyFill="1" applyBorder="1"/>
    <xf numFmtId="0" fontId="3" fillId="36" borderId="54" xfId="48" applyFont="1" applyFill="1" applyBorder="1" applyAlignment="1">
      <alignment horizontal="center"/>
    </xf>
    <xf numFmtId="168" fontId="0" fillId="36" borderId="29" xfId="28" applyNumberFormat="1" applyFont="1" applyFill="1" applyBorder="1"/>
    <xf numFmtId="168" fontId="3" fillId="36" borderId="55" xfId="28" applyNumberFormat="1" applyFont="1" applyFill="1" applyBorder="1"/>
    <xf numFmtId="0" fontId="3" fillId="32" borderId="33" xfId="0" applyFont="1" applyFill="1" applyBorder="1" applyAlignment="1">
      <alignment horizontal="center"/>
    </xf>
    <xf numFmtId="0" fontId="6" fillId="0" borderId="56" xfId="48" applyFont="1" applyBorder="1"/>
    <xf numFmtId="170" fontId="2" fillId="0" borderId="68" xfId="0" applyNumberFormat="1" applyFont="1" applyBorder="1"/>
    <xf numFmtId="170" fontId="65" fillId="0" borderId="68" xfId="0" applyNumberFormat="1" applyFont="1" applyBorder="1"/>
    <xf numFmtId="170" fontId="65" fillId="0" borderId="57" xfId="0" applyNumberFormat="1" applyFont="1" applyBorder="1"/>
    <xf numFmtId="167" fontId="3" fillId="37" borderId="43" xfId="28" applyNumberFormat="1" applyFont="1" applyFill="1" applyBorder="1"/>
    <xf numFmtId="167" fontId="3" fillId="37" borderId="17" xfId="28" applyNumberFormat="1" applyFont="1" applyFill="1" applyBorder="1"/>
    <xf numFmtId="0" fontId="0" fillId="37" borderId="17" xfId="0" applyFill="1" applyBorder="1" applyAlignment="1">
      <alignment horizontal="left"/>
    </xf>
    <xf numFmtId="168" fontId="3" fillId="0" borderId="17" xfId="28" applyNumberFormat="1" applyFont="1" applyFill="1" applyBorder="1"/>
    <xf numFmtId="168" fontId="3" fillId="0" borderId="0" xfId="28" applyNumberFormat="1" applyFont="1" applyFill="1" applyBorder="1"/>
    <xf numFmtId="167" fontId="3" fillId="37" borderId="35" xfId="28" applyNumberFormat="1" applyFont="1" applyFill="1" applyBorder="1" applyAlignment="1">
      <alignment horizontal="center"/>
    </xf>
    <xf numFmtId="168" fontId="3" fillId="0" borderId="22" xfId="28" applyNumberFormat="1" applyFont="1" applyFill="1" applyBorder="1"/>
    <xf numFmtId="168" fontId="3" fillId="0" borderId="34" xfId="28" applyNumberFormat="1" applyFont="1" applyFill="1" applyBorder="1"/>
    <xf numFmtId="176" fontId="59" fillId="0" borderId="0" xfId="28" applyNumberFormat="1" applyFont="1" applyBorder="1"/>
    <xf numFmtId="0" fontId="57" fillId="0" borderId="0" xfId="0" applyFont="1" applyFill="1" applyAlignment="1">
      <alignment horizontal="center" vertical="center"/>
    </xf>
    <xf numFmtId="0" fontId="28" fillId="0" borderId="0" xfId="49" applyFont="1" applyFill="1" applyBorder="1" applyAlignment="1">
      <alignment horizontal="left" wrapText="1"/>
    </xf>
    <xf numFmtId="167" fontId="15" fillId="33" borderId="69" xfId="28" applyNumberFormat="1" applyFont="1" applyFill="1" applyBorder="1" applyAlignment="1">
      <alignment horizontal="center"/>
    </xf>
    <xf numFmtId="167" fontId="15" fillId="33" borderId="70" xfId="28" applyNumberFormat="1" applyFont="1" applyFill="1" applyBorder="1" applyAlignment="1">
      <alignment horizontal="center"/>
    </xf>
    <xf numFmtId="0" fontId="22" fillId="0" borderId="0" xfId="0" applyFont="1"/>
    <xf numFmtId="172" fontId="3" fillId="0" borderId="0" xfId="0" applyNumberFormat="1" applyFont="1" applyAlignment="1">
      <alignment horizontal="right"/>
    </xf>
    <xf numFmtId="0" fontId="3" fillId="0" borderId="0" xfId="0" applyFont="1" applyAlignment="1">
      <alignment horizontal="left"/>
    </xf>
    <xf numFmtId="0" fontId="3" fillId="0" borderId="71" xfId="0" applyFont="1" applyBorder="1"/>
    <xf numFmtId="168" fontId="3" fillId="0" borderId="17" xfId="28" applyNumberFormat="1" applyFont="1" applyBorder="1"/>
    <xf numFmtId="168" fontId="3" fillId="0" borderId="72" xfId="28" applyNumberFormat="1" applyFont="1" applyBorder="1"/>
    <xf numFmtId="0" fontId="3" fillId="0" borderId="73" xfId="0" applyFont="1" applyBorder="1"/>
    <xf numFmtId="168" fontId="3" fillId="0" borderId="38" xfId="28" applyNumberFormat="1" applyFont="1" applyBorder="1"/>
    <xf numFmtId="168" fontId="3" fillId="0" borderId="74" xfId="28" applyNumberFormat="1" applyFont="1" applyBorder="1"/>
    <xf numFmtId="0" fontId="3" fillId="0" borderId="50" xfId="0" applyFont="1" applyBorder="1"/>
    <xf numFmtId="0" fontId="3" fillId="0" borderId="52" xfId="0" applyFont="1" applyBorder="1"/>
    <xf numFmtId="9" fontId="0" fillId="0" borderId="0" xfId="0" applyNumberFormat="1" applyBorder="1"/>
    <xf numFmtId="0" fontId="0" fillId="0" borderId="53" xfId="0" applyBorder="1"/>
    <xf numFmtId="0" fontId="0" fillId="0" borderId="52" xfId="0" applyBorder="1"/>
    <xf numFmtId="9" fontId="0" fillId="0" borderId="53" xfId="0" applyNumberFormat="1" applyBorder="1"/>
    <xf numFmtId="0" fontId="3" fillId="0" borderId="54" xfId="0" applyFont="1" applyBorder="1"/>
    <xf numFmtId="9" fontId="0" fillId="0" borderId="29" xfId="0" applyNumberFormat="1" applyBorder="1"/>
    <xf numFmtId="9" fontId="0" fillId="0" borderId="55" xfId="0" applyNumberFormat="1" applyBorder="1"/>
    <xf numFmtId="0" fontId="3" fillId="36" borderId="75" xfId="0" applyFont="1" applyFill="1" applyBorder="1" applyAlignment="1">
      <alignment horizontal="center" vertical="center"/>
    </xf>
    <xf numFmtId="0" fontId="3" fillId="36" borderId="76" xfId="0" applyFont="1" applyFill="1" applyBorder="1" applyAlignment="1">
      <alignment horizontal="center" vertical="center"/>
    </xf>
    <xf numFmtId="0" fontId="3" fillId="42" borderId="71" xfId="0" applyFont="1" applyFill="1" applyBorder="1" applyAlignment="1">
      <alignment horizontal="left" vertical="center" wrapText="1"/>
    </xf>
    <xf numFmtId="0" fontId="3" fillId="42" borderId="73" xfId="0" applyFont="1" applyFill="1" applyBorder="1" applyAlignment="1">
      <alignment horizontal="left" vertical="center" wrapText="1"/>
    </xf>
    <xf numFmtId="0" fontId="21" fillId="42" borderId="73" xfId="0" applyFont="1" applyFill="1" applyBorder="1" applyAlignment="1">
      <alignment horizontal="left" vertical="center" wrapText="1"/>
    </xf>
    <xf numFmtId="0" fontId="21" fillId="42" borderId="77" xfId="0" applyFont="1" applyFill="1" applyBorder="1" applyAlignment="1">
      <alignment horizontal="left" vertical="center" wrapText="1"/>
    </xf>
    <xf numFmtId="0" fontId="0" fillId="0" borderId="51" xfId="0" applyBorder="1"/>
    <xf numFmtId="0" fontId="3" fillId="36" borderId="52" xfId="0" applyFont="1" applyFill="1" applyBorder="1"/>
    <xf numFmtId="9" fontId="0" fillId="36" borderId="0" xfId="0" applyNumberFormat="1" applyFill="1" applyBorder="1"/>
    <xf numFmtId="0" fontId="0" fillId="36" borderId="53" xfId="0" applyFill="1" applyBorder="1"/>
    <xf numFmtId="0" fontId="3" fillId="36" borderId="78" xfId="0" applyFont="1" applyFill="1" applyBorder="1"/>
    <xf numFmtId="0" fontId="3" fillId="36" borderId="79" xfId="0" applyFont="1" applyFill="1" applyBorder="1"/>
    <xf numFmtId="9" fontId="0" fillId="36" borderId="33" xfId="0" applyNumberFormat="1" applyFill="1" applyBorder="1"/>
    <xf numFmtId="0" fontId="0" fillId="36" borderId="80" xfId="0" applyFill="1" applyBorder="1"/>
    <xf numFmtId="0" fontId="0" fillId="36" borderId="23" xfId="0" applyNumberFormat="1" applyFill="1" applyBorder="1"/>
    <xf numFmtId="0" fontId="0" fillId="36" borderId="81" xfId="0" applyFill="1" applyBorder="1"/>
    <xf numFmtId="9" fontId="6" fillId="0" borderId="52" xfId="48" applyNumberFormat="1" applyFont="1" applyBorder="1" applyAlignment="1">
      <alignment horizontal="center"/>
    </xf>
    <xf numFmtId="9" fontId="31" fillId="0" borderId="52" xfId="48" applyNumberFormat="1" applyFont="1" applyFill="1" applyBorder="1" applyAlignment="1">
      <alignment horizontal="center"/>
    </xf>
    <xf numFmtId="9" fontId="31" fillId="0" borderId="52" xfId="48" applyNumberFormat="1" applyFont="1" applyBorder="1" applyAlignment="1">
      <alignment horizontal="center"/>
    </xf>
    <xf numFmtId="9" fontId="6" fillId="0" borderId="54" xfId="48" applyNumberFormat="1" applyFont="1" applyBorder="1" applyAlignment="1">
      <alignment horizontal="center"/>
    </xf>
    <xf numFmtId="0" fontId="3" fillId="0" borderId="60" xfId="48" applyFont="1" applyBorder="1"/>
    <xf numFmtId="0" fontId="0" fillId="0" borderId="58" xfId="0" applyBorder="1"/>
    <xf numFmtId="0" fontId="0" fillId="0" borderId="59" xfId="0" applyBorder="1"/>
    <xf numFmtId="0" fontId="3" fillId="0" borderId="65" xfId="0" applyFont="1" applyBorder="1" applyAlignment="1">
      <alignment horizontal="center" vertical="center" wrapText="1"/>
    </xf>
    <xf numFmtId="0" fontId="3" fillId="0" borderId="82" xfId="0" applyFont="1" applyBorder="1" applyAlignment="1">
      <alignment horizontal="center" vertical="center" wrapText="1"/>
    </xf>
    <xf numFmtId="0" fontId="3" fillId="0" borderId="76" xfId="0" applyFont="1" applyBorder="1" applyAlignment="1">
      <alignment horizontal="center" vertical="center" wrapText="1"/>
    </xf>
    <xf numFmtId="0" fontId="3" fillId="42" borderId="33" xfId="0" applyFont="1" applyFill="1" applyBorder="1"/>
    <xf numFmtId="0" fontId="3" fillId="42" borderId="80" xfId="0" applyFont="1" applyFill="1" applyBorder="1"/>
    <xf numFmtId="0" fontId="3" fillId="42" borderId="52" xfId="0" applyFont="1" applyFill="1" applyBorder="1"/>
    <xf numFmtId="0" fontId="3" fillId="42" borderId="78" xfId="0" applyFont="1" applyFill="1" applyBorder="1"/>
    <xf numFmtId="0" fontId="3" fillId="42" borderId="76" xfId="0" applyFont="1" applyFill="1" applyBorder="1" applyAlignment="1">
      <alignment horizontal="center" vertical="center" wrapText="1"/>
    </xf>
    <xf numFmtId="0" fontId="3" fillId="42" borderId="83" xfId="48" applyFont="1" applyFill="1" applyBorder="1" applyAlignment="1">
      <alignment horizontal="center" vertical="center" wrapText="1"/>
    </xf>
    <xf numFmtId="0" fontId="3" fillId="42" borderId="75" xfId="0" applyFont="1" applyFill="1" applyBorder="1"/>
    <xf numFmtId="0" fontId="3" fillId="42" borderId="76" xfId="0" applyFont="1" applyFill="1" applyBorder="1" applyAlignment="1">
      <alignment horizontal="center"/>
    </xf>
    <xf numFmtId="0" fontId="3" fillId="42" borderId="83" xfId="0" applyFont="1" applyFill="1" applyBorder="1" applyAlignment="1">
      <alignment horizontal="center"/>
    </xf>
    <xf numFmtId="0" fontId="3" fillId="42" borderId="84" xfId="0" applyFont="1" applyFill="1" applyBorder="1"/>
    <xf numFmtId="169" fontId="3" fillId="42" borderId="86" xfId="29" applyNumberFormat="1" applyFont="1" applyFill="1" applyBorder="1"/>
    <xf numFmtId="169" fontId="3" fillId="42" borderId="87" xfId="29" applyNumberFormat="1" applyFont="1" applyFill="1" applyBorder="1"/>
    <xf numFmtId="5" fontId="3" fillId="0" borderId="58" xfId="0" applyNumberFormat="1" applyFont="1" applyBorder="1"/>
    <xf numFmtId="0" fontId="61" fillId="0" borderId="0" xfId="0" applyFont="1"/>
    <xf numFmtId="0" fontId="21" fillId="42" borderId="79" xfId="0" applyFont="1" applyFill="1" applyBorder="1" applyAlignment="1">
      <alignment horizontal="center"/>
    </xf>
    <xf numFmtId="0" fontId="3" fillId="36" borderId="88" xfId="0" applyFont="1" applyFill="1" applyBorder="1" applyAlignment="1">
      <alignment horizontal="center" vertical="center"/>
    </xf>
    <xf numFmtId="0" fontId="21" fillId="0" borderId="0" xfId="0" applyFont="1" applyAlignment="1">
      <alignment horizontal="center"/>
    </xf>
    <xf numFmtId="175" fontId="3" fillId="0" borderId="17" xfId="28" applyNumberFormat="1" applyFont="1" applyBorder="1" applyAlignment="1">
      <alignment horizontal="right" vertical="center"/>
    </xf>
    <xf numFmtId="173" fontId="3" fillId="0" borderId="17" xfId="28" applyNumberFormat="1" applyFont="1" applyBorder="1" applyAlignment="1">
      <alignment horizontal="right" vertical="center"/>
    </xf>
    <xf numFmtId="9" fontId="3" fillId="0" borderId="17" xfId="52" applyNumberFormat="1" applyFont="1" applyBorder="1" applyAlignment="1">
      <alignment horizontal="right" vertical="center"/>
    </xf>
    <xf numFmtId="173" fontId="21" fillId="0" borderId="38" xfId="52" applyNumberFormat="1" applyFont="1" applyBorder="1" applyAlignment="1">
      <alignment horizontal="right" vertical="center"/>
    </xf>
    <xf numFmtId="173" fontId="3" fillId="0" borderId="85" xfId="28" applyNumberFormat="1" applyFont="1" applyBorder="1" applyAlignment="1">
      <alignment horizontal="right" vertical="center"/>
    </xf>
    <xf numFmtId="49" fontId="3" fillId="33" borderId="7" xfId="0" applyNumberFormat="1" applyFont="1" applyFill="1" applyBorder="1"/>
    <xf numFmtId="0" fontId="61" fillId="0" borderId="0" xfId="0" applyFont="1" applyFill="1" applyBorder="1" applyAlignment="1">
      <alignment horizontal="left" vertical="center"/>
    </xf>
    <xf numFmtId="173" fontId="3" fillId="0" borderId="0" xfId="28" applyNumberFormat="1" applyFont="1" applyBorder="1" applyAlignment="1">
      <alignment horizontal="right" vertical="center"/>
    </xf>
    <xf numFmtId="0" fontId="21" fillId="0" borderId="0" xfId="0" applyFont="1" applyFill="1" applyBorder="1" applyAlignment="1">
      <alignment horizontal="left" vertical="center" wrapText="1"/>
    </xf>
    <xf numFmtId="168" fontId="0" fillId="0" borderId="0" xfId="28" applyNumberFormat="1" applyFont="1"/>
    <xf numFmtId="169" fontId="22" fillId="0" borderId="0" xfId="29" applyNumberFormat="1" applyFont="1" applyFill="1" applyBorder="1"/>
    <xf numFmtId="0" fontId="57" fillId="43" borderId="0" xfId="0" applyFont="1" applyFill="1" applyAlignment="1">
      <alignment horizontal="left"/>
    </xf>
    <xf numFmtId="0" fontId="65" fillId="43" borderId="0" xfId="0" applyFont="1" applyFill="1"/>
    <xf numFmtId="0" fontId="67" fillId="0" borderId="0" xfId="0" applyFont="1" applyAlignment="1">
      <alignment horizontal="center"/>
    </xf>
    <xf numFmtId="0" fontId="22" fillId="0" borderId="0" xfId="0" applyFont="1" applyBorder="1" applyAlignment="1">
      <alignment horizontal="center"/>
    </xf>
    <xf numFmtId="0" fontId="22" fillId="0" borderId="53" xfId="0" applyFont="1" applyBorder="1" applyAlignment="1">
      <alignment horizontal="center"/>
    </xf>
    <xf numFmtId="0" fontId="21" fillId="0" borderId="0" xfId="0" applyFont="1" applyAlignment="1">
      <alignment horizontal="right"/>
    </xf>
    <xf numFmtId="0" fontId="3" fillId="0" borderId="42" xfId="0" applyFont="1" applyBorder="1"/>
    <xf numFmtId="0" fontId="3" fillId="0" borderId="43" xfId="0" applyFont="1" applyBorder="1"/>
    <xf numFmtId="0" fontId="3" fillId="0" borderId="17" xfId="0" applyFont="1" applyBorder="1"/>
    <xf numFmtId="0" fontId="0" fillId="0" borderId="17" xfId="0" applyBorder="1"/>
    <xf numFmtId="167" fontId="3" fillId="0" borderId="0" xfId="28" applyNumberFormat="1" applyFont="1" applyFill="1" applyBorder="1" applyAlignment="1">
      <alignment horizontal="center"/>
    </xf>
    <xf numFmtId="167" fontId="2" fillId="37" borderId="21" xfId="28" applyNumberFormat="1" applyFill="1" applyBorder="1" applyAlignment="1">
      <alignment horizontal="center"/>
    </xf>
    <xf numFmtId="167" fontId="2" fillId="37" borderId="36" xfId="28" applyNumberFormat="1" applyFill="1" applyBorder="1" applyAlignment="1">
      <alignment horizontal="center"/>
    </xf>
    <xf numFmtId="49" fontId="52" fillId="37" borderId="42" xfId="0" applyNumberFormat="1" applyFont="1" applyFill="1" applyBorder="1" applyAlignment="1"/>
    <xf numFmtId="49" fontId="52" fillId="37" borderId="43" xfId="0" applyNumberFormat="1" applyFont="1" applyFill="1" applyBorder="1" applyAlignment="1"/>
    <xf numFmtId="168" fontId="2" fillId="0" borderId="36" xfId="28" applyNumberFormat="1" applyFont="1" applyFill="1" applyBorder="1" applyAlignment="1">
      <alignment horizontal="center"/>
    </xf>
    <xf numFmtId="168" fontId="2" fillId="0" borderId="37" xfId="28" applyNumberFormat="1" applyFont="1" applyFill="1" applyBorder="1" applyAlignment="1">
      <alignment horizontal="center"/>
    </xf>
    <xf numFmtId="167" fontId="2" fillId="37" borderId="32" xfId="28" applyNumberFormat="1" applyFill="1" applyBorder="1" applyAlignment="1">
      <alignment horizontal="center"/>
    </xf>
    <xf numFmtId="168" fontId="2" fillId="0" borderId="0" xfId="28" applyNumberFormat="1" applyFont="1" applyFill="1" applyBorder="1" applyAlignment="1">
      <alignment horizontal="center"/>
    </xf>
    <xf numFmtId="168" fontId="2" fillId="0" borderId="23" xfId="28" applyNumberFormat="1" applyFont="1" applyFill="1" applyBorder="1" applyAlignment="1">
      <alignment horizontal="center"/>
    </xf>
    <xf numFmtId="168" fontId="2" fillId="0" borderId="34" xfId="28" applyNumberFormat="1" applyFont="1" applyFill="1" applyBorder="1" applyAlignment="1">
      <alignment horizontal="center"/>
    </xf>
    <xf numFmtId="0" fontId="3" fillId="0" borderId="43" xfId="0" applyFont="1" applyFill="1" applyBorder="1" applyAlignment="1">
      <alignment horizontal="center"/>
    </xf>
    <xf numFmtId="0" fontId="3" fillId="0" borderId="44" xfId="0" applyFont="1" applyFill="1" applyBorder="1" applyAlignment="1">
      <alignment horizontal="center"/>
    </xf>
    <xf numFmtId="43" fontId="2" fillId="41" borderId="52" xfId="28" applyFont="1" applyFill="1" applyBorder="1"/>
    <xf numFmtId="44" fontId="2" fillId="33" borderId="7" xfId="29" applyFill="1" applyBorder="1" applyAlignment="1">
      <alignment horizontal="center" vertical="top" wrapText="1"/>
    </xf>
    <xf numFmtId="44" fontId="2" fillId="33" borderId="16" xfId="29" applyFill="1" applyBorder="1" applyAlignment="1">
      <alignment horizontal="center" vertical="top" wrapText="1"/>
    </xf>
    <xf numFmtId="44" fontId="2" fillId="0" borderId="7" xfId="29" applyFill="1" applyBorder="1" applyAlignment="1">
      <alignment horizontal="center" vertical="top" wrapText="1"/>
    </xf>
    <xf numFmtId="44" fontId="2" fillId="0" borderId="16" xfId="29" applyFill="1" applyBorder="1" applyAlignment="1">
      <alignment horizontal="center" vertical="top" wrapText="1"/>
    </xf>
    <xf numFmtId="174" fontId="2" fillId="0" borderId="21" xfId="28" applyNumberFormat="1" applyBorder="1" applyAlignment="1">
      <alignment horizontal="center"/>
    </xf>
    <xf numFmtId="2" fontId="46" fillId="0" borderId="17" xfId="28" applyNumberFormat="1" applyFont="1" applyBorder="1" applyAlignment="1">
      <alignment horizontal="center"/>
    </xf>
    <xf numFmtId="2" fontId="46" fillId="0" borderId="38" xfId="28" applyNumberFormat="1" applyFont="1" applyBorder="1" applyAlignment="1">
      <alignment horizontal="center"/>
    </xf>
    <xf numFmtId="43" fontId="2" fillId="41" borderId="54" xfId="28" applyFont="1" applyFill="1" applyBorder="1"/>
    <xf numFmtId="43" fontId="6" fillId="32" borderId="33" xfId="28" applyFont="1" applyFill="1" applyBorder="1"/>
    <xf numFmtId="43" fontId="6" fillId="32" borderId="0" xfId="28" applyFont="1" applyFill="1" applyBorder="1"/>
    <xf numFmtId="43" fontId="31" fillId="32" borderId="0" xfId="28" applyFont="1" applyFill="1" applyBorder="1"/>
    <xf numFmtId="43" fontId="6" fillId="32" borderId="23" xfId="28" applyFont="1" applyFill="1" applyBorder="1"/>
    <xf numFmtId="165" fontId="2" fillId="41" borderId="33" xfId="29" applyNumberFormat="1" applyFont="1" applyFill="1" applyBorder="1"/>
    <xf numFmtId="165" fontId="2" fillId="41" borderId="23" xfId="29" applyNumberFormat="1" applyFont="1" applyFill="1" applyBorder="1"/>
    <xf numFmtId="165" fontId="2" fillId="41" borderId="23" xfId="48" applyNumberFormat="1" applyFont="1" applyFill="1" applyBorder="1"/>
    <xf numFmtId="176" fontId="59" fillId="0" borderId="0" xfId="28" applyNumberFormat="1" applyFont="1" applyFill="1" applyBorder="1"/>
    <xf numFmtId="168" fontId="3" fillId="0" borderId="17" xfId="28" applyNumberFormat="1" applyFont="1" applyBorder="1" applyAlignment="1">
      <alignment vertical="top"/>
    </xf>
    <xf numFmtId="168" fontId="3" fillId="0" borderId="38" xfId="28" applyNumberFormat="1" applyFont="1" applyBorder="1" applyAlignment="1">
      <alignment vertical="top"/>
    </xf>
    <xf numFmtId="169" fontId="3" fillId="42" borderId="86" xfId="29" applyNumberFormat="1" applyFont="1" applyFill="1" applyBorder="1" applyAlignment="1">
      <alignment vertical="top"/>
    </xf>
    <xf numFmtId="41" fontId="61" fillId="37" borderId="0" xfId="0" applyNumberFormat="1" applyFont="1" applyFill="1"/>
    <xf numFmtId="175" fontId="3" fillId="0" borderId="42" xfId="28" applyNumberFormat="1" applyFont="1" applyBorder="1" applyAlignment="1">
      <alignment horizontal="right" vertical="center"/>
    </xf>
    <xf numFmtId="173" fontId="3" fillId="0" borderId="42" xfId="28" applyNumberFormat="1" applyFont="1" applyBorder="1" applyAlignment="1">
      <alignment horizontal="right" vertical="center"/>
    </xf>
    <xf numFmtId="9" fontId="3" fillId="0" borderId="42" xfId="52" applyNumberFormat="1" applyFont="1" applyBorder="1" applyAlignment="1">
      <alignment horizontal="right" vertical="center"/>
    </xf>
    <xf numFmtId="173" fontId="21" fillId="0" borderId="31" xfId="52" applyNumberFormat="1" applyFont="1" applyBorder="1" applyAlignment="1">
      <alignment horizontal="right" vertical="center"/>
    </xf>
    <xf numFmtId="173" fontId="3" fillId="0" borderId="89" xfId="28" applyNumberFormat="1" applyFont="1" applyBorder="1" applyAlignment="1">
      <alignment horizontal="right" vertical="center"/>
    </xf>
    <xf numFmtId="43" fontId="0" fillId="42" borderId="0" xfId="28" applyFont="1" applyFill="1" applyBorder="1"/>
    <xf numFmtId="43" fontId="0" fillId="42" borderId="53" xfId="28" applyFont="1" applyFill="1" applyBorder="1"/>
    <xf numFmtId="43" fontId="0" fillId="42" borderId="23" xfId="28" applyFont="1" applyFill="1" applyBorder="1"/>
    <xf numFmtId="43" fontId="0" fillId="42" borderId="81" xfId="28" applyFont="1" applyFill="1" applyBorder="1"/>
    <xf numFmtId="43" fontId="3" fillId="42" borderId="23" xfId="28" applyFont="1" applyFill="1" applyBorder="1"/>
    <xf numFmtId="43" fontId="3" fillId="42" borderId="81" xfId="28" applyFont="1" applyFill="1" applyBorder="1"/>
    <xf numFmtId="43" fontId="0" fillId="0" borderId="0" xfId="28" applyFont="1" applyBorder="1"/>
    <xf numFmtId="43" fontId="6" fillId="42" borderId="22" xfId="28" applyFont="1" applyFill="1" applyBorder="1"/>
    <xf numFmtId="43" fontId="31" fillId="42" borderId="22" xfId="28" applyFont="1" applyFill="1" applyBorder="1"/>
    <xf numFmtId="43" fontId="0" fillId="0" borderId="29" xfId="28" applyFont="1" applyBorder="1"/>
    <xf numFmtId="43" fontId="6" fillId="42" borderId="90" xfId="28" applyFont="1" applyFill="1" applyBorder="1"/>
    <xf numFmtId="43" fontId="0" fillId="42" borderId="55" xfId="28" applyFont="1" applyFill="1" applyBorder="1"/>
    <xf numFmtId="0" fontId="3" fillId="37" borderId="40" xfId="0" applyFont="1" applyFill="1" applyBorder="1" applyAlignment="1">
      <alignment horizontal="center"/>
    </xf>
    <xf numFmtId="167" fontId="15" fillId="37" borderId="40" xfId="28" applyNumberFormat="1" applyFont="1" applyFill="1" applyBorder="1" applyAlignment="1">
      <alignment horizontal="center"/>
    </xf>
    <xf numFmtId="167" fontId="2" fillId="37" borderId="40" xfId="28" applyNumberFormat="1" applyFill="1" applyBorder="1" applyAlignment="1">
      <alignment horizontal="center"/>
    </xf>
    <xf numFmtId="167" fontId="3" fillId="37" borderId="40" xfId="28" applyNumberFormat="1" applyFont="1" applyFill="1" applyBorder="1" applyAlignment="1">
      <alignment horizontal="center"/>
    </xf>
    <xf numFmtId="167" fontId="3" fillId="0" borderId="91" xfId="28" applyNumberFormat="1" applyFont="1" applyFill="1" applyBorder="1" applyAlignment="1">
      <alignment horizontal="center"/>
    </xf>
    <xf numFmtId="167" fontId="3" fillId="0" borderId="39" xfId="28" applyNumberFormat="1" applyFont="1" applyFill="1" applyBorder="1" applyAlignment="1">
      <alignment horizontal="center"/>
    </xf>
    <xf numFmtId="169" fontId="3" fillId="0" borderId="20" xfId="29" applyNumberFormat="1" applyFont="1" applyFill="1" applyBorder="1" applyAlignment="1">
      <alignment horizontal="center"/>
    </xf>
    <xf numFmtId="0" fontId="0" fillId="0" borderId="17" xfId="0" applyFill="1" applyBorder="1"/>
    <xf numFmtId="0" fontId="0" fillId="35" borderId="17" xfId="0" applyFill="1" applyBorder="1" applyAlignment="1">
      <alignment horizontal="center"/>
    </xf>
    <xf numFmtId="0" fontId="0" fillId="0" borderId="0" xfId="0" applyAlignment="1"/>
    <xf numFmtId="0" fontId="3" fillId="38" borderId="42" xfId="0" applyFont="1" applyFill="1" applyBorder="1" applyAlignment="1">
      <alignment horizontal="center"/>
    </xf>
    <xf numFmtId="0" fontId="3" fillId="38" borderId="43" xfId="0" applyFont="1" applyFill="1" applyBorder="1" applyAlignment="1">
      <alignment horizontal="center"/>
    </xf>
    <xf numFmtId="0" fontId="0" fillId="36" borderId="17" xfId="0" applyFill="1" applyBorder="1"/>
    <xf numFmtId="0" fontId="3" fillId="38" borderId="17" xfId="0" applyFont="1" applyFill="1" applyBorder="1" applyAlignment="1">
      <alignment horizontal="center"/>
    </xf>
    <xf numFmtId="42" fontId="2" fillId="0" borderId="0" xfId="29" applyNumberFormat="1" applyFill="1" applyBorder="1" applyAlignment="1">
      <alignment horizontal="center" vertical="top" wrapText="1"/>
    </xf>
    <xf numFmtId="0" fontId="2" fillId="0" borderId="0" xfId="28" applyNumberFormat="1" applyFill="1" applyBorder="1" applyAlignment="1">
      <alignment horizontal="center" vertical="top" wrapText="1"/>
    </xf>
    <xf numFmtId="0" fontId="6" fillId="41" borderId="0" xfId="0" applyFont="1" applyFill="1" applyBorder="1" applyAlignment="1">
      <alignment horizontal="left" vertical="top"/>
    </xf>
    <xf numFmtId="0" fontId="0" fillId="41" borderId="0" xfId="0" applyFill="1" applyAlignment="1"/>
    <xf numFmtId="0" fontId="3" fillId="41" borderId="0" xfId="0" applyFont="1" applyFill="1"/>
    <xf numFmtId="9" fontId="2" fillId="41" borderId="35" xfId="52" applyFont="1" applyFill="1" applyBorder="1"/>
    <xf numFmtId="9" fontId="2" fillId="41" borderId="37" xfId="52" applyFont="1" applyFill="1" applyBorder="1"/>
    <xf numFmtId="49" fontId="52" fillId="37" borderId="23" xfId="0" applyNumberFormat="1" applyFont="1" applyFill="1" applyBorder="1" applyAlignment="1">
      <alignment horizontal="center"/>
    </xf>
    <xf numFmtId="0" fontId="51" fillId="0" borderId="23" xfId="0" applyFont="1" applyFill="1" applyBorder="1"/>
    <xf numFmtId="49" fontId="52" fillId="37" borderId="35" xfId="0" applyNumberFormat="1" applyFont="1" applyFill="1" applyBorder="1" applyAlignment="1"/>
    <xf numFmtId="168" fontId="3" fillId="0" borderId="23" xfId="28" applyNumberFormat="1" applyFont="1" applyFill="1" applyBorder="1" applyAlignment="1">
      <alignment horizontal="center"/>
    </xf>
    <xf numFmtId="0" fontId="66" fillId="44" borderId="92" xfId="0" applyFont="1" applyFill="1" applyBorder="1" applyAlignment="1" applyProtection="1">
      <protection locked="0"/>
    </xf>
    <xf numFmtId="0" fontId="66" fillId="44" borderId="0" xfId="0" applyFont="1" applyFill="1" applyBorder="1" applyAlignment="1" applyProtection="1">
      <alignment horizontal="center"/>
      <protection locked="0"/>
    </xf>
    <xf numFmtId="0" fontId="2" fillId="0" borderId="0" xfId="0" applyFont="1" applyFill="1" applyAlignment="1" applyProtection="1">
      <alignment horizontal="center" wrapText="1"/>
      <protection locked="0"/>
    </xf>
    <xf numFmtId="0" fontId="2" fillId="0" borderId="0" xfId="0" applyFont="1" applyFill="1" applyAlignment="1" applyProtection="1">
      <alignment wrapText="1"/>
      <protection locked="0"/>
    </xf>
    <xf numFmtId="0" fontId="3" fillId="45" borderId="42" xfId="0" applyFont="1" applyFill="1" applyBorder="1" applyAlignment="1" applyProtection="1">
      <alignment wrapText="1"/>
      <protection locked="0"/>
    </xf>
    <xf numFmtId="0" fontId="85" fillId="45" borderId="42" xfId="0" applyFont="1" applyFill="1" applyBorder="1" applyAlignment="1" applyProtection="1">
      <alignment horizontal="center" wrapText="1"/>
      <protection locked="0"/>
    </xf>
    <xf numFmtId="0" fontId="85" fillId="45" borderId="17" xfId="0" applyFont="1" applyFill="1" applyBorder="1" applyAlignment="1" applyProtection="1">
      <alignment horizontal="center" wrapText="1"/>
      <protection locked="0"/>
    </xf>
    <xf numFmtId="0" fontId="2" fillId="0" borderId="0" xfId="0" applyFont="1" applyFill="1" applyAlignment="1" applyProtection="1">
      <alignment horizontal="center"/>
      <protection locked="0"/>
    </xf>
    <xf numFmtId="1" fontId="3" fillId="37" borderId="93" xfId="52" applyNumberFormat="1" applyFont="1" applyFill="1" applyBorder="1" applyAlignment="1" applyProtection="1">
      <alignment horizontal="left" vertical="center"/>
      <protection locked="0"/>
    </xf>
    <xf numFmtId="9" fontId="2" fillId="37" borderId="17" xfId="0" applyNumberFormat="1" applyFont="1" applyFill="1" applyBorder="1" applyAlignment="1" applyProtection="1">
      <alignment horizontal="center" vertical="center"/>
      <protection locked="0"/>
    </xf>
    <xf numFmtId="1" fontId="2" fillId="37" borderId="94" xfId="0" applyNumberFormat="1" applyFont="1" applyFill="1" applyBorder="1" applyAlignment="1" applyProtection="1">
      <alignment horizontal="center" vertical="center"/>
      <protection locked="0"/>
    </xf>
    <xf numFmtId="1" fontId="2" fillId="37" borderId="17" xfId="0" applyNumberFormat="1" applyFont="1" applyFill="1" applyBorder="1" applyAlignment="1" applyProtection="1">
      <alignment horizontal="center" vertical="center"/>
      <protection locked="0"/>
    </xf>
    <xf numFmtId="9" fontId="2" fillId="37" borderId="94" xfId="0" applyNumberFormat="1" applyFont="1" applyFill="1" applyBorder="1" applyAlignment="1" applyProtection="1">
      <alignment horizontal="center" vertical="center"/>
      <protection locked="0"/>
    </xf>
    <xf numFmtId="0" fontId="2" fillId="45" borderId="17" xfId="0" applyFont="1" applyFill="1" applyBorder="1" applyAlignment="1" applyProtection="1">
      <alignment horizontal="center"/>
      <protection locked="0"/>
    </xf>
    <xf numFmtId="9" fontId="2" fillId="37" borderId="94" xfId="52" applyFont="1" applyFill="1" applyBorder="1" applyAlignment="1" applyProtection="1">
      <alignment horizontal="center" vertical="center"/>
      <protection locked="0"/>
    </xf>
    <xf numFmtId="0" fontId="2" fillId="0" borderId="0" xfId="0" applyFont="1" applyFill="1" applyAlignment="1" applyProtection="1">
      <protection locked="0"/>
    </xf>
    <xf numFmtId="0" fontId="2" fillId="0" borderId="0" xfId="0" applyFont="1" applyFill="1" applyProtection="1">
      <protection locked="0"/>
    </xf>
    <xf numFmtId="0" fontId="3" fillId="37" borderId="92" xfId="0" applyFont="1" applyFill="1" applyBorder="1" applyAlignment="1" applyProtection="1">
      <protection locked="0"/>
    </xf>
    <xf numFmtId="0" fontId="2" fillId="37" borderId="17" xfId="0" applyNumberFormat="1" applyFont="1" applyFill="1" applyBorder="1" applyAlignment="1" applyProtection="1">
      <alignment horizontal="center"/>
      <protection locked="0"/>
    </xf>
    <xf numFmtId="0" fontId="5" fillId="0" borderId="0" xfId="0" applyFont="1" applyFill="1" applyAlignment="1" applyProtection="1">
      <alignment horizontal="center"/>
      <protection locked="0"/>
    </xf>
    <xf numFmtId="0" fontId="3" fillId="44" borderId="95" xfId="0" applyFont="1" applyFill="1" applyBorder="1" applyAlignment="1" applyProtection="1">
      <alignment horizontal="center"/>
      <protection locked="0"/>
    </xf>
    <xf numFmtId="0" fontId="3" fillId="35" borderId="92" xfId="0" applyFont="1" applyFill="1" applyBorder="1" applyAlignment="1" applyProtection="1">
      <protection locked="0"/>
    </xf>
    <xf numFmtId="0" fontId="3" fillId="35" borderId="17" xfId="0" applyFont="1" applyFill="1" applyBorder="1" applyAlignment="1" applyProtection="1">
      <alignment horizontal="center"/>
    </xf>
    <xf numFmtId="0" fontId="3" fillId="35" borderId="94" xfId="0" applyFont="1" applyFill="1" applyBorder="1" applyAlignment="1" applyProtection="1">
      <alignment horizontal="center"/>
    </xf>
    <xf numFmtId="0" fontId="3" fillId="37" borderId="92" xfId="0" applyFont="1" applyFill="1" applyBorder="1" applyAlignment="1" applyProtection="1">
      <alignment horizontal="left" indent="1"/>
      <protection locked="0"/>
    </xf>
    <xf numFmtId="37" fontId="2" fillId="37" borderId="94" xfId="0" applyNumberFormat="1" applyFont="1" applyFill="1" applyBorder="1" applyAlignment="1" applyProtection="1">
      <alignment horizontal="center"/>
      <protection locked="0"/>
    </xf>
    <xf numFmtId="37" fontId="2" fillId="37" borderId="17" xfId="0" applyNumberFormat="1" applyFont="1" applyFill="1" applyBorder="1" applyAlignment="1" applyProtection="1">
      <alignment horizontal="center"/>
      <protection locked="0"/>
    </xf>
    <xf numFmtId="1" fontId="3" fillId="35" borderId="94" xfId="0" applyNumberFormat="1" applyFont="1" applyFill="1" applyBorder="1" applyAlignment="1" applyProtection="1">
      <alignment horizontal="center"/>
    </xf>
    <xf numFmtId="0" fontId="3" fillId="35" borderId="92" xfId="0" applyFont="1" applyFill="1" applyBorder="1" applyAlignment="1" applyProtection="1">
      <alignment horizontal="center"/>
      <protection locked="0"/>
    </xf>
    <xf numFmtId="0" fontId="3" fillId="35" borderId="95" xfId="0" applyFont="1" applyFill="1" applyBorder="1" applyAlignment="1" applyProtection="1">
      <alignment horizontal="center"/>
      <protection locked="0"/>
    </xf>
    <xf numFmtId="0" fontId="3" fillId="35" borderId="96" xfId="0" applyFont="1" applyFill="1" applyBorder="1" applyAlignment="1" applyProtection="1">
      <alignment horizontal="center"/>
      <protection locked="0"/>
    </xf>
    <xf numFmtId="0" fontId="2" fillId="0" borderId="0" xfId="0" applyNumberFormat="1" applyFont="1" applyFill="1" applyBorder="1" applyAlignment="1" applyProtection="1">
      <protection locked="0"/>
    </xf>
    <xf numFmtId="38" fontId="3" fillId="45" borderId="92" xfId="28" applyNumberFormat="1" applyFont="1" applyFill="1" applyBorder="1" applyAlignment="1" applyProtection="1">
      <alignment horizontal="left" indent="1"/>
      <protection locked="0"/>
    </xf>
    <xf numFmtId="37" fontId="2" fillId="45" borderId="94" xfId="28" applyNumberFormat="1" applyFont="1" applyFill="1" applyBorder="1" applyAlignment="1" applyProtection="1">
      <alignment horizontal="center"/>
    </xf>
    <xf numFmtId="38" fontId="2" fillId="0" borderId="0" xfId="28" applyNumberFormat="1" applyFont="1" applyFill="1" applyProtection="1">
      <protection locked="0"/>
    </xf>
    <xf numFmtId="37" fontId="3" fillId="45" borderId="92" xfId="28" applyNumberFormat="1" applyFont="1" applyFill="1" applyBorder="1" applyAlignment="1" applyProtection="1">
      <alignment horizontal="left" indent="1"/>
      <protection locked="0"/>
    </xf>
    <xf numFmtId="37" fontId="2" fillId="37" borderId="0" xfId="28" applyNumberFormat="1" applyFont="1" applyFill="1" applyProtection="1">
      <protection locked="0"/>
    </xf>
    <xf numFmtId="0" fontId="3" fillId="45" borderId="92" xfId="0" applyFont="1" applyFill="1" applyBorder="1" applyAlignment="1" applyProtection="1">
      <alignment horizontal="left" indent="1"/>
      <protection locked="0"/>
    </xf>
    <xf numFmtId="9" fontId="2" fillId="37" borderId="94" xfId="0" applyNumberFormat="1" applyFont="1" applyFill="1" applyBorder="1" applyAlignment="1" applyProtection="1">
      <alignment horizontal="center" vertical="center"/>
    </xf>
    <xf numFmtId="0" fontId="66" fillId="44" borderId="92" xfId="0" applyFont="1" applyFill="1" applyBorder="1" applyAlignment="1"/>
    <xf numFmtId="0" fontId="0" fillId="37" borderId="97" xfId="0" applyFill="1" applyBorder="1" applyAlignment="1"/>
    <xf numFmtId="0" fontId="0" fillId="37" borderId="98" xfId="0" applyFill="1" applyBorder="1" applyAlignment="1"/>
    <xf numFmtId="0" fontId="0" fillId="37" borderId="95" xfId="0" applyFill="1" applyBorder="1" applyAlignment="1"/>
    <xf numFmtId="0" fontId="0" fillId="37" borderId="95" xfId="0" applyFill="1" applyBorder="1"/>
    <xf numFmtId="0" fontId="0" fillId="37" borderId="96" xfId="0" applyFill="1" applyBorder="1"/>
    <xf numFmtId="0" fontId="0" fillId="37" borderId="42" xfId="0" applyFill="1" applyBorder="1" applyAlignment="1"/>
    <xf numFmtId="0" fontId="0" fillId="37" borderId="43" xfId="0" applyFill="1" applyBorder="1" applyAlignment="1"/>
    <xf numFmtId="0" fontId="0" fillId="37" borderId="99" xfId="0" applyFill="1" applyBorder="1" applyAlignment="1"/>
    <xf numFmtId="0" fontId="0" fillId="37" borderId="0" xfId="0" applyFill="1" applyBorder="1" applyAlignment="1"/>
    <xf numFmtId="0" fontId="66" fillId="37" borderId="0" xfId="0" applyFont="1" applyFill="1" applyBorder="1" applyAlignment="1"/>
    <xf numFmtId="0" fontId="66" fillId="44" borderId="97" xfId="0" applyFont="1" applyFill="1" applyBorder="1" applyAlignment="1"/>
    <xf numFmtId="0" fontId="0" fillId="37" borderId="98" xfId="0" applyFill="1" applyBorder="1"/>
    <xf numFmtId="0" fontId="0" fillId="37" borderId="100" xfId="0" applyFill="1" applyBorder="1"/>
    <xf numFmtId="0" fontId="66" fillId="44" borderId="0" xfId="0" applyFont="1" applyFill="1" applyBorder="1" applyAlignment="1"/>
    <xf numFmtId="0" fontId="66" fillId="37" borderId="43" xfId="0" applyFont="1" applyFill="1" applyBorder="1" applyAlignment="1"/>
    <xf numFmtId="0" fontId="0" fillId="37" borderId="43" xfId="0" applyFill="1" applyBorder="1"/>
    <xf numFmtId="0" fontId="0" fillId="37" borderId="44" xfId="0" applyFill="1" applyBorder="1"/>
    <xf numFmtId="0" fontId="2" fillId="0" borderId="0" xfId="0" applyNumberFormat="1" applyFont="1" applyFill="1" applyBorder="1" applyAlignment="1" applyProtection="1"/>
    <xf numFmtId="1" fontId="0" fillId="0" borderId="0" xfId="0" applyNumberFormat="1"/>
    <xf numFmtId="0" fontId="85" fillId="45" borderId="42" xfId="0" applyFont="1" applyFill="1" applyBorder="1" applyAlignment="1" applyProtection="1">
      <alignment horizontal="left" wrapText="1"/>
    </xf>
    <xf numFmtId="0" fontId="85" fillId="45" borderId="42" xfId="0" applyFont="1" applyFill="1" applyBorder="1" applyAlignment="1" applyProtection="1">
      <alignment horizontal="center" wrapText="1"/>
    </xf>
    <xf numFmtId="0" fontId="85" fillId="45" borderId="17" xfId="0" applyFont="1" applyFill="1" applyBorder="1" applyAlignment="1" applyProtection="1">
      <alignment horizontal="center" wrapText="1"/>
    </xf>
    <xf numFmtId="0" fontId="0" fillId="0" borderId="0" xfId="0" applyProtection="1"/>
    <xf numFmtId="9" fontId="0" fillId="0" borderId="0" xfId="0" applyNumberFormat="1" applyFill="1" applyProtection="1"/>
    <xf numFmtId="0" fontId="0" fillId="0" borderId="0" xfId="0" applyFill="1" applyProtection="1"/>
    <xf numFmtId="0" fontId="11" fillId="0" borderId="0" xfId="0" applyFont="1" applyAlignment="1" applyProtection="1">
      <alignment wrapText="1"/>
    </xf>
    <xf numFmtId="1" fontId="3" fillId="37" borderId="94" xfId="52" applyNumberFormat="1" applyFont="1" applyFill="1" applyBorder="1" applyAlignment="1" applyProtection="1">
      <alignment horizontal="left" vertical="center"/>
    </xf>
    <xf numFmtId="49" fontId="2" fillId="37" borderId="94" xfId="52" applyNumberFormat="1" applyFont="1" applyFill="1" applyBorder="1" applyAlignment="1" applyProtection="1">
      <alignment horizontal="center" vertical="center"/>
    </xf>
    <xf numFmtId="49" fontId="2" fillId="37" borderId="93" xfId="52" applyNumberFormat="1" applyFont="1" applyFill="1" applyBorder="1" applyAlignment="1" applyProtection="1">
      <alignment horizontal="center" vertical="center" wrapText="1"/>
    </xf>
    <xf numFmtId="49" fontId="2" fillId="37" borderId="94" xfId="52" applyNumberFormat="1" applyFont="1" applyFill="1" applyBorder="1" applyAlignment="1" applyProtection="1">
      <alignment horizontal="center" vertical="center" wrapText="1"/>
    </xf>
    <xf numFmtId="9" fontId="2" fillId="37" borderId="94" xfId="52" applyNumberFormat="1" applyFont="1" applyFill="1" applyBorder="1" applyAlignment="1" applyProtection="1">
      <alignment horizontal="center"/>
    </xf>
    <xf numFmtId="9" fontId="2" fillId="37" borderId="94" xfId="52" applyFont="1" applyFill="1" applyBorder="1" applyAlignment="1" applyProtection="1">
      <alignment horizontal="center" vertical="center" wrapText="1"/>
    </xf>
    <xf numFmtId="1" fontId="2" fillId="37" borderId="94" xfId="52" applyNumberFormat="1" applyFont="1" applyFill="1" applyBorder="1" applyAlignment="1" applyProtection="1">
      <alignment horizontal="center" vertical="center" wrapText="1"/>
    </xf>
    <xf numFmtId="1" fontId="2" fillId="37" borderId="92" xfId="52" applyNumberFormat="1" applyFont="1" applyFill="1" applyBorder="1" applyAlignment="1" applyProtection="1">
      <alignment horizontal="center" vertical="center" wrapText="1"/>
    </xf>
    <xf numFmtId="9" fontId="2" fillId="37" borderId="101" xfId="52" applyFont="1" applyFill="1" applyBorder="1" applyAlignment="1" applyProtection="1">
      <alignment horizontal="center" vertical="center" wrapText="1"/>
    </xf>
    <xf numFmtId="0" fontId="3" fillId="37" borderId="92" xfId="0" applyFont="1" applyFill="1" applyBorder="1" applyAlignment="1" applyProtection="1">
      <alignment horizontal="left"/>
    </xf>
    <xf numFmtId="9" fontId="2" fillId="37" borderId="94" xfId="52" applyFont="1" applyFill="1" applyBorder="1" applyAlignment="1" applyProtection="1">
      <alignment horizontal="center" vertical="center"/>
    </xf>
    <xf numFmtId="9" fontId="2" fillId="37" borderId="102" xfId="52" applyFont="1" applyFill="1" applyBorder="1" applyAlignment="1" applyProtection="1">
      <alignment horizontal="center" vertical="center" wrapText="1"/>
    </xf>
    <xf numFmtId="0" fontId="0" fillId="0" borderId="0" xfId="0" applyFill="1" applyAlignment="1" applyProtection="1">
      <alignment wrapText="1"/>
    </xf>
    <xf numFmtId="0" fontId="0" fillId="0" borderId="0" xfId="0" applyAlignment="1" applyProtection="1">
      <alignment wrapText="1"/>
    </xf>
    <xf numFmtId="0" fontId="66" fillId="44" borderId="92" xfId="0" applyFont="1" applyFill="1" applyBorder="1" applyAlignment="1" applyProtection="1"/>
    <xf numFmtId="1" fontId="66" fillId="44" borderId="94" xfId="0" applyNumberFormat="1" applyFont="1" applyFill="1" applyBorder="1" applyAlignment="1" applyProtection="1">
      <alignment horizontal="center" wrapText="1"/>
    </xf>
    <xf numFmtId="1" fontId="66" fillId="44" borderId="96" xfId="0" applyNumberFormat="1" applyFont="1" applyFill="1" applyBorder="1" applyAlignment="1" applyProtection="1">
      <alignment horizontal="center" wrapText="1"/>
    </xf>
    <xf numFmtId="0" fontId="66" fillId="44" borderId="103" xfId="0" applyFont="1" applyFill="1" applyBorder="1" applyAlignment="1" applyProtection="1"/>
    <xf numFmtId="0" fontId="66" fillId="44" borderId="104" xfId="0" applyFont="1" applyFill="1" applyBorder="1" applyAlignment="1" applyProtection="1"/>
    <xf numFmtId="0" fontId="66" fillId="44" borderId="105" xfId="0" applyFont="1" applyFill="1" applyBorder="1" applyAlignment="1" applyProtection="1"/>
    <xf numFmtId="0" fontId="66" fillId="44" borderId="98" xfId="0" applyFont="1" applyFill="1" applyBorder="1" applyAlignment="1" applyProtection="1"/>
    <xf numFmtId="0" fontId="66" fillId="44" borderId="95" xfId="0" applyFont="1" applyFill="1" applyBorder="1" applyAlignment="1" applyProtection="1">
      <alignment wrapText="1"/>
    </xf>
    <xf numFmtId="0" fontId="66" fillId="44" borderId="96" xfId="0" applyFont="1" applyFill="1" applyBorder="1" applyAlignment="1" applyProtection="1">
      <alignment wrapText="1"/>
    </xf>
    <xf numFmtId="37" fontId="3" fillId="37" borderId="92" xfId="0" applyNumberFormat="1" applyFont="1" applyFill="1" applyBorder="1" applyAlignment="1" applyProtection="1"/>
    <xf numFmtId="38" fontId="2" fillId="37" borderId="94" xfId="28" applyNumberFormat="1" applyFont="1" applyFill="1" applyBorder="1" applyAlignment="1" applyProtection="1">
      <alignment horizontal="center"/>
    </xf>
    <xf numFmtId="0" fontId="3" fillId="45" borderId="42" xfId="0" applyFont="1" applyFill="1" applyBorder="1" applyAlignment="1" applyProtection="1">
      <alignment horizontal="left"/>
    </xf>
    <xf numFmtId="0" fontId="3" fillId="45" borderId="43" xfId="0" applyFont="1" applyFill="1" applyBorder="1" applyAlignment="1" applyProtection="1">
      <alignment horizontal="left"/>
    </xf>
    <xf numFmtId="0" fontId="3" fillId="45" borderId="44" xfId="0" applyFont="1" applyFill="1" applyBorder="1" applyAlignment="1" applyProtection="1">
      <alignment horizontal="left"/>
    </xf>
    <xf numFmtId="0" fontId="3" fillId="37" borderId="92" xfId="0" applyFont="1" applyFill="1" applyBorder="1" applyAlignment="1" applyProtection="1"/>
    <xf numFmtId="0" fontId="3" fillId="37" borderId="95" xfId="0" applyFont="1" applyFill="1" applyBorder="1" applyAlignment="1" applyProtection="1"/>
    <xf numFmtId="14" fontId="2" fillId="37" borderId="94" xfId="0" applyNumberFormat="1" applyFont="1" applyFill="1" applyBorder="1" applyAlignment="1" applyProtection="1">
      <alignment horizontal="center"/>
    </xf>
    <xf numFmtId="37" fontId="2" fillId="37" borderId="94" xfId="28" applyNumberFormat="1" applyFont="1" applyFill="1" applyBorder="1" applyAlignment="1" applyProtection="1">
      <alignment horizontal="center"/>
    </xf>
    <xf numFmtId="0" fontId="3" fillId="37" borderId="32" xfId="0" applyFont="1" applyFill="1" applyBorder="1" applyProtection="1"/>
    <xf numFmtId="0" fontId="0" fillId="37" borderId="23" xfId="0" applyFill="1" applyBorder="1" applyProtection="1"/>
    <xf numFmtId="0" fontId="0" fillId="37" borderId="37" xfId="0" applyFill="1" applyBorder="1" applyProtection="1"/>
    <xf numFmtId="3" fontId="0" fillId="37" borderId="17" xfId="0" applyNumberFormat="1" applyFill="1" applyBorder="1" applyAlignment="1" applyProtection="1">
      <alignment horizontal="center"/>
    </xf>
    <xf numFmtId="0" fontId="0" fillId="37" borderId="94" xfId="0" applyNumberFormat="1" applyFill="1" applyBorder="1" applyAlignment="1" applyProtection="1">
      <alignment horizontal="center"/>
    </xf>
    <xf numFmtId="1" fontId="0" fillId="0" borderId="94" xfId="0" applyNumberFormat="1" applyBorder="1" applyAlignment="1" applyProtection="1">
      <alignment horizontal="center"/>
    </xf>
    <xf numFmtId="0" fontId="3" fillId="37" borderId="99" xfId="0" applyFont="1" applyFill="1" applyBorder="1" applyAlignment="1" applyProtection="1"/>
    <xf numFmtId="0" fontId="0" fillId="37" borderId="0" xfId="0" applyFill="1" applyProtection="1"/>
    <xf numFmtId="14" fontId="0" fillId="37" borderId="94" xfId="0" applyNumberFormat="1" applyFill="1" applyBorder="1" applyAlignment="1" applyProtection="1">
      <alignment horizontal="center"/>
    </xf>
    <xf numFmtId="0" fontId="3" fillId="37" borderId="94" xfId="0" applyFont="1" applyFill="1" applyBorder="1" applyAlignment="1" applyProtection="1"/>
    <xf numFmtId="9" fontId="2" fillId="45" borderId="94" xfId="52" applyNumberFormat="1" applyFont="1" applyFill="1" applyBorder="1" applyAlignment="1" applyProtection="1">
      <alignment horizontal="center"/>
    </xf>
    <xf numFmtId="9" fontId="0" fillId="0" borderId="94" xfId="0" applyNumberFormat="1" applyBorder="1" applyAlignment="1" applyProtection="1">
      <alignment horizontal="center" wrapText="1"/>
    </xf>
    <xf numFmtId="3" fontId="0" fillId="37" borderId="21" xfId="0" applyNumberFormat="1" applyFill="1" applyBorder="1" applyAlignment="1" applyProtection="1">
      <alignment horizontal="center"/>
    </xf>
    <xf numFmtId="166" fontId="2" fillId="37" borderId="94" xfId="52" applyNumberFormat="1" applyFont="1" applyFill="1" applyBorder="1" applyAlignment="1" applyProtection="1">
      <alignment horizontal="center"/>
    </xf>
    <xf numFmtId="9" fontId="2" fillId="45" borderId="94" xfId="0" applyNumberFormat="1" applyFont="1" applyFill="1" applyBorder="1" applyAlignment="1" applyProtection="1">
      <alignment horizontal="center" vertical="center"/>
    </xf>
    <xf numFmtId="9" fontId="2" fillId="37" borderId="94" xfId="52" applyFont="1" applyFill="1" applyBorder="1" applyAlignment="1" applyProtection="1">
      <alignment horizontal="center"/>
    </xf>
    <xf numFmtId="9" fontId="0" fillId="0" borderId="0" xfId="0" applyNumberFormat="1" applyProtection="1"/>
    <xf numFmtId="0" fontId="66" fillId="44" borderId="95" xfId="0" applyFont="1" applyFill="1" applyBorder="1" applyAlignment="1" applyProtection="1"/>
    <xf numFmtId="0" fontId="3" fillId="35" borderId="92" xfId="0" applyFont="1" applyFill="1" applyBorder="1" applyAlignment="1" applyProtection="1"/>
    <xf numFmtId="0" fontId="3" fillId="35" borderId="17" xfId="0" applyFont="1" applyFill="1" applyBorder="1" applyAlignment="1" applyProtection="1">
      <alignment horizontal="center" wrapText="1"/>
    </xf>
    <xf numFmtId="0" fontId="2" fillId="0" borderId="0" xfId="0" applyFont="1" applyFill="1" applyAlignment="1" applyProtection="1"/>
    <xf numFmtId="0" fontId="2" fillId="0" borderId="0" xfId="0" applyFont="1" applyFill="1" applyAlignment="1" applyProtection="1">
      <alignment wrapText="1"/>
    </xf>
    <xf numFmtId="0" fontId="2" fillId="0" borderId="0" xfId="0" applyFont="1" applyFill="1" applyProtection="1"/>
    <xf numFmtId="0" fontId="3" fillId="44" borderId="95" xfId="0" applyFont="1" applyFill="1" applyBorder="1" applyAlignment="1" applyProtection="1"/>
    <xf numFmtId="38" fontId="3" fillId="35" borderId="92" xfId="28" applyNumberFormat="1" applyFont="1" applyFill="1" applyBorder="1" applyAlignment="1" applyProtection="1"/>
    <xf numFmtId="37" fontId="2" fillId="35" borderId="94" xfId="28" applyNumberFormat="1" applyFont="1" applyFill="1" applyBorder="1" applyAlignment="1" applyProtection="1">
      <alignment horizontal="center"/>
    </xf>
    <xf numFmtId="38" fontId="2" fillId="0" borderId="0" xfId="28" applyNumberFormat="1" applyFont="1" applyProtection="1"/>
    <xf numFmtId="0" fontId="3" fillId="35" borderId="92" xfId="0" applyFont="1" applyFill="1" applyBorder="1" applyAlignment="1" applyProtection="1">
      <alignment horizontal="center"/>
    </xf>
    <xf numFmtId="0" fontId="3" fillId="35" borderId="95" xfId="0" applyFont="1" applyFill="1" applyBorder="1" applyAlignment="1" applyProtection="1">
      <alignment horizontal="center"/>
    </xf>
    <xf numFmtId="0" fontId="3" fillId="35" borderId="96" xfId="0" applyFont="1" applyFill="1" applyBorder="1" applyAlignment="1" applyProtection="1">
      <alignment horizontal="center"/>
    </xf>
    <xf numFmtId="43" fontId="2" fillId="0" borderId="0" xfId="28" applyFont="1" applyProtection="1"/>
    <xf numFmtId="9" fontId="8" fillId="37" borderId="92" xfId="52" applyFont="1" applyFill="1" applyBorder="1" applyAlignment="1" applyProtection="1"/>
    <xf numFmtId="9" fontId="46" fillId="37" borderId="0" xfId="52" applyFont="1" applyFill="1" applyProtection="1"/>
    <xf numFmtId="37" fontId="2" fillId="37" borderId="95" xfId="28" applyNumberFormat="1" applyFont="1" applyFill="1" applyBorder="1" applyAlignment="1" applyProtection="1">
      <alignment horizontal="center"/>
    </xf>
    <xf numFmtId="37" fontId="2" fillId="37" borderId="96" xfId="28" applyNumberFormat="1" applyFont="1" applyFill="1" applyBorder="1" applyAlignment="1" applyProtection="1">
      <alignment horizontal="center"/>
    </xf>
    <xf numFmtId="38" fontId="3" fillId="37" borderId="92" xfId="28" applyNumberFormat="1" applyFont="1" applyFill="1" applyBorder="1" applyAlignment="1" applyProtection="1"/>
    <xf numFmtId="38" fontId="2" fillId="37" borderId="0" xfId="28" applyNumberFormat="1" applyFont="1" applyFill="1" applyProtection="1"/>
    <xf numFmtId="37" fontId="3" fillId="35" borderId="92" xfId="28" applyNumberFormat="1" applyFont="1" applyFill="1" applyBorder="1" applyAlignment="1" applyProtection="1"/>
    <xf numFmtId="37" fontId="2" fillId="0" borderId="0" xfId="28" applyNumberFormat="1" applyFont="1" applyProtection="1"/>
    <xf numFmtId="37" fontId="2" fillId="37" borderId="0" xfId="28" applyNumberFormat="1" applyFont="1" applyFill="1" applyProtection="1"/>
    <xf numFmtId="43" fontId="3" fillId="0" borderId="92" xfId="28" applyFont="1" applyFill="1" applyBorder="1" applyAlignment="1" applyProtection="1">
      <alignment horizontal="left"/>
    </xf>
    <xf numFmtId="43" fontId="3" fillId="0" borderId="95" xfId="28" applyFont="1" applyFill="1" applyBorder="1" applyAlignment="1" applyProtection="1">
      <alignment horizontal="left" wrapText="1" indent="1"/>
    </xf>
    <xf numFmtId="43" fontId="2" fillId="0" borderId="95" xfId="28" applyFont="1" applyFill="1" applyBorder="1" applyAlignment="1" applyProtection="1">
      <alignment horizontal="center"/>
    </xf>
    <xf numFmtId="43" fontId="3" fillId="44" borderId="95" xfId="28" applyFont="1" applyFill="1" applyBorder="1" applyAlignment="1" applyProtection="1"/>
    <xf numFmtId="9" fontId="3" fillId="37" borderId="92" xfId="52" applyFont="1" applyFill="1" applyBorder="1" applyAlignment="1" applyProtection="1">
      <alignment horizontal="left"/>
    </xf>
    <xf numFmtId="38" fontId="46" fillId="37" borderId="0" xfId="28" applyNumberFormat="1" applyFont="1" applyFill="1" applyProtection="1"/>
    <xf numFmtId="43" fontId="3" fillId="0" borderId="0" xfId="28" applyFont="1" applyFill="1" applyBorder="1" applyAlignment="1" applyProtection="1">
      <alignment horizontal="left"/>
    </xf>
    <xf numFmtId="9" fontId="2" fillId="0" borderId="0" xfId="28" applyNumberFormat="1" applyFont="1" applyFill="1" applyBorder="1" applyAlignment="1" applyProtection="1">
      <alignment horizontal="center"/>
    </xf>
    <xf numFmtId="43" fontId="2" fillId="0" borderId="0" xfId="28" applyFont="1" applyFill="1" applyBorder="1" applyAlignment="1" applyProtection="1">
      <alignment horizontal="center"/>
    </xf>
    <xf numFmtId="38" fontId="3" fillId="37" borderId="94" xfId="28" applyNumberFormat="1" applyFont="1" applyFill="1" applyBorder="1" applyAlignment="1" applyProtection="1"/>
    <xf numFmtId="0" fontId="3" fillId="35" borderId="92" xfId="0" applyNumberFormat="1" applyFont="1" applyFill="1" applyBorder="1" applyAlignment="1" applyProtection="1"/>
    <xf numFmtId="0" fontId="3" fillId="35" borderId="94" xfId="0" applyFont="1" applyFill="1" applyBorder="1" applyAlignment="1" applyProtection="1">
      <alignment horizontal="center" wrapText="1"/>
    </xf>
    <xf numFmtId="0" fontId="2" fillId="0" borderId="0" xfId="0" applyNumberFormat="1" applyFont="1" applyProtection="1"/>
    <xf numFmtId="38" fontId="3" fillId="37" borderId="94" xfId="28" applyNumberFormat="1" applyFont="1" applyFill="1" applyBorder="1" applyAlignment="1" applyProtection="1">
      <alignment horizontal="left"/>
    </xf>
    <xf numFmtId="178" fontId="2" fillId="37" borderId="94" xfId="28" applyNumberFormat="1" applyFont="1" applyFill="1" applyBorder="1" applyAlignment="1" applyProtection="1">
      <alignment horizontal="center"/>
    </xf>
    <xf numFmtId="38" fontId="2" fillId="37" borderId="94" xfId="28" applyNumberFormat="1" applyFont="1" applyFill="1" applyBorder="1" applyProtection="1"/>
    <xf numFmtId="9" fontId="2" fillId="37" borderId="94" xfId="52" applyFont="1" applyFill="1" applyBorder="1" applyAlignment="1" applyProtection="1">
      <alignment horizontal="center" wrapText="1"/>
    </xf>
    <xf numFmtId="9" fontId="2" fillId="0" borderId="0" xfId="52" applyFont="1" applyAlignment="1" applyProtection="1">
      <alignment horizontal="center"/>
    </xf>
    <xf numFmtId="0" fontId="0" fillId="0" borderId="0" xfId="0" applyAlignment="1">
      <alignment wrapText="1"/>
    </xf>
    <xf numFmtId="9" fontId="0" fillId="0" borderId="0" xfId="0" applyNumberFormat="1" applyAlignment="1">
      <alignment wrapText="1"/>
    </xf>
    <xf numFmtId="49" fontId="2" fillId="0" borderId="0" xfId="0" applyNumberFormat="1" applyFont="1" applyFill="1" applyAlignment="1" applyProtection="1">
      <alignment horizontal="center"/>
      <protection locked="0"/>
    </xf>
    <xf numFmtId="49" fontId="2" fillId="37" borderId="94" xfId="52" applyNumberFormat="1" applyFont="1" applyFill="1" applyBorder="1" applyAlignment="1" applyProtection="1">
      <alignment horizontal="center" vertical="center"/>
      <protection locked="0"/>
    </xf>
    <xf numFmtId="42" fontId="31" fillId="0" borderId="0" xfId="0" applyNumberFormat="1" applyFont="1"/>
    <xf numFmtId="10" fontId="31" fillId="0" borderId="0" xfId="48" applyNumberFormat="1" applyFont="1"/>
    <xf numFmtId="9" fontId="3" fillId="0" borderId="0" xfId="0" applyNumberFormat="1" applyFont="1"/>
    <xf numFmtId="9" fontId="3" fillId="37" borderId="94" xfId="52" applyNumberFormat="1" applyFont="1" applyFill="1" applyBorder="1" applyAlignment="1" applyProtection="1">
      <alignment horizontal="center"/>
    </xf>
    <xf numFmtId="166" fontId="15" fillId="33" borderId="21" xfId="52" applyNumberFormat="1" applyFont="1" applyFill="1" applyBorder="1" applyAlignment="1">
      <alignment horizontal="right"/>
    </xf>
    <xf numFmtId="166" fontId="3" fillId="37" borderId="38" xfId="0" applyNumberFormat="1" applyFont="1" applyFill="1" applyBorder="1" applyAlignment="1">
      <alignment horizontal="right"/>
    </xf>
    <xf numFmtId="0" fontId="3" fillId="37" borderId="31" xfId="0" applyFont="1" applyFill="1" applyBorder="1" applyAlignment="1">
      <alignment horizontal="center"/>
    </xf>
    <xf numFmtId="166" fontId="15" fillId="33" borderId="22" xfId="52" applyNumberFormat="1" applyFont="1" applyFill="1" applyBorder="1" applyAlignment="1">
      <alignment horizontal="right"/>
    </xf>
    <xf numFmtId="168" fontId="2" fillId="0" borderId="32" xfId="28" applyNumberFormat="1" applyFont="1" applyFill="1" applyBorder="1" applyAlignment="1">
      <alignment horizontal="center"/>
    </xf>
    <xf numFmtId="167" fontId="3" fillId="37" borderId="106" xfId="28" applyNumberFormat="1" applyFont="1" applyFill="1" applyBorder="1" applyAlignment="1">
      <alignment horizontal="center"/>
    </xf>
    <xf numFmtId="167" fontId="3" fillId="37" borderId="69" xfId="28" applyNumberFormat="1" applyFont="1" applyFill="1" applyBorder="1" applyAlignment="1">
      <alignment horizontal="center"/>
    </xf>
    <xf numFmtId="0" fontId="2" fillId="0" borderId="32" xfId="0" applyFont="1" applyFill="1" applyBorder="1" applyAlignment="1">
      <alignment horizontal="center"/>
    </xf>
    <xf numFmtId="0" fontId="2" fillId="0" borderId="23" xfId="0" applyFont="1" applyFill="1" applyBorder="1" applyAlignment="1">
      <alignment horizontal="center"/>
    </xf>
    <xf numFmtId="0" fontId="2" fillId="0" borderId="37" xfId="0" applyFont="1" applyFill="1" applyBorder="1" applyAlignment="1">
      <alignment horizontal="center"/>
    </xf>
    <xf numFmtId="0" fontId="2" fillId="0" borderId="22" xfId="0" applyFont="1" applyFill="1" applyBorder="1" applyAlignment="1">
      <alignment horizontal="center"/>
    </xf>
    <xf numFmtId="168" fontId="3" fillId="37" borderId="22" xfId="28" applyNumberFormat="1" applyFont="1" applyFill="1" applyBorder="1" applyAlignment="1">
      <alignment horizontal="center"/>
    </xf>
    <xf numFmtId="0" fontId="88" fillId="0" borderId="0" xfId="0" applyFont="1"/>
    <xf numFmtId="0" fontId="3" fillId="37" borderId="65" xfId="0" applyFont="1" applyFill="1" applyBorder="1" applyAlignment="1">
      <alignment horizontal="right"/>
    </xf>
    <xf numFmtId="0" fontId="3" fillId="37" borderId="67" xfId="0" applyFont="1" applyFill="1" applyBorder="1" applyAlignment="1">
      <alignment horizontal="right"/>
    </xf>
    <xf numFmtId="0" fontId="2" fillId="37" borderId="52" xfId="0" applyFont="1" applyFill="1" applyBorder="1" applyAlignment="1">
      <alignment horizontal="right"/>
    </xf>
    <xf numFmtId="0" fontId="2" fillId="37" borderId="53" xfId="0" applyFont="1" applyFill="1" applyBorder="1" applyAlignment="1">
      <alignment horizontal="right"/>
    </xf>
    <xf numFmtId="0" fontId="15" fillId="33" borderId="17" xfId="0" applyFont="1" applyFill="1" applyBorder="1" applyAlignment="1">
      <alignment horizontal="center"/>
    </xf>
    <xf numFmtId="0" fontId="15" fillId="46" borderId="0" xfId="28" applyNumberFormat="1" applyFont="1" applyFill="1" applyBorder="1" applyAlignment="1">
      <alignment horizontal="center"/>
    </xf>
    <xf numFmtId="1" fontId="3" fillId="46" borderId="40" xfId="28" applyNumberFormat="1" applyFont="1" applyFill="1" applyBorder="1" applyAlignment="1">
      <alignment horizontal="center"/>
    </xf>
    <xf numFmtId="0" fontId="15" fillId="46" borderId="106" xfId="28" applyNumberFormat="1" applyFont="1" applyFill="1" applyBorder="1" applyAlignment="1">
      <alignment horizontal="center"/>
    </xf>
    <xf numFmtId="1" fontId="15" fillId="46" borderId="0" xfId="28" applyNumberFormat="1" applyFont="1" applyFill="1" applyBorder="1" applyAlignment="1">
      <alignment horizontal="center"/>
    </xf>
    <xf numFmtId="0" fontId="15" fillId="46" borderId="31" xfId="28" applyNumberFormat="1" applyFont="1" applyFill="1" applyBorder="1" applyAlignment="1">
      <alignment horizontal="center"/>
    </xf>
    <xf numFmtId="1" fontId="15" fillId="46" borderId="22" xfId="28" applyNumberFormat="1" applyFont="1" applyFill="1" applyBorder="1" applyAlignment="1">
      <alignment horizontal="center"/>
    </xf>
    <xf numFmtId="0" fontId="15" fillId="46" borderId="17" xfId="28" applyNumberFormat="1" applyFont="1" applyFill="1" applyBorder="1" applyAlignment="1">
      <alignment horizontal="center"/>
    </xf>
    <xf numFmtId="0" fontId="15" fillId="46" borderId="43" xfId="28" applyNumberFormat="1" applyFont="1" applyFill="1" applyBorder="1" applyAlignment="1">
      <alignment horizontal="center"/>
    </xf>
    <xf numFmtId="9" fontId="2" fillId="32" borderId="35" xfId="52" applyFont="1" applyFill="1" applyBorder="1"/>
    <xf numFmtId="165" fontId="2" fillId="32" borderId="23" xfId="29" applyNumberFormat="1" applyFont="1" applyFill="1" applyBorder="1"/>
    <xf numFmtId="9" fontId="2" fillId="32" borderId="37" xfId="52" applyFont="1" applyFill="1" applyBorder="1"/>
    <xf numFmtId="165" fontId="2" fillId="32" borderId="23" xfId="48" applyNumberFormat="1" applyFont="1" applyFill="1" applyBorder="1"/>
    <xf numFmtId="5" fontId="2" fillId="0" borderId="33" xfId="48" applyNumberFormat="1" applyFont="1" applyBorder="1"/>
    <xf numFmtId="43" fontId="2" fillId="0" borderId="33" xfId="28" applyFont="1" applyBorder="1"/>
    <xf numFmtId="5" fontId="2" fillId="0" borderId="0" xfId="48" applyNumberFormat="1" applyFont="1" applyBorder="1"/>
    <xf numFmtId="43" fontId="2" fillId="0" borderId="0" xfId="28" applyFont="1" applyBorder="1"/>
    <xf numFmtId="5" fontId="2" fillId="0" borderId="0" xfId="48" applyNumberFormat="1" applyFont="1" applyFill="1" applyBorder="1"/>
    <xf numFmtId="5" fontId="2" fillId="0" borderId="23" xfId="48" applyNumberFormat="1" applyFont="1" applyBorder="1"/>
    <xf numFmtId="43" fontId="2" fillId="0" borderId="23" xfId="28" applyFont="1" applyBorder="1"/>
    <xf numFmtId="9" fontId="2" fillId="0" borderId="0" xfId="52" applyFont="1" applyAlignment="1">
      <alignment horizontal="center"/>
    </xf>
    <xf numFmtId="0" fontId="0" fillId="37" borderId="52" xfId="0" applyFill="1" applyBorder="1" applyAlignment="1">
      <alignment horizontal="right"/>
    </xf>
    <xf numFmtId="0" fontId="6" fillId="37" borderId="53" xfId="0" applyFont="1" applyFill="1" applyBorder="1" applyAlignment="1">
      <alignment horizontal="right"/>
    </xf>
    <xf numFmtId="0" fontId="0" fillId="37" borderId="54" xfId="0" applyFill="1" applyBorder="1" applyAlignment="1">
      <alignment horizontal="right"/>
    </xf>
    <xf numFmtId="0" fontId="6" fillId="37" borderId="55" xfId="0" applyFont="1" applyFill="1" applyBorder="1" applyAlignment="1">
      <alignment horizontal="right"/>
    </xf>
    <xf numFmtId="0" fontId="0" fillId="0" borderId="23" xfId="0" applyFill="1" applyBorder="1"/>
    <xf numFmtId="0" fontId="52" fillId="0" borderId="35" xfId="0" applyFont="1" applyFill="1" applyBorder="1" applyAlignment="1">
      <alignment horizontal="center"/>
    </xf>
    <xf numFmtId="0" fontId="0" fillId="0" borderId="107" xfId="0" applyFill="1" applyBorder="1" applyAlignment="1">
      <alignment horizontal="center"/>
    </xf>
    <xf numFmtId="0" fontId="6" fillId="0" borderId="108" xfId="0" applyFont="1" applyFill="1" applyBorder="1" applyAlignment="1">
      <alignment horizontal="center" vertical="top" wrapText="1"/>
    </xf>
    <xf numFmtId="0" fontId="6" fillId="0" borderId="109" xfId="0" applyFont="1" applyFill="1" applyBorder="1" applyAlignment="1">
      <alignment horizontal="center" vertical="top" wrapText="1"/>
    </xf>
    <xf numFmtId="0" fontId="0" fillId="0" borderId="18" xfId="0" applyFill="1" applyBorder="1" applyAlignment="1">
      <alignment horizontal="center" vertical="top" wrapText="1"/>
    </xf>
    <xf numFmtId="2" fontId="6" fillId="0" borderId="17" xfId="28" applyNumberFormat="1" applyFont="1" applyBorder="1" applyAlignment="1">
      <alignment horizontal="center"/>
    </xf>
    <xf numFmtId="49" fontId="52" fillId="37" borderId="0" xfId="0" applyNumberFormat="1" applyFont="1" applyFill="1" applyBorder="1" applyAlignment="1">
      <alignment horizontal="center"/>
    </xf>
    <xf numFmtId="49" fontId="52" fillId="37" borderId="32" xfId="0" applyNumberFormat="1" applyFont="1" applyFill="1" applyBorder="1" applyAlignment="1"/>
    <xf numFmtId="49" fontId="52" fillId="37" borderId="23" xfId="0" applyNumberFormat="1" applyFont="1" applyFill="1" applyBorder="1" applyAlignment="1"/>
    <xf numFmtId="0" fontId="52" fillId="0" borderId="42" xfId="0" applyFont="1" applyFill="1" applyBorder="1" applyAlignment="1"/>
    <xf numFmtId="0" fontId="52" fillId="0" borderId="43" xfId="0" applyFont="1" applyFill="1" applyBorder="1" applyAlignment="1"/>
    <xf numFmtId="0" fontId="52" fillId="0" borderId="44" xfId="0" applyFont="1" applyFill="1" applyBorder="1" applyAlignment="1"/>
    <xf numFmtId="0" fontId="3" fillId="0" borderId="31" xfId="0" applyFont="1" applyFill="1" applyBorder="1" applyAlignment="1"/>
    <xf numFmtId="0" fontId="3" fillId="0" borderId="33" xfId="0" applyFont="1" applyFill="1" applyBorder="1" applyAlignment="1"/>
    <xf numFmtId="0" fontId="3" fillId="0" borderId="35" xfId="0" applyFont="1" applyFill="1" applyBorder="1" applyAlignment="1"/>
    <xf numFmtId="0" fontId="0" fillId="0" borderId="14" xfId="0" applyFont="1" applyFill="1" applyBorder="1" applyAlignment="1">
      <alignment horizontal="left"/>
    </xf>
    <xf numFmtId="0" fontId="0" fillId="0" borderId="7" xfId="0" applyFont="1" applyFill="1" applyBorder="1" applyAlignment="1">
      <alignment horizontal="center" vertical="top" wrapText="1"/>
    </xf>
    <xf numFmtId="0" fontId="0" fillId="0" borderId="108" xfId="0" applyFont="1" applyFill="1" applyBorder="1" applyAlignment="1">
      <alignment horizontal="center" vertical="top" wrapText="1"/>
    </xf>
    <xf numFmtId="167" fontId="62" fillId="0" borderId="22" xfId="28" applyNumberFormat="1" applyFont="1" applyFill="1" applyBorder="1" applyAlignment="1">
      <alignment horizontal="center"/>
    </xf>
    <xf numFmtId="167" fontId="15" fillId="0" borderId="21" xfId="28" applyNumberFormat="1" applyFont="1" applyFill="1" applyBorder="1" applyAlignment="1">
      <alignment horizontal="center"/>
    </xf>
    <xf numFmtId="167" fontId="3" fillId="0" borderId="22" xfId="28" applyNumberFormat="1" applyFont="1" applyFill="1" applyBorder="1" applyAlignment="1">
      <alignment horizontal="center"/>
    </xf>
    <xf numFmtId="167" fontId="15" fillId="0" borderId="22" xfId="28" applyNumberFormat="1" applyFont="1" applyFill="1" applyBorder="1" applyAlignment="1">
      <alignment horizontal="center"/>
    </xf>
    <xf numFmtId="167" fontId="62" fillId="0" borderId="21" xfId="28" applyNumberFormat="1" applyFont="1" applyFill="1" applyBorder="1" applyAlignment="1">
      <alignment horizontal="center"/>
    </xf>
    <xf numFmtId="167" fontId="2" fillId="0" borderId="22" xfId="28" applyNumberFormat="1" applyFill="1" applyBorder="1" applyAlignment="1">
      <alignment horizontal="center"/>
    </xf>
    <xf numFmtId="167" fontId="3" fillId="0" borderId="34" xfId="28" applyNumberFormat="1" applyFont="1" applyFill="1" applyBorder="1" applyAlignment="1">
      <alignment horizontal="center"/>
    </xf>
    <xf numFmtId="167" fontId="3" fillId="0" borderId="38" xfId="28" applyNumberFormat="1" applyFont="1" applyFill="1" applyBorder="1" applyAlignment="1">
      <alignment horizontal="center"/>
    </xf>
    <xf numFmtId="167" fontId="2" fillId="0" borderId="34" xfId="28" applyNumberFormat="1" applyFill="1" applyBorder="1" applyAlignment="1">
      <alignment horizontal="center"/>
    </xf>
    <xf numFmtId="167" fontId="2" fillId="0" borderId="21" xfId="28" applyNumberFormat="1" applyFill="1" applyBorder="1" applyAlignment="1">
      <alignment horizontal="center"/>
    </xf>
    <xf numFmtId="167" fontId="3" fillId="0" borderId="17" xfId="28" applyNumberFormat="1" applyFont="1" applyFill="1" applyBorder="1"/>
    <xf numFmtId="0" fontId="52" fillId="0" borderId="33" xfId="0" applyFont="1" applyFill="1" applyBorder="1" applyAlignment="1">
      <alignment horizontal="center"/>
    </xf>
    <xf numFmtId="0" fontId="91" fillId="0" borderId="0" xfId="0" applyFont="1" applyFill="1"/>
    <xf numFmtId="0" fontId="28" fillId="33" borderId="0" xfId="49" applyFont="1" applyFill="1" applyBorder="1" applyAlignment="1">
      <alignment horizontal="left" wrapText="1"/>
    </xf>
    <xf numFmtId="177" fontId="15" fillId="33" borderId="36" xfId="0" applyNumberFormat="1" applyFont="1" applyFill="1" applyBorder="1" applyAlignment="1">
      <alignment horizontal="right"/>
    </xf>
    <xf numFmtId="177" fontId="15" fillId="48" borderId="22" xfId="0" applyNumberFormat="1" applyFont="1" applyFill="1" applyBorder="1" applyAlignment="1">
      <alignment horizontal="right"/>
    </xf>
    <xf numFmtId="0" fontId="0" fillId="37" borderId="0" xfId="0" applyFont="1" applyFill="1" applyBorder="1" applyAlignment="1">
      <alignment horizontal="left"/>
    </xf>
    <xf numFmtId="0" fontId="57" fillId="43" borderId="0" xfId="0" applyFont="1" applyFill="1" applyAlignment="1">
      <alignment horizontal="center" vertical="center"/>
    </xf>
    <xf numFmtId="3" fontId="3" fillId="0" borderId="17" xfId="28" applyNumberFormat="1" applyFont="1" applyBorder="1"/>
    <xf numFmtId="3" fontId="0" fillId="0" borderId="17" xfId="28" applyNumberFormat="1" applyFont="1" applyBorder="1"/>
    <xf numFmtId="3" fontId="59" fillId="0" borderId="17" xfId="28" applyNumberFormat="1" applyFont="1" applyFill="1" applyBorder="1"/>
    <xf numFmtId="3" fontId="59" fillId="0" borderId="72" xfId="28" applyNumberFormat="1" applyFont="1" applyFill="1" applyBorder="1"/>
    <xf numFmtId="3" fontId="3" fillId="0" borderId="0" xfId="28" applyNumberFormat="1" applyFont="1" applyBorder="1"/>
    <xf numFmtId="0" fontId="59" fillId="0" borderId="0" xfId="0" applyFont="1"/>
    <xf numFmtId="8" fontId="59" fillId="0" borderId="0" xfId="0" applyNumberFormat="1" applyFont="1"/>
    <xf numFmtId="168" fontId="59" fillId="0" borderId="0" xfId="0" applyNumberFormat="1" applyFont="1"/>
    <xf numFmtId="0" fontId="59" fillId="0" borderId="17" xfId="0" applyFont="1" applyBorder="1"/>
    <xf numFmtId="0" fontId="59" fillId="0" borderId="17" xfId="0" applyFont="1" applyBorder="1" applyAlignment="1">
      <alignment horizontal="left" indent="1"/>
    </xf>
    <xf numFmtId="3" fontId="59" fillId="0" borderId="0" xfId="0" applyNumberFormat="1" applyFont="1"/>
    <xf numFmtId="3" fontId="0" fillId="37" borderId="94" xfId="0" applyNumberFormat="1" applyFont="1" applyFill="1" applyBorder="1" applyAlignment="1" applyProtection="1">
      <alignment horizontal="center"/>
      <protection locked="0"/>
    </xf>
    <xf numFmtId="0" fontId="59" fillId="37" borderId="92" xfId="0" applyFont="1" applyFill="1" applyBorder="1" applyAlignment="1" applyProtection="1">
      <alignment horizontal="left" indent="1"/>
      <protection locked="0"/>
    </xf>
    <xf numFmtId="0" fontId="92" fillId="0" borderId="0" xfId="0" applyFont="1" applyAlignment="1">
      <alignment horizontal="left"/>
    </xf>
    <xf numFmtId="42" fontId="2" fillId="0" borderId="0" xfId="0" applyNumberFormat="1" applyFont="1"/>
    <xf numFmtId="0" fontId="0" fillId="0" borderId="0" xfId="49" applyFont="1"/>
    <xf numFmtId="49" fontId="0" fillId="33" borderId="15" xfId="49" applyNumberFormat="1" applyFont="1" applyFill="1" applyBorder="1" applyAlignment="1">
      <alignment horizontal="left" vertical="top" wrapText="1"/>
    </xf>
    <xf numFmtId="0" fontId="0" fillId="0" borderId="0" xfId="0" applyNumberFormat="1" applyFont="1" applyFill="1" applyBorder="1" applyAlignment="1" applyProtection="1"/>
    <xf numFmtId="0" fontId="3" fillId="37" borderId="17" xfId="0" applyFont="1" applyFill="1" applyBorder="1" applyAlignment="1">
      <alignment horizontal="center"/>
    </xf>
    <xf numFmtId="166" fontId="2" fillId="0" borderId="0" xfId="48" applyNumberFormat="1" applyFont="1"/>
    <xf numFmtId="166" fontId="2" fillId="0" borderId="0" xfId="0" applyNumberFormat="1" applyFont="1"/>
    <xf numFmtId="49" fontId="2" fillId="37" borderId="94" xfId="0" applyNumberFormat="1" applyFont="1" applyFill="1" applyBorder="1" applyAlignment="1" applyProtection="1">
      <alignment horizontal="center"/>
    </xf>
    <xf numFmtId="0" fontId="6" fillId="0" borderId="43" xfId="0" applyFont="1" applyBorder="1" applyAlignment="1">
      <alignment horizontal="center"/>
    </xf>
    <xf numFmtId="0" fontId="3" fillId="42" borderId="88" xfId="0" applyFont="1" applyFill="1" applyBorder="1" applyAlignment="1">
      <alignment horizontal="center"/>
    </xf>
    <xf numFmtId="4" fontId="2" fillId="37" borderId="22" xfId="0" applyNumberFormat="1" applyFont="1" applyFill="1" applyBorder="1" applyAlignment="1">
      <alignment horizontal="center"/>
    </xf>
    <xf numFmtId="44" fontId="2" fillId="0" borderId="0" xfId="29" applyFont="1" applyBorder="1" applyAlignment="1"/>
    <xf numFmtId="44" fontId="2" fillId="0" borderId="23" xfId="29" applyFont="1" applyBorder="1" applyAlignment="1"/>
    <xf numFmtId="44" fontId="2" fillId="32" borderId="33" xfId="29" applyFont="1" applyFill="1" applyBorder="1"/>
    <xf numFmtId="49" fontId="0" fillId="33" borderId="7" xfId="0" applyNumberFormat="1" applyFont="1" applyFill="1" applyBorder="1"/>
    <xf numFmtId="39" fontId="0" fillId="33" borderId="16" xfId="28" applyNumberFormat="1" applyFont="1" applyFill="1" applyBorder="1" applyAlignment="1">
      <alignment horizontal="center"/>
    </xf>
    <xf numFmtId="168" fontId="2" fillId="33" borderId="0" xfId="28" applyNumberFormat="1" applyFont="1" applyFill="1" applyBorder="1" applyAlignment="1">
      <alignment horizontal="right"/>
    </xf>
    <xf numFmtId="168" fontId="3" fillId="37" borderId="0" xfId="28" applyNumberFormat="1" applyFont="1" applyFill="1" applyBorder="1" applyAlignment="1">
      <alignment horizontal="right"/>
    </xf>
    <xf numFmtId="168" fontId="2" fillId="37" borderId="0" xfId="28" applyNumberFormat="1" applyFont="1" applyFill="1" applyBorder="1" applyAlignment="1">
      <alignment horizontal="right"/>
    </xf>
    <xf numFmtId="168" fontId="5" fillId="0" borderId="0" xfId="28" applyNumberFormat="1" applyFont="1" applyFill="1" applyBorder="1" applyAlignment="1">
      <alignment horizontal="right"/>
    </xf>
    <xf numFmtId="168" fontId="5" fillId="37" borderId="0" xfId="28" applyNumberFormat="1" applyFont="1" applyFill="1" applyBorder="1" applyAlignment="1">
      <alignment horizontal="right"/>
    </xf>
    <xf numFmtId="168" fontId="5" fillId="33" borderId="0" xfId="28" applyNumberFormat="1" applyFont="1" applyFill="1" applyBorder="1" applyAlignment="1">
      <alignment horizontal="right"/>
    </xf>
    <xf numFmtId="167" fontId="5" fillId="33" borderId="0" xfId="28" applyNumberFormat="1" applyFont="1" applyFill="1" applyBorder="1" applyAlignment="1">
      <alignment horizontal="right"/>
    </xf>
    <xf numFmtId="38" fontId="0" fillId="0" borderId="0" xfId="0" applyNumberFormat="1" applyFill="1" applyBorder="1" applyAlignment="1">
      <alignment horizontal="center"/>
    </xf>
    <xf numFmtId="39" fontId="0" fillId="33" borderId="7" xfId="28" applyNumberFormat="1" applyFont="1" applyFill="1" applyBorder="1" applyAlignment="1">
      <alignment horizontal="center"/>
    </xf>
    <xf numFmtId="41" fontId="3" fillId="51" borderId="29" xfId="0" applyNumberFormat="1" applyFont="1" applyFill="1" applyBorder="1" applyAlignment="1">
      <alignment horizontal="center"/>
    </xf>
    <xf numFmtId="41" fontId="3" fillId="0" borderId="29" xfId="0" applyNumberFormat="1" applyFont="1" applyFill="1" applyBorder="1" applyAlignment="1">
      <alignment horizontal="center"/>
    </xf>
    <xf numFmtId="168" fontId="8" fillId="52" borderId="7" xfId="28" applyNumberFormat="1" applyFont="1" applyFill="1" applyBorder="1" applyAlignment="1">
      <alignment horizontal="right"/>
    </xf>
    <xf numFmtId="166" fontId="3" fillId="52" borderId="0" xfId="48" applyNumberFormat="1" applyFont="1" applyFill="1"/>
    <xf numFmtId="43" fontId="5" fillId="53" borderId="7" xfId="28" applyNumberFormat="1" applyFont="1" applyFill="1" applyBorder="1" applyAlignment="1">
      <alignment horizontal="right"/>
    </xf>
    <xf numFmtId="169" fontId="2" fillId="33" borderId="7" xfId="29" applyNumberFormat="1" applyFont="1" applyFill="1" applyBorder="1" applyAlignment="1">
      <alignment horizontal="right"/>
    </xf>
    <xf numFmtId="39" fontId="0" fillId="51" borderId="16" xfId="28" applyNumberFormat="1" applyFont="1" applyFill="1" applyBorder="1" applyAlignment="1">
      <alignment horizontal="center"/>
    </xf>
    <xf numFmtId="0" fontId="93" fillId="0" borderId="0" xfId="0" applyFont="1"/>
    <xf numFmtId="168" fontId="93" fillId="56" borderId="7" xfId="28" applyNumberFormat="1" applyFont="1" applyFill="1" applyBorder="1" applyAlignment="1">
      <alignment horizontal="right"/>
    </xf>
    <xf numFmtId="0" fontId="93" fillId="0" borderId="0" xfId="0" applyFont="1" applyFill="1"/>
    <xf numFmtId="0" fontId="94" fillId="0" borderId="0" xfId="0" applyFont="1"/>
    <xf numFmtId="0" fontId="94" fillId="37" borderId="0" xfId="0" applyFont="1" applyFill="1"/>
    <xf numFmtId="41" fontId="95" fillId="37" borderId="29" xfId="0" applyNumberFormat="1" applyFont="1" applyFill="1" applyBorder="1" applyAlignment="1">
      <alignment horizontal="center"/>
    </xf>
    <xf numFmtId="41" fontId="95" fillId="51" borderId="29" xfId="0" applyNumberFormat="1" applyFont="1" applyFill="1" applyBorder="1" applyAlignment="1">
      <alignment horizontal="center"/>
    </xf>
    <xf numFmtId="41" fontId="95" fillId="0" borderId="29" xfId="0" applyNumberFormat="1" applyFont="1" applyFill="1" applyBorder="1" applyAlignment="1">
      <alignment horizontal="center"/>
    </xf>
    <xf numFmtId="0" fontId="95" fillId="37" borderId="0" xfId="0" applyFont="1" applyFill="1"/>
    <xf numFmtId="168" fontId="95" fillId="48" borderId="7" xfId="28" applyNumberFormat="1" applyFont="1" applyFill="1" applyBorder="1" applyAlignment="1">
      <alignment horizontal="right"/>
    </xf>
    <xf numFmtId="168" fontId="94" fillId="33" borderId="7" xfId="28" applyNumberFormat="1" applyFont="1" applyFill="1" applyBorder="1" applyAlignment="1">
      <alignment horizontal="right"/>
    </xf>
    <xf numFmtId="166" fontId="95" fillId="49" borderId="7" xfId="52" applyNumberFormat="1" applyFont="1" applyFill="1" applyBorder="1" applyAlignment="1">
      <alignment horizontal="right"/>
    </xf>
    <xf numFmtId="166" fontId="94" fillId="33" borderId="7" xfId="52" applyNumberFormat="1" applyFont="1" applyFill="1" applyBorder="1" applyAlignment="1">
      <alignment horizontal="right"/>
    </xf>
    <xf numFmtId="168" fontId="95" fillId="50" borderId="7" xfId="28" applyNumberFormat="1" applyFont="1" applyFill="1" applyBorder="1" applyAlignment="1">
      <alignment horizontal="right"/>
    </xf>
    <xf numFmtId="0" fontId="94" fillId="0" borderId="0" xfId="0" applyFont="1" applyFill="1"/>
    <xf numFmtId="168" fontId="95" fillId="0" borderId="7" xfId="52" applyNumberFormat="1" applyFont="1" applyFill="1" applyBorder="1" applyAlignment="1">
      <alignment horizontal="right"/>
    </xf>
    <xf numFmtId="9" fontId="95" fillId="0" borderId="7" xfId="52" applyFont="1" applyFill="1" applyBorder="1" applyAlignment="1">
      <alignment horizontal="right"/>
    </xf>
    <xf numFmtId="9" fontId="94" fillId="33" borderId="7" xfId="52" applyFont="1" applyFill="1" applyBorder="1" applyAlignment="1">
      <alignment horizontal="right"/>
    </xf>
    <xf numFmtId="9" fontId="94" fillId="51" borderId="7" xfId="52" applyFont="1" applyFill="1" applyBorder="1" applyAlignment="1">
      <alignment horizontal="right"/>
    </xf>
    <xf numFmtId="168" fontId="95" fillId="0" borderId="7" xfId="28" applyNumberFormat="1" applyFont="1" applyFill="1" applyBorder="1" applyAlignment="1">
      <alignment horizontal="right"/>
    </xf>
    <xf numFmtId="9" fontId="95" fillId="51" borderId="7" xfId="52" applyFont="1" applyFill="1" applyBorder="1" applyAlignment="1">
      <alignment horizontal="right"/>
    </xf>
    <xf numFmtId="6" fontId="94" fillId="33" borderId="7" xfId="29" applyNumberFormat="1" applyFont="1" applyFill="1" applyBorder="1" applyAlignment="1">
      <alignment horizontal="right"/>
    </xf>
    <xf numFmtId="169" fontId="94" fillId="0" borderId="0" xfId="29" applyNumberFormat="1" applyFont="1"/>
    <xf numFmtId="44" fontId="94" fillId="0" borderId="0" xfId="0" applyNumberFormat="1" applyFont="1"/>
    <xf numFmtId="9" fontId="94" fillId="0" borderId="0" xfId="52" applyFont="1"/>
    <xf numFmtId="6" fontId="94" fillId="51" borderId="0" xfId="0" applyNumberFormat="1" applyFont="1" applyFill="1"/>
    <xf numFmtId="6" fontId="94" fillId="50" borderId="0" xfId="0" applyNumberFormat="1" applyFont="1" applyFill="1"/>
    <xf numFmtId="175" fontId="94" fillId="52" borderId="0" xfId="0" applyNumberFormat="1" applyFont="1" applyFill="1"/>
    <xf numFmtId="8" fontId="94" fillId="52" borderId="0" xfId="0" applyNumberFormat="1" applyFont="1" applyFill="1"/>
    <xf numFmtId="175" fontId="94" fillId="54" borderId="0" xfId="0" applyNumberFormat="1" applyFont="1" applyFill="1"/>
    <xf numFmtId="175" fontId="94" fillId="55" borderId="0" xfId="0" applyNumberFormat="1" applyFont="1" applyFill="1"/>
    <xf numFmtId="6" fontId="94" fillId="0" borderId="0" xfId="0" applyNumberFormat="1" applyFont="1"/>
    <xf numFmtId="9" fontId="94" fillId="0" borderId="0" xfId="0" applyNumberFormat="1" applyFont="1"/>
    <xf numFmtId="3" fontId="94" fillId="0" borderId="0" xfId="0" applyNumberFormat="1" applyFont="1"/>
    <xf numFmtId="166" fontId="95" fillId="57" borderId="7" xfId="52" applyNumberFormat="1" applyFont="1" applyFill="1" applyBorder="1" applyAlignment="1">
      <alignment horizontal="right"/>
    </xf>
    <xf numFmtId="166" fontId="94" fillId="57" borderId="7" xfId="52" applyNumberFormat="1" applyFont="1" applyFill="1" applyBorder="1" applyAlignment="1">
      <alignment horizontal="right"/>
    </xf>
    <xf numFmtId="9" fontId="96" fillId="56" borderId="7" xfId="52" applyFont="1" applyFill="1" applyBorder="1" applyAlignment="1">
      <alignment horizontal="right"/>
    </xf>
    <xf numFmtId="166" fontId="96" fillId="56" borderId="7" xfId="52" applyNumberFormat="1" applyFont="1" applyFill="1" applyBorder="1" applyAlignment="1">
      <alignment horizontal="right"/>
    </xf>
    <xf numFmtId="0" fontId="0" fillId="0" borderId="0" xfId="48" applyFont="1"/>
    <xf numFmtId="44" fontId="0" fillId="32" borderId="0" xfId="29" applyFont="1" applyFill="1" applyBorder="1"/>
    <xf numFmtId="0" fontId="0" fillId="0" borderId="0" xfId="0" applyFont="1"/>
    <xf numFmtId="166" fontId="97" fillId="51" borderId="0" xfId="48" applyNumberFormat="1" applyFont="1" applyFill="1"/>
    <xf numFmtId="0" fontId="99" fillId="0" borderId="0" xfId="94" applyProtection="1"/>
    <xf numFmtId="0" fontId="99" fillId="0" borderId="0" xfId="94" applyProtection="1">
      <protection locked="0"/>
    </xf>
    <xf numFmtId="0" fontId="100" fillId="0" borderId="0" xfId="94" applyFont="1" applyProtection="1"/>
    <xf numFmtId="0" fontId="101" fillId="0" borderId="0" xfId="94" applyFont="1" applyAlignment="1" applyProtection="1">
      <alignment horizontal="centerContinuous"/>
    </xf>
    <xf numFmtId="0" fontId="99" fillId="0" borderId="0" xfId="94" applyAlignment="1" applyProtection="1">
      <alignment horizontal="centerContinuous"/>
    </xf>
    <xf numFmtId="0" fontId="101" fillId="56" borderId="0" xfId="94" applyFont="1" applyFill="1" applyProtection="1"/>
    <xf numFmtId="0" fontId="99" fillId="56" borderId="0" xfId="94" applyFill="1" applyProtection="1"/>
    <xf numFmtId="0" fontId="101" fillId="0" borderId="0" xfId="94" applyFont="1" applyProtection="1"/>
    <xf numFmtId="0" fontId="99" fillId="0" borderId="0" xfId="94" applyAlignment="1" applyProtection="1">
      <alignment horizontal="center" vertical="center"/>
    </xf>
    <xf numFmtId="0" fontId="99" fillId="0" borderId="0" xfId="94" applyAlignment="1" applyProtection="1">
      <alignment horizontal="left"/>
    </xf>
    <xf numFmtId="0" fontId="101" fillId="0" borderId="0" xfId="94" applyFont="1" applyFill="1" applyProtection="1"/>
    <xf numFmtId="0" fontId="101" fillId="0" borderId="0" xfId="94" applyFont="1" applyFill="1" applyAlignment="1" applyProtection="1">
      <alignment horizontal="center"/>
    </xf>
    <xf numFmtId="0" fontId="99" fillId="0" borderId="0" xfId="94" applyFill="1" applyProtection="1"/>
    <xf numFmtId="0" fontId="99" fillId="0" borderId="111" xfId="94" applyBorder="1" applyAlignment="1" applyProtection="1">
      <alignment horizontal="center" vertical="center"/>
    </xf>
    <xf numFmtId="0" fontId="99" fillId="0" borderId="112" xfId="94" applyBorder="1" applyAlignment="1" applyProtection="1">
      <alignment horizontal="center" vertical="center"/>
    </xf>
    <xf numFmtId="0" fontId="101" fillId="0" borderId="111" xfId="94" applyFont="1" applyBorder="1" applyAlignment="1" applyProtection="1">
      <alignment horizontal="centerContinuous"/>
    </xf>
    <xf numFmtId="0" fontId="99" fillId="0" borderId="112" xfId="94" applyBorder="1" applyAlignment="1" applyProtection="1">
      <alignment horizontal="centerContinuous"/>
    </xf>
    <xf numFmtId="0" fontId="99" fillId="0" borderId="0" xfId="94" applyBorder="1" applyAlignment="1" applyProtection="1">
      <alignment horizontal="centerContinuous"/>
    </xf>
    <xf numFmtId="0" fontId="99" fillId="0" borderId="0" xfId="94" applyBorder="1" applyAlignment="1" applyProtection="1">
      <alignment horizontal="center" vertical="center"/>
    </xf>
    <xf numFmtId="0" fontId="99" fillId="0" borderId="112" xfId="94" applyFill="1" applyBorder="1" applyAlignment="1" applyProtection="1">
      <alignment horizontal="center" vertical="center"/>
    </xf>
    <xf numFmtId="0" fontId="99" fillId="0" borderId="0" xfId="94" applyFill="1" applyAlignment="1" applyProtection="1">
      <alignment horizontal="center" vertical="center"/>
    </xf>
    <xf numFmtId="0" fontId="104" fillId="0" borderId="0" xfId="94" applyFont="1" applyProtection="1"/>
    <xf numFmtId="0" fontId="104" fillId="0" borderId="0" xfId="94" applyFont="1" applyAlignment="1" applyProtection="1">
      <alignment wrapText="1"/>
    </xf>
    <xf numFmtId="0" fontId="99" fillId="0" borderId="0" xfId="94" applyFont="1" applyAlignment="1" applyProtection="1">
      <alignment wrapText="1"/>
    </xf>
    <xf numFmtId="0" fontId="99" fillId="0" borderId="0" xfId="94" applyAlignment="1" applyProtection="1">
      <alignment wrapText="1"/>
    </xf>
    <xf numFmtId="0" fontId="99" fillId="0" borderId="0" xfId="94" applyAlignment="1" applyProtection="1">
      <alignment horizontal="center" wrapText="1"/>
    </xf>
    <xf numFmtId="166" fontId="0" fillId="0" borderId="0" xfId="95" applyNumberFormat="1" applyFont="1" applyAlignment="1" applyProtection="1">
      <alignment horizontal="center" wrapText="1"/>
    </xf>
    <xf numFmtId="166" fontId="99" fillId="0" borderId="0" xfId="94" applyNumberFormat="1" applyAlignment="1" applyProtection="1">
      <alignment horizontal="center" wrapText="1"/>
    </xf>
    <xf numFmtId="0" fontId="99" fillId="0" borderId="0" xfId="94" applyAlignment="1" applyProtection="1"/>
    <xf numFmtId="0" fontId="99" fillId="0" borderId="0" xfId="94" applyFont="1" applyBorder="1" applyProtection="1"/>
    <xf numFmtId="0" fontId="105" fillId="0" borderId="0" xfId="94" applyFont="1" applyProtection="1">
      <protection locked="0"/>
    </xf>
    <xf numFmtId="0" fontId="105" fillId="0" borderId="0" xfId="94" applyFont="1" applyProtection="1"/>
    <xf numFmtId="0" fontId="99" fillId="0" borderId="0" xfId="94" applyAlignment="1" applyProtection="1">
      <alignment vertical="center" wrapText="1"/>
    </xf>
    <xf numFmtId="0" fontId="101" fillId="0" borderId="0" xfId="94" applyFont="1" applyAlignment="1" applyProtection="1">
      <alignment horizontal="left"/>
    </xf>
    <xf numFmtId="0" fontId="106" fillId="0" borderId="0" xfId="94" applyFont="1" applyProtection="1"/>
    <xf numFmtId="0" fontId="107" fillId="0" borderId="0" xfId="94" applyFont="1" applyProtection="1"/>
    <xf numFmtId="0" fontId="108" fillId="0" borderId="0" xfId="94" applyFont="1" applyProtection="1"/>
    <xf numFmtId="0" fontId="99" fillId="0" borderId="0" xfId="94" applyFont="1" applyBorder="1" applyProtection="1">
      <protection locked="0"/>
    </xf>
    <xf numFmtId="0" fontId="101" fillId="0" borderId="42" xfId="94" applyFont="1" applyBorder="1" applyAlignment="1" applyProtection="1">
      <alignment horizontal="centerContinuous"/>
    </xf>
    <xf numFmtId="0" fontId="99" fillId="0" borderId="43" xfId="94" applyBorder="1" applyAlignment="1" applyProtection="1">
      <alignment horizontal="centerContinuous"/>
    </xf>
    <xf numFmtId="0" fontId="99" fillId="0" borderId="44" xfId="94" applyBorder="1" applyAlignment="1" applyProtection="1">
      <alignment horizontal="centerContinuous"/>
    </xf>
    <xf numFmtId="0" fontId="109" fillId="0" borderId="38" xfId="94" applyFont="1" applyFill="1" applyBorder="1" applyProtection="1"/>
    <xf numFmtId="0" fontId="99" fillId="0" borderId="38" xfId="94" applyFill="1" applyBorder="1" applyProtection="1"/>
    <xf numFmtId="0" fontId="109" fillId="0" borderId="21" xfId="94" applyFont="1" applyFill="1" applyBorder="1" applyProtection="1"/>
    <xf numFmtId="0" fontId="99" fillId="0" borderId="21" xfId="94" applyFill="1" applyBorder="1" applyProtection="1"/>
    <xf numFmtId="0" fontId="99" fillId="0" borderId="0" xfId="94" applyFont="1" applyFill="1" applyBorder="1" applyProtection="1"/>
    <xf numFmtId="0" fontId="99" fillId="0" borderId="0" xfId="94" applyFill="1" applyBorder="1" applyProtection="1"/>
    <xf numFmtId="0" fontId="99" fillId="0" borderId="0" xfId="94" applyFont="1" applyFill="1" applyBorder="1" applyAlignment="1" applyProtection="1">
      <alignment horizontal="center"/>
    </xf>
    <xf numFmtId="0" fontId="99" fillId="0" borderId="117" xfId="94" applyFont="1" applyFill="1" applyBorder="1" applyProtection="1"/>
    <xf numFmtId="0" fontId="99" fillId="0" borderId="117" xfId="94" applyFill="1" applyBorder="1" applyProtection="1"/>
    <xf numFmtId="9" fontId="0" fillId="60" borderId="118" xfId="95" applyFont="1" applyFill="1" applyBorder="1" applyProtection="1">
      <protection locked="0"/>
    </xf>
    <xf numFmtId="168" fontId="0" fillId="60" borderId="119" xfId="96" applyNumberFormat="1" applyFont="1" applyFill="1" applyBorder="1" applyProtection="1">
      <protection locked="0"/>
    </xf>
    <xf numFmtId="0" fontId="99" fillId="60" borderId="120" xfId="94" applyFill="1" applyBorder="1" applyAlignment="1" applyProtection="1">
      <alignment horizontal="center" vertical="center" wrapText="1"/>
      <protection locked="0"/>
    </xf>
    <xf numFmtId="0" fontId="109" fillId="0" borderId="117" xfId="94" applyFont="1" applyBorder="1" applyProtection="1"/>
    <xf numFmtId="0" fontId="99" fillId="0" borderId="117" xfId="94" applyBorder="1" applyProtection="1"/>
    <xf numFmtId="0" fontId="99" fillId="0" borderId="0" xfId="94" applyFill="1" applyBorder="1" applyAlignment="1" applyProtection="1">
      <alignment horizontal="left"/>
      <protection locked="0"/>
    </xf>
    <xf numFmtId="0" fontId="109" fillId="0" borderId="119" xfId="94" applyFont="1" applyBorder="1" applyProtection="1"/>
    <xf numFmtId="0" fontId="99" fillId="0" borderId="119" xfId="94" applyBorder="1" applyProtection="1"/>
    <xf numFmtId="0" fontId="99" fillId="0" borderId="121" xfId="94" applyBorder="1" applyProtection="1"/>
    <xf numFmtId="0" fontId="109" fillId="0" borderId="118" xfId="94" applyFont="1" applyFill="1" applyBorder="1" applyAlignment="1" applyProtection="1">
      <alignment horizontal="centerContinuous"/>
      <protection locked="0"/>
    </xf>
    <xf numFmtId="0" fontId="99" fillId="0" borderId="119" xfId="94" applyFill="1" applyBorder="1" applyAlignment="1" applyProtection="1">
      <alignment horizontal="centerContinuous"/>
      <protection locked="0"/>
    </xf>
    <xf numFmtId="0" fontId="99" fillId="0" borderId="120" xfId="94" applyFill="1" applyBorder="1" applyAlignment="1" applyProtection="1">
      <alignment horizontal="centerContinuous"/>
      <protection locked="0"/>
    </xf>
    <xf numFmtId="0" fontId="99" fillId="0" borderId="22" xfId="94" applyBorder="1" applyProtection="1"/>
    <xf numFmtId="0" fontId="99" fillId="60" borderId="34" xfId="94" applyFill="1" applyBorder="1" applyAlignment="1" applyProtection="1">
      <alignment horizontal="left"/>
      <protection locked="0"/>
    </xf>
    <xf numFmtId="0" fontId="99" fillId="60" borderId="0" xfId="94" applyFill="1" applyBorder="1" applyAlignment="1" applyProtection="1">
      <alignment horizontal="left"/>
      <protection locked="0"/>
    </xf>
    <xf numFmtId="0" fontId="99" fillId="60" borderId="122" xfId="94" applyFill="1" applyBorder="1" applyAlignment="1" applyProtection="1">
      <alignment horizontal="left"/>
      <protection locked="0"/>
    </xf>
    <xf numFmtId="0" fontId="99" fillId="0" borderId="21" xfId="94" applyBorder="1" applyProtection="1"/>
    <xf numFmtId="0" fontId="99" fillId="60" borderId="32" xfId="94" applyFill="1" applyBorder="1" applyAlignment="1" applyProtection="1">
      <alignment horizontal="left"/>
      <protection locked="0"/>
    </xf>
    <xf numFmtId="0" fontId="99" fillId="60" borderId="116" xfId="94" applyFill="1" applyBorder="1" applyAlignment="1" applyProtection="1">
      <alignment horizontal="left"/>
      <protection locked="0"/>
    </xf>
    <xf numFmtId="0" fontId="99" fillId="60" borderId="37" xfId="94" applyFill="1" applyBorder="1" applyAlignment="1" applyProtection="1">
      <alignment horizontal="left"/>
      <protection locked="0"/>
    </xf>
    <xf numFmtId="0" fontId="109" fillId="0" borderId="123" xfId="94" applyFont="1" applyBorder="1" applyProtection="1"/>
    <xf numFmtId="0" fontId="99" fillId="0" borderId="124" xfId="94" applyFont="1" applyBorder="1" applyProtection="1"/>
    <xf numFmtId="0" fontId="99" fillId="0" borderId="0" xfId="94" applyBorder="1" applyProtection="1"/>
    <xf numFmtId="0" fontId="109" fillId="0" borderId="17" xfId="94" applyFont="1" applyBorder="1" applyProtection="1"/>
    <xf numFmtId="0" fontId="99" fillId="0" borderId="17" xfId="94" applyBorder="1" applyProtection="1"/>
    <xf numFmtId="0" fontId="99" fillId="0" borderId="118" xfId="94" applyBorder="1" applyProtection="1"/>
    <xf numFmtId="0" fontId="99" fillId="0" borderId="120" xfId="94" applyBorder="1" applyProtection="1"/>
    <xf numFmtId="0" fontId="99" fillId="0" borderId="113" xfId="94" applyBorder="1" applyProtection="1"/>
    <xf numFmtId="0" fontId="111" fillId="0" borderId="0" xfId="94" applyFont="1" applyProtection="1"/>
    <xf numFmtId="0" fontId="99" fillId="0" borderId="34" xfId="94" applyBorder="1" applyProtection="1"/>
    <xf numFmtId="0" fontId="99" fillId="0" borderId="32" xfId="94" applyFill="1" applyBorder="1" applyProtection="1"/>
    <xf numFmtId="0" fontId="109" fillId="0" borderId="17" xfId="94" applyFont="1" applyFill="1" applyBorder="1" applyProtection="1"/>
    <xf numFmtId="0" fontId="99" fillId="0" borderId="17" xfId="94" applyFill="1" applyBorder="1" applyProtection="1"/>
    <xf numFmtId="0" fontId="103" fillId="0" borderId="0" xfId="94" applyFont="1" applyProtection="1"/>
    <xf numFmtId="0" fontId="99" fillId="0" borderId="17" xfId="94" applyFont="1" applyFill="1" applyBorder="1" applyProtection="1"/>
    <xf numFmtId="9" fontId="0" fillId="60" borderId="118" xfId="95" applyFont="1" applyFill="1" applyBorder="1" applyAlignment="1" applyProtection="1">
      <alignment horizontal="center" vertical="center"/>
      <protection locked="0"/>
    </xf>
    <xf numFmtId="0" fontId="103" fillId="0" borderId="0" xfId="94" applyFont="1" applyFill="1" applyBorder="1" applyProtection="1"/>
    <xf numFmtId="49" fontId="99" fillId="0" borderId="0" xfId="94" applyNumberFormat="1" applyProtection="1"/>
    <xf numFmtId="0" fontId="107" fillId="0" borderId="0" xfId="94" applyFont="1" applyFill="1" applyProtection="1"/>
    <xf numFmtId="0" fontId="99" fillId="0" borderId="114" xfId="94" applyBorder="1" applyProtection="1"/>
    <xf numFmtId="0" fontId="109" fillId="0" borderId="118" xfId="94" applyFont="1" applyBorder="1" applyAlignment="1" applyProtection="1">
      <alignment horizontal="centerContinuous"/>
    </xf>
    <xf numFmtId="0" fontId="109" fillId="0" borderId="119" xfId="94" applyFont="1" applyBorder="1" applyAlignment="1" applyProtection="1">
      <alignment horizontal="centerContinuous"/>
    </xf>
    <xf numFmtId="0" fontId="109" fillId="0" borderId="120" xfId="94" applyFont="1" applyBorder="1" applyAlignment="1" applyProtection="1">
      <alignment horizontal="centerContinuous"/>
    </xf>
    <xf numFmtId="0" fontId="109" fillId="0" borderId="121" xfId="94" applyFont="1" applyBorder="1" applyProtection="1"/>
    <xf numFmtId="0" fontId="109" fillId="0" borderId="118" xfId="94" applyFont="1" applyBorder="1" applyProtection="1"/>
    <xf numFmtId="0" fontId="109" fillId="0" borderId="17" xfId="94" applyFont="1" applyBorder="1" applyAlignment="1" applyProtection="1">
      <alignment horizontal="center"/>
    </xf>
    <xf numFmtId="0" fontId="109" fillId="0" borderId="22" xfId="94" applyFont="1" applyBorder="1" applyProtection="1"/>
    <xf numFmtId="0" fontId="99" fillId="0" borderId="34" xfId="94" applyFont="1" applyBorder="1" applyProtection="1"/>
    <xf numFmtId="9" fontId="0" fillId="60" borderId="113" xfId="95" applyFont="1" applyFill="1" applyBorder="1" applyAlignment="1" applyProtection="1">
      <alignment horizontal="center" vertical="center"/>
      <protection locked="0"/>
    </xf>
    <xf numFmtId="0" fontId="99" fillId="60" borderId="122" xfId="94" applyFill="1" applyBorder="1" applyAlignment="1" applyProtection="1">
      <alignment horizontal="center" vertical="center" wrapText="1"/>
      <protection locked="0"/>
    </xf>
    <xf numFmtId="0" fontId="99" fillId="60" borderId="0" xfId="94" applyFill="1" applyBorder="1" applyAlignment="1" applyProtection="1">
      <alignment horizontal="center" vertical="center" wrapText="1"/>
      <protection locked="0"/>
    </xf>
    <xf numFmtId="0" fontId="99" fillId="0" borderId="121" xfId="94" applyFill="1" applyBorder="1" applyAlignment="1" applyProtection="1">
      <alignment horizontal="center" vertical="center"/>
    </xf>
    <xf numFmtId="49" fontId="109" fillId="0" borderId="0" xfId="94" applyNumberFormat="1" applyFont="1" applyBorder="1" applyAlignment="1" applyProtection="1">
      <alignment horizontal="center"/>
    </xf>
    <xf numFmtId="49" fontId="109" fillId="0" borderId="122" xfId="94" applyNumberFormat="1" applyFont="1" applyBorder="1" applyAlignment="1" applyProtection="1">
      <alignment horizontal="center"/>
    </xf>
    <xf numFmtId="49" fontId="109" fillId="0" borderId="113" xfId="94" applyNumberFormat="1" applyFont="1" applyBorder="1" applyAlignment="1" applyProtection="1">
      <alignment horizontal="center"/>
    </xf>
    <xf numFmtId="49" fontId="109" fillId="0" borderId="115" xfId="94" applyNumberFormat="1" applyFont="1" applyBorder="1" applyAlignment="1" applyProtection="1">
      <alignment horizontal="center"/>
    </xf>
    <xf numFmtId="9" fontId="0" fillId="60" borderId="34" xfId="95" applyFont="1" applyFill="1" applyBorder="1" applyAlignment="1" applyProtection="1">
      <alignment horizontal="center" vertical="center"/>
      <protection locked="0"/>
    </xf>
    <xf numFmtId="0" fontId="99" fillId="0" borderId="22" xfId="94" applyFill="1" applyBorder="1" applyAlignment="1" applyProtection="1">
      <alignment horizontal="center" vertical="center"/>
    </xf>
    <xf numFmtId="9" fontId="0" fillId="60" borderId="32" xfId="95" applyFont="1" applyFill="1" applyBorder="1" applyAlignment="1" applyProtection="1">
      <alignment horizontal="center" vertical="center"/>
      <protection locked="0"/>
    </xf>
    <xf numFmtId="0" fontId="99" fillId="60" borderId="37" xfId="94" applyFill="1" applyBorder="1" applyAlignment="1" applyProtection="1">
      <alignment horizontal="center" vertical="center" wrapText="1"/>
      <protection locked="0"/>
    </xf>
    <xf numFmtId="0" fontId="99" fillId="60" borderId="116" xfId="94" applyFill="1" applyBorder="1" applyAlignment="1" applyProtection="1">
      <alignment horizontal="center" vertical="center" wrapText="1"/>
      <protection locked="0"/>
    </xf>
    <xf numFmtId="0" fontId="99" fillId="0" borderId="21" xfId="94" applyFill="1" applyBorder="1" applyAlignment="1" applyProtection="1">
      <alignment horizontal="center" vertical="center"/>
    </xf>
    <xf numFmtId="0" fontId="99" fillId="0" borderId="119" xfId="94" applyBorder="1" applyAlignment="1" applyProtection="1">
      <alignment horizontal="centerContinuous"/>
    </xf>
    <xf numFmtId="0" fontId="99" fillId="0" borderId="120" xfId="94" applyBorder="1" applyAlignment="1" applyProtection="1">
      <alignment horizontal="centerContinuous"/>
    </xf>
    <xf numFmtId="0" fontId="99" fillId="0" borderId="32" xfId="94" applyBorder="1" applyProtection="1"/>
    <xf numFmtId="0" fontId="109" fillId="0" borderId="21" xfId="94" applyFont="1" applyBorder="1" applyProtection="1"/>
    <xf numFmtId="0" fontId="99" fillId="0" borderId="115" xfId="94" applyBorder="1" applyProtection="1"/>
    <xf numFmtId="9" fontId="111" fillId="0" borderId="0" xfId="95" applyFont="1" applyProtection="1"/>
    <xf numFmtId="0" fontId="99" fillId="0" borderId="22" xfId="94" applyFill="1" applyBorder="1" applyProtection="1"/>
    <xf numFmtId="9" fontId="111" fillId="0" borderId="0" xfId="95" applyFont="1" applyFill="1" applyProtection="1"/>
    <xf numFmtId="9" fontId="114" fillId="0" borderId="0" xfId="95" applyFont="1" applyProtection="1"/>
    <xf numFmtId="9" fontId="0" fillId="0" borderId="0" xfId="95" applyFont="1" applyProtection="1"/>
    <xf numFmtId="0" fontId="99" fillId="0" borderId="22" xfId="94" applyFill="1" applyBorder="1" applyAlignment="1" applyProtection="1">
      <alignment wrapText="1"/>
    </xf>
    <xf numFmtId="0" fontId="109" fillId="0" borderId="34" xfId="94" applyFont="1" applyBorder="1" applyProtection="1"/>
    <xf numFmtId="0" fontId="99" fillId="60" borderId="115" xfId="94" applyFill="1" applyBorder="1" applyAlignment="1" applyProtection="1">
      <alignment horizontal="center" vertical="center" wrapText="1"/>
      <protection locked="0"/>
    </xf>
    <xf numFmtId="0" fontId="105" fillId="0" borderId="22" xfId="94" applyFont="1" applyFill="1" applyBorder="1" applyProtection="1"/>
    <xf numFmtId="9" fontId="99" fillId="0" borderId="34" xfId="94" applyNumberFormat="1" applyFill="1" applyBorder="1" applyAlignment="1" applyProtection="1">
      <alignment horizontal="center"/>
    </xf>
    <xf numFmtId="0" fontId="99" fillId="0" borderId="122" xfId="94" applyFill="1" applyBorder="1" applyAlignment="1" applyProtection="1">
      <alignment horizontal="center"/>
    </xf>
    <xf numFmtId="1" fontId="99" fillId="0" borderId="115" xfId="94" applyNumberFormat="1" applyBorder="1" applyProtection="1"/>
    <xf numFmtId="1" fontId="99" fillId="0" borderId="122" xfId="94" applyNumberFormat="1" applyBorder="1" applyProtection="1"/>
    <xf numFmtId="0" fontId="109" fillId="0" borderId="32" xfId="94" applyFont="1" applyBorder="1" applyProtection="1"/>
    <xf numFmtId="0" fontId="99" fillId="0" borderId="116" xfId="94" applyBorder="1" applyProtection="1"/>
    <xf numFmtId="1" fontId="99" fillId="0" borderId="37" xfId="94" applyNumberFormat="1" applyBorder="1" applyProtection="1"/>
    <xf numFmtId="0" fontId="99" fillId="60" borderId="113" xfId="94" applyFill="1" applyBorder="1" applyProtection="1">
      <protection locked="0"/>
    </xf>
    <xf numFmtId="0" fontId="99" fillId="60" borderId="114" xfId="94" applyFill="1" applyBorder="1" applyProtection="1"/>
    <xf numFmtId="0" fontId="99" fillId="60" borderId="114" xfId="94" applyFill="1" applyBorder="1" applyProtection="1">
      <protection locked="0"/>
    </xf>
    <xf numFmtId="0" fontId="99" fillId="60" borderId="115" xfId="94" applyFill="1" applyBorder="1" applyProtection="1">
      <protection locked="0"/>
    </xf>
    <xf numFmtId="0" fontId="99" fillId="0" borderId="34" xfId="94" applyFill="1" applyBorder="1" applyProtection="1"/>
    <xf numFmtId="9" fontId="99" fillId="0" borderId="34" xfId="94" applyNumberFormat="1" applyFill="1" applyBorder="1" applyProtection="1"/>
    <xf numFmtId="9" fontId="111" fillId="0" borderId="0" xfId="94" applyNumberFormat="1" applyFont="1" applyProtection="1"/>
    <xf numFmtId="9" fontId="0" fillId="0" borderId="118" xfId="95" applyNumberFormat="1" applyFont="1" applyFill="1" applyBorder="1" applyAlignment="1" applyProtection="1">
      <alignment horizontal="left"/>
    </xf>
    <xf numFmtId="9" fontId="0" fillId="0" borderId="120" xfId="95" applyNumberFormat="1" applyFont="1" applyFill="1" applyBorder="1" applyAlignment="1" applyProtection="1">
      <alignment horizontal="left"/>
    </xf>
    <xf numFmtId="9" fontId="0" fillId="0" borderId="0" xfId="95" applyFont="1" applyFill="1" applyBorder="1" applyAlignment="1" applyProtection="1">
      <alignment horizontal="center"/>
    </xf>
    <xf numFmtId="9" fontId="0" fillId="0" borderId="118" xfId="95" applyFont="1" applyFill="1" applyBorder="1" applyAlignment="1" applyProtection="1">
      <alignment horizontal="center"/>
    </xf>
    <xf numFmtId="9" fontId="0" fillId="0" borderId="120" xfId="95" applyFont="1" applyFill="1" applyBorder="1" applyAlignment="1" applyProtection="1">
      <alignment horizontal="center"/>
    </xf>
    <xf numFmtId="0" fontId="99" fillId="0" borderId="118" xfId="94" applyFill="1" applyBorder="1" applyProtection="1"/>
    <xf numFmtId="0" fontId="99" fillId="0" borderId="120" xfId="94" applyFill="1" applyBorder="1" applyProtection="1"/>
    <xf numFmtId="0" fontId="99" fillId="0" borderId="113" xfId="94" applyFont="1" applyFill="1" applyBorder="1" applyProtection="1"/>
    <xf numFmtId="0" fontId="99" fillId="0" borderId="114" xfId="94" applyFill="1" applyBorder="1" applyProtection="1"/>
    <xf numFmtId="0" fontId="115" fillId="0" borderId="114" xfId="94" applyFont="1" applyFill="1" applyBorder="1" applyAlignment="1" applyProtection="1">
      <alignment vertical="center"/>
    </xf>
    <xf numFmtId="0" fontId="115" fillId="0" borderId="115" xfId="94" applyFont="1" applyFill="1" applyBorder="1" applyAlignment="1" applyProtection="1">
      <alignment vertical="center"/>
    </xf>
    <xf numFmtId="0" fontId="115" fillId="0" borderId="128" xfId="94" applyFont="1" applyFill="1" applyBorder="1" applyProtection="1"/>
    <xf numFmtId="0" fontId="99" fillId="0" borderId="129" xfId="94" applyFill="1" applyBorder="1" applyProtection="1"/>
    <xf numFmtId="168" fontId="103" fillId="0" borderId="130" xfId="96" applyNumberFormat="1" applyFont="1" applyFill="1" applyBorder="1" applyAlignment="1" applyProtection="1">
      <alignment horizontal="center"/>
    </xf>
    <xf numFmtId="168" fontId="103" fillId="0" borderId="131" xfId="96" applyNumberFormat="1" applyFont="1" applyFill="1" applyBorder="1" applyAlignment="1" applyProtection="1">
      <alignment horizontal="center"/>
    </xf>
    <xf numFmtId="0" fontId="99" fillId="60" borderId="132" xfId="94" applyFont="1" applyFill="1" applyBorder="1" applyProtection="1">
      <protection locked="0"/>
    </xf>
    <xf numFmtId="0" fontId="99" fillId="0" borderId="133" xfId="94" applyFill="1" applyBorder="1" applyProtection="1"/>
    <xf numFmtId="9" fontId="0" fillId="60" borderId="134" xfId="95" applyFont="1" applyFill="1" applyBorder="1" applyProtection="1">
      <protection locked="0"/>
    </xf>
    <xf numFmtId="0" fontId="99" fillId="60" borderId="135" xfId="94" applyFill="1" applyBorder="1" applyAlignment="1" applyProtection="1">
      <alignment horizontal="center" vertical="center" wrapText="1"/>
      <protection locked="0"/>
    </xf>
    <xf numFmtId="0" fontId="99" fillId="0" borderId="130" xfId="94" applyFill="1" applyBorder="1" applyProtection="1"/>
    <xf numFmtId="0" fontId="99" fillId="0" borderId="131" xfId="94" applyFill="1" applyBorder="1" applyProtection="1"/>
    <xf numFmtId="0" fontId="99" fillId="60" borderId="32" xfId="94" applyFont="1" applyFill="1" applyBorder="1" applyProtection="1">
      <protection locked="0"/>
    </xf>
    <xf numFmtId="0" fontId="99" fillId="0" borderId="116" xfId="94" applyFill="1" applyBorder="1" applyProtection="1"/>
    <xf numFmtId="9" fontId="0" fillId="60" borderId="136" xfId="95" applyFont="1" applyFill="1" applyBorder="1" applyProtection="1">
      <protection locked="0"/>
    </xf>
    <xf numFmtId="0" fontId="99" fillId="0" borderId="0" xfId="94" applyBorder="1" applyProtection="1">
      <protection locked="0"/>
    </xf>
    <xf numFmtId="0" fontId="99" fillId="62" borderId="0" xfId="94" applyFill="1" applyProtection="1">
      <protection locked="0"/>
    </xf>
    <xf numFmtId="0" fontId="99" fillId="0" borderId="0" xfId="94" applyFill="1" applyProtection="1">
      <protection locked="0"/>
    </xf>
    <xf numFmtId="0" fontId="109" fillId="0" borderId="0" xfId="94" applyFont="1" applyFill="1" applyProtection="1"/>
    <xf numFmtId="0" fontId="99" fillId="0" borderId="0" xfId="94" applyAlignment="1" applyProtection="1">
      <alignment vertical="center"/>
    </xf>
    <xf numFmtId="0" fontId="117" fillId="64" borderId="138" xfId="94" applyFont="1" applyFill="1" applyBorder="1" applyAlignment="1" applyProtection="1">
      <alignment horizontal="center" vertical="center" wrapText="1"/>
    </xf>
    <xf numFmtId="0" fontId="118" fillId="0" borderId="113" xfId="94" applyFont="1" applyBorder="1" applyAlignment="1" applyProtection="1">
      <alignment vertical="center"/>
    </xf>
    <xf numFmtId="0" fontId="119" fillId="0" borderId="114" xfId="94" applyFont="1" applyBorder="1" applyAlignment="1" applyProtection="1">
      <alignment vertical="center"/>
    </xf>
    <xf numFmtId="0" fontId="117" fillId="64" borderId="139" xfId="94" applyFont="1" applyFill="1" applyBorder="1" applyAlignment="1" applyProtection="1">
      <alignment horizontal="center" vertical="center" wrapText="1"/>
    </xf>
    <xf numFmtId="0" fontId="117" fillId="64" borderId="140" xfId="94" applyFont="1" applyFill="1" applyBorder="1" applyAlignment="1" applyProtection="1">
      <alignment horizontal="center" vertical="center" wrapText="1"/>
    </xf>
    <xf numFmtId="0" fontId="117" fillId="64" borderId="140" xfId="94" applyFont="1" applyFill="1" applyBorder="1" applyAlignment="1" applyProtection="1">
      <alignment horizontal="center" vertical="center"/>
    </xf>
    <xf numFmtId="0" fontId="120" fillId="64" borderId="141" xfId="94" applyFont="1" applyFill="1" applyBorder="1" applyAlignment="1" applyProtection="1">
      <alignment horizontal="center" vertical="center" wrapText="1"/>
    </xf>
    <xf numFmtId="0" fontId="117" fillId="65" borderId="138" xfId="94" applyFont="1" applyFill="1" applyBorder="1" applyAlignment="1" applyProtection="1">
      <alignment horizontal="center" vertical="center" wrapText="1"/>
      <protection locked="0"/>
    </xf>
    <xf numFmtId="0" fontId="120" fillId="64" borderId="141" xfId="94" applyFont="1" applyFill="1" applyBorder="1" applyAlignment="1" applyProtection="1">
      <alignment horizontal="center" vertical="center" wrapText="1"/>
      <protection locked="0"/>
    </xf>
    <xf numFmtId="0" fontId="99" fillId="0" borderId="0" xfId="94" applyAlignment="1" applyProtection="1">
      <alignment vertical="center"/>
      <protection locked="0"/>
    </xf>
    <xf numFmtId="37" fontId="99" fillId="0" borderId="119" xfId="94" applyNumberFormat="1" applyBorder="1" applyAlignment="1" applyProtection="1">
      <alignment horizontal="right"/>
    </xf>
    <xf numFmtId="37" fontId="99" fillId="0" borderId="119" xfId="94" applyNumberFormat="1" applyBorder="1" applyAlignment="1" applyProtection="1">
      <alignment horizontal="center"/>
    </xf>
    <xf numFmtId="37" fontId="99" fillId="0" borderId="119" xfId="94" applyNumberFormat="1" applyBorder="1" applyAlignment="1" applyProtection="1">
      <alignment horizontal="center"/>
      <protection locked="0"/>
    </xf>
    <xf numFmtId="37" fontId="99" fillId="0" borderId="119" xfId="94" applyNumberFormat="1" applyBorder="1" applyAlignment="1" applyProtection="1">
      <alignment horizontal="right"/>
      <protection locked="0"/>
    </xf>
    <xf numFmtId="0" fontId="118" fillId="0" borderId="113" xfId="94" applyFont="1" applyFill="1" applyBorder="1" applyAlignment="1" applyProtection="1">
      <alignment vertical="center"/>
    </xf>
    <xf numFmtId="0" fontId="118" fillId="0" borderId="114" xfId="94" applyFont="1" applyFill="1" applyBorder="1" applyAlignment="1" applyProtection="1">
      <alignment vertical="center"/>
    </xf>
    <xf numFmtId="0" fontId="119" fillId="0" borderId="114" xfId="94" applyFont="1" applyFill="1" applyBorder="1" applyAlignment="1" applyProtection="1">
      <alignment vertical="center"/>
    </xf>
    <xf numFmtId="168" fontId="118" fillId="0" borderId="121" xfId="96" applyNumberFormat="1" applyFont="1" applyFill="1" applyBorder="1" applyAlignment="1" applyProtection="1">
      <alignment horizontal="center" vertical="center"/>
    </xf>
    <xf numFmtId="168" fontId="118" fillId="0" borderId="114" xfId="96" applyNumberFormat="1" applyFont="1" applyFill="1" applyBorder="1" applyAlignment="1" applyProtection="1">
      <alignment horizontal="center" vertical="center"/>
    </xf>
    <xf numFmtId="168" fontId="118" fillId="0" borderId="113" xfId="96" applyNumberFormat="1" applyFont="1" applyFill="1" applyBorder="1" applyAlignment="1" applyProtection="1">
      <alignment horizontal="center" vertical="center"/>
    </xf>
    <xf numFmtId="37" fontId="121" fillId="0" borderId="115" xfId="94" applyNumberFormat="1" applyFont="1" applyFill="1" applyBorder="1" applyAlignment="1" applyProtection="1">
      <alignment horizontal="center"/>
    </xf>
    <xf numFmtId="0" fontId="122" fillId="0" borderId="0" xfId="94" applyFont="1" applyProtection="1"/>
    <xf numFmtId="168" fontId="118" fillId="65" borderId="121" xfId="96" applyNumberFormat="1" applyFont="1" applyFill="1" applyBorder="1" applyAlignment="1" applyProtection="1">
      <alignment horizontal="center" vertical="center"/>
      <protection locked="0"/>
    </xf>
    <xf numFmtId="168" fontId="118" fillId="65" borderId="114" xfId="96" applyNumberFormat="1" applyFont="1" applyFill="1" applyBorder="1" applyAlignment="1" applyProtection="1">
      <alignment horizontal="center" vertical="center"/>
      <protection locked="0"/>
    </xf>
    <xf numFmtId="168" fontId="118" fillId="65" borderId="113" xfId="96" applyNumberFormat="1" applyFont="1" applyFill="1" applyBorder="1" applyAlignment="1" applyProtection="1">
      <alignment horizontal="center" vertical="center"/>
      <protection locked="0"/>
    </xf>
    <xf numFmtId="37" fontId="121" fillId="65" borderId="115" xfId="94" applyNumberFormat="1" applyFont="1" applyFill="1" applyBorder="1" applyAlignment="1" applyProtection="1">
      <alignment horizontal="center"/>
      <protection locked="0"/>
    </xf>
    <xf numFmtId="0" fontId="122" fillId="0" borderId="0" xfId="94" applyFont="1" applyProtection="1">
      <protection locked="0"/>
    </xf>
    <xf numFmtId="0" fontId="110" fillId="0" borderId="34" xfId="94" applyFont="1" applyFill="1" applyBorder="1" applyAlignment="1" applyProtection="1">
      <alignment vertical="center"/>
    </xf>
    <xf numFmtId="0" fontId="123" fillId="0" borderId="0" xfId="94" applyFont="1" applyFill="1" applyBorder="1" applyAlignment="1" applyProtection="1">
      <alignment vertical="center"/>
    </xf>
    <xf numFmtId="10" fontId="123" fillId="0" borderId="22" xfId="94" applyNumberFormat="1" applyFont="1" applyFill="1" applyBorder="1" applyAlignment="1" applyProtection="1">
      <alignment horizontal="center" vertical="center"/>
    </xf>
    <xf numFmtId="166" fontId="110" fillId="0" borderId="0" xfId="95" applyNumberFormat="1" applyFont="1" applyFill="1" applyBorder="1" applyAlignment="1" applyProtection="1">
      <alignment horizontal="center" vertical="center"/>
    </xf>
    <xf numFmtId="166" fontId="110" fillId="0" borderId="34" xfId="95" applyNumberFormat="1" applyFont="1" applyFill="1" applyBorder="1" applyAlignment="1" applyProtection="1">
      <alignment horizontal="center" vertical="center"/>
    </xf>
    <xf numFmtId="37" fontId="121" fillId="0" borderId="122" xfId="94" applyNumberFormat="1" applyFont="1" applyFill="1" applyBorder="1" applyAlignment="1" applyProtection="1">
      <alignment horizontal="left" vertical="center"/>
    </xf>
    <xf numFmtId="0" fontId="122" fillId="0" borderId="0" xfId="94" applyFont="1" applyFill="1" applyProtection="1"/>
    <xf numFmtId="166" fontId="110" fillId="0" borderId="22" xfId="95" applyNumberFormat="1" applyFont="1" applyFill="1" applyBorder="1" applyAlignment="1" applyProtection="1">
      <alignment horizontal="center" vertical="center"/>
    </xf>
    <xf numFmtId="10" fontId="123" fillId="65" borderId="22" xfId="94" applyNumberFormat="1" applyFont="1" applyFill="1" applyBorder="1" applyAlignment="1" applyProtection="1">
      <alignment horizontal="center" vertical="center"/>
      <protection locked="0"/>
    </xf>
    <xf numFmtId="166" fontId="110" fillId="65" borderId="0" xfId="95" applyNumberFormat="1" applyFont="1" applyFill="1" applyBorder="1" applyAlignment="1" applyProtection="1">
      <alignment horizontal="center" vertical="center"/>
      <protection locked="0"/>
    </xf>
    <xf numFmtId="166" fontId="110" fillId="65" borderId="34" xfId="95" applyNumberFormat="1" applyFont="1" applyFill="1" applyBorder="1" applyAlignment="1" applyProtection="1">
      <alignment horizontal="center" vertical="center"/>
      <protection locked="0"/>
    </xf>
    <xf numFmtId="37" fontId="121" fillId="65" borderId="122" xfId="94" applyNumberFormat="1" applyFont="1" applyFill="1" applyBorder="1" applyAlignment="1" applyProtection="1">
      <alignment horizontal="left" vertical="center"/>
      <protection locked="0"/>
    </xf>
    <xf numFmtId="0" fontId="122" fillId="0" borderId="0" xfId="94" applyFont="1" applyFill="1" applyProtection="1">
      <protection locked="0"/>
    </xf>
    <xf numFmtId="166" fontId="110" fillId="65" borderId="22" xfId="95" applyNumberFormat="1" applyFont="1" applyFill="1" applyBorder="1" applyAlignment="1" applyProtection="1">
      <alignment horizontal="center" vertical="center"/>
      <protection locked="0"/>
    </xf>
    <xf numFmtId="0" fontId="124" fillId="0" borderId="0" xfId="94" applyFont="1" applyFill="1" applyBorder="1" applyAlignment="1" applyProtection="1">
      <alignment vertical="center"/>
    </xf>
    <xf numFmtId="9" fontId="110" fillId="0" borderId="0" xfId="95" applyNumberFormat="1" applyFont="1" applyFill="1" applyBorder="1" applyAlignment="1" applyProtection="1">
      <alignment horizontal="center" vertical="center"/>
    </xf>
    <xf numFmtId="9" fontId="110" fillId="65" borderId="0" xfId="95" applyNumberFormat="1" applyFont="1" applyFill="1" applyBorder="1" applyAlignment="1" applyProtection="1">
      <alignment horizontal="center" vertical="center"/>
      <protection locked="0"/>
    </xf>
    <xf numFmtId="0" fontId="110" fillId="0" borderId="32" xfId="94" applyFont="1" applyFill="1" applyBorder="1" applyAlignment="1" applyProtection="1">
      <alignment vertical="center"/>
    </xf>
    <xf numFmtId="0" fontId="123" fillId="0" borderId="116" xfId="94" applyFont="1" applyFill="1" applyBorder="1" applyAlignment="1" applyProtection="1">
      <alignment vertical="center"/>
    </xf>
    <xf numFmtId="0" fontId="118" fillId="0" borderId="116" xfId="94" applyFont="1" applyFill="1" applyBorder="1" applyAlignment="1" applyProtection="1">
      <alignment vertical="center"/>
    </xf>
    <xf numFmtId="0" fontId="119" fillId="0" borderId="116" xfId="94" applyFont="1" applyFill="1" applyBorder="1" applyAlignment="1" applyProtection="1">
      <alignment vertical="center"/>
    </xf>
    <xf numFmtId="168" fontId="118" fillId="0" borderId="21" xfId="96" applyNumberFormat="1" applyFont="1" applyFill="1" applyBorder="1" applyAlignment="1" applyProtection="1">
      <alignment horizontal="center" vertical="center"/>
    </xf>
    <xf numFmtId="168" fontId="110" fillId="0" borderId="116" xfId="96" applyNumberFormat="1" applyFont="1" applyFill="1" applyBorder="1" applyAlignment="1" applyProtection="1">
      <alignment horizontal="center" vertical="center"/>
    </xf>
    <xf numFmtId="168" fontId="110" fillId="0" borderId="32" xfId="96" applyNumberFormat="1" applyFont="1" applyFill="1" applyBorder="1" applyAlignment="1" applyProtection="1">
      <alignment horizontal="center" vertical="center"/>
    </xf>
    <xf numFmtId="37" fontId="121" fillId="0" borderId="37" xfId="94" applyNumberFormat="1" applyFont="1" applyFill="1" applyBorder="1" applyAlignment="1" applyProtection="1">
      <alignment horizontal="center"/>
    </xf>
    <xf numFmtId="168" fontId="110" fillId="0" borderId="21" xfId="96" applyNumberFormat="1" applyFont="1" applyFill="1" applyBorder="1" applyAlignment="1" applyProtection="1">
      <alignment horizontal="center" vertical="center"/>
    </xf>
    <xf numFmtId="168" fontId="118" fillId="65" borderId="21" xfId="96" applyNumberFormat="1" applyFont="1" applyFill="1" applyBorder="1" applyAlignment="1" applyProtection="1">
      <alignment horizontal="center" vertical="center"/>
      <protection locked="0"/>
    </xf>
    <xf numFmtId="168" fontId="110" fillId="65" borderId="116" xfId="96" applyNumberFormat="1" applyFont="1" applyFill="1" applyBorder="1" applyAlignment="1" applyProtection="1">
      <alignment horizontal="center" vertical="center"/>
      <protection locked="0"/>
    </xf>
    <xf numFmtId="168" fontId="110" fillId="65" borderId="32" xfId="96" applyNumberFormat="1" applyFont="1" applyFill="1" applyBorder="1" applyAlignment="1" applyProtection="1">
      <alignment horizontal="center" vertical="center"/>
      <protection locked="0"/>
    </xf>
    <xf numFmtId="37" fontId="121" fillId="65" borderId="37" xfId="94" applyNumberFormat="1" applyFont="1" applyFill="1" applyBorder="1" applyAlignment="1" applyProtection="1">
      <alignment horizontal="center"/>
      <protection locked="0"/>
    </xf>
    <xf numFmtId="168" fontId="110" fillId="65" borderId="21" xfId="96" applyNumberFormat="1" applyFont="1" applyFill="1" applyBorder="1" applyAlignment="1" applyProtection="1">
      <alignment horizontal="center" vertical="center"/>
      <protection locked="0"/>
    </xf>
    <xf numFmtId="0" fontId="119" fillId="0" borderId="34" xfId="94" applyFont="1" applyFill="1" applyBorder="1" applyAlignment="1" applyProtection="1">
      <alignment vertical="center"/>
    </xf>
    <xf numFmtId="0" fontId="119" fillId="0" borderId="0" xfId="94" applyFont="1" applyFill="1" applyBorder="1" applyAlignment="1" applyProtection="1">
      <alignment vertical="center"/>
    </xf>
    <xf numFmtId="168" fontId="119" fillId="0" borderId="22" xfId="96" applyNumberFormat="1" applyFont="1" applyBorder="1" applyAlignment="1" applyProtection="1">
      <alignment horizontal="center" vertical="center"/>
    </xf>
    <xf numFmtId="168" fontId="119" fillId="0" borderId="0" xfId="96" applyNumberFormat="1" applyFont="1" applyFill="1" applyBorder="1" applyAlignment="1" applyProtection="1">
      <alignment horizontal="center" vertical="center"/>
    </xf>
    <xf numFmtId="168" fontId="119" fillId="0" borderId="34" xfId="96" applyNumberFormat="1" applyFont="1" applyFill="1" applyBorder="1" applyAlignment="1" applyProtection="1">
      <alignment horizontal="center" vertical="center"/>
    </xf>
    <xf numFmtId="166" fontId="121" fillId="0" borderId="122" xfId="95" applyNumberFormat="1" applyFont="1" applyFill="1" applyBorder="1" applyAlignment="1" applyProtection="1">
      <alignment horizontal="center"/>
    </xf>
    <xf numFmtId="168" fontId="119" fillId="0" borderId="22" xfId="96" applyNumberFormat="1" applyFont="1" applyFill="1" applyBorder="1" applyAlignment="1" applyProtection="1">
      <alignment horizontal="center" vertical="center"/>
    </xf>
    <xf numFmtId="168" fontId="119" fillId="65" borderId="22" xfId="96" applyNumberFormat="1" applyFont="1" applyFill="1" applyBorder="1" applyAlignment="1" applyProtection="1">
      <alignment horizontal="center" vertical="center"/>
      <protection locked="0"/>
    </xf>
    <xf numFmtId="168" fontId="119" fillId="65" borderId="0" xfId="96" applyNumberFormat="1" applyFont="1" applyFill="1" applyBorder="1" applyAlignment="1" applyProtection="1">
      <alignment horizontal="center" vertical="center"/>
      <protection locked="0"/>
    </xf>
    <xf numFmtId="168" fontId="119" fillId="65" borderId="34" xfId="96" applyNumberFormat="1" applyFont="1" applyFill="1" applyBorder="1" applyAlignment="1" applyProtection="1">
      <alignment horizontal="center" vertical="center"/>
      <protection locked="0"/>
    </xf>
    <xf numFmtId="166" fontId="121" fillId="65" borderId="122" xfId="95" applyNumberFormat="1" applyFont="1" applyFill="1" applyBorder="1" applyAlignment="1" applyProtection="1">
      <alignment horizontal="center"/>
      <protection locked="0"/>
    </xf>
    <xf numFmtId="0" fontId="118" fillId="0" borderId="118" xfId="94" applyFont="1" applyFill="1" applyBorder="1" applyAlignment="1" applyProtection="1">
      <alignment vertical="center"/>
    </xf>
    <xf numFmtId="0" fontId="119" fillId="0" borderId="119" xfId="94" applyFont="1" applyFill="1" applyBorder="1" applyAlignment="1" applyProtection="1">
      <alignment vertical="center"/>
    </xf>
    <xf numFmtId="168" fontId="118" fillId="0" borderId="17" xfId="96" applyNumberFormat="1" applyFont="1" applyFill="1" applyBorder="1" applyAlignment="1" applyProtection="1">
      <alignment horizontal="center" vertical="center"/>
    </xf>
    <xf numFmtId="168" fontId="118" fillId="0" borderId="119" xfId="96" applyNumberFormat="1" applyFont="1" applyFill="1" applyBorder="1" applyAlignment="1" applyProtection="1">
      <alignment horizontal="center" vertical="center"/>
    </xf>
    <xf numFmtId="168" fontId="118" fillId="0" borderId="118" xfId="96" applyNumberFormat="1" applyFont="1" applyFill="1" applyBorder="1" applyAlignment="1" applyProtection="1">
      <alignment horizontal="center" vertical="center"/>
    </xf>
    <xf numFmtId="37" fontId="121" fillId="0" borderId="120" xfId="94" applyNumberFormat="1" applyFont="1" applyFill="1" applyBorder="1" applyAlignment="1" applyProtection="1">
      <alignment horizontal="center"/>
    </xf>
    <xf numFmtId="0" fontId="99" fillId="0" borderId="0" xfId="94" applyFont="1" applyProtection="1"/>
    <xf numFmtId="168" fontId="118" fillId="65" borderId="17" xfId="96" applyNumberFormat="1" applyFont="1" applyFill="1" applyBorder="1" applyAlignment="1" applyProtection="1">
      <alignment horizontal="center" vertical="center"/>
      <protection locked="0"/>
    </xf>
    <xf numFmtId="168" fontId="118" fillId="65" borderId="119" xfId="96" applyNumberFormat="1" applyFont="1" applyFill="1" applyBorder="1" applyAlignment="1" applyProtection="1">
      <alignment horizontal="center" vertical="center"/>
      <protection locked="0"/>
    </xf>
    <xf numFmtId="168" fontId="118" fillId="65" borderId="118" xfId="96" applyNumberFormat="1" applyFont="1" applyFill="1" applyBorder="1" applyAlignment="1" applyProtection="1">
      <alignment horizontal="center" vertical="center"/>
      <protection locked="0"/>
    </xf>
    <xf numFmtId="37" fontId="121" fillId="65" borderId="120" xfId="94" applyNumberFormat="1" applyFont="1" applyFill="1" applyBorder="1" applyAlignment="1" applyProtection="1">
      <alignment horizontal="center"/>
      <protection locked="0"/>
    </xf>
    <xf numFmtId="0" fontId="99" fillId="0" borderId="0" xfId="94" applyFont="1" applyProtection="1">
      <protection locked="0"/>
    </xf>
    <xf numFmtId="0" fontId="125" fillId="0" borderId="113" xfId="94" applyFont="1" applyBorder="1" applyAlignment="1" applyProtection="1">
      <alignment vertical="center"/>
    </xf>
    <xf numFmtId="0" fontId="110" fillId="0" borderId="114" xfId="94" applyFont="1" applyBorder="1" applyAlignment="1" applyProtection="1">
      <alignment vertical="center"/>
    </xf>
    <xf numFmtId="0" fontId="110" fillId="0" borderId="114" xfId="94" applyFont="1" applyFill="1" applyBorder="1" applyAlignment="1" applyProtection="1">
      <alignment horizontal="right" vertical="center"/>
    </xf>
    <xf numFmtId="0" fontId="123" fillId="0" borderId="114" xfId="94" applyFont="1" applyBorder="1" applyAlignment="1" applyProtection="1">
      <alignment vertical="center"/>
    </xf>
    <xf numFmtId="43" fontId="110" fillId="0" borderId="121" xfId="96" applyFont="1" applyBorder="1" applyAlignment="1" applyProtection="1">
      <alignment horizontal="center" vertical="center"/>
    </xf>
    <xf numFmtId="166" fontId="110" fillId="0" borderId="114" xfId="95" applyNumberFormat="1" applyFont="1" applyFill="1" applyBorder="1" applyAlignment="1" applyProtection="1">
      <alignment horizontal="center" vertical="center"/>
    </xf>
    <xf numFmtId="166" fontId="110" fillId="0" borderId="113" xfId="95" applyNumberFormat="1" applyFont="1" applyFill="1" applyBorder="1" applyAlignment="1" applyProtection="1">
      <alignment horizontal="center" vertical="center"/>
    </xf>
    <xf numFmtId="0" fontId="121" fillId="0" borderId="115" xfId="94" applyFont="1" applyBorder="1" applyAlignment="1" applyProtection="1">
      <alignment horizontal="center"/>
    </xf>
    <xf numFmtId="0" fontId="123" fillId="0" borderId="0" xfId="94" applyFont="1" applyProtection="1"/>
    <xf numFmtId="166" fontId="110" fillId="0" borderId="121" xfId="95" applyNumberFormat="1" applyFont="1" applyFill="1" applyBorder="1" applyAlignment="1" applyProtection="1">
      <alignment horizontal="center" vertical="center"/>
    </xf>
    <xf numFmtId="43" fontId="110" fillId="65" borderId="121" xfId="96" applyFont="1" applyFill="1" applyBorder="1" applyAlignment="1" applyProtection="1">
      <alignment horizontal="center" vertical="center"/>
      <protection locked="0"/>
    </xf>
    <xf numFmtId="166" fontId="110" fillId="65" borderId="114" xfId="95" applyNumberFormat="1" applyFont="1" applyFill="1" applyBorder="1" applyAlignment="1" applyProtection="1">
      <alignment horizontal="center" vertical="center"/>
      <protection locked="0"/>
    </xf>
    <xf numFmtId="166" fontId="110" fillId="65" borderId="113" xfId="95" applyNumberFormat="1" applyFont="1" applyFill="1" applyBorder="1" applyAlignment="1" applyProtection="1">
      <alignment horizontal="center" vertical="center"/>
      <protection locked="0"/>
    </xf>
    <xf numFmtId="0" fontId="121" fillId="65" borderId="115" xfId="94" applyFont="1" applyFill="1" applyBorder="1" applyAlignment="1" applyProtection="1">
      <alignment horizontal="center"/>
      <protection locked="0"/>
    </xf>
    <xf numFmtId="0" fontId="123" fillId="0" borderId="0" xfId="94" applyFont="1" applyProtection="1">
      <protection locked="0"/>
    </xf>
    <xf numFmtId="166" fontId="110" fillId="65" borderId="121" xfId="95" applyNumberFormat="1" applyFont="1" applyFill="1" applyBorder="1" applyAlignment="1" applyProtection="1">
      <alignment horizontal="center" vertical="center"/>
      <protection locked="0"/>
    </xf>
    <xf numFmtId="0" fontId="119" fillId="0" borderId="34" xfId="94" applyFont="1" applyBorder="1" applyAlignment="1" applyProtection="1">
      <alignment vertical="center"/>
    </xf>
    <xf numFmtId="0" fontId="119" fillId="0" borderId="0" xfId="94" applyFont="1" applyBorder="1" applyAlignment="1" applyProtection="1">
      <alignment vertical="center"/>
    </xf>
    <xf numFmtId="0" fontId="118" fillId="0" borderId="142" xfId="94" applyFont="1" applyFill="1" applyBorder="1" applyAlignment="1" applyProtection="1">
      <alignment vertical="center"/>
    </xf>
    <xf numFmtId="0" fontId="118" fillId="0" borderId="143" xfId="94" applyFont="1" applyFill="1" applyBorder="1" applyAlignment="1" applyProtection="1">
      <alignment vertical="center"/>
    </xf>
    <xf numFmtId="168" fontId="118" fillId="0" borderId="26" xfId="96" applyNumberFormat="1" applyFont="1" applyFill="1" applyBorder="1" applyAlignment="1" applyProtection="1">
      <alignment horizontal="center" vertical="center"/>
    </xf>
    <xf numFmtId="168" fontId="118" fillId="0" borderId="143" xfId="96" applyNumberFormat="1" applyFont="1" applyFill="1" applyBorder="1" applyAlignment="1" applyProtection="1">
      <alignment horizontal="center" vertical="center"/>
    </xf>
    <xf numFmtId="168" fontId="118" fillId="0" borderId="142" xfId="96" applyNumberFormat="1" applyFont="1" applyFill="1" applyBorder="1" applyAlignment="1" applyProtection="1">
      <alignment horizontal="center" vertical="center"/>
    </xf>
    <xf numFmtId="37" fontId="121" fillId="0" borderId="144" xfId="94" applyNumberFormat="1" applyFont="1" applyFill="1" applyBorder="1" applyAlignment="1" applyProtection="1">
      <alignment horizontal="center"/>
    </xf>
    <xf numFmtId="0" fontId="122" fillId="0" borderId="0" xfId="94" applyFont="1" applyBorder="1" applyProtection="1"/>
    <xf numFmtId="168" fontId="118" fillId="65" borderId="26" xfId="96" applyNumberFormat="1" applyFont="1" applyFill="1" applyBorder="1" applyAlignment="1" applyProtection="1">
      <alignment horizontal="center" vertical="center"/>
      <protection locked="0"/>
    </xf>
    <xf numFmtId="168" fontId="118" fillId="65" borderId="143" xfId="96" applyNumberFormat="1" applyFont="1" applyFill="1" applyBorder="1" applyAlignment="1" applyProtection="1">
      <alignment horizontal="center" vertical="center"/>
      <protection locked="0"/>
    </xf>
    <xf numFmtId="168" fontId="118" fillId="65" borderId="142" xfId="96" applyNumberFormat="1" applyFont="1" applyFill="1" applyBorder="1" applyAlignment="1" applyProtection="1">
      <alignment horizontal="center" vertical="center"/>
      <protection locked="0"/>
    </xf>
    <xf numFmtId="37" fontId="121" fillId="65" borderId="144" xfId="94" applyNumberFormat="1" applyFont="1" applyFill="1" applyBorder="1" applyAlignment="1" applyProtection="1">
      <alignment horizontal="center"/>
      <protection locked="0"/>
    </xf>
    <xf numFmtId="0" fontId="122" fillId="0" borderId="0" xfId="94" applyFont="1" applyBorder="1" applyProtection="1">
      <protection locked="0"/>
    </xf>
    <xf numFmtId="0" fontId="125" fillId="0" borderId="34" xfId="94" applyFont="1" applyFill="1" applyBorder="1" applyAlignment="1" applyProtection="1">
      <alignment vertical="center"/>
    </xf>
    <xf numFmtId="0" fontId="110" fillId="0" borderId="0" xfId="94" applyFont="1" applyBorder="1" applyAlignment="1" applyProtection="1">
      <alignment vertical="center"/>
    </xf>
    <xf numFmtId="0" fontId="110" fillId="0" borderId="0" xfId="94" applyFont="1" applyFill="1" applyBorder="1" applyAlignment="1" applyProtection="1">
      <alignment horizontal="right" vertical="center"/>
    </xf>
    <xf numFmtId="0" fontId="125" fillId="0" borderId="0" xfId="94" applyFont="1" applyFill="1" applyBorder="1" applyAlignment="1" applyProtection="1">
      <alignment vertical="center"/>
    </xf>
    <xf numFmtId="43" fontId="125" fillId="0" borderId="22" xfId="96" applyFont="1" applyFill="1" applyBorder="1" applyAlignment="1" applyProtection="1">
      <alignment horizontal="center" vertical="center"/>
    </xf>
    <xf numFmtId="0" fontId="121" fillId="0" borderId="122" xfId="94" applyFont="1" applyBorder="1" applyAlignment="1" applyProtection="1">
      <alignment horizontal="center"/>
    </xf>
    <xf numFmtId="0" fontId="123" fillId="0" borderId="0" xfId="94" applyFont="1" applyBorder="1" applyProtection="1"/>
    <xf numFmtId="43" fontId="125" fillId="65" borderId="22" xfId="96" applyFont="1" applyFill="1" applyBorder="1" applyAlignment="1" applyProtection="1">
      <alignment horizontal="center" vertical="center"/>
      <protection locked="0"/>
    </xf>
    <xf numFmtId="0" fontId="121" fillId="65" borderId="122" xfId="94" applyFont="1" applyFill="1" applyBorder="1" applyAlignment="1" applyProtection="1">
      <alignment horizontal="center"/>
      <protection locked="0"/>
    </xf>
    <xf numFmtId="0" fontId="123" fillId="0" borderId="0" xfId="94" applyFont="1" applyBorder="1" applyProtection="1">
      <protection locked="0"/>
    </xf>
    <xf numFmtId="0" fontId="122" fillId="0" borderId="0" xfId="94" applyFont="1" applyBorder="1" applyAlignment="1" applyProtection="1">
      <alignment vertical="center"/>
    </xf>
    <xf numFmtId="0" fontId="122" fillId="0" borderId="0" xfId="94" applyFont="1" applyFill="1" applyBorder="1" applyAlignment="1" applyProtection="1">
      <alignment vertical="center"/>
    </xf>
    <xf numFmtId="0" fontId="118" fillId="0" borderId="119" xfId="94" applyFont="1" applyFill="1" applyBorder="1" applyAlignment="1" applyProtection="1">
      <alignment vertical="center"/>
    </xf>
    <xf numFmtId="0" fontId="125" fillId="0" borderId="113" xfId="94" applyFont="1" applyFill="1" applyBorder="1" applyAlignment="1" applyProtection="1">
      <alignment vertical="center"/>
    </xf>
    <xf numFmtId="0" fontId="125" fillId="0" borderId="114" xfId="94" applyFont="1" applyFill="1" applyBorder="1" applyAlignment="1" applyProtection="1">
      <alignment vertical="center"/>
    </xf>
    <xf numFmtId="43" fontId="125" fillId="0" borderId="121" xfId="96" applyFont="1" applyFill="1" applyBorder="1" applyAlignment="1" applyProtection="1">
      <alignment horizontal="center" vertical="center"/>
    </xf>
    <xf numFmtId="37" fontId="123" fillId="0" borderId="115" xfId="94" applyNumberFormat="1" applyFont="1" applyFill="1" applyBorder="1" applyAlignment="1" applyProtection="1">
      <alignment horizontal="center"/>
    </xf>
    <xf numFmtId="43" fontId="125" fillId="65" borderId="121" xfId="96" applyFont="1" applyFill="1" applyBorder="1" applyAlignment="1" applyProtection="1">
      <alignment horizontal="center" vertical="center"/>
      <protection locked="0"/>
    </xf>
    <xf numFmtId="37" fontId="123" fillId="65" borderId="115" xfId="94" applyNumberFormat="1" applyFont="1" applyFill="1" applyBorder="1" applyAlignment="1" applyProtection="1">
      <alignment horizontal="center"/>
      <protection locked="0"/>
    </xf>
    <xf numFmtId="0" fontId="118" fillId="0" borderId="34" xfId="94" applyFont="1" applyFill="1" applyBorder="1" applyAlignment="1" applyProtection="1">
      <alignment vertical="center"/>
    </xf>
    <xf numFmtId="168" fontId="118" fillId="0" borderId="22" xfId="96" applyNumberFormat="1" applyFont="1" applyFill="1" applyBorder="1" applyAlignment="1" applyProtection="1">
      <alignment horizontal="center" vertical="center"/>
    </xf>
    <xf numFmtId="168" fontId="118" fillId="0" borderId="0" xfId="96" applyNumberFormat="1" applyFont="1" applyFill="1" applyBorder="1" applyAlignment="1" applyProtection="1">
      <alignment horizontal="center" vertical="center"/>
    </xf>
    <xf numFmtId="168" fontId="118" fillId="0" borderId="34" xfId="96" applyNumberFormat="1" applyFont="1" applyFill="1" applyBorder="1" applyAlignment="1" applyProtection="1">
      <alignment horizontal="center" vertical="center"/>
    </xf>
    <xf numFmtId="37" fontId="121" fillId="0" borderId="122" xfId="94" applyNumberFormat="1" applyFont="1" applyFill="1" applyBorder="1" applyAlignment="1" applyProtection="1">
      <alignment horizontal="center"/>
    </xf>
    <xf numFmtId="168" fontId="118" fillId="65" borderId="22" xfId="96" applyNumberFormat="1" applyFont="1" applyFill="1" applyBorder="1" applyAlignment="1" applyProtection="1">
      <alignment horizontal="center" vertical="center"/>
      <protection locked="0"/>
    </xf>
    <xf numFmtId="168" fontId="118" fillId="65" borderId="0" xfId="96" applyNumberFormat="1" applyFont="1" applyFill="1" applyBorder="1" applyAlignment="1" applyProtection="1">
      <alignment horizontal="center" vertical="center"/>
      <protection locked="0"/>
    </xf>
    <xf numFmtId="168" fontId="118" fillId="65" borderId="34" xfId="96" applyNumberFormat="1" applyFont="1" applyFill="1" applyBorder="1" applyAlignment="1" applyProtection="1">
      <alignment horizontal="center" vertical="center"/>
      <protection locked="0"/>
    </xf>
    <xf numFmtId="37" fontId="121" fillId="65" borderId="122" xfId="94" applyNumberFormat="1" applyFont="1" applyFill="1" applyBorder="1" applyAlignment="1" applyProtection="1">
      <alignment horizontal="center"/>
      <protection locked="0"/>
    </xf>
    <xf numFmtId="37" fontId="118" fillId="0" borderId="22" xfId="94" applyNumberFormat="1" applyFont="1" applyFill="1" applyBorder="1" applyAlignment="1" applyProtection="1">
      <alignment horizontal="center" vertical="center"/>
    </xf>
    <xf numFmtId="166" fontId="110" fillId="0" borderId="0" xfId="95" applyNumberFormat="1" applyFont="1" applyBorder="1" applyAlignment="1" applyProtection="1">
      <alignment horizontal="center" vertical="center"/>
    </xf>
    <xf numFmtId="166" fontId="110" fillId="0" borderId="47" xfId="95" applyNumberFormat="1" applyFont="1" applyFill="1" applyBorder="1" applyAlignment="1" applyProtection="1">
      <alignment horizontal="center" vertical="center"/>
    </xf>
    <xf numFmtId="37" fontId="118" fillId="65" borderId="22" xfId="94" applyNumberFormat="1" applyFont="1" applyFill="1" applyBorder="1" applyAlignment="1" applyProtection="1">
      <alignment horizontal="center" vertical="center"/>
      <protection locked="0"/>
    </xf>
    <xf numFmtId="0" fontId="118" fillId="0" borderId="145" xfId="94" applyFont="1" applyFill="1" applyBorder="1" applyAlignment="1" applyProtection="1">
      <alignment vertical="center"/>
    </xf>
    <xf numFmtId="0" fontId="110" fillId="0" borderId="30" xfId="94" applyFont="1" applyFill="1" applyBorder="1" applyAlignment="1" applyProtection="1">
      <alignment vertical="center"/>
    </xf>
    <xf numFmtId="0" fontId="119" fillId="0" borderId="30" xfId="94" applyFont="1" applyFill="1" applyBorder="1" applyAlignment="1" applyProtection="1">
      <alignment vertical="center"/>
    </xf>
    <xf numFmtId="37" fontId="118" fillId="0" borderId="47" xfId="94" applyNumberFormat="1" applyFont="1" applyFill="1" applyBorder="1" applyAlignment="1" applyProtection="1">
      <alignment horizontal="center" vertical="center"/>
    </xf>
    <xf numFmtId="168" fontId="118" fillId="0" borderId="30" xfId="96" applyNumberFormat="1" applyFont="1" applyFill="1" applyBorder="1" applyAlignment="1" applyProtection="1">
      <alignment horizontal="center" vertical="center"/>
    </xf>
    <xf numFmtId="168" fontId="119" fillId="0" borderId="145" xfId="96" applyNumberFormat="1" applyFont="1" applyFill="1" applyBorder="1" applyAlignment="1" applyProtection="1">
      <alignment horizontal="center" vertical="center"/>
    </xf>
    <xf numFmtId="37" fontId="121" fillId="0" borderId="146" xfId="94" applyNumberFormat="1" applyFont="1" applyFill="1" applyBorder="1" applyAlignment="1" applyProtection="1">
      <alignment horizontal="center"/>
    </xf>
    <xf numFmtId="168" fontId="119" fillId="0" borderId="147" xfId="96" applyNumberFormat="1" applyFont="1" applyFill="1" applyBorder="1" applyAlignment="1" applyProtection="1">
      <alignment horizontal="center" vertical="center"/>
    </xf>
    <xf numFmtId="37" fontId="118" fillId="65" borderId="47" xfId="94" applyNumberFormat="1" applyFont="1" applyFill="1" applyBorder="1" applyAlignment="1" applyProtection="1">
      <alignment horizontal="center" vertical="center"/>
      <protection locked="0"/>
    </xf>
    <xf numFmtId="168" fontId="118" fillId="65" borderId="30" xfId="96" applyNumberFormat="1" applyFont="1" applyFill="1" applyBorder="1" applyAlignment="1" applyProtection="1">
      <alignment horizontal="center" vertical="center"/>
      <protection locked="0"/>
    </xf>
    <xf numFmtId="168" fontId="123" fillId="65" borderId="145" xfId="96" applyNumberFormat="1" applyFont="1" applyFill="1" applyBorder="1" applyAlignment="1" applyProtection="1">
      <alignment horizontal="center" vertical="center"/>
      <protection locked="0"/>
    </xf>
    <xf numFmtId="168" fontId="121" fillId="65" borderId="146" xfId="96" applyNumberFormat="1" applyFont="1" applyFill="1" applyBorder="1" applyAlignment="1" applyProtection="1">
      <alignment horizontal="center"/>
      <protection locked="0"/>
    </xf>
    <xf numFmtId="168" fontId="123" fillId="65" borderId="47" xfId="96" applyNumberFormat="1" applyFont="1" applyFill="1" applyBorder="1" applyAlignment="1" applyProtection="1">
      <alignment horizontal="center" vertical="center"/>
      <protection locked="0"/>
    </xf>
    <xf numFmtId="0" fontId="115" fillId="0" borderId="0" xfId="94" quotePrefix="1" applyFont="1" applyFill="1" applyBorder="1" applyAlignment="1" applyProtection="1">
      <alignment vertical="center"/>
    </xf>
    <xf numFmtId="0" fontId="110" fillId="0" borderId="0" xfId="94" applyFont="1" applyFill="1" applyBorder="1" applyAlignment="1" applyProtection="1">
      <alignment vertical="center"/>
    </xf>
    <xf numFmtId="37" fontId="118" fillId="0" borderId="0" xfId="94" applyNumberFormat="1" applyFont="1" applyFill="1" applyBorder="1" applyAlignment="1" applyProtection="1">
      <alignment horizontal="center" vertical="center"/>
    </xf>
    <xf numFmtId="37" fontId="121" fillId="0" borderId="0" xfId="94" applyNumberFormat="1" applyFont="1" applyFill="1" applyBorder="1" applyAlignment="1" applyProtection="1">
      <alignment horizontal="center"/>
    </xf>
    <xf numFmtId="0" fontId="109" fillId="0" borderId="113" xfId="94" applyFont="1" applyBorder="1" applyProtection="1"/>
    <xf numFmtId="0" fontId="99" fillId="65" borderId="121" xfId="94" applyFill="1" applyBorder="1" applyAlignment="1" applyProtection="1">
      <alignment horizontal="center" vertical="center" wrapText="1"/>
      <protection locked="0"/>
    </xf>
    <xf numFmtId="0" fontId="126" fillId="0" borderId="0" xfId="94" applyFont="1" applyProtection="1"/>
    <xf numFmtId="9" fontId="99" fillId="65" borderId="21" xfId="94" applyNumberFormat="1" applyFill="1" applyBorder="1" applyAlignment="1" applyProtection="1">
      <alignment horizontal="center"/>
      <protection locked="0"/>
    </xf>
    <xf numFmtId="0" fontId="109" fillId="0" borderId="17" xfId="94" applyFont="1" applyFill="1" applyBorder="1" applyAlignment="1" applyProtection="1">
      <alignment horizontal="centerContinuous"/>
    </xf>
    <xf numFmtId="0" fontId="99" fillId="0" borderId="17" xfId="94" applyFill="1" applyBorder="1" applyAlignment="1" applyProtection="1">
      <alignment horizontal="centerContinuous"/>
    </xf>
    <xf numFmtId="0" fontId="99" fillId="0" borderId="118" xfId="94" applyFill="1" applyBorder="1" applyAlignment="1" applyProtection="1">
      <alignment horizontal="centerContinuous"/>
    </xf>
    <xf numFmtId="0" fontId="99" fillId="0" borderId="120" xfId="94" applyFill="1" applyBorder="1" applyAlignment="1" applyProtection="1">
      <alignment horizontal="centerContinuous"/>
    </xf>
    <xf numFmtId="0" fontId="114" fillId="64" borderId="152" xfId="94" applyFont="1" applyFill="1" applyBorder="1" applyAlignment="1" applyProtection="1">
      <alignment horizontal="center" vertical="center" wrapText="1"/>
    </xf>
    <xf numFmtId="0" fontId="114" fillId="64" borderId="153" xfId="94" applyFont="1" applyFill="1" applyBorder="1" applyAlignment="1" applyProtection="1">
      <alignment horizontal="center" vertical="center" wrapText="1"/>
    </xf>
    <xf numFmtId="0" fontId="114" fillId="64" borderId="154" xfId="94" applyFont="1" applyFill="1" applyBorder="1" applyAlignment="1" applyProtection="1">
      <alignment horizontal="center" vertical="center" wrapText="1"/>
    </xf>
    <xf numFmtId="0" fontId="114" fillId="64" borderId="155" xfId="94" applyFont="1" applyFill="1" applyBorder="1" applyAlignment="1" applyProtection="1">
      <alignment horizontal="center" vertical="center" wrapText="1"/>
    </xf>
    <xf numFmtId="9" fontId="126" fillId="0" borderId="114" xfId="95" applyFont="1" applyFill="1" applyBorder="1" applyAlignment="1" applyProtection="1">
      <alignment horizontal="centerContinuous"/>
    </xf>
    <xf numFmtId="0" fontId="99" fillId="0" borderId="115" xfId="94" applyFill="1" applyBorder="1" applyProtection="1"/>
    <xf numFmtId="0" fontId="114" fillId="64" borderId="156" xfId="94" applyFont="1" applyFill="1" applyBorder="1" applyAlignment="1" applyProtection="1">
      <alignment horizontal="center" vertical="center" wrapText="1"/>
    </xf>
    <xf numFmtId="49" fontId="109" fillId="0" borderId="118" xfId="94" applyNumberFormat="1" applyFont="1" applyBorder="1" applyAlignment="1" applyProtection="1">
      <alignment horizontal="center"/>
    </xf>
    <xf numFmtId="49" fontId="109" fillId="0" borderId="120" xfId="94" applyNumberFormat="1" applyFont="1" applyBorder="1" applyAlignment="1" applyProtection="1">
      <alignment horizontal="center"/>
    </xf>
    <xf numFmtId="0" fontId="99" fillId="56" borderId="17" xfId="94" applyFill="1" applyBorder="1" applyProtection="1"/>
    <xf numFmtId="0" fontId="127" fillId="58" borderId="17" xfId="94" applyFont="1" applyFill="1" applyBorder="1" applyAlignment="1" applyProtection="1">
      <alignment horizontal="center" vertical="center" wrapText="1"/>
      <protection locked="0"/>
    </xf>
    <xf numFmtId="49" fontId="115" fillId="0" borderId="118" xfId="94" applyNumberFormat="1" applyFont="1" applyBorder="1" applyAlignment="1" applyProtection="1">
      <alignment horizontal="center"/>
    </xf>
    <xf numFmtId="49" fontId="115" fillId="0" borderId="120" xfId="94" applyNumberFormat="1" applyFont="1" applyBorder="1" applyAlignment="1" applyProtection="1">
      <alignment horizontal="center"/>
    </xf>
    <xf numFmtId="168" fontId="0" fillId="0" borderId="129" xfId="96" applyNumberFormat="1" applyFont="1" applyFill="1" applyBorder="1" applyAlignment="1" applyProtection="1">
      <alignment horizontal="center"/>
    </xf>
    <xf numFmtId="168" fontId="0" fillId="0" borderId="131" xfId="96" applyNumberFormat="1" applyFont="1" applyFill="1" applyBorder="1" applyAlignment="1" applyProtection="1">
      <alignment horizontal="center"/>
    </xf>
    <xf numFmtId="0" fontId="109" fillId="0" borderId="113" xfId="94" applyFont="1" applyFill="1" applyBorder="1" applyProtection="1"/>
    <xf numFmtId="9" fontId="99" fillId="0" borderId="121" xfId="95" applyFont="1" applyFill="1" applyBorder="1" applyAlignment="1" applyProtection="1">
      <alignment horizontal="center"/>
    </xf>
    <xf numFmtId="9" fontId="0" fillId="0" borderId="34" xfId="95" applyFont="1" applyFill="1" applyBorder="1" applyProtection="1"/>
    <xf numFmtId="0" fontId="99" fillId="0" borderId="122" xfId="94" applyFill="1" applyBorder="1" applyAlignment="1" applyProtection="1">
      <alignment horizontal="center" vertical="center" wrapText="1"/>
    </xf>
    <xf numFmtId="0" fontId="99" fillId="56" borderId="113" xfId="94" applyFill="1" applyBorder="1" applyProtection="1"/>
    <xf numFmtId="0" fontId="99" fillId="56" borderId="115" xfId="94" applyFill="1" applyBorder="1" applyProtection="1"/>
    <xf numFmtId="9" fontId="99" fillId="58" borderId="121" xfId="95" applyFont="1" applyFill="1" applyBorder="1" applyAlignment="1" applyProtection="1">
      <alignment horizontal="center"/>
      <protection locked="0"/>
    </xf>
    <xf numFmtId="9" fontId="0" fillId="65" borderId="34" xfId="95" applyFont="1" applyFill="1" applyBorder="1" applyProtection="1">
      <protection locked="0"/>
    </xf>
    <xf numFmtId="0" fontId="99" fillId="65" borderId="122" xfId="94" applyFill="1" applyBorder="1" applyAlignment="1" applyProtection="1">
      <alignment horizontal="center" vertical="center" wrapText="1"/>
      <protection locked="0"/>
    </xf>
    <xf numFmtId="0" fontId="99" fillId="0" borderId="132" xfId="94" applyFont="1" applyFill="1" applyBorder="1" applyProtection="1"/>
    <xf numFmtId="9" fontId="0" fillId="0" borderId="133" xfId="95" applyFont="1" applyFill="1" applyBorder="1" applyProtection="1"/>
    <xf numFmtId="0" fontId="99" fillId="0" borderId="135" xfId="94" applyFill="1" applyBorder="1" applyAlignment="1" applyProtection="1">
      <alignment horizontal="center" vertical="center" wrapText="1"/>
    </xf>
    <xf numFmtId="0" fontId="109" fillId="0" borderId="32" xfId="94" applyFont="1" applyFill="1" applyBorder="1" applyProtection="1"/>
    <xf numFmtId="0" fontId="99" fillId="0" borderId="37" xfId="94" applyFill="1" applyBorder="1" applyProtection="1"/>
    <xf numFmtId="179" fontId="99" fillId="0" borderId="21" xfId="96" applyNumberFormat="1" applyFont="1" applyFill="1" applyBorder="1" applyAlignment="1" applyProtection="1">
      <alignment horizontal="center"/>
    </xf>
    <xf numFmtId="0" fontId="99" fillId="0" borderId="122" xfId="94" applyBorder="1" applyProtection="1"/>
    <xf numFmtId="9" fontId="0" fillId="0" borderId="32" xfId="95" applyFont="1" applyFill="1" applyBorder="1" applyProtection="1"/>
    <xf numFmtId="0" fontId="99" fillId="0" borderId="37" xfId="94" applyFill="1" applyBorder="1" applyAlignment="1" applyProtection="1">
      <alignment horizontal="center" vertical="center" wrapText="1"/>
    </xf>
    <xf numFmtId="0" fontId="99" fillId="65" borderId="132" xfId="94" applyFont="1" applyFill="1" applyBorder="1" applyProtection="1">
      <protection locked="0"/>
    </xf>
    <xf numFmtId="0" fontId="99" fillId="65" borderId="133" xfId="94" applyFill="1" applyBorder="1" applyProtection="1">
      <protection locked="0"/>
    </xf>
    <xf numFmtId="9" fontId="0" fillId="65" borderId="133" xfId="95" applyFont="1" applyFill="1" applyBorder="1" applyProtection="1">
      <protection locked="0"/>
    </xf>
    <xf numFmtId="0" fontId="99" fillId="65" borderId="135" xfId="94" applyFill="1" applyBorder="1" applyAlignment="1" applyProtection="1">
      <alignment horizontal="center" vertical="center" wrapText="1"/>
      <protection locked="0"/>
    </xf>
    <xf numFmtId="0" fontId="99" fillId="56" borderId="32" xfId="94" applyFill="1" applyBorder="1" applyProtection="1"/>
    <xf numFmtId="0" fontId="99" fillId="56" borderId="37" xfId="94" applyFill="1" applyBorder="1" applyProtection="1"/>
    <xf numFmtId="179" fontId="99" fillId="58" borderId="21" xfId="96" applyNumberFormat="1" applyFont="1" applyFill="1" applyBorder="1" applyAlignment="1" applyProtection="1">
      <alignment horizontal="center"/>
      <protection locked="0"/>
    </xf>
    <xf numFmtId="9" fontId="0" fillId="65" borderId="32" xfId="95" applyFont="1" applyFill="1" applyBorder="1" applyProtection="1">
      <protection locked="0"/>
    </xf>
    <xf numFmtId="0" fontId="99" fillId="65" borderId="37" xfId="94" applyFill="1" applyBorder="1" applyAlignment="1" applyProtection="1">
      <alignment horizontal="center" vertical="center" wrapText="1"/>
      <protection locked="0"/>
    </xf>
    <xf numFmtId="49" fontId="109" fillId="0" borderId="118" xfId="94" applyNumberFormat="1" applyFont="1" applyFill="1" applyBorder="1" applyAlignment="1" applyProtection="1">
      <alignment horizontal="center"/>
    </xf>
    <xf numFmtId="49" fontId="109" fillId="0" borderId="120" xfId="94" applyNumberFormat="1" applyFont="1" applyFill="1" applyBorder="1" applyAlignment="1" applyProtection="1">
      <alignment horizontal="center"/>
    </xf>
    <xf numFmtId="9" fontId="0" fillId="65" borderId="113" xfId="95" applyFont="1" applyFill="1" applyBorder="1" applyProtection="1">
      <protection locked="0"/>
    </xf>
    <xf numFmtId="0" fontId="109" fillId="0" borderId="157" xfId="94" applyFont="1" applyFill="1" applyBorder="1" applyProtection="1"/>
    <xf numFmtId="0" fontId="99" fillId="0" borderId="158" xfId="94" applyFill="1" applyBorder="1" applyProtection="1"/>
    <xf numFmtId="9" fontId="0" fillId="0" borderId="115" xfId="95" applyFont="1" applyFill="1" applyBorder="1" applyAlignment="1" applyProtection="1">
      <alignment horizontal="center"/>
    </xf>
    <xf numFmtId="9" fontId="0" fillId="0" borderId="121" xfId="95" applyFont="1" applyFill="1" applyBorder="1" applyAlignment="1" applyProtection="1">
      <alignment horizontal="center"/>
    </xf>
    <xf numFmtId="9" fontId="0" fillId="58" borderId="115" xfId="95" applyFont="1" applyFill="1" applyBorder="1" applyAlignment="1" applyProtection="1">
      <alignment horizontal="center"/>
      <protection locked="0"/>
    </xf>
    <xf numFmtId="9" fontId="0" fillId="58" borderId="121" xfId="95" applyFont="1" applyFill="1" applyBorder="1" applyAlignment="1" applyProtection="1">
      <alignment horizontal="center"/>
      <protection locked="0"/>
    </xf>
    <xf numFmtId="179" fontId="0" fillId="0" borderId="21" xfId="96" applyNumberFormat="1" applyFont="1" applyFill="1" applyBorder="1" applyAlignment="1" applyProtection="1">
      <alignment horizontal="center"/>
    </xf>
    <xf numFmtId="0" fontId="99" fillId="0" borderId="37" xfId="94" applyBorder="1" applyProtection="1"/>
    <xf numFmtId="179" fontId="0" fillId="58" borderId="37" xfId="96" applyNumberFormat="1" applyFont="1" applyFill="1" applyBorder="1" applyAlignment="1" applyProtection="1">
      <alignment horizontal="center"/>
      <protection locked="0"/>
    </xf>
    <xf numFmtId="179" fontId="0" fillId="58" borderId="21" xfId="96" applyNumberFormat="1" applyFont="1" applyFill="1" applyBorder="1" applyAlignment="1" applyProtection="1">
      <alignment horizontal="center"/>
      <protection locked="0"/>
    </xf>
    <xf numFmtId="0" fontId="103" fillId="56" borderId="0" xfId="94" applyFont="1" applyFill="1" applyProtection="1"/>
    <xf numFmtId="0" fontId="99" fillId="0" borderId="32" xfId="94" applyFont="1" applyFill="1" applyBorder="1" applyProtection="1"/>
    <xf numFmtId="9" fontId="0" fillId="0" borderId="116" xfId="95" applyFont="1" applyFill="1" applyBorder="1" applyProtection="1"/>
    <xf numFmtId="0" fontId="99" fillId="65" borderId="32" xfId="94" applyFont="1" applyFill="1" applyBorder="1" applyProtection="1">
      <protection locked="0"/>
    </xf>
    <xf numFmtId="0" fontId="99" fillId="65" borderId="116" xfId="94" applyFill="1" applyBorder="1" applyProtection="1">
      <protection locked="0"/>
    </xf>
    <xf numFmtId="9" fontId="0" fillId="65" borderId="116" xfId="95" applyFont="1" applyFill="1" applyBorder="1" applyProtection="1">
      <protection locked="0"/>
    </xf>
    <xf numFmtId="0" fontId="99" fillId="0" borderId="50" xfId="94" applyFill="1" applyBorder="1" applyProtection="1"/>
    <xf numFmtId="0" fontId="99" fillId="0" borderId="51" xfId="94" applyFill="1" applyBorder="1" applyProtection="1"/>
    <xf numFmtId="0" fontId="99" fillId="0" borderId="51" xfId="94" applyFill="1" applyBorder="1" applyAlignment="1" applyProtection="1">
      <alignment horizontal="center"/>
    </xf>
    <xf numFmtId="0" fontId="99" fillId="0" borderId="159" xfId="94" applyFill="1" applyBorder="1" applyProtection="1"/>
    <xf numFmtId="0" fontId="99" fillId="0" borderId="51" xfId="94" applyBorder="1" applyProtection="1"/>
    <xf numFmtId="0" fontId="99" fillId="0" borderId="45" xfId="94" applyBorder="1" applyProtection="1"/>
    <xf numFmtId="0" fontId="99" fillId="0" borderId="52" xfId="94" applyFill="1" applyBorder="1" applyProtection="1"/>
    <xf numFmtId="0" fontId="101" fillId="0" borderId="0" xfId="94" applyFont="1" applyFill="1" applyBorder="1" applyProtection="1"/>
    <xf numFmtId="0" fontId="99" fillId="0" borderId="0" xfId="94" applyFill="1" applyBorder="1" applyAlignment="1" applyProtection="1">
      <alignment horizontal="center"/>
    </xf>
    <xf numFmtId="0" fontId="99" fillId="0" borderId="122" xfId="94" applyFill="1" applyBorder="1" applyProtection="1"/>
    <xf numFmtId="0" fontId="99" fillId="0" borderId="53" xfId="94" applyBorder="1" applyProtection="1"/>
    <xf numFmtId="0" fontId="101" fillId="0" borderId="113" xfId="94" applyFont="1" applyFill="1" applyBorder="1" applyProtection="1"/>
    <xf numFmtId="0" fontId="128" fillId="0" borderId="114" xfId="94" applyFont="1" applyFill="1" applyBorder="1" applyAlignment="1" applyProtection="1">
      <alignment vertical="center"/>
    </xf>
    <xf numFmtId="37" fontId="118" fillId="0" borderId="114" xfId="94" applyNumberFormat="1" applyFont="1" applyFill="1" applyBorder="1" applyAlignment="1" applyProtection="1">
      <alignment horizontal="center" vertical="center"/>
    </xf>
    <xf numFmtId="1" fontId="109" fillId="0" borderId="160" xfId="94" applyNumberFormat="1" applyFont="1" applyFill="1" applyBorder="1" applyAlignment="1" applyProtection="1">
      <alignment horizontal="center"/>
    </xf>
    <xf numFmtId="1" fontId="109" fillId="0" borderId="161" xfId="94" applyNumberFormat="1" applyFont="1" applyFill="1" applyBorder="1" applyAlignment="1" applyProtection="1">
      <alignment horizontal="center"/>
    </xf>
    <xf numFmtId="1" fontId="109" fillId="0" borderId="162" xfId="94" applyNumberFormat="1" applyFont="1" applyFill="1" applyBorder="1" applyAlignment="1" applyProtection="1">
      <alignment horizontal="center"/>
    </xf>
    <xf numFmtId="9" fontId="110" fillId="0" borderId="130" xfId="95" applyFont="1" applyFill="1" applyBorder="1" applyAlignment="1" applyProtection="1">
      <alignment horizontal="center" vertical="center"/>
    </xf>
    <xf numFmtId="9" fontId="110" fillId="0" borderId="0" xfId="95" applyFont="1" applyFill="1" applyBorder="1" applyAlignment="1" applyProtection="1">
      <alignment horizontal="center" vertical="center"/>
    </xf>
    <xf numFmtId="9" fontId="110" fillId="0" borderId="122" xfId="95" applyFont="1" applyFill="1" applyBorder="1" applyAlignment="1" applyProtection="1">
      <alignment horizontal="center" vertical="center"/>
    </xf>
    <xf numFmtId="0" fontId="122" fillId="0" borderId="0" xfId="94" applyFont="1" applyFill="1" applyBorder="1" applyProtection="1"/>
    <xf numFmtId="0" fontId="122" fillId="0" borderId="122" xfId="94" applyFont="1" applyFill="1" applyBorder="1" applyProtection="1"/>
    <xf numFmtId="0" fontId="129" fillId="0" borderId="0" xfId="94" applyFont="1" applyFill="1" applyBorder="1" applyProtection="1"/>
    <xf numFmtId="0" fontId="103" fillId="0" borderId="0" xfId="94" applyFont="1" applyFill="1" applyBorder="1" applyAlignment="1" applyProtection="1">
      <alignment vertical="center"/>
    </xf>
    <xf numFmtId="37" fontId="123" fillId="0" borderId="111" xfId="94" applyNumberFormat="1" applyFont="1" applyFill="1" applyBorder="1" applyAlignment="1" applyProtection="1">
      <alignment horizontal="center" vertical="center"/>
    </xf>
    <xf numFmtId="37" fontId="123" fillId="0" borderId="0" xfId="94" applyNumberFormat="1" applyFont="1" applyFill="1" applyBorder="1" applyAlignment="1" applyProtection="1">
      <alignment horizontal="center" vertical="center"/>
    </xf>
    <xf numFmtId="37" fontId="123" fillId="0" borderId="122" xfId="94" applyNumberFormat="1" applyFont="1" applyFill="1" applyBorder="1" applyAlignment="1" applyProtection="1">
      <alignment horizontal="center" vertical="center"/>
    </xf>
    <xf numFmtId="37" fontId="123" fillId="65" borderId="111" xfId="94" applyNumberFormat="1" applyFont="1" applyFill="1" applyBorder="1" applyAlignment="1" applyProtection="1">
      <alignment horizontal="center" vertical="center"/>
      <protection locked="0"/>
    </xf>
    <xf numFmtId="37" fontId="123" fillId="65" borderId="0" xfId="94" applyNumberFormat="1" applyFont="1" applyFill="1" applyBorder="1" applyAlignment="1" applyProtection="1">
      <alignment horizontal="center" vertical="center"/>
      <protection locked="0"/>
    </xf>
    <xf numFmtId="37" fontId="123" fillId="65" borderId="122" xfId="94" applyNumberFormat="1" applyFont="1" applyFill="1" applyBorder="1" applyAlignment="1" applyProtection="1">
      <alignment horizontal="center" vertical="center"/>
      <protection locked="0"/>
    </xf>
    <xf numFmtId="0" fontId="103" fillId="0" borderId="116" xfId="94" applyFont="1" applyFill="1" applyBorder="1" applyAlignment="1" applyProtection="1">
      <alignment vertical="center"/>
    </xf>
    <xf numFmtId="0" fontId="110" fillId="0" borderId="116" xfId="94" applyFont="1" applyFill="1" applyBorder="1" applyAlignment="1" applyProtection="1">
      <alignment horizontal="right" vertical="center"/>
    </xf>
    <xf numFmtId="37" fontId="123" fillId="0" borderId="116" xfId="94" applyNumberFormat="1" applyFont="1" applyFill="1" applyBorder="1" applyAlignment="1" applyProtection="1">
      <alignment horizontal="center" vertical="center"/>
    </xf>
    <xf numFmtId="37" fontId="123" fillId="0" borderId="136" xfId="94" applyNumberFormat="1" applyFont="1" applyFill="1" applyBorder="1" applyAlignment="1" applyProtection="1">
      <alignment horizontal="center" vertical="center"/>
    </xf>
    <xf numFmtId="37" fontId="123" fillId="0" borderId="37" xfId="94" applyNumberFormat="1" applyFont="1" applyFill="1" applyBorder="1" applyAlignment="1" applyProtection="1">
      <alignment horizontal="center" vertical="center"/>
    </xf>
    <xf numFmtId="37" fontId="123" fillId="65" borderId="136" xfId="94" applyNumberFormat="1" applyFont="1" applyFill="1" applyBorder="1" applyAlignment="1" applyProtection="1">
      <alignment horizontal="center" vertical="center"/>
      <protection locked="0"/>
    </xf>
    <xf numFmtId="37" fontId="123" fillId="65" borderId="116" xfId="94" applyNumberFormat="1" applyFont="1" applyFill="1" applyBorder="1" applyAlignment="1" applyProtection="1">
      <alignment horizontal="center" vertical="center"/>
      <protection locked="0"/>
    </xf>
    <xf numFmtId="37" fontId="123" fillId="65" borderId="37" xfId="94" applyNumberFormat="1" applyFont="1" applyFill="1" applyBorder="1" applyAlignment="1" applyProtection="1">
      <alignment horizontal="center" vertical="center"/>
      <protection locked="0"/>
    </xf>
    <xf numFmtId="0" fontId="99" fillId="0" borderId="54" xfId="94" applyFill="1" applyBorder="1" applyProtection="1"/>
    <xf numFmtId="0" fontId="99" fillId="0" borderId="29" xfId="94" applyFill="1" applyBorder="1" applyProtection="1"/>
    <xf numFmtId="0" fontId="103" fillId="0" borderId="29" xfId="94" applyFont="1" applyFill="1" applyBorder="1" applyAlignment="1" applyProtection="1">
      <alignment vertical="center"/>
    </xf>
    <xf numFmtId="0" fontId="110" fillId="0" borderId="29" xfId="94" applyFont="1" applyFill="1" applyBorder="1" applyAlignment="1" applyProtection="1">
      <alignment horizontal="right" vertical="center"/>
    </xf>
    <xf numFmtId="0" fontId="123" fillId="0" borderId="29" xfId="94" applyFont="1" applyFill="1" applyBorder="1" applyAlignment="1" applyProtection="1">
      <alignment vertical="center"/>
    </xf>
    <xf numFmtId="37" fontId="123" fillId="0" borderId="29" xfId="94" applyNumberFormat="1" applyFont="1" applyFill="1" applyBorder="1" applyAlignment="1" applyProtection="1">
      <alignment horizontal="center" vertical="center"/>
    </xf>
    <xf numFmtId="180" fontId="123" fillId="0" borderId="29" xfId="94" applyNumberFormat="1" applyFont="1" applyFill="1" applyBorder="1" applyAlignment="1" applyProtection="1">
      <alignment horizontal="center" vertical="center"/>
    </xf>
    <xf numFmtId="9" fontId="0" fillId="0" borderId="29" xfId="95" applyFont="1" applyFill="1" applyBorder="1" applyAlignment="1" applyProtection="1">
      <alignment horizontal="center"/>
    </xf>
    <xf numFmtId="0" fontId="99" fillId="0" borderId="163" xfId="94" applyFill="1" applyBorder="1" applyProtection="1"/>
    <xf numFmtId="0" fontId="99" fillId="0" borderId="29" xfId="94" applyBorder="1" applyProtection="1"/>
    <xf numFmtId="0" fontId="99" fillId="0" borderId="55" xfId="94" applyBorder="1" applyProtection="1"/>
    <xf numFmtId="0" fontId="99" fillId="0" borderId="50" xfId="94" applyBorder="1" applyProtection="1"/>
    <xf numFmtId="0" fontId="101" fillId="0" borderId="51" xfId="94" applyFont="1" applyFill="1" applyBorder="1" applyProtection="1"/>
    <xf numFmtId="0" fontId="103" fillId="0" borderId="51" xfId="94" applyFont="1" applyBorder="1" applyAlignment="1" applyProtection="1">
      <alignment vertical="center"/>
    </xf>
    <xf numFmtId="0" fontId="110" fillId="0" borderId="51" xfId="94" applyFont="1" applyFill="1" applyBorder="1" applyAlignment="1" applyProtection="1">
      <alignment horizontal="right" vertical="center"/>
    </xf>
    <xf numFmtId="0" fontId="123" fillId="0" borderId="51" xfId="94" applyFont="1" applyBorder="1" applyAlignment="1" applyProtection="1">
      <alignment vertical="center"/>
    </xf>
    <xf numFmtId="37" fontId="123" fillId="0" borderId="51" xfId="94" applyNumberFormat="1" applyFont="1" applyBorder="1" applyAlignment="1" applyProtection="1">
      <alignment horizontal="center" vertical="center"/>
    </xf>
    <xf numFmtId="180" fontId="123" fillId="0" borderId="51" xfId="94" applyNumberFormat="1" applyFont="1" applyBorder="1" applyAlignment="1" applyProtection="1">
      <alignment horizontal="center" vertical="center"/>
    </xf>
    <xf numFmtId="180" fontId="123" fillId="0" borderId="51" xfId="94" applyNumberFormat="1" applyFont="1" applyFill="1" applyBorder="1" applyAlignment="1" applyProtection="1">
      <alignment horizontal="center" vertical="center"/>
    </xf>
    <xf numFmtId="0" fontId="99" fillId="0" borderId="164" xfId="94" applyBorder="1" applyProtection="1"/>
    <xf numFmtId="0" fontId="99" fillId="0" borderId="0" xfId="94"/>
    <xf numFmtId="0" fontId="99" fillId="0" borderId="52" xfId="94" applyBorder="1" applyProtection="1"/>
    <xf numFmtId="0" fontId="123" fillId="0" borderId="0" xfId="94" applyFont="1" applyBorder="1" applyAlignment="1" applyProtection="1">
      <alignment vertical="center"/>
    </xf>
    <xf numFmtId="37" fontId="123" fillId="0" borderId="0" xfId="94" applyNumberFormat="1" applyFont="1" applyBorder="1" applyAlignment="1" applyProtection="1">
      <alignment horizontal="center" vertical="center"/>
    </xf>
    <xf numFmtId="180" fontId="123" fillId="0" borderId="0" xfId="94" applyNumberFormat="1" applyFont="1" applyBorder="1" applyAlignment="1" applyProtection="1">
      <alignment horizontal="center" vertical="center"/>
    </xf>
    <xf numFmtId="9" fontId="123" fillId="0" borderId="0" xfId="95" applyFont="1" applyFill="1" applyBorder="1" applyAlignment="1" applyProtection="1">
      <alignment horizontal="center" vertical="center"/>
    </xf>
    <xf numFmtId="180" fontId="123" fillId="0" borderId="0" xfId="94" applyNumberFormat="1" applyFont="1" applyFill="1" applyBorder="1" applyAlignment="1" applyProtection="1">
      <alignment horizontal="center" vertical="center"/>
    </xf>
    <xf numFmtId="180" fontId="123" fillId="0" borderId="114" xfId="94" applyNumberFormat="1" applyFont="1" applyBorder="1" applyAlignment="1" applyProtection="1">
      <alignment horizontal="center" vertical="center"/>
    </xf>
    <xf numFmtId="37" fontId="110" fillId="0" borderId="114" xfId="94" applyNumberFormat="1" applyFont="1" applyBorder="1" applyAlignment="1" applyProtection="1">
      <alignment horizontal="center" vertical="center"/>
    </xf>
    <xf numFmtId="37" fontId="123" fillId="0" borderId="114" xfId="94" applyNumberFormat="1" applyFont="1" applyBorder="1" applyAlignment="1" applyProtection="1">
      <alignment horizontal="center" vertical="center"/>
    </xf>
    <xf numFmtId="0" fontId="103" fillId="0" borderId="0" xfId="94" applyFont="1" applyBorder="1" applyAlignment="1" applyProtection="1">
      <alignment vertical="center"/>
    </xf>
    <xf numFmtId="37" fontId="110" fillId="0" borderId="0" xfId="94" applyNumberFormat="1" applyFont="1" applyBorder="1" applyAlignment="1" applyProtection="1">
      <alignment horizontal="center" vertical="center"/>
    </xf>
    <xf numFmtId="1" fontId="109" fillId="0" borderId="165" xfId="94" applyNumberFormat="1" applyFont="1" applyBorder="1" applyAlignment="1" applyProtection="1">
      <alignment horizontal="center"/>
    </xf>
    <xf numFmtId="1" fontId="109" fillId="0" borderId="126" xfId="94" applyNumberFormat="1" applyFont="1" applyBorder="1" applyAlignment="1" applyProtection="1">
      <alignment horizontal="center"/>
    </xf>
    <xf numFmtId="1" fontId="109" fillId="0" borderId="166" xfId="94" applyNumberFormat="1" applyFont="1" applyBorder="1" applyAlignment="1" applyProtection="1">
      <alignment horizontal="center"/>
    </xf>
    <xf numFmtId="1" fontId="109" fillId="0" borderId="167" xfId="94" applyNumberFormat="1" applyFont="1" applyFill="1" applyBorder="1" applyAlignment="1" applyProtection="1">
      <alignment horizontal="center"/>
    </xf>
    <xf numFmtId="1" fontId="109" fillId="0" borderId="125" xfId="94" applyNumberFormat="1" applyFont="1" applyBorder="1" applyAlignment="1" applyProtection="1">
      <alignment horizontal="center"/>
    </xf>
    <xf numFmtId="0" fontId="109" fillId="0" borderId="34" xfId="94" applyFont="1" applyFill="1" applyBorder="1" applyProtection="1"/>
    <xf numFmtId="37" fontId="110" fillId="0" borderId="0" xfId="94" applyNumberFormat="1" applyFont="1" applyFill="1" applyBorder="1" applyAlignment="1" applyProtection="1">
      <alignment horizontal="center" vertical="center"/>
    </xf>
    <xf numFmtId="179" fontId="123" fillId="0" borderId="111" xfId="96" applyNumberFormat="1" applyFont="1" applyFill="1" applyBorder="1" applyAlignment="1" applyProtection="1">
      <alignment horizontal="center" vertical="center"/>
    </xf>
    <xf numFmtId="179" fontId="123" fillId="0" borderId="0" xfId="96" applyNumberFormat="1" applyFont="1" applyFill="1" applyBorder="1" applyAlignment="1" applyProtection="1">
      <alignment horizontal="center" vertical="center"/>
    </xf>
    <xf numFmtId="179" fontId="123" fillId="0" borderId="168" xfId="96" applyNumberFormat="1" applyFont="1" applyFill="1" applyBorder="1" applyAlignment="1" applyProtection="1">
      <alignment horizontal="center" vertical="center"/>
    </xf>
    <xf numFmtId="179" fontId="123" fillId="0" borderId="34" xfId="96" applyNumberFormat="1" applyFont="1" applyFill="1" applyBorder="1" applyAlignment="1" applyProtection="1">
      <alignment horizontal="center" vertical="center"/>
    </xf>
    <xf numFmtId="179" fontId="123" fillId="0" borderId="169" xfId="96" applyNumberFormat="1" applyFont="1" applyFill="1" applyBorder="1" applyAlignment="1" applyProtection="1">
      <alignment horizontal="center" vertical="center"/>
    </xf>
    <xf numFmtId="0" fontId="99" fillId="0" borderId="53" xfId="94" applyFill="1" applyBorder="1" applyProtection="1"/>
    <xf numFmtId="0" fontId="99" fillId="0" borderId="0" xfId="94" quotePrefix="1" applyFill="1" applyProtection="1"/>
    <xf numFmtId="0" fontId="99" fillId="0" borderId="0" xfId="94" applyFill="1"/>
    <xf numFmtId="9" fontId="123" fillId="0" borderId="112" xfId="95" applyFont="1" applyFill="1" applyBorder="1" applyAlignment="1" applyProtection="1">
      <alignment horizontal="center" vertical="center"/>
    </xf>
    <xf numFmtId="179" fontId="99" fillId="0" borderId="53" xfId="94" applyNumberFormat="1" applyFill="1" applyBorder="1" applyProtection="1"/>
    <xf numFmtId="0" fontId="99" fillId="0" borderId="0" xfId="94" quotePrefix="1" applyFill="1" applyBorder="1" applyProtection="1"/>
    <xf numFmtId="179" fontId="0" fillId="0" borderId="0" xfId="96" applyNumberFormat="1" applyFont="1" applyFill="1" applyBorder="1" applyAlignment="1" applyProtection="1">
      <alignment horizontal="center"/>
    </xf>
    <xf numFmtId="167" fontId="0" fillId="0" borderId="116" xfId="96" applyNumberFormat="1" applyFont="1" applyFill="1" applyBorder="1" applyProtection="1"/>
    <xf numFmtId="179" fontId="0" fillId="0" borderId="136" xfId="96" applyNumberFormat="1" applyFont="1" applyFill="1" applyBorder="1" applyAlignment="1" applyProtection="1">
      <alignment horizontal="center" vertical="center"/>
    </xf>
    <xf numFmtId="179" fontId="0" fillId="0" borderId="116" xfId="96" applyNumberFormat="1" applyFont="1" applyFill="1" applyBorder="1" applyAlignment="1" applyProtection="1">
      <alignment horizontal="center" vertical="center"/>
    </xf>
    <xf numFmtId="179" fontId="123" fillId="0" borderId="170" xfId="96" applyNumberFormat="1" applyFont="1" applyFill="1" applyBorder="1" applyAlignment="1" applyProtection="1">
      <alignment horizontal="center" vertical="center"/>
    </xf>
    <xf numFmtId="179" fontId="0" fillId="0" borderId="32" xfId="96" applyNumberFormat="1" applyFont="1" applyFill="1" applyBorder="1" applyAlignment="1" applyProtection="1">
      <alignment horizontal="center" vertical="center"/>
    </xf>
    <xf numFmtId="179" fontId="99" fillId="0" borderId="0" xfId="94" applyNumberFormat="1" applyFill="1"/>
    <xf numFmtId="0" fontId="109" fillId="0" borderId="119" xfId="94" applyFont="1" applyFill="1" applyBorder="1" applyProtection="1"/>
    <xf numFmtId="0" fontId="99" fillId="0" borderId="0" xfId="94" applyBorder="1" applyAlignment="1" applyProtection="1">
      <alignment horizontal="center"/>
    </xf>
    <xf numFmtId="0" fontId="99" fillId="0" borderId="114" xfId="94" applyBorder="1" applyAlignment="1" applyProtection="1">
      <alignment horizontal="center"/>
    </xf>
    <xf numFmtId="0" fontId="99" fillId="0" borderId="115" xfId="94" applyBorder="1" applyAlignment="1" applyProtection="1">
      <alignment horizontal="center"/>
    </xf>
    <xf numFmtId="0" fontId="99" fillId="0" borderId="128" xfId="94" applyBorder="1" applyProtection="1"/>
    <xf numFmtId="0" fontId="99" fillId="0" borderId="131" xfId="94" applyBorder="1" applyProtection="1"/>
    <xf numFmtId="0" fontId="101" fillId="0" borderId="113" xfId="94" applyFont="1" applyBorder="1" applyProtection="1"/>
    <xf numFmtId="179" fontId="0" fillId="0" borderId="130" xfId="96" applyNumberFormat="1" applyFont="1" applyFill="1" applyBorder="1" applyAlignment="1" applyProtection="1">
      <alignment horizontal="center"/>
    </xf>
    <xf numFmtId="179" fontId="0" fillId="0" borderId="129" xfId="96" applyNumberFormat="1" applyFont="1" applyFill="1" applyBorder="1" applyAlignment="1" applyProtection="1">
      <alignment horizontal="center"/>
    </xf>
    <xf numFmtId="179" fontId="0" fillId="0" borderId="131" xfId="96" applyNumberFormat="1" applyFont="1" applyFill="1" applyBorder="1" applyAlignment="1" applyProtection="1">
      <alignment horizontal="center"/>
    </xf>
    <xf numFmtId="179" fontId="0" fillId="0" borderId="128" xfId="96" applyNumberFormat="1" applyFont="1" applyFill="1" applyBorder="1" applyAlignment="1" applyProtection="1">
      <alignment horizontal="center"/>
    </xf>
    <xf numFmtId="179" fontId="0" fillId="0" borderId="111" xfId="96" applyNumberFormat="1" applyFont="1" applyFill="1" applyBorder="1" applyAlignment="1" applyProtection="1">
      <alignment horizontal="center"/>
    </xf>
    <xf numFmtId="179" fontId="0" fillId="0" borderId="122" xfId="96" applyNumberFormat="1" applyFont="1" applyFill="1" applyBorder="1" applyAlignment="1" applyProtection="1">
      <alignment horizontal="center"/>
    </xf>
    <xf numFmtId="0" fontId="99" fillId="0" borderId="113" xfId="94" quotePrefix="1" applyBorder="1" applyProtection="1"/>
    <xf numFmtId="179" fontId="0" fillId="0" borderId="34" xfId="96" applyNumberFormat="1" applyFont="1" applyFill="1" applyBorder="1" applyAlignment="1" applyProtection="1">
      <alignment horizontal="center"/>
    </xf>
    <xf numFmtId="0" fontId="101" fillId="0" borderId="0" xfId="94" applyFont="1" applyFill="1" applyBorder="1" applyAlignment="1" applyProtection="1">
      <alignment horizontal="left"/>
      <protection locked="0"/>
    </xf>
    <xf numFmtId="0" fontId="99" fillId="0" borderId="0" xfId="94" applyFill="1" applyBorder="1" applyAlignment="1" applyProtection="1">
      <alignment horizontal="center"/>
      <protection locked="0"/>
    </xf>
    <xf numFmtId="0" fontId="101" fillId="0" borderId="34" xfId="94" applyFont="1" applyFill="1" applyBorder="1" applyAlignment="1" applyProtection="1">
      <alignment horizontal="left"/>
    </xf>
    <xf numFmtId="0" fontId="99" fillId="0" borderId="111" xfId="94" applyFill="1" applyBorder="1" applyProtection="1"/>
    <xf numFmtId="0" fontId="109" fillId="0" borderId="0" xfId="94" applyFont="1" applyFill="1" applyBorder="1" applyAlignment="1" applyProtection="1">
      <alignment horizontal="center"/>
    </xf>
    <xf numFmtId="0" fontId="109" fillId="0" borderId="122" xfId="94" applyFont="1" applyFill="1" applyBorder="1" applyAlignment="1" applyProtection="1">
      <alignment horizontal="center"/>
    </xf>
    <xf numFmtId="43" fontId="0" fillId="0" borderId="0" xfId="96" applyFont="1" applyFill="1"/>
    <xf numFmtId="167" fontId="0" fillId="0" borderId="0" xfId="96" applyNumberFormat="1" applyFont="1" applyFill="1"/>
    <xf numFmtId="0" fontId="99" fillId="0" borderId="0" xfId="94" quotePrefix="1" applyFill="1" applyProtection="1">
      <protection locked="0"/>
    </xf>
    <xf numFmtId="168" fontId="99" fillId="0" borderId="0" xfId="94" applyNumberFormat="1" applyProtection="1">
      <protection locked="0"/>
    </xf>
    <xf numFmtId="0" fontId="99" fillId="0" borderId="136" xfId="94" applyFill="1" applyBorder="1" applyProtection="1"/>
    <xf numFmtId="1" fontId="109" fillId="0" borderId="34" xfId="94" applyNumberFormat="1" applyFont="1" applyFill="1" applyBorder="1" applyAlignment="1" applyProtection="1">
      <alignment horizontal="center"/>
    </xf>
    <xf numFmtId="168" fontId="0" fillId="0" borderId="113" xfId="96" applyNumberFormat="1" applyFont="1" applyFill="1" applyBorder="1" applyAlignment="1" applyProtection="1">
      <alignment horizontal="center"/>
    </xf>
    <xf numFmtId="168" fontId="0" fillId="0" borderId="115" xfId="96" applyNumberFormat="1" applyFont="1" applyFill="1" applyBorder="1" applyAlignment="1" applyProtection="1">
      <alignment horizontal="center"/>
    </xf>
    <xf numFmtId="0" fontId="99" fillId="0" borderId="132" xfId="94" applyBorder="1" applyProtection="1"/>
    <xf numFmtId="0" fontId="99" fillId="0" borderId="135" xfId="94" applyBorder="1" applyProtection="1"/>
    <xf numFmtId="168" fontId="0" fillId="0" borderId="34" xfId="96" applyNumberFormat="1" applyFont="1" applyFill="1" applyBorder="1" applyAlignment="1" applyProtection="1">
      <alignment horizontal="center"/>
    </xf>
    <xf numFmtId="168" fontId="0" fillId="0" borderId="122" xfId="96" applyNumberFormat="1" applyFont="1" applyFill="1" applyBorder="1" applyAlignment="1" applyProtection="1">
      <alignment horizontal="center"/>
    </xf>
    <xf numFmtId="43" fontId="99" fillId="0" borderId="0" xfId="94" applyNumberFormat="1" applyFill="1"/>
    <xf numFmtId="0" fontId="109" fillId="0" borderId="34" xfId="94" applyFont="1" applyFill="1" applyBorder="1" applyAlignment="1" applyProtection="1">
      <alignment horizontal="center"/>
    </xf>
    <xf numFmtId="0" fontId="101" fillId="0" borderId="34" xfId="94" applyFont="1" applyFill="1" applyBorder="1" applyProtection="1"/>
    <xf numFmtId="0" fontId="99" fillId="0" borderId="128" xfId="94" applyFill="1" applyBorder="1" applyProtection="1"/>
    <xf numFmtId="168" fontId="0" fillId="0" borderId="130" xfId="96" applyNumberFormat="1" applyFont="1" applyFill="1" applyBorder="1" applyProtection="1"/>
    <xf numFmtId="168" fontId="0" fillId="0" borderId="129" xfId="96" applyNumberFormat="1" applyFont="1" applyFill="1" applyBorder="1" applyProtection="1"/>
    <xf numFmtId="168" fontId="0" fillId="0" borderId="131" xfId="96" applyNumberFormat="1" applyFont="1" applyFill="1" applyBorder="1" applyProtection="1"/>
    <xf numFmtId="168" fontId="0" fillId="0" borderId="111" xfId="96" applyNumberFormat="1" applyFont="1" applyFill="1" applyBorder="1" applyProtection="1"/>
    <xf numFmtId="168" fontId="0" fillId="0" borderId="0" xfId="96" applyNumberFormat="1" applyFont="1" applyFill="1" applyBorder="1" applyProtection="1"/>
    <xf numFmtId="168" fontId="0" fillId="0" borderId="122" xfId="96" applyNumberFormat="1" applyFont="1" applyFill="1" applyBorder="1" applyProtection="1"/>
    <xf numFmtId="0" fontId="99" fillId="0" borderId="132" xfId="94" applyFill="1" applyBorder="1" applyProtection="1"/>
    <xf numFmtId="168" fontId="0" fillId="0" borderId="134" xfId="96" applyNumberFormat="1" applyFont="1" applyFill="1" applyBorder="1" applyProtection="1"/>
    <xf numFmtId="168" fontId="0" fillId="0" borderId="133" xfId="96" applyNumberFormat="1" applyFont="1" applyFill="1" applyBorder="1" applyProtection="1"/>
    <xf numFmtId="168" fontId="0" fillId="0" borderId="135" xfId="96" applyNumberFormat="1" applyFont="1" applyFill="1" applyBorder="1" applyProtection="1"/>
    <xf numFmtId="168" fontId="99" fillId="0" borderId="0" xfId="94" applyNumberFormat="1" applyFill="1" applyBorder="1" applyProtection="1"/>
    <xf numFmtId="0" fontId="99" fillId="0" borderId="171" xfId="94" applyFill="1" applyBorder="1" applyProtection="1"/>
    <xf numFmtId="0" fontId="99" fillId="0" borderId="172" xfId="94" applyFill="1" applyBorder="1" applyProtection="1"/>
    <xf numFmtId="0" fontId="109" fillId="0" borderId="32" xfId="94" applyFont="1" applyFill="1" applyBorder="1" applyAlignment="1" applyProtection="1">
      <alignment horizontal="center"/>
    </xf>
    <xf numFmtId="168" fontId="0" fillId="0" borderId="32" xfId="96" applyNumberFormat="1" applyFont="1" applyFill="1" applyBorder="1" applyAlignment="1" applyProtection="1">
      <alignment horizontal="center"/>
    </xf>
    <xf numFmtId="168" fontId="0" fillId="0" borderId="37" xfId="96" applyNumberFormat="1" applyFont="1" applyFill="1" applyBorder="1" applyAlignment="1" applyProtection="1">
      <alignment horizontal="center"/>
    </xf>
    <xf numFmtId="14" fontId="99" fillId="0" borderId="173" xfId="94" applyNumberFormat="1" applyFill="1" applyBorder="1" applyProtection="1"/>
    <xf numFmtId="14" fontId="99" fillId="0" borderId="174" xfId="94" applyNumberFormat="1" applyFill="1" applyBorder="1" applyProtection="1"/>
    <xf numFmtId="0" fontId="99" fillId="0" borderId="174" xfId="94" applyFill="1" applyBorder="1" applyProtection="1"/>
    <xf numFmtId="43" fontId="0" fillId="0" borderId="174" xfId="96" applyFont="1" applyFill="1" applyBorder="1" applyProtection="1"/>
    <xf numFmtId="43" fontId="99" fillId="0" borderId="174" xfId="94" applyNumberFormat="1" applyFill="1" applyBorder="1" applyProtection="1"/>
    <xf numFmtId="43" fontId="99" fillId="0" borderId="0" xfId="94" applyNumberFormat="1" applyFill="1" applyBorder="1" applyProtection="1"/>
    <xf numFmtId="43" fontId="0" fillId="0" borderId="134" xfId="96" applyFont="1" applyFill="1" applyBorder="1" applyProtection="1"/>
    <xf numFmtId="0" fontId="99" fillId="0" borderId="173" xfId="94" applyFill="1" applyBorder="1" applyProtection="1"/>
    <xf numFmtId="0" fontId="99" fillId="0" borderId="112" xfId="94" applyFill="1" applyBorder="1" applyProtection="1"/>
    <xf numFmtId="0" fontId="99" fillId="0" borderId="134" xfId="94" applyFill="1" applyBorder="1" applyProtection="1"/>
    <xf numFmtId="0" fontId="99" fillId="0" borderId="175" xfId="94" applyFill="1" applyBorder="1" applyProtection="1"/>
    <xf numFmtId="0" fontId="99" fillId="0" borderId="165" xfId="94" applyFill="1" applyBorder="1" applyProtection="1"/>
    <xf numFmtId="0" fontId="99" fillId="0" borderId="126" xfId="94" applyFill="1" applyBorder="1" applyProtection="1"/>
    <xf numFmtId="168" fontId="99" fillId="0" borderId="126" xfId="94" applyNumberFormat="1" applyFill="1" applyBorder="1" applyProtection="1"/>
    <xf numFmtId="0" fontId="99" fillId="0" borderId="127" xfId="94" applyFill="1" applyBorder="1" applyProtection="1"/>
    <xf numFmtId="0" fontId="99" fillId="0" borderId="171" xfId="94" quotePrefix="1" applyFill="1" applyBorder="1" applyProtection="1"/>
    <xf numFmtId="0" fontId="99" fillId="0" borderId="171" xfId="94" applyFill="1" applyBorder="1" applyAlignment="1" applyProtection="1">
      <alignment horizontal="center"/>
    </xf>
    <xf numFmtId="168" fontId="99" fillId="0" borderId="130" xfId="94" applyNumberFormat="1" applyFill="1" applyBorder="1" applyProtection="1"/>
    <xf numFmtId="168" fontId="99" fillId="0" borderId="129" xfId="94" applyNumberFormat="1" applyFill="1" applyBorder="1" applyProtection="1"/>
    <xf numFmtId="168" fontId="99" fillId="0" borderId="131" xfId="94" applyNumberFormat="1" applyFill="1" applyBorder="1" applyProtection="1"/>
    <xf numFmtId="0" fontId="99" fillId="0" borderId="176" xfId="94" quotePrefix="1" applyFill="1" applyBorder="1" applyProtection="1"/>
    <xf numFmtId="0" fontId="99" fillId="0" borderId="176" xfId="94" applyFill="1" applyBorder="1" applyAlignment="1" applyProtection="1">
      <alignment horizontal="center"/>
    </xf>
    <xf numFmtId="168" fontId="99" fillId="0" borderId="122" xfId="94" applyNumberFormat="1" applyFill="1" applyBorder="1" applyProtection="1"/>
    <xf numFmtId="0" fontId="99" fillId="0" borderId="174" xfId="94" quotePrefix="1" applyFill="1" applyBorder="1" applyProtection="1"/>
    <xf numFmtId="0" fontId="99" fillId="0" borderId="174" xfId="94" applyFill="1" applyBorder="1" applyAlignment="1" applyProtection="1">
      <alignment horizontal="center"/>
    </xf>
    <xf numFmtId="168" fontId="99" fillId="0" borderId="133" xfId="94" applyNumberFormat="1" applyFill="1" applyBorder="1" applyProtection="1"/>
    <xf numFmtId="168" fontId="99" fillId="0" borderId="135" xfId="94" applyNumberFormat="1" applyFill="1" applyBorder="1" applyProtection="1"/>
    <xf numFmtId="0" fontId="99" fillId="0" borderId="130" xfId="94" quotePrefix="1" applyFill="1" applyBorder="1" applyProtection="1"/>
    <xf numFmtId="0" fontId="99" fillId="0" borderId="172" xfId="94" applyFill="1" applyBorder="1" applyAlignment="1" applyProtection="1">
      <alignment horizontal="center"/>
    </xf>
    <xf numFmtId="0" fontId="99" fillId="0" borderId="134" xfId="94" quotePrefix="1" applyFill="1" applyBorder="1" applyProtection="1"/>
    <xf numFmtId="0" fontId="99" fillId="0" borderId="173" xfId="94" applyFill="1" applyBorder="1" applyAlignment="1" applyProtection="1">
      <alignment horizontal="center"/>
    </xf>
    <xf numFmtId="168" fontId="99" fillId="0" borderId="134" xfId="94" applyNumberFormat="1" applyFill="1" applyBorder="1" applyProtection="1"/>
    <xf numFmtId="0" fontId="99" fillId="0" borderId="112" xfId="94" applyFill="1" applyBorder="1" applyAlignment="1" applyProtection="1">
      <alignment horizontal="center"/>
    </xf>
    <xf numFmtId="166" fontId="0" fillId="0" borderId="172" xfId="95" applyNumberFormat="1" applyFont="1" applyFill="1" applyBorder="1" applyProtection="1"/>
    <xf numFmtId="166" fontId="0" fillId="0" borderId="129" xfId="95" applyNumberFormat="1" applyFont="1" applyFill="1" applyBorder="1" applyProtection="1"/>
    <xf numFmtId="166" fontId="0" fillId="0" borderId="166" xfId="95" applyNumberFormat="1" applyFont="1" applyFill="1" applyBorder="1" applyProtection="1"/>
    <xf numFmtId="168" fontId="0" fillId="0" borderId="136" xfId="96" applyNumberFormat="1" applyFont="1" applyFill="1" applyBorder="1" applyProtection="1"/>
    <xf numFmtId="168" fontId="0" fillId="0" borderId="116" xfId="96" applyNumberFormat="1" applyFont="1" applyFill="1" applyBorder="1" applyProtection="1"/>
    <xf numFmtId="168" fontId="0" fillId="0" borderId="37" xfId="96" applyNumberFormat="1" applyFont="1" applyFill="1" applyBorder="1" applyProtection="1"/>
    <xf numFmtId="0" fontId="101" fillId="0" borderId="0" xfId="94" applyFont="1" applyBorder="1" applyProtection="1"/>
    <xf numFmtId="0" fontId="101" fillId="0" borderId="34" xfId="94" applyFont="1" applyBorder="1" applyProtection="1"/>
    <xf numFmtId="0" fontId="114" fillId="64" borderId="113" xfId="94" applyFont="1" applyFill="1" applyBorder="1" applyAlignment="1" applyProtection="1">
      <alignment horizontal="centerContinuous"/>
    </xf>
    <xf numFmtId="0" fontId="114" fillId="64" borderId="114" xfId="94" applyFont="1" applyFill="1" applyBorder="1" applyAlignment="1" applyProtection="1">
      <alignment horizontal="centerContinuous"/>
    </xf>
    <xf numFmtId="0" fontId="114" fillId="64" borderId="115" xfId="94" applyFont="1" applyFill="1" applyBorder="1" applyAlignment="1" applyProtection="1">
      <alignment horizontal="centerContinuous"/>
    </xf>
    <xf numFmtId="0" fontId="99" fillId="0" borderId="113" xfId="94" applyBorder="1" applyProtection="1">
      <protection locked="0"/>
    </xf>
    <xf numFmtId="0" fontId="99" fillId="0" borderId="114" xfId="94" applyBorder="1" applyProtection="1">
      <protection locked="0"/>
    </xf>
    <xf numFmtId="0" fontId="99" fillId="0" borderId="115" xfId="94" applyBorder="1" applyProtection="1">
      <protection locked="0"/>
    </xf>
    <xf numFmtId="0" fontId="114" fillId="64" borderId="32" xfId="94" applyFont="1" applyFill="1" applyBorder="1" applyAlignment="1" applyProtection="1">
      <alignment horizontal="centerContinuous"/>
    </xf>
    <xf numFmtId="0" fontId="114" fillId="64" borderId="116" xfId="94" applyFont="1" applyFill="1" applyBorder="1" applyAlignment="1" applyProtection="1">
      <alignment horizontal="centerContinuous"/>
    </xf>
    <xf numFmtId="0" fontId="114" fillId="64" borderId="37" xfId="94" applyFont="1" applyFill="1" applyBorder="1" applyAlignment="1" applyProtection="1">
      <alignment horizontal="centerContinuous"/>
    </xf>
    <xf numFmtId="0" fontId="101" fillId="0" borderId="34" xfId="94" applyFont="1" applyBorder="1" applyAlignment="1" applyProtection="1">
      <alignment horizontal="centerContinuous"/>
      <protection locked="0"/>
    </xf>
    <xf numFmtId="0" fontId="109" fillId="0" borderId="0" xfId="94" applyFont="1" applyBorder="1" applyAlignment="1" applyProtection="1">
      <alignment horizontal="centerContinuous"/>
      <protection locked="0"/>
    </xf>
    <xf numFmtId="0" fontId="109" fillId="0" borderId="122" xfId="94" applyFont="1" applyBorder="1" applyAlignment="1" applyProtection="1">
      <alignment horizontal="centerContinuous"/>
      <protection locked="0"/>
    </xf>
    <xf numFmtId="0" fontId="99" fillId="0" borderId="0" xfId="94" applyBorder="1" applyAlignment="1" applyProtection="1">
      <alignment horizontal="centerContinuous"/>
      <protection locked="0"/>
    </xf>
    <xf numFmtId="0" fontId="99" fillId="0" borderId="122" xfId="94" applyBorder="1" applyAlignment="1" applyProtection="1">
      <alignment horizontal="centerContinuous"/>
      <protection locked="0"/>
    </xf>
    <xf numFmtId="0" fontId="109" fillId="0" borderId="177" xfId="94" applyFont="1" applyFill="1" applyBorder="1" applyProtection="1"/>
    <xf numFmtId="0" fontId="109" fillId="0" borderId="114" xfId="94" applyFont="1" applyFill="1" applyBorder="1" applyProtection="1"/>
    <xf numFmtId="0" fontId="109" fillId="0" borderId="178" xfId="94" applyFont="1" applyFill="1" applyBorder="1" applyAlignment="1" applyProtection="1">
      <alignment horizontal="center"/>
    </xf>
    <xf numFmtId="0" fontId="109" fillId="0" borderId="114" xfId="94" applyFont="1" applyFill="1" applyBorder="1" applyAlignment="1" applyProtection="1">
      <alignment horizontal="center"/>
    </xf>
    <xf numFmtId="0" fontId="109" fillId="0" borderId="179" xfId="94" applyFont="1" applyFill="1" applyBorder="1" applyAlignment="1" applyProtection="1">
      <alignment horizontal="center"/>
    </xf>
    <xf numFmtId="0" fontId="109" fillId="0" borderId="115" xfId="94" applyFont="1" applyFill="1" applyBorder="1" applyAlignment="1" applyProtection="1">
      <alignment horizontal="center"/>
    </xf>
    <xf numFmtId="0" fontId="99" fillId="0" borderId="34" xfId="94" applyBorder="1" applyProtection="1">
      <protection locked="0"/>
    </xf>
    <xf numFmtId="0" fontId="99" fillId="0" borderId="122" xfId="94" applyBorder="1" applyProtection="1">
      <protection locked="0"/>
    </xf>
    <xf numFmtId="1" fontId="99" fillId="0" borderId="130" xfId="94" applyNumberFormat="1" applyFill="1" applyBorder="1" applyAlignment="1" applyProtection="1">
      <alignment horizontal="center"/>
    </xf>
    <xf numFmtId="1" fontId="99" fillId="0" borderId="129" xfId="94" applyNumberFormat="1" applyFill="1" applyBorder="1" applyAlignment="1" applyProtection="1">
      <alignment horizontal="center"/>
    </xf>
    <xf numFmtId="9" fontId="0" fillId="0" borderId="171" xfId="95" applyFont="1" applyFill="1" applyBorder="1" applyAlignment="1" applyProtection="1">
      <alignment horizontal="center"/>
    </xf>
    <xf numFmtId="9" fontId="0" fillId="0" borderId="131" xfId="95" applyFont="1" applyFill="1" applyBorder="1" applyAlignment="1" applyProtection="1">
      <alignment horizontal="center"/>
    </xf>
    <xf numFmtId="43" fontId="0" fillId="0" borderId="0" xfId="96" applyFont="1" applyFill="1" applyBorder="1" applyProtection="1"/>
    <xf numFmtId="1" fontId="99" fillId="0" borderId="111" xfId="94" applyNumberFormat="1" applyFill="1" applyBorder="1" applyAlignment="1" applyProtection="1">
      <alignment horizontal="center"/>
    </xf>
    <xf numFmtId="1" fontId="99" fillId="0" borderId="0" xfId="94" applyNumberFormat="1" applyFill="1" applyBorder="1" applyAlignment="1" applyProtection="1">
      <alignment horizontal="center"/>
    </xf>
    <xf numFmtId="1" fontId="99" fillId="0" borderId="176" xfId="94" applyNumberFormat="1" applyFill="1" applyBorder="1" applyAlignment="1" applyProtection="1">
      <alignment horizontal="center"/>
    </xf>
    <xf numFmtId="9" fontId="0" fillId="0" borderId="122" xfId="95" applyFont="1" applyFill="1" applyBorder="1" applyAlignment="1" applyProtection="1">
      <alignment horizontal="center"/>
    </xf>
    <xf numFmtId="1" fontId="99" fillId="0" borderId="0" xfId="94" applyNumberFormat="1" applyFill="1" applyBorder="1" applyProtection="1"/>
    <xf numFmtId="9" fontId="0" fillId="0" borderId="176" xfId="95" applyFont="1" applyFill="1" applyBorder="1" applyAlignment="1" applyProtection="1">
      <alignment horizontal="center"/>
    </xf>
    <xf numFmtId="9" fontId="0" fillId="0" borderId="174" xfId="95" applyFont="1" applyFill="1" applyBorder="1" applyAlignment="1" applyProtection="1">
      <alignment horizontal="center"/>
    </xf>
    <xf numFmtId="9" fontId="0" fillId="0" borderId="135" xfId="95" applyFont="1" applyFill="1" applyBorder="1" applyAlignment="1" applyProtection="1">
      <alignment horizontal="center"/>
    </xf>
    <xf numFmtId="0" fontId="109" fillId="0" borderId="0" xfId="94" applyFont="1" applyFill="1" applyBorder="1" applyProtection="1"/>
    <xf numFmtId="0" fontId="109" fillId="0" borderId="128" xfId="94" applyFont="1" applyFill="1" applyBorder="1" applyProtection="1"/>
    <xf numFmtId="1" fontId="109" fillId="0" borderId="172" xfId="94" applyNumberFormat="1" applyFont="1" applyFill="1" applyBorder="1" applyAlignment="1" applyProtection="1">
      <alignment horizontal="center"/>
    </xf>
    <xf numFmtId="0" fontId="99" fillId="0" borderId="131" xfId="94" applyFill="1" applyBorder="1" applyAlignment="1" applyProtection="1">
      <alignment horizontal="center"/>
    </xf>
    <xf numFmtId="1" fontId="109" fillId="0" borderId="112" xfId="94" applyNumberFormat="1" applyFont="1" applyFill="1" applyBorder="1" applyAlignment="1" applyProtection="1">
      <alignment horizontal="center"/>
    </xf>
    <xf numFmtId="168" fontId="0" fillId="0" borderId="176" xfId="96" applyNumberFormat="1" applyFont="1" applyFill="1" applyBorder="1" applyProtection="1"/>
    <xf numFmtId="1" fontId="99" fillId="0" borderId="112" xfId="94" applyNumberFormat="1" applyFill="1" applyBorder="1" applyAlignment="1" applyProtection="1">
      <alignment horizontal="center"/>
    </xf>
    <xf numFmtId="1" fontId="99" fillId="0" borderId="122" xfId="94" applyNumberFormat="1" applyFill="1" applyBorder="1" applyAlignment="1" applyProtection="1">
      <alignment horizontal="center"/>
    </xf>
    <xf numFmtId="1" fontId="103" fillId="0" borderId="0" xfId="96" applyNumberFormat="1" applyFont="1" applyFill="1" applyBorder="1" applyAlignment="1" applyProtection="1">
      <alignment horizontal="center"/>
    </xf>
    <xf numFmtId="0" fontId="109" fillId="0" borderId="112" xfId="94" applyFont="1" applyFill="1" applyBorder="1" applyProtection="1"/>
    <xf numFmtId="0" fontId="109" fillId="0" borderId="183" xfId="94" applyFont="1" applyFill="1" applyBorder="1" applyProtection="1"/>
    <xf numFmtId="168" fontId="0" fillId="0" borderId="184" xfId="96" applyNumberFormat="1" applyFont="1" applyFill="1" applyBorder="1" applyProtection="1"/>
    <xf numFmtId="1" fontId="99" fillId="0" borderId="183" xfId="94" applyNumberFormat="1" applyFill="1" applyBorder="1" applyAlignment="1" applyProtection="1">
      <alignment horizontal="center"/>
    </xf>
    <xf numFmtId="1" fontId="99" fillId="0" borderId="37" xfId="94" applyNumberFormat="1" applyFill="1" applyBorder="1" applyAlignment="1" applyProtection="1">
      <alignment horizontal="center"/>
    </xf>
    <xf numFmtId="0" fontId="99" fillId="0" borderId="32" xfId="94" applyBorder="1" applyProtection="1">
      <protection locked="0"/>
    </xf>
    <xf numFmtId="0" fontId="99" fillId="0" borderId="116" xfId="94" applyBorder="1" applyProtection="1">
      <protection locked="0"/>
    </xf>
    <xf numFmtId="0" fontId="99" fillId="0" borderId="37" xfId="94" applyBorder="1" applyProtection="1">
      <protection locked="0"/>
    </xf>
    <xf numFmtId="168" fontId="0" fillId="0" borderId="0" xfId="96" applyNumberFormat="1" applyFont="1" applyBorder="1" applyProtection="1"/>
    <xf numFmtId="0" fontId="99" fillId="0" borderId="54" xfId="94" applyBorder="1" applyProtection="1"/>
    <xf numFmtId="0" fontId="99" fillId="0" borderId="29" xfId="94" applyBorder="1" applyAlignment="1" applyProtection="1">
      <alignment horizontal="center"/>
    </xf>
    <xf numFmtId="0" fontId="99" fillId="0" borderId="185" xfId="94" applyBorder="1" applyProtection="1"/>
    <xf numFmtId="0" fontId="99" fillId="0" borderId="113" xfId="94" quotePrefix="1" applyFill="1" applyBorder="1" applyProtection="1"/>
    <xf numFmtId="0" fontId="109" fillId="0" borderId="0" xfId="94" applyFont="1" applyBorder="1" applyProtection="1">
      <protection locked="0"/>
    </xf>
    <xf numFmtId="0" fontId="103" fillId="0" borderId="0" xfId="94" applyFont="1"/>
    <xf numFmtId="0" fontId="109" fillId="0" borderId="121" xfId="94" applyFont="1" applyBorder="1" applyAlignment="1" applyProtection="1">
      <alignment horizontal="center" vertical="center"/>
      <protection locked="0"/>
    </xf>
    <xf numFmtId="0" fontId="101" fillId="0" borderId="17" xfId="94" applyFont="1" applyBorder="1" applyAlignment="1" applyProtection="1">
      <alignment horizontal="center" vertical="center" wrapText="1"/>
      <protection locked="0"/>
    </xf>
    <xf numFmtId="0" fontId="109" fillId="0" borderId="17" xfId="94" applyFont="1" applyBorder="1" applyAlignment="1" applyProtection="1">
      <alignment horizontal="center" vertical="center" wrapText="1"/>
      <protection locked="0"/>
    </xf>
    <xf numFmtId="0" fontId="130" fillId="60" borderId="113" xfId="94" applyFont="1" applyFill="1" applyBorder="1" applyProtection="1">
      <protection locked="0"/>
    </xf>
    <xf numFmtId="0" fontId="130" fillId="60" borderId="115" xfId="94" applyFont="1" applyFill="1" applyBorder="1" applyProtection="1">
      <protection locked="0"/>
    </xf>
    <xf numFmtId="0" fontId="130" fillId="60" borderId="114" xfId="94" applyFont="1" applyFill="1" applyBorder="1" applyProtection="1">
      <protection locked="0"/>
    </xf>
    <xf numFmtId="0" fontId="99" fillId="60" borderId="0" xfId="94" applyFill="1" applyBorder="1" applyProtection="1">
      <protection locked="0"/>
    </xf>
    <xf numFmtId="0" fontId="99" fillId="60" borderId="122" xfId="94" applyFill="1" applyBorder="1" applyProtection="1">
      <protection locked="0"/>
    </xf>
    <xf numFmtId="0" fontId="130" fillId="60" borderId="34" xfId="94" applyFont="1" applyFill="1" applyBorder="1" applyProtection="1">
      <protection locked="0"/>
    </xf>
    <xf numFmtId="0" fontId="130" fillId="60" borderId="122" xfId="94" applyFont="1" applyFill="1" applyBorder="1" applyProtection="1">
      <protection locked="0"/>
    </xf>
    <xf numFmtId="0" fontId="99" fillId="60" borderId="34" xfId="94" applyFill="1" applyBorder="1" applyProtection="1">
      <protection locked="0"/>
    </xf>
    <xf numFmtId="0" fontId="130" fillId="60" borderId="0" xfId="94" applyFont="1" applyFill="1" applyBorder="1" applyProtection="1">
      <protection locked="0"/>
    </xf>
    <xf numFmtId="0" fontId="130" fillId="60" borderId="32" xfId="94" applyFont="1" applyFill="1" applyBorder="1" applyProtection="1">
      <protection locked="0"/>
    </xf>
    <xf numFmtId="0" fontId="130" fillId="60" borderId="37" xfId="94" applyFont="1" applyFill="1" applyBorder="1" applyProtection="1">
      <protection locked="0"/>
    </xf>
    <xf numFmtId="0" fontId="99" fillId="60" borderId="32" xfId="94" applyFill="1" applyBorder="1" applyProtection="1">
      <protection locked="0"/>
    </xf>
    <xf numFmtId="0" fontId="99" fillId="60" borderId="37" xfId="94" applyFill="1" applyBorder="1" applyProtection="1">
      <protection locked="0"/>
    </xf>
    <xf numFmtId="0" fontId="130" fillId="60" borderId="116" xfId="94" applyFont="1" applyFill="1" applyBorder="1" applyProtection="1">
      <protection locked="0"/>
    </xf>
    <xf numFmtId="0" fontId="99" fillId="60" borderId="116" xfId="94" applyFill="1" applyBorder="1" applyProtection="1">
      <protection locked="0"/>
    </xf>
    <xf numFmtId="0" fontId="109" fillId="0" borderId="0" xfId="94" applyFont="1" applyProtection="1"/>
    <xf numFmtId="0" fontId="99" fillId="0" borderId="130" xfId="94" applyBorder="1" applyProtection="1"/>
    <xf numFmtId="0" fontId="103" fillId="0" borderId="129" xfId="94" quotePrefix="1" applyFont="1" applyBorder="1" applyProtection="1"/>
    <xf numFmtId="0" fontId="99" fillId="0" borderId="129" xfId="94" applyBorder="1" applyProtection="1"/>
    <xf numFmtId="0" fontId="99" fillId="0" borderId="172" xfId="94" applyBorder="1" applyProtection="1"/>
    <xf numFmtId="168" fontId="109" fillId="0" borderId="118" xfId="96" applyNumberFormat="1" applyFont="1" applyFill="1" applyBorder="1" applyAlignment="1" applyProtection="1">
      <alignment horizontal="center"/>
    </xf>
    <xf numFmtId="168" fontId="109" fillId="0" borderId="120" xfId="96" applyNumberFormat="1" applyFont="1" applyFill="1" applyBorder="1" applyAlignment="1" applyProtection="1">
      <alignment horizontal="center"/>
    </xf>
    <xf numFmtId="0" fontId="99" fillId="0" borderId="111" xfId="94" applyBorder="1" applyProtection="1"/>
    <xf numFmtId="0" fontId="99" fillId="0" borderId="112" xfId="94" applyBorder="1" applyProtection="1"/>
    <xf numFmtId="9" fontId="0" fillId="65" borderId="118" xfId="95" applyFont="1" applyFill="1" applyBorder="1" applyProtection="1">
      <protection locked="0"/>
    </xf>
    <xf numFmtId="0" fontId="99" fillId="65" borderId="120" xfId="94" applyFill="1" applyBorder="1" applyAlignment="1" applyProtection="1">
      <alignment horizontal="center" vertical="center" wrapText="1"/>
      <protection locked="0"/>
    </xf>
    <xf numFmtId="0" fontId="109" fillId="0" borderId="0" xfId="94" applyFont="1" applyBorder="1" applyProtection="1"/>
    <xf numFmtId="0" fontId="131" fillId="65" borderId="17" xfId="94" applyFont="1" applyFill="1" applyBorder="1" applyAlignment="1" applyProtection="1">
      <alignment horizontal="center" vertical="center" wrapText="1"/>
      <protection locked="0"/>
    </xf>
    <xf numFmtId="0" fontId="131" fillId="65" borderId="17" xfId="94" applyFont="1" applyFill="1" applyBorder="1" applyAlignment="1" applyProtection="1">
      <alignment horizontal="center" vertical="center"/>
      <protection locked="0"/>
    </xf>
    <xf numFmtId="0" fontId="131" fillId="65" borderId="118" xfId="94" applyFont="1" applyFill="1" applyBorder="1" applyAlignment="1" applyProtection="1">
      <alignment horizontal="center" vertical="center" wrapText="1"/>
      <protection locked="0"/>
    </xf>
    <xf numFmtId="0" fontId="132" fillId="65" borderId="120" xfId="94" applyFont="1" applyFill="1" applyBorder="1" applyAlignment="1" applyProtection="1">
      <alignment horizontal="center" vertical="center" wrapText="1"/>
      <protection locked="0"/>
    </xf>
    <xf numFmtId="0" fontId="132" fillId="0" borderId="0" xfId="94" applyFont="1" applyFill="1" applyBorder="1" applyAlignment="1" applyProtection="1">
      <alignment horizontal="center" vertical="center" wrapText="1"/>
      <protection locked="0"/>
    </xf>
    <xf numFmtId="0" fontId="99" fillId="0" borderId="0" xfId="94" applyBorder="1" applyAlignment="1" applyProtection="1">
      <alignment vertical="center"/>
    </xf>
    <xf numFmtId="0" fontId="117" fillId="64" borderId="186" xfId="94" applyFont="1" applyFill="1" applyBorder="1" applyAlignment="1" applyProtection="1">
      <alignment horizontal="center" vertical="center" wrapText="1"/>
    </xf>
    <xf numFmtId="0" fontId="99" fillId="0" borderId="118" xfId="94" applyBorder="1" applyProtection="1">
      <protection locked="0"/>
    </xf>
    <xf numFmtId="0" fontId="99" fillId="0" borderId="119" xfId="94" applyBorder="1" applyProtection="1">
      <protection locked="0"/>
    </xf>
    <xf numFmtId="37" fontId="102" fillId="0" borderId="119" xfId="94" applyNumberFormat="1" applyFont="1" applyBorder="1" applyAlignment="1" applyProtection="1">
      <alignment horizontal="center"/>
      <protection locked="0"/>
    </xf>
    <xf numFmtId="37" fontId="121" fillId="0" borderId="119" xfId="94" applyNumberFormat="1" applyFont="1" applyBorder="1" applyAlignment="1" applyProtection="1">
      <alignment horizontal="right"/>
      <protection locked="0"/>
    </xf>
    <xf numFmtId="37" fontId="99" fillId="0" borderId="0" xfId="94" applyNumberFormat="1" applyBorder="1" applyAlignment="1" applyProtection="1">
      <alignment horizontal="right"/>
      <protection locked="0"/>
    </xf>
    <xf numFmtId="37" fontId="102" fillId="0" borderId="0" xfId="94" applyNumberFormat="1" applyFont="1" applyBorder="1" applyAlignment="1" applyProtection="1">
      <alignment horizontal="center"/>
    </xf>
    <xf numFmtId="37" fontId="121" fillId="0" borderId="0" xfId="94" applyNumberFormat="1" applyFont="1" applyBorder="1" applyAlignment="1" applyProtection="1">
      <alignment horizontal="right"/>
    </xf>
    <xf numFmtId="37" fontId="99" fillId="0" borderId="34" xfId="94" applyNumberFormat="1" applyBorder="1" applyAlignment="1" applyProtection="1">
      <alignment horizontal="center"/>
    </xf>
    <xf numFmtId="37" fontId="121" fillId="0" borderId="0" xfId="94" applyNumberFormat="1" applyFont="1" applyFill="1" applyBorder="1" applyAlignment="1" applyProtection="1">
      <alignment horizontal="center"/>
      <protection locked="0"/>
    </xf>
    <xf numFmtId="37" fontId="121" fillId="0" borderId="0" xfId="94" applyNumberFormat="1" applyFont="1" applyFill="1" applyBorder="1" applyAlignment="1" applyProtection="1">
      <alignment horizontal="left" vertical="center"/>
      <protection locked="0"/>
    </xf>
    <xf numFmtId="168" fontId="110" fillId="0" borderId="34" xfId="96" applyNumberFormat="1" applyFont="1" applyFill="1" applyBorder="1" applyAlignment="1" applyProtection="1">
      <alignment horizontal="center" vertical="center"/>
    </xf>
    <xf numFmtId="168" fontId="110" fillId="0" borderId="0" xfId="96" applyNumberFormat="1" applyFont="1" applyFill="1" applyBorder="1" applyAlignment="1" applyProtection="1">
      <alignment horizontal="center" vertical="center"/>
    </xf>
    <xf numFmtId="168" fontId="110" fillId="0" borderId="22" xfId="96" applyNumberFormat="1" applyFont="1" applyFill="1" applyBorder="1" applyAlignment="1" applyProtection="1">
      <alignment horizontal="center" vertical="center"/>
    </xf>
    <xf numFmtId="0" fontId="124" fillId="60" borderId="0" xfId="94" applyFont="1" applyFill="1" applyBorder="1" applyAlignment="1" applyProtection="1">
      <alignment vertical="center"/>
      <protection locked="0"/>
    </xf>
    <xf numFmtId="0" fontId="124" fillId="60" borderId="0" xfId="94" applyFont="1" applyFill="1" applyBorder="1" applyAlignment="1" applyProtection="1">
      <alignment vertical="center"/>
    </xf>
    <xf numFmtId="37" fontId="110" fillId="65" borderId="32" xfId="94" applyNumberFormat="1" applyFont="1" applyFill="1" applyBorder="1" applyAlignment="1" applyProtection="1">
      <alignment horizontal="center" vertical="center"/>
      <protection locked="0"/>
    </xf>
    <xf numFmtId="37" fontId="110" fillId="65" borderId="116" xfId="94" applyNumberFormat="1" applyFont="1" applyFill="1" applyBorder="1" applyAlignment="1" applyProtection="1">
      <alignment horizontal="center" vertical="center"/>
      <protection locked="0"/>
    </xf>
    <xf numFmtId="166" fontId="121" fillId="0" borderId="0" xfId="95" applyNumberFormat="1" applyFont="1" applyFill="1" applyBorder="1" applyAlignment="1" applyProtection="1">
      <alignment horizontal="center"/>
      <protection locked="0"/>
    </xf>
    <xf numFmtId="0" fontId="121" fillId="0" borderId="0" xfId="94" applyFont="1" applyFill="1" applyBorder="1" applyAlignment="1" applyProtection="1">
      <alignment horizontal="center"/>
      <protection locked="0"/>
    </xf>
    <xf numFmtId="168" fontId="110" fillId="0" borderId="113" xfId="96" applyNumberFormat="1" applyFont="1" applyFill="1" applyBorder="1" applyAlignment="1" applyProtection="1">
      <alignment horizontal="center" vertical="center"/>
    </xf>
    <xf numFmtId="168" fontId="110" fillId="0" borderId="114" xfId="96" applyNumberFormat="1" applyFont="1" applyFill="1" applyBorder="1" applyAlignment="1" applyProtection="1">
      <alignment horizontal="center" vertical="center"/>
    </xf>
    <xf numFmtId="168" fontId="110" fillId="0" borderId="121" xfId="96" applyNumberFormat="1" applyFont="1" applyBorder="1" applyAlignment="1" applyProtection="1">
      <alignment horizontal="center" vertical="center"/>
    </xf>
    <xf numFmtId="168" fontId="110" fillId="0" borderId="22" xfId="96" applyNumberFormat="1" applyFont="1" applyBorder="1" applyAlignment="1" applyProtection="1">
      <alignment horizontal="center" vertical="center"/>
    </xf>
    <xf numFmtId="37" fontId="123" fillId="0" borderId="0" xfId="94" applyNumberFormat="1" applyFont="1" applyFill="1" applyBorder="1" applyAlignment="1" applyProtection="1">
      <alignment horizontal="center"/>
      <protection locked="0"/>
    </xf>
    <xf numFmtId="168" fontId="119" fillId="65" borderId="122" xfId="96" applyNumberFormat="1" applyFont="1" applyFill="1" applyBorder="1" applyAlignment="1" applyProtection="1">
      <alignment horizontal="center" vertical="center"/>
      <protection locked="0"/>
    </xf>
    <xf numFmtId="0" fontId="118" fillId="0" borderId="187" xfId="94" applyFont="1" applyFill="1" applyBorder="1" applyAlignment="1" applyProtection="1">
      <alignment vertical="center"/>
    </xf>
    <xf numFmtId="0" fontId="110" fillId="0" borderId="188" xfId="94" applyFont="1" applyFill="1" applyBorder="1" applyAlignment="1" applyProtection="1">
      <alignment vertical="center"/>
    </xf>
    <xf numFmtId="168" fontId="118" fillId="0" borderId="189" xfId="96" applyNumberFormat="1" applyFont="1" applyFill="1" applyBorder="1" applyAlignment="1" applyProtection="1">
      <alignment horizontal="center" vertical="center"/>
      <protection locked="0"/>
    </xf>
    <xf numFmtId="168" fontId="119" fillId="0" borderId="188" xfId="96" applyNumberFormat="1" applyFont="1" applyFill="1" applyBorder="1" applyAlignment="1" applyProtection="1">
      <alignment horizontal="center" vertical="center"/>
      <protection locked="0"/>
    </xf>
    <xf numFmtId="168" fontId="119" fillId="0" borderId="187" xfId="96" applyNumberFormat="1" applyFont="1" applyFill="1" applyBorder="1" applyAlignment="1" applyProtection="1">
      <alignment horizontal="center" vertical="center"/>
      <protection locked="0"/>
    </xf>
    <xf numFmtId="168" fontId="121" fillId="0" borderId="190" xfId="96" applyNumberFormat="1" applyFont="1" applyFill="1" applyBorder="1" applyAlignment="1" applyProtection="1">
      <alignment horizontal="center"/>
      <protection locked="0"/>
    </xf>
    <xf numFmtId="168" fontId="121" fillId="0" borderId="129" xfId="96" applyNumberFormat="1" applyFont="1" applyFill="1" applyBorder="1" applyAlignment="1" applyProtection="1">
      <alignment horizontal="center"/>
      <protection locked="0"/>
    </xf>
    <xf numFmtId="168" fontId="119" fillId="0" borderId="189" xfId="96" applyNumberFormat="1" applyFont="1" applyFill="1" applyBorder="1" applyAlignment="1" applyProtection="1">
      <alignment horizontal="center" vertical="center"/>
      <protection locked="0"/>
    </xf>
    <xf numFmtId="168" fontId="118" fillId="0" borderId="189" xfId="96" applyNumberFormat="1" applyFont="1" applyFill="1" applyBorder="1" applyAlignment="1" applyProtection="1">
      <alignment horizontal="center" vertical="center"/>
    </xf>
    <xf numFmtId="168" fontId="123" fillId="0" borderId="187" xfId="96" applyNumberFormat="1" applyFont="1" applyFill="1" applyBorder="1" applyAlignment="1" applyProtection="1">
      <alignment horizontal="center" vertical="center"/>
    </xf>
    <xf numFmtId="168" fontId="123" fillId="0" borderId="188" xfId="96" applyNumberFormat="1" applyFont="1" applyFill="1" applyBorder="1" applyAlignment="1" applyProtection="1">
      <alignment horizontal="center" vertical="center"/>
    </xf>
    <xf numFmtId="168" fontId="123" fillId="0" borderId="189" xfId="96" applyNumberFormat="1" applyFont="1" applyFill="1" applyBorder="1" applyAlignment="1" applyProtection="1">
      <alignment horizontal="center" vertical="center"/>
    </xf>
    <xf numFmtId="168" fontId="122" fillId="0" borderId="0" xfId="96" applyNumberFormat="1" applyFont="1" applyFill="1" applyBorder="1" applyProtection="1"/>
    <xf numFmtId="168" fontId="121" fillId="0" borderId="0" xfId="96" applyNumberFormat="1" applyFont="1" applyFill="1" applyBorder="1" applyAlignment="1" applyProtection="1">
      <alignment horizontal="center"/>
    </xf>
    <xf numFmtId="0" fontId="99" fillId="0" borderId="134" xfId="94" applyBorder="1" applyProtection="1"/>
    <xf numFmtId="0" fontId="99" fillId="0" borderId="133" xfId="94" applyBorder="1" applyProtection="1"/>
    <xf numFmtId="0" fontId="99" fillId="0" borderId="173" xfId="94" applyBorder="1" applyProtection="1"/>
    <xf numFmtId="168" fontId="119" fillId="0" borderId="0" xfId="96" applyNumberFormat="1" applyFont="1" applyFill="1" applyBorder="1" applyAlignment="1" applyProtection="1">
      <alignment horizontal="center" vertical="center"/>
      <protection locked="0"/>
    </xf>
    <xf numFmtId="168" fontId="121" fillId="0" borderId="0" xfId="96" applyNumberFormat="1" applyFont="1" applyFill="1" applyBorder="1" applyAlignment="1" applyProtection="1">
      <alignment horizontal="center"/>
      <protection locked="0"/>
    </xf>
    <xf numFmtId="0" fontId="104" fillId="0" borderId="113" xfId="94" applyFont="1" applyFill="1" applyBorder="1" applyProtection="1"/>
    <xf numFmtId="0" fontId="104" fillId="0" borderId="115" xfId="94" applyFont="1" applyFill="1" applyBorder="1" applyProtection="1"/>
    <xf numFmtId="0" fontId="127" fillId="0" borderId="22" xfId="94" applyFont="1" applyFill="1" applyBorder="1" applyAlignment="1" applyProtection="1">
      <alignment horizontal="center" vertical="center" wrapText="1"/>
    </xf>
    <xf numFmtId="0" fontId="115" fillId="0" borderId="128" xfId="94" applyFont="1" applyFill="1" applyBorder="1" applyProtection="1">
      <protection locked="0"/>
    </xf>
    <xf numFmtId="0" fontId="99" fillId="0" borderId="129" xfId="94" applyFill="1" applyBorder="1" applyProtection="1">
      <protection locked="0"/>
    </xf>
    <xf numFmtId="168" fontId="109" fillId="0" borderId="129" xfId="96" applyNumberFormat="1" applyFont="1" applyFill="1" applyBorder="1" applyAlignment="1" applyProtection="1">
      <alignment horizontal="center"/>
      <protection locked="0"/>
    </xf>
    <xf numFmtId="168" fontId="109" fillId="0" borderId="131" xfId="96" applyNumberFormat="1" applyFont="1" applyFill="1" applyBorder="1" applyAlignment="1" applyProtection="1">
      <alignment horizontal="center"/>
      <protection locked="0"/>
    </xf>
    <xf numFmtId="0" fontId="104" fillId="0" borderId="32" xfId="94" applyFont="1" applyFill="1" applyBorder="1" applyProtection="1"/>
    <xf numFmtId="0" fontId="104" fillId="0" borderId="37" xfId="94" applyFont="1" applyFill="1" applyBorder="1" applyProtection="1"/>
    <xf numFmtId="0" fontId="127" fillId="58" borderId="21" xfId="94" applyFont="1" applyFill="1" applyBorder="1" applyAlignment="1" applyProtection="1">
      <alignment horizontal="center" vertical="center" wrapText="1"/>
      <protection locked="0"/>
    </xf>
    <xf numFmtId="0" fontId="115" fillId="0" borderId="118" xfId="94" applyFont="1" applyBorder="1" applyProtection="1"/>
    <xf numFmtId="49" fontId="109" fillId="0" borderId="17" xfId="94" applyNumberFormat="1" applyFont="1" applyBorder="1" applyAlignment="1" applyProtection="1">
      <alignment horizontal="center"/>
    </xf>
    <xf numFmtId="9" fontId="0" fillId="65" borderId="133" xfId="95" applyFont="1" applyFill="1" applyBorder="1" applyAlignment="1" applyProtection="1">
      <alignment horizontal="center"/>
      <protection locked="0"/>
    </xf>
    <xf numFmtId="9" fontId="99" fillId="58" borderId="113" xfId="95" applyFont="1" applyFill="1" applyBorder="1" applyAlignment="1" applyProtection="1">
      <alignment horizontal="center"/>
      <protection locked="0"/>
    </xf>
    <xf numFmtId="9" fontId="0" fillId="58" borderId="34" xfId="95" applyFont="1" applyFill="1" applyBorder="1" applyAlignment="1" applyProtection="1">
      <alignment horizontal="center"/>
      <protection locked="0"/>
    </xf>
    <xf numFmtId="0" fontId="99" fillId="58" borderId="122" xfId="94" applyFill="1" applyBorder="1" applyAlignment="1" applyProtection="1">
      <alignment horizontal="center" vertical="center" wrapText="1"/>
      <protection locked="0"/>
    </xf>
    <xf numFmtId="0" fontId="99" fillId="0" borderId="129" xfId="94" applyFill="1" applyBorder="1" applyAlignment="1" applyProtection="1">
      <alignment horizontal="center"/>
      <protection locked="0"/>
    </xf>
    <xf numFmtId="0" fontId="99" fillId="0" borderId="131" xfId="94" applyFill="1" applyBorder="1" applyAlignment="1" applyProtection="1">
      <alignment horizontal="center"/>
      <protection locked="0"/>
    </xf>
    <xf numFmtId="179" fontId="99" fillId="58" borderId="32" xfId="96" applyNumberFormat="1" applyFont="1" applyFill="1" applyBorder="1" applyAlignment="1" applyProtection="1">
      <alignment horizontal="center"/>
      <protection locked="0"/>
    </xf>
    <xf numFmtId="9" fontId="0" fillId="58" borderId="32" xfId="95" applyFont="1" applyFill="1" applyBorder="1" applyAlignment="1" applyProtection="1">
      <alignment horizontal="center"/>
      <protection locked="0"/>
    </xf>
    <xf numFmtId="0" fontId="99" fillId="58" borderId="37" xfId="94" applyFill="1" applyBorder="1" applyAlignment="1" applyProtection="1">
      <alignment horizontal="center" vertical="center" wrapText="1"/>
      <protection locked="0"/>
    </xf>
    <xf numFmtId="0" fontId="111" fillId="0" borderId="0" xfId="94" applyFont="1" applyProtection="1">
      <protection locked="0"/>
    </xf>
    <xf numFmtId="0" fontId="99" fillId="0" borderId="17" xfId="94" applyBorder="1" applyProtection="1">
      <protection locked="0"/>
    </xf>
    <xf numFmtId="181" fontId="0" fillId="58" borderId="21" xfId="96" applyNumberFormat="1" applyFont="1" applyFill="1" applyBorder="1" applyAlignment="1" applyProtection="1">
      <alignment horizontal="center"/>
      <protection locked="0"/>
    </xf>
    <xf numFmtId="9" fontId="99" fillId="65" borderId="121" xfId="94" applyNumberFormat="1" applyFill="1" applyBorder="1" applyAlignment="1" applyProtection="1">
      <alignment horizontal="center"/>
      <protection locked="0"/>
    </xf>
    <xf numFmtId="9" fontId="0" fillId="65" borderId="116" xfId="95" applyFont="1" applyFill="1" applyBorder="1" applyAlignment="1" applyProtection="1">
      <alignment horizontal="center"/>
      <protection locked="0"/>
    </xf>
    <xf numFmtId="0" fontId="99" fillId="0" borderId="0" xfId="94" applyFill="1" applyBorder="1" applyAlignment="1" applyProtection="1">
      <alignment horizontal="center" vertical="center" wrapText="1"/>
    </xf>
    <xf numFmtId="0" fontId="99" fillId="66" borderId="0" xfId="94" applyFill="1" applyProtection="1"/>
    <xf numFmtId="0" fontId="99" fillId="66" borderId="0" xfId="94" applyFont="1" applyFill="1" applyBorder="1" applyProtection="1"/>
    <xf numFmtId="0" fontId="99" fillId="66" borderId="0" xfId="94" applyFill="1" applyBorder="1" applyProtection="1"/>
    <xf numFmtId="9" fontId="0" fillId="66" borderId="0" xfId="95" applyFont="1" applyFill="1" applyBorder="1" applyAlignment="1" applyProtection="1">
      <alignment horizontal="center"/>
    </xf>
    <xf numFmtId="0" fontId="99" fillId="66" borderId="0" xfId="94" applyFill="1" applyBorder="1" applyAlignment="1" applyProtection="1">
      <alignment horizontal="center" vertical="center" wrapText="1"/>
    </xf>
    <xf numFmtId="0" fontId="109" fillId="66" borderId="0" xfId="94" applyFont="1" applyFill="1" applyBorder="1" applyProtection="1"/>
    <xf numFmtId="0" fontId="99" fillId="66" borderId="0" xfId="94" applyFill="1" applyBorder="1" applyAlignment="1" applyProtection="1">
      <alignment horizontal="center"/>
    </xf>
    <xf numFmtId="0" fontId="99" fillId="66" borderId="0" xfId="94" applyFill="1" applyProtection="1">
      <protection locked="0"/>
    </xf>
    <xf numFmtId="9" fontId="99" fillId="58" borderId="113" xfId="95" applyFont="1" applyFill="1" applyBorder="1" applyAlignment="1" applyProtection="1">
      <alignment horizontal="left"/>
      <protection locked="0"/>
    </xf>
    <xf numFmtId="9" fontId="99" fillId="58" borderId="121" xfId="95" applyFont="1" applyFill="1" applyBorder="1" applyAlignment="1" applyProtection="1">
      <alignment horizontal="left"/>
      <protection locked="0"/>
    </xf>
    <xf numFmtId="179" fontId="99" fillId="58" borderId="32" xfId="96" applyNumberFormat="1" applyFont="1" applyFill="1" applyBorder="1" applyAlignment="1" applyProtection="1">
      <alignment horizontal="left"/>
      <protection locked="0"/>
    </xf>
    <xf numFmtId="179" fontId="99" fillId="58" borderId="21" xfId="96" applyNumberFormat="1" applyFont="1" applyFill="1" applyBorder="1" applyAlignment="1" applyProtection="1">
      <alignment horizontal="left"/>
      <protection locked="0"/>
    </xf>
    <xf numFmtId="9" fontId="0" fillId="58" borderId="121" xfId="95" applyFont="1" applyFill="1" applyBorder="1" applyAlignment="1" applyProtection="1">
      <alignment horizontal="left"/>
      <protection locked="0"/>
    </xf>
    <xf numFmtId="181" fontId="0" fillId="58" borderId="21" xfId="96" applyNumberFormat="1" applyFont="1" applyFill="1" applyBorder="1" applyAlignment="1" applyProtection="1">
      <alignment horizontal="left"/>
      <protection locked="0"/>
    </xf>
    <xf numFmtId="0" fontId="99" fillId="65" borderId="121" xfId="94" applyFill="1" applyBorder="1" applyAlignment="1" applyProtection="1">
      <alignment horizontal="left"/>
      <protection locked="0"/>
    </xf>
    <xf numFmtId="0" fontId="99" fillId="65" borderId="21" xfId="94" applyFill="1" applyBorder="1" applyAlignment="1" applyProtection="1">
      <alignment horizontal="left"/>
      <protection locked="0"/>
    </xf>
    <xf numFmtId="9" fontId="99" fillId="58" borderId="113" xfId="95" applyFont="1" applyFill="1" applyBorder="1" applyAlignment="1" applyProtection="1">
      <alignment horizontal="centerContinuous"/>
      <protection locked="0"/>
    </xf>
    <xf numFmtId="9" fontId="99" fillId="58" borderId="115" xfId="95" applyFont="1" applyFill="1" applyBorder="1" applyAlignment="1" applyProtection="1">
      <alignment horizontal="centerContinuous"/>
      <protection locked="0"/>
    </xf>
    <xf numFmtId="179" fontId="99" fillId="58" borderId="32" xfId="96" applyNumberFormat="1" applyFont="1" applyFill="1" applyBorder="1" applyAlignment="1" applyProtection="1">
      <alignment horizontal="centerContinuous"/>
      <protection locked="0"/>
    </xf>
    <xf numFmtId="179" fontId="99" fillId="58" borderId="37" xfId="96" applyNumberFormat="1" applyFont="1" applyFill="1" applyBorder="1" applyAlignment="1" applyProtection="1">
      <alignment horizontal="centerContinuous"/>
      <protection locked="0"/>
    </xf>
    <xf numFmtId="9" fontId="0" fillId="58" borderId="113" xfId="95" applyFont="1" applyFill="1" applyBorder="1" applyAlignment="1" applyProtection="1">
      <alignment horizontal="centerContinuous"/>
      <protection locked="0"/>
    </xf>
    <xf numFmtId="9" fontId="0" fillId="58" borderId="115" xfId="95" applyFont="1" applyFill="1" applyBorder="1" applyAlignment="1" applyProtection="1">
      <alignment horizontal="centerContinuous"/>
      <protection locked="0"/>
    </xf>
    <xf numFmtId="181" fontId="0" fillId="58" borderId="32" xfId="96" applyNumberFormat="1" applyFont="1" applyFill="1" applyBorder="1" applyAlignment="1" applyProtection="1">
      <alignment horizontal="centerContinuous"/>
      <protection locked="0"/>
    </xf>
    <xf numFmtId="181" fontId="0" fillId="58" borderId="37" xfId="96" applyNumberFormat="1" applyFont="1" applyFill="1" applyBorder="1" applyAlignment="1" applyProtection="1">
      <alignment horizontal="centerContinuous"/>
      <protection locked="0"/>
    </xf>
    <xf numFmtId="0" fontId="99" fillId="65" borderId="121" xfId="94" applyFill="1" applyBorder="1" applyAlignment="1" applyProtection="1">
      <alignment horizontal="center"/>
      <protection locked="0"/>
    </xf>
    <xf numFmtId="0" fontId="99" fillId="65" borderId="21" xfId="94" applyFill="1" applyBorder="1" applyAlignment="1" applyProtection="1">
      <alignment horizontal="center"/>
      <protection locked="0"/>
    </xf>
    <xf numFmtId="0" fontId="127" fillId="0" borderId="17" xfId="94" applyFont="1" applyFill="1" applyBorder="1" applyAlignment="1" applyProtection="1">
      <alignment horizontal="center" vertical="center" wrapText="1"/>
    </xf>
    <xf numFmtId="0" fontId="99" fillId="48" borderId="0" xfId="94" applyFill="1" applyProtection="1"/>
    <xf numFmtId="0" fontId="118" fillId="0" borderId="0" xfId="94" applyFont="1" applyBorder="1" applyAlignment="1" applyProtection="1">
      <alignment vertical="center"/>
    </xf>
    <xf numFmtId="0" fontId="117" fillId="64" borderId="153" xfId="94" applyFont="1" applyFill="1" applyBorder="1" applyAlignment="1" applyProtection="1">
      <alignment horizontal="center" vertical="center" wrapText="1"/>
    </xf>
    <xf numFmtId="0" fontId="133" fillId="0" borderId="0" xfId="94" applyFont="1" applyFill="1" applyBorder="1" applyAlignment="1" applyProtection="1">
      <alignment horizontal="center" vertical="center" wrapText="1"/>
    </xf>
    <xf numFmtId="0" fontId="99" fillId="0" borderId="0" xfId="94" applyFill="1" applyAlignment="1" applyProtection="1">
      <alignment vertical="center"/>
    </xf>
    <xf numFmtId="0" fontId="117" fillId="0" borderId="0" xfId="94" applyFont="1" applyFill="1" applyBorder="1" applyAlignment="1" applyProtection="1">
      <alignment horizontal="center" vertical="center" wrapText="1"/>
    </xf>
    <xf numFmtId="0" fontId="117" fillId="64" borderId="191" xfId="94" applyFont="1" applyFill="1" applyBorder="1" applyAlignment="1" applyProtection="1">
      <alignment horizontal="center" vertical="center" wrapText="1"/>
    </xf>
    <xf numFmtId="0" fontId="117" fillId="64" borderId="192" xfId="94" applyFont="1" applyFill="1" applyBorder="1" applyAlignment="1" applyProtection="1">
      <alignment horizontal="center" vertical="center"/>
    </xf>
    <xf numFmtId="0" fontId="120" fillId="0" borderId="0" xfId="94" applyFont="1" applyFill="1" applyBorder="1" applyAlignment="1" applyProtection="1">
      <alignment horizontal="center" vertical="center" wrapText="1"/>
    </xf>
    <xf numFmtId="0" fontId="134" fillId="0" borderId="0" xfId="94" applyFont="1" applyBorder="1" applyAlignment="1" applyProtection="1">
      <alignment horizontal="center" vertical="center"/>
    </xf>
    <xf numFmtId="0" fontId="117" fillId="64" borderId="193" xfId="94" applyFont="1" applyFill="1" applyBorder="1" applyAlignment="1" applyProtection="1">
      <alignment horizontal="center" vertical="center" wrapText="1"/>
    </xf>
    <xf numFmtId="0" fontId="135" fillId="64" borderId="194" xfId="94" applyFont="1" applyFill="1" applyBorder="1" applyAlignment="1" applyProtection="1">
      <alignment horizontal="center" vertical="center" wrapText="1"/>
    </xf>
    <xf numFmtId="0" fontId="117" fillId="64" borderId="116" xfId="94" applyFont="1" applyFill="1" applyBorder="1" applyAlignment="1" applyProtection="1">
      <alignment horizontal="center" vertical="center" wrapText="1"/>
    </xf>
    <xf numFmtId="0" fontId="135" fillId="64" borderId="195" xfId="94" applyFont="1" applyFill="1" applyBorder="1" applyAlignment="1" applyProtection="1">
      <alignment horizontal="center" vertical="center" wrapText="1"/>
    </xf>
    <xf numFmtId="0" fontId="117" fillId="64" borderId="0" xfId="94" applyFont="1" applyFill="1" applyBorder="1" applyAlignment="1" applyProtection="1">
      <alignment horizontal="center" vertical="center" wrapText="1"/>
    </xf>
    <xf numFmtId="0" fontId="136" fillId="64" borderId="0" xfId="94" applyFont="1" applyFill="1" applyBorder="1" applyAlignment="1" applyProtection="1">
      <alignment horizontal="center" vertical="center" wrapText="1"/>
    </xf>
    <xf numFmtId="37" fontId="102" fillId="0" borderId="119" xfId="94" applyNumberFormat="1" applyFont="1" applyBorder="1" applyAlignment="1" applyProtection="1">
      <alignment horizontal="center"/>
    </xf>
    <xf numFmtId="37" fontId="121" fillId="0" borderId="119" xfId="94" applyNumberFormat="1" applyFont="1" applyBorder="1" applyAlignment="1" applyProtection="1">
      <alignment horizontal="right"/>
    </xf>
    <xf numFmtId="37" fontId="99" fillId="0" borderId="0" xfId="94" applyNumberFormat="1" applyBorder="1" applyAlignment="1" applyProtection="1">
      <alignment horizontal="right"/>
    </xf>
    <xf numFmtId="0" fontId="123" fillId="0" borderId="0" xfId="94" applyFont="1" applyFill="1" applyProtection="1"/>
    <xf numFmtId="0" fontId="123" fillId="0" borderId="116" xfId="94" applyFont="1" applyFill="1" applyBorder="1" applyProtection="1"/>
    <xf numFmtId="37" fontId="125" fillId="0" borderId="116" xfId="94" applyNumberFormat="1" applyFont="1" applyFill="1" applyBorder="1" applyAlignment="1" applyProtection="1">
      <alignment horizontal="center"/>
    </xf>
    <xf numFmtId="37" fontId="99" fillId="0" borderId="116" xfId="94" applyNumberFormat="1" applyFill="1" applyBorder="1" applyAlignment="1" applyProtection="1">
      <alignment horizontal="right"/>
    </xf>
    <xf numFmtId="37" fontId="123" fillId="0" borderId="116" xfId="94" applyNumberFormat="1" applyFont="1" applyFill="1" applyBorder="1" applyAlignment="1" applyProtection="1">
      <alignment horizontal="right"/>
    </xf>
    <xf numFmtId="37" fontId="123" fillId="0" borderId="116" xfId="94" applyNumberFormat="1" applyFont="1" applyBorder="1" applyAlignment="1" applyProtection="1">
      <alignment horizontal="right"/>
    </xf>
    <xf numFmtId="37" fontId="99" fillId="0" borderId="116" xfId="94" applyNumberFormat="1" applyBorder="1" applyAlignment="1" applyProtection="1">
      <alignment horizontal="right"/>
    </xf>
    <xf numFmtId="37" fontId="99" fillId="0" borderId="116" xfId="94" applyNumberFormat="1" applyBorder="1" applyAlignment="1" applyProtection="1">
      <alignment horizontal="center"/>
    </xf>
    <xf numFmtId="37" fontId="121" fillId="0" borderId="116" xfId="94" applyNumberFormat="1" applyFont="1" applyBorder="1" applyAlignment="1" applyProtection="1">
      <alignment horizontal="center"/>
    </xf>
    <xf numFmtId="0" fontId="118" fillId="56" borderId="113" xfId="94" applyFont="1" applyFill="1" applyBorder="1" applyAlignment="1" applyProtection="1">
      <alignment vertical="center"/>
    </xf>
    <xf numFmtId="168" fontId="118" fillId="56" borderId="196" xfId="96" applyNumberFormat="1" applyFont="1" applyFill="1" applyBorder="1" applyAlignment="1" applyProtection="1">
      <alignment horizontal="right" vertical="center"/>
    </xf>
    <xf numFmtId="179" fontId="123" fillId="56" borderId="114" xfId="96" applyNumberFormat="1" applyFont="1" applyFill="1" applyBorder="1" applyAlignment="1" applyProtection="1">
      <alignment horizontal="left" vertical="center"/>
    </xf>
    <xf numFmtId="168" fontId="118" fillId="56" borderId="197" xfId="96" applyNumberFormat="1" applyFont="1" applyFill="1" applyBorder="1" applyAlignment="1" applyProtection="1">
      <alignment horizontal="right" vertical="center"/>
    </xf>
    <xf numFmtId="43" fontId="118" fillId="56" borderId="197" xfId="96" applyNumberFormat="1" applyFont="1" applyFill="1" applyBorder="1" applyAlignment="1" applyProtection="1">
      <alignment horizontal="right" vertical="center"/>
    </xf>
    <xf numFmtId="179" fontId="118" fillId="56" borderId="113" xfId="96" applyNumberFormat="1" applyFont="1" applyFill="1" applyBorder="1" applyAlignment="1" applyProtection="1">
      <alignment horizontal="center" vertical="center"/>
    </xf>
    <xf numFmtId="37" fontId="102" fillId="56" borderId="114" xfId="94" applyNumberFormat="1" applyFont="1" applyFill="1" applyBorder="1" applyAlignment="1" applyProtection="1">
      <alignment horizontal="center" vertical="center"/>
    </xf>
    <xf numFmtId="179" fontId="123" fillId="56" borderId="115" xfId="96" applyNumberFormat="1" applyFont="1" applyFill="1" applyBorder="1" applyAlignment="1" applyProtection="1">
      <alignment horizontal="left" vertical="center"/>
    </xf>
    <xf numFmtId="0" fontId="119" fillId="0" borderId="0" xfId="94" applyFont="1" applyProtection="1"/>
    <xf numFmtId="37" fontId="121" fillId="0" borderId="0" xfId="94" applyNumberFormat="1" applyFont="1" applyFill="1" applyBorder="1" applyAlignment="1" applyProtection="1">
      <alignment horizontal="left" vertical="center"/>
    </xf>
    <xf numFmtId="0" fontId="103" fillId="0" borderId="34" xfId="94" applyFont="1" applyFill="1" applyBorder="1" applyAlignment="1" applyProtection="1">
      <alignment vertical="center"/>
    </xf>
    <xf numFmtId="10" fontId="99" fillId="0" borderId="198" xfId="94" applyNumberFormat="1" applyFont="1" applyFill="1" applyBorder="1" applyAlignment="1" applyProtection="1">
      <alignment horizontal="right" vertical="center"/>
    </xf>
    <xf numFmtId="179" fontId="123" fillId="0" borderId="0" xfId="94" applyNumberFormat="1" applyFont="1" applyFill="1" applyBorder="1" applyAlignment="1" applyProtection="1">
      <alignment horizontal="left" vertical="center"/>
    </xf>
    <xf numFmtId="9" fontId="99" fillId="0" borderId="0" xfId="94" applyNumberFormat="1" applyFont="1" applyFill="1" applyBorder="1" applyAlignment="1" applyProtection="1">
      <alignment horizontal="right" vertical="center"/>
    </xf>
    <xf numFmtId="9" fontId="0" fillId="0" borderId="199" xfId="95" applyNumberFormat="1" applyFont="1" applyFill="1" applyBorder="1" applyAlignment="1" applyProtection="1">
      <alignment horizontal="right" vertical="center"/>
    </xf>
    <xf numFmtId="9" fontId="99" fillId="0" borderId="199" xfId="94" applyNumberFormat="1" applyFont="1" applyFill="1" applyBorder="1" applyAlignment="1" applyProtection="1">
      <alignment horizontal="right" vertical="center"/>
    </xf>
    <xf numFmtId="9" fontId="99" fillId="0" borderId="34" xfId="95" applyNumberFormat="1" applyFont="1" applyFill="1" applyBorder="1" applyAlignment="1" applyProtection="1">
      <alignment horizontal="center" vertical="center"/>
    </xf>
    <xf numFmtId="10" fontId="121" fillId="0" borderId="0" xfId="95" applyNumberFormat="1" applyFont="1" applyFill="1" applyBorder="1" applyAlignment="1" applyProtection="1">
      <alignment horizontal="left" vertical="center"/>
    </xf>
    <xf numFmtId="179" fontId="123" fillId="0" borderId="122" xfId="94" applyNumberFormat="1" applyFont="1" applyFill="1" applyBorder="1" applyAlignment="1" applyProtection="1">
      <alignment horizontal="left" vertical="center"/>
    </xf>
    <xf numFmtId="179" fontId="0" fillId="0" borderId="34" xfId="95" applyNumberFormat="1" applyFont="1" applyFill="1" applyBorder="1" applyAlignment="1" applyProtection="1">
      <alignment horizontal="center" vertical="center"/>
    </xf>
    <xf numFmtId="166" fontId="123" fillId="0" borderId="34" xfId="94" applyNumberFormat="1" applyFont="1" applyFill="1" applyBorder="1" applyAlignment="1" applyProtection="1">
      <alignment horizontal="center" vertical="center"/>
    </xf>
    <xf numFmtId="10" fontId="121" fillId="0" borderId="0" xfId="95" applyNumberFormat="1" applyFont="1" applyFill="1" applyBorder="1" applyAlignment="1" applyProtection="1">
      <alignment horizontal="center" vertical="center"/>
    </xf>
    <xf numFmtId="179" fontId="99" fillId="0" borderId="34" xfId="94" applyNumberFormat="1" applyFont="1" applyFill="1" applyBorder="1" applyAlignment="1" applyProtection="1">
      <alignment horizontal="center" vertical="center"/>
    </xf>
    <xf numFmtId="37" fontId="110" fillId="0" borderId="32" xfId="94" applyNumberFormat="1" applyFont="1" applyFill="1" applyBorder="1" applyAlignment="1" applyProtection="1">
      <alignment horizontal="center" vertical="center"/>
    </xf>
    <xf numFmtId="37" fontId="110" fillId="0" borderId="116" xfId="94" applyNumberFormat="1" applyFont="1" applyFill="1" applyBorder="1" applyAlignment="1" applyProtection="1">
      <alignment horizontal="center" vertical="center"/>
    </xf>
    <xf numFmtId="0" fontId="103" fillId="0" borderId="32" xfId="94" applyFont="1" applyFill="1" applyBorder="1" applyAlignment="1" applyProtection="1">
      <alignment vertical="center"/>
    </xf>
    <xf numFmtId="37" fontId="109" fillId="0" borderId="200" xfId="94" applyNumberFormat="1" applyFont="1" applyFill="1" applyBorder="1" applyAlignment="1" applyProtection="1">
      <alignment horizontal="right" vertical="center"/>
    </xf>
    <xf numFmtId="179" fontId="128" fillId="0" borderId="116" xfId="94" applyNumberFormat="1" applyFont="1" applyFill="1" applyBorder="1" applyAlignment="1" applyProtection="1">
      <alignment horizontal="left" vertical="center"/>
    </xf>
    <xf numFmtId="168" fontId="103" fillId="0" borderId="116" xfId="96" applyNumberFormat="1" applyFont="1" applyFill="1" applyBorder="1" applyAlignment="1" applyProtection="1">
      <alignment horizontal="right" vertical="center"/>
    </xf>
    <xf numFmtId="168" fontId="103" fillId="0" borderId="201" xfId="96" applyNumberFormat="1" applyFont="1" applyFill="1" applyBorder="1" applyAlignment="1" applyProtection="1">
      <alignment horizontal="right" vertical="center"/>
    </xf>
    <xf numFmtId="179" fontId="110" fillId="0" borderId="32" xfId="96" applyNumberFormat="1" applyFont="1" applyFill="1" applyBorder="1" applyAlignment="1" applyProtection="1">
      <alignment horizontal="center" vertical="center"/>
    </xf>
    <xf numFmtId="37" fontId="137" fillId="0" borderId="116" xfId="94" applyNumberFormat="1" applyFont="1" applyFill="1" applyBorder="1" applyAlignment="1" applyProtection="1">
      <alignment horizontal="center" vertical="center"/>
    </xf>
    <xf numFmtId="179" fontId="123" fillId="0" borderId="37" xfId="94" applyNumberFormat="1" applyFont="1" applyFill="1" applyBorder="1" applyAlignment="1" applyProtection="1">
      <alignment horizontal="left" vertical="center"/>
    </xf>
    <xf numFmtId="179" fontId="103" fillId="0" borderId="32" xfId="96" applyNumberFormat="1" applyFont="1" applyFill="1" applyBorder="1" applyAlignment="1" applyProtection="1">
      <alignment horizontal="center" vertical="center"/>
    </xf>
    <xf numFmtId="168" fontId="119" fillId="0" borderId="0" xfId="96" applyNumberFormat="1" applyFont="1" applyBorder="1" applyAlignment="1" applyProtection="1">
      <alignment horizontal="center" vertical="center"/>
    </xf>
    <xf numFmtId="166" fontId="121" fillId="0" borderId="0" xfId="95" applyNumberFormat="1" applyFont="1" applyFill="1" applyBorder="1" applyAlignment="1" applyProtection="1">
      <alignment horizontal="center"/>
    </xf>
    <xf numFmtId="168" fontId="119" fillId="0" borderId="198" xfId="96" applyNumberFormat="1" applyFont="1" applyFill="1" applyBorder="1" applyAlignment="1" applyProtection="1">
      <alignment horizontal="right" vertical="center"/>
    </xf>
    <xf numFmtId="179" fontId="123" fillId="0" borderId="0" xfId="96" applyNumberFormat="1" applyFont="1" applyFill="1" applyBorder="1" applyAlignment="1" applyProtection="1">
      <alignment horizontal="left" vertical="center"/>
    </xf>
    <xf numFmtId="168" fontId="119" fillId="0" borderId="0" xfId="96" applyNumberFormat="1" applyFont="1" applyFill="1" applyBorder="1" applyAlignment="1" applyProtection="1">
      <alignment horizontal="right" vertical="center"/>
    </xf>
    <xf numFmtId="168" fontId="119" fillId="0" borderId="199" xfId="96" applyNumberFormat="1" applyFont="1" applyFill="1" applyBorder="1" applyAlignment="1" applyProtection="1">
      <alignment horizontal="right" vertical="center"/>
    </xf>
    <xf numFmtId="179" fontId="119" fillId="0" borderId="34" xfId="96" applyNumberFormat="1" applyFont="1" applyFill="1" applyBorder="1" applyAlignment="1" applyProtection="1">
      <alignment horizontal="center" vertical="center"/>
    </xf>
    <xf numFmtId="166" fontId="121" fillId="0" borderId="114" xfId="95" applyNumberFormat="1" applyFont="1" applyFill="1" applyBorder="1" applyAlignment="1" applyProtection="1">
      <alignment horizontal="center" vertical="center"/>
    </xf>
    <xf numFmtId="179" fontId="123" fillId="0" borderId="122" xfId="96" applyNumberFormat="1" applyFont="1" applyFill="1" applyBorder="1" applyAlignment="1" applyProtection="1">
      <alignment horizontal="left" vertical="center"/>
    </xf>
    <xf numFmtId="166" fontId="121" fillId="0" borderId="116" xfId="95" applyNumberFormat="1" applyFont="1" applyFill="1" applyBorder="1" applyAlignment="1" applyProtection="1">
      <alignment horizontal="center" vertical="center"/>
    </xf>
    <xf numFmtId="0" fontId="99" fillId="0" borderId="0" xfId="94" applyFont="1" applyFill="1" applyProtection="1"/>
    <xf numFmtId="0" fontId="118" fillId="56" borderId="118" xfId="94" applyFont="1" applyFill="1" applyBorder="1" applyAlignment="1" applyProtection="1">
      <alignment vertical="center"/>
    </xf>
    <xf numFmtId="168" fontId="118" fillId="56" borderId="202" xfId="96" applyNumberFormat="1" applyFont="1" applyFill="1" applyBorder="1" applyAlignment="1" applyProtection="1">
      <alignment horizontal="right" vertical="center"/>
    </xf>
    <xf numFmtId="179" fontId="123" fillId="56" borderId="119" xfId="96" applyNumberFormat="1" applyFont="1" applyFill="1" applyBorder="1" applyAlignment="1" applyProtection="1">
      <alignment horizontal="left" vertical="center"/>
    </xf>
    <xf numFmtId="168" fontId="118" fillId="56" borderId="119" xfId="96" applyNumberFormat="1" applyFont="1" applyFill="1" applyBorder="1" applyAlignment="1" applyProtection="1">
      <alignment horizontal="right" vertical="center"/>
    </xf>
    <xf numFmtId="168" fontId="118" fillId="56" borderId="203" xfId="96" applyNumberFormat="1" applyFont="1" applyFill="1" applyBorder="1" applyAlignment="1" applyProtection="1">
      <alignment horizontal="right" vertical="center"/>
    </xf>
    <xf numFmtId="179" fontId="118" fillId="56" borderId="118" xfId="96" applyNumberFormat="1" applyFont="1" applyFill="1" applyBorder="1" applyAlignment="1" applyProtection="1">
      <alignment horizontal="center" vertical="center"/>
    </xf>
    <xf numFmtId="37" fontId="102" fillId="56" borderId="119" xfId="94" applyNumberFormat="1" applyFont="1" applyFill="1" applyBorder="1" applyAlignment="1" applyProtection="1">
      <alignment horizontal="center" vertical="center"/>
    </xf>
    <xf numFmtId="179" fontId="123" fillId="56" borderId="120" xfId="96" applyNumberFormat="1" applyFont="1" applyFill="1" applyBorder="1" applyAlignment="1" applyProtection="1">
      <alignment horizontal="left" vertical="center"/>
    </xf>
    <xf numFmtId="43" fontId="110" fillId="0" borderId="121" xfId="96" applyFont="1" applyFill="1" applyBorder="1" applyAlignment="1" applyProtection="1">
      <alignment horizontal="center" vertical="center"/>
    </xf>
    <xf numFmtId="0" fontId="121" fillId="0" borderId="115" xfId="94" applyFont="1" applyFill="1" applyBorder="1" applyAlignment="1" applyProtection="1">
      <alignment horizontal="center"/>
    </xf>
    <xf numFmtId="0" fontId="121" fillId="0" borderId="0" xfId="94" applyFont="1" applyFill="1" applyBorder="1" applyAlignment="1" applyProtection="1">
      <alignment horizontal="center"/>
    </xf>
    <xf numFmtId="0" fontId="103" fillId="0" borderId="113" xfId="94" applyFont="1" applyFill="1" applyBorder="1" applyAlignment="1" applyProtection="1">
      <alignment vertical="center"/>
    </xf>
    <xf numFmtId="37" fontId="103" fillId="0" borderId="196" xfId="94" applyNumberFormat="1" applyFont="1" applyFill="1" applyBorder="1" applyAlignment="1" applyProtection="1">
      <alignment horizontal="right" vertical="center"/>
    </xf>
    <xf numFmtId="9" fontId="110" fillId="0" borderId="114" xfId="94" applyNumberFormat="1" applyFont="1" applyFill="1" applyBorder="1" applyAlignment="1" applyProtection="1">
      <alignment horizontal="right"/>
    </xf>
    <xf numFmtId="9" fontId="103" fillId="0" borderId="114" xfId="95" applyNumberFormat="1" applyFont="1" applyFill="1" applyBorder="1" applyAlignment="1" applyProtection="1">
      <alignment horizontal="right" vertical="center"/>
    </xf>
    <xf numFmtId="9" fontId="103" fillId="0" borderId="197" xfId="95" applyNumberFormat="1" applyFont="1" applyFill="1" applyBorder="1" applyAlignment="1" applyProtection="1">
      <alignment horizontal="right" vertical="center"/>
    </xf>
    <xf numFmtId="9" fontId="103" fillId="0" borderId="113" xfId="95" applyNumberFormat="1" applyFont="1" applyFill="1" applyBorder="1" applyAlignment="1" applyProtection="1">
      <alignment horizontal="center" vertical="center"/>
    </xf>
    <xf numFmtId="9" fontId="137" fillId="0" borderId="114" xfId="95" applyNumberFormat="1" applyFont="1" applyFill="1" applyBorder="1" applyAlignment="1" applyProtection="1">
      <alignment horizontal="center" vertical="center"/>
    </xf>
    <xf numFmtId="9" fontId="123" fillId="0" borderId="115" xfId="94" applyNumberFormat="1" applyFont="1" applyFill="1" applyBorder="1" applyAlignment="1" applyProtection="1">
      <alignment horizontal="left" vertical="center"/>
    </xf>
    <xf numFmtId="9" fontId="123" fillId="0" borderId="0" xfId="94" applyNumberFormat="1" applyFont="1" applyProtection="1"/>
    <xf numFmtId="167" fontId="119" fillId="0" borderId="198" xfId="96" applyNumberFormat="1" applyFont="1" applyFill="1" applyBorder="1" applyAlignment="1" applyProtection="1">
      <alignment horizontal="right" vertical="center"/>
    </xf>
    <xf numFmtId="181" fontId="123" fillId="0" borderId="0" xfId="96" applyNumberFormat="1" applyFont="1" applyFill="1" applyBorder="1" applyAlignment="1" applyProtection="1">
      <alignment horizontal="left" vertical="center"/>
    </xf>
    <xf numFmtId="167" fontId="119" fillId="0" borderId="0" xfId="96" applyNumberFormat="1" applyFont="1" applyFill="1" applyBorder="1" applyAlignment="1" applyProtection="1">
      <alignment horizontal="right" vertical="center"/>
    </xf>
    <xf numFmtId="167" fontId="119" fillId="0" borderId="199" xfId="96" applyNumberFormat="1" applyFont="1" applyFill="1" applyBorder="1" applyAlignment="1" applyProtection="1">
      <alignment horizontal="right" vertical="center"/>
    </xf>
    <xf numFmtId="166" fontId="137" fillId="0" borderId="0" xfId="95" applyNumberFormat="1" applyFont="1" applyFill="1" applyBorder="1" applyAlignment="1" applyProtection="1">
      <alignment horizontal="center" vertical="center"/>
    </xf>
    <xf numFmtId="179" fontId="122" fillId="0" borderId="34" xfId="96" applyNumberFormat="1" applyFont="1" applyFill="1" applyBorder="1" applyAlignment="1" applyProtection="1">
      <alignment horizontal="center" vertical="center"/>
    </xf>
    <xf numFmtId="166" fontId="137" fillId="0" borderId="116" xfId="95" applyNumberFormat="1" applyFont="1" applyFill="1" applyBorder="1" applyAlignment="1" applyProtection="1">
      <alignment horizontal="center" vertical="center"/>
    </xf>
    <xf numFmtId="0" fontId="118" fillId="56" borderId="142" xfId="94" applyFont="1" applyFill="1" applyBorder="1" applyAlignment="1" applyProtection="1">
      <alignment vertical="center"/>
    </xf>
    <xf numFmtId="168" fontId="118" fillId="56" borderId="204" xfId="96" applyNumberFormat="1" applyFont="1" applyFill="1" applyBorder="1" applyAlignment="1" applyProtection="1">
      <alignment horizontal="right" vertical="center"/>
    </xf>
    <xf numFmtId="179" fontId="123" fillId="56" borderId="143" xfId="96" applyNumberFormat="1" applyFont="1" applyFill="1" applyBorder="1" applyAlignment="1" applyProtection="1">
      <alignment horizontal="left" vertical="center"/>
    </xf>
    <xf numFmtId="168" fontId="118" fillId="56" borderId="143" xfId="96" applyNumberFormat="1" applyFont="1" applyFill="1" applyBorder="1" applyAlignment="1" applyProtection="1">
      <alignment horizontal="right" vertical="center"/>
    </xf>
    <xf numFmtId="168" fontId="118" fillId="56" borderId="205" xfId="96" applyNumberFormat="1" applyFont="1" applyFill="1" applyBorder="1" applyAlignment="1" applyProtection="1">
      <alignment horizontal="right" vertical="center"/>
    </xf>
    <xf numFmtId="179" fontId="118" fillId="56" borderId="142" xfId="96" applyNumberFormat="1" applyFont="1" applyFill="1" applyBorder="1" applyAlignment="1" applyProtection="1">
      <alignment horizontal="center" vertical="center"/>
    </xf>
    <xf numFmtId="37" fontId="102" fillId="56" borderId="143" xfId="94" applyNumberFormat="1" applyFont="1" applyFill="1" applyBorder="1" applyAlignment="1" applyProtection="1">
      <alignment horizontal="center" vertical="center"/>
    </xf>
    <xf numFmtId="179" fontId="123" fillId="56" borderId="144" xfId="96" applyNumberFormat="1" applyFont="1" applyFill="1" applyBorder="1" applyAlignment="1" applyProtection="1">
      <alignment horizontal="left" vertical="center"/>
    </xf>
    <xf numFmtId="0" fontId="121" fillId="0" borderId="122" xfId="94" applyFont="1" applyFill="1" applyBorder="1" applyAlignment="1" applyProtection="1">
      <alignment horizontal="center"/>
    </xf>
    <xf numFmtId="0" fontId="123" fillId="0" borderId="0" xfId="94" applyFont="1" applyFill="1" applyBorder="1" applyProtection="1"/>
    <xf numFmtId="0" fontId="103" fillId="0" borderId="206" xfId="94" applyFont="1" applyFill="1" applyBorder="1" applyAlignment="1" applyProtection="1">
      <alignment vertical="center"/>
    </xf>
    <xf numFmtId="37" fontId="109" fillId="0" borderId="207" xfId="94" applyNumberFormat="1" applyFont="1" applyFill="1" applyBorder="1" applyAlignment="1" applyProtection="1">
      <alignment horizontal="right" vertical="center"/>
    </xf>
    <xf numFmtId="9" fontId="125" fillId="0" borderId="208" xfId="94" applyNumberFormat="1" applyFont="1" applyFill="1" applyBorder="1" applyAlignment="1" applyProtection="1">
      <alignment horizontal="right"/>
    </xf>
    <xf numFmtId="9" fontId="103" fillId="0" borderId="208" xfId="95" applyNumberFormat="1" applyFont="1" applyFill="1" applyBorder="1" applyAlignment="1" applyProtection="1">
      <alignment horizontal="right" vertical="center"/>
    </xf>
    <xf numFmtId="9" fontId="103" fillId="0" borderId="209" xfId="95" applyNumberFormat="1" applyFont="1" applyFill="1" applyBorder="1" applyAlignment="1" applyProtection="1">
      <alignment horizontal="right" vertical="center"/>
    </xf>
    <xf numFmtId="9" fontId="103" fillId="0" borderId="206" xfId="95" applyNumberFormat="1" applyFont="1" applyFill="1" applyBorder="1" applyAlignment="1" applyProtection="1">
      <alignment horizontal="center" vertical="center"/>
    </xf>
    <xf numFmtId="9" fontId="137" fillId="0" borderId="208" xfId="95" applyNumberFormat="1" applyFont="1" applyFill="1" applyBorder="1" applyAlignment="1" applyProtection="1">
      <alignment horizontal="center" vertical="center"/>
    </xf>
    <xf numFmtId="9" fontId="123" fillId="0" borderId="210" xfId="94" applyNumberFormat="1" applyFont="1" applyFill="1" applyBorder="1" applyAlignment="1" applyProtection="1">
      <alignment horizontal="left" vertical="center"/>
    </xf>
    <xf numFmtId="37" fontId="121" fillId="0" borderId="0" xfId="94" applyNumberFormat="1" applyFont="1" applyFill="1" applyBorder="1" applyAlignment="1" applyProtection="1">
      <alignment horizontal="center" vertical="center" wrapText="1"/>
    </xf>
    <xf numFmtId="37" fontId="123" fillId="0" borderId="0" xfId="94" applyNumberFormat="1" applyFont="1" applyFill="1" applyBorder="1" applyAlignment="1" applyProtection="1">
      <alignment horizontal="center"/>
    </xf>
    <xf numFmtId="37" fontId="109" fillId="0" borderId="196" xfId="94" applyNumberFormat="1" applyFont="1" applyFill="1" applyBorder="1" applyAlignment="1" applyProtection="1">
      <alignment horizontal="right" vertical="center"/>
    </xf>
    <xf numFmtId="9" fontId="125" fillId="0" borderId="114" xfId="94" applyNumberFormat="1" applyFont="1" applyFill="1" applyBorder="1" applyAlignment="1" applyProtection="1">
      <alignment horizontal="right"/>
    </xf>
    <xf numFmtId="9" fontId="122" fillId="0" borderId="0" xfId="94" applyNumberFormat="1" applyFont="1" applyProtection="1"/>
    <xf numFmtId="166" fontId="121" fillId="0" borderId="0" xfId="95" applyNumberFormat="1" applyFont="1" applyFill="1" applyBorder="1" applyAlignment="1" applyProtection="1">
      <alignment horizontal="center" vertical="center"/>
    </xf>
    <xf numFmtId="168" fontId="119" fillId="0" borderId="122" xfId="96" applyNumberFormat="1" applyFont="1" applyFill="1" applyBorder="1" applyAlignment="1" applyProtection="1">
      <alignment horizontal="center" vertical="center"/>
    </xf>
    <xf numFmtId="0" fontId="118" fillId="56" borderId="34" xfId="94" applyFont="1" applyFill="1" applyBorder="1" applyAlignment="1" applyProtection="1">
      <alignment vertical="center"/>
    </xf>
    <xf numFmtId="168" fontId="118" fillId="56" borderId="198" xfId="96" applyNumberFormat="1" applyFont="1" applyFill="1" applyBorder="1" applyAlignment="1" applyProtection="1">
      <alignment horizontal="right" vertical="center"/>
    </xf>
    <xf numFmtId="179" fontId="123" fillId="56" borderId="0" xfId="96" applyNumberFormat="1" applyFont="1" applyFill="1" applyBorder="1" applyAlignment="1" applyProtection="1">
      <alignment horizontal="left" vertical="center"/>
    </xf>
    <xf numFmtId="168" fontId="118" fillId="56" borderId="0" xfId="96" applyNumberFormat="1" applyFont="1" applyFill="1" applyBorder="1" applyAlignment="1" applyProtection="1">
      <alignment horizontal="right" vertical="center"/>
    </xf>
    <xf numFmtId="168" fontId="118" fillId="56" borderId="199" xfId="96" applyNumberFormat="1" applyFont="1" applyFill="1" applyBorder="1" applyAlignment="1" applyProtection="1">
      <alignment horizontal="right" vertical="center"/>
    </xf>
    <xf numFmtId="179" fontId="118" fillId="56" borderId="34" xfId="96" applyNumberFormat="1" applyFont="1" applyFill="1" applyBorder="1" applyAlignment="1" applyProtection="1">
      <alignment horizontal="center" vertical="center"/>
    </xf>
    <xf numFmtId="37" fontId="102" fillId="56" borderId="0" xfId="94" applyNumberFormat="1" applyFont="1" applyFill="1" applyBorder="1" applyAlignment="1" applyProtection="1">
      <alignment horizontal="center" vertical="center"/>
    </xf>
    <xf numFmtId="179" fontId="123" fillId="56" borderId="122" xfId="96" applyNumberFormat="1" applyFont="1" applyFill="1" applyBorder="1" applyAlignment="1" applyProtection="1">
      <alignment horizontal="left" vertical="center"/>
    </xf>
    <xf numFmtId="37" fontId="109" fillId="0" borderId="198" xfId="94" applyNumberFormat="1" applyFont="1" applyFill="1" applyBorder="1" applyAlignment="1" applyProtection="1">
      <alignment horizontal="right" vertical="center"/>
    </xf>
    <xf numFmtId="9" fontId="125" fillId="0" borderId="0" xfId="94" applyNumberFormat="1" applyFont="1" applyFill="1" applyBorder="1" applyAlignment="1" applyProtection="1">
      <alignment horizontal="right"/>
    </xf>
    <xf numFmtId="9" fontId="103" fillId="0" borderId="0" xfId="95" applyNumberFormat="1" applyFont="1" applyBorder="1" applyAlignment="1" applyProtection="1">
      <alignment horizontal="right" vertical="center"/>
    </xf>
    <xf numFmtId="9" fontId="103" fillId="0" borderId="199" xfId="95" applyNumberFormat="1" applyFont="1" applyBorder="1" applyAlignment="1" applyProtection="1">
      <alignment horizontal="right" vertical="center"/>
    </xf>
    <xf numFmtId="9" fontId="103" fillId="0" borderId="34" xfId="95" applyNumberFormat="1" applyFont="1" applyBorder="1" applyAlignment="1" applyProtection="1">
      <alignment horizontal="center" vertical="center"/>
    </xf>
    <xf numFmtId="9" fontId="137" fillId="0" borderId="0" xfId="95" applyNumberFormat="1" applyFont="1" applyBorder="1" applyAlignment="1" applyProtection="1">
      <alignment horizontal="center" vertical="center"/>
    </xf>
    <xf numFmtId="9" fontId="123" fillId="0" borderId="122" xfId="94" applyNumberFormat="1" applyFont="1" applyFill="1" applyBorder="1" applyAlignment="1" applyProtection="1">
      <alignment horizontal="left" vertical="center"/>
    </xf>
    <xf numFmtId="9" fontId="122" fillId="0" borderId="0" xfId="95" applyNumberFormat="1" applyFont="1" applyFill="1" applyProtection="1"/>
    <xf numFmtId="0" fontId="119" fillId="0" borderId="188" xfId="94" applyFont="1" applyFill="1" applyBorder="1" applyAlignment="1" applyProtection="1">
      <alignment vertical="center"/>
    </xf>
    <xf numFmtId="37" fontId="118" fillId="0" borderId="189" xfId="94" applyNumberFormat="1" applyFont="1" applyFill="1" applyBorder="1" applyAlignment="1" applyProtection="1">
      <alignment horizontal="center" vertical="center"/>
    </xf>
    <xf numFmtId="168" fontId="119" fillId="0" borderId="188" xfId="96" applyNumberFormat="1" applyFont="1" applyFill="1" applyBorder="1" applyAlignment="1" applyProtection="1">
      <alignment horizontal="center" vertical="center"/>
    </xf>
    <xf numFmtId="168" fontId="119" fillId="0" borderId="187" xfId="96" applyNumberFormat="1" applyFont="1" applyFill="1" applyBorder="1" applyAlignment="1" applyProtection="1">
      <alignment horizontal="center" vertical="center"/>
    </xf>
    <xf numFmtId="168" fontId="121" fillId="0" borderId="190" xfId="96" applyNumberFormat="1" applyFont="1" applyFill="1" applyBorder="1" applyAlignment="1" applyProtection="1">
      <alignment horizontal="center"/>
    </xf>
    <xf numFmtId="168" fontId="122" fillId="0" borderId="129" xfId="96" applyNumberFormat="1" applyFont="1" applyFill="1" applyBorder="1" applyProtection="1"/>
    <xf numFmtId="168" fontId="119" fillId="0" borderId="189" xfId="96" applyNumberFormat="1" applyFont="1" applyFill="1" applyBorder="1" applyAlignment="1" applyProtection="1">
      <alignment horizontal="center" vertical="center"/>
    </xf>
    <xf numFmtId="168" fontId="123" fillId="0" borderId="0" xfId="96" applyNumberFormat="1" applyFont="1" applyFill="1" applyBorder="1" applyAlignment="1" applyProtection="1">
      <alignment horizontal="center" vertical="center"/>
    </xf>
    <xf numFmtId="168" fontId="121" fillId="0" borderId="129" xfId="96" applyNumberFormat="1" applyFont="1" applyFill="1" applyBorder="1" applyAlignment="1" applyProtection="1">
      <alignment horizontal="center"/>
    </xf>
    <xf numFmtId="168" fontId="118" fillId="0" borderId="211" xfId="96" applyNumberFormat="1" applyFont="1" applyFill="1" applyBorder="1" applyAlignment="1" applyProtection="1">
      <alignment horizontal="right" vertical="center"/>
    </xf>
    <xf numFmtId="179" fontId="123" fillId="0" borderId="30" xfId="96" applyNumberFormat="1" applyFont="1" applyFill="1" applyBorder="1" applyAlignment="1" applyProtection="1">
      <alignment horizontal="left" vertical="center"/>
    </xf>
    <xf numFmtId="168" fontId="118" fillId="0" borderId="30" xfId="96" applyNumberFormat="1" applyFont="1" applyFill="1" applyBorder="1" applyAlignment="1" applyProtection="1">
      <alignment horizontal="right" vertical="center"/>
    </xf>
    <xf numFmtId="179" fontId="123" fillId="0" borderId="212" xfId="96" applyNumberFormat="1" applyFont="1" applyFill="1" applyBorder="1" applyAlignment="1" applyProtection="1">
      <alignment horizontal="left" vertical="center"/>
    </xf>
    <xf numFmtId="168" fontId="118" fillId="0" borderId="213" xfId="96" applyNumberFormat="1" applyFont="1" applyFill="1" applyBorder="1" applyAlignment="1" applyProtection="1">
      <alignment horizontal="right" vertical="center"/>
    </xf>
    <xf numFmtId="179" fontId="123" fillId="0" borderId="214" xfId="96" applyNumberFormat="1" applyFont="1" applyFill="1" applyBorder="1" applyAlignment="1" applyProtection="1">
      <alignment horizontal="left" vertical="center"/>
    </xf>
    <xf numFmtId="179" fontId="118" fillId="0" borderId="145" xfId="96" applyNumberFormat="1" applyFont="1" applyFill="1" applyBorder="1" applyAlignment="1" applyProtection="1">
      <alignment horizontal="center" vertical="center"/>
    </xf>
    <xf numFmtId="37" fontId="102" fillId="0" borderId="30" xfId="94" applyNumberFormat="1" applyFont="1" applyFill="1" applyBorder="1" applyAlignment="1" applyProtection="1">
      <alignment horizontal="center" vertical="center"/>
    </xf>
    <xf numFmtId="179" fontId="123" fillId="0" borderId="146" xfId="96" applyNumberFormat="1" applyFont="1" applyFill="1" applyBorder="1" applyAlignment="1" applyProtection="1">
      <alignment horizontal="left" vertical="center"/>
    </xf>
    <xf numFmtId="0" fontId="122" fillId="0" borderId="34" xfId="94" applyFont="1" applyFill="1" applyBorder="1" applyProtection="1"/>
    <xf numFmtId="0" fontId="109" fillId="0" borderId="116" xfId="94" applyFont="1" applyBorder="1" applyProtection="1">
      <protection locked="0"/>
    </xf>
    <xf numFmtId="9" fontId="99" fillId="0" borderId="118" xfId="94" applyNumberFormat="1" applyBorder="1" applyProtection="1"/>
    <xf numFmtId="168" fontId="0" fillId="0" borderId="120" xfId="96" applyNumberFormat="1" applyFont="1" applyBorder="1" applyProtection="1"/>
    <xf numFmtId="9" fontId="0" fillId="0" borderId="119" xfId="95" applyFont="1" applyBorder="1" applyProtection="1"/>
    <xf numFmtId="9" fontId="0" fillId="0" borderId="119" xfId="96" applyNumberFormat="1" applyFont="1" applyFill="1" applyBorder="1" applyProtection="1"/>
    <xf numFmtId="168" fontId="0" fillId="0" borderId="119" xfId="96" applyNumberFormat="1" applyFont="1" applyBorder="1" applyProtection="1"/>
    <xf numFmtId="168" fontId="0" fillId="0" borderId="119" xfId="96" applyNumberFormat="1" applyFont="1" applyFill="1" applyBorder="1" applyProtection="1"/>
    <xf numFmtId="39" fontId="123" fillId="0" borderId="0" xfId="94" applyNumberFormat="1" applyFont="1" applyBorder="1" applyAlignment="1" applyProtection="1">
      <alignment horizontal="center" vertical="center"/>
    </xf>
    <xf numFmtId="180" fontId="123" fillId="0" borderId="114" xfId="94" applyNumberFormat="1" applyFont="1" applyFill="1" applyBorder="1" applyAlignment="1" applyProtection="1">
      <alignment horizontal="center" vertical="center"/>
    </xf>
    <xf numFmtId="37" fontId="123" fillId="0" borderId="114" xfId="94" applyNumberFormat="1" applyFont="1" applyFill="1" applyBorder="1" applyAlignment="1" applyProtection="1">
      <alignment horizontal="center" vertical="center"/>
    </xf>
    <xf numFmtId="1" fontId="109" fillId="0" borderId="165" xfId="94" applyNumberFormat="1" applyFont="1" applyFill="1" applyBorder="1" applyAlignment="1" applyProtection="1">
      <alignment horizontal="center"/>
    </xf>
    <xf numFmtId="1" fontId="109" fillId="0" borderId="125" xfId="94" applyNumberFormat="1" applyFont="1" applyFill="1" applyBorder="1" applyAlignment="1" applyProtection="1">
      <alignment horizontal="center"/>
    </xf>
    <xf numFmtId="1" fontId="109" fillId="0" borderId="126" xfId="94" applyNumberFormat="1" applyFont="1" applyFill="1" applyBorder="1" applyAlignment="1" applyProtection="1">
      <alignment horizontal="center"/>
    </xf>
    <xf numFmtId="1" fontId="109" fillId="0" borderId="166" xfId="94" applyNumberFormat="1" applyFont="1" applyFill="1" applyBorder="1" applyAlignment="1" applyProtection="1">
      <alignment horizontal="center"/>
    </xf>
    <xf numFmtId="0" fontId="99" fillId="0" borderId="180" xfId="94" applyFill="1" applyBorder="1" applyProtection="1"/>
    <xf numFmtId="0" fontId="99" fillId="0" borderId="215" xfId="94" applyFill="1" applyBorder="1" applyProtection="1"/>
    <xf numFmtId="168" fontId="0" fillId="0" borderId="0" xfId="96" applyNumberFormat="1" applyFont="1" applyFill="1" applyProtection="1">
      <protection locked="0"/>
    </xf>
    <xf numFmtId="0" fontId="99" fillId="0" borderId="181" xfId="94" applyFill="1" applyBorder="1" applyProtection="1"/>
    <xf numFmtId="0" fontId="99" fillId="0" borderId="216" xfId="94" applyFill="1" applyBorder="1" applyProtection="1"/>
    <xf numFmtId="179" fontId="99" fillId="0" borderId="181" xfId="94" applyNumberFormat="1" applyFill="1" applyBorder="1" applyProtection="1"/>
    <xf numFmtId="179" fontId="99" fillId="0" borderId="216" xfId="94" applyNumberFormat="1" applyFill="1" applyBorder="1" applyProtection="1"/>
    <xf numFmtId="9" fontId="123" fillId="0" borderId="175" xfId="95" applyFont="1" applyFill="1" applyBorder="1" applyAlignment="1" applyProtection="1">
      <alignment horizontal="center" vertical="center"/>
    </xf>
    <xf numFmtId="168" fontId="0" fillId="0" borderId="216" xfId="96" applyNumberFormat="1" applyFont="1" applyFill="1" applyBorder="1" applyProtection="1"/>
    <xf numFmtId="0" fontId="99" fillId="0" borderId="217" xfId="94" applyFill="1" applyBorder="1" applyProtection="1"/>
    <xf numFmtId="179" fontId="99" fillId="0" borderId="218" xfId="94" applyNumberFormat="1" applyFill="1" applyBorder="1" applyProtection="1"/>
    <xf numFmtId="168" fontId="0" fillId="0" borderId="0" xfId="96" applyNumberFormat="1" applyFont="1" applyBorder="1" applyAlignment="1" applyProtection="1">
      <alignment horizontal="center"/>
    </xf>
    <xf numFmtId="168" fontId="0" fillId="0" borderId="0" xfId="96" applyNumberFormat="1" applyFont="1" applyFill="1" applyBorder="1" applyAlignment="1" applyProtection="1">
      <alignment horizontal="center"/>
    </xf>
    <xf numFmtId="0" fontId="99" fillId="0" borderId="114" xfId="94" applyFill="1" applyBorder="1" applyAlignment="1" applyProtection="1">
      <alignment horizontal="center"/>
    </xf>
    <xf numFmtId="0" fontId="99" fillId="0" borderId="115" xfId="94" applyFill="1" applyBorder="1" applyAlignment="1" applyProtection="1">
      <alignment horizontal="center"/>
    </xf>
    <xf numFmtId="0" fontId="99" fillId="0" borderId="135" xfId="94" applyFill="1" applyBorder="1" applyProtection="1"/>
    <xf numFmtId="0" fontId="99" fillId="0" borderId="176" xfId="94" applyFill="1" applyBorder="1" applyProtection="1"/>
    <xf numFmtId="168" fontId="0" fillId="0" borderId="172" xfId="96" applyNumberFormat="1" applyFont="1" applyFill="1" applyBorder="1" applyProtection="1"/>
    <xf numFmtId="168" fontId="0" fillId="0" borderId="173" xfId="96" applyNumberFormat="1" applyFont="1" applyFill="1" applyBorder="1" applyProtection="1"/>
    <xf numFmtId="0" fontId="99" fillId="0" borderId="166" xfId="94" applyFill="1" applyBorder="1" applyProtection="1"/>
    <xf numFmtId="168" fontId="99" fillId="0" borderId="172" xfId="94" applyNumberFormat="1" applyFill="1" applyBorder="1" applyProtection="1"/>
    <xf numFmtId="168" fontId="99" fillId="0" borderId="112" xfId="94" applyNumberFormat="1" applyFill="1" applyBorder="1" applyProtection="1"/>
    <xf numFmtId="168" fontId="99" fillId="0" borderId="173" xfId="94" applyNumberFormat="1" applyFill="1" applyBorder="1" applyProtection="1"/>
    <xf numFmtId="168" fontId="0" fillId="0" borderId="128" xfId="96" applyNumberFormat="1" applyFont="1" applyFill="1" applyBorder="1" applyProtection="1"/>
    <xf numFmtId="168" fontId="0" fillId="0" borderId="132" xfId="96" applyNumberFormat="1" applyFont="1" applyFill="1" applyBorder="1" applyProtection="1"/>
    <xf numFmtId="168" fontId="0" fillId="0" borderId="34" xfId="96" applyNumberFormat="1" applyFont="1" applyFill="1" applyBorder="1" applyProtection="1"/>
    <xf numFmtId="168" fontId="0" fillId="0" borderId="32" xfId="96" applyNumberFormat="1" applyFont="1" applyFill="1" applyBorder="1" applyProtection="1"/>
    <xf numFmtId="0" fontId="109" fillId="0" borderId="34" xfId="94" applyFont="1" applyBorder="1" applyAlignment="1" applyProtection="1">
      <alignment horizontal="centerContinuous"/>
      <protection locked="0"/>
    </xf>
    <xf numFmtId="0" fontId="99" fillId="0" borderId="121" xfId="94" applyFill="1" applyBorder="1" applyProtection="1"/>
    <xf numFmtId="0" fontId="99" fillId="0" borderId="113" xfId="94" applyFill="1" applyBorder="1" applyProtection="1"/>
    <xf numFmtId="1" fontId="0" fillId="0" borderId="171" xfId="96" applyNumberFormat="1" applyFont="1" applyFill="1" applyBorder="1" applyAlignment="1" applyProtection="1">
      <alignment horizontal="center"/>
    </xf>
    <xf numFmtId="1" fontId="99" fillId="0" borderId="184" xfId="94" applyNumberFormat="1" applyFill="1" applyBorder="1" applyAlignment="1" applyProtection="1">
      <alignment horizontal="center"/>
    </xf>
    <xf numFmtId="0" fontId="109" fillId="0" borderId="0" xfId="94" quotePrefix="1" applyFont="1" applyProtection="1"/>
    <xf numFmtId="9" fontId="99" fillId="58" borderId="121" xfId="95" applyFont="1" applyFill="1" applyBorder="1" applyAlignment="1" applyProtection="1">
      <alignment horizontal="centerContinuous"/>
      <protection locked="0"/>
    </xf>
    <xf numFmtId="179" fontId="99" fillId="58" borderId="21" xfId="96" applyNumberFormat="1" applyFont="1" applyFill="1" applyBorder="1" applyAlignment="1" applyProtection="1">
      <alignment horizontal="centerContinuous"/>
      <protection locked="0"/>
    </xf>
    <xf numFmtId="9" fontId="0" fillId="58" borderId="121" xfId="95" applyFont="1" applyFill="1" applyBorder="1" applyAlignment="1" applyProtection="1">
      <alignment horizontal="centerContinuous"/>
      <protection locked="0"/>
    </xf>
    <xf numFmtId="181" fontId="0" fillId="58" borderId="21" xfId="96" applyNumberFormat="1" applyFont="1" applyFill="1" applyBorder="1" applyAlignment="1" applyProtection="1">
      <alignment horizontal="centerContinuous"/>
      <protection locked="0"/>
    </xf>
    <xf numFmtId="0" fontId="99" fillId="48" borderId="0" xfId="94" applyFill="1" applyProtection="1">
      <protection locked="0"/>
    </xf>
    <xf numFmtId="0" fontId="138" fillId="0" borderId="0" xfId="94" applyFont="1" applyProtection="1"/>
    <xf numFmtId="0" fontId="138" fillId="0" borderId="0" xfId="94" applyFont="1" applyAlignment="1" applyProtection="1">
      <alignment wrapText="1"/>
    </xf>
    <xf numFmtId="0" fontId="138" fillId="0" borderId="0" xfId="94" applyFont="1" applyProtection="1">
      <protection locked="0"/>
    </xf>
    <xf numFmtId="0" fontId="138" fillId="0" borderId="0" xfId="94" applyFont="1" applyAlignment="1" applyProtection="1">
      <alignment horizontal="center" vertical="center"/>
    </xf>
    <xf numFmtId="0" fontId="138" fillId="0" borderId="0" xfId="94" applyFont="1" applyAlignment="1" applyProtection="1">
      <alignment horizontal="center" vertical="center"/>
      <protection locked="0"/>
    </xf>
    <xf numFmtId="0" fontId="140" fillId="0" borderId="0" xfId="94" applyFont="1" applyAlignment="1" applyProtection="1">
      <alignment horizontal="left"/>
    </xf>
    <xf numFmtId="0" fontId="141" fillId="56" borderId="17" xfId="94" applyFont="1" applyFill="1" applyBorder="1" applyAlignment="1" applyProtection="1">
      <alignment horizontal="center" vertical="center" wrapText="1"/>
    </xf>
    <xf numFmtId="0" fontId="141" fillId="56" borderId="17" xfId="94" applyFont="1" applyFill="1" applyBorder="1" applyAlignment="1" applyProtection="1">
      <alignment horizontal="center" wrapText="1"/>
    </xf>
    <xf numFmtId="0" fontId="142" fillId="67" borderId="220" xfId="94" applyFont="1" applyFill="1" applyBorder="1" applyAlignment="1" applyProtection="1">
      <alignment horizontal="center" vertical="center" wrapText="1"/>
    </xf>
    <xf numFmtId="0" fontId="142" fillId="67" borderId="221" xfId="94" applyFont="1" applyFill="1" applyBorder="1" applyAlignment="1" applyProtection="1">
      <alignment horizontal="center" vertical="center" wrapText="1"/>
    </xf>
    <xf numFmtId="0" fontId="142" fillId="67" borderId="222" xfId="94" applyFont="1" applyFill="1" applyBorder="1" applyAlignment="1" applyProtection="1">
      <alignment horizontal="center" vertical="center" wrapText="1"/>
    </xf>
    <xf numFmtId="0" fontId="138" fillId="0" borderId="113" xfId="94" applyFont="1" applyBorder="1" applyProtection="1"/>
    <xf numFmtId="169" fontId="138" fillId="65" borderId="115" xfId="94" applyNumberFormat="1" applyFont="1" applyFill="1" applyBorder="1" applyProtection="1">
      <protection locked="0"/>
    </xf>
    <xf numFmtId="3" fontId="138" fillId="65" borderId="121" xfId="94" applyNumberFormat="1" applyFont="1" applyFill="1" applyBorder="1" applyAlignment="1" applyProtection="1">
      <alignment horizontal="center"/>
      <protection locked="0"/>
    </xf>
    <xf numFmtId="169" fontId="138" fillId="65" borderId="113" xfId="97" applyNumberFormat="1" applyFont="1" applyFill="1" applyBorder="1" applyProtection="1">
      <protection locked="0"/>
    </xf>
    <xf numFmtId="168" fontId="138" fillId="65" borderId="115" xfId="96" applyNumberFormat="1" applyFont="1" applyFill="1" applyBorder="1" applyProtection="1">
      <protection locked="0"/>
    </xf>
    <xf numFmtId="168" fontId="138" fillId="0" borderId="0" xfId="96" applyNumberFormat="1" applyFont="1" applyFill="1" applyAlignment="1" applyProtection="1">
      <alignment horizontal="center" vertical="center" wrapText="1"/>
    </xf>
    <xf numFmtId="168" fontId="138" fillId="65" borderId="113" xfId="96" applyNumberFormat="1" applyFont="1" applyFill="1" applyBorder="1" applyProtection="1">
      <protection locked="0"/>
    </xf>
    <xf numFmtId="168" fontId="138" fillId="65" borderId="114" xfId="96" applyNumberFormat="1" applyFont="1" applyFill="1" applyBorder="1" applyProtection="1">
      <protection locked="0"/>
    </xf>
    <xf numFmtId="168" fontId="138" fillId="65" borderId="0" xfId="96" applyNumberFormat="1" applyFont="1" applyFill="1" applyBorder="1" applyProtection="1">
      <protection locked="0"/>
    </xf>
    <xf numFmtId="168" fontId="141" fillId="0" borderId="121" xfId="96" applyNumberFormat="1" applyFont="1" applyBorder="1" applyProtection="1"/>
    <xf numFmtId="169" fontId="138" fillId="0" borderId="0" xfId="94" applyNumberFormat="1" applyFont="1" applyProtection="1"/>
    <xf numFmtId="0" fontId="138" fillId="0" borderId="34" xfId="94" applyFont="1" applyBorder="1" applyProtection="1"/>
    <xf numFmtId="169" fontId="138" fillId="65" borderId="122" xfId="94" applyNumberFormat="1" applyFont="1" applyFill="1" applyBorder="1" applyProtection="1">
      <protection locked="0"/>
    </xf>
    <xf numFmtId="3" fontId="138" fillId="65" borderId="22" xfId="94" applyNumberFormat="1" applyFont="1" applyFill="1" applyBorder="1" applyAlignment="1" applyProtection="1">
      <alignment horizontal="center"/>
      <protection locked="0"/>
    </xf>
    <xf numFmtId="169" fontId="138" fillId="65" borderId="34" xfId="97" applyNumberFormat="1" applyFont="1" applyFill="1" applyBorder="1" applyProtection="1">
      <protection locked="0"/>
    </xf>
    <xf numFmtId="168" fontId="138" fillId="65" borderId="122" xfId="96" applyNumberFormat="1" applyFont="1" applyFill="1" applyBorder="1" applyProtection="1">
      <protection locked="0"/>
    </xf>
    <xf numFmtId="168" fontId="138" fillId="65" borderId="34" xfId="96" applyNumberFormat="1" applyFont="1" applyFill="1" applyBorder="1" applyProtection="1">
      <protection locked="0"/>
    </xf>
    <xf numFmtId="168" fontId="141" fillId="0" borderId="22" xfId="96" applyNumberFormat="1" applyFont="1" applyBorder="1" applyProtection="1"/>
    <xf numFmtId="169" fontId="138" fillId="65" borderId="22" xfId="94" applyNumberFormat="1" applyFont="1" applyFill="1" applyBorder="1" applyProtection="1">
      <protection locked="0"/>
    </xf>
    <xf numFmtId="169" fontId="141" fillId="0" borderId="0" xfId="94" applyNumberFormat="1" applyFont="1" applyProtection="1"/>
    <xf numFmtId="0" fontId="138" fillId="0" borderId="60" xfId="94" applyFont="1" applyBorder="1" applyProtection="1"/>
    <xf numFmtId="169" fontId="141" fillId="0" borderId="58" xfId="94" applyNumberFormat="1" applyFont="1" applyFill="1" applyBorder="1" applyProtection="1"/>
    <xf numFmtId="182" fontId="138" fillId="0" borderId="59" xfId="94" applyNumberFormat="1" applyFont="1" applyFill="1" applyBorder="1" applyAlignment="1" applyProtection="1">
      <alignment horizontal="center" wrapText="1"/>
    </xf>
    <xf numFmtId="168" fontId="141" fillId="0" borderId="60" xfId="96" applyNumberFormat="1" applyFont="1" applyFill="1" applyBorder="1" applyProtection="1"/>
    <xf numFmtId="168" fontId="141" fillId="0" borderId="58" xfId="96" applyNumberFormat="1" applyFont="1" applyFill="1" applyBorder="1" applyProtection="1"/>
    <xf numFmtId="168" fontId="141" fillId="0" borderId="27" xfId="96" applyNumberFormat="1" applyFont="1" applyFill="1" applyBorder="1" applyProtection="1"/>
    <xf numFmtId="0" fontId="138" fillId="0" borderId="0" xfId="94" applyFont="1" applyAlignment="1" applyProtection="1">
      <alignment horizontal="center" wrapText="1"/>
    </xf>
    <xf numFmtId="0" fontId="141" fillId="56" borderId="118" xfId="94" applyFont="1" applyFill="1" applyBorder="1" applyAlignment="1" applyProtection="1">
      <alignment horizontal="center" wrapText="1"/>
    </xf>
    <xf numFmtId="0" fontId="141" fillId="56" borderId="119" xfId="94" applyFont="1" applyFill="1" applyBorder="1" applyAlignment="1" applyProtection="1">
      <alignment horizontal="center" wrapText="1"/>
    </xf>
    <xf numFmtId="0" fontId="141" fillId="56" borderId="120" xfId="94" applyFont="1" applyFill="1" applyBorder="1" applyAlignment="1" applyProtection="1">
      <alignment horizontal="center" wrapText="1"/>
    </xf>
    <xf numFmtId="169" fontId="138" fillId="0" borderId="115" xfId="94" applyNumberFormat="1" applyFont="1" applyBorder="1" applyProtection="1"/>
    <xf numFmtId="168" fontId="138" fillId="0" borderId="121" xfId="96" applyNumberFormat="1" applyFont="1" applyBorder="1" applyProtection="1"/>
    <xf numFmtId="44" fontId="138" fillId="0" borderId="0" xfId="94" applyNumberFormat="1" applyFont="1" applyBorder="1" applyProtection="1"/>
    <xf numFmtId="169" fontId="138" fillId="0" borderId="0" xfId="94" applyNumberFormat="1" applyFont="1" applyBorder="1" applyAlignment="1" applyProtection="1">
      <alignment horizontal="center"/>
    </xf>
    <xf numFmtId="168" fontId="138" fillId="0" borderId="113" xfId="96" applyNumberFormat="1" applyFont="1" applyBorder="1" applyProtection="1"/>
    <xf numFmtId="168" fontId="138" fillId="0" borderId="114" xfId="96" applyNumberFormat="1" applyFont="1" applyBorder="1" applyProtection="1"/>
    <xf numFmtId="168" fontId="138" fillId="0" borderId="115" xfId="96" applyNumberFormat="1" applyFont="1" applyBorder="1" applyProtection="1"/>
    <xf numFmtId="169" fontId="138" fillId="0" borderId="122" xfId="94" applyNumberFormat="1" applyFont="1" applyBorder="1" applyProtection="1"/>
    <xf numFmtId="168" fontId="138" fillId="0" borderId="22" xfId="96" applyNumberFormat="1" applyFont="1" applyBorder="1" applyProtection="1"/>
    <xf numFmtId="168" fontId="138" fillId="0" borderId="34" xfId="96" applyNumberFormat="1" applyFont="1" applyBorder="1" applyProtection="1"/>
    <xf numFmtId="168" fontId="138" fillId="0" borderId="0" xfId="96" applyNumberFormat="1" applyFont="1" applyBorder="1" applyProtection="1"/>
    <xf numFmtId="168" fontId="138" fillId="0" borderId="122" xfId="96" applyNumberFormat="1" applyFont="1" applyBorder="1" applyProtection="1"/>
    <xf numFmtId="0" fontId="138" fillId="0" borderId="122" xfId="94" applyNumberFormat="1" applyFont="1" applyBorder="1" applyProtection="1"/>
    <xf numFmtId="169" fontId="138" fillId="0" borderId="0" xfId="97" applyNumberFormat="1" applyFont="1" applyBorder="1" applyProtection="1"/>
    <xf numFmtId="182" fontId="138" fillId="0" borderId="0" xfId="94" applyNumberFormat="1" applyFont="1" applyBorder="1" applyAlignment="1" applyProtection="1">
      <alignment horizontal="center" wrapText="1"/>
    </xf>
    <xf numFmtId="169" fontId="138" fillId="0" borderId="0" xfId="94" applyNumberFormat="1" applyFont="1" applyBorder="1" applyProtection="1"/>
    <xf numFmtId="182" fontId="138" fillId="0" borderId="0" xfId="97" applyNumberFormat="1" applyFont="1" applyBorder="1" applyAlignment="1" applyProtection="1">
      <alignment horizontal="center"/>
    </xf>
    <xf numFmtId="0" fontId="138" fillId="0" borderId="32" xfId="94" applyFont="1" applyBorder="1" applyProtection="1"/>
    <xf numFmtId="0" fontId="138" fillId="0" borderId="37" xfId="94" applyNumberFormat="1" applyFont="1" applyBorder="1" applyProtection="1"/>
    <xf numFmtId="168" fontId="138" fillId="0" borderId="21" xfId="96" applyNumberFormat="1" applyFont="1" applyBorder="1" applyProtection="1"/>
    <xf numFmtId="168" fontId="138" fillId="0" borderId="32" xfId="96" applyNumberFormat="1" applyFont="1" applyBorder="1" applyProtection="1"/>
    <xf numFmtId="168" fontId="138" fillId="0" borderId="116" xfId="96" applyNumberFormat="1" applyFont="1" applyBorder="1" applyProtection="1"/>
    <xf numFmtId="168" fontId="138" fillId="0" borderId="37" xfId="96" applyNumberFormat="1" applyFont="1" applyBorder="1" applyProtection="1"/>
    <xf numFmtId="168" fontId="141" fillId="0" borderId="21" xfId="96" applyNumberFormat="1" applyFont="1" applyBorder="1" applyProtection="1"/>
    <xf numFmtId="0" fontId="141" fillId="0" borderId="60" xfId="94" applyFont="1" applyBorder="1" applyProtection="1"/>
    <xf numFmtId="182" fontId="141" fillId="0" borderId="59" xfId="94" applyNumberFormat="1" applyFont="1" applyFill="1" applyBorder="1" applyAlignment="1" applyProtection="1">
      <alignment horizontal="center" wrapText="1"/>
    </xf>
    <xf numFmtId="168" fontId="138" fillId="0" borderId="0" xfId="94" applyNumberFormat="1" applyFont="1" applyProtection="1"/>
    <xf numFmtId="0" fontId="138" fillId="0" borderId="115" xfId="94" applyFont="1" applyBorder="1" applyProtection="1"/>
    <xf numFmtId="0" fontId="138" fillId="0" borderId="122" xfId="94" applyFont="1" applyBorder="1" applyProtection="1"/>
    <xf numFmtId="0" fontId="138" fillId="0" borderId="37" xfId="94" applyFont="1" applyBorder="1" applyProtection="1"/>
    <xf numFmtId="0" fontId="138" fillId="0" borderId="0" xfId="94" applyFont="1" applyAlignment="1" applyProtection="1">
      <alignment wrapText="1"/>
      <protection locked="0"/>
    </xf>
    <xf numFmtId="0" fontId="121" fillId="0" borderId="0" xfId="94" applyFont="1" applyProtection="1"/>
    <xf numFmtId="0" fontId="99" fillId="0" borderId="0" xfId="94" applyAlignment="1" applyProtection="1">
      <alignment horizontal="center"/>
    </xf>
    <xf numFmtId="0" fontId="109" fillId="65" borderId="59" xfId="94" applyFont="1" applyFill="1" applyBorder="1" applyAlignment="1" applyProtection="1">
      <alignment horizontal="center"/>
      <protection locked="0"/>
    </xf>
    <xf numFmtId="0" fontId="121" fillId="0" borderId="0" xfId="94" applyFont="1" applyFill="1" applyProtection="1"/>
    <xf numFmtId="0" fontId="109" fillId="0" borderId="29" xfId="94" applyFont="1" applyBorder="1" applyAlignment="1" applyProtection="1">
      <alignment horizontal="center"/>
    </xf>
    <xf numFmtId="0" fontId="109" fillId="0" borderId="58" xfId="94" applyFont="1" applyBorder="1" applyAlignment="1" applyProtection="1">
      <alignment horizontal="center"/>
    </xf>
    <xf numFmtId="0" fontId="117" fillId="0" borderId="0" xfId="94" applyFont="1" applyFill="1" applyBorder="1" applyAlignment="1" applyProtection="1">
      <alignment horizontal="center"/>
    </xf>
    <xf numFmtId="0" fontId="122" fillId="0" borderId="116" xfId="94" applyFont="1" applyBorder="1" applyAlignment="1" applyProtection="1">
      <alignment vertical="center"/>
    </xf>
    <xf numFmtId="0" fontId="122" fillId="0" borderId="195" xfId="94" applyFont="1" applyBorder="1" applyAlignment="1" applyProtection="1">
      <alignment vertical="center"/>
    </xf>
    <xf numFmtId="0" fontId="143" fillId="64" borderId="230" xfId="94" applyFont="1" applyFill="1" applyBorder="1" applyAlignment="1" applyProtection="1">
      <alignment horizontal="center" vertical="center" wrapText="1"/>
    </xf>
    <xf numFmtId="0" fontId="122" fillId="66" borderId="0" xfId="94" applyFont="1" applyFill="1" applyProtection="1"/>
    <xf numFmtId="0" fontId="144" fillId="0" borderId="113" xfId="94" applyFont="1" applyBorder="1" applyAlignment="1" applyProtection="1">
      <alignment horizontal="center" vertical="center"/>
    </xf>
    <xf numFmtId="0" fontId="144" fillId="0" borderId="114" xfId="94" applyFont="1" applyBorder="1" applyAlignment="1" applyProtection="1">
      <alignment horizontal="center" vertical="center"/>
    </xf>
    <xf numFmtId="0" fontId="144" fillId="0" borderId="115" xfId="94" applyFont="1" applyBorder="1" applyAlignment="1" applyProtection="1">
      <alignment horizontal="center" vertical="center"/>
    </xf>
    <xf numFmtId="0" fontId="117" fillId="64" borderId="231" xfId="94" applyFont="1" applyFill="1" applyBorder="1" applyAlignment="1" applyProtection="1">
      <alignment horizontal="center" vertical="center" wrapText="1"/>
    </xf>
    <xf numFmtId="0" fontId="135" fillId="64" borderId="232" xfId="94" applyFont="1" applyFill="1" applyBorder="1" applyAlignment="1" applyProtection="1">
      <alignment horizontal="center" vertical="center" wrapText="1"/>
    </xf>
    <xf numFmtId="0" fontId="117" fillId="64" borderId="230" xfId="94" applyFont="1" applyFill="1" applyBorder="1" applyAlignment="1" applyProtection="1">
      <alignment horizontal="center" vertical="center" wrapText="1"/>
    </xf>
    <xf numFmtId="0" fontId="136" fillId="64" borderId="232" xfId="94" applyFont="1" applyFill="1" applyBorder="1" applyAlignment="1" applyProtection="1">
      <alignment horizontal="center" vertical="center" wrapText="1"/>
    </xf>
    <xf numFmtId="0" fontId="143" fillId="64" borderId="231" xfId="94" applyFont="1" applyFill="1" applyBorder="1" applyAlignment="1" applyProtection="1">
      <alignment horizontal="center" vertical="center" wrapText="1"/>
    </xf>
    <xf numFmtId="0" fontId="118" fillId="0" borderId="32" xfId="94" applyFont="1" applyBorder="1" applyAlignment="1" applyProtection="1">
      <alignment horizontal="center" vertical="center"/>
    </xf>
    <xf numFmtId="0" fontId="118" fillId="0" borderId="116" xfId="94" applyFont="1" applyBorder="1" applyAlignment="1" applyProtection="1">
      <alignment horizontal="center" vertical="center"/>
    </xf>
    <xf numFmtId="0" fontId="118" fillId="0" borderId="37" xfId="94" applyFont="1" applyBorder="1" applyAlignment="1" applyProtection="1">
      <alignment horizontal="center" vertical="center"/>
    </xf>
    <xf numFmtId="0" fontId="123" fillId="0" borderId="116" xfId="94" applyFont="1" applyBorder="1" applyProtection="1"/>
    <xf numFmtId="37" fontId="102" fillId="0" borderId="116" xfId="94" applyNumberFormat="1" applyFont="1" applyBorder="1" applyAlignment="1" applyProtection="1">
      <alignment horizontal="center"/>
    </xf>
    <xf numFmtId="37" fontId="121" fillId="0" borderId="116" xfId="94" applyNumberFormat="1" applyFont="1" applyBorder="1" applyAlignment="1" applyProtection="1">
      <alignment horizontal="right"/>
    </xf>
    <xf numFmtId="37" fontId="145" fillId="0" borderId="116" xfId="94" applyNumberFormat="1" applyFont="1" applyBorder="1" applyAlignment="1" applyProtection="1">
      <alignment horizontal="right"/>
    </xf>
    <xf numFmtId="37" fontId="123" fillId="0" borderId="116" xfId="94" applyNumberFormat="1" applyFont="1" applyBorder="1" applyAlignment="1" applyProtection="1">
      <alignment horizontal="center"/>
    </xf>
    <xf numFmtId="0" fontId="99" fillId="0" borderId="113" xfId="94" applyFont="1" applyFill="1" applyBorder="1" applyAlignment="1" applyProtection="1">
      <alignment vertical="center"/>
    </xf>
    <xf numFmtId="0" fontId="99" fillId="0" borderId="114" xfId="94" applyFont="1" applyFill="1" applyBorder="1" applyAlignment="1" applyProtection="1">
      <alignment vertical="center"/>
    </xf>
    <xf numFmtId="0" fontId="111" fillId="0" borderId="233" xfId="94" applyFont="1" applyFill="1" applyBorder="1" applyAlignment="1" applyProtection="1">
      <alignment horizontal="center" vertical="center" wrapText="1"/>
    </xf>
    <xf numFmtId="179" fontId="104" fillId="0" borderId="0" xfId="96" applyNumberFormat="1" applyFont="1" applyFill="1" applyBorder="1" applyAlignment="1" applyProtection="1">
      <alignment horizontal="center" vertical="center"/>
    </xf>
    <xf numFmtId="179" fontId="94" fillId="0" borderId="0" xfId="96" applyNumberFormat="1" applyFont="1" applyFill="1" applyBorder="1" applyAlignment="1" applyProtection="1">
      <alignment horizontal="left" vertical="center"/>
    </xf>
    <xf numFmtId="179" fontId="104" fillId="0" borderId="197" xfId="96" applyNumberFormat="1" applyFont="1" applyFill="1" applyBorder="1" applyAlignment="1" applyProtection="1">
      <alignment horizontal="center" vertical="center"/>
    </xf>
    <xf numFmtId="41" fontId="104" fillId="0" borderId="114" xfId="96" applyNumberFormat="1" applyFont="1" applyFill="1" applyBorder="1" applyAlignment="1" applyProtection="1">
      <alignment vertical="center" wrapText="1"/>
    </xf>
    <xf numFmtId="179" fontId="94" fillId="0" borderId="115" xfId="96" applyNumberFormat="1" applyFont="1" applyFill="1" applyBorder="1" applyAlignment="1" applyProtection="1">
      <alignment horizontal="left" vertical="center"/>
    </xf>
    <xf numFmtId="179" fontId="104" fillId="0" borderId="121" xfId="96" applyNumberFormat="1" applyFont="1" applyFill="1" applyBorder="1" applyAlignment="1" applyProtection="1">
      <alignment horizontal="center" vertical="center"/>
    </xf>
    <xf numFmtId="0" fontId="99" fillId="0" borderId="32" xfId="94" applyFont="1" applyFill="1" applyBorder="1" applyAlignment="1" applyProtection="1">
      <alignment vertical="center"/>
    </xf>
    <xf numFmtId="0" fontId="99" fillId="0" borderId="116" xfId="94" applyFont="1" applyFill="1" applyBorder="1" applyAlignment="1" applyProtection="1">
      <alignment vertical="center"/>
    </xf>
    <xf numFmtId="0" fontId="111" fillId="0" borderId="234" xfId="94" applyFont="1" applyFill="1" applyBorder="1" applyAlignment="1" applyProtection="1">
      <alignment horizontal="center" vertical="center" wrapText="1"/>
    </xf>
    <xf numFmtId="183" fontId="104" fillId="0" borderId="116" xfId="96" applyNumberFormat="1" applyFont="1" applyFill="1" applyBorder="1" applyAlignment="1" applyProtection="1">
      <alignment horizontal="center" vertical="center"/>
    </xf>
    <xf numFmtId="183" fontId="94" fillId="0" borderId="116" xfId="96" applyNumberFormat="1" applyFont="1" applyFill="1" applyBorder="1" applyAlignment="1" applyProtection="1">
      <alignment horizontal="left" vertical="center"/>
    </xf>
    <xf numFmtId="183" fontId="104" fillId="0" borderId="201" xfId="96" applyNumberFormat="1" applyFont="1" applyFill="1" applyBorder="1" applyAlignment="1" applyProtection="1">
      <alignment horizontal="center" vertical="center"/>
    </xf>
    <xf numFmtId="43" fontId="104" fillId="0" borderId="0" xfId="94" applyNumberFormat="1" applyFont="1" applyFill="1" applyBorder="1" applyAlignment="1" applyProtection="1">
      <alignment vertical="center" wrapText="1"/>
    </xf>
    <xf numFmtId="183" fontId="94" fillId="0" borderId="37" xfId="96" applyNumberFormat="1" applyFont="1" applyFill="1" applyBorder="1" applyAlignment="1" applyProtection="1">
      <alignment horizontal="left" vertical="center"/>
    </xf>
    <xf numFmtId="183" fontId="104" fillId="0" borderId="21" xfId="96" applyNumberFormat="1" applyFont="1" applyFill="1" applyBorder="1" applyAlignment="1" applyProtection="1">
      <alignment horizontal="center" vertical="center"/>
    </xf>
    <xf numFmtId="0" fontId="118" fillId="56" borderId="118" xfId="94" applyFont="1" applyFill="1" applyBorder="1" applyProtection="1"/>
    <xf numFmtId="0" fontId="118" fillId="56" borderId="119" xfId="94" applyFont="1" applyFill="1" applyBorder="1" applyProtection="1"/>
    <xf numFmtId="0" fontId="118" fillId="56" borderId="235" xfId="94" applyFont="1" applyFill="1" applyBorder="1" applyProtection="1"/>
    <xf numFmtId="184" fontId="118" fillId="56" borderId="119" xfId="94" applyNumberFormat="1" applyFont="1" applyFill="1" applyBorder="1" applyAlignment="1" applyProtection="1">
      <alignment horizontal="center" vertical="center"/>
    </xf>
    <xf numFmtId="179" fontId="125" fillId="56" borderId="119" xfId="94" applyNumberFormat="1" applyFont="1" applyFill="1" applyBorder="1" applyAlignment="1" applyProtection="1">
      <alignment horizontal="left" vertical="center"/>
    </xf>
    <xf numFmtId="184" fontId="118" fillId="56" borderId="203" xfId="94" applyNumberFormat="1" applyFont="1" applyFill="1" applyBorder="1" applyAlignment="1" applyProtection="1">
      <alignment horizontal="center" vertical="center"/>
    </xf>
    <xf numFmtId="41" fontId="118" fillId="56" borderId="119" xfId="96" applyNumberFormat="1" applyFont="1" applyFill="1" applyBorder="1" applyAlignment="1" applyProtection="1">
      <alignment vertical="center"/>
    </xf>
    <xf numFmtId="179" fontId="125" fillId="56" borderId="120" xfId="94" applyNumberFormat="1" applyFont="1" applyFill="1" applyBorder="1" applyAlignment="1" applyProtection="1">
      <alignment horizontal="left" vertical="center"/>
    </xf>
    <xf numFmtId="184" fontId="118" fillId="56" borderId="17" xfId="94" applyNumberFormat="1" applyFont="1" applyFill="1" applyBorder="1" applyAlignment="1" applyProtection="1">
      <alignment horizontal="center" vertical="center"/>
    </xf>
    <xf numFmtId="0" fontId="145" fillId="0" borderId="0" xfId="94" applyFont="1" applyProtection="1"/>
    <xf numFmtId="0" fontId="99" fillId="0" borderId="236" xfId="94" applyFont="1" applyBorder="1" applyProtection="1"/>
    <xf numFmtId="179" fontId="99" fillId="0" borderId="0" xfId="94" applyNumberFormat="1" applyFont="1" applyFill="1" applyBorder="1" applyAlignment="1" applyProtection="1">
      <alignment horizontal="center" vertical="center"/>
    </xf>
    <xf numFmtId="179" fontId="99" fillId="0" borderId="199" xfId="94" applyNumberFormat="1" applyFont="1" applyFill="1" applyBorder="1" applyAlignment="1" applyProtection="1">
      <alignment horizontal="center" vertical="center"/>
    </xf>
    <xf numFmtId="41" fontId="0" fillId="0" borderId="0" xfId="96" applyNumberFormat="1" applyFont="1" applyFill="1" applyBorder="1" applyAlignment="1" applyProtection="1">
      <alignment vertical="center"/>
    </xf>
    <xf numFmtId="179" fontId="99" fillId="0" borderId="22" xfId="94" applyNumberFormat="1" applyFont="1" applyFill="1" applyBorder="1" applyAlignment="1" applyProtection="1">
      <alignment horizontal="center" vertical="center"/>
    </xf>
    <xf numFmtId="0" fontId="145" fillId="66" borderId="0" xfId="94" applyFont="1" applyFill="1" applyProtection="1"/>
    <xf numFmtId="0" fontId="145" fillId="0" borderId="0" xfId="94" applyFont="1" applyProtection="1">
      <protection locked="0"/>
    </xf>
    <xf numFmtId="0" fontId="99" fillId="0" borderId="34" xfId="94" applyFont="1" applyFill="1" applyBorder="1" applyProtection="1"/>
    <xf numFmtId="0" fontId="145" fillId="0" borderId="0" xfId="94" applyFont="1" applyFill="1" applyProtection="1"/>
    <xf numFmtId="0" fontId="109" fillId="0" borderId="236" xfId="94" applyFont="1" applyFill="1" applyBorder="1" applyAlignment="1" applyProtection="1">
      <alignment vertical="center"/>
    </xf>
    <xf numFmtId="9" fontId="0" fillId="0" borderId="0" xfId="95" applyNumberFormat="1" applyFont="1" applyFill="1" applyBorder="1" applyAlignment="1" applyProtection="1">
      <alignment horizontal="center" vertical="center"/>
    </xf>
    <xf numFmtId="9" fontId="123" fillId="0" borderId="0" xfId="95" applyFont="1" applyFill="1" applyBorder="1" applyAlignment="1" applyProtection="1">
      <alignment horizontal="left" vertical="center"/>
    </xf>
    <xf numFmtId="9" fontId="0" fillId="0" borderId="199" xfId="95" applyNumberFormat="1" applyFont="1" applyFill="1" applyBorder="1" applyAlignment="1" applyProtection="1">
      <alignment horizontal="center" vertical="center"/>
    </xf>
    <xf numFmtId="166" fontId="0" fillId="0" borderId="199" xfId="95" applyNumberFormat="1" applyFont="1" applyFill="1" applyBorder="1" applyAlignment="1" applyProtection="1">
      <alignment horizontal="center" vertical="center"/>
    </xf>
    <xf numFmtId="9" fontId="123" fillId="0" borderId="122" xfId="95" applyFont="1" applyFill="1" applyBorder="1" applyAlignment="1" applyProtection="1">
      <alignment horizontal="left" vertical="center"/>
    </xf>
    <xf numFmtId="166" fontId="0" fillId="0" borderId="22" xfId="95" applyNumberFormat="1" applyFont="1" applyFill="1" applyBorder="1" applyAlignment="1" applyProtection="1">
      <alignment horizontal="center" vertical="center"/>
    </xf>
    <xf numFmtId="0" fontId="145" fillId="0" borderId="0" xfId="94" applyFont="1" applyFill="1" applyProtection="1">
      <protection locked="0"/>
    </xf>
    <xf numFmtId="0" fontId="99" fillId="0" borderId="116" xfId="94" applyFont="1" applyFill="1" applyBorder="1" applyProtection="1"/>
    <xf numFmtId="0" fontId="109" fillId="0" borderId="234" xfId="94" applyFont="1" applyFill="1" applyBorder="1" applyAlignment="1" applyProtection="1">
      <alignment vertical="center"/>
    </xf>
    <xf numFmtId="9" fontId="0" fillId="0" borderId="116" xfId="95" applyNumberFormat="1" applyFont="1" applyFill="1" applyBorder="1" applyAlignment="1" applyProtection="1">
      <alignment horizontal="center" vertical="center"/>
    </xf>
    <xf numFmtId="9" fontId="123" fillId="0" borderId="116" xfId="95" applyFont="1" applyFill="1" applyBorder="1" applyAlignment="1" applyProtection="1">
      <alignment horizontal="left" vertical="center"/>
    </xf>
    <xf numFmtId="9" fontId="0" fillId="0" borderId="201" xfId="95" applyNumberFormat="1" applyFont="1" applyFill="1" applyBorder="1" applyAlignment="1" applyProtection="1">
      <alignment horizontal="center" vertical="center"/>
    </xf>
    <xf numFmtId="166" fontId="0" fillId="0" borderId="201" xfId="95" applyNumberFormat="1" applyFont="1" applyFill="1" applyBorder="1" applyAlignment="1" applyProtection="1">
      <alignment horizontal="center" vertical="center"/>
    </xf>
    <xf numFmtId="9" fontId="123" fillId="0" borderId="37" xfId="95" applyFont="1" applyFill="1" applyBorder="1" applyAlignment="1" applyProtection="1">
      <alignment horizontal="left" vertical="center"/>
    </xf>
    <xf numFmtId="166" fontId="0" fillId="0" borderId="21" xfId="95" applyNumberFormat="1" applyFont="1" applyFill="1" applyBorder="1" applyAlignment="1" applyProtection="1">
      <alignment horizontal="center" vertical="center"/>
    </xf>
    <xf numFmtId="0" fontId="144" fillId="0" borderId="113" xfId="94" applyFont="1" applyFill="1" applyBorder="1" applyProtection="1"/>
    <xf numFmtId="0" fontId="144" fillId="0" borderId="114" xfId="94" applyFont="1" applyFill="1" applyBorder="1" applyProtection="1"/>
    <xf numFmtId="0" fontId="144" fillId="0" borderId="233" xfId="94" applyFont="1" applyFill="1" applyBorder="1" applyProtection="1"/>
    <xf numFmtId="179" fontId="144" fillId="0" borderId="114" xfId="94" applyNumberFormat="1" applyFont="1" applyFill="1" applyBorder="1" applyAlignment="1" applyProtection="1">
      <alignment horizontal="center" vertical="center"/>
    </xf>
    <xf numFmtId="179" fontId="125" fillId="0" borderId="114" xfId="94" applyNumberFormat="1" applyFont="1" applyFill="1" applyBorder="1" applyAlignment="1" applyProtection="1">
      <alignment horizontal="left" vertical="center"/>
    </xf>
    <xf numFmtId="179" fontId="144" fillId="0" borderId="197" xfId="94" applyNumberFormat="1" applyFont="1" applyFill="1" applyBorder="1" applyAlignment="1" applyProtection="1">
      <alignment horizontal="center" vertical="center"/>
    </xf>
    <xf numFmtId="41" fontId="144" fillId="0" borderId="114" xfId="96" applyNumberFormat="1" applyFont="1" applyFill="1" applyBorder="1" applyAlignment="1" applyProtection="1">
      <alignment vertical="center"/>
    </xf>
    <xf numFmtId="179" fontId="125" fillId="0" borderId="115" xfId="94" applyNumberFormat="1" applyFont="1" applyFill="1" applyBorder="1" applyAlignment="1" applyProtection="1">
      <alignment horizontal="left" vertical="center"/>
    </xf>
    <xf numFmtId="179" fontId="144" fillId="0" borderId="121" xfId="94" applyNumberFormat="1" applyFont="1" applyFill="1" applyBorder="1" applyAlignment="1" applyProtection="1">
      <alignment horizontal="center" vertical="center"/>
    </xf>
    <xf numFmtId="0" fontId="144" fillId="0" borderId="32" xfId="94" applyFont="1" applyFill="1" applyBorder="1" applyProtection="1"/>
    <xf numFmtId="0" fontId="144" fillId="0" borderId="116" xfId="94" applyFont="1" applyFill="1" applyBorder="1" applyProtection="1"/>
    <xf numFmtId="0" fontId="144" fillId="0" borderId="234" xfId="94" applyFont="1" applyFill="1" applyBorder="1" applyProtection="1"/>
    <xf numFmtId="179" fontId="144" fillId="0" borderId="116" xfId="94" applyNumberFormat="1" applyFont="1" applyFill="1" applyBorder="1" applyAlignment="1" applyProtection="1">
      <alignment horizontal="center" vertical="center"/>
    </xf>
    <xf numFmtId="179" fontId="125" fillId="0" borderId="116" xfId="94" applyNumberFormat="1" applyFont="1" applyFill="1" applyBorder="1" applyAlignment="1" applyProtection="1">
      <alignment horizontal="left" vertical="center"/>
    </xf>
    <xf numFmtId="179" fontId="144" fillId="0" borderId="201" xfId="94" applyNumberFormat="1" applyFont="1" applyFill="1" applyBorder="1" applyAlignment="1" applyProtection="1">
      <alignment horizontal="center" vertical="center"/>
    </xf>
    <xf numFmtId="41" fontId="144" fillId="0" borderId="116" xfId="96" applyNumberFormat="1" applyFont="1" applyFill="1" applyBorder="1" applyAlignment="1" applyProtection="1">
      <alignment vertical="center"/>
    </xf>
    <xf numFmtId="179" fontId="125" fillId="0" borderId="37" xfId="94" applyNumberFormat="1" applyFont="1" applyFill="1" applyBorder="1" applyAlignment="1" applyProtection="1">
      <alignment horizontal="left" vertical="center"/>
    </xf>
    <xf numFmtId="179" fontId="144" fillId="0" borderId="21" xfId="94" applyNumberFormat="1" applyFont="1" applyFill="1" applyBorder="1" applyAlignment="1" applyProtection="1">
      <alignment horizontal="center" vertical="center"/>
    </xf>
    <xf numFmtId="43" fontId="99" fillId="0" borderId="236" xfId="94" applyNumberFormat="1" applyFont="1" applyBorder="1" applyProtection="1"/>
    <xf numFmtId="183" fontId="99" fillId="0" borderId="0" xfId="94" applyNumberFormat="1" applyFont="1" applyFill="1" applyBorder="1" applyAlignment="1" applyProtection="1">
      <alignment horizontal="center" vertical="center"/>
    </xf>
    <xf numFmtId="183" fontId="123" fillId="0" borderId="0" xfId="94" applyNumberFormat="1" applyFont="1" applyFill="1" applyBorder="1" applyAlignment="1" applyProtection="1">
      <alignment horizontal="left" vertical="center"/>
    </xf>
    <xf numFmtId="183" fontId="99" fillId="0" borderId="199" xfId="94" applyNumberFormat="1" applyFont="1" applyFill="1" applyBorder="1" applyAlignment="1" applyProtection="1">
      <alignment horizontal="center" vertical="center"/>
    </xf>
    <xf numFmtId="41" fontId="99" fillId="0" borderId="0" xfId="94" applyNumberFormat="1" applyFont="1" applyFill="1" applyBorder="1" applyAlignment="1" applyProtection="1">
      <alignment vertical="center"/>
    </xf>
    <xf numFmtId="183" fontId="123" fillId="0" borderId="122" xfId="94" applyNumberFormat="1" applyFont="1" applyFill="1" applyBorder="1" applyAlignment="1" applyProtection="1">
      <alignment horizontal="left" vertical="center"/>
    </xf>
    <xf numFmtId="183" fontId="99" fillId="0" borderId="22" xfId="94" applyNumberFormat="1" applyFont="1" applyFill="1" applyBorder="1" applyAlignment="1" applyProtection="1">
      <alignment horizontal="center" vertical="center"/>
    </xf>
    <xf numFmtId="0" fontId="118" fillId="56" borderId="113" xfId="94" applyFont="1" applyFill="1" applyBorder="1" applyProtection="1"/>
    <xf numFmtId="0" fontId="118" fillId="56" borderId="114" xfId="94" applyFont="1" applyFill="1" applyBorder="1" applyProtection="1"/>
    <xf numFmtId="37" fontId="118" fillId="56" borderId="233" xfId="94" applyNumberFormat="1" applyFont="1" applyFill="1" applyBorder="1" applyProtection="1"/>
    <xf numFmtId="184" fontId="118" fillId="56" borderId="114" xfId="94" applyNumberFormat="1" applyFont="1" applyFill="1" applyBorder="1" applyAlignment="1" applyProtection="1">
      <alignment horizontal="center" vertical="center"/>
    </xf>
    <xf numFmtId="179" fontId="125" fillId="56" borderId="114" xfId="94" applyNumberFormat="1" applyFont="1" applyFill="1" applyBorder="1" applyAlignment="1" applyProtection="1">
      <alignment horizontal="left" vertical="center"/>
    </xf>
    <xf numFmtId="184" fontId="118" fillId="56" borderId="197" xfId="94" applyNumberFormat="1" applyFont="1" applyFill="1" applyBorder="1" applyAlignment="1" applyProtection="1">
      <alignment horizontal="center" vertical="center"/>
    </xf>
    <xf numFmtId="41" fontId="118" fillId="56" borderId="114" xfId="96" applyNumberFormat="1" applyFont="1" applyFill="1" applyBorder="1" applyAlignment="1" applyProtection="1">
      <alignment vertical="center"/>
    </xf>
    <xf numFmtId="179" fontId="125" fillId="56" borderId="115" xfId="94" applyNumberFormat="1" applyFont="1" applyFill="1" applyBorder="1" applyAlignment="1" applyProtection="1">
      <alignment horizontal="left" vertical="center"/>
    </xf>
    <xf numFmtId="184" fontId="118" fillId="56" borderId="121" xfId="94" applyNumberFormat="1" applyFont="1" applyFill="1" applyBorder="1" applyAlignment="1" applyProtection="1">
      <alignment horizontal="center" vertical="center"/>
    </xf>
    <xf numFmtId="37" fontId="109" fillId="0" borderId="236" xfId="94" applyNumberFormat="1" applyFont="1" applyFill="1" applyBorder="1" applyProtection="1"/>
    <xf numFmtId="9" fontId="0" fillId="0" borderId="0" xfId="95" applyFont="1" applyFill="1" applyBorder="1" applyAlignment="1" applyProtection="1">
      <alignment horizontal="center" vertical="center"/>
    </xf>
    <xf numFmtId="9" fontId="0" fillId="0" borderId="199" xfId="95" applyFont="1" applyFill="1" applyBorder="1" applyAlignment="1" applyProtection="1">
      <alignment horizontal="center" vertical="center"/>
    </xf>
    <xf numFmtId="41" fontId="109" fillId="0" borderId="0" xfId="96" applyNumberFormat="1" applyFont="1" applyFill="1" applyBorder="1" applyAlignment="1" applyProtection="1">
      <alignment vertical="center"/>
    </xf>
    <xf numFmtId="9" fontId="0" fillId="0" borderId="22" xfId="95" applyFont="1" applyFill="1" applyBorder="1" applyAlignment="1" applyProtection="1">
      <alignment horizontal="center" vertical="center"/>
    </xf>
    <xf numFmtId="9" fontId="109" fillId="0" borderId="236" xfId="95" applyFont="1" applyFill="1" applyBorder="1" applyAlignment="1" applyProtection="1">
      <alignment vertical="center"/>
    </xf>
    <xf numFmtId="9" fontId="0" fillId="0" borderId="0" xfId="95" applyFont="1" applyFill="1" applyBorder="1" applyAlignment="1" applyProtection="1">
      <alignment vertical="center"/>
    </xf>
    <xf numFmtId="9" fontId="109" fillId="0" borderId="234" xfId="95" applyFont="1" applyFill="1" applyBorder="1" applyAlignment="1" applyProtection="1">
      <alignment vertical="center"/>
    </xf>
    <xf numFmtId="9" fontId="0" fillId="0" borderId="116" xfId="95" applyFont="1" applyFill="1" applyBorder="1" applyAlignment="1" applyProtection="1">
      <alignment horizontal="center" vertical="center"/>
    </xf>
    <xf numFmtId="9" fontId="0" fillId="0" borderId="116" xfId="95" applyFont="1" applyFill="1" applyBorder="1" applyAlignment="1" applyProtection="1">
      <alignment vertical="center"/>
    </xf>
    <xf numFmtId="9" fontId="0" fillId="0" borderId="21" xfId="95" applyFont="1" applyFill="1" applyBorder="1" applyAlignment="1" applyProtection="1">
      <alignment horizontal="center" vertical="center"/>
    </xf>
    <xf numFmtId="43" fontId="145" fillId="0" borderId="0" xfId="96" applyFont="1" applyFill="1" applyProtection="1"/>
    <xf numFmtId="43" fontId="145" fillId="0" borderId="0" xfId="96" applyFont="1" applyFill="1" applyBorder="1" applyProtection="1"/>
    <xf numFmtId="43" fontId="146" fillId="0" borderId="0" xfId="96" applyFont="1" applyFill="1" applyBorder="1" applyAlignment="1" applyProtection="1">
      <alignment vertical="center"/>
    </xf>
    <xf numFmtId="43" fontId="125" fillId="0" borderId="0" xfId="96" applyFont="1" applyFill="1" applyBorder="1" applyAlignment="1" applyProtection="1">
      <alignment vertical="center"/>
    </xf>
    <xf numFmtId="43" fontId="102" fillId="0" borderId="0" xfId="96" applyFont="1" applyFill="1" applyBorder="1" applyAlignment="1" applyProtection="1">
      <alignment horizontal="center"/>
    </xf>
    <xf numFmtId="43" fontId="145" fillId="66" borderId="0" xfId="96" applyFont="1" applyFill="1" applyProtection="1"/>
    <xf numFmtId="43" fontId="145" fillId="0" borderId="0" xfId="96" applyFont="1" applyFill="1" applyProtection="1">
      <protection locked="0"/>
    </xf>
    <xf numFmtId="43" fontId="122" fillId="0" borderId="0" xfId="96" applyFont="1" applyFill="1" applyProtection="1"/>
    <xf numFmtId="43" fontId="122" fillId="66" borderId="0" xfId="96" applyFont="1" applyFill="1" applyProtection="1"/>
    <xf numFmtId="43" fontId="122" fillId="0" borderId="0" xfId="96" applyFont="1" applyFill="1" applyProtection="1">
      <protection locked="0"/>
    </xf>
    <xf numFmtId="43" fontId="118" fillId="0" borderId="113" xfId="96" applyFont="1" applyFill="1" applyBorder="1" applyProtection="1"/>
    <xf numFmtId="43" fontId="145" fillId="0" borderId="114" xfId="96" applyFont="1" applyFill="1" applyBorder="1" applyProtection="1"/>
    <xf numFmtId="43" fontId="146" fillId="0" borderId="115" xfId="96" applyFont="1" applyFill="1" applyBorder="1" applyAlignment="1" applyProtection="1">
      <alignment vertical="center"/>
    </xf>
    <xf numFmtId="0" fontId="117" fillId="64" borderId="237" xfId="94" applyFont="1" applyFill="1" applyBorder="1" applyAlignment="1" applyProtection="1">
      <alignment horizontal="center" vertical="center" wrapText="1"/>
    </xf>
    <xf numFmtId="0" fontId="117" fillId="64" borderId="238" xfId="94" applyFont="1" applyFill="1" applyBorder="1" applyAlignment="1" applyProtection="1">
      <alignment horizontal="center" vertical="center" wrapText="1"/>
    </xf>
    <xf numFmtId="43" fontId="118" fillId="0" borderId="0" xfId="96" applyFont="1" applyFill="1" applyBorder="1" applyAlignment="1" applyProtection="1">
      <alignment vertical="center"/>
    </xf>
    <xf numFmtId="43" fontId="145" fillId="0" borderId="32" xfId="96" applyFont="1" applyFill="1" applyBorder="1" applyProtection="1"/>
    <xf numFmtId="43" fontId="145" fillId="0" borderId="116" xfId="96" applyFont="1" applyFill="1" applyBorder="1" applyProtection="1"/>
    <xf numFmtId="43" fontId="146" fillId="0" borderId="37" xfId="96" applyFont="1" applyFill="1" applyBorder="1" applyAlignment="1" applyProtection="1">
      <alignment vertical="center"/>
    </xf>
    <xf numFmtId="43" fontId="125" fillId="0" borderId="0" xfId="96" applyFont="1" applyFill="1" applyBorder="1" applyAlignment="1" applyProtection="1">
      <alignment horizontal="center"/>
    </xf>
    <xf numFmtId="43" fontId="118" fillId="56" borderId="119" xfId="96" applyFont="1" applyFill="1" applyBorder="1" applyProtection="1"/>
    <xf numFmtId="43" fontId="118" fillId="56" borderId="120" xfId="96" applyFont="1" applyFill="1" applyBorder="1" applyAlignment="1" applyProtection="1">
      <alignment vertical="center"/>
    </xf>
    <xf numFmtId="179" fontId="125" fillId="56" borderId="119" xfId="96" applyNumberFormat="1" applyFont="1" applyFill="1" applyBorder="1" applyAlignment="1" applyProtection="1">
      <alignment horizontal="left" vertical="center"/>
    </xf>
    <xf numFmtId="179" fontId="118" fillId="56" borderId="203" xfId="96" applyNumberFormat="1" applyFont="1" applyFill="1" applyBorder="1" applyAlignment="1" applyProtection="1">
      <alignment horizontal="center" vertical="center"/>
    </xf>
    <xf numFmtId="43" fontId="118" fillId="56" borderId="119" xfId="96" applyFont="1" applyFill="1" applyBorder="1" applyAlignment="1" applyProtection="1">
      <alignment vertical="center"/>
    </xf>
    <xf numFmtId="179" fontId="125" fillId="56" borderId="120" xfId="96" applyNumberFormat="1" applyFont="1" applyFill="1" applyBorder="1" applyAlignment="1" applyProtection="1">
      <alignment horizontal="left" vertical="center"/>
    </xf>
    <xf numFmtId="43" fontId="119" fillId="0" borderId="0" xfId="96" applyFont="1" applyFill="1" applyProtection="1"/>
    <xf numFmtId="0" fontId="119" fillId="0" borderId="0" xfId="94" applyFont="1" applyFill="1" applyProtection="1"/>
    <xf numFmtId="179" fontId="118" fillId="56" borderId="17" xfId="96" applyNumberFormat="1" applyFont="1" applyFill="1" applyBorder="1" applyAlignment="1" applyProtection="1">
      <alignment horizontal="center" vertical="center"/>
    </xf>
    <xf numFmtId="43" fontId="0" fillId="0" borderId="114" xfId="96" applyFont="1" applyFill="1" applyBorder="1" applyProtection="1"/>
    <xf numFmtId="43" fontId="109" fillId="0" borderId="115" xfId="96" applyFont="1" applyFill="1" applyBorder="1" applyAlignment="1" applyProtection="1">
      <alignment vertical="center"/>
    </xf>
    <xf numFmtId="179" fontId="0" fillId="0" borderId="113" xfId="96" applyNumberFormat="1" applyFont="1" applyFill="1" applyBorder="1" applyAlignment="1" applyProtection="1">
      <alignment horizontal="center" vertical="center"/>
    </xf>
    <xf numFmtId="179" fontId="123" fillId="0" borderId="114" xfId="96" applyNumberFormat="1" applyFont="1" applyFill="1" applyBorder="1" applyAlignment="1" applyProtection="1">
      <alignment horizontal="left" vertical="center"/>
    </xf>
    <xf numFmtId="179" fontId="0" fillId="0" borderId="197" xfId="96" applyNumberFormat="1" applyFont="1" applyFill="1" applyBorder="1" applyAlignment="1" applyProtection="1">
      <alignment horizontal="center" vertical="center"/>
    </xf>
    <xf numFmtId="43" fontId="0" fillId="0" borderId="114" xfId="96" applyFont="1" applyFill="1" applyBorder="1" applyAlignment="1" applyProtection="1">
      <alignment vertical="center"/>
    </xf>
    <xf numFmtId="179" fontId="123" fillId="0" borderId="115" xfId="96" applyNumberFormat="1" applyFont="1" applyFill="1" applyBorder="1" applyAlignment="1" applyProtection="1">
      <alignment horizontal="left" vertical="center"/>
    </xf>
    <xf numFmtId="43" fontId="0" fillId="0" borderId="0" xfId="96" applyFont="1" applyFill="1" applyProtection="1"/>
    <xf numFmtId="179" fontId="0" fillId="0" borderId="121" xfId="96" applyNumberFormat="1" applyFont="1" applyFill="1" applyBorder="1" applyAlignment="1" applyProtection="1">
      <alignment horizontal="center" vertical="center"/>
    </xf>
    <xf numFmtId="43" fontId="109" fillId="0" borderId="122" xfId="96" applyFont="1" applyFill="1" applyBorder="1" applyAlignment="1" applyProtection="1">
      <alignment vertical="center"/>
    </xf>
    <xf numFmtId="179" fontId="0" fillId="0" borderId="34" xfId="96" applyNumberFormat="1" applyFont="1" applyFill="1" applyBorder="1" applyAlignment="1" applyProtection="1">
      <alignment horizontal="center" vertical="center"/>
    </xf>
    <xf numFmtId="179" fontId="0" fillId="0" borderId="199" xfId="96" applyNumberFormat="1" applyFont="1" applyFill="1" applyBorder="1" applyAlignment="1" applyProtection="1">
      <alignment horizontal="center" vertical="center"/>
    </xf>
    <xf numFmtId="43" fontId="0" fillId="0" borderId="0" xfId="96" applyFont="1" applyFill="1" applyBorder="1" applyAlignment="1" applyProtection="1">
      <alignment vertical="center"/>
    </xf>
    <xf numFmtId="179" fontId="0" fillId="0" borderId="22" xfId="96" applyNumberFormat="1" applyFont="1" applyFill="1" applyBorder="1" applyAlignment="1" applyProtection="1">
      <alignment horizontal="center" vertical="center"/>
    </xf>
    <xf numFmtId="43" fontId="0" fillId="0" borderId="116" xfId="96" applyFont="1" applyFill="1" applyBorder="1" applyProtection="1"/>
    <xf numFmtId="43" fontId="109" fillId="0" borderId="37" xfId="96" applyFont="1" applyFill="1" applyBorder="1" applyAlignment="1" applyProtection="1">
      <alignment vertical="center"/>
    </xf>
    <xf numFmtId="179" fontId="123" fillId="0" borderId="116" xfId="96" applyNumberFormat="1" applyFont="1" applyFill="1" applyBorder="1" applyAlignment="1" applyProtection="1">
      <alignment horizontal="left" vertical="center"/>
    </xf>
    <xf numFmtId="179" fontId="0" fillId="0" borderId="201" xfId="96" applyNumberFormat="1" applyFont="1" applyFill="1" applyBorder="1" applyAlignment="1" applyProtection="1">
      <alignment horizontal="center" vertical="center"/>
    </xf>
    <xf numFmtId="43" fontId="0" fillId="0" borderId="116" xfId="96" applyFont="1" applyFill="1" applyBorder="1" applyAlignment="1" applyProtection="1">
      <alignment vertical="center"/>
    </xf>
    <xf numFmtId="179" fontId="123" fillId="0" borderId="37" xfId="96" applyNumberFormat="1" applyFont="1" applyFill="1" applyBorder="1" applyAlignment="1" applyProtection="1">
      <alignment horizontal="left" vertical="center"/>
    </xf>
    <xf numFmtId="179" fontId="0" fillId="0" borderId="21" xfId="96" applyNumberFormat="1" applyFont="1" applyFill="1" applyBorder="1" applyAlignment="1" applyProtection="1">
      <alignment horizontal="center" vertical="center"/>
    </xf>
    <xf numFmtId="43" fontId="118" fillId="56" borderId="113" xfId="96" applyFont="1" applyFill="1" applyBorder="1" applyProtection="1"/>
    <xf numFmtId="43" fontId="118" fillId="56" borderId="114" xfId="96" applyFont="1" applyFill="1" applyBorder="1" applyProtection="1"/>
    <xf numFmtId="43" fontId="118" fillId="56" borderId="115" xfId="96" applyFont="1" applyFill="1" applyBorder="1" applyAlignment="1" applyProtection="1">
      <alignment vertical="center"/>
    </xf>
    <xf numFmtId="179" fontId="125" fillId="56" borderId="114" xfId="96" applyNumberFormat="1" applyFont="1" applyFill="1" applyBorder="1" applyAlignment="1" applyProtection="1">
      <alignment horizontal="left" vertical="center"/>
    </xf>
    <xf numFmtId="179" fontId="118" fillId="56" borderId="197" xfId="96" applyNumberFormat="1" applyFont="1" applyFill="1" applyBorder="1" applyAlignment="1" applyProtection="1">
      <alignment horizontal="center" vertical="center"/>
    </xf>
    <xf numFmtId="43" fontId="118" fillId="56" borderId="114" xfId="96" applyFont="1" applyFill="1" applyBorder="1" applyAlignment="1" applyProtection="1">
      <alignment vertical="center"/>
    </xf>
    <xf numFmtId="179" fontId="125" fillId="56" borderId="115" xfId="96" applyNumberFormat="1" applyFont="1" applyFill="1" applyBorder="1" applyAlignment="1" applyProtection="1">
      <alignment horizontal="left" vertical="center"/>
    </xf>
    <xf numFmtId="179" fontId="118" fillId="56" borderId="121" xfId="96" applyNumberFormat="1" applyFont="1" applyFill="1" applyBorder="1" applyAlignment="1" applyProtection="1">
      <alignment horizontal="center" vertical="center"/>
    </xf>
    <xf numFmtId="43" fontId="118" fillId="0" borderId="32" xfId="96" applyFont="1" applyFill="1" applyBorder="1" applyProtection="1"/>
    <xf numFmtId="43" fontId="118" fillId="0" borderId="116" xfId="96" applyFont="1" applyFill="1" applyBorder="1" applyProtection="1"/>
    <xf numFmtId="43" fontId="118" fillId="0" borderId="37" xfId="96" applyFont="1" applyFill="1" applyBorder="1" applyAlignment="1" applyProtection="1">
      <alignment vertical="center"/>
    </xf>
    <xf numFmtId="179" fontId="118" fillId="0" borderId="32" xfId="96" applyNumberFormat="1" applyFont="1" applyFill="1" applyBorder="1" applyAlignment="1" applyProtection="1">
      <alignment horizontal="center" vertical="center"/>
    </xf>
    <xf numFmtId="179" fontId="125" fillId="0" borderId="116" xfId="96" applyNumberFormat="1" applyFont="1" applyFill="1" applyBorder="1" applyAlignment="1" applyProtection="1">
      <alignment horizontal="left" vertical="center"/>
    </xf>
    <xf numFmtId="179" fontId="118" fillId="0" borderId="201" xfId="96" applyNumberFormat="1" applyFont="1" applyFill="1" applyBorder="1" applyAlignment="1" applyProtection="1">
      <alignment horizontal="center" vertical="center"/>
    </xf>
    <xf numFmtId="43" fontId="118" fillId="0" borderId="116" xfId="96" applyFont="1" applyFill="1" applyBorder="1" applyAlignment="1" applyProtection="1">
      <alignment vertical="center"/>
    </xf>
    <xf numFmtId="179" fontId="125" fillId="0" borderId="37" xfId="96" applyNumberFormat="1" applyFont="1" applyFill="1" applyBorder="1" applyAlignment="1" applyProtection="1">
      <alignment horizontal="left" vertical="center"/>
    </xf>
    <xf numFmtId="179" fontId="118" fillId="0" borderId="21" xfId="96" applyNumberFormat="1" applyFont="1" applyFill="1" applyBorder="1" applyAlignment="1" applyProtection="1">
      <alignment horizontal="center" vertical="center"/>
    </xf>
    <xf numFmtId="43" fontId="0" fillId="0" borderId="32" xfId="96" applyFont="1" applyFill="1" applyBorder="1" applyProtection="1"/>
    <xf numFmtId="9" fontId="0" fillId="0" borderId="32" xfId="95" applyFont="1" applyFill="1" applyBorder="1" applyAlignment="1" applyProtection="1">
      <alignment horizontal="center" vertical="center"/>
    </xf>
    <xf numFmtId="9" fontId="0" fillId="0" borderId="201" xfId="95" applyFont="1" applyFill="1" applyBorder="1" applyAlignment="1" applyProtection="1">
      <alignment horizontal="center" vertical="center"/>
    </xf>
    <xf numFmtId="0" fontId="147" fillId="0" borderId="0" xfId="94" applyFont="1" applyBorder="1" applyAlignment="1" applyProtection="1">
      <alignment vertical="center"/>
    </xf>
    <xf numFmtId="0" fontId="148" fillId="0" borderId="0" xfId="94" applyFont="1" applyBorder="1" applyAlignment="1" applyProtection="1">
      <alignment vertical="center"/>
    </xf>
    <xf numFmtId="0" fontId="99" fillId="66" borderId="0" xfId="94" applyFill="1" applyAlignment="1" applyProtection="1">
      <alignment vertical="center"/>
    </xf>
    <xf numFmtId="0" fontId="99" fillId="0" borderId="195" xfId="94" applyBorder="1" applyAlignment="1" applyProtection="1">
      <alignment vertical="center"/>
    </xf>
    <xf numFmtId="0" fontId="136" fillId="64" borderId="230" xfId="94" applyFont="1" applyFill="1" applyBorder="1" applyAlignment="1" applyProtection="1">
      <alignment horizontal="center" vertical="center" wrapText="1"/>
    </xf>
    <xf numFmtId="37" fontId="125" fillId="0" borderId="116" xfId="94" applyNumberFormat="1" applyFont="1" applyBorder="1" applyAlignment="1" applyProtection="1">
      <alignment horizontal="center"/>
    </xf>
    <xf numFmtId="0" fontId="118" fillId="0" borderId="113" xfId="94" applyFont="1" applyFill="1" applyBorder="1" applyProtection="1"/>
    <xf numFmtId="43" fontId="118" fillId="0" borderId="114" xfId="96" applyFont="1" applyFill="1" applyBorder="1" applyProtection="1"/>
    <xf numFmtId="43" fontId="118" fillId="0" borderId="115" xfId="96" applyFont="1" applyFill="1" applyBorder="1" applyAlignment="1" applyProtection="1">
      <alignment vertical="center"/>
    </xf>
    <xf numFmtId="179" fontId="118" fillId="0" borderId="113" xfId="96" applyNumberFormat="1" applyFont="1" applyFill="1" applyBorder="1" applyAlignment="1" applyProtection="1">
      <alignment horizontal="center" vertical="center"/>
    </xf>
    <xf numFmtId="179" fontId="125" fillId="0" borderId="114" xfId="96" applyNumberFormat="1" applyFont="1" applyFill="1" applyBorder="1" applyAlignment="1" applyProtection="1">
      <alignment horizontal="left" vertical="center"/>
    </xf>
    <xf numFmtId="179" fontId="118" fillId="0" borderId="197" xfId="96" applyNumberFormat="1" applyFont="1" applyFill="1" applyBorder="1" applyAlignment="1" applyProtection="1">
      <alignment horizontal="center" vertical="center"/>
    </xf>
    <xf numFmtId="43" fontId="118" fillId="0" borderId="114" xfId="96" applyFont="1" applyFill="1" applyBorder="1" applyAlignment="1" applyProtection="1">
      <alignment vertical="center"/>
    </xf>
    <xf numFmtId="179" fontId="125" fillId="0" borderId="115" xfId="96" applyNumberFormat="1" applyFont="1" applyFill="1" applyBorder="1" applyAlignment="1" applyProtection="1">
      <alignment horizontal="left" vertical="center"/>
    </xf>
    <xf numFmtId="179" fontId="118" fillId="0" borderId="115" xfId="96" applyNumberFormat="1" applyFont="1" applyFill="1" applyBorder="1" applyAlignment="1" applyProtection="1">
      <alignment horizontal="center" vertical="center"/>
    </xf>
    <xf numFmtId="0" fontId="99" fillId="0" borderId="0" xfId="94" applyFont="1" applyAlignment="1" applyProtection="1">
      <alignment vertical="center"/>
    </xf>
    <xf numFmtId="43" fontId="109" fillId="0" borderId="116" xfId="96" applyFont="1" applyFill="1" applyBorder="1" applyProtection="1"/>
    <xf numFmtId="179" fontId="109" fillId="0" borderId="32" xfId="96" applyNumberFormat="1" applyFont="1" applyFill="1" applyBorder="1" applyAlignment="1" applyProtection="1">
      <alignment horizontal="center" vertical="center"/>
    </xf>
    <xf numFmtId="179" fontId="109" fillId="0" borderId="201" xfId="96" applyNumberFormat="1" applyFont="1" applyFill="1" applyBorder="1" applyAlignment="1" applyProtection="1">
      <alignment horizontal="center" vertical="center"/>
    </xf>
    <xf numFmtId="43" fontId="109" fillId="0" borderId="116" xfId="96" applyFont="1" applyFill="1" applyBorder="1" applyAlignment="1" applyProtection="1">
      <alignment vertical="center"/>
    </xf>
    <xf numFmtId="179" fontId="109" fillId="0" borderId="37" xfId="96" applyNumberFormat="1" applyFont="1" applyFill="1" applyBorder="1" applyAlignment="1" applyProtection="1">
      <alignment horizontal="center" vertical="center"/>
    </xf>
    <xf numFmtId="0" fontId="99" fillId="66" borderId="0" xfId="94" applyFont="1" applyFill="1" applyAlignment="1" applyProtection="1">
      <alignment vertical="center"/>
    </xf>
    <xf numFmtId="0" fontId="99" fillId="0" borderId="0" xfId="94" applyFont="1" applyAlignment="1" applyProtection="1">
      <alignment vertical="center"/>
      <protection locked="0"/>
    </xf>
    <xf numFmtId="0" fontId="103" fillId="0" borderId="113" xfId="94" applyFont="1" applyFill="1" applyBorder="1" applyProtection="1"/>
    <xf numFmtId="179" fontId="0" fillId="0" borderId="115" xfId="96" applyNumberFormat="1" applyFont="1" applyFill="1" applyBorder="1" applyAlignment="1" applyProtection="1">
      <alignment horizontal="center" vertical="center"/>
    </xf>
    <xf numFmtId="0" fontId="103" fillId="0" borderId="34" xfId="94" applyFont="1" applyFill="1" applyBorder="1" applyProtection="1"/>
    <xf numFmtId="179" fontId="0" fillId="0" borderId="122" xfId="96" applyNumberFormat="1" applyFont="1" applyFill="1" applyBorder="1" applyAlignment="1" applyProtection="1">
      <alignment horizontal="center" vertical="center"/>
    </xf>
    <xf numFmtId="179" fontId="0" fillId="0" borderId="37" xfId="96" applyNumberFormat="1" applyFont="1" applyFill="1" applyBorder="1" applyAlignment="1" applyProtection="1">
      <alignment horizontal="center" vertical="center"/>
    </xf>
    <xf numFmtId="168" fontId="118" fillId="56" borderId="114" xfId="96" applyNumberFormat="1" applyFont="1" applyFill="1" applyBorder="1" applyAlignment="1" applyProtection="1">
      <alignment horizontal="right" vertical="center"/>
    </xf>
    <xf numFmtId="0" fontId="119" fillId="0" borderId="0" xfId="94" applyFont="1" applyAlignment="1" applyProtection="1">
      <alignment vertical="center"/>
    </xf>
    <xf numFmtId="37" fontId="102" fillId="56" borderId="115" xfId="94" applyNumberFormat="1" applyFont="1" applyFill="1" applyBorder="1" applyAlignment="1" applyProtection="1">
      <alignment horizontal="center" vertical="center"/>
    </xf>
    <xf numFmtId="9" fontId="99" fillId="0" borderId="199" xfId="95" applyNumberFormat="1" applyFont="1" applyFill="1" applyBorder="1" applyAlignment="1" applyProtection="1">
      <alignment horizontal="center" vertical="center"/>
    </xf>
    <xf numFmtId="10" fontId="121" fillId="0" borderId="122" xfId="95" applyNumberFormat="1" applyFont="1" applyFill="1" applyBorder="1" applyAlignment="1" applyProtection="1">
      <alignment horizontal="center" vertical="center"/>
    </xf>
    <xf numFmtId="166" fontId="123" fillId="0" borderId="199" xfId="94" applyNumberFormat="1" applyFont="1" applyFill="1" applyBorder="1" applyAlignment="1" applyProtection="1">
      <alignment horizontal="center" vertical="center"/>
    </xf>
    <xf numFmtId="0" fontId="119" fillId="0" borderId="113" xfId="94" applyFont="1" applyFill="1" applyBorder="1" applyAlignment="1" applyProtection="1">
      <alignment vertical="center"/>
    </xf>
    <xf numFmtId="168" fontId="119" fillId="0" borderId="196" xfId="96" applyNumberFormat="1" applyFont="1" applyFill="1" applyBorder="1" applyAlignment="1" applyProtection="1">
      <alignment horizontal="right" vertical="center"/>
    </xf>
    <xf numFmtId="168" fontId="119" fillId="0" borderId="114" xfId="96" applyNumberFormat="1" applyFont="1" applyFill="1" applyBorder="1" applyAlignment="1" applyProtection="1">
      <alignment horizontal="right" vertical="center"/>
    </xf>
    <xf numFmtId="168" fontId="119" fillId="0" borderId="197" xfId="96" applyNumberFormat="1" applyFont="1" applyFill="1" applyBorder="1" applyAlignment="1" applyProtection="1">
      <alignment horizontal="right" vertical="center"/>
    </xf>
    <xf numFmtId="179" fontId="119" fillId="0" borderId="197" xfId="96" applyNumberFormat="1" applyFont="1" applyFill="1" applyBorder="1" applyAlignment="1" applyProtection="1">
      <alignment horizontal="center" vertical="center"/>
    </xf>
    <xf numFmtId="9" fontId="122" fillId="0" borderId="0" xfId="94" applyNumberFormat="1" applyFont="1" applyAlignment="1" applyProtection="1">
      <alignment vertical="center"/>
    </xf>
    <xf numFmtId="179" fontId="119" fillId="0" borderId="113" xfId="96" applyNumberFormat="1" applyFont="1" applyFill="1" applyBorder="1" applyAlignment="1" applyProtection="1">
      <alignment horizontal="center" vertical="center"/>
    </xf>
    <xf numFmtId="166" fontId="121" fillId="0" borderId="115" xfId="95" applyNumberFormat="1" applyFont="1" applyFill="1" applyBorder="1" applyAlignment="1" applyProtection="1">
      <alignment horizontal="center" vertical="center"/>
    </xf>
    <xf numFmtId="179" fontId="119" fillId="0" borderId="199" xfId="96" applyNumberFormat="1" applyFont="1" applyFill="1" applyBorder="1" applyAlignment="1" applyProtection="1">
      <alignment horizontal="center" vertical="center"/>
    </xf>
    <xf numFmtId="0" fontId="122" fillId="0" borderId="0" xfId="94" applyFont="1" applyAlignment="1" applyProtection="1">
      <alignment vertical="center"/>
    </xf>
    <xf numFmtId="166" fontId="121" fillId="0" borderId="37" xfId="95" applyNumberFormat="1" applyFont="1" applyFill="1" applyBorder="1" applyAlignment="1" applyProtection="1">
      <alignment horizontal="center" vertical="center"/>
    </xf>
    <xf numFmtId="37" fontId="102" fillId="56" borderId="120" xfId="94" applyNumberFormat="1" applyFont="1" applyFill="1" applyBorder="1" applyAlignment="1" applyProtection="1">
      <alignment horizontal="center" vertical="center"/>
    </xf>
    <xf numFmtId="9" fontId="103" fillId="0" borderId="197" xfId="95" applyNumberFormat="1" applyFont="1" applyFill="1" applyBorder="1" applyAlignment="1" applyProtection="1">
      <alignment horizontal="center" vertical="center"/>
    </xf>
    <xf numFmtId="9" fontId="99" fillId="0" borderId="0" xfId="94" applyNumberFormat="1" applyAlignment="1" applyProtection="1">
      <alignment vertical="center"/>
    </xf>
    <xf numFmtId="9" fontId="103" fillId="0" borderId="142" xfId="95" applyNumberFormat="1" applyFont="1" applyFill="1" applyBorder="1" applyAlignment="1" applyProtection="1">
      <alignment horizontal="center" vertical="center"/>
    </xf>
    <xf numFmtId="166" fontId="137" fillId="0" borderId="144" xfId="95" applyNumberFormat="1" applyFont="1" applyFill="1" applyBorder="1" applyAlignment="1" applyProtection="1">
      <alignment horizontal="center" vertical="center"/>
    </xf>
    <xf numFmtId="0" fontId="123" fillId="66" borderId="0" xfId="94" applyFont="1" applyFill="1" applyProtection="1"/>
    <xf numFmtId="166" fontId="137" fillId="0" borderId="210" xfId="95" applyNumberFormat="1" applyFont="1" applyFill="1" applyBorder="1" applyAlignment="1" applyProtection="1">
      <alignment horizontal="center" vertical="center"/>
    </xf>
    <xf numFmtId="166" fontId="137" fillId="0" borderId="37" xfId="95" applyNumberFormat="1" applyFont="1" applyFill="1" applyBorder="1" applyAlignment="1" applyProtection="1">
      <alignment horizontal="center" vertical="center"/>
    </xf>
    <xf numFmtId="179" fontId="118" fillId="56" borderId="205" xfId="96" applyNumberFormat="1" applyFont="1" applyFill="1" applyBorder="1" applyAlignment="1" applyProtection="1">
      <alignment horizontal="center" vertical="center"/>
    </xf>
    <xf numFmtId="9" fontId="103" fillId="0" borderId="209" xfId="95" applyNumberFormat="1" applyFont="1" applyFill="1" applyBorder="1" applyAlignment="1" applyProtection="1">
      <alignment horizontal="center" vertical="center"/>
    </xf>
    <xf numFmtId="9" fontId="121" fillId="0" borderId="122" xfId="95" applyFont="1" applyFill="1" applyBorder="1" applyAlignment="1" applyProtection="1">
      <alignment horizontal="center" vertical="center" wrapText="1"/>
    </xf>
    <xf numFmtId="166" fontId="137" fillId="0" borderId="115" xfId="95" applyNumberFormat="1" applyFont="1" applyFill="1" applyBorder="1" applyAlignment="1" applyProtection="1">
      <alignment horizontal="center" vertical="center"/>
    </xf>
    <xf numFmtId="166" fontId="121" fillId="0" borderId="122" xfId="95" applyNumberFormat="1" applyFont="1" applyFill="1" applyBorder="1" applyAlignment="1" applyProtection="1">
      <alignment horizontal="center" vertical="center"/>
    </xf>
    <xf numFmtId="179" fontId="118" fillId="56" borderId="199" xfId="96" applyNumberFormat="1" applyFont="1" applyFill="1" applyBorder="1" applyAlignment="1" applyProtection="1">
      <alignment horizontal="center" vertical="center"/>
    </xf>
    <xf numFmtId="37" fontId="102" fillId="56" borderId="122" xfId="94" applyNumberFormat="1" applyFont="1" applyFill="1" applyBorder="1" applyAlignment="1" applyProtection="1">
      <alignment horizontal="center" vertical="center"/>
    </xf>
    <xf numFmtId="9" fontId="103" fillId="0" borderId="0" xfId="95" applyNumberFormat="1" applyFont="1" applyBorder="1" applyAlignment="1" applyProtection="1">
      <alignment horizontal="center" vertical="center"/>
    </xf>
    <xf numFmtId="166" fontId="137" fillId="0" borderId="122" xfId="95" applyNumberFormat="1" applyFont="1" applyBorder="1" applyAlignment="1" applyProtection="1">
      <alignment horizontal="center" vertical="center"/>
    </xf>
    <xf numFmtId="166" fontId="122" fillId="0" borderId="0" xfId="95" applyNumberFormat="1" applyFont="1" applyFill="1" applyProtection="1"/>
    <xf numFmtId="166" fontId="122" fillId="66" borderId="0" xfId="95" applyNumberFormat="1" applyFont="1" applyFill="1" applyProtection="1"/>
    <xf numFmtId="166" fontId="122" fillId="0" borderId="0" xfId="95" applyNumberFormat="1" applyFont="1" applyFill="1" applyProtection="1">
      <protection locked="0"/>
    </xf>
    <xf numFmtId="168" fontId="118" fillId="0" borderId="198" xfId="96" applyNumberFormat="1" applyFont="1" applyFill="1" applyBorder="1" applyAlignment="1" applyProtection="1">
      <alignment horizontal="right" vertical="center"/>
    </xf>
    <xf numFmtId="168" fontId="118" fillId="0" borderId="0" xfId="96" applyNumberFormat="1" applyFont="1" applyFill="1" applyBorder="1" applyAlignment="1" applyProtection="1">
      <alignment horizontal="right" vertical="center"/>
    </xf>
    <xf numFmtId="179" fontId="118" fillId="0" borderId="199" xfId="96" applyNumberFormat="1" applyFont="1" applyFill="1" applyBorder="1" applyAlignment="1" applyProtection="1">
      <alignment horizontal="center" vertical="center"/>
    </xf>
    <xf numFmtId="37" fontId="102" fillId="0" borderId="0" xfId="94" applyNumberFormat="1" applyFont="1" applyFill="1" applyBorder="1" applyAlignment="1" applyProtection="1">
      <alignment horizontal="center" vertical="center"/>
    </xf>
    <xf numFmtId="0" fontId="122" fillId="0" borderId="0" xfId="94" applyFont="1" applyFill="1" applyAlignment="1" applyProtection="1">
      <alignment vertical="center"/>
    </xf>
    <xf numFmtId="179" fontId="118" fillId="0" borderId="34" xfId="96" applyNumberFormat="1" applyFont="1" applyFill="1" applyBorder="1" applyAlignment="1" applyProtection="1">
      <alignment horizontal="center" vertical="center"/>
    </xf>
    <xf numFmtId="37" fontId="102" fillId="0" borderId="122" xfId="94" applyNumberFormat="1" applyFont="1" applyFill="1" applyBorder="1" applyAlignment="1" applyProtection="1">
      <alignment horizontal="center" vertical="center"/>
    </xf>
    <xf numFmtId="0" fontId="122" fillId="0" borderId="208" xfId="94" applyFont="1" applyFill="1" applyBorder="1" applyAlignment="1" applyProtection="1">
      <alignment vertical="center"/>
    </xf>
    <xf numFmtId="167" fontId="144" fillId="0" borderId="208" xfId="96" applyNumberFormat="1" applyFont="1" applyFill="1" applyBorder="1" applyAlignment="1" applyProtection="1">
      <alignment horizontal="right" vertical="center"/>
    </xf>
    <xf numFmtId="166" fontId="122" fillId="0" borderId="208" xfId="95" applyNumberFormat="1" applyFont="1" applyFill="1" applyBorder="1" applyProtection="1"/>
    <xf numFmtId="167" fontId="129" fillId="0" borderId="208" xfId="96" applyNumberFormat="1" applyFont="1" applyBorder="1" applyAlignment="1" applyProtection="1">
      <alignment horizontal="right" vertical="center"/>
    </xf>
    <xf numFmtId="167" fontId="146" fillId="0" borderId="208" xfId="96" applyNumberFormat="1" applyFont="1" applyFill="1" applyBorder="1" applyAlignment="1" applyProtection="1">
      <alignment horizontal="right"/>
    </xf>
    <xf numFmtId="167" fontId="145" fillId="0" borderId="208" xfId="96" applyNumberFormat="1" applyFont="1" applyFill="1" applyBorder="1" applyAlignment="1" applyProtection="1">
      <alignment horizontal="right"/>
    </xf>
    <xf numFmtId="167" fontId="130" fillId="0" borderId="208" xfId="96" applyNumberFormat="1" applyFont="1" applyBorder="1" applyAlignment="1" applyProtection="1">
      <alignment horizontal="right"/>
    </xf>
    <xf numFmtId="167" fontId="130" fillId="0" borderId="208" xfId="96" applyNumberFormat="1" applyFont="1" applyFill="1" applyBorder="1" applyAlignment="1" applyProtection="1">
      <alignment horizontal="right"/>
    </xf>
    <xf numFmtId="9" fontId="129" fillId="0" borderId="208" xfId="95" applyFont="1" applyBorder="1" applyAlignment="1" applyProtection="1">
      <alignment horizontal="center" vertical="center"/>
    </xf>
    <xf numFmtId="179" fontId="145" fillId="0" borderId="208" xfId="96" applyNumberFormat="1" applyFont="1" applyFill="1" applyBorder="1" applyAlignment="1" applyProtection="1">
      <alignment horizontal="left" vertical="center"/>
    </xf>
    <xf numFmtId="0" fontId="110" fillId="0" borderId="0" xfId="94" quotePrefix="1" applyFont="1" applyBorder="1" applyAlignment="1" applyProtection="1">
      <alignment vertical="center"/>
    </xf>
    <xf numFmtId="167" fontId="144" fillId="0" borderId="0" xfId="96" applyNumberFormat="1" applyFont="1" applyFill="1" applyBorder="1" applyAlignment="1" applyProtection="1">
      <alignment horizontal="right" vertical="center"/>
    </xf>
    <xf numFmtId="166" fontId="122" fillId="0" borderId="0" xfId="95" applyNumberFormat="1" applyFont="1" applyFill="1" applyBorder="1" applyProtection="1"/>
    <xf numFmtId="167" fontId="129" fillId="0" borderId="0" xfId="96" applyNumberFormat="1" applyFont="1" applyBorder="1" applyAlignment="1" applyProtection="1">
      <alignment horizontal="right" vertical="center"/>
    </xf>
    <xf numFmtId="167" fontId="146" fillId="0" borderId="0" xfId="96" applyNumberFormat="1" applyFont="1" applyFill="1" applyBorder="1" applyAlignment="1" applyProtection="1">
      <alignment horizontal="right"/>
    </xf>
    <xf numFmtId="167" fontId="145" fillId="0" borderId="0" xfId="96" applyNumberFormat="1" applyFont="1" applyFill="1" applyBorder="1" applyAlignment="1" applyProtection="1">
      <alignment horizontal="right"/>
    </xf>
    <xf numFmtId="167" fontId="130" fillId="0" borderId="0" xfId="96" applyNumberFormat="1" applyFont="1" applyBorder="1" applyAlignment="1" applyProtection="1">
      <alignment horizontal="right"/>
    </xf>
    <xf numFmtId="167" fontId="130" fillId="0" borderId="0" xfId="96" applyNumberFormat="1" applyFont="1" applyFill="1" applyBorder="1" applyAlignment="1" applyProtection="1">
      <alignment horizontal="right"/>
    </xf>
    <xf numFmtId="9" fontId="129" fillId="0" borderId="0" xfId="95" applyFont="1" applyBorder="1" applyAlignment="1" applyProtection="1">
      <alignment horizontal="center" vertical="center"/>
    </xf>
    <xf numFmtId="179" fontId="145" fillId="0" borderId="0" xfId="96" applyNumberFormat="1" applyFont="1" applyFill="1" applyBorder="1" applyAlignment="1" applyProtection="1">
      <alignment horizontal="left" vertical="center"/>
    </xf>
    <xf numFmtId="9" fontId="110" fillId="0" borderId="0" xfId="95" applyFont="1" applyBorder="1" applyAlignment="1" applyProtection="1">
      <alignment horizontal="center" vertical="center"/>
    </xf>
    <xf numFmtId="37" fontId="125" fillId="0" borderId="0" xfId="94" applyNumberFormat="1" applyFont="1" applyFill="1" applyBorder="1" applyAlignment="1" applyProtection="1">
      <alignment horizontal="center"/>
    </xf>
    <xf numFmtId="9" fontId="110" fillId="0" borderId="0" xfId="95" applyFont="1" applyBorder="1" applyAlignment="1" applyProtection="1">
      <alignment horizontal="center"/>
    </xf>
    <xf numFmtId="0" fontId="110" fillId="0" borderId="0" xfId="94" applyFont="1" applyBorder="1" applyAlignment="1" applyProtection="1">
      <alignment vertical="center"/>
      <protection locked="0"/>
    </xf>
    <xf numFmtId="9" fontId="110" fillId="0" borderId="0" xfId="95" applyFont="1" applyBorder="1" applyAlignment="1" applyProtection="1">
      <alignment horizontal="center" vertical="center"/>
      <protection locked="0"/>
    </xf>
    <xf numFmtId="9" fontId="110" fillId="0" borderId="0" xfId="95" applyFont="1" applyBorder="1" applyAlignment="1" applyProtection="1">
      <alignment horizontal="center"/>
      <protection locked="0"/>
    </xf>
    <xf numFmtId="9" fontId="121" fillId="0" borderId="0" xfId="95" applyFont="1" applyAlignment="1" applyProtection="1">
      <alignment horizontal="center"/>
      <protection locked="0"/>
    </xf>
    <xf numFmtId="0" fontId="121" fillId="0" borderId="0" xfId="94" applyFont="1" applyProtection="1">
      <protection locked="0"/>
    </xf>
    <xf numFmtId="0" fontId="99" fillId="0" borderId="0" xfId="94" applyAlignment="1" applyProtection="1">
      <alignment horizontal="center"/>
      <protection locked="0"/>
    </xf>
    <xf numFmtId="0" fontId="111" fillId="64" borderId="118" xfId="94" applyFont="1" applyFill="1" applyBorder="1" applyAlignment="1" applyProtection="1">
      <alignment horizontal="centerContinuous"/>
    </xf>
    <xf numFmtId="0" fontId="111" fillId="64" borderId="119" xfId="94" applyFont="1" applyFill="1" applyBorder="1" applyAlignment="1" applyProtection="1">
      <alignment horizontal="centerContinuous"/>
    </xf>
    <xf numFmtId="0" fontId="109" fillId="68" borderId="113" xfId="94" applyFont="1" applyFill="1" applyBorder="1" applyAlignment="1" applyProtection="1">
      <alignment horizontal="centerContinuous"/>
    </xf>
    <xf numFmtId="0" fontId="109" fillId="68" borderId="115" xfId="94" applyFont="1" applyFill="1" applyBorder="1" applyAlignment="1" applyProtection="1">
      <alignment horizontal="centerContinuous"/>
    </xf>
    <xf numFmtId="0" fontId="109" fillId="68" borderId="32" xfId="94" applyFont="1" applyFill="1" applyBorder="1" applyAlignment="1" applyProtection="1">
      <alignment horizontal="centerContinuous"/>
    </xf>
    <xf numFmtId="0" fontId="109" fillId="68" borderId="37" xfId="94" applyFont="1" applyFill="1" applyBorder="1" applyAlignment="1" applyProtection="1">
      <alignment horizontal="centerContinuous"/>
    </xf>
    <xf numFmtId="0" fontId="109" fillId="68" borderId="17" xfId="94" applyFont="1" applyFill="1" applyBorder="1" applyAlignment="1" applyProtection="1">
      <alignment horizontal="center"/>
    </xf>
    <xf numFmtId="9" fontId="109" fillId="69" borderId="121" xfId="95" applyFont="1" applyFill="1" applyBorder="1" applyAlignment="1" applyProtection="1">
      <alignment horizontal="center"/>
    </xf>
    <xf numFmtId="179" fontId="109" fillId="69" borderId="21" xfId="96" applyNumberFormat="1" applyFont="1" applyFill="1" applyBorder="1" applyAlignment="1" applyProtection="1">
      <alignment horizontal="center"/>
    </xf>
    <xf numFmtId="0" fontId="111" fillId="64" borderId="120" xfId="94" applyFont="1" applyFill="1" applyBorder="1" applyAlignment="1" applyProtection="1">
      <alignment horizontal="centerContinuous"/>
    </xf>
    <xf numFmtId="0" fontId="99" fillId="0" borderId="119" xfId="94" applyBorder="1" applyAlignment="1" applyProtection="1">
      <alignment horizontal="center"/>
    </xf>
    <xf numFmtId="0" fontId="99" fillId="0" borderId="120" xfId="94" applyBorder="1" applyAlignment="1" applyProtection="1">
      <alignment horizontal="center"/>
    </xf>
    <xf numFmtId="37" fontId="99" fillId="0" borderId="113" xfId="94" applyNumberFormat="1" applyBorder="1" applyProtection="1"/>
    <xf numFmtId="9" fontId="99" fillId="0" borderId="121" xfId="94" applyNumberFormat="1" applyBorder="1" applyAlignment="1" applyProtection="1">
      <alignment horizontal="center"/>
    </xf>
    <xf numFmtId="0" fontId="109" fillId="0" borderId="120" xfId="94" applyFont="1" applyBorder="1" applyProtection="1"/>
    <xf numFmtId="0" fontId="101" fillId="0" borderId="0" xfId="94" applyFont="1" applyBorder="1" applyAlignment="1" applyProtection="1">
      <alignment horizontal="center"/>
    </xf>
    <xf numFmtId="0" fontId="101" fillId="0" borderId="122" xfId="94" applyFont="1" applyFill="1" applyBorder="1" applyAlignment="1" applyProtection="1">
      <alignment horizontal="center"/>
    </xf>
    <xf numFmtId="37" fontId="99" fillId="0" borderId="34" xfId="94" applyNumberFormat="1" applyBorder="1" applyProtection="1"/>
    <xf numFmtId="9" fontId="99" fillId="0" borderId="22" xfId="94" applyNumberFormat="1" applyBorder="1" applyAlignment="1" applyProtection="1">
      <alignment horizontal="center"/>
    </xf>
    <xf numFmtId="0" fontId="101" fillId="0" borderId="122" xfId="94" applyFont="1" applyBorder="1" applyAlignment="1" applyProtection="1">
      <alignment horizontal="right"/>
    </xf>
    <xf numFmtId="0" fontId="121" fillId="0" borderId="34" xfId="94" applyFont="1" applyBorder="1" applyProtection="1"/>
    <xf numFmtId="0" fontId="99" fillId="0" borderId="122" xfId="94" applyBorder="1" applyAlignment="1" applyProtection="1">
      <alignment horizontal="center"/>
    </xf>
    <xf numFmtId="9" fontId="99" fillId="0" borderId="113" xfId="94" applyNumberFormat="1" applyBorder="1" applyProtection="1"/>
    <xf numFmtId="0" fontId="99" fillId="0" borderId="121" xfId="94" applyBorder="1" applyAlignment="1" applyProtection="1">
      <alignment horizontal="center"/>
    </xf>
    <xf numFmtId="0" fontId="99" fillId="0" borderId="116" xfId="94" applyBorder="1" applyAlignment="1" applyProtection="1">
      <alignment horizontal="center"/>
    </xf>
    <xf numFmtId="0" fontId="99" fillId="0" borderId="37" xfId="94" applyBorder="1" applyAlignment="1" applyProtection="1">
      <alignment horizontal="center"/>
    </xf>
    <xf numFmtId="0" fontId="99" fillId="0" borderId="21" xfId="94" applyBorder="1" applyAlignment="1" applyProtection="1">
      <alignment horizontal="center"/>
    </xf>
    <xf numFmtId="0" fontId="149" fillId="0" borderId="113" xfId="94" applyFont="1" applyBorder="1" applyProtection="1"/>
    <xf numFmtId="0" fontId="105" fillId="0" borderId="114" xfId="94" applyFont="1" applyBorder="1" applyProtection="1"/>
    <xf numFmtId="0" fontId="149" fillId="0" borderId="115" xfId="94" applyFont="1" applyBorder="1" applyAlignment="1" applyProtection="1">
      <alignment horizontal="center" vertical="top"/>
    </xf>
    <xf numFmtId="0" fontId="123" fillId="0" borderId="32" xfId="94" applyFont="1" applyFill="1" applyBorder="1" applyProtection="1"/>
    <xf numFmtId="179" fontId="0" fillId="0" borderId="22" xfId="96" applyNumberFormat="1" applyFont="1" applyBorder="1" applyAlignment="1" applyProtection="1">
      <alignment horizontal="center"/>
    </xf>
    <xf numFmtId="9" fontId="0" fillId="0" borderId="22" xfId="95" applyFont="1" applyBorder="1" applyAlignment="1" applyProtection="1">
      <alignment horizontal="center"/>
    </xf>
    <xf numFmtId="9" fontId="0" fillId="0" borderId="21" xfId="95" applyFont="1" applyBorder="1" applyAlignment="1" applyProtection="1">
      <alignment horizontal="center"/>
    </xf>
    <xf numFmtId="9" fontId="99" fillId="0" borderId="120" xfId="94" applyNumberFormat="1" applyBorder="1" applyAlignment="1" applyProtection="1">
      <alignment horizontal="right"/>
    </xf>
    <xf numFmtId="0" fontId="101" fillId="0" borderId="114" xfId="94" applyFont="1" applyBorder="1" applyAlignment="1" applyProtection="1">
      <alignment horizontal="center"/>
    </xf>
    <xf numFmtId="0" fontId="101" fillId="0" borderId="115" xfId="94" applyFont="1" applyBorder="1" applyAlignment="1" applyProtection="1">
      <alignment horizontal="center"/>
    </xf>
    <xf numFmtId="179" fontId="0" fillId="0" borderId="0" xfId="96" applyNumberFormat="1" applyFont="1" applyBorder="1" applyAlignment="1" applyProtection="1">
      <alignment horizontal="center"/>
    </xf>
    <xf numFmtId="179" fontId="0" fillId="0" borderId="122" xfId="96" applyNumberFormat="1" applyFont="1" applyBorder="1" applyAlignment="1" applyProtection="1">
      <alignment horizontal="center"/>
    </xf>
    <xf numFmtId="0" fontId="103" fillId="0" borderId="241" xfId="94" applyFont="1" applyBorder="1" applyProtection="1"/>
    <xf numFmtId="0" fontId="103" fillId="0" borderId="242" xfId="94" applyFont="1" applyBorder="1" applyProtection="1"/>
    <xf numFmtId="179" fontId="0" fillId="0" borderId="242" xfId="96" applyNumberFormat="1" applyFont="1" applyBorder="1" applyAlignment="1" applyProtection="1">
      <alignment horizontal="center"/>
    </xf>
    <xf numFmtId="179" fontId="0" fillId="0" borderId="243" xfId="96" applyNumberFormat="1" applyFont="1" applyBorder="1" applyAlignment="1" applyProtection="1">
      <alignment horizontal="center"/>
    </xf>
    <xf numFmtId="0" fontId="99" fillId="0" borderId="0" xfId="94" quotePrefix="1" applyProtection="1"/>
    <xf numFmtId="0" fontId="142" fillId="64" borderId="113" xfId="98" applyFont="1" applyFill="1" applyBorder="1" applyAlignment="1">
      <alignment horizontal="centerContinuous"/>
    </xf>
    <xf numFmtId="0" fontId="99" fillId="64" borderId="0" xfId="94" applyFill="1" applyAlignment="1" applyProtection="1">
      <alignment horizontal="centerContinuous"/>
      <protection locked="0"/>
    </xf>
    <xf numFmtId="0" fontId="142" fillId="64" borderId="119" xfId="98" applyFont="1" applyFill="1" applyBorder="1" applyAlignment="1">
      <alignment horizontal="centerContinuous"/>
    </xf>
    <xf numFmtId="0" fontId="142" fillId="64" borderId="119" xfId="98" applyFont="1" applyFill="1" applyBorder="1" applyAlignment="1"/>
    <xf numFmtId="0" fontId="98" fillId="0" borderId="118" xfId="98" applyFont="1" applyBorder="1" applyAlignment="1">
      <alignment horizontal="centerContinuous" wrapText="1"/>
    </xf>
    <xf numFmtId="0" fontId="99" fillId="0" borderId="120" xfId="94" applyBorder="1" applyAlignment="1" applyProtection="1">
      <alignment horizontal="centerContinuous"/>
      <protection locked="0"/>
    </xf>
    <xf numFmtId="0" fontId="98" fillId="0" borderId="17" xfId="98" applyFont="1" applyBorder="1" applyAlignment="1">
      <alignment horizontal="center" wrapText="1"/>
    </xf>
    <xf numFmtId="0" fontId="109" fillId="0" borderId="118" xfId="94" applyFont="1" applyBorder="1" applyAlignment="1" applyProtection="1">
      <alignment horizontal="centerContinuous"/>
      <protection locked="0"/>
    </xf>
    <xf numFmtId="0" fontId="99" fillId="0" borderId="113" xfId="94" applyFont="1" applyBorder="1" applyProtection="1">
      <protection locked="0"/>
    </xf>
    <xf numFmtId="0" fontId="99" fillId="0" borderId="121" xfId="94" applyFill="1" applyBorder="1" applyAlignment="1" applyProtection="1">
      <alignment horizontal="center"/>
      <protection locked="0"/>
    </xf>
    <xf numFmtId="0" fontId="1" fillId="0" borderId="34" xfId="98" applyFont="1" applyBorder="1"/>
    <xf numFmtId="185" fontId="1" fillId="0" borderId="22" xfId="98" applyNumberFormat="1" applyFont="1" applyFill="1" applyBorder="1" applyAlignment="1">
      <alignment horizontal="center"/>
    </xf>
    <xf numFmtId="9" fontId="1" fillId="0" borderId="22" xfId="98" applyNumberFormat="1" applyFont="1" applyFill="1" applyBorder="1" applyAlignment="1">
      <alignment horizontal="center"/>
    </xf>
    <xf numFmtId="0" fontId="1" fillId="0" borderId="22" xfId="98" applyFont="1" applyFill="1" applyBorder="1"/>
    <xf numFmtId="8" fontId="1" fillId="0" borderId="22" xfId="98" applyNumberFormat="1" applyFont="1" applyFill="1" applyBorder="1" applyAlignment="1">
      <alignment horizontal="center"/>
    </xf>
    <xf numFmtId="0" fontId="1" fillId="0" borderId="32" xfId="98" applyFont="1" applyBorder="1"/>
    <xf numFmtId="166" fontId="1" fillId="0" borderId="21" xfId="95" applyNumberFormat="1" applyFont="1" applyFill="1" applyBorder="1" applyAlignment="1">
      <alignment horizontal="center"/>
    </xf>
    <xf numFmtId="0" fontId="150" fillId="0" borderId="114" xfId="98" quotePrefix="1" applyFont="1" applyFill="1" applyBorder="1"/>
    <xf numFmtId="0" fontId="150" fillId="0" borderId="0" xfId="98" quotePrefix="1" applyFont="1" applyFill="1" applyBorder="1"/>
    <xf numFmtId="0" fontId="99" fillId="58" borderId="17" xfId="94" applyFill="1" applyBorder="1" applyProtection="1"/>
    <xf numFmtId="0" fontId="102" fillId="59" borderId="17" xfId="94" applyFont="1" applyFill="1" applyBorder="1" applyAlignment="1" applyProtection="1">
      <alignment vertical="center"/>
    </xf>
    <xf numFmtId="0" fontId="99" fillId="60" borderId="17" xfId="94" applyFill="1" applyBorder="1" applyProtection="1"/>
    <xf numFmtId="0" fontId="99" fillId="57" borderId="17" xfId="94" applyFill="1" applyBorder="1" applyProtection="1"/>
    <xf numFmtId="0" fontId="126" fillId="0" borderId="116" xfId="94" applyFont="1" applyBorder="1" applyAlignment="1" applyProtection="1">
      <alignment vertical="center"/>
    </xf>
    <xf numFmtId="0" fontId="117" fillId="0" borderId="0" xfId="94" applyFont="1" applyFill="1" applyBorder="1" applyAlignment="1" applyProtection="1">
      <alignment vertical="center" wrapText="1"/>
    </xf>
    <xf numFmtId="0" fontId="117" fillId="64" borderId="137" xfId="94" applyFont="1" applyFill="1" applyBorder="1" applyAlignment="1" applyProtection="1">
      <alignment horizontal="center" vertical="center" wrapText="1"/>
    </xf>
    <xf numFmtId="0" fontId="122" fillId="0" borderId="113" xfId="94" applyFont="1" applyFill="1" applyBorder="1" applyAlignment="1" applyProtection="1">
      <alignment vertical="center"/>
    </xf>
    <xf numFmtId="0" fontId="122" fillId="0" borderId="114" xfId="94" applyFont="1" applyFill="1" applyBorder="1" applyAlignment="1" applyProtection="1">
      <alignment vertical="center"/>
    </xf>
    <xf numFmtId="0" fontId="151" fillId="0" borderId="114" xfId="94" applyFont="1" applyFill="1" applyBorder="1" applyAlignment="1" applyProtection="1">
      <alignment horizontal="center" vertical="center" wrapText="1"/>
    </xf>
    <xf numFmtId="168" fontId="152" fillId="58" borderId="113" xfId="96" applyNumberFormat="1" applyFont="1" applyFill="1" applyBorder="1" applyAlignment="1" applyProtection="1">
      <alignment horizontal="right" vertical="center"/>
      <protection locked="0"/>
    </xf>
    <xf numFmtId="168" fontId="152" fillId="58" borderId="114" xfId="96" applyNumberFormat="1" applyFont="1" applyFill="1" applyBorder="1" applyAlignment="1" applyProtection="1">
      <alignment horizontal="right" vertical="center"/>
      <protection locked="0"/>
    </xf>
    <xf numFmtId="168" fontId="152" fillId="0" borderId="22" xfId="96" applyNumberFormat="1" applyFont="1" applyFill="1" applyBorder="1" applyAlignment="1" applyProtection="1">
      <alignment horizontal="right" vertical="center" wrapText="1"/>
    </xf>
    <xf numFmtId="41" fontId="152" fillId="0" borderId="0" xfId="96" applyNumberFormat="1" applyFont="1" applyFill="1" applyBorder="1" applyAlignment="1" applyProtection="1">
      <alignment horizontal="center" vertical="center" wrapText="1"/>
    </xf>
    <xf numFmtId="168" fontId="152" fillId="0" borderId="0" xfId="96" applyNumberFormat="1" applyFont="1" applyFill="1" applyBorder="1" applyAlignment="1" applyProtection="1">
      <alignment horizontal="right" vertical="center" wrapText="1"/>
    </xf>
    <xf numFmtId="168" fontId="152" fillId="58" borderId="0" xfId="96" applyNumberFormat="1" applyFont="1" applyFill="1" applyBorder="1" applyAlignment="1" applyProtection="1">
      <alignment horizontal="right" vertical="center"/>
      <protection locked="0"/>
    </xf>
    <xf numFmtId="168" fontId="152" fillId="0" borderId="113" xfId="96" applyNumberFormat="1" applyFont="1" applyFill="1" applyBorder="1" applyAlignment="1" applyProtection="1">
      <alignment horizontal="right" vertical="center"/>
    </xf>
    <xf numFmtId="168" fontId="152" fillId="0" borderId="114" xfId="96" applyNumberFormat="1" applyFont="1" applyFill="1" applyBorder="1" applyAlignment="1" applyProtection="1">
      <alignment horizontal="right" vertical="center"/>
    </xf>
    <xf numFmtId="168" fontId="152" fillId="0" borderId="121" xfId="96" applyNumberFormat="1" applyFont="1" applyFill="1" applyBorder="1" applyAlignment="1" applyProtection="1">
      <alignment horizontal="right" vertical="center" wrapText="1"/>
    </xf>
    <xf numFmtId="0" fontId="122" fillId="0" borderId="32" xfId="94" applyFont="1" applyFill="1" applyBorder="1" applyAlignment="1" applyProtection="1">
      <alignment vertical="center"/>
    </xf>
    <xf numFmtId="0" fontId="122" fillId="0" borderId="116" xfId="94" applyFont="1" applyFill="1" applyBorder="1" applyAlignment="1" applyProtection="1">
      <alignment vertical="center"/>
    </xf>
    <xf numFmtId="0" fontId="151" fillId="0" borderId="116" xfId="94" applyFont="1" applyFill="1" applyBorder="1" applyAlignment="1" applyProtection="1">
      <alignment horizontal="center" vertical="center" wrapText="1"/>
    </xf>
    <xf numFmtId="43" fontId="152" fillId="58" borderId="32" xfId="96" applyFont="1" applyFill="1" applyBorder="1" applyAlignment="1" applyProtection="1">
      <alignment horizontal="right" vertical="center"/>
      <protection locked="0"/>
    </xf>
    <xf numFmtId="43" fontId="152" fillId="58" borderId="116" xfId="96" applyFont="1" applyFill="1" applyBorder="1" applyAlignment="1" applyProtection="1">
      <alignment horizontal="right" vertical="center"/>
      <protection locked="0"/>
    </xf>
    <xf numFmtId="43" fontId="152" fillId="0" borderId="21" xfId="96" applyFont="1" applyFill="1" applyBorder="1" applyAlignment="1" applyProtection="1">
      <alignment horizontal="right" vertical="center" wrapText="1"/>
    </xf>
    <xf numFmtId="43" fontId="152" fillId="0" borderId="0" xfId="94" applyNumberFormat="1" applyFont="1" applyFill="1" applyBorder="1" applyAlignment="1" applyProtection="1">
      <alignment horizontal="center" vertical="center" wrapText="1"/>
    </xf>
    <xf numFmtId="43" fontId="152" fillId="0" borderId="0" xfId="96" applyFont="1" applyFill="1" applyBorder="1" applyAlignment="1" applyProtection="1">
      <alignment horizontal="right" vertical="center" wrapText="1"/>
    </xf>
    <xf numFmtId="43" fontId="152" fillId="0" borderId="32" xfId="96" applyFont="1" applyFill="1" applyBorder="1" applyAlignment="1" applyProtection="1">
      <alignment horizontal="right" vertical="center"/>
    </xf>
    <xf numFmtId="43" fontId="152" fillId="0" borderId="116" xfId="96" applyFont="1" applyFill="1" applyBorder="1" applyAlignment="1" applyProtection="1">
      <alignment horizontal="right" vertical="center"/>
    </xf>
    <xf numFmtId="0" fontId="153" fillId="0" borderId="118" xfId="94" applyFont="1" applyFill="1" applyBorder="1" applyProtection="1"/>
    <xf numFmtId="0" fontId="153" fillId="0" borderId="119" xfId="94" applyFont="1" applyFill="1" applyBorder="1" applyProtection="1"/>
    <xf numFmtId="168" fontId="153" fillId="0" borderId="118" xfId="96" applyNumberFormat="1" applyFont="1" applyFill="1" applyBorder="1" applyAlignment="1" applyProtection="1">
      <alignment horizontal="right"/>
    </xf>
    <xf numFmtId="168" fontId="153" fillId="0" borderId="119" xfId="96" applyNumberFormat="1" applyFont="1" applyFill="1" applyBorder="1" applyAlignment="1" applyProtection="1">
      <alignment horizontal="right"/>
    </xf>
    <xf numFmtId="168" fontId="153" fillId="0" borderId="17" xfId="96" applyNumberFormat="1" applyFont="1" applyFill="1" applyBorder="1" applyAlignment="1" applyProtection="1">
      <alignment horizontal="right"/>
    </xf>
    <xf numFmtId="41" fontId="119" fillId="0" borderId="0" xfId="96" applyNumberFormat="1" applyFont="1" applyFill="1" applyBorder="1" applyAlignment="1" applyProtection="1">
      <alignment horizontal="center"/>
    </xf>
    <xf numFmtId="168" fontId="153" fillId="0" borderId="0" xfId="96" applyNumberFormat="1" applyFont="1" applyFill="1" applyBorder="1" applyAlignment="1" applyProtection="1">
      <alignment horizontal="right"/>
    </xf>
    <xf numFmtId="0" fontId="119" fillId="0" borderId="0" xfId="94" applyFont="1" applyProtection="1">
      <protection locked="0"/>
    </xf>
    <xf numFmtId="0" fontId="145" fillId="0" borderId="34" xfId="94" applyFont="1" applyBorder="1" applyProtection="1"/>
    <xf numFmtId="0" fontId="145" fillId="0" borderId="0" xfId="94" applyFont="1" applyBorder="1" applyProtection="1"/>
    <xf numFmtId="168" fontId="145" fillId="58" borderId="34" xfId="96" applyNumberFormat="1" applyFont="1" applyFill="1" applyBorder="1" applyAlignment="1" applyProtection="1">
      <alignment horizontal="right"/>
      <protection locked="0"/>
    </xf>
    <xf numFmtId="168" fontId="145" fillId="58" borderId="0" xfId="96" applyNumberFormat="1" applyFont="1" applyFill="1" applyBorder="1" applyAlignment="1" applyProtection="1">
      <alignment horizontal="right"/>
      <protection locked="0"/>
    </xf>
    <xf numFmtId="168" fontId="145" fillId="58" borderId="114" xfId="96" applyNumberFormat="1" applyFont="1" applyFill="1" applyBorder="1" applyAlignment="1" applyProtection="1">
      <alignment horizontal="right"/>
      <protection locked="0"/>
    </xf>
    <xf numFmtId="168" fontId="145" fillId="0" borderId="22" xfId="96" applyNumberFormat="1" applyFont="1" applyFill="1" applyBorder="1" applyAlignment="1" applyProtection="1">
      <alignment horizontal="right"/>
    </xf>
    <xf numFmtId="41" fontId="145" fillId="0" borderId="0" xfId="96" applyNumberFormat="1" applyFont="1" applyFill="1" applyBorder="1" applyAlignment="1" applyProtection="1">
      <alignment horizontal="center"/>
    </xf>
    <xf numFmtId="168" fontId="145" fillId="0" borderId="0" xfId="96" applyNumberFormat="1" applyFont="1" applyBorder="1" applyAlignment="1" applyProtection="1">
      <alignment horizontal="right"/>
    </xf>
    <xf numFmtId="168" fontId="145" fillId="0" borderId="34" xfId="96" applyNumberFormat="1" applyFont="1" applyFill="1" applyBorder="1" applyAlignment="1" applyProtection="1">
      <alignment horizontal="right"/>
    </xf>
    <xf numFmtId="168" fontId="145" fillId="0" borderId="0" xfId="96" applyNumberFormat="1" applyFont="1" applyFill="1" applyBorder="1" applyAlignment="1" applyProtection="1">
      <alignment horizontal="right"/>
    </xf>
    <xf numFmtId="168" fontId="145" fillId="0" borderId="114" xfId="96" applyNumberFormat="1" applyFont="1" applyFill="1" applyBorder="1" applyAlignment="1" applyProtection="1">
      <alignment horizontal="right"/>
    </xf>
    <xf numFmtId="41" fontId="118" fillId="0" borderId="0" xfId="96" applyNumberFormat="1" applyFont="1" applyFill="1" applyBorder="1" applyAlignment="1" applyProtection="1">
      <alignment horizontal="center"/>
    </xf>
    <xf numFmtId="0" fontId="145" fillId="0" borderId="113" xfId="94" applyFont="1" applyFill="1" applyBorder="1" applyProtection="1"/>
    <xf numFmtId="0" fontId="146" fillId="0" borderId="114" xfId="94" applyFont="1" applyFill="1" applyBorder="1" applyProtection="1"/>
    <xf numFmtId="0" fontId="154" fillId="0" borderId="114" xfId="94" applyFont="1" applyFill="1" applyBorder="1" applyAlignment="1" applyProtection="1">
      <alignment vertical="center"/>
    </xf>
    <xf numFmtId="9" fontId="145" fillId="59" borderId="113" xfId="95" applyNumberFormat="1" applyFont="1" applyFill="1" applyBorder="1" applyAlignment="1" applyProtection="1">
      <alignment horizontal="right" vertical="center"/>
      <protection locked="0"/>
    </xf>
    <xf numFmtId="9" fontId="145" fillId="59" borderId="114" xfId="95" applyNumberFormat="1" applyFont="1" applyFill="1" applyBorder="1" applyAlignment="1" applyProtection="1">
      <alignment horizontal="right" vertical="center"/>
      <protection locked="0"/>
    </xf>
    <xf numFmtId="0" fontId="146" fillId="0" borderId="121" xfId="94" applyFont="1" applyFill="1" applyBorder="1" applyAlignment="1" applyProtection="1">
      <alignment horizontal="right" vertical="center"/>
    </xf>
    <xf numFmtId="0" fontId="146" fillId="0" borderId="0" xfId="94" applyFont="1" applyFill="1" applyBorder="1" applyAlignment="1" applyProtection="1">
      <alignment vertical="center"/>
    </xf>
    <xf numFmtId="0" fontId="146" fillId="0" borderId="0" xfId="94" applyFont="1" applyFill="1" applyBorder="1" applyAlignment="1" applyProtection="1">
      <alignment horizontal="right" vertical="center"/>
    </xf>
    <xf numFmtId="166" fontId="145" fillId="0" borderId="113" xfId="95" applyNumberFormat="1" applyFont="1" applyFill="1" applyBorder="1" applyAlignment="1" applyProtection="1">
      <alignment horizontal="right" vertical="center"/>
    </xf>
    <xf numFmtId="166" fontId="145" fillId="0" borderId="114" xfId="95" applyNumberFormat="1" applyFont="1" applyFill="1" applyBorder="1" applyAlignment="1" applyProtection="1">
      <alignment horizontal="right" vertical="center"/>
    </xf>
    <xf numFmtId="0" fontId="145" fillId="0" borderId="32" xfId="94" applyFont="1" applyFill="1" applyBorder="1" applyProtection="1"/>
    <xf numFmtId="0" fontId="146" fillId="0" borderId="116" xfId="94" applyFont="1" applyFill="1" applyBorder="1" applyProtection="1"/>
    <xf numFmtId="0" fontId="154" fillId="0" borderId="116" xfId="94" applyFont="1" applyFill="1" applyBorder="1" applyAlignment="1" applyProtection="1">
      <alignment vertical="center"/>
    </xf>
    <xf numFmtId="9" fontId="145" fillId="59" borderId="32" xfId="95" applyNumberFormat="1" applyFont="1" applyFill="1" applyBorder="1" applyAlignment="1" applyProtection="1">
      <alignment horizontal="right" vertical="center"/>
      <protection locked="0"/>
    </xf>
    <xf numFmtId="9" fontId="145" fillId="59" borderId="116" xfId="95" applyNumberFormat="1" applyFont="1" applyFill="1" applyBorder="1" applyAlignment="1" applyProtection="1">
      <alignment horizontal="right" vertical="center"/>
      <protection locked="0"/>
    </xf>
    <xf numFmtId="0" fontId="146" fillId="0" borderId="21" xfId="94" applyFont="1" applyFill="1" applyBorder="1" applyAlignment="1" applyProtection="1">
      <alignment horizontal="right" vertical="center"/>
    </xf>
    <xf numFmtId="166" fontId="145" fillId="0" borderId="32" xfId="95" applyNumberFormat="1" applyFont="1" applyFill="1" applyBorder="1" applyAlignment="1" applyProtection="1">
      <alignment horizontal="right" vertical="center"/>
    </xf>
    <xf numFmtId="166" fontId="145" fillId="0" borderId="116" xfId="95" applyNumberFormat="1" applyFont="1" applyFill="1" applyBorder="1" applyAlignment="1" applyProtection="1">
      <alignment horizontal="right" vertical="center"/>
    </xf>
    <xf numFmtId="0" fontId="153" fillId="0" borderId="113" xfId="94" applyFont="1" applyFill="1" applyBorder="1" applyProtection="1"/>
    <xf numFmtId="0" fontId="153" fillId="0" borderId="114" xfId="94" applyFont="1" applyFill="1" applyBorder="1" applyProtection="1"/>
    <xf numFmtId="168" fontId="153" fillId="60" borderId="113" xfId="96" applyNumberFormat="1" applyFont="1" applyFill="1" applyBorder="1" applyAlignment="1" applyProtection="1">
      <alignment horizontal="right"/>
      <protection locked="0"/>
    </xf>
    <xf numFmtId="168" fontId="153" fillId="60" borderId="114" xfId="96" applyNumberFormat="1" applyFont="1" applyFill="1" applyBorder="1" applyAlignment="1" applyProtection="1">
      <alignment horizontal="right"/>
      <protection locked="0"/>
    </xf>
    <xf numFmtId="43" fontId="153" fillId="0" borderId="121" xfId="96" applyFont="1" applyFill="1" applyBorder="1" applyAlignment="1" applyProtection="1">
      <alignment horizontal="right"/>
    </xf>
    <xf numFmtId="43" fontId="153" fillId="0" borderId="0" xfId="96" applyFont="1" applyFill="1" applyBorder="1" applyAlignment="1" applyProtection="1">
      <alignment horizontal="right"/>
    </xf>
    <xf numFmtId="168" fontId="153" fillId="0" borderId="113" xfId="96" applyNumberFormat="1" applyFont="1" applyFill="1" applyBorder="1" applyAlignment="1" applyProtection="1">
      <alignment horizontal="right"/>
    </xf>
    <xf numFmtId="168" fontId="153" fillId="0" borderId="114" xfId="96" applyNumberFormat="1" applyFont="1" applyFill="1" applyBorder="1" applyAlignment="1" applyProtection="1">
      <alignment horizontal="right"/>
    </xf>
    <xf numFmtId="0" fontId="153" fillId="0" borderId="32" xfId="94" applyFont="1" applyFill="1" applyBorder="1" applyProtection="1"/>
    <xf numFmtId="0" fontId="153" fillId="0" borderId="116" xfId="94" applyFont="1" applyFill="1" applyBorder="1" applyProtection="1"/>
    <xf numFmtId="168" fontId="153" fillId="0" borderId="32" xfId="96" applyNumberFormat="1" applyFont="1" applyFill="1" applyBorder="1" applyAlignment="1" applyProtection="1">
      <alignment horizontal="right"/>
    </xf>
    <xf numFmtId="168" fontId="153" fillId="0" borderId="116" xfId="96" applyNumberFormat="1" applyFont="1" applyFill="1" applyBorder="1" applyAlignment="1" applyProtection="1">
      <alignment horizontal="right"/>
    </xf>
    <xf numFmtId="168" fontId="153" fillId="0" borderId="21" xfId="96" applyNumberFormat="1" applyFont="1" applyFill="1" applyBorder="1" applyAlignment="1" applyProtection="1">
      <alignment horizontal="right"/>
    </xf>
    <xf numFmtId="43" fontId="153" fillId="0" borderId="21" xfId="96" applyFont="1" applyFill="1" applyBorder="1" applyAlignment="1" applyProtection="1">
      <alignment horizontal="right"/>
    </xf>
    <xf numFmtId="0" fontId="122" fillId="0" borderId="34" xfId="94" applyFont="1" applyBorder="1" applyProtection="1"/>
    <xf numFmtId="43" fontId="122" fillId="0" borderId="0" xfId="94" applyNumberFormat="1" applyFont="1" applyBorder="1" applyProtection="1"/>
    <xf numFmtId="43" fontId="122" fillId="58" borderId="34" xfId="96" applyFont="1" applyFill="1" applyBorder="1" applyAlignment="1" applyProtection="1">
      <alignment horizontal="right"/>
      <protection locked="0"/>
    </xf>
    <xf numFmtId="43" fontId="122" fillId="58" borderId="0" xfId="96" applyFont="1" applyFill="1" applyBorder="1" applyAlignment="1" applyProtection="1">
      <alignment horizontal="right"/>
      <protection locked="0"/>
    </xf>
    <xf numFmtId="41" fontId="122" fillId="0" borderId="22" xfId="94" applyNumberFormat="1" applyFont="1" applyFill="1" applyBorder="1" applyAlignment="1" applyProtection="1">
      <alignment horizontal="right"/>
    </xf>
    <xf numFmtId="41" fontId="145" fillId="0" borderId="0" xfId="94" applyNumberFormat="1" applyFont="1" applyFill="1" applyBorder="1" applyAlignment="1" applyProtection="1">
      <alignment horizontal="center"/>
    </xf>
    <xf numFmtId="41" fontId="122" fillId="0" borderId="0" xfId="94" applyNumberFormat="1" applyFont="1" applyBorder="1" applyAlignment="1" applyProtection="1">
      <alignment horizontal="right"/>
    </xf>
    <xf numFmtId="43" fontId="122" fillId="0" borderId="34" xfId="96" applyFont="1" applyFill="1" applyBorder="1" applyAlignment="1" applyProtection="1">
      <alignment horizontal="right"/>
    </xf>
    <xf numFmtId="43" fontId="122" fillId="0" borderId="0" xfId="96" applyFont="1" applyFill="1" applyBorder="1" applyAlignment="1" applyProtection="1">
      <alignment horizontal="right"/>
    </xf>
    <xf numFmtId="37" fontId="153" fillId="0" borderId="114" xfId="94" applyNumberFormat="1" applyFont="1" applyFill="1" applyBorder="1" applyProtection="1"/>
    <xf numFmtId="168" fontId="153" fillId="0" borderId="121" xfId="96" applyNumberFormat="1" applyFont="1" applyFill="1" applyBorder="1" applyAlignment="1" applyProtection="1">
      <alignment horizontal="right"/>
    </xf>
    <xf numFmtId="0" fontId="145" fillId="0" borderId="34" xfId="94" applyFont="1" applyFill="1" applyBorder="1" applyProtection="1"/>
    <xf numFmtId="0" fontId="145" fillId="0" borderId="0" xfId="94" applyFont="1" applyFill="1" applyBorder="1" applyProtection="1"/>
    <xf numFmtId="37" fontId="145" fillId="0" borderId="0" xfId="94" applyNumberFormat="1" applyFont="1" applyFill="1" applyBorder="1" applyProtection="1"/>
    <xf numFmtId="166" fontId="145" fillId="0" borderId="34" xfId="95" applyNumberFormat="1" applyFont="1" applyFill="1" applyBorder="1" applyAlignment="1" applyProtection="1">
      <alignment horizontal="right"/>
    </xf>
    <xf numFmtId="166" fontId="145" fillId="0" borderId="0" xfId="95" applyNumberFormat="1" applyFont="1" applyFill="1" applyBorder="1" applyAlignment="1" applyProtection="1">
      <alignment horizontal="right"/>
    </xf>
    <xf numFmtId="166" fontId="145" fillId="0" borderId="22" xfId="95" applyNumberFormat="1" applyFont="1" applyFill="1" applyBorder="1" applyAlignment="1" applyProtection="1">
      <alignment horizontal="right"/>
    </xf>
    <xf numFmtId="166" fontId="145" fillId="0" borderId="0" xfId="95" applyNumberFormat="1" applyFont="1" applyFill="1" applyBorder="1" applyAlignment="1" applyProtection="1">
      <alignment horizontal="center"/>
    </xf>
    <xf numFmtId="9" fontId="146" fillId="0" borderId="0" xfId="95" applyFont="1" applyFill="1" applyBorder="1" applyAlignment="1" applyProtection="1">
      <alignment vertical="center"/>
    </xf>
    <xf numFmtId="9" fontId="145" fillId="59" borderId="34" xfId="95" applyNumberFormat="1" applyFont="1" applyFill="1" applyBorder="1" applyAlignment="1" applyProtection="1">
      <alignment horizontal="right" vertical="center"/>
      <protection locked="0"/>
    </xf>
    <xf numFmtId="9" fontId="145" fillId="59" borderId="0" xfId="95" applyNumberFormat="1" applyFont="1" applyFill="1" applyBorder="1" applyAlignment="1" applyProtection="1">
      <alignment horizontal="right" vertical="center"/>
      <protection locked="0"/>
    </xf>
    <xf numFmtId="9" fontId="146" fillId="0" borderId="22" xfId="95" applyFont="1" applyFill="1" applyBorder="1" applyAlignment="1" applyProtection="1">
      <alignment horizontal="right" vertical="center"/>
    </xf>
    <xf numFmtId="9" fontId="146" fillId="0" borderId="0" xfId="95" applyFont="1" applyFill="1" applyBorder="1" applyAlignment="1" applyProtection="1">
      <alignment horizontal="right" vertical="center"/>
    </xf>
    <xf numFmtId="166" fontId="145" fillId="59" borderId="34" xfId="95" applyNumberFormat="1" applyFont="1" applyFill="1" applyBorder="1" applyAlignment="1" applyProtection="1">
      <alignment horizontal="right" vertical="center"/>
      <protection locked="0"/>
    </xf>
    <xf numFmtId="166" fontId="145" fillId="59" borderId="0" xfId="95" applyNumberFormat="1" applyFont="1" applyFill="1" applyBorder="1" applyAlignment="1" applyProtection="1">
      <alignment horizontal="right" vertical="center"/>
      <protection locked="0"/>
    </xf>
    <xf numFmtId="166" fontId="145" fillId="0" borderId="34" xfId="95" applyNumberFormat="1" applyFont="1" applyFill="1" applyBorder="1" applyAlignment="1" applyProtection="1">
      <alignment horizontal="right" vertical="center"/>
    </xf>
    <xf numFmtId="166" fontId="145" fillId="0" borderId="0" xfId="95" applyNumberFormat="1" applyFont="1" applyFill="1" applyBorder="1" applyAlignment="1" applyProtection="1">
      <alignment horizontal="right" vertical="center"/>
    </xf>
    <xf numFmtId="166" fontId="146" fillId="0" borderId="22" xfId="95" applyNumberFormat="1" applyFont="1" applyFill="1" applyBorder="1" applyAlignment="1" applyProtection="1">
      <alignment horizontal="right" vertical="center"/>
    </xf>
    <xf numFmtId="0" fontId="145" fillId="0" borderId="116" xfId="94" applyFont="1" applyFill="1" applyBorder="1" applyProtection="1"/>
    <xf numFmtId="9" fontId="146" fillId="0" borderId="116" xfId="95" applyFont="1" applyFill="1" applyBorder="1" applyAlignment="1" applyProtection="1">
      <alignment vertical="center"/>
    </xf>
    <xf numFmtId="9" fontId="146" fillId="0" borderId="21" xfId="95" applyFont="1" applyFill="1" applyBorder="1" applyAlignment="1" applyProtection="1">
      <alignment horizontal="right" vertical="center"/>
    </xf>
    <xf numFmtId="166" fontId="145" fillId="59" borderId="32" xfId="95" applyNumberFormat="1" applyFont="1" applyFill="1" applyBorder="1" applyAlignment="1" applyProtection="1">
      <alignment horizontal="right" vertical="center"/>
      <protection locked="0"/>
    </xf>
    <xf numFmtId="166" fontId="145" fillId="59" borderId="116" xfId="95" applyNumberFormat="1" applyFont="1" applyFill="1" applyBorder="1" applyAlignment="1" applyProtection="1">
      <alignment horizontal="right" vertical="center"/>
      <protection locked="0"/>
    </xf>
    <xf numFmtId="166" fontId="146" fillId="0" borderId="21" xfId="95" applyNumberFormat="1" applyFont="1" applyFill="1" applyBorder="1" applyAlignment="1" applyProtection="1">
      <alignment horizontal="right" vertical="center"/>
    </xf>
    <xf numFmtId="41" fontId="145" fillId="0" borderId="0" xfId="94" applyNumberFormat="1" applyFont="1" applyBorder="1" applyAlignment="1" applyProtection="1">
      <alignment horizontal="center"/>
    </xf>
    <xf numFmtId="0" fontId="151" fillId="0" borderId="115" xfId="94" applyFont="1" applyFill="1" applyBorder="1" applyAlignment="1" applyProtection="1">
      <alignment horizontal="center" vertical="center" wrapText="1"/>
    </xf>
    <xf numFmtId="0" fontId="151" fillId="0" borderId="37" xfId="94" applyFont="1" applyFill="1" applyBorder="1" applyAlignment="1" applyProtection="1">
      <alignment horizontal="center" vertical="center" wrapText="1"/>
    </xf>
    <xf numFmtId="0" fontId="153" fillId="0" borderId="120" xfId="94" applyFont="1" applyFill="1" applyBorder="1" applyProtection="1"/>
    <xf numFmtId="0" fontId="145" fillId="0" borderId="122" xfId="94" applyFont="1" applyBorder="1" applyProtection="1"/>
    <xf numFmtId="0" fontId="146" fillId="0" borderId="115" xfId="94" applyFont="1" applyFill="1" applyBorder="1" applyAlignment="1" applyProtection="1">
      <alignment vertical="center"/>
    </xf>
    <xf numFmtId="0" fontId="146" fillId="0" borderId="37" xfId="94" applyFont="1" applyFill="1" applyBorder="1" applyAlignment="1" applyProtection="1">
      <alignment vertical="center"/>
    </xf>
    <xf numFmtId="0" fontId="153" fillId="0" borderId="115" xfId="94" applyFont="1" applyFill="1" applyBorder="1" applyProtection="1"/>
    <xf numFmtId="0" fontId="153" fillId="0" borderId="37" xfId="94" applyFont="1" applyFill="1" applyBorder="1" applyProtection="1"/>
    <xf numFmtId="43" fontId="122" fillId="0" borderId="122" xfId="94" applyNumberFormat="1" applyFont="1" applyBorder="1" applyProtection="1"/>
    <xf numFmtId="37" fontId="153" fillId="0" borderId="115" xfId="94" applyNumberFormat="1" applyFont="1" applyFill="1" applyBorder="1" applyProtection="1"/>
    <xf numFmtId="37" fontId="145" fillId="0" borderId="122" xfId="94" applyNumberFormat="1" applyFont="1" applyFill="1" applyBorder="1" applyProtection="1"/>
    <xf numFmtId="9" fontId="146" fillId="0" borderId="122" xfId="95" applyFont="1" applyFill="1" applyBorder="1" applyAlignment="1" applyProtection="1">
      <alignment vertical="center"/>
    </xf>
    <xf numFmtId="9" fontId="146" fillId="0" borderId="37" xfId="95" applyFont="1" applyFill="1" applyBorder="1" applyAlignment="1" applyProtection="1">
      <alignment vertical="center"/>
    </xf>
    <xf numFmtId="1" fontId="99" fillId="0" borderId="244" xfId="94" applyNumberFormat="1" applyFill="1" applyBorder="1" applyAlignment="1" applyProtection="1">
      <alignment horizontal="center" vertical="center"/>
    </xf>
    <xf numFmtId="1" fontId="99" fillId="0" borderId="161" xfId="94" applyNumberFormat="1" applyFill="1" applyBorder="1" applyAlignment="1" applyProtection="1">
      <alignment horizontal="center" vertical="center"/>
    </xf>
    <xf numFmtId="1" fontId="99" fillId="0" borderId="162" xfId="94" applyNumberFormat="1" applyFill="1" applyBorder="1" applyAlignment="1" applyProtection="1">
      <alignment horizontal="center" vertical="center"/>
    </xf>
    <xf numFmtId="0" fontId="99" fillId="0" borderId="0" xfId="94" applyFill="1" applyAlignment="1" applyProtection="1">
      <alignment horizontal="center"/>
    </xf>
    <xf numFmtId="1" fontId="99" fillId="0" borderId="0" xfId="94" applyNumberFormat="1" applyFill="1" applyBorder="1" applyAlignment="1" applyProtection="1">
      <alignment horizontal="center" vertical="center"/>
    </xf>
    <xf numFmtId="1" fontId="99" fillId="0" borderId="122" xfId="94" applyNumberFormat="1" applyFill="1" applyBorder="1" applyAlignment="1" applyProtection="1">
      <alignment horizontal="center" vertical="center"/>
    </xf>
    <xf numFmtId="1" fontId="99" fillId="0" borderId="128" xfId="94" applyNumberFormat="1" applyFill="1" applyBorder="1" applyAlignment="1" applyProtection="1">
      <alignment horizontal="center" vertical="center"/>
    </xf>
    <xf numFmtId="1" fontId="99" fillId="0" borderId="34" xfId="94" applyNumberFormat="1" applyFill="1" applyBorder="1" applyAlignment="1" applyProtection="1">
      <alignment horizontal="center" vertical="center"/>
    </xf>
    <xf numFmtId="1" fontId="99" fillId="0" borderId="116" xfId="94" applyNumberFormat="1" applyFill="1" applyBorder="1" applyAlignment="1" applyProtection="1">
      <alignment horizontal="center" vertical="center"/>
    </xf>
    <xf numFmtId="1" fontId="99" fillId="0" borderId="37" xfId="94" applyNumberFormat="1" applyFill="1" applyBorder="1" applyAlignment="1" applyProtection="1">
      <alignment horizontal="center" vertical="center"/>
    </xf>
    <xf numFmtId="1" fontId="99" fillId="0" borderId="32" xfId="94" applyNumberFormat="1" applyFill="1" applyBorder="1" applyAlignment="1" applyProtection="1">
      <alignment horizontal="center" vertical="center"/>
    </xf>
    <xf numFmtId="2" fontId="99" fillId="0" borderId="0" xfId="94" applyNumberFormat="1" applyFill="1" applyProtection="1"/>
    <xf numFmtId="0" fontId="126" fillId="0" borderId="113" xfId="94" applyFont="1" applyBorder="1" applyAlignment="1" applyProtection="1">
      <alignment vertical="center"/>
    </xf>
    <xf numFmtId="9" fontId="110" fillId="70" borderId="0" xfId="95" applyNumberFormat="1" applyFont="1" applyFill="1" applyBorder="1" applyAlignment="1" applyProtection="1">
      <alignment horizontal="center" vertical="center"/>
      <protection locked="0"/>
    </xf>
    <xf numFmtId="166" fontId="110" fillId="70" borderId="34" xfId="95" applyNumberFormat="1" applyFont="1" applyFill="1" applyBorder="1" applyAlignment="1" applyProtection="1">
      <alignment horizontal="center" vertical="center"/>
      <protection locked="0"/>
    </xf>
    <xf numFmtId="166" fontId="110" fillId="70" borderId="0" xfId="95" applyNumberFormat="1" applyFont="1" applyFill="1" applyBorder="1" applyAlignment="1" applyProtection="1">
      <alignment horizontal="center" vertical="center"/>
      <protection locked="0"/>
    </xf>
    <xf numFmtId="166" fontId="110" fillId="0" borderId="114" xfId="95" applyNumberFormat="1" applyFont="1" applyBorder="1" applyAlignment="1" applyProtection="1">
      <alignment horizontal="center" vertical="center"/>
    </xf>
    <xf numFmtId="166" fontId="110" fillId="0" borderId="113" xfId="95" applyNumberFormat="1" applyFont="1" applyBorder="1" applyAlignment="1" applyProtection="1">
      <alignment horizontal="center" vertical="center"/>
    </xf>
    <xf numFmtId="0" fontId="121" fillId="0" borderId="0" xfId="94" applyFont="1" applyBorder="1" applyAlignment="1" applyProtection="1">
      <alignment horizontal="center"/>
    </xf>
    <xf numFmtId="166" fontId="110" fillId="0" borderId="34" xfId="95" applyNumberFormat="1" applyFont="1" applyBorder="1" applyAlignment="1" applyProtection="1">
      <alignment horizontal="center" vertical="center"/>
    </xf>
    <xf numFmtId="168" fontId="119" fillId="0" borderId="34" xfId="96" applyNumberFormat="1" applyFont="1" applyBorder="1" applyAlignment="1" applyProtection="1">
      <alignment horizontal="center" vertical="center"/>
    </xf>
    <xf numFmtId="168" fontId="144" fillId="0" borderId="0" xfId="96" applyNumberFormat="1" applyFont="1" applyFill="1" applyBorder="1" applyProtection="1"/>
    <xf numFmtId="168" fontId="122" fillId="0" borderId="0" xfId="96" applyNumberFormat="1" applyFont="1" applyFill="1" applyProtection="1"/>
    <xf numFmtId="168" fontId="122" fillId="0" borderId="0" xfId="96" applyNumberFormat="1" applyFont="1" applyProtection="1"/>
    <xf numFmtId="168" fontId="122" fillId="0" borderId="0" xfId="96" applyNumberFormat="1" applyFont="1" applyProtection="1">
      <protection locked="0"/>
    </xf>
    <xf numFmtId="0" fontId="118" fillId="0" borderId="0" xfId="94" applyFont="1" applyFill="1" applyBorder="1" applyAlignment="1" applyProtection="1">
      <alignment vertical="center"/>
    </xf>
    <xf numFmtId="168" fontId="122" fillId="0" borderId="0" xfId="96" applyNumberFormat="1" applyFont="1" applyFill="1" applyBorder="1" applyProtection="1">
      <protection locked="0"/>
    </xf>
    <xf numFmtId="168" fontId="118" fillId="0" borderId="0" xfId="96" applyNumberFormat="1" applyFont="1" applyFill="1" applyBorder="1" applyAlignment="1" applyProtection="1">
      <alignment horizontal="center" vertical="center"/>
      <protection locked="0"/>
    </xf>
    <xf numFmtId="168" fontId="123" fillId="0" borderId="0" xfId="96" applyNumberFormat="1" applyFont="1" applyFill="1" applyBorder="1" applyAlignment="1" applyProtection="1">
      <alignment horizontal="center" vertical="center"/>
      <protection locked="0"/>
    </xf>
    <xf numFmtId="9" fontId="155" fillId="64" borderId="113" xfId="95" applyFont="1" applyFill="1" applyBorder="1" applyAlignment="1" applyProtection="1">
      <alignment horizontal="centerContinuous"/>
    </xf>
    <xf numFmtId="9" fontId="156" fillId="64" borderId="114" xfId="95" applyFont="1" applyFill="1" applyBorder="1" applyAlignment="1" applyProtection="1">
      <alignment horizontal="centerContinuous"/>
    </xf>
    <xf numFmtId="0" fontId="111" fillId="64" borderId="115" xfId="94" applyFont="1" applyFill="1" applyBorder="1" applyAlignment="1" applyProtection="1">
      <alignment horizontal="centerContinuous"/>
    </xf>
    <xf numFmtId="0" fontId="157" fillId="64" borderId="115" xfId="98" applyFont="1" applyFill="1" applyBorder="1" applyAlignment="1">
      <alignment horizontal="centerContinuous"/>
    </xf>
    <xf numFmtId="0" fontId="109" fillId="0" borderId="17" xfId="94" applyFont="1" applyFill="1" applyBorder="1" applyAlignment="1" applyProtection="1">
      <alignment horizontal="center"/>
    </xf>
    <xf numFmtId="0" fontId="109" fillId="0" borderId="118" xfId="94" applyFont="1" applyFill="1" applyBorder="1" applyAlignment="1" applyProtection="1">
      <alignment horizontal="center"/>
    </xf>
    <xf numFmtId="0" fontId="109" fillId="0" borderId="120" xfId="94" applyFont="1" applyFill="1" applyBorder="1" applyAlignment="1" applyProtection="1">
      <alignment horizontal="center"/>
    </xf>
    <xf numFmtId="0" fontId="105" fillId="0" borderId="115" xfId="94" applyFont="1" applyBorder="1" applyAlignment="1" applyProtection="1">
      <alignment horizontal="center"/>
    </xf>
    <xf numFmtId="0" fontId="99" fillId="0" borderId="0" xfId="94" applyAlignment="1" applyProtection="1">
      <alignment horizontal="centerContinuous"/>
      <protection locked="0"/>
    </xf>
    <xf numFmtId="0" fontId="98" fillId="0" borderId="120" xfId="98" applyFont="1" applyBorder="1" applyAlignment="1">
      <alignment horizontal="centerContinuous" wrapText="1"/>
    </xf>
    <xf numFmtId="0" fontId="1" fillId="0" borderId="0" xfId="98" applyFont="1"/>
    <xf numFmtId="37" fontId="145" fillId="0" borderId="114" xfId="94" applyNumberFormat="1" applyFont="1" applyFill="1" applyBorder="1" applyAlignment="1" applyProtection="1">
      <alignment horizontal="left" vertical="center" wrapText="1"/>
    </xf>
    <xf numFmtId="179" fontId="0" fillId="60" borderId="114" xfId="96" applyNumberFormat="1" applyFont="1" applyFill="1" applyBorder="1" applyAlignment="1" applyProtection="1">
      <alignment horizontal="center"/>
      <protection locked="0"/>
    </xf>
    <xf numFmtId="179" fontId="0" fillId="60" borderId="115" xfId="96" applyNumberFormat="1" applyFont="1" applyFill="1" applyBorder="1" applyAlignment="1" applyProtection="1">
      <alignment horizontal="center"/>
      <protection locked="0"/>
    </xf>
    <xf numFmtId="0" fontId="109" fillId="0" borderId="113" xfId="94" applyFont="1" applyBorder="1" applyProtection="1">
      <protection locked="0"/>
    </xf>
    <xf numFmtId="0" fontId="99" fillId="60" borderId="121" xfId="94" applyFill="1" applyBorder="1" applyAlignment="1" applyProtection="1">
      <alignment horizontal="center"/>
      <protection locked="0"/>
    </xf>
    <xf numFmtId="0" fontId="145" fillId="0" borderId="0" xfId="94" applyFont="1" applyFill="1" applyBorder="1" applyAlignment="1" applyProtection="1">
      <alignment horizontal="left"/>
    </xf>
    <xf numFmtId="179" fontId="0" fillId="60" borderId="0" xfId="96" applyNumberFormat="1" applyFont="1" applyFill="1" applyBorder="1" applyAlignment="1" applyProtection="1">
      <alignment horizontal="center"/>
      <protection locked="0"/>
    </xf>
    <xf numFmtId="179" fontId="0" fillId="60" borderId="122" xfId="96" applyNumberFormat="1" applyFont="1" applyFill="1" applyBorder="1" applyAlignment="1" applyProtection="1">
      <alignment horizontal="center"/>
      <protection locked="0"/>
    </xf>
    <xf numFmtId="0" fontId="99" fillId="60" borderId="34" xfId="94" applyFill="1" applyBorder="1" applyProtection="1"/>
    <xf numFmtId="0" fontId="99" fillId="60" borderId="0" xfId="94" applyFill="1" applyBorder="1" applyProtection="1"/>
    <xf numFmtId="0" fontId="98" fillId="0" borderId="34" xfId="98" applyFont="1" applyBorder="1"/>
    <xf numFmtId="185" fontId="1" fillId="60" borderId="22" xfId="98" applyNumberFormat="1" applyFont="1" applyFill="1" applyBorder="1" applyAlignment="1" applyProtection="1">
      <alignment horizontal="center"/>
      <protection locked="0"/>
    </xf>
    <xf numFmtId="0" fontId="1" fillId="60" borderId="122" xfId="98" applyFill="1" applyBorder="1" applyProtection="1">
      <protection locked="0"/>
    </xf>
    <xf numFmtId="0" fontId="98" fillId="0" borderId="34" xfId="98" applyFont="1" applyFill="1" applyBorder="1" applyProtection="1">
      <protection locked="0"/>
    </xf>
    <xf numFmtId="0" fontId="1" fillId="0" borderId="0" xfId="98" applyFont="1" applyBorder="1"/>
    <xf numFmtId="0" fontId="145" fillId="0" borderId="132" xfId="94" applyFont="1" applyFill="1" applyBorder="1" applyProtection="1"/>
    <xf numFmtId="0" fontId="145" fillId="0" borderId="133" xfId="94" applyFont="1" applyFill="1" applyBorder="1" applyAlignment="1" applyProtection="1">
      <alignment horizontal="left"/>
    </xf>
    <xf numFmtId="179" fontId="0" fillId="60" borderId="133" xfId="96" applyNumberFormat="1" applyFont="1" applyFill="1" applyBorder="1" applyAlignment="1" applyProtection="1">
      <alignment horizontal="center"/>
      <protection locked="0"/>
    </xf>
    <xf numFmtId="179" fontId="0" fillId="60" borderId="135" xfId="96" applyNumberFormat="1" applyFont="1" applyFill="1" applyBorder="1" applyAlignment="1" applyProtection="1">
      <alignment horizontal="center"/>
      <protection locked="0"/>
    </xf>
    <xf numFmtId="9" fontId="1" fillId="60" borderId="22" xfId="98" applyNumberFormat="1" applyFont="1" applyFill="1" applyBorder="1" applyAlignment="1" applyProtection="1">
      <alignment horizontal="center"/>
      <protection locked="0"/>
    </xf>
    <xf numFmtId="0" fontId="1" fillId="60" borderId="122" xfId="98" applyFont="1" applyFill="1" applyBorder="1" applyProtection="1">
      <protection locked="0"/>
    </xf>
    <xf numFmtId="0" fontId="145" fillId="0" borderId="128" xfId="94" applyFont="1" applyFill="1" applyBorder="1" applyProtection="1"/>
    <xf numFmtId="0" fontId="145" fillId="0" borderId="129" xfId="94" applyFont="1" applyFill="1" applyBorder="1" applyAlignment="1" applyProtection="1">
      <alignment horizontal="left"/>
    </xf>
    <xf numFmtId="179" fontId="0" fillId="60" borderId="129" xfId="96" applyNumberFormat="1" applyFont="1" applyFill="1" applyBorder="1" applyAlignment="1" applyProtection="1">
      <alignment horizontal="center"/>
      <protection locked="0"/>
    </xf>
    <xf numFmtId="179" fontId="0" fillId="60" borderId="131" xfId="96" applyNumberFormat="1" applyFont="1" applyFill="1" applyBorder="1" applyAlignment="1" applyProtection="1">
      <alignment horizontal="center"/>
      <protection locked="0"/>
    </xf>
    <xf numFmtId="0" fontId="1" fillId="60" borderId="22" xfId="98" applyFont="1" applyFill="1" applyBorder="1" applyProtection="1">
      <protection locked="0"/>
    </xf>
    <xf numFmtId="0" fontId="99" fillId="60" borderId="32" xfId="94" applyFill="1" applyBorder="1" applyProtection="1"/>
    <xf numFmtId="0" fontId="99" fillId="60" borderId="116" xfId="94" applyFill="1" applyBorder="1" applyProtection="1"/>
    <xf numFmtId="179" fontId="0" fillId="60" borderId="116" xfId="96" applyNumberFormat="1" applyFont="1" applyFill="1" applyBorder="1" applyAlignment="1" applyProtection="1">
      <alignment horizontal="center"/>
      <protection locked="0"/>
    </xf>
    <xf numFmtId="179" fontId="0" fillId="60" borderId="37" xfId="96" applyNumberFormat="1" applyFont="1" applyFill="1" applyBorder="1" applyAlignment="1" applyProtection="1">
      <alignment horizontal="center"/>
      <protection locked="0"/>
    </xf>
    <xf numFmtId="8" fontId="1" fillId="60" borderId="22" xfId="98" applyNumberFormat="1" applyFont="1" applyFill="1" applyBorder="1" applyAlignment="1" applyProtection="1">
      <alignment horizontal="center"/>
      <protection locked="0"/>
    </xf>
    <xf numFmtId="0" fontId="130" fillId="0" borderId="114" xfId="94" applyFont="1" applyFill="1" applyBorder="1" applyProtection="1"/>
    <xf numFmtId="0" fontId="98" fillId="0" borderId="32" xfId="98" applyFont="1" applyBorder="1"/>
    <xf numFmtId="166" fontId="1" fillId="60" borderId="21" xfId="95" applyNumberFormat="1" applyFont="1" applyFill="1" applyBorder="1" applyAlignment="1" applyProtection="1">
      <alignment horizontal="center"/>
      <protection locked="0"/>
    </xf>
    <xf numFmtId="0" fontId="1" fillId="60" borderId="37" xfId="98" applyFill="1" applyBorder="1" applyProtection="1">
      <protection locked="0"/>
    </xf>
    <xf numFmtId="37" fontId="145" fillId="0" borderId="34" xfId="94" applyNumberFormat="1" applyFont="1" applyFill="1" applyBorder="1" applyAlignment="1" applyProtection="1">
      <alignment horizontal="left" vertical="center" wrapText="1"/>
    </xf>
    <xf numFmtId="37" fontId="145" fillId="0" borderId="0" xfId="94" applyNumberFormat="1" applyFont="1" applyFill="1" applyBorder="1" applyAlignment="1" applyProtection="1">
      <alignment horizontal="left" vertical="center" wrapText="1"/>
    </xf>
    <xf numFmtId="0" fontId="114" fillId="64" borderId="114" xfId="94" applyFont="1" applyFill="1" applyBorder="1" applyAlignment="1" applyProtection="1">
      <alignment horizontal="center"/>
    </xf>
    <xf numFmtId="0" fontId="114" fillId="64" borderId="115" xfId="94" applyFont="1" applyFill="1" applyBorder="1" applyAlignment="1" applyProtection="1">
      <alignment horizontal="center"/>
    </xf>
    <xf numFmtId="0" fontId="99" fillId="0" borderId="133" xfId="94" applyFill="1" applyBorder="1" applyAlignment="1" applyProtection="1">
      <alignment horizontal="left"/>
    </xf>
    <xf numFmtId="0" fontId="114" fillId="64" borderId="32" xfId="94" applyFont="1" applyFill="1" applyBorder="1" applyAlignment="1" applyProtection="1">
      <alignment horizontal="center"/>
    </xf>
    <xf numFmtId="0" fontId="114" fillId="64" borderId="37" xfId="94" applyFont="1" applyFill="1" applyBorder="1" applyAlignment="1" applyProtection="1">
      <alignment horizontal="center"/>
    </xf>
    <xf numFmtId="168" fontId="99" fillId="58" borderId="118" xfId="94" applyNumberFormat="1" applyFill="1" applyBorder="1" applyAlignment="1" applyProtection="1">
      <protection locked="0"/>
    </xf>
    <xf numFmtId="168" fontId="99" fillId="58" borderId="120" xfId="94" applyNumberFormat="1" applyFill="1" applyBorder="1" applyAlignment="1" applyProtection="1">
      <protection locked="0"/>
    </xf>
    <xf numFmtId="0" fontId="145" fillId="0" borderId="0" xfId="94" applyFont="1" applyBorder="1" applyAlignment="1" applyProtection="1">
      <alignment horizontal="left"/>
    </xf>
    <xf numFmtId="0" fontId="145" fillId="0" borderId="132" xfId="94" applyFont="1" applyBorder="1" applyProtection="1"/>
    <xf numFmtId="0" fontId="145" fillId="0" borderId="133" xfId="94" applyFont="1" applyBorder="1" applyAlignment="1" applyProtection="1">
      <alignment horizontal="left"/>
    </xf>
    <xf numFmtId="0" fontId="145" fillId="0" borderId="128" xfId="94" applyFont="1" applyBorder="1" applyProtection="1"/>
    <xf numFmtId="0" fontId="145" fillId="0" borderId="129" xfId="94" applyFont="1" applyBorder="1" applyAlignment="1" applyProtection="1">
      <alignment horizontal="left"/>
    </xf>
    <xf numFmtId="0" fontId="99" fillId="0" borderId="119" xfId="94" applyBorder="1" applyAlignment="1" applyProtection="1">
      <alignment horizontal="left"/>
    </xf>
    <xf numFmtId="179" fontId="0" fillId="0" borderId="120" xfId="96" applyNumberFormat="1" applyFont="1" applyBorder="1" applyAlignment="1" applyProtection="1">
      <alignment horizontal="center"/>
    </xf>
    <xf numFmtId="179" fontId="0" fillId="0" borderId="17" xfId="96" applyNumberFormat="1" applyFont="1" applyBorder="1" applyAlignment="1" applyProtection="1">
      <alignment horizontal="center"/>
    </xf>
    <xf numFmtId="167" fontId="0" fillId="0" borderId="0" xfId="96" applyNumberFormat="1" applyFont="1" applyBorder="1" applyProtection="1"/>
    <xf numFmtId="0" fontId="155" fillId="64" borderId="118" xfId="94" applyFont="1" applyFill="1" applyBorder="1" applyAlignment="1" applyProtection="1">
      <alignment horizontal="centerContinuous"/>
    </xf>
    <xf numFmtId="0" fontId="155" fillId="64" borderId="119" xfId="94" applyFont="1" applyFill="1" applyBorder="1" applyAlignment="1" applyProtection="1">
      <alignment horizontal="centerContinuous"/>
    </xf>
    <xf numFmtId="0" fontId="155" fillId="64" borderId="120" xfId="94" applyFont="1" applyFill="1" applyBorder="1" applyAlignment="1" applyProtection="1">
      <alignment horizontal="centerContinuous"/>
    </xf>
    <xf numFmtId="0" fontId="114" fillId="64" borderId="225" xfId="94" applyFont="1" applyFill="1" applyBorder="1" applyAlignment="1" applyProtection="1">
      <alignment horizontal="center" vertical="center" wrapText="1"/>
    </xf>
    <xf numFmtId="0" fontId="114" fillId="64" borderId="224" xfId="94" applyFont="1" applyFill="1" applyBorder="1" applyAlignment="1" applyProtection="1">
      <alignment horizontal="center" vertical="center" wrapText="1"/>
    </xf>
    <xf numFmtId="0" fontId="114" fillId="64" borderId="246" xfId="94" applyFont="1" applyFill="1" applyBorder="1" applyAlignment="1" applyProtection="1">
      <alignment horizontal="center" vertical="center" wrapText="1"/>
    </xf>
    <xf numFmtId="0" fontId="114" fillId="64" borderId="186" xfId="94" applyFont="1" applyFill="1" applyBorder="1" applyAlignment="1" applyProtection="1">
      <alignment horizontal="center" vertical="center" wrapText="1"/>
    </xf>
    <xf numFmtId="0" fontId="114" fillId="64" borderId="247" xfId="94" applyFont="1" applyFill="1" applyBorder="1" applyAlignment="1" applyProtection="1">
      <alignment horizontal="center" vertical="center" wrapText="1"/>
    </xf>
    <xf numFmtId="0" fontId="144" fillId="0" borderId="17" xfId="94" applyFont="1" applyBorder="1" applyAlignment="1" applyProtection="1">
      <alignment horizontal="center"/>
    </xf>
    <xf numFmtId="0" fontId="144" fillId="0" borderId="118" xfId="94" applyFont="1" applyBorder="1" applyAlignment="1" applyProtection="1">
      <alignment horizontal="centerContinuous"/>
    </xf>
    <xf numFmtId="168" fontId="144" fillId="0" borderId="120" xfId="96" applyNumberFormat="1" applyFont="1" applyFill="1" applyBorder="1" applyAlignment="1" applyProtection="1">
      <alignment horizontal="centerContinuous" vertical="center"/>
    </xf>
    <xf numFmtId="168" fontId="144" fillId="0" borderId="119" xfId="96" applyNumberFormat="1" applyFont="1" applyFill="1" applyBorder="1" applyAlignment="1" applyProtection="1">
      <alignment horizontal="centerContinuous" vertical="center"/>
    </xf>
    <xf numFmtId="0" fontId="144" fillId="0" borderId="119" xfId="94" applyFont="1" applyBorder="1" applyAlignment="1" applyProtection="1">
      <alignment horizontal="centerContinuous"/>
    </xf>
    <xf numFmtId="9" fontId="99" fillId="0" borderId="113" xfId="95" applyNumberFormat="1" applyFont="1" applyFill="1" applyBorder="1" applyAlignment="1" applyProtection="1">
      <alignment horizontal="center"/>
    </xf>
    <xf numFmtId="9" fontId="99" fillId="0" borderId="178" xfId="95" applyNumberFormat="1" applyFont="1" applyFill="1" applyBorder="1" applyAlignment="1" applyProtection="1">
      <alignment horizontal="center"/>
    </xf>
    <xf numFmtId="9" fontId="99" fillId="0" borderId="248" xfId="95" applyNumberFormat="1" applyFont="1" applyFill="1" applyBorder="1" applyAlignment="1" applyProtection="1">
      <alignment horizontal="center"/>
    </xf>
    <xf numFmtId="9" fontId="99" fillId="0" borderId="114" xfId="95" applyNumberFormat="1" applyFont="1" applyFill="1" applyBorder="1" applyAlignment="1" applyProtection="1">
      <alignment horizontal="center"/>
    </xf>
    <xf numFmtId="9" fontId="99" fillId="0" borderId="249" xfId="95" applyNumberFormat="1" applyFont="1" applyFill="1" applyBorder="1" applyAlignment="1" applyProtection="1">
      <alignment horizontal="center"/>
    </xf>
    <xf numFmtId="9" fontId="0" fillId="0" borderId="113" xfId="95" applyNumberFormat="1" applyFont="1" applyFill="1" applyBorder="1" applyAlignment="1" applyProtection="1">
      <alignment horizontal="center"/>
    </xf>
    <xf numFmtId="9" fontId="0" fillId="0" borderId="178" xfId="95" applyNumberFormat="1" applyFont="1" applyFill="1" applyBorder="1" applyAlignment="1" applyProtection="1">
      <alignment horizontal="center"/>
    </xf>
    <xf numFmtId="9" fontId="0" fillId="0" borderId="248" xfId="95" applyNumberFormat="1" applyFont="1" applyFill="1" applyBorder="1" applyAlignment="1" applyProtection="1">
      <alignment horizontal="center"/>
    </xf>
    <xf numFmtId="9" fontId="0" fillId="0" borderId="114" xfId="95" applyNumberFormat="1" applyFont="1" applyFill="1" applyBorder="1" applyAlignment="1" applyProtection="1">
      <alignment horizontal="center"/>
    </xf>
    <xf numFmtId="9" fontId="0" fillId="0" borderId="249" xfId="95" applyNumberFormat="1" applyFont="1" applyFill="1" applyBorder="1" applyAlignment="1" applyProtection="1">
      <alignment horizontal="center"/>
    </xf>
    <xf numFmtId="0" fontId="144" fillId="0" borderId="113" xfId="94" applyFont="1" applyFill="1" applyBorder="1" applyAlignment="1" applyProtection="1">
      <alignment vertical="center"/>
    </xf>
    <xf numFmtId="168" fontId="110" fillId="65" borderId="0" xfId="96" applyNumberFormat="1" applyFont="1" applyFill="1" applyBorder="1" applyAlignment="1" applyProtection="1">
      <alignment horizontal="center" vertical="center"/>
      <protection locked="0"/>
    </xf>
    <xf numFmtId="0" fontId="122" fillId="0" borderId="111" xfId="94" applyFont="1" applyBorder="1" applyProtection="1"/>
    <xf numFmtId="168" fontId="110" fillId="65" borderId="122" xfId="96" applyNumberFormat="1" applyFont="1" applyFill="1" applyBorder="1" applyAlignment="1" applyProtection="1">
      <alignment horizontal="center" vertical="center"/>
      <protection locked="0"/>
    </xf>
    <xf numFmtId="9" fontId="144" fillId="0" borderId="113" xfId="95" applyFont="1" applyBorder="1" applyAlignment="1" applyProtection="1">
      <alignment horizontal="left" vertical="center"/>
    </xf>
    <xf numFmtId="0" fontId="122" fillId="0" borderId="115" xfId="94" applyFont="1" applyBorder="1" applyProtection="1"/>
    <xf numFmtId="168" fontId="123" fillId="0" borderId="121" xfId="96" applyNumberFormat="1" applyFont="1" applyBorder="1" applyAlignment="1" applyProtection="1">
      <alignment horizontal="center" vertical="center"/>
    </xf>
    <xf numFmtId="168" fontId="123" fillId="0" borderId="114" xfId="96" applyNumberFormat="1" applyFont="1" applyBorder="1" applyAlignment="1" applyProtection="1">
      <alignment horizontal="center" vertical="center"/>
    </xf>
    <xf numFmtId="168" fontId="123" fillId="0" borderId="115" xfId="96" applyNumberFormat="1" applyFont="1" applyBorder="1" applyAlignment="1" applyProtection="1">
      <alignment horizontal="center" vertical="center"/>
    </xf>
    <xf numFmtId="0" fontId="144" fillId="0" borderId="118" xfId="94" applyFont="1" applyFill="1" applyBorder="1" applyProtection="1"/>
    <xf numFmtId="0" fontId="122" fillId="0" borderId="119" xfId="94" applyFont="1" applyBorder="1" applyProtection="1"/>
    <xf numFmtId="9" fontId="110" fillId="0" borderId="120" xfId="95" applyFont="1" applyBorder="1" applyAlignment="1" applyProtection="1">
      <alignment horizontal="center" vertical="center"/>
    </xf>
    <xf numFmtId="0" fontId="122" fillId="0" borderId="118" xfId="94" applyFont="1" applyBorder="1" applyProtection="1"/>
    <xf numFmtId="168" fontId="110" fillId="65" borderId="120" xfId="96" applyNumberFormat="1" applyFont="1" applyFill="1" applyBorder="1" applyAlignment="1" applyProtection="1">
      <alignment horizontal="center" vertical="center"/>
      <protection locked="0"/>
    </xf>
    <xf numFmtId="168" fontId="110" fillId="65" borderId="119" xfId="96" applyNumberFormat="1" applyFont="1" applyFill="1" applyBorder="1" applyAlignment="1" applyProtection="1">
      <alignment horizontal="center" vertical="center"/>
      <protection locked="0"/>
    </xf>
    <xf numFmtId="9" fontId="144" fillId="0" borderId="118" xfId="95" applyFont="1" applyBorder="1" applyAlignment="1" applyProtection="1">
      <alignment horizontal="left" vertical="center"/>
    </xf>
    <xf numFmtId="0" fontId="122" fillId="0" borderId="120" xfId="94" applyFont="1" applyBorder="1" applyProtection="1"/>
    <xf numFmtId="168" fontId="123" fillId="0" borderId="17" xfId="96" applyNumberFormat="1" applyFont="1" applyBorder="1" applyAlignment="1" applyProtection="1">
      <alignment horizontal="center" vertical="center"/>
    </xf>
    <xf numFmtId="168" fontId="123" fillId="0" borderId="118" xfId="96" applyNumberFormat="1" applyFont="1" applyBorder="1" applyAlignment="1" applyProtection="1">
      <alignment horizontal="center" vertical="center"/>
    </xf>
    <xf numFmtId="168" fontId="123" fillId="0" borderId="120" xfId="96" applyNumberFormat="1" applyFont="1" applyBorder="1" applyAlignment="1" applyProtection="1">
      <alignment horizontal="center" vertical="center"/>
    </xf>
    <xf numFmtId="179" fontId="99" fillId="0" borderId="34" xfId="96" applyNumberFormat="1" applyFont="1" applyFill="1" applyBorder="1" applyAlignment="1" applyProtection="1">
      <alignment horizontal="center"/>
    </xf>
    <xf numFmtId="179" fontId="99" fillId="0" borderId="111" xfId="96" applyNumberFormat="1" applyFont="1" applyFill="1" applyBorder="1" applyAlignment="1" applyProtection="1">
      <alignment horizontal="center"/>
    </xf>
    <xf numFmtId="179" fontId="99" fillId="0" borderId="112" xfId="96" applyNumberFormat="1" applyFont="1" applyFill="1" applyBorder="1" applyAlignment="1" applyProtection="1">
      <alignment horizontal="center"/>
    </xf>
    <xf numFmtId="179" fontId="99" fillId="0" borderId="0" xfId="96" applyNumberFormat="1" applyFont="1" applyFill="1" applyBorder="1" applyAlignment="1" applyProtection="1">
      <alignment horizontal="center"/>
    </xf>
    <xf numFmtId="186" fontId="99" fillId="0" borderId="168" xfId="96" applyNumberFormat="1" applyFont="1" applyFill="1" applyBorder="1" applyAlignment="1" applyProtection="1">
      <alignment horizontal="center"/>
    </xf>
    <xf numFmtId="179" fontId="0" fillId="0" borderId="112" xfId="96" applyNumberFormat="1" applyFont="1" applyFill="1" applyBorder="1" applyAlignment="1" applyProtection="1">
      <alignment horizontal="center"/>
    </xf>
    <xf numFmtId="179" fontId="0" fillId="0" borderId="168" xfId="96" applyNumberFormat="1" applyFont="1" applyFill="1" applyBorder="1" applyAlignment="1" applyProtection="1">
      <alignment horizontal="center"/>
    </xf>
    <xf numFmtId="0" fontId="144" fillId="0" borderId="34" xfId="94" applyFont="1" applyFill="1" applyBorder="1" applyAlignment="1" applyProtection="1">
      <alignment vertical="center"/>
    </xf>
    <xf numFmtId="9" fontId="144" fillId="0" borderId="34" xfId="95" applyFont="1" applyBorder="1" applyAlignment="1" applyProtection="1">
      <alignment horizontal="left" vertical="center"/>
    </xf>
    <xf numFmtId="0" fontId="122" fillId="0" borderId="122" xfId="94" applyFont="1" applyBorder="1" applyProtection="1"/>
    <xf numFmtId="168" fontId="123" fillId="0" borderId="22" xfId="96" applyNumberFormat="1" applyFont="1" applyFill="1" applyBorder="1" applyAlignment="1" applyProtection="1">
      <alignment horizontal="center" vertical="center"/>
    </xf>
    <xf numFmtId="168" fontId="123" fillId="0" borderId="122" xfId="96" applyNumberFormat="1" applyFont="1" applyFill="1" applyBorder="1" applyAlignment="1" applyProtection="1">
      <alignment horizontal="center" vertical="center"/>
    </xf>
    <xf numFmtId="9" fontId="110" fillId="0" borderId="34" xfId="95" applyFont="1" applyFill="1" applyBorder="1" applyAlignment="1" applyProtection="1">
      <alignment horizontal="center" vertical="center"/>
    </xf>
    <xf numFmtId="0" fontId="99" fillId="0" borderId="122" xfId="94" quotePrefix="1" applyFill="1" applyBorder="1" applyProtection="1"/>
    <xf numFmtId="9" fontId="99" fillId="0" borderId="34" xfId="95" applyFont="1" applyFill="1" applyBorder="1" applyAlignment="1" applyProtection="1">
      <alignment horizontal="center"/>
    </xf>
    <xf numFmtId="9" fontId="99" fillId="0" borderId="111" xfId="95" applyFont="1" applyFill="1" applyBorder="1" applyAlignment="1" applyProtection="1">
      <alignment horizontal="center"/>
    </xf>
    <xf numFmtId="9" fontId="99" fillId="0" borderId="112" xfId="95" applyFont="1" applyFill="1" applyBorder="1" applyAlignment="1" applyProtection="1">
      <alignment horizontal="center"/>
    </xf>
    <xf numFmtId="9" fontId="99" fillId="0" borderId="0" xfId="95" applyNumberFormat="1" applyFont="1" applyFill="1" applyBorder="1" applyAlignment="1" applyProtection="1">
      <alignment horizontal="center"/>
    </xf>
    <xf numFmtId="9" fontId="99" fillId="0" borderId="168" xfId="95" applyNumberFormat="1" applyFont="1" applyFill="1" applyBorder="1" applyAlignment="1" applyProtection="1">
      <alignment horizontal="center"/>
    </xf>
    <xf numFmtId="9" fontId="0" fillId="0" borderId="34" xfId="95" applyFont="1" applyFill="1" applyBorder="1" applyAlignment="1" applyProtection="1">
      <alignment horizontal="center"/>
    </xf>
    <xf numFmtId="9" fontId="0" fillId="0" borderId="111" xfId="95" applyFont="1" applyFill="1" applyBorder="1" applyAlignment="1" applyProtection="1">
      <alignment horizontal="center"/>
    </xf>
    <xf numFmtId="9" fontId="0" fillId="0" borderId="112" xfId="95" applyFont="1" applyFill="1" applyBorder="1" applyAlignment="1" applyProtection="1">
      <alignment horizontal="center"/>
    </xf>
    <xf numFmtId="9" fontId="0" fillId="0" borderId="168" xfId="95" applyFont="1" applyFill="1" applyBorder="1" applyAlignment="1" applyProtection="1">
      <alignment horizontal="center"/>
    </xf>
    <xf numFmtId="9" fontId="144" fillId="0" borderId="34" xfId="95" applyFont="1" applyFill="1" applyBorder="1" applyAlignment="1" applyProtection="1">
      <alignment horizontal="left" vertical="center"/>
    </xf>
    <xf numFmtId="168" fontId="123" fillId="0" borderId="22" xfId="96" applyNumberFormat="1" applyFont="1" applyBorder="1" applyAlignment="1" applyProtection="1">
      <alignment horizontal="center" vertical="center"/>
    </xf>
    <xf numFmtId="168" fontId="123" fillId="0" borderId="0" xfId="96" applyNumberFormat="1" applyFont="1" applyBorder="1" applyAlignment="1" applyProtection="1">
      <alignment horizontal="center" vertical="center"/>
    </xf>
    <xf numFmtId="168" fontId="123" fillId="0" borderId="122" xfId="96" applyNumberFormat="1" applyFont="1" applyBorder="1" applyAlignment="1" applyProtection="1">
      <alignment horizontal="center" vertical="center"/>
    </xf>
    <xf numFmtId="0" fontId="144" fillId="0" borderId="32" xfId="94" applyFont="1" applyFill="1" applyBorder="1" applyAlignment="1" applyProtection="1">
      <alignment vertical="center"/>
    </xf>
    <xf numFmtId="37" fontId="118" fillId="0" borderId="116" xfId="94" applyNumberFormat="1" applyFont="1" applyFill="1" applyBorder="1" applyAlignment="1" applyProtection="1">
      <alignment horizontal="center" vertical="center"/>
    </xf>
    <xf numFmtId="0" fontId="122" fillId="0" borderId="32" xfId="94" applyFont="1" applyFill="1" applyBorder="1" applyProtection="1"/>
    <xf numFmtId="0" fontId="122" fillId="0" borderId="32" xfId="94" applyFont="1" applyBorder="1" applyProtection="1"/>
    <xf numFmtId="0" fontId="122" fillId="0" borderId="136" xfId="94" applyFont="1" applyBorder="1" applyProtection="1"/>
    <xf numFmtId="168" fontId="110" fillId="65" borderId="37" xfId="96" applyNumberFormat="1" applyFont="1" applyFill="1" applyBorder="1" applyAlignment="1" applyProtection="1">
      <alignment horizontal="center" vertical="center"/>
      <protection locked="0"/>
    </xf>
    <xf numFmtId="9" fontId="144" fillId="0" borderId="32" xfId="95" applyFont="1" applyBorder="1" applyAlignment="1" applyProtection="1">
      <alignment horizontal="left" vertical="center"/>
    </xf>
    <xf numFmtId="0" fontId="122" fillId="0" borderId="37" xfId="94" applyFont="1" applyBorder="1" applyProtection="1"/>
    <xf numFmtId="168" fontId="123" fillId="0" borderId="21" xfId="96" applyNumberFormat="1" applyFont="1" applyBorder="1" applyAlignment="1" applyProtection="1">
      <alignment horizontal="center" vertical="center"/>
    </xf>
    <xf numFmtId="168" fontId="123" fillId="0" borderId="116" xfId="96" applyNumberFormat="1" applyFont="1" applyBorder="1" applyAlignment="1" applyProtection="1">
      <alignment horizontal="center" vertical="center"/>
    </xf>
    <xf numFmtId="168" fontId="123" fillId="0" borderId="37" xfId="96" applyNumberFormat="1" applyFont="1" applyBorder="1" applyAlignment="1" applyProtection="1">
      <alignment horizontal="center" vertical="center"/>
    </xf>
    <xf numFmtId="9" fontId="0" fillId="0" borderId="32" xfId="95" applyFont="1" applyFill="1" applyBorder="1" applyAlignment="1" applyProtection="1">
      <alignment horizontal="center"/>
    </xf>
    <xf numFmtId="9" fontId="0" fillId="0" borderId="136" xfId="95" applyFont="1" applyFill="1" applyBorder="1" applyAlignment="1" applyProtection="1">
      <alignment horizontal="center"/>
    </xf>
    <xf numFmtId="9" fontId="0" fillId="0" borderId="183" xfId="95" applyFont="1" applyFill="1" applyBorder="1" applyAlignment="1" applyProtection="1">
      <alignment horizontal="center"/>
    </xf>
    <xf numFmtId="9" fontId="0" fillId="0" borderId="116" xfId="95" applyFont="1" applyFill="1" applyBorder="1" applyAlignment="1" applyProtection="1">
      <alignment horizontal="center"/>
    </xf>
    <xf numFmtId="9" fontId="0" fillId="0" borderId="170" xfId="95" applyFont="1" applyFill="1" applyBorder="1" applyAlignment="1" applyProtection="1">
      <alignment horizontal="center"/>
    </xf>
    <xf numFmtId="181" fontId="0" fillId="0" borderId="32" xfId="96" applyNumberFormat="1" applyFont="1" applyFill="1" applyBorder="1" applyAlignment="1" applyProtection="1">
      <alignment horizontal="center"/>
    </xf>
    <xf numFmtId="181" fontId="0" fillId="0" borderId="136" xfId="96" applyNumberFormat="1" applyFont="1" applyFill="1" applyBorder="1" applyAlignment="1" applyProtection="1">
      <alignment horizontal="center"/>
    </xf>
    <xf numFmtId="181" fontId="0" fillId="0" borderId="183" xfId="96" applyNumberFormat="1" applyFont="1" applyFill="1" applyBorder="1" applyAlignment="1" applyProtection="1">
      <alignment horizontal="center"/>
    </xf>
    <xf numFmtId="181" fontId="0" fillId="0" borderId="116" xfId="96" applyNumberFormat="1" applyFont="1" applyFill="1" applyBorder="1" applyAlignment="1" applyProtection="1">
      <alignment horizontal="center" vertical="center"/>
    </xf>
    <xf numFmtId="181" fontId="0" fillId="0" borderId="170" xfId="96" applyNumberFormat="1" applyFont="1" applyFill="1" applyBorder="1" applyAlignment="1" applyProtection="1">
      <alignment horizontal="center"/>
    </xf>
    <xf numFmtId="37" fontId="158" fillId="0" borderId="114" xfId="94" applyNumberFormat="1" applyFont="1" applyFill="1" applyBorder="1" applyAlignment="1" applyProtection="1">
      <alignment horizontal="center" vertical="center"/>
    </xf>
    <xf numFmtId="181" fontId="0" fillId="0" borderId="116" xfId="96" applyNumberFormat="1" applyFont="1" applyFill="1" applyBorder="1" applyAlignment="1" applyProtection="1">
      <alignment horizontal="center"/>
    </xf>
    <xf numFmtId="37" fontId="158" fillId="0" borderId="116" xfId="94" applyNumberFormat="1" applyFont="1" applyFill="1" applyBorder="1" applyAlignment="1" applyProtection="1">
      <alignment horizontal="center" vertical="center"/>
    </xf>
    <xf numFmtId="0" fontId="99" fillId="0" borderId="116" xfId="94" applyFill="1" applyBorder="1" applyAlignment="1" applyProtection="1">
      <alignment horizontal="center"/>
    </xf>
    <xf numFmtId="168" fontId="99" fillId="0" borderId="0" xfId="96" applyNumberFormat="1" applyFont="1" applyFill="1" applyBorder="1" applyAlignment="1" applyProtection="1">
      <alignment horizontal="center"/>
    </xf>
    <xf numFmtId="181" fontId="0" fillId="0" borderId="0" xfId="96" applyNumberFormat="1" applyFont="1" applyFill="1" applyBorder="1" applyAlignment="1" applyProtection="1">
      <alignment horizontal="center"/>
    </xf>
    <xf numFmtId="37" fontId="158" fillId="0" borderId="0" xfId="94" applyNumberFormat="1" applyFont="1" applyFill="1" applyBorder="1" applyAlignment="1" applyProtection="1">
      <alignment horizontal="center" vertical="center"/>
    </xf>
    <xf numFmtId="9" fontId="99" fillId="0" borderId="0" xfId="95" applyFont="1" applyFill="1" applyBorder="1" applyAlignment="1" applyProtection="1">
      <alignment horizontal="center"/>
    </xf>
    <xf numFmtId="168" fontId="99" fillId="0" borderId="168" xfId="96" applyNumberFormat="1" applyFont="1" applyFill="1" applyBorder="1" applyAlignment="1" applyProtection="1">
      <alignment horizontal="center"/>
    </xf>
    <xf numFmtId="9" fontId="99" fillId="0" borderId="32" xfId="95" applyFont="1" applyFill="1" applyBorder="1" applyAlignment="1" applyProtection="1">
      <alignment horizontal="center"/>
    </xf>
    <xf numFmtId="9" fontId="99" fillId="0" borderId="136" xfId="95" applyFont="1" applyFill="1" applyBorder="1" applyAlignment="1" applyProtection="1">
      <alignment horizontal="center"/>
    </xf>
    <xf numFmtId="9" fontId="99" fillId="0" borderId="183" xfId="95" applyFont="1" applyFill="1" applyBorder="1" applyAlignment="1" applyProtection="1">
      <alignment horizontal="center"/>
    </xf>
    <xf numFmtId="9" fontId="99" fillId="0" borderId="116" xfId="95" applyNumberFormat="1" applyFont="1" applyFill="1" applyBorder="1" applyAlignment="1" applyProtection="1">
      <alignment horizontal="center"/>
    </xf>
    <xf numFmtId="9" fontId="99" fillId="0" borderId="170" xfId="95" applyNumberFormat="1" applyFont="1" applyFill="1" applyBorder="1" applyAlignment="1" applyProtection="1">
      <alignment horizontal="center"/>
    </xf>
    <xf numFmtId="0" fontId="99" fillId="0" borderId="0" xfId="94" quotePrefix="1" applyBorder="1" applyProtection="1"/>
    <xf numFmtId="0" fontId="109" fillId="0" borderId="0" xfId="94" applyFont="1" applyFill="1" applyBorder="1" applyAlignment="1" applyProtection="1">
      <alignment horizontal="centerContinuous"/>
    </xf>
    <xf numFmtId="0" fontId="99" fillId="0" borderId="0" xfId="94" applyFill="1" applyBorder="1" applyAlignment="1" applyProtection="1">
      <alignment horizontal="centerContinuous"/>
    </xf>
    <xf numFmtId="0" fontId="99" fillId="0" borderId="65" xfId="94" applyFill="1" applyBorder="1" applyAlignment="1" applyProtection="1">
      <alignment horizontal="centerContinuous"/>
    </xf>
    <xf numFmtId="0" fontId="99" fillId="0" borderId="66" xfId="94" applyFill="1" applyBorder="1" applyAlignment="1" applyProtection="1">
      <alignment horizontal="centerContinuous"/>
    </xf>
    <xf numFmtId="9" fontId="99" fillId="0" borderId="66" xfId="94" applyNumberFormat="1" applyBorder="1" applyProtection="1"/>
    <xf numFmtId="0" fontId="99" fillId="0" borderId="66" xfId="94" applyBorder="1" applyProtection="1"/>
    <xf numFmtId="0" fontId="109" fillId="0" borderId="66" xfId="94" applyFont="1" applyBorder="1" applyProtection="1"/>
    <xf numFmtId="0" fontId="99" fillId="0" borderId="66" xfId="94" applyBorder="1" applyAlignment="1" applyProtection="1">
      <alignment horizontal="center"/>
    </xf>
    <xf numFmtId="0" fontId="99" fillId="0" borderId="67" xfId="94" applyBorder="1" applyProtection="1"/>
    <xf numFmtId="0" fontId="99" fillId="0" borderId="178" xfId="94" applyBorder="1" applyProtection="1"/>
    <xf numFmtId="0" fontId="99" fillId="0" borderId="112" xfId="94" applyBorder="1" applyAlignment="1" applyProtection="1">
      <alignment horizontal="center"/>
    </xf>
    <xf numFmtId="9" fontId="99" fillId="0" borderId="0" xfId="94" applyNumberFormat="1" applyBorder="1" applyProtection="1"/>
    <xf numFmtId="166" fontId="0" fillId="0" borderId="0" xfId="95" applyNumberFormat="1" applyFont="1" applyFill="1" applyBorder="1" applyAlignment="1" applyProtection="1">
      <alignment horizontal="center"/>
    </xf>
    <xf numFmtId="0" fontId="101" fillId="0" borderId="0" xfId="94" applyFont="1" applyFill="1" applyBorder="1" applyAlignment="1" applyProtection="1">
      <alignment horizontal="left"/>
    </xf>
    <xf numFmtId="0" fontId="111" fillId="0" borderId="0" xfId="94" applyFont="1" applyFill="1" applyBorder="1" applyAlignment="1" applyProtection="1">
      <alignment horizontal="center"/>
    </xf>
    <xf numFmtId="0" fontId="111" fillId="0" borderId="0" xfId="94" applyFont="1" applyFill="1" applyBorder="1" applyProtection="1"/>
    <xf numFmtId="8" fontId="99" fillId="0" borderId="0" xfId="94" applyNumberFormat="1" applyFill="1" applyBorder="1" applyAlignment="1" applyProtection="1">
      <alignment horizontal="center"/>
    </xf>
    <xf numFmtId="0" fontId="99" fillId="0" borderId="53" xfId="94" applyBorder="1" applyAlignment="1" applyProtection="1">
      <alignment horizontal="center"/>
    </xf>
    <xf numFmtId="166" fontId="111" fillId="0" borderId="0" xfId="95" applyNumberFormat="1" applyFont="1" applyFill="1" applyBorder="1" applyAlignment="1" applyProtection="1">
      <alignment horizontal="center"/>
    </xf>
    <xf numFmtId="9" fontId="99" fillId="0" borderId="0" xfId="94" applyNumberFormat="1" applyFill="1" applyBorder="1" applyAlignment="1" applyProtection="1">
      <alignment horizontal="center"/>
    </xf>
    <xf numFmtId="9" fontId="109" fillId="0" borderId="17" xfId="94" applyNumberFormat="1" applyFont="1" applyFill="1" applyBorder="1" applyAlignment="1" applyProtection="1">
      <alignment horizontal="center"/>
    </xf>
    <xf numFmtId="1" fontId="109" fillId="0" borderId="0" xfId="94" applyNumberFormat="1" applyFont="1" applyFill="1" applyBorder="1" applyAlignment="1" applyProtection="1">
      <alignment horizontal="center"/>
    </xf>
    <xf numFmtId="166" fontId="0" fillId="0" borderId="113" xfId="95" applyNumberFormat="1" applyFont="1" applyFill="1" applyBorder="1" applyAlignment="1" applyProtection="1">
      <alignment horizontal="center"/>
    </xf>
    <xf numFmtId="166" fontId="0" fillId="0" borderId="114" xfId="95" applyNumberFormat="1" applyFont="1" applyFill="1" applyBorder="1" applyAlignment="1" applyProtection="1">
      <alignment horizontal="center"/>
    </xf>
    <xf numFmtId="168" fontId="0" fillId="0" borderId="114" xfId="96" applyNumberFormat="1" applyFont="1" applyFill="1" applyBorder="1" applyAlignment="1" applyProtection="1">
      <alignment horizontal="center"/>
    </xf>
    <xf numFmtId="0" fontId="122" fillId="0" borderId="113" xfId="94" applyFont="1" applyFill="1" applyBorder="1" applyProtection="1"/>
    <xf numFmtId="168" fontId="99" fillId="0" borderId="114" xfId="94" applyNumberFormat="1" applyFill="1" applyBorder="1" applyAlignment="1" applyProtection="1">
      <alignment horizontal="center"/>
    </xf>
    <xf numFmtId="168" fontId="99" fillId="0" borderId="115" xfId="94" applyNumberFormat="1" applyFill="1" applyBorder="1" applyAlignment="1" applyProtection="1">
      <alignment horizontal="center"/>
    </xf>
    <xf numFmtId="166" fontId="0" fillId="0" borderId="34" xfId="95" applyNumberFormat="1" applyFont="1" applyFill="1" applyBorder="1" applyAlignment="1" applyProtection="1">
      <alignment horizontal="center"/>
    </xf>
    <xf numFmtId="168" fontId="99" fillId="0" borderId="0" xfId="94" applyNumberFormat="1" applyFill="1" applyBorder="1" applyAlignment="1" applyProtection="1">
      <alignment horizontal="center"/>
    </xf>
    <xf numFmtId="168" fontId="99" fillId="0" borderId="122" xfId="94" applyNumberFormat="1" applyFill="1" applyBorder="1" applyAlignment="1" applyProtection="1">
      <alignment horizontal="center"/>
    </xf>
    <xf numFmtId="168" fontId="99" fillId="0" borderId="116" xfId="94" applyNumberFormat="1" applyFill="1" applyBorder="1" applyAlignment="1" applyProtection="1">
      <alignment horizontal="center"/>
    </xf>
    <xf numFmtId="168" fontId="99" fillId="0" borderId="37" xfId="94" applyNumberFormat="1" applyFill="1" applyBorder="1" applyAlignment="1" applyProtection="1">
      <alignment horizontal="center"/>
    </xf>
    <xf numFmtId="9" fontId="0" fillId="0" borderId="113" xfId="95" applyFont="1" applyFill="1" applyBorder="1" applyAlignment="1" applyProtection="1">
      <alignment horizontal="center"/>
    </xf>
    <xf numFmtId="9" fontId="0" fillId="0" borderId="114" xfId="95" applyFont="1" applyFill="1" applyBorder="1" applyAlignment="1" applyProtection="1">
      <alignment horizontal="center"/>
    </xf>
    <xf numFmtId="43" fontId="0" fillId="0" borderId="113" xfId="96" applyFont="1" applyFill="1" applyBorder="1" applyAlignment="1" applyProtection="1">
      <alignment horizontal="center"/>
    </xf>
    <xf numFmtId="166" fontId="99" fillId="0" borderId="0" xfId="94" applyNumberFormat="1" applyFill="1" applyBorder="1" applyProtection="1"/>
    <xf numFmtId="43" fontId="0" fillId="0" borderId="34" xfId="96" applyFont="1" applyFill="1" applyBorder="1" applyAlignment="1" applyProtection="1">
      <alignment horizontal="center"/>
    </xf>
    <xf numFmtId="0" fontId="111" fillId="57" borderId="0" xfId="94" applyFont="1" applyFill="1" applyBorder="1" applyProtection="1"/>
    <xf numFmtId="0" fontId="109" fillId="0" borderId="29" xfId="94" applyFont="1" applyBorder="1" applyProtection="1"/>
    <xf numFmtId="0" fontId="99" fillId="0" borderId="250" xfId="94" applyBorder="1" applyProtection="1"/>
    <xf numFmtId="0" fontId="99" fillId="0" borderId="251" xfId="94" applyBorder="1" applyProtection="1"/>
    <xf numFmtId="0" fontId="99" fillId="0" borderId="248" xfId="94" applyFill="1" applyBorder="1" applyProtection="1"/>
    <xf numFmtId="0" fontId="122" fillId="0" borderId="112" xfId="94" applyFont="1" applyFill="1" applyBorder="1" applyProtection="1"/>
    <xf numFmtId="180" fontId="123" fillId="0" borderId="136" xfId="94" applyNumberFormat="1" applyFont="1" applyFill="1" applyBorder="1" applyAlignment="1" applyProtection="1">
      <alignment horizontal="center" vertical="center"/>
    </xf>
    <xf numFmtId="180" fontId="123" fillId="0" borderId="116" xfId="94" applyNumberFormat="1" applyFont="1" applyBorder="1" applyAlignment="1" applyProtection="1">
      <alignment horizontal="center" vertical="center"/>
    </xf>
    <xf numFmtId="37" fontId="123" fillId="0" borderId="116" xfId="94" applyNumberFormat="1" applyFont="1" applyBorder="1" applyAlignment="1" applyProtection="1">
      <alignment horizontal="center" vertical="center"/>
    </xf>
    <xf numFmtId="37" fontId="123" fillId="0" borderId="37" xfId="94" applyNumberFormat="1" applyFont="1" applyBorder="1" applyAlignment="1" applyProtection="1">
      <alignment horizontal="center" vertical="center"/>
    </xf>
    <xf numFmtId="9" fontId="0" fillId="0" borderId="0" xfId="95" applyFont="1" applyBorder="1" applyAlignment="1" applyProtection="1">
      <alignment horizontal="center"/>
    </xf>
    <xf numFmtId="0" fontId="99" fillId="0" borderId="183" xfId="94" applyBorder="1" applyProtection="1"/>
    <xf numFmtId="180" fontId="123" fillId="0" borderId="136" xfId="94" applyNumberFormat="1" applyFont="1" applyBorder="1" applyAlignment="1" applyProtection="1">
      <alignment horizontal="center" vertical="center"/>
    </xf>
    <xf numFmtId="0" fontId="99" fillId="0" borderId="248" xfId="94" applyBorder="1" applyProtection="1"/>
    <xf numFmtId="0" fontId="101" fillId="0" borderId="179" xfId="94" applyFont="1" applyBorder="1" applyProtection="1"/>
    <xf numFmtId="0" fontId="105" fillId="0" borderId="0" xfId="94" applyFont="1" applyBorder="1" applyAlignment="1" applyProtection="1">
      <alignment horizontal="right"/>
    </xf>
    <xf numFmtId="0" fontId="99" fillId="0" borderId="176" xfId="94" applyBorder="1" applyProtection="1"/>
    <xf numFmtId="0" fontId="105" fillId="0" borderId="176" xfId="94" applyFont="1" applyBorder="1" applyAlignment="1" applyProtection="1">
      <alignment horizontal="right"/>
    </xf>
    <xf numFmtId="1" fontId="105" fillId="0" borderId="0" xfId="94" applyNumberFormat="1" applyFont="1" applyFill="1" applyBorder="1" applyProtection="1"/>
    <xf numFmtId="1" fontId="105" fillId="0" borderId="176" xfId="94" applyNumberFormat="1" applyFont="1" applyFill="1" applyBorder="1" applyProtection="1"/>
    <xf numFmtId="168" fontId="0" fillId="0" borderId="111" xfId="96" applyNumberFormat="1" applyFont="1" applyBorder="1" applyProtection="1"/>
    <xf numFmtId="168" fontId="0" fillId="0" borderId="122" xfId="96" applyNumberFormat="1" applyFont="1" applyBorder="1" applyProtection="1"/>
    <xf numFmtId="1" fontId="99" fillId="0" borderId="176" xfId="94" applyNumberFormat="1" applyFill="1" applyBorder="1" applyProtection="1"/>
    <xf numFmtId="168" fontId="99" fillId="0" borderId="111" xfId="94" applyNumberFormat="1" applyBorder="1" applyProtection="1"/>
    <xf numFmtId="168" fontId="99" fillId="0" borderId="0" xfId="94" applyNumberFormat="1" applyBorder="1" applyProtection="1"/>
    <xf numFmtId="168" fontId="99" fillId="0" borderId="122" xfId="94" applyNumberFormat="1" applyBorder="1" applyProtection="1"/>
    <xf numFmtId="0" fontId="103" fillId="0" borderId="34" xfId="94" quotePrefix="1" applyFont="1" applyFill="1" applyBorder="1" applyProtection="1"/>
    <xf numFmtId="168" fontId="99" fillId="0" borderId="136" xfId="94" applyNumberFormat="1" applyBorder="1" applyProtection="1"/>
    <xf numFmtId="168" fontId="99" fillId="0" borderId="116" xfId="94" applyNumberFormat="1" applyBorder="1" applyProtection="1"/>
    <xf numFmtId="168" fontId="99" fillId="0" borderId="37" xfId="94" applyNumberFormat="1" applyBorder="1" applyProtection="1"/>
    <xf numFmtId="0" fontId="99" fillId="0" borderId="184" xfId="94" applyBorder="1" applyProtection="1"/>
    <xf numFmtId="180" fontId="123" fillId="0" borderId="29" xfId="94" applyNumberFormat="1" applyFont="1" applyBorder="1" applyAlignment="1" applyProtection="1">
      <alignment horizontal="center" vertical="center"/>
    </xf>
    <xf numFmtId="37" fontId="123" fillId="0" borderId="29" xfId="94" applyNumberFormat="1" applyFont="1" applyBorder="1" applyAlignment="1" applyProtection="1">
      <alignment horizontal="center" vertical="center"/>
    </xf>
    <xf numFmtId="0" fontId="109" fillId="0" borderId="51" xfId="94" applyFont="1" applyBorder="1" applyProtection="1"/>
    <xf numFmtId="0" fontId="109" fillId="0" borderId="119" xfId="94" applyFont="1" applyBorder="1" applyAlignment="1" applyProtection="1">
      <alignment horizontal="center"/>
    </xf>
    <xf numFmtId="0" fontId="109" fillId="0" borderId="252" xfId="94" applyFont="1" applyBorder="1" applyAlignment="1" applyProtection="1">
      <alignment horizontal="center"/>
    </xf>
    <xf numFmtId="0" fontId="109" fillId="0" borderId="119" xfId="94" applyFont="1" applyFill="1" applyBorder="1" applyAlignment="1" applyProtection="1">
      <alignment horizontal="center"/>
    </xf>
    <xf numFmtId="0" fontId="109" fillId="0" borderId="252" xfId="94" applyFont="1" applyFill="1" applyBorder="1" applyAlignment="1" applyProtection="1">
      <alignment horizontal="center"/>
    </xf>
    <xf numFmtId="0" fontId="145" fillId="0" borderId="118" xfId="94" applyFont="1" applyFill="1" applyBorder="1" applyProtection="1"/>
    <xf numFmtId="0" fontId="123" fillId="0" borderId="119" xfId="94" applyFont="1" applyFill="1" applyBorder="1" applyProtection="1"/>
    <xf numFmtId="0" fontId="123" fillId="0" borderId="120" xfId="94" applyFont="1" applyFill="1" applyBorder="1" applyProtection="1"/>
    <xf numFmtId="9" fontId="123" fillId="0" borderId="17" xfId="94" applyNumberFormat="1" applyFont="1" applyFill="1" applyBorder="1" applyAlignment="1" applyProtection="1">
      <alignment horizontal="center"/>
    </xf>
    <xf numFmtId="0" fontId="109" fillId="0" borderId="112" xfId="94" applyFont="1" applyBorder="1" applyAlignment="1" applyProtection="1">
      <alignment horizontal="right"/>
    </xf>
    <xf numFmtId="9" fontId="99" fillId="0" borderId="0" xfId="94" applyNumberFormat="1" applyBorder="1" applyAlignment="1" applyProtection="1">
      <alignment horizontal="center"/>
    </xf>
    <xf numFmtId="9" fontId="99" fillId="0" borderId="248" xfId="94" applyNumberFormat="1" applyBorder="1" applyAlignment="1" applyProtection="1">
      <alignment horizontal="right"/>
    </xf>
    <xf numFmtId="168" fontId="0" fillId="0" borderId="248" xfId="96" applyNumberFormat="1" applyFont="1" applyBorder="1" applyAlignment="1" applyProtection="1">
      <alignment horizontal="center"/>
    </xf>
    <xf numFmtId="168" fontId="0" fillId="0" borderId="248" xfId="96" applyNumberFormat="1" applyFont="1" applyFill="1" applyBorder="1" applyAlignment="1" applyProtection="1">
      <alignment horizontal="center"/>
    </xf>
    <xf numFmtId="9" fontId="99" fillId="0" borderId="112" xfId="94" applyNumberFormat="1" applyBorder="1" applyAlignment="1" applyProtection="1">
      <alignment horizontal="right"/>
    </xf>
    <xf numFmtId="168" fontId="0" fillId="0" borderId="112" xfId="96" applyNumberFormat="1" applyFont="1" applyBorder="1" applyAlignment="1" applyProtection="1">
      <alignment horizontal="center"/>
    </xf>
    <xf numFmtId="168" fontId="0" fillId="0" borderId="112" xfId="96" applyNumberFormat="1" applyFont="1" applyFill="1" applyBorder="1" applyAlignment="1" applyProtection="1">
      <alignment horizontal="center"/>
    </xf>
    <xf numFmtId="9" fontId="99" fillId="0" borderId="183" xfId="94" applyNumberFormat="1" applyBorder="1" applyAlignment="1" applyProtection="1">
      <alignment horizontal="right"/>
    </xf>
    <xf numFmtId="168" fontId="0" fillId="0" borderId="183" xfId="96" applyNumberFormat="1" applyFont="1" applyBorder="1" applyAlignment="1" applyProtection="1">
      <alignment horizontal="center"/>
    </xf>
    <xf numFmtId="168" fontId="0" fillId="0" borderId="183" xfId="96" applyNumberFormat="1" applyFont="1" applyFill="1" applyBorder="1" applyAlignment="1" applyProtection="1">
      <alignment horizontal="center"/>
    </xf>
    <xf numFmtId="168" fontId="109" fillId="0" borderId="120" xfId="94" applyNumberFormat="1" applyFont="1" applyBorder="1" applyAlignment="1" applyProtection="1">
      <alignment horizontal="center"/>
    </xf>
    <xf numFmtId="0" fontId="109" fillId="0" borderId="118" xfId="94" applyFont="1" applyFill="1" applyBorder="1" applyAlignment="1" applyProtection="1">
      <alignment horizontal="right"/>
    </xf>
    <xf numFmtId="168" fontId="109" fillId="0" borderId="120" xfId="94" applyNumberFormat="1" applyFont="1" applyFill="1" applyBorder="1" applyAlignment="1" applyProtection="1">
      <alignment horizontal="center"/>
    </xf>
    <xf numFmtId="0" fontId="109" fillId="0" borderId="0" xfId="94" applyFont="1" applyBorder="1" applyAlignment="1" applyProtection="1">
      <alignment horizontal="center"/>
    </xf>
    <xf numFmtId="168" fontId="109" fillId="0" borderId="0" xfId="94" applyNumberFormat="1" applyFont="1" applyBorder="1" applyAlignment="1" applyProtection="1">
      <alignment horizontal="center"/>
    </xf>
    <xf numFmtId="0" fontId="109" fillId="0" borderId="0" xfId="94" applyFont="1" applyBorder="1" applyAlignment="1" applyProtection="1">
      <alignment horizontal="right"/>
    </xf>
    <xf numFmtId="179" fontId="99" fillId="0" borderId="0" xfId="94" applyNumberFormat="1" applyFill="1" applyBorder="1" applyProtection="1"/>
    <xf numFmtId="0" fontId="127" fillId="0" borderId="34" xfId="94" applyFont="1" applyFill="1" applyBorder="1" applyProtection="1"/>
    <xf numFmtId="14" fontId="99" fillId="0" borderId="133" xfId="94" applyNumberFormat="1" applyFill="1" applyBorder="1" applyProtection="1"/>
    <xf numFmtId="14" fontId="99" fillId="0" borderId="0" xfId="94" applyNumberFormat="1" applyFill="1" applyBorder="1" applyProtection="1"/>
    <xf numFmtId="0" fontId="109" fillId="0" borderId="121" xfId="94" applyFont="1" applyFill="1" applyBorder="1" applyProtection="1"/>
    <xf numFmtId="0" fontId="109" fillId="0" borderId="129" xfId="94" applyFont="1" applyFill="1" applyBorder="1" applyProtection="1"/>
    <xf numFmtId="0" fontId="109" fillId="0" borderId="116" xfId="94" applyFont="1" applyFill="1" applyBorder="1" applyProtection="1"/>
    <xf numFmtId="0" fontId="101" fillId="0" borderId="51" xfId="94" applyFont="1" applyBorder="1" applyProtection="1"/>
    <xf numFmtId="0" fontId="103" fillId="0" borderId="51" xfId="94" applyFont="1" applyFill="1" applyBorder="1" applyProtection="1"/>
    <xf numFmtId="0" fontId="101" fillId="0" borderId="164" xfId="94" applyFont="1" applyFill="1" applyBorder="1" applyProtection="1"/>
    <xf numFmtId="0" fontId="99" fillId="0" borderId="45" xfId="94" applyFill="1" applyBorder="1" applyProtection="1"/>
    <xf numFmtId="0" fontId="109" fillId="0" borderId="180" xfId="94" applyFont="1" applyFill="1" applyBorder="1" applyAlignment="1" applyProtection="1">
      <alignment horizontal="center"/>
    </xf>
    <xf numFmtId="0" fontId="109" fillId="0" borderId="171" xfId="94" applyFont="1" applyFill="1" applyBorder="1" applyAlignment="1" applyProtection="1">
      <alignment horizontal="center"/>
    </xf>
    <xf numFmtId="0" fontId="109" fillId="0" borderId="180" xfId="94" applyFont="1" applyFill="1" applyBorder="1" applyProtection="1"/>
    <xf numFmtId="168" fontId="99" fillId="0" borderId="181" xfId="94" applyNumberFormat="1" applyFont="1" applyFill="1" applyBorder="1" applyProtection="1"/>
    <xf numFmtId="168" fontId="99" fillId="0" borderId="181" xfId="94" applyNumberFormat="1" applyFill="1" applyBorder="1" applyProtection="1"/>
    <xf numFmtId="9" fontId="0" fillId="0" borderId="176" xfId="95" applyFont="1" applyFill="1" applyBorder="1" applyProtection="1"/>
    <xf numFmtId="168" fontId="99" fillId="0" borderId="217" xfId="94" applyNumberFormat="1" applyFill="1" applyBorder="1" applyProtection="1"/>
    <xf numFmtId="9" fontId="0" fillId="0" borderId="174" xfId="95" applyFont="1" applyFill="1" applyBorder="1" applyProtection="1"/>
    <xf numFmtId="0" fontId="99" fillId="0" borderId="185" xfId="94" applyFill="1" applyBorder="1" applyProtection="1"/>
    <xf numFmtId="0" fontId="99" fillId="0" borderId="55" xfId="94" applyFill="1" applyBorder="1" applyProtection="1"/>
    <xf numFmtId="168" fontId="0" fillId="0" borderId="0" xfId="96" applyNumberFormat="1" applyFont="1" applyProtection="1"/>
    <xf numFmtId="0" fontId="99" fillId="0" borderId="51" xfId="94" applyBorder="1" applyAlignment="1" applyProtection="1">
      <alignment horizontal="center"/>
    </xf>
    <xf numFmtId="1" fontId="109" fillId="0" borderId="160" xfId="94" applyNumberFormat="1" applyFont="1" applyBorder="1" applyAlignment="1" applyProtection="1">
      <alignment horizontal="center"/>
    </xf>
    <xf numFmtId="1" fontId="109" fillId="0" borderId="161" xfId="94" applyNumberFormat="1" applyFont="1" applyBorder="1" applyAlignment="1" applyProtection="1">
      <alignment horizontal="center"/>
    </xf>
    <xf numFmtId="1" fontId="109" fillId="0" borderId="162" xfId="94" applyNumberFormat="1" applyFont="1" applyBorder="1" applyAlignment="1" applyProtection="1">
      <alignment horizontal="center"/>
    </xf>
    <xf numFmtId="1" fontId="99" fillId="0" borderId="0" xfId="94" applyNumberFormat="1" applyBorder="1" applyAlignment="1" applyProtection="1">
      <alignment horizontal="center"/>
    </xf>
    <xf numFmtId="37" fontId="99" fillId="0" borderId="111" xfId="94" applyNumberFormat="1" applyBorder="1" applyProtection="1"/>
    <xf numFmtId="37" fontId="99" fillId="0" borderId="0" xfId="94" applyNumberFormat="1" applyBorder="1" applyProtection="1"/>
    <xf numFmtId="37" fontId="99" fillId="0" borderId="122" xfId="94" applyNumberFormat="1" applyBorder="1" applyProtection="1"/>
    <xf numFmtId="37" fontId="99" fillId="0" borderId="136" xfId="94" applyNumberFormat="1" applyBorder="1" applyProtection="1"/>
    <xf numFmtId="37" fontId="99" fillId="0" borderId="116" xfId="94" applyNumberFormat="1" applyBorder="1" applyProtection="1"/>
    <xf numFmtId="37" fontId="99" fillId="0" borderId="37" xfId="94" applyNumberFormat="1" applyBorder="1" applyProtection="1"/>
    <xf numFmtId="0" fontId="101" fillId="0" borderId="0" xfId="94" applyFont="1" applyBorder="1" applyAlignment="1" applyProtection="1">
      <alignment horizontal="centerContinuous"/>
      <protection locked="0"/>
    </xf>
    <xf numFmtId="0" fontId="109" fillId="0" borderId="17" xfId="94" applyFont="1" applyBorder="1" applyAlignment="1" applyProtection="1">
      <alignment horizontal="center"/>
      <protection locked="0"/>
    </xf>
    <xf numFmtId="0" fontId="109" fillId="0" borderId="17" xfId="94" applyFont="1" applyFill="1" applyBorder="1" applyAlignment="1" applyProtection="1">
      <alignment horizontal="center"/>
      <protection locked="0"/>
    </xf>
    <xf numFmtId="0" fontId="109" fillId="56" borderId="17" xfId="94" applyFont="1" applyFill="1" applyBorder="1" applyAlignment="1" applyProtection="1">
      <alignment horizontal="center"/>
      <protection locked="0"/>
    </xf>
    <xf numFmtId="0" fontId="109" fillId="71" borderId="17" xfId="94" applyFont="1" applyFill="1" applyBorder="1" applyAlignment="1" applyProtection="1">
      <alignment horizontal="center"/>
      <protection locked="0"/>
    </xf>
    <xf numFmtId="0" fontId="109" fillId="72" borderId="17" xfId="94" applyFont="1" applyFill="1" applyBorder="1" applyAlignment="1" applyProtection="1">
      <alignment horizontal="center"/>
      <protection locked="0"/>
    </xf>
    <xf numFmtId="0" fontId="109" fillId="0" borderId="121" xfId="94" applyFont="1" applyBorder="1" applyProtection="1">
      <protection locked="0"/>
    </xf>
    <xf numFmtId="168" fontId="0" fillId="0" borderId="121" xfId="96" applyNumberFormat="1" applyFont="1" applyBorder="1" applyProtection="1">
      <protection locked="0"/>
    </xf>
    <xf numFmtId="0" fontId="99" fillId="56" borderId="113" xfId="94" applyFill="1" applyBorder="1" applyProtection="1">
      <protection locked="0"/>
    </xf>
    <xf numFmtId="0" fontId="99" fillId="71" borderId="114" xfId="94" applyFill="1" applyBorder="1" applyProtection="1">
      <protection locked="0"/>
    </xf>
    <xf numFmtId="0" fontId="99" fillId="72" borderId="115" xfId="94" applyFill="1" applyBorder="1" applyProtection="1">
      <protection locked="0"/>
    </xf>
    <xf numFmtId="0" fontId="109" fillId="0" borderId="22" xfId="94" applyFont="1" applyBorder="1" applyProtection="1">
      <protection locked="0"/>
    </xf>
    <xf numFmtId="168" fontId="0" fillId="0" borderId="22" xfId="96" applyNumberFormat="1" applyFont="1" applyBorder="1" applyProtection="1">
      <protection locked="0"/>
    </xf>
    <xf numFmtId="0" fontId="99" fillId="56" borderId="34" xfId="94" applyFill="1" applyBorder="1" applyProtection="1">
      <protection locked="0"/>
    </xf>
    <xf numFmtId="0" fontId="99" fillId="71" borderId="0" xfId="94" applyFill="1" applyBorder="1" applyProtection="1">
      <protection locked="0"/>
    </xf>
    <xf numFmtId="0" fontId="99" fillId="72" borderId="122" xfId="94" applyFill="1" applyBorder="1" applyProtection="1">
      <protection locked="0"/>
    </xf>
    <xf numFmtId="0" fontId="109" fillId="0" borderId="21" xfId="94" applyFont="1" applyBorder="1" applyProtection="1">
      <protection locked="0"/>
    </xf>
    <xf numFmtId="168" fontId="0" fillId="0" borderId="21" xfId="96" applyNumberFormat="1" applyFont="1" applyBorder="1" applyProtection="1">
      <protection locked="0"/>
    </xf>
    <xf numFmtId="0" fontId="99" fillId="56" borderId="32" xfId="94" applyFill="1" applyBorder="1" applyProtection="1">
      <protection locked="0"/>
    </xf>
    <xf numFmtId="0" fontId="99" fillId="71" borderId="116" xfId="94" applyFill="1" applyBorder="1" applyProtection="1">
      <protection locked="0"/>
    </xf>
    <xf numFmtId="0" fontId="99" fillId="72" borderId="37" xfId="94" applyFill="1" applyBorder="1" applyProtection="1">
      <protection locked="0"/>
    </xf>
    <xf numFmtId="0" fontId="99" fillId="48" borderId="118" xfId="94" applyFill="1" applyBorder="1" applyAlignment="1" applyProtection="1">
      <alignment horizontal="centerContinuous"/>
    </xf>
    <xf numFmtId="0" fontId="99" fillId="48" borderId="119" xfId="94" applyFill="1" applyBorder="1" applyAlignment="1" applyProtection="1">
      <alignment horizontal="centerContinuous"/>
    </xf>
    <xf numFmtId="0" fontId="99" fillId="48" borderId="120" xfId="94" applyFill="1" applyBorder="1" applyAlignment="1" applyProtection="1">
      <alignment horizontal="centerContinuous"/>
    </xf>
    <xf numFmtId="0" fontId="111" fillId="0" borderId="0" xfId="94" applyFont="1" applyBorder="1" applyProtection="1"/>
    <xf numFmtId="0" fontId="109" fillId="71" borderId="0" xfId="94" applyFont="1" applyFill="1" applyProtection="1"/>
    <xf numFmtId="0" fontId="109" fillId="58" borderId="0" xfId="94" applyFont="1" applyFill="1" applyProtection="1"/>
    <xf numFmtId="0" fontId="109" fillId="73" borderId="0" xfId="94" applyFont="1" applyFill="1" applyProtection="1"/>
    <xf numFmtId="0" fontId="109" fillId="74" borderId="0" xfId="94" applyFont="1" applyFill="1" applyProtection="1"/>
    <xf numFmtId="0" fontId="109" fillId="75" borderId="0" xfId="94" applyFont="1" applyFill="1" applyProtection="1"/>
    <xf numFmtId="0" fontId="109" fillId="59" borderId="0" xfId="94" applyFont="1" applyFill="1" applyProtection="1"/>
    <xf numFmtId="0" fontId="109" fillId="76" borderId="0" xfId="94" applyFont="1" applyFill="1" applyProtection="1"/>
    <xf numFmtId="0" fontId="109" fillId="55" borderId="0" xfId="94" applyFont="1" applyFill="1" applyProtection="1"/>
    <xf numFmtId="0" fontId="109" fillId="77" borderId="0" xfId="94" applyFont="1" applyFill="1" applyProtection="1"/>
    <xf numFmtId="0" fontId="109" fillId="78" borderId="0" xfId="94" applyFont="1" applyFill="1" applyProtection="1"/>
    <xf numFmtId="0" fontId="109" fillId="79" borderId="0" xfId="94" applyFont="1" applyFill="1" applyProtection="1"/>
    <xf numFmtId="0" fontId="109" fillId="54" borderId="0" xfId="94" applyFont="1" applyFill="1" applyProtection="1"/>
    <xf numFmtId="0" fontId="109" fillId="80" borderId="0" xfId="94" applyFont="1" applyFill="1" applyProtection="1"/>
    <xf numFmtId="0" fontId="109" fillId="81" borderId="0" xfId="94" applyFont="1" applyFill="1" applyProtection="1"/>
    <xf numFmtId="0" fontId="99" fillId="62" borderId="0" xfId="94" applyFill="1" applyProtection="1"/>
    <xf numFmtId="14" fontId="99" fillId="0" borderId="0" xfId="94" applyNumberFormat="1" applyProtection="1"/>
    <xf numFmtId="9" fontId="99" fillId="0" borderId="0" xfId="94" applyNumberFormat="1" applyProtection="1"/>
    <xf numFmtId="43" fontId="0" fillId="0" borderId="0" xfId="96" applyFont="1" applyProtection="1"/>
    <xf numFmtId="9" fontId="0" fillId="0" borderId="0" xfId="95" applyFont="1" applyFill="1" applyProtection="1"/>
    <xf numFmtId="0" fontId="0" fillId="0" borderId="0" xfId="96" applyNumberFormat="1" applyFont="1" applyProtection="1"/>
    <xf numFmtId="8" fontId="99" fillId="0" borderId="0" xfId="94" applyNumberFormat="1" applyProtection="1"/>
    <xf numFmtId="1" fontId="99" fillId="0" borderId="0" xfId="94" applyNumberFormat="1" applyProtection="1"/>
    <xf numFmtId="187" fontId="99" fillId="0" borderId="0" xfId="94" applyNumberFormat="1" applyProtection="1"/>
    <xf numFmtId="0" fontId="99" fillId="63" borderId="116" xfId="94" applyFill="1" applyBorder="1" applyProtection="1"/>
    <xf numFmtId="0" fontId="99" fillId="82" borderId="0" xfId="94" applyFill="1" applyProtection="1"/>
    <xf numFmtId="0" fontId="99" fillId="82" borderId="0" xfId="94" applyFill="1" applyAlignment="1" applyProtection="1">
      <alignment wrapText="1"/>
    </xf>
    <xf numFmtId="0" fontId="109" fillId="0" borderId="118" xfId="94" applyFont="1" applyBorder="1" applyAlignment="1" applyProtection="1">
      <alignment wrapText="1"/>
    </xf>
    <xf numFmtId="0" fontId="109" fillId="0" borderId="17" xfId="94" applyFont="1" applyBorder="1" applyAlignment="1" applyProtection="1">
      <alignment wrapText="1"/>
    </xf>
    <xf numFmtId="0" fontId="99" fillId="0" borderId="120" xfId="94" applyBorder="1" applyAlignment="1" applyProtection="1">
      <alignment wrapText="1"/>
    </xf>
    <xf numFmtId="0" fontId="109" fillId="0" borderId="17" xfId="94" applyFont="1" applyBorder="1" applyAlignment="1" applyProtection="1">
      <alignment horizontal="center" vertical="center" wrapText="1"/>
    </xf>
    <xf numFmtId="0" fontId="109" fillId="0" borderId="118" xfId="94" applyFont="1" applyFill="1" applyBorder="1" applyAlignment="1" applyProtection="1">
      <alignment horizontal="center" vertical="center" wrapText="1"/>
    </xf>
    <xf numFmtId="0" fontId="99" fillId="0" borderId="119" xfId="94" applyFill="1" applyBorder="1" applyAlignment="1" applyProtection="1">
      <alignment horizontal="center" vertical="center" wrapText="1"/>
    </xf>
    <xf numFmtId="0" fontId="99" fillId="0" borderId="120" xfId="94" applyFill="1" applyBorder="1" applyAlignment="1" applyProtection="1">
      <alignment horizontal="center" vertical="center" wrapText="1"/>
    </xf>
    <xf numFmtId="0" fontId="109" fillId="0" borderId="17" xfId="94" applyFont="1" applyFill="1" applyBorder="1" applyAlignment="1" applyProtection="1">
      <alignment horizontal="center" vertical="center" wrapText="1"/>
    </xf>
    <xf numFmtId="9" fontId="109" fillId="0" borderId="17" xfId="95" applyFont="1" applyFill="1" applyBorder="1" applyAlignment="1" applyProtection="1">
      <alignment horizontal="center" vertical="center" wrapText="1"/>
    </xf>
    <xf numFmtId="168" fontId="0" fillId="0" borderId="113" xfId="96" applyNumberFormat="1" applyFont="1" applyBorder="1" applyProtection="1"/>
    <xf numFmtId="168" fontId="0" fillId="0" borderId="114" xfId="96" applyNumberFormat="1" applyFont="1" applyBorder="1" applyProtection="1"/>
    <xf numFmtId="9" fontId="0" fillId="0" borderId="114" xfId="95" applyFont="1" applyBorder="1" applyProtection="1"/>
    <xf numFmtId="9" fontId="0" fillId="0" borderId="115" xfId="95" applyFont="1" applyBorder="1" applyProtection="1"/>
    <xf numFmtId="9" fontId="0" fillId="0" borderId="0" xfId="95" applyFont="1" applyFill="1" applyBorder="1" applyProtection="1"/>
    <xf numFmtId="9" fontId="0" fillId="0" borderId="122" xfId="95" applyFont="1" applyFill="1" applyBorder="1" applyProtection="1"/>
    <xf numFmtId="168" fontId="0" fillId="0" borderId="34" xfId="96" applyNumberFormat="1" applyFont="1" applyBorder="1" applyProtection="1"/>
    <xf numFmtId="9" fontId="0" fillId="0" borderId="0" xfId="95" applyFont="1" applyBorder="1" applyProtection="1"/>
    <xf numFmtId="9" fontId="130" fillId="0" borderId="122" xfId="95" applyFont="1" applyFill="1" applyBorder="1" applyProtection="1"/>
    <xf numFmtId="9" fontId="109" fillId="0" borderId="122" xfId="95" applyFont="1" applyFill="1" applyBorder="1" applyProtection="1"/>
    <xf numFmtId="0" fontId="99" fillId="0" borderId="121" xfId="94" applyFont="1" applyBorder="1" applyProtection="1"/>
    <xf numFmtId="0" fontId="99" fillId="0" borderId="22" xfId="94" applyFont="1" applyBorder="1" applyProtection="1"/>
    <xf numFmtId="9" fontId="0" fillId="0" borderId="122" xfId="95" applyFont="1" applyBorder="1" applyProtection="1"/>
    <xf numFmtId="0" fontId="99" fillId="0" borderId="22" xfId="94" quotePrefix="1" applyBorder="1" applyProtection="1"/>
    <xf numFmtId="0" fontId="99" fillId="0" borderId="21" xfId="94" quotePrefix="1" applyBorder="1" applyProtection="1"/>
    <xf numFmtId="0" fontId="99" fillId="0" borderId="21" xfId="94" applyFont="1" applyBorder="1" applyProtection="1"/>
    <xf numFmtId="168" fontId="0" fillId="0" borderId="32" xfId="96" applyNumberFormat="1" applyFont="1" applyBorder="1" applyProtection="1"/>
    <xf numFmtId="168" fontId="0" fillId="0" borderId="116" xfId="96" applyNumberFormat="1" applyFont="1" applyBorder="1" applyProtection="1"/>
    <xf numFmtId="9" fontId="0" fillId="0" borderId="116" xfId="95" applyFont="1" applyBorder="1" applyProtection="1"/>
    <xf numFmtId="9" fontId="0" fillId="0" borderId="37" xfId="95" applyFont="1" applyBorder="1" applyProtection="1"/>
    <xf numFmtId="0" fontId="99" fillId="73" borderId="121" xfId="94" applyFill="1" applyBorder="1" applyProtection="1"/>
    <xf numFmtId="0" fontId="99" fillId="73" borderId="115" xfId="94" applyFill="1" applyBorder="1" applyProtection="1"/>
    <xf numFmtId="0" fontId="109" fillId="0" borderId="118" xfId="94" applyFont="1" applyBorder="1"/>
    <xf numFmtId="0" fontId="99" fillId="0" borderId="120" xfId="94" applyBorder="1"/>
    <xf numFmtId="0" fontId="99" fillId="73" borderId="22" xfId="94" applyFill="1" applyBorder="1" applyProtection="1"/>
    <xf numFmtId="0" fontId="99" fillId="73" borderId="122" xfId="94" applyFill="1" applyBorder="1" applyProtection="1"/>
    <xf numFmtId="0" fontId="99" fillId="0" borderId="113" xfId="94" applyBorder="1"/>
    <xf numFmtId="9" fontId="99" fillId="0" borderId="115" xfId="94" applyNumberFormat="1" applyBorder="1"/>
    <xf numFmtId="0" fontId="99" fillId="0" borderId="34" xfId="94" applyBorder="1"/>
    <xf numFmtId="9" fontId="99" fillId="0" borderId="122" xfId="94" applyNumberFormat="1" applyBorder="1"/>
    <xf numFmtId="0" fontId="109" fillId="0" borderId="129" xfId="94" applyFont="1" applyBorder="1" applyAlignment="1" applyProtection="1">
      <alignment horizontal="center"/>
    </xf>
    <xf numFmtId="0" fontId="101" fillId="0" borderId="129" xfId="94" applyFont="1" applyBorder="1" applyAlignment="1" applyProtection="1">
      <alignment horizontal="center"/>
    </xf>
    <xf numFmtId="0" fontId="101" fillId="0" borderId="172" xfId="94" applyFont="1" applyBorder="1" applyAlignment="1" applyProtection="1">
      <alignment horizontal="center"/>
    </xf>
    <xf numFmtId="0" fontId="101" fillId="0" borderId="130" xfId="94" applyFont="1" applyBorder="1" applyAlignment="1" applyProtection="1">
      <alignment horizontal="center"/>
    </xf>
    <xf numFmtId="0" fontId="101" fillId="0" borderId="131" xfId="94" applyFont="1" applyBorder="1" applyAlignment="1" applyProtection="1">
      <alignment horizontal="center"/>
    </xf>
    <xf numFmtId="168" fontId="0" fillId="0" borderId="0" xfId="96" applyNumberFormat="1" applyFont="1" applyBorder="1" applyAlignment="1" applyProtection="1">
      <alignment vertical="center"/>
    </xf>
    <xf numFmtId="168" fontId="0" fillId="0" borderId="112" xfId="96" applyNumberFormat="1" applyFont="1" applyBorder="1" applyAlignment="1" applyProtection="1">
      <alignment vertical="center"/>
    </xf>
    <xf numFmtId="0" fontId="109" fillId="0" borderId="111" xfId="94" applyFont="1" applyBorder="1" applyAlignment="1" applyProtection="1">
      <alignment horizontal="right"/>
    </xf>
    <xf numFmtId="168" fontId="0" fillId="0" borderId="122" xfId="96" applyNumberFormat="1" applyFont="1" applyBorder="1" applyAlignment="1" applyProtection="1">
      <alignment vertical="center"/>
    </xf>
    <xf numFmtId="0" fontId="99" fillId="0" borderId="32" xfId="94" applyBorder="1"/>
    <xf numFmtId="9" fontId="99" fillId="0" borderId="37" xfId="94" applyNumberFormat="1" applyBorder="1"/>
    <xf numFmtId="0" fontId="109" fillId="0" borderId="133" xfId="94" applyFont="1" applyBorder="1" applyAlignment="1" applyProtection="1">
      <alignment horizontal="right"/>
    </xf>
    <xf numFmtId="168" fontId="0" fillId="0" borderId="133" xfId="96" applyNumberFormat="1" applyFont="1" applyBorder="1" applyAlignment="1" applyProtection="1">
      <alignment vertical="center"/>
    </xf>
    <xf numFmtId="168" fontId="0" fillId="0" borderId="173" xfId="96" applyNumberFormat="1" applyFont="1" applyBorder="1" applyAlignment="1" applyProtection="1">
      <alignment vertical="center"/>
    </xf>
    <xf numFmtId="0" fontId="99" fillId="73" borderId="21" xfId="94" applyFill="1" applyBorder="1" applyProtection="1"/>
    <xf numFmtId="0" fontId="99" fillId="73" borderId="37" xfId="94" applyFill="1" applyBorder="1" applyProtection="1"/>
    <xf numFmtId="0" fontId="130" fillId="0" borderId="32" xfId="94" applyFont="1" applyBorder="1" applyProtection="1"/>
    <xf numFmtId="0" fontId="109" fillId="0" borderId="136" xfId="94" applyFont="1" applyBorder="1" applyAlignment="1" applyProtection="1">
      <alignment horizontal="right"/>
    </xf>
    <xf numFmtId="168" fontId="0" fillId="0" borderId="37" xfId="96" applyNumberFormat="1" applyFont="1" applyBorder="1" applyAlignment="1" applyProtection="1">
      <alignment vertical="center"/>
    </xf>
    <xf numFmtId="0" fontId="99" fillId="0" borderId="119" xfId="94" applyFill="1" applyBorder="1" applyProtection="1"/>
    <xf numFmtId="0" fontId="99" fillId="0" borderId="34" xfId="94" applyBorder="1" applyAlignment="1" applyProtection="1">
      <alignment horizontal="center"/>
    </xf>
    <xf numFmtId="0" fontId="99" fillId="0" borderId="32" xfId="94" applyBorder="1" applyAlignment="1" applyProtection="1">
      <alignment horizontal="center"/>
    </xf>
    <xf numFmtId="0" fontId="109" fillId="0" borderId="116" xfId="94" applyFont="1" applyFill="1" applyBorder="1" applyAlignment="1" applyProtection="1">
      <alignment horizontal="center"/>
    </xf>
    <xf numFmtId="0" fontId="99" fillId="73" borderId="0" xfId="94" applyFill="1" applyBorder="1" applyProtection="1"/>
    <xf numFmtId="43" fontId="152" fillId="58" borderId="32" xfId="28" applyFont="1" applyFill="1" applyBorder="1" applyAlignment="1" applyProtection="1">
      <alignment horizontal="right" vertical="center"/>
      <protection locked="0"/>
    </xf>
    <xf numFmtId="43" fontId="0" fillId="37" borderId="0" xfId="0" applyNumberFormat="1" applyFill="1"/>
    <xf numFmtId="43" fontId="119" fillId="65" borderId="0" xfId="96" applyNumberFormat="1" applyFont="1" applyFill="1" applyBorder="1" applyAlignment="1" applyProtection="1">
      <alignment horizontal="center" vertical="center"/>
      <protection locked="0"/>
    </xf>
    <xf numFmtId="44" fontId="3" fillId="0" borderId="0" xfId="0" applyNumberFormat="1" applyFont="1"/>
    <xf numFmtId="42" fontId="6" fillId="0" borderId="0" xfId="0" applyNumberFormat="1" applyFont="1" applyFill="1"/>
    <xf numFmtId="44" fontId="6" fillId="0" borderId="0" xfId="0" applyNumberFormat="1" applyFont="1" applyFill="1"/>
    <xf numFmtId="37" fontId="123" fillId="51" borderId="0" xfId="94" applyNumberFormat="1" applyFont="1" applyFill="1" applyBorder="1" applyAlignment="1" applyProtection="1">
      <alignment horizontal="center" vertical="center"/>
    </xf>
    <xf numFmtId="43" fontId="95" fillId="0" borderId="7" xfId="28" applyFont="1" applyFill="1" applyBorder="1" applyAlignment="1">
      <alignment horizontal="right"/>
    </xf>
    <xf numFmtId="166" fontId="95" fillId="57" borderId="253" xfId="52" applyNumberFormat="1" applyFont="1" applyFill="1" applyBorder="1" applyAlignment="1">
      <alignment horizontal="right"/>
    </xf>
    <xf numFmtId="9" fontId="95" fillId="0" borderId="0" xfId="52" applyFont="1" applyFill="1" applyBorder="1" applyAlignment="1">
      <alignment horizontal="right"/>
    </xf>
    <xf numFmtId="9" fontId="95" fillId="0" borderId="253" xfId="52" applyFont="1" applyFill="1" applyBorder="1" applyAlignment="1">
      <alignment horizontal="right"/>
    </xf>
    <xf numFmtId="168" fontId="94" fillId="0" borderId="0" xfId="28" applyNumberFormat="1" applyFont="1"/>
    <xf numFmtId="168" fontId="0" fillId="53" borderId="254" xfId="28" applyNumberFormat="1" applyFont="1" applyFill="1" applyBorder="1" applyAlignment="1">
      <alignment horizontal="center"/>
    </xf>
    <xf numFmtId="43" fontId="0" fillId="33" borderId="254" xfId="28" applyFont="1" applyFill="1" applyBorder="1" applyAlignment="1">
      <alignment horizontal="center"/>
    </xf>
    <xf numFmtId="43" fontId="0" fillId="33" borderId="253" xfId="28" applyFont="1" applyFill="1" applyBorder="1" applyAlignment="1">
      <alignment horizontal="center"/>
    </xf>
    <xf numFmtId="168" fontId="6" fillId="0" borderId="0" xfId="28" applyNumberFormat="1" applyFont="1" applyFill="1" applyAlignment="1">
      <alignment horizontal="center"/>
    </xf>
    <xf numFmtId="168" fontId="6" fillId="0" borderId="0" xfId="28" applyNumberFormat="1" applyFont="1"/>
    <xf numFmtId="37" fontId="123" fillId="56" borderId="111" xfId="94" applyNumberFormat="1" applyFont="1" applyFill="1" applyBorder="1" applyAlignment="1" applyProtection="1">
      <alignment horizontal="center" vertical="center"/>
    </xf>
    <xf numFmtId="37" fontId="123" fillId="56" borderId="0" xfId="94" applyNumberFormat="1" applyFont="1" applyFill="1" applyBorder="1" applyAlignment="1" applyProtection="1">
      <alignment horizontal="center" vertical="center"/>
    </xf>
    <xf numFmtId="37" fontId="123" fillId="56" borderId="122" xfId="94" applyNumberFormat="1" applyFont="1" applyFill="1" applyBorder="1" applyAlignment="1" applyProtection="1">
      <alignment horizontal="center" vertical="center"/>
    </xf>
    <xf numFmtId="42" fontId="3" fillId="0" borderId="0" xfId="29" applyNumberFormat="1" applyFont="1" applyFill="1"/>
    <xf numFmtId="0" fontId="6" fillId="0" borderId="0" xfId="48" applyFont="1" applyFill="1"/>
    <xf numFmtId="168" fontId="97" fillId="49" borderId="254" xfId="28" applyNumberFormat="1" applyFont="1" applyFill="1" applyBorder="1" applyAlignment="1">
      <alignment horizontal="center"/>
    </xf>
    <xf numFmtId="43" fontId="97" fillId="33" borderId="253" xfId="28" applyFont="1" applyFill="1" applyBorder="1" applyAlignment="1">
      <alignment horizontal="center"/>
    </xf>
    <xf numFmtId="0" fontId="93" fillId="51" borderId="0" xfId="0" applyFont="1" applyFill="1"/>
    <xf numFmtId="9" fontId="96" fillId="56" borderId="253" xfId="52" applyFont="1" applyFill="1" applyBorder="1" applyAlignment="1">
      <alignment horizontal="right"/>
    </xf>
    <xf numFmtId="9" fontId="96" fillId="56" borderId="253" xfId="52" applyNumberFormat="1" applyFont="1" applyFill="1" applyBorder="1" applyAlignment="1">
      <alignment horizontal="right"/>
    </xf>
    <xf numFmtId="9" fontId="161" fillId="65" borderId="7" xfId="52" applyNumberFormat="1" applyFont="1" applyFill="1" applyBorder="1" applyAlignment="1">
      <alignment horizontal="right"/>
    </xf>
    <xf numFmtId="10" fontId="3" fillId="52" borderId="0" xfId="48" applyNumberFormat="1" applyFont="1" applyFill="1"/>
    <xf numFmtId="3" fontId="93" fillId="0" borderId="0" xfId="0" applyNumberFormat="1" applyFont="1"/>
    <xf numFmtId="9" fontId="93" fillId="0" borderId="0" xfId="0" applyNumberFormat="1" applyFont="1"/>
    <xf numFmtId="3" fontId="93" fillId="0" borderId="0" xfId="0" applyNumberFormat="1" applyFont="1" applyFill="1"/>
    <xf numFmtId="41" fontId="93" fillId="56" borderId="7" xfId="28" applyNumberFormat="1" applyFont="1" applyFill="1" applyBorder="1" applyAlignment="1">
      <alignment horizontal="right"/>
    </xf>
    <xf numFmtId="168" fontId="95" fillId="83" borderId="7" xfId="28" applyNumberFormat="1" applyFont="1" applyFill="1" applyBorder="1" applyAlignment="1">
      <alignment horizontal="right"/>
    </xf>
    <xf numFmtId="9" fontId="162" fillId="50" borderId="7" xfId="52" applyFont="1" applyFill="1" applyBorder="1" applyAlignment="1">
      <alignment horizontal="right"/>
    </xf>
    <xf numFmtId="9" fontId="162" fillId="84" borderId="7" xfId="52" applyFont="1" applyFill="1" applyBorder="1" applyAlignment="1">
      <alignment horizontal="right"/>
    </xf>
    <xf numFmtId="169" fontId="94" fillId="48" borderId="0" xfId="29" applyNumberFormat="1" applyFont="1" applyFill="1"/>
    <xf numFmtId="0" fontId="99" fillId="0" borderId="0" xfId="94" applyAlignment="1" applyProtection="1">
      <alignment horizontal="left" wrapText="1"/>
    </xf>
    <xf numFmtId="0" fontId="99" fillId="0" borderId="0" xfId="94" applyAlignment="1" applyProtection="1">
      <alignment horizontal="left"/>
    </xf>
    <xf numFmtId="0" fontId="99" fillId="0" borderId="0" xfId="94" applyProtection="1"/>
    <xf numFmtId="0" fontId="99" fillId="0" borderId="0" xfId="94" applyAlignment="1" applyProtection="1">
      <alignment wrapText="1"/>
    </xf>
    <xf numFmtId="0" fontId="99" fillId="0" borderId="0" xfId="94" applyFill="1" applyProtection="1"/>
    <xf numFmtId="0" fontId="99" fillId="0" borderId="0" xfId="94" applyFill="1" applyBorder="1" applyAlignment="1" applyProtection="1">
      <alignment wrapText="1"/>
    </xf>
    <xf numFmtId="0" fontId="99" fillId="0" borderId="0" xfId="94" applyFill="1" applyBorder="1" applyProtection="1"/>
    <xf numFmtId="0" fontId="99" fillId="58" borderId="42" xfId="94" applyFill="1" applyBorder="1" applyAlignment="1" applyProtection="1">
      <alignment horizontal="center"/>
    </xf>
    <xf numFmtId="0" fontId="99" fillId="58" borderId="44" xfId="94" applyFill="1" applyBorder="1" applyAlignment="1" applyProtection="1">
      <alignment horizontal="center"/>
    </xf>
    <xf numFmtId="0" fontId="102" fillId="59" borderId="42" xfId="94" applyFont="1" applyFill="1" applyBorder="1" applyAlignment="1" applyProtection="1">
      <alignment horizontal="center" vertical="center"/>
    </xf>
    <xf numFmtId="0" fontId="102" fillId="59" borderId="44" xfId="94" applyFont="1" applyFill="1" applyBorder="1" applyAlignment="1" applyProtection="1">
      <alignment horizontal="center" vertical="center"/>
    </xf>
    <xf numFmtId="0" fontId="99" fillId="60" borderId="42" xfId="94" applyFill="1" applyBorder="1" applyAlignment="1" applyProtection="1">
      <alignment horizontal="center"/>
    </xf>
    <xf numFmtId="0" fontId="99" fillId="60" borderId="44" xfId="94" applyFill="1" applyBorder="1" applyAlignment="1" applyProtection="1">
      <alignment horizontal="center"/>
    </xf>
    <xf numFmtId="0" fontId="99" fillId="57" borderId="42" xfId="94" applyFill="1" applyBorder="1" applyAlignment="1" applyProtection="1">
      <alignment horizontal="center"/>
    </xf>
    <xf numFmtId="0" fontId="99" fillId="57" borderId="44" xfId="94" applyFill="1" applyBorder="1" applyAlignment="1" applyProtection="1">
      <alignment horizontal="center"/>
    </xf>
    <xf numFmtId="0" fontId="99" fillId="0" borderId="0" xfId="94" applyFill="1" applyAlignment="1" applyProtection="1">
      <alignment horizontal="left" wrapText="1"/>
    </xf>
    <xf numFmtId="0" fontId="104" fillId="0" borderId="0" xfId="94" applyFont="1" applyProtection="1"/>
    <xf numFmtId="0" fontId="99" fillId="0" borderId="0" xfId="94" applyFill="1" applyAlignment="1" applyProtection="1">
      <alignment wrapText="1"/>
    </xf>
    <xf numFmtId="0" fontId="104" fillId="0" borderId="0" xfId="94" applyFont="1" applyAlignment="1" applyProtection="1">
      <alignment wrapText="1"/>
    </xf>
    <xf numFmtId="0" fontId="99" fillId="0" borderId="0" xfId="94" applyFont="1" applyAlignment="1" applyProtection="1">
      <alignment wrapText="1"/>
    </xf>
    <xf numFmtId="0" fontId="99" fillId="0" borderId="0" xfId="94" applyAlignment="1" applyProtection="1">
      <alignment horizontal="center" vertical="center"/>
    </xf>
    <xf numFmtId="0" fontId="99" fillId="0" borderId="111" xfId="94" applyBorder="1" applyAlignment="1" applyProtection="1">
      <alignment horizontal="center" vertical="center"/>
    </xf>
    <xf numFmtId="0" fontId="99" fillId="0" borderId="112" xfId="94" applyBorder="1" applyAlignment="1" applyProtection="1">
      <alignment horizontal="center" vertical="center"/>
    </xf>
    <xf numFmtId="0" fontId="99" fillId="0" borderId="0" xfId="94" quotePrefix="1" applyAlignment="1" applyProtection="1">
      <alignment wrapText="1"/>
    </xf>
    <xf numFmtId="0" fontId="99" fillId="0" borderId="0" xfId="94" applyAlignment="1" applyProtection="1">
      <alignment vertical="center" wrapText="1"/>
    </xf>
    <xf numFmtId="0" fontId="101" fillId="0" borderId="0" xfId="94" applyFont="1" applyAlignment="1" applyProtection="1">
      <alignment horizontal="left"/>
    </xf>
    <xf numFmtId="0" fontId="99" fillId="60" borderId="113" xfId="94" applyFont="1" applyFill="1" applyBorder="1" applyAlignment="1" applyProtection="1">
      <alignment horizontal="center"/>
      <protection locked="0"/>
    </xf>
    <xf numFmtId="0" fontId="99" fillId="60" borderId="114" xfId="94" applyFont="1" applyFill="1" applyBorder="1" applyAlignment="1" applyProtection="1">
      <alignment horizontal="center"/>
      <protection locked="0"/>
    </xf>
    <xf numFmtId="0" fontId="99" fillId="60" borderId="115" xfId="94" applyFont="1" applyFill="1" applyBorder="1" applyAlignment="1" applyProtection="1">
      <alignment horizontal="center"/>
      <protection locked="0"/>
    </xf>
    <xf numFmtId="0" fontId="99" fillId="60" borderId="32" xfId="94" applyFont="1" applyFill="1" applyBorder="1" applyAlignment="1" applyProtection="1">
      <alignment horizontal="center"/>
      <protection locked="0"/>
    </xf>
    <xf numFmtId="0" fontId="99" fillId="60" borderId="116" xfId="94" applyFont="1" applyFill="1" applyBorder="1" applyAlignment="1" applyProtection="1">
      <alignment horizontal="center"/>
      <protection locked="0"/>
    </xf>
    <xf numFmtId="0" fontId="99" fillId="60" borderId="37" xfId="94" applyFont="1" applyFill="1" applyBorder="1" applyAlignment="1" applyProtection="1">
      <alignment horizontal="center"/>
      <protection locked="0"/>
    </xf>
    <xf numFmtId="0" fontId="99" fillId="60" borderId="118" xfId="94" applyFill="1" applyBorder="1" applyAlignment="1" applyProtection="1">
      <alignment horizontal="left"/>
      <protection locked="0"/>
    </xf>
    <xf numFmtId="0" fontId="99" fillId="60" borderId="119" xfId="94" applyFill="1" applyBorder="1" applyAlignment="1" applyProtection="1">
      <alignment horizontal="left"/>
      <protection locked="0"/>
    </xf>
    <xf numFmtId="0" fontId="99" fillId="60" borderId="120" xfId="94" applyFill="1" applyBorder="1" applyAlignment="1" applyProtection="1">
      <alignment horizontal="left"/>
      <protection locked="0"/>
    </xf>
    <xf numFmtId="0" fontId="99" fillId="60" borderId="118" xfId="94" applyFill="1" applyBorder="1" applyAlignment="1" applyProtection="1">
      <alignment horizontal="center"/>
      <protection locked="0"/>
    </xf>
    <xf numFmtId="0" fontId="99" fillId="60" borderId="119" xfId="94" applyFill="1" applyBorder="1" applyAlignment="1" applyProtection="1">
      <alignment horizontal="center"/>
      <protection locked="0"/>
    </xf>
    <xf numFmtId="0" fontId="99" fillId="60" borderId="120" xfId="94" applyFill="1" applyBorder="1" applyAlignment="1" applyProtection="1">
      <alignment horizontal="center"/>
      <protection locked="0"/>
    </xf>
    <xf numFmtId="0" fontId="109" fillId="0" borderId="121" xfId="94" applyFont="1" applyBorder="1" applyAlignment="1" applyProtection="1">
      <alignment horizontal="center" vertical="center"/>
    </xf>
    <xf numFmtId="0" fontId="109" fillId="0" borderId="22" xfId="94" applyFont="1" applyBorder="1" applyAlignment="1" applyProtection="1">
      <alignment horizontal="center" vertical="center"/>
    </xf>
    <xf numFmtId="0" fontId="109" fillId="0" borderId="21" xfId="94" applyFont="1" applyBorder="1" applyAlignment="1" applyProtection="1">
      <alignment horizontal="center" vertical="center"/>
    </xf>
    <xf numFmtId="0" fontId="109" fillId="0" borderId="118" xfId="94" applyFont="1" applyFill="1" applyBorder="1" applyAlignment="1" applyProtection="1">
      <alignment horizontal="center"/>
    </xf>
    <xf numFmtId="0" fontId="109" fillId="0" borderId="119" xfId="94" applyFont="1" applyFill="1" applyBorder="1" applyAlignment="1" applyProtection="1">
      <alignment horizontal="center"/>
    </xf>
    <xf numFmtId="0" fontId="109" fillId="0" borderId="120" xfId="94" applyFont="1" applyFill="1" applyBorder="1" applyAlignment="1" applyProtection="1">
      <alignment horizontal="center"/>
    </xf>
    <xf numFmtId="0" fontId="110" fillId="60" borderId="113" xfId="94" applyFont="1" applyFill="1" applyBorder="1" applyAlignment="1" applyProtection="1">
      <alignment horizontal="center" vertical="center" wrapText="1"/>
      <protection locked="0"/>
    </xf>
    <xf numFmtId="0" fontId="110" fillId="60" borderId="114" xfId="94" applyFont="1" applyFill="1" applyBorder="1" applyAlignment="1" applyProtection="1">
      <alignment horizontal="center" vertical="center" wrapText="1"/>
      <protection locked="0"/>
    </xf>
    <xf numFmtId="0" fontId="110" fillId="60" borderId="115" xfId="94" applyFont="1" applyFill="1" applyBorder="1" applyAlignment="1" applyProtection="1">
      <alignment horizontal="center" vertical="center" wrapText="1"/>
      <protection locked="0"/>
    </xf>
    <xf numFmtId="0" fontId="110" fillId="60" borderId="34" xfId="94" applyFont="1" applyFill="1" applyBorder="1" applyAlignment="1" applyProtection="1">
      <alignment horizontal="center" vertical="center" wrapText="1"/>
      <protection locked="0"/>
    </xf>
    <xf numFmtId="0" fontId="110" fillId="60" borderId="0" xfId="94" applyFont="1" applyFill="1" applyBorder="1" applyAlignment="1" applyProtection="1">
      <alignment horizontal="center" vertical="center" wrapText="1"/>
      <protection locked="0"/>
    </xf>
    <xf numFmtId="0" fontId="110" fillId="60" borderId="122" xfId="94" applyFont="1" applyFill="1" applyBorder="1" applyAlignment="1" applyProtection="1">
      <alignment horizontal="center" vertical="center" wrapText="1"/>
      <protection locked="0"/>
    </xf>
    <xf numFmtId="0" fontId="110" fillId="60" borderId="32" xfId="94" applyFont="1" applyFill="1" applyBorder="1" applyAlignment="1" applyProtection="1">
      <alignment horizontal="center" vertical="center" wrapText="1"/>
      <protection locked="0"/>
    </xf>
    <xf numFmtId="0" fontId="110" fillId="60" borderId="116" xfId="94" applyFont="1" applyFill="1" applyBorder="1" applyAlignment="1" applyProtection="1">
      <alignment horizontal="center" vertical="center" wrapText="1"/>
      <protection locked="0"/>
    </xf>
    <xf numFmtId="0" fontId="110" fillId="60" borderId="37" xfId="94" applyFont="1" applyFill="1" applyBorder="1" applyAlignment="1" applyProtection="1">
      <alignment horizontal="center" vertical="center" wrapText="1"/>
      <protection locked="0"/>
    </xf>
    <xf numFmtId="0" fontId="99" fillId="60" borderId="113" xfId="94" applyFill="1" applyBorder="1" applyAlignment="1" applyProtection="1">
      <alignment horizontal="center"/>
      <protection locked="0"/>
    </xf>
    <xf numFmtId="0" fontId="99" fillId="60" borderId="115" xfId="94" applyFill="1" applyBorder="1" applyAlignment="1" applyProtection="1">
      <alignment horizontal="center"/>
      <protection locked="0"/>
    </xf>
    <xf numFmtId="0" fontId="99" fillId="60" borderId="34" xfId="94" applyFill="1" applyBorder="1" applyAlignment="1" applyProtection="1">
      <alignment horizontal="center"/>
      <protection locked="0"/>
    </xf>
    <xf numFmtId="0" fontId="99" fillId="60" borderId="122" xfId="94" applyFill="1" applyBorder="1" applyAlignment="1" applyProtection="1">
      <alignment horizontal="center"/>
      <protection locked="0"/>
    </xf>
    <xf numFmtId="0" fontId="99" fillId="60" borderId="32" xfId="94" applyFill="1" applyBorder="1" applyAlignment="1" applyProtection="1">
      <alignment horizontal="center"/>
      <protection locked="0"/>
    </xf>
    <xf numFmtId="0" fontId="99" fillId="60" borderId="37" xfId="94" applyFill="1" applyBorder="1" applyAlignment="1" applyProtection="1">
      <alignment horizontal="center"/>
      <protection locked="0"/>
    </xf>
    <xf numFmtId="0" fontId="109" fillId="0" borderId="113" xfId="94" applyFont="1" applyBorder="1" applyAlignment="1" applyProtection="1">
      <alignment horizontal="center"/>
    </xf>
    <xf numFmtId="0" fontId="109" fillId="0" borderId="114" xfId="94" applyFont="1" applyBorder="1" applyAlignment="1" applyProtection="1">
      <alignment horizontal="center"/>
    </xf>
    <xf numFmtId="0" fontId="109" fillId="0" borderId="115" xfId="94" applyFont="1" applyBorder="1" applyAlignment="1" applyProtection="1">
      <alignment horizontal="center"/>
    </xf>
    <xf numFmtId="0" fontId="99" fillId="60" borderId="125" xfId="94" applyFill="1" applyBorder="1" applyAlignment="1" applyProtection="1">
      <alignment horizontal="left"/>
      <protection locked="0"/>
    </xf>
    <xf numFmtId="0" fontId="99" fillId="60" borderId="126" xfId="94" applyFill="1" applyBorder="1" applyAlignment="1" applyProtection="1">
      <alignment horizontal="left"/>
      <protection locked="0"/>
    </xf>
    <xf numFmtId="0" fontId="99" fillId="60" borderId="127" xfId="94" applyFill="1" applyBorder="1" applyAlignment="1" applyProtection="1">
      <alignment horizontal="left"/>
      <protection locked="0"/>
    </xf>
    <xf numFmtId="0" fontId="99" fillId="60" borderId="34" xfId="94" applyFill="1" applyBorder="1" applyAlignment="1" applyProtection="1">
      <alignment horizontal="left"/>
      <protection locked="0"/>
    </xf>
    <xf numFmtId="0" fontId="99" fillId="60" borderId="0" xfId="94" applyFill="1" applyBorder="1" applyAlignment="1" applyProtection="1">
      <alignment horizontal="left"/>
      <protection locked="0"/>
    </xf>
    <xf numFmtId="0" fontId="99" fillId="60" borderId="122" xfId="94" applyFill="1" applyBorder="1" applyAlignment="1" applyProtection="1">
      <alignment horizontal="left"/>
      <protection locked="0"/>
    </xf>
    <xf numFmtId="0" fontId="99" fillId="60" borderId="32" xfId="94" applyFill="1" applyBorder="1" applyAlignment="1" applyProtection="1">
      <alignment horizontal="left"/>
      <protection locked="0"/>
    </xf>
    <xf numFmtId="0" fontId="99" fillId="60" borderId="116" xfId="94" applyFill="1" applyBorder="1" applyAlignment="1" applyProtection="1">
      <alignment horizontal="left"/>
      <protection locked="0"/>
    </xf>
    <xf numFmtId="0" fontId="99" fillId="60" borderId="37" xfId="94" applyFill="1" applyBorder="1" applyAlignment="1" applyProtection="1">
      <alignment horizontal="left"/>
      <protection locked="0"/>
    </xf>
    <xf numFmtId="0" fontId="103" fillId="60" borderId="118" xfId="94" applyFont="1" applyFill="1" applyBorder="1" applyAlignment="1" applyProtection="1">
      <alignment horizontal="left"/>
      <protection locked="0"/>
    </xf>
    <xf numFmtId="0" fontId="103" fillId="60" borderId="119" xfId="94" applyFont="1" applyFill="1" applyBorder="1" applyAlignment="1" applyProtection="1">
      <alignment horizontal="left"/>
      <protection locked="0"/>
    </xf>
    <xf numFmtId="0" fontId="103" fillId="60" borderId="120" xfId="94" applyFont="1" applyFill="1" applyBorder="1" applyAlignment="1" applyProtection="1">
      <alignment horizontal="left"/>
      <protection locked="0"/>
    </xf>
    <xf numFmtId="9" fontId="99" fillId="60" borderId="114" xfId="94" applyNumberFormat="1" applyFill="1" applyBorder="1" applyAlignment="1" applyProtection="1">
      <alignment horizontal="center"/>
      <protection locked="0"/>
    </xf>
    <xf numFmtId="9" fontId="99" fillId="60" borderId="115" xfId="94" applyNumberFormat="1" applyFill="1" applyBorder="1" applyAlignment="1" applyProtection="1">
      <alignment horizontal="center"/>
      <protection locked="0"/>
    </xf>
    <xf numFmtId="9" fontId="99" fillId="60" borderId="119" xfId="94" applyNumberFormat="1" applyFill="1" applyBorder="1" applyAlignment="1" applyProtection="1">
      <alignment horizontal="center"/>
      <protection locked="0"/>
    </xf>
    <xf numFmtId="9" fontId="99" fillId="60" borderId="120" xfId="94" applyNumberFormat="1" applyFill="1" applyBorder="1" applyAlignment="1" applyProtection="1">
      <alignment horizontal="center"/>
      <protection locked="0"/>
    </xf>
    <xf numFmtId="9" fontId="99" fillId="60" borderId="118" xfId="94" applyNumberFormat="1" applyFill="1" applyBorder="1" applyAlignment="1" applyProtection="1">
      <alignment horizontal="center"/>
      <protection locked="0"/>
    </xf>
    <xf numFmtId="49" fontId="109" fillId="0" borderId="118" xfId="94" applyNumberFormat="1" applyFont="1" applyBorder="1" applyAlignment="1" applyProtection="1">
      <alignment horizontal="center"/>
    </xf>
    <xf numFmtId="49" fontId="109" fillId="0" borderId="120" xfId="94" applyNumberFormat="1" applyFont="1" applyBorder="1" applyAlignment="1" applyProtection="1">
      <alignment horizontal="center"/>
    </xf>
    <xf numFmtId="49" fontId="109" fillId="0" borderId="118" xfId="94" applyNumberFormat="1" applyFont="1" applyFill="1" applyBorder="1" applyAlignment="1" applyProtection="1">
      <alignment horizontal="center"/>
    </xf>
    <xf numFmtId="49" fontId="109" fillId="0" borderId="119" xfId="94" applyNumberFormat="1" applyFont="1" applyFill="1" applyBorder="1" applyAlignment="1" applyProtection="1">
      <alignment horizontal="center"/>
    </xf>
    <xf numFmtId="49" fontId="109" fillId="0" borderId="120" xfId="94" applyNumberFormat="1" applyFont="1" applyFill="1" applyBorder="1" applyAlignment="1" applyProtection="1">
      <alignment horizontal="center"/>
    </xf>
    <xf numFmtId="49" fontId="109" fillId="0" borderId="119" xfId="94" applyNumberFormat="1" applyFont="1" applyBorder="1" applyAlignment="1" applyProtection="1">
      <alignment horizontal="center"/>
    </xf>
    <xf numFmtId="0" fontId="109" fillId="0" borderId="118" xfId="94" applyNumberFormat="1" applyFont="1" applyBorder="1" applyAlignment="1" applyProtection="1">
      <alignment horizontal="center"/>
    </xf>
    <xf numFmtId="0" fontId="109" fillId="0" borderId="120" xfId="94" applyNumberFormat="1" applyFont="1" applyBorder="1" applyAlignment="1" applyProtection="1">
      <alignment horizontal="center"/>
    </xf>
    <xf numFmtId="9" fontId="0" fillId="60" borderId="118" xfId="95" applyFont="1" applyFill="1" applyBorder="1" applyAlignment="1" applyProtection="1">
      <alignment horizontal="center"/>
      <protection locked="0"/>
    </xf>
    <xf numFmtId="9" fontId="0" fillId="60" borderId="120" xfId="95" applyFont="1" applyFill="1" applyBorder="1" applyAlignment="1" applyProtection="1">
      <alignment horizontal="center"/>
      <protection locked="0"/>
    </xf>
    <xf numFmtId="9" fontId="99" fillId="60" borderId="113" xfId="94" applyNumberFormat="1" applyFill="1" applyBorder="1" applyAlignment="1" applyProtection="1">
      <alignment horizontal="center"/>
      <protection locked="0"/>
    </xf>
    <xf numFmtId="9" fontId="99" fillId="60" borderId="34" xfId="94" applyNumberFormat="1" applyFill="1" applyBorder="1" applyAlignment="1" applyProtection="1">
      <alignment horizontal="center"/>
      <protection locked="0"/>
    </xf>
    <xf numFmtId="9" fontId="99" fillId="60" borderId="122" xfId="94" applyNumberFormat="1" applyFill="1" applyBorder="1" applyAlignment="1" applyProtection="1">
      <alignment horizontal="center"/>
      <protection locked="0"/>
    </xf>
    <xf numFmtId="9" fontId="99" fillId="60" borderId="34" xfId="94" applyNumberFormat="1" applyFont="1" applyFill="1" applyBorder="1" applyAlignment="1" applyProtection="1">
      <alignment horizontal="center"/>
      <protection locked="0"/>
    </xf>
    <xf numFmtId="9" fontId="99" fillId="60" borderId="122" xfId="94" applyNumberFormat="1" applyFont="1" applyFill="1" applyBorder="1" applyAlignment="1" applyProtection="1">
      <alignment horizontal="center"/>
      <protection locked="0"/>
    </xf>
    <xf numFmtId="0" fontId="101" fillId="0" borderId="113" xfId="94" applyFont="1" applyBorder="1" applyAlignment="1" applyProtection="1">
      <alignment horizontal="center"/>
    </xf>
    <xf numFmtId="0" fontId="101" fillId="0" borderId="114" xfId="94" applyFont="1" applyBorder="1" applyAlignment="1" applyProtection="1">
      <alignment horizontal="center"/>
    </xf>
    <xf numFmtId="0" fontId="101" fillId="0" borderId="115" xfId="94" applyFont="1" applyBorder="1" applyAlignment="1" applyProtection="1">
      <alignment horizontal="center"/>
    </xf>
    <xf numFmtId="9" fontId="99" fillId="60" borderId="34" xfId="94" applyNumberFormat="1" applyFill="1" applyBorder="1" applyAlignment="1" applyProtection="1">
      <alignment horizontal="center" vertical="center"/>
      <protection locked="0"/>
    </xf>
    <xf numFmtId="9" fontId="99" fillId="60" borderId="122" xfId="94" applyNumberFormat="1" applyFill="1" applyBorder="1" applyAlignment="1" applyProtection="1">
      <alignment horizontal="center" vertical="center"/>
      <protection locked="0"/>
    </xf>
    <xf numFmtId="0" fontId="109" fillId="0" borderId="0" xfId="94" applyFont="1" applyBorder="1" applyAlignment="1" applyProtection="1">
      <alignment horizontal="center"/>
    </xf>
    <xf numFmtId="0" fontId="109" fillId="0" borderId="122" xfId="94" applyFont="1" applyBorder="1" applyAlignment="1" applyProtection="1">
      <alignment horizontal="center"/>
    </xf>
    <xf numFmtId="0" fontId="109" fillId="0" borderId="32" xfId="94" applyFont="1" applyBorder="1" applyAlignment="1" applyProtection="1">
      <alignment horizontal="center"/>
    </xf>
    <xf numFmtId="0" fontId="109" fillId="0" borderId="116" xfId="94" applyFont="1" applyBorder="1" applyAlignment="1" applyProtection="1">
      <alignment horizontal="center"/>
    </xf>
    <xf numFmtId="0" fontId="109" fillId="0" borderId="37" xfId="94" applyFont="1" applyBorder="1" applyAlignment="1" applyProtection="1">
      <alignment horizontal="center"/>
    </xf>
    <xf numFmtId="0" fontId="0" fillId="60" borderId="34" xfId="96" applyNumberFormat="1" applyFont="1" applyFill="1" applyBorder="1" applyAlignment="1" applyProtection="1">
      <alignment horizontal="center" vertical="center"/>
      <protection locked="0"/>
    </xf>
    <xf numFmtId="0" fontId="0" fillId="60" borderId="122" xfId="96" applyNumberFormat="1" applyFont="1" applyFill="1" applyBorder="1" applyAlignment="1" applyProtection="1">
      <alignment horizontal="center" vertical="center"/>
      <protection locked="0"/>
    </xf>
    <xf numFmtId="0" fontId="0" fillId="60" borderId="32" xfId="96" applyNumberFormat="1" applyFont="1" applyFill="1" applyBorder="1" applyAlignment="1" applyProtection="1">
      <alignment horizontal="center" vertical="center"/>
      <protection locked="0"/>
    </xf>
    <xf numFmtId="0" fontId="0" fillId="60" borderId="37" xfId="96" applyNumberFormat="1" applyFont="1" applyFill="1" applyBorder="1" applyAlignment="1" applyProtection="1">
      <alignment horizontal="center" vertical="center"/>
      <protection locked="0"/>
    </xf>
    <xf numFmtId="166" fontId="99" fillId="60" borderId="34" xfId="94" applyNumberFormat="1" applyFill="1" applyBorder="1" applyAlignment="1" applyProtection="1">
      <alignment horizontal="center"/>
      <protection locked="0"/>
    </xf>
    <xf numFmtId="166" fontId="99" fillId="60" borderId="122" xfId="94" applyNumberFormat="1" applyFill="1" applyBorder="1" applyAlignment="1" applyProtection="1">
      <alignment horizontal="center"/>
      <protection locked="0"/>
    </xf>
    <xf numFmtId="179" fontId="0" fillId="59" borderId="113" xfId="96" applyNumberFormat="1" applyFont="1" applyFill="1" applyBorder="1" applyAlignment="1" applyProtection="1">
      <alignment horizontal="center" vertical="center"/>
      <protection locked="0"/>
    </xf>
    <xf numFmtId="179" fontId="0" fillId="59" borderId="115" xfId="96" applyNumberFormat="1" applyFont="1" applyFill="1" applyBorder="1" applyAlignment="1" applyProtection="1">
      <alignment horizontal="center" vertical="center"/>
      <protection locked="0"/>
    </xf>
    <xf numFmtId="9" fontId="0" fillId="59" borderId="34" xfId="95" applyFont="1" applyFill="1" applyBorder="1" applyAlignment="1" applyProtection="1">
      <alignment horizontal="center" vertical="center"/>
      <protection locked="0"/>
    </xf>
    <xf numFmtId="9" fontId="0" fillId="59" borderId="122" xfId="95" applyFont="1" applyFill="1" applyBorder="1" applyAlignment="1" applyProtection="1">
      <alignment horizontal="center" vertical="center"/>
      <protection locked="0"/>
    </xf>
    <xf numFmtId="179" fontId="0" fillId="59" borderId="32" xfId="96" applyNumberFormat="1" applyFont="1" applyFill="1" applyBorder="1" applyAlignment="1" applyProtection="1">
      <alignment horizontal="center" vertical="center"/>
      <protection locked="0"/>
    </xf>
    <xf numFmtId="179" fontId="0" fillId="59" borderId="37" xfId="96" applyNumberFormat="1" applyFont="1" applyFill="1" applyBorder="1" applyAlignment="1" applyProtection="1">
      <alignment horizontal="center" vertical="center"/>
      <protection locked="0"/>
    </xf>
    <xf numFmtId="0" fontId="99" fillId="61" borderId="113" xfId="94" applyFill="1" applyBorder="1" applyAlignment="1" applyProtection="1">
      <alignment horizontal="left" vertical="center" wrapText="1"/>
      <protection locked="0"/>
    </xf>
    <xf numFmtId="0" fontId="99" fillId="61" borderId="114" xfId="94" applyFill="1" applyBorder="1" applyAlignment="1" applyProtection="1">
      <alignment horizontal="left" vertical="center" wrapText="1"/>
      <protection locked="0"/>
    </xf>
    <xf numFmtId="0" fontId="99" fillId="61" borderId="115" xfId="94" applyFill="1" applyBorder="1" applyAlignment="1" applyProtection="1">
      <alignment horizontal="left" vertical="center" wrapText="1"/>
      <protection locked="0"/>
    </xf>
    <xf numFmtId="0" fontId="99" fillId="61" borderId="34" xfId="94" applyFill="1" applyBorder="1" applyAlignment="1" applyProtection="1">
      <alignment horizontal="left" vertical="center" wrapText="1"/>
      <protection locked="0"/>
    </xf>
    <xf numFmtId="0" fontId="99" fillId="61" borderId="0" xfId="94" applyFill="1" applyBorder="1" applyAlignment="1" applyProtection="1">
      <alignment horizontal="left" vertical="center" wrapText="1"/>
      <protection locked="0"/>
    </xf>
    <xf numFmtId="0" fontId="99" fillId="61" borderId="122" xfId="94" applyFill="1" applyBorder="1" applyAlignment="1" applyProtection="1">
      <alignment horizontal="left" vertical="center" wrapText="1"/>
      <protection locked="0"/>
    </xf>
    <xf numFmtId="0" fontId="99" fillId="61" borderId="32" xfId="94" applyFill="1" applyBorder="1" applyAlignment="1" applyProtection="1">
      <alignment horizontal="left" vertical="center" wrapText="1"/>
      <protection locked="0"/>
    </xf>
    <xf numFmtId="0" fontId="99" fillId="61" borderId="116" xfId="94" applyFill="1" applyBorder="1" applyAlignment="1" applyProtection="1">
      <alignment horizontal="left" vertical="center" wrapText="1"/>
      <protection locked="0"/>
    </xf>
    <xf numFmtId="0" fontId="99" fillId="61" borderId="37" xfId="94" applyFill="1" applyBorder="1" applyAlignment="1" applyProtection="1">
      <alignment horizontal="left" vertical="center" wrapText="1"/>
      <protection locked="0"/>
    </xf>
    <xf numFmtId="0" fontId="99" fillId="0" borderId="113" xfId="94" applyFill="1" applyBorder="1" applyAlignment="1" applyProtection="1">
      <alignment horizontal="center"/>
    </xf>
    <xf numFmtId="0" fontId="99" fillId="0" borderId="115" xfId="94" applyFill="1" applyBorder="1" applyAlignment="1" applyProtection="1">
      <alignment horizontal="center"/>
    </xf>
    <xf numFmtId="179" fontId="0" fillId="0" borderId="34" xfId="96" applyNumberFormat="1" applyFont="1" applyFill="1" applyBorder="1" applyAlignment="1" applyProtection="1">
      <alignment horizontal="center"/>
    </xf>
    <xf numFmtId="179" fontId="0" fillId="0" borderId="122" xfId="96" applyNumberFormat="1" applyFont="1" applyFill="1" applyBorder="1" applyAlignment="1" applyProtection="1">
      <alignment horizontal="center"/>
    </xf>
    <xf numFmtId="9" fontId="0" fillId="0" borderId="34" xfId="95" applyFont="1" applyFill="1" applyBorder="1" applyAlignment="1" applyProtection="1">
      <alignment horizontal="center"/>
    </xf>
    <xf numFmtId="9" fontId="0" fillId="0" borderId="122" xfId="95" applyFont="1" applyFill="1" applyBorder="1" applyAlignment="1" applyProtection="1">
      <alignment horizontal="center"/>
    </xf>
    <xf numFmtId="9" fontId="0" fillId="0" borderId="32" xfId="95" applyFont="1" applyFill="1" applyBorder="1" applyAlignment="1" applyProtection="1">
      <alignment horizontal="center"/>
    </xf>
    <xf numFmtId="9" fontId="0" fillId="0" borderId="37" xfId="95" applyFont="1" applyFill="1" applyBorder="1" applyAlignment="1" applyProtection="1">
      <alignment horizontal="center"/>
    </xf>
    <xf numFmtId="0" fontId="99" fillId="0" borderId="0" xfId="94" applyAlignment="1" applyProtection="1">
      <alignment horizontal="center"/>
      <protection locked="0"/>
    </xf>
    <xf numFmtId="0" fontId="99" fillId="0" borderId="0" xfId="94" applyAlignment="1" applyProtection="1">
      <alignment horizontal="center"/>
    </xf>
    <xf numFmtId="0" fontId="117" fillId="63" borderId="60" xfId="94" applyFont="1" applyFill="1" applyBorder="1" applyAlignment="1" applyProtection="1">
      <alignment horizontal="center"/>
    </xf>
    <xf numFmtId="0" fontId="117" fillId="63" borderId="58" xfId="94" applyFont="1" applyFill="1" applyBorder="1" applyAlignment="1" applyProtection="1">
      <alignment horizontal="center"/>
    </xf>
    <xf numFmtId="0" fontId="117" fillId="63" borderId="59" xfId="94" applyFont="1" applyFill="1" applyBorder="1" applyAlignment="1" applyProtection="1">
      <alignment horizontal="center"/>
    </xf>
    <xf numFmtId="0" fontId="117" fillId="64" borderId="137" xfId="94" applyFont="1" applyFill="1" applyBorder="1" applyAlignment="1" applyProtection="1">
      <alignment horizontal="center" vertical="center" wrapText="1"/>
    </xf>
    <xf numFmtId="0" fontId="117" fillId="64" borderId="0" xfId="94" applyFont="1" applyFill="1" applyBorder="1" applyAlignment="1" applyProtection="1">
      <alignment horizontal="center" vertical="center" wrapText="1"/>
    </xf>
    <xf numFmtId="0" fontId="114" fillId="64" borderId="148" xfId="94" applyFont="1" applyFill="1" applyBorder="1" applyAlignment="1" applyProtection="1">
      <alignment horizontal="center" vertical="center" wrapText="1"/>
    </xf>
    <xf numFmtId="0" fontId="114" fillId="64" borderId="149" xfId="94" applyFont="1" applyFill="1" applyBorder="1" applyAlignment="1" applyProtection="1">
      <alignment horizontal="center" vertical="center" wrapText="1"/>
    </xf>
    <xf numFmtId="0" fontId="114" fillId="64" borderId="150" xfId="94" applyFont="1" applyFill="1" applyBorder="1" applyAlignment="1" applyProtection="1">
      <alignment horizontal="center" vertical="center" wrapText="1"/>
    </xf>
    <xf numFmtId="0" fontId="114" fillId="64" borderId="151" xfId="94" applyFont="1" applyFill="1" applyBorder="1" applyAlignment="1" applyProtection="1">
      <alignment horizontal="center" vertical="center" wrapText="1"/>
    </xf>
    <xf numFmtId="0" fontId="109" fillId="0" borderId="180" xfId="94" applyFont="1" applyFill="1" applyBorder="1" applyAlignment="1" applyProtection="1">
      <alignment horizontal="center" vertical="center" wrapText="1"/>
    </xf>
    <xf numFmtId="0" fontId="109" fillId="0" borderId="181" xfId="94" applyFont="1" applyFill="1" applyBorder="1" applyAlignment="1" applyProtection="1">
      <alignment horizontal="center" vertical="center" wrapText="1"/>
    </xf>
    <xf numFmtId="0" fontId="109" fillId="0" borderId="129" xfId="94" applyFont="1" applyFill="1" applyBorder="1" applyAlignment="1" applyProtection="1">
      <alignment horizontal="left" vertical="center" wrapText="1"/>
    </xf>
    <xf numFmtId="0" fontId="109" fillId="0" borderId="172" xfId="94" applyFont="1" applyFill="1" applyBorder="1" applyAlignment="1" applyProtection="1">
      <alignment horizontal="left" vertical="center" wrapText="1"/>
    </xf>
    <xf numFmtId="0" fontId="109" fillId="0" borderId="0" xfId="94" applyFont="1" applyFill="1" applyBorder="1" applyAlignment="1" applyProtection="1">
      <alignment horizontal="left" vertical="center" wrapText="1"/>
    </xf>
    <xf numFmtId="0" fontId="109" fillId="0" borderId="112" xfId="94" applyFont="1" applyFill="1" applyBorder="1" applyAlignment="1" applyProtection="1">
      <alignment horizontal="left" vertical="center" wrapText="1"/>
    </xf>
    <xf numFmtId="0" fontId="109" fillId="0" borderId="0" xfId="94" applyFont="1" applyFill="1" applyBorder="1" applyAlignment="1" applyProtection="1">
      <alignment horizontal="left" vertical="center"/>
    </xf>
    <xf numFmtId="0" fontId="109" fillId="0" borderId="112" xfId="94" applyFont="1" applyFill="1" applyBorder="1" applyAlignment="1" applyProtection="1">
      <alignment horizontal="left" vertical="center"/>
    </xf>
    <xf numFmtId="0" fontId="109" fillId="0" borderId="182" xfId="94" applyFont="1" applyFill="1" applyBorder="1" applyAlignment="1" applyProtection="1">
      <alignment horizontal="center" vertical="center" wrapText="1"/>
    </xf>
    <xf numFmtId="0" fontId="109" fillId="0" borderId="133" xfId="94" applyFont="1" applyFill="1" applyBorder="1" applyAlignment="1" applyProtection="1">
      <alignment horizontal="left" vertical="center" wrapText="1"/>
    </xf>
    <xf numFmtId="0" fontId="109" fillId="0" borderId="173" xfId="94" applyFont="1" applyFill="1" applyBorder="1" applyAlignment="1" applyProtection="1">
      <alignment horizontal="left" vertical="center" wrapText="1"/>
    </xf>
    <xf numFmtId="0" fontId="109" fillId="0" borderId="118" xfId="94" applyFont="1" applyBorder="1" applyAlignment="1" applyProtection="1">
      <alignment horizontal="center"/>
      <protection locked="0"/>
    </xf>
    <xf numFmtId="0" fontId="109" fillId="0" borderId="119" xfId="94" applyFont="1" applyBorder="1" applyAlignment="1" applyProtection="1">
      <alignment horizontal="center"/>
      <protection locked="0"/>
    </xf>
    <xf numFmtId="0" fontId="109" fillId="0" borderId="120" xfId="94" applyFont="1" applyBorder="1" applyAlignment="1" applyProtection="1">
      <alignment horizontal="center"/>
      <protection locked="0"/>
    </xf>
    <xf numFmtId="0" fontId="109" fillId="0" borderId="113" xfId="94" applyFont="1" applyBorder="1" applyAlignment="1" applyProtection="1">
      <alignment horizontal="center" vertical="center"/>
      <protection locked="0"/>
    </xf>
    <xf numFmtId="0" fontId="109" fillId="0" borderId="115" xfId="94" applyFont="1" applyBorder="1" applyAlignment="1" applyProtection="1">
      <alignment horizontal="center" vertical="center"/>
      <protection locked="0"/>
    </xf>
    <xf numFmtId="0" fontId="109" fillId="0" borderId="32" xfId="94" applyFont="1" applyBorder="1" applyAlignment="1" applyProtection="1">
      <alignment horizontal="center" vertical="center"/>
      <protection locked="0"/>
    </xf>
    <xf numFmtId="0" fontId="109" fillId="0" borderId="37" xfId="94" applyFont="1" applyBorder="1" applyAlignment="1" applyProtection="1">
      <alignment horizontal="center" vertical="center"/>
      <protection locked="0"/>
    </xf>
    <xf numFmtId="0" fontId="109" fillId="0" borderId="118" xfId="94" applyFont="1" applyBorder="1" applyAlignment="1" applyProtection="1">
      <alignment horizontal="center" vertical="center"/>
      <protection locked="0"/>
    </xf>
    <xf numFmtId="0" fontId="109" fillId="0" borderId="120" xfId="94" applyFont="1" applyBorder="1" applyAlignment="1" applyProtection="1">
      <alignment horizontal="center" vertical="center"/>
      <protection locked="0"/>
    </xf>
    <xf numFmtId="0" fontId="109" fillId="0" borderId="17" xfId="94" applyFont="1" applyBorder="1" applyAlignment="1" applyProtection="1">
      <alignment horizontal="center"/>
      <protection locked="0"/>
    </xf>
    <xf numFmtId="0" fontId="109" fillId="0" borderId="113" xfId="94" applyFont="1" applyFill="1" applyBorder="1" applyAlignment="1" applyProtection="1">
      <alignment horizontal="center" vertical="center" wrapText="1"/>
      <protection locked="0"/>
    </xf>
    <xf numFmtId="0" fontId="109" fillId="0" borderId="114" xfId="94" applyFont="1" applyFill="1" applyBorder="1" applyAlignment="1" applyProtection="1">
      <alignment horizontal="center" vertical="center" wrapText="1"/>
      <protection locked="0"/>
    </xf>
    <xf numFmtId="0" fontId="109" fillId="0" borderId="115" xfId="94" applyFont="1" applyFill="1" applyBorder="1" applyAlignment="1" applyProtection="1">
      <alignment horizontal="center" vertical="center" wrapText="1"/>
      <protection locked="0"/>
    </xf>
    <xf numFmtId="0" fontId="109" fillId="0" borderId="32" xfId="94" applyFont="1" applyFill="1" applyBorder="1" applyAlignment="1" applyProtection="1">
      <alignment horizontal="center" vertical="center" wrapText="1"/>
      <protection locked="0"/>
    </xf>
    <xf numFmtId="0" fontId="109" fillId="0" borderId="116" xfId="94" applyFont="1" applyFill="1" applyBorder="1" applyAlignment="1" applyProtection="1">
      <alignment horizontal="center" vertical="center" wrapText="1"/>
      <protection locked="0"/>
    </xf>
    <xf numFmtId="0" fontId="109" fillId="0" borderId="37" xfId="94" applyFont="1" applyFill="1" applyBorder="1" applyAlignment="1" applyProtection="1">
      <alignment horizontal="center" vertical="center" wrapText="1"/>
      <protection locked="0"/>
    </xf>
    <xf numFmtId="0" fontId="127" fillId="0" borderId="118" xfId="94" applyFont="1" applyFill="1" applyBorder="1" applyAlignment="1" applyProtection="1">
      <alignment horizontal="center" vertical="center" wrapText="1"/>
    </xf>
    <xf numFmtId="0" fontId="127" fillId="0" borderId="119" xfId="94" applyFont="1" applyFill="1" applyBorder="1" applyAlignment="1" applyProtection="1">
      <alignment horizontal="center" vertical="center" wrapText="1"/>
    </xf>
    <xf numFmtId="0" fontId="127" fillId="0" borderId="120" xfId="94" applyFont="1" applyFill="1" applyBorder="1" applyAlignment="1" applyProtection="1">
      <alignment horizontal="center" vertical="center" wrapText="1"/>
    </xf>
    <xf numFmtId="0" fontId="109" fillId="0" borderId="113" xfId="94" applyFont="1" applyFill="1" applyBorder="1" applyAlignment="1" applyProtection="1">
      <alignment horizontal="center" vertical="center" wrapText="1"/>
    </xf>
    <xf numFmtId="0" fontId="109" fillId="0" borderId="114" xfId="94" applyFont="1" applyFill="1" applyBorder="1" applyAlignment="1" applyProtection="1">
      <alignment horizontal="center" vertical="center" wrapText="1"/>
    </xf>
    <xf numFmtId="0" fontId="109" fillId="0" borderId="115" xfId="94" applyFont="1" applyFill="1" applyBorder="1" applyAlignment="1" applyProtection="1">
      <alignment horizontal="center" vertical="center" wrapText="1"/>
    </xf>
    <xf numFmtId="0" fontId="109" fillId="0" borderId="32" xfId="94" applyFont="1" applyFill="1" applyBorder="1" applyAlignment="1" applyProtection="1">
      <alignment horizontal="center" vertical="center" wrapText="1"/>
    </xf>
    <xf numFmtId="0" fontId="109" fillId="0" borderId="116" xfId="94" applyFont="1" applyFill="1" applyBorder="1" applyAlignment="1" applyProtection="1">
      <alignment horizontal="center" vertical="center" wrapText="1"/>
    </xf>
    <xf numFmtId="0" fontId="109" fillId="0" borderId="37" xfId="94" applyFont="1" applyFill="1" applyBorder="1" applyAlignment="1" applyProtection="1">
      <alignment horizontal="center" vertical="center" wrapText="1"/>
    </xf>
    <xf numFmtId="0" fontId="127" fillId="0" borderId="17" xfId="94" applyFont="1" applyFill="1" applyBorder="1" applyAlignment="1" applyProtection="1">
      <alignment horizontal="center" vertical="center" wrapText="1"/>
    </xf>
    <xf numFmtId="0" fontId="127" fillId="0" borderId="22" xfId="94" applyFont="1" applyFill="1" applyBorder="1" applyAlignment="1" applyProtection="1">
      <alignment horizontal="center" vertical="center" wrapText="1"/>
    </xf>
    <xf numFmtId="0" fontId="127" fillId="58" borderId="21" xfId="94" applyFont="1" applyFill="1" applyBorder="1" applyAlignment="1" applyProtection="1">
      <alignment horizontal="center" vertical="center" wrapText="1"/>
      <protection locked="0"/>
    </xf>
    <xf numFmtId="0" fontId="99" fillId="65" borderId="113" xfId="94" applyFill="1" applyBorder="1" applyAlignment="1" applyProtection="1">
      <alignment horizontal="center"/>
      <protection locked="0"/>
    </xf>
    <xf numFmtId="0" fontId="99" fillId="65" borderId="115" xfId="94" applyFill="1" applyBorder="1" applyAlignment="1" applyProtection="1">
      <alignment horizontal="center"/>
      <protection locked="0"/>
    </xf>
    <xf numFmtId="0" fontId="99" fillId="65" borderId="32" xfId="94" applyFill="1" applyBorder="1" applyAlignment="1" applyProtection="1">
      <alignment horizontal="center"/>
      <protection locked="0"/>
    </xf>
    <xf numFmtId="0" fontId="99" fillId="65" borderId="37" xfId="94" applyFill="1" applyBorder="1" applyAlignment="1" applyProtection="1">
      <alignment horizontal="center"/>
      <protection locked="0"/>
    </xf>
    <xf numFmtId="0" fontId="109" fillId="0" borderId="34" xfId="94" applyFont="1" applyBorder="1" applyAlignment="1" applyProtection="1">
      <alignment horizontal="center"/>
    </xf>
    <xf numFmtId="0" fontId="99" fillId="0" borderId="113" xfId="94" applyBorder="1" applyAlignment="1" applyProtection="1">
      <alignment horizontal="center"/>
    </xf>
    <xf numFmtId="0" fontId="99" fillId="0" borderId="114" xfId="94" applyBorder="1" applyAlignment="1" applyProtection="1">
      <alignment horizontal="center"/>
    </xf>
    <xf numFmtId="0" fontId="99" fillId="0" borderId="115" xfId="94" applyBorder="1" applyAlignment="1" applyProtection="1">
      <alignment horizontal="center"/>
    </xf>
    <xf numFmtId="43" fontId="0" fillId="0" borderId="32" xfId="96" applyFont="1" applyFill="1" applyBorder="1" applyAlignment="1" applyProtection="1">
      <alignment horizontal="center"/>
    </xf>
    <xf numFmtId="43" fontId="0" fillId="0" borderId="116" xfId="96" applyFont="1" applyFill="1" applyBorder="1" applyAlignment="1" applyProtection="1">
      <alignment horizontal="center"/>
    </xf>
    <xf numFmtId="43" fontId="0" fillId="0" borderId="37" xfId="96" applyFont="1" applyFill="1" applyBorder="1" applyAlignment="1" applyProtection="1">
      <alignment horizontal="center"/>
    </xf>
    <xf numFmtId="0" fontId="99" fillId="0" borderId="32" xfId="94" applyFill="1" applyBorder="1" applyAlignment="1" applyProtection="1">
      <alignment horizontal="center"/>
    </xf>
    <xf numFmtId="0" fontId="99" fillId="0" borderId="116" xfId="94" applyFill="1" applyBorder="1" applyAlignment="1" applyProtection="1">
      <alignment horizontal="center"/>
    </xf>
    <xf numFmtId="0" fontId="99" fillId="0" borderId="37" xfId="94" applyFill="1" applyBorder="1" applyAlignment="1" applyProtection="1">
      <alignment horizontal="center"/>
    </xf>
    <xf numFmtId="0" fontId="109" fillId="0" borderId="219" xfId="94" applyFont="1" applyFill="1" applyBorder="1" applyAlignment="1" applyProtection="1">
      <alignment horizontal="center" vertical="center" wrapText="1"/>
    </xf>
    <xf numFmtId="0" fontId="109" fillId="0" borderId="22" xfId="94" applyFont="1" applyFill="1" applyBorder="1" applyAlignment="1" applyProtection="1">
      <alignment horizontal="center" vertical="center" wrapText="1"/>
    </xf>
    <xf numFmtId="0" fontId="109" fillId="0" borderId="21" xfId="94" applyFont="1" applyFill="1" applyBorder="1" applyAlignment="1" applyProtection="1">
      <alignment horizontal="center" vertical="center" wrapText="1"/>
    </xf>
    <xf numFmtId="0" fontId="109" fillId="0" borderId="128" xfId="94" applyFont="1" applyFill="1" applyBorder="1" applyAlignment="1" applyProtection="1">
      <alignment horizontal="left" vertical="center" wrapText="1"/>
    </xf>
    <xf numFmtId="0" fontId="109" fillId="0" borderId="34" xfId="94" applyFont="1" applyFill="1" applyBorder="1" applyAlignment="1" applyProtection="1">
      <alignment horizontal="left" vertical="center" wrapText="1"/>
    </xf>
    <xf numFmtId="0" fontId="109" fillId="0" borderId="34" xfId="94" applyFont="1" applyFill="1" applyBorder="1" applyAlignment="1" applyProtection="1">
      <alignment horizontal="left" vertical="center"/>
    </xf>
    <xf numFmtId="0" fontId="109" fillId="0" borderId="132" xfId="94" applyFont="1" applyFill="1" applyBorder="1" applyAlignment="1" applyProtection="1">
      <alignment horizontal="left" vertical="center" wrapText="1"/>
    </xf>
    <xf numFmtId="0" fontId="139" fillId="63" borderId="60" xfId="94" applyFont="1" applyFill="1" applyBorder="1" applyAlignment="1" applyProtection="1">
      <alignment horizontal="center" vertical="center"/>
    </xf>
    <xf numFmtId="0" fontId="139" fillId="63" borderId="58" xfId="94" applyFont="1" applyFill="1" applyBorder="1" applyAlignment="1" applyProtection="1">
      <alignment horizontal="center" vertical="center"/>
    </xf>
    <xf numFmtId="0" fontId="139" fillId="63" borderId="59" xfId="94" applyFont="1" applyFill="1" applyBorder="1" applyAlignment="1" applyProtection="1">
      <alignment horizontal="center" vertical="center"/>
    </xf>
    <xf numFmtId="0" fontId="109" fillId="0" borderId="60" xfId="94" applyFont="1" applyBorder="1" applyAlignment="1" applyProtection="1">
      <alignment horizontal="center"/>
    </xf>
    <xf numFmtId="0" fontId="109" fillId="0" borderId="59" xfId="94" applyFont="1" applyBorder="1" applyAlignment="1" applyProtection="1">
      <alignment horizontal="center"/>
    </xf>
    <xf numFmtId="0" fontId="143" fillId="64" borderId="223" xfId="94" applyFont="1" applyFill="1" applyBorder="1" applyAlignment="1" applyProtection="1">
      <alignment horizontal="center" vertical="center" wrapText="1"/>
    </xf>
    <xf numFmtId="0" fontId="143" fillId="64" borderId="224" xfId="94" applyFont="1" applyFill="1" applyBorder="1" applyAlignment="1" applyProtection="1">
      <alignment horizontal="center" vertical="center" wrapText="1"/>
    </xf>
    <xf numFmtId="0" fontId="143" fillId="64" borderId="225" xfId="94" applyFont="1" applyFill="1" applyBorder="1" applyAlignment="1" applyProtection="1">
      <alignment horizontal="center" vertical="center" wrapText="1"/>
    </xf>
    <xf numFmtId="0" fontId="143" fillId="64" borderId="226" xfId="94" applyFont="1" applyFill="1" applyBorder="1" applyAlignment="1" applyProtection="1">
      <alignment horizontal="center" vertical="center" wrapText="1"/>
    </xf>
    <xf numFmtId="0" fontId="143" fillId="64" borderId="227" xfId="94" applyFont="1" applyFill="1" applyBorder="1" applyAlignment="1" applyProtection="1">
      <alignment horizontal="center" vertical="center" wrapText="1"/>
    </xf>
    <xf numFmtId="0" fontId="143" fillId="64" borderId="228" xfId="94" applyFont="1" applyFill="1" applyBorder="1" applyAlignment="1" applyProtection="1">
      <alignment horizontal="center" vertical="center" wrapText="1"/>
    </xf>
    <xf numFmtId="0" fontId="143" fillId="64" borderId="229" xfId="94" applyFont="1" applyFill="1" applyBorder="1" applyAlignment="1" applyProtection="1">
      <alignment horizontal="center" vertical="center" wrapText="1"/>
    </xf>
    <xf numFmtId="0" fontId="117" fillId="64" borderId="239" xfId="94" applyFont="1" applyFill="1" applyBorder="1" applyAlignment="1" applyProtection="1">
      <alignment horizontal="center" vertical="center" wrapText="1"/>
    </xf>
    <xf numFmtId="0" fontId="117" fillId="64" borderId="150" xfId="94" applyFont="1" applyFill="1" applyBorder="1" applyAlignment="1" applyProtection="1">
      <alignment horizontal="center" vertical="center" wrapText="1"/>
    </xf>
    <xf numFmtId="0" fontId="117" fillId="64" borderId="240" xfId="94" applyFont="1" applyFill="1" applyBorder="1" applyAlignment="1" applyProtection="1">
      <alignment horizontal="center" vertical="center" wrapText="1"/>
    </xf>
    <xf numFmtId="0" fontId="143" fillId="64" borderId="239" xfId="94" applyFont="1" applyFill="1" applyBorder="1" applyAlignment="1" applyProtection="1">
      <alignment horizontal="center" vertical="center" wrapText="1"/>
    </xf>
    <xf numFmtId="0" fontId="143" fillId="64" borderId="150" xfId="94" applyFont="1" applyFill="1" applyBorder="1" applyAlignment="1" applyProtection="1">
      <alignment horizontal="center" vertical="center" wrapText="1"/>
    </xf>
    <xf numFmtId="0" fontId="109" fillId="68" borderId="118" xfId="94" applyFont="1" applyFill="1" applyBorder="1" applyAlignment="1" applyProtection="1">
      <alignment horizontal="center"/>
    </xf>
    <xf numFmtId="0" fontId="109" fillId="68" borderId="119" xfId="94" applyFont="1" applyFill="1" applyBorder="1" applyAlignment="1" applyProtection="1">
      <alignment horizontal="center"/>
    </xf>
    <xf numFmtId="0" fontId="109" fillId="68" borderId="120" xfId="94" applyFont="1" applyFill="1" applyBorder="1" applyAlignment="1" applyProtection="1">
      <alignment horizontal="center"/>
    </xf>
    <xf numFmtId="0" fontId="109" fillId="68" borderId="32" xfId="94" applyFont="1" applyFill="1" applyBorder="1" applyAlignment="1" applyProtection="1">
      <alignment horizontal="center"/>
    </xf>
    <xf numFmtId="0" fontId="109" fillId="68" borderId="37" xfId="94" applyFont="1" applyFill="1" applyBorder="1" applyAlignment="1" applyProtection="1">
      <alignment horizontal="center"/>
    </xf>
    <xf numFmtId="0" fontId="114" fillId="64" borderId="32" xfId="94" applyFont="1" applyFill="1" applyBorder="1" applyAlignment="1" applyProtection="1">
      <alignment horizontal="center"/>
    </xf>
    <xf numFmtId="0" fontId="114" fillId="64" borderId="116" xfId="94" applyFont="1" applyFill="1" applyBorder="1" applyAlignment="1" applyProtection="1">
      <alignment horizontal="center"/>
    </xf>
    <xf numFmtId="0" fontId="114" fillId="64" borderId="34" xfId="94" applyFont="1" applyFill="1" applyBorder="1" applyAlignment="1" applyProtection="1">
      <alignment horizontal="center"/>
    </xf>
    <xf numFmtId="0" fontId="114" fillId="64" borderId="0" xfId="94" applyFont="1" applyFill="1" applyBorder="1" applyAlignment="1" applyProtection="1">
      <alignment horizontal="center"/>
    </xf>
    <xf numFmtId="0" fontId="114" fillId="64" borderId="122" xfId="94" applyFont="1" applyFill="1" applyBorder="1" applyAlignment="1" applyProtection="1">
      <alignment horizontal="center"/>
    </xf>
    <xf numFmtId="0" fontId="99" fillId="0" borderId="113" xfId="94" applyBorder="1" applyAlignment="1" applyProtection="1">
      <alignment horizontal="left" vertical="top"/>
      <protection locked="0"/>
    </xf>
    <xf numFmtId="0" fontId="99" fillId="0" borderId="114" xfId="94" applyBorder="1" applyAlignment="1" applyProtection="1">
      <alignment horizontal="left" vertical="top"/>
      <protection locked="0"/>
    </xf>
    <xf numFmtId="0" fontId="99" fillId="0" borderId="115" xfId="94" applyBorder="1" applyAlignment="1" applyProtection="1">
      <alignment horizontal="left" vertical="top"/>
      <protection locked="0"/>
    </xf>
    <xf numFmtId="0" fontId="99" fillId="0" borderId="34" xfId="94" applyBorder="1" applyAlignment="1" applyProtection="1">
      <alignment horizontal="left" vertical="top"/>
      <protection locked="0"/>
    </xf>
    <xf numFmtId="0" fontId="99" fillId="0" borderId="0" xfId="94" applyBorder="1" applyAlignment="1" applyProtection="1">
      <alignment horizontal="left" vertical="top"/>
      <protection locked="0"/>
    </xf>
    <xf numFmtId="0" fontId="99" fillId="0" borderId="122" xfId="94" applyBorder="1" applyAlignment="1" applyProtection="1">
      <alignment horizontal="left" vertical="top"/>
      <protection locked="0"/>
    </xf>
    <xf numFmtId="0" fontId="99" fillId="0" borderId="32" xfId="94" applyBorder="1" applyAlignment="1" applyProtection="1">
      <alignment horizontal="left" vertical="top"/>
      <protection locked="0"/>
    </xf>
    <xf numFmtId="0" fontId="99" fillId="0" borderId="116" xfId="94" applyBorder="1" applyAlignment="1" applyProtection="1">
      <alignment horizontal="left" vertical="top"/>
      <protection locked="0"/>
    </xf>
    <xf numFmtId="0" fontId="99" fillId="0" borderId="37" xfId="94" applyBorder="1" applyAlignment="1" applyProtection="1">
      <alignment horizontal="left" vertical="top"/>
      <protection locked="0"/>
    </xf>
    <xf numFmtId="0" fontId="99" fillId="0" borderId="34" xfId="94" applyFill="1" applyBorder="1" applyAlignment="1" applyProtection="1">
      <alignment horizontal="left"/>
      <protection locked="0"/>
    </xf>
    <xf numFmtId="0" fontId="99" fillId="0" borderId="0" xfId="94" applyFill="1" applyBorder="1" applyAlignment="1" applyProtection="1">
      <alignment horizontal="left"/>
      <protection locked="0"/>
    </xf>
    <xf numFmtId="0" fontId="99" fillId="0" borderId="122" xfId="94" applyFill="1" applyBorder="1" applyAlignment="1" applyProtection="1">
      <alignment horizontal="left"/>
      <protection locked="0"/>
    </xf>
    <xf numFmtId="0" fontId="99" fillId="0" borderId="32" xfId="94" applyFill="1" applyBorder="1" applyAlignment="1" applyProtection="1">
      <alignment horizontal="left"/>
      <protection locked="0"/>
    </xf>
    <xf numFmtId="0" fontId="99" fillId="0" borderId="116" xfId="94" applyFill="1" applyBorder="1" applyAlignment="1" applyProtection="1">
      <alignment horizontal="left"/>
      <protection locked="0"/>
    </xf>
    <xf numFmtId="0" fontId="99" fillId="0" borderId="37" xfId="94" applyFill="1" applyBorder="1" applyAlignment="1" applyProtection="1">
      <alignment horizontal="left"/>
      <protection locked="0"/>
    </xf>
    <xf numFmtId="0" fontId="109" fillId="0" borderId="118" xfId="94" applyFont="1" applyBorder="1" applyAlignment="1" applyProtection="1">
      <alignment horizontal="center"/>
    </xf>
    <xf numFmtId="0" fontId="109" fillId="0" borderId="120" xfId="94" applyFont="1" applyBorder="1" applyAlignment="1" applyProtection="1">
      <alignment horizontal="center"/>
    </xf>
    <xf numFmtId="0" fontId="114" fillId="64" borderId="118" xfId="94" applyFont="1" applyFill="1" applyBorder="1" applyAlignment="1" applyProtection="1">
      <alignment horizontal="center" vertical="center"/>
    </xf>
    <xf numFmtId="0" fontId="114" fillId="64" borderId="119" xfId="94" applyFont="1" applyFill="1" applyBorder="1" applyAlignment="1" applyProtection="1">
      <alignment horizontal="center" vertical="center"/>
    </xf>
    <xf numFmtId="0" fontId="114" fillId="64" borderId="120" xfId="94" applyFont="1" applyFill="1" applyBorder="1" applyAlignment="1" applyProtection="1">
      <alignment horizontal="center" vertical="center"/>
    </xf>
    <xf numFmtId="0" fontId="99" fillId="0" borderId="118" xfId="94" applyBorder="1" applyAlignment="1" applyProtection="1">
      <alignment horizontal="center" vertical="center" wrapText="1"/>
    </xf>
    <xf numFmtId="0" fontId="99" fillId="0" borderId="119" xfId="94" applyBorder="1" applyAlignment="1" applyProtection="1">
      <alignment horizontal="center" vertical="center" wrapText="1"/>
    </xf>
    <xf numFmtId="0" fontId="99" fillId="0" borderId="120" xfId="94" applyBorder="1" applyAlignment="1" applyProtection="1">
      <alignment horizontal="center" vertical="center" wrapText="1"/>
    </xf>
    <xf numFmtId="0" fontId="117" fillId="0" borderId="116" xfId="94" applyFont="1" applyFill="1" applyBorder="1" applyAlignment="1" applyProtection="1">
      <alignment horizontal="center" vertical="center" wrapText="1"/>
    </xf>
    <xf numFmtId="0" fontId="117" fillId="64" borderId="60" xfId="94" applyFont="1" applyFill="1" applyBorder="1" applyAlignment="1" applyProtection="1">
      <alignment horizontal="center" vertical="center" wrapText="1"/>
    </xf>
    <xf numFmtId="0" fontId="117" fillId="64" borderId="58" xfId="94" applyFont="1" applyFill="1" applyBorder="1" applyAlignment="1" applyProtection="1">
      <alignment horizontal="center" vertical="center" wrapText="1"/>
    </xf>
    <xf numFmtId="0" fontId="117" fillId="64" borderId="59" xfId="94" applyFont="1" applyFill="1" applyBorder="1" applyAlignment="1" applyProtection="1">
      <alignment horizontal="center" vertical="center" wrapText="1"/>
    </xf>
    <xf numFmtId="0" fontId="117" fillId="0" borderId="0" xfId="94" applyFont="1" applyFill="1" applyBorder="1" applyAlignment="1" applyProtection="1">
      <alignment horizontal="center" vertical="center" wrapText="1"/>
    </xf>
    <xf numFmtId="0" fontId="114" fillId="64" borderId="114" xfId="94" applyFont="1" applyFill="1" applyBorder="1" applyAlignment="1" applyProtection="1">
      <alignment horizontal="center"/>
    </xf>
    <xf numFmtId="0" fontId="118" fillId="0" borderId="118" xfId="94" applyFont="1" applyBorder="1" applyAlignment="1" applyProtection="1">
      <alignment horizontal="center" vertical="center"/>
    </xf>
    <xf numFmtId="0" fontId="118" fillId="0" borderId="119" xfId="94" applyFont="1" applyBorder="1" applyAlignment="1" applyProtection="1">
      <alignment horizontal="center" vertical="center"/>
    </xf>
    <xf numFmtId="0" fontId="118" fillId="0" borderId="235" xfId="94" applyFont="1" applyBorder="1" applyAlignment="1" applyProtection="1">
      <alignment horizontal="center" vertical="center"/>
    </xf>
    <xf numFmtId="0" fontId="117" fillId="0" borderId="0" xfId="94" applyFont="1" applyFill="1" applyBorder="1" applyAlignment="1" applyProtection="1">
      <alignment horizontal="center" vertical="center"/>
    </xf>
    <xf numFmtId="0" fontId="114" fillId="64" borderId="113" xfId="94" applyFont="1" applyFill="1" applyBorder="1" applyAlignment="1" applyProtection="1">
      <alignment horizontal="center" vertical="center" wrapText="1"/>
    </xf>
    <xf numFmtId="0" fontId="114" fillId="64" borderId="115" xfId="94" applyFont="1" applyFill="1" applyBorder="1" applyAlignment="1" applyProtection="1">
      <alignment horizontal="center" vertical="center" wrapText="1"/>
    </xf>
    <xf numFmtId="0" fontId="114" fillId="64" borderId="32" xfId="94" applyFont="1" applyFill="1" applyBorder="1" applyAlignment="1" applyProtection="1">
      <alignment horizontal="center" vertical="center" wrapText="1"/>
    </xf>
    <xf numFmtId="0" fontId="114" fillId="64" borderId="37" xfId="94" applyFont="1" applyFill="1" applyBorder="1" applyAlignment="1" applyProtection="1">
      <alignment horizontal="center" vertical="center" wrapText="1"/>
    </xf>
    <xf numFmtId="0" fontId="130" fillId="0" borderId="114" xfId="94" quotePrefix="1" applyFont="1" applyBorder="1" applyAlignment="1" applyProtection="1">
      <alignment horizontal="left" vertical="center" wrapText="1"/>
    </xf>
    <xf numFmtId="0" fontId="130" fillId="0" borderId="0" xfId="94" quotePrefix="1" applyFont="1" applyBorder="1" applyAlignment="1" applyProtection="1">
      <alignment horizontal="left" vertical="center" wrapText="1"/>
    </xf>
    <xf numFmtId="168" fontId="114" fillId="64" borderId="34" xfId="96" applyNumberFormat="1" applyFont="1" applyFill="1" applyBorder="1" applyAlignment="1" applyProtection="1">
      <alignment horizontal="center"/>
    </xf>
    <xf numFmtId="168" fontId="114" fillId="64" borderId="0" xfId="96" applyNumberFormat="1" applyFont="1" applyFill="1" applyBorder="1" applyAlignment="1" applyProtection="1">
      <alignment horizontal="center"/>
    </xf>
    <xf numFmtId="168" fontId="114" fillId="64" borderId="122" xfId="96" applyNumberFormat="1" applyFont="1" applyFill="1" applyBorder="1" applyAlignment="1" applyProtection="1">
      <alignment horizontal="center"/>
    </xf>
    <xf numFmtId="168" fontId="114" fillId="64" borderId="245" xfId="96" applyNumberFormat="1" applyFont="1" applyFill="1" applyBorder="1" applyAlignment="1" applyProtection="1">
      <alignment horizontal="center"/>
    </xf>
    <xf numFmtId="168" fontId="114" fillId="64" borderId="150" xfId="96" applyNumberFormat="1" applyFont="1" applyFill="1" applyBorder="1" applyAlignment="1" applyProtection="1">
      <alignment horizontal="center"/>
    </xf>
    <xf numFmtId="168" fontId="114" fillId="0" borderId="0" xfId="96" applyNumberFormat="1" applyFont="1" applyFill="1" applyBorder="1" applyAlignment="1" applyProtection="1">
      <alignment horizontal="center"/>
    </xf>
    <xf numFmtId="168" fontId="144" fillId="0" borderId="118" xfId="96" applyNumberFormat="1" applyFont="1" applyFill="1" applyBorder="1" applyAlignment="1" applyProtection="1">
      <alignment horizontal="center" vertical="center"/>
    </xf>
    <xf numFmtId="168" fontId="144" fillId="0" borderId="120" xfId="96" applyNumberFormat="1" applyFont="1" applyFill="1" applyBorder="1" applyAlignment="1" applyProtection="1">
      <alignment horizontal="center" vertical="center"/>
    </xf>
    <xf numFmtId="0" fontId="144" fillId="0" borderId="118" xfId="94" applyFont="1" applyFill="1" applyBorder="1" applyAlignment="1" applyProtection="1">
      <alignment horizontal="center"/>
    </xf>
    <xf numFmtId="0" fontId="144" fillId="0" borderId="120" xfId="94" applyFont="1" applyFill="1" applyBorder="1" applyAlignment="1" applyProtection="1">
      <alignment horizontal="center"/>
    </xf>
    <xf numFmtId="0" fontId="144" fillId="0" borderId="119" xfId="94" applyFont="1" applyFill="1" applyBorder="1" applyAlignment="1" applyProtection="1">
      <alignment horizontal="center"/>
    </xf>
    <xf numFmtId="0" fontId="101" fillId="0" borderId="114" xfId="94" applyFont="1" applyFill="1" applyBorder="1" applyAlignment="1" applyProtection="1">
      <alignment horizontal="center"/>
    </xf>
    <xf numFmtId="0" fontId="101" fillId="0" borderId="248" xfId="94" applyFont="1" applyFill="1" applyBorder="1" applyAlignment="1" applyProtection="1">
      <alignment horizontal="center"/>
    </xf>
    <xf numFmtId="0" fontId="114" fillId="64" borderId="225" xfId="94" applyFont="1" applyFill="1" applyBorder="1" applyAlignment="1" applyProtection="1">
      <alignment horizontal="center" vertical="center" wrapText="1"/>
    </xf>
    <xf numFmtId="0" fontId="114" fillId="64" borderId="224" xfId="94" applyFont="1" applyFill="1" applyBorder="1" applyAlignment="1" applyProtection="1">
      <alignment horizontal="center" vertical="center" wrapText="1"/>
    </xf>
    <xf numFmtId="168" fontId="144" fillId="0" borderId="113" xfId="96" applyNumberFormat="1" applyFont="1" applyFill="1" applyBorder="1" applyAlignment="1" applyProtection="1">
      <alignment horizontal="center" vertical="center"/>
    </xf>
    <xf numFmtId="168" fontId="144" fillId="0" borderId="115" xfId="96" applyNumberFormat="1" applyFont="1" applyFill="1" applyBorder="1" applyAlignment="1" applyProtection="1">
      <alignment horizontal="center" vertical="center"/>
    </xf>
    <xf numFmtId="168" fontId="144" fillId="0" borderId="32" xfId="96" applyNumberFormat="1" applyFont="1" applyFill="1" applyBorder="1" applyAlignment="1" applyProtection="1">
      <alignment horizontal="center" vertical="center"/>
    </xf>
    <xf numFmtId="168" fontId="144" fillId="0" borderId="37" xfId="96" applyNumberFormat="1" applyFont="1" applyFill="1" applyBorder="1" applyAlignment="1" applyProtection="1">
      <alignment horizontal="center" vertical="center"/>
    </xf>
    <xf numFmtId="168" fontId="144" fillId="0" borderId="121" xfId="96" applyNumberFormat="1" applyFont="1" applyFill="1" applyBorder="1" applyAlignment="1" applyProtection="1">
      <alignment horizontal="center" vertical="center"/>
    </xf>
    <xf numFmtId="168" fontId="144" fillId="0" borderId="21" xfId="96" applyNumberFormat="1" applyFont="1" applyFill="1" applyBorder="1" applyAlignment="1" applyProtection="1">
      <alignment horizontal="center" vertical="center"/>
    </xf>
    <xf numFmtId="8" fontId="109" fillId="0" borderId="118" xfId="94" applyNumberFormat="1" applyFont="1" applyFill="1" applyBorder="1" applyAlignment="1" applyProtection="1">
      <alignment horizontal="center"/>
    </xf>
    <xf numFmtId="8" fontId="109" fillId="0" borderId="119" xfId="94" applyNumberFormat="1" applyFont="1" applyFill="1" applyBorder="1" applyAlignment="1" applyProtection="1">
      <alignment horizontal="center"/>
    </xf>
    <xf numFmtId="8" fontId="109" fillId="0" borderId="120" xfId="94" applyNumberFormat="1" applyFont="1" applyFill="1" applyBorder="1" applyAlignment="1" applyProtection="1">
      <alignment horizontal="center"/>
    </xf>
    <xf numFmtId="0" fontId="109" fillId="0" borderId="116" xfId="94" applyFont="1" applyFill="1" applyBorder="1" applyAlignment="1" applyProtection="1">
      <alignment horizontal="center"/>
    </xf>
    <xf numFmtId="0" fontId="114" fillId="64" borderId="0" xfId="94" applyFont="1" applyFill="1" applyAlignment="1" applyProtection="1">
      <alignment horizontal="center"/>
    </xf>
    <xf numFmtId="0" fontId="8" fillId="0" borderId="0" xfId="49" applyFont="1" applyAlignment="1">
      <alignment horizontal="center" vertical="center"/>
    </xf>
    <xf numFmtId="0" fontId="8" fillId="0" borderId="0" xfId="49" applyFont="1" applyAlignment="1">
      <alignment horizontal="center"/>
    </xf>
    <xf numFmtId="0" fontId="3" fillId="0" borderId="0" xfId="0" applyFont="1" applyAlignment="1">
      <alignment vertical="center" textRotation="90" wrapText="1"/>
    </xf>
    <xf numFmtId="0" fontId="33" fillId="0" borderId="0" xfId="0" applyFont="1" applyAlignment="1">
      <alignment wrapText="1"/>
    </xf>
    <xf numFmtId="0" fontId="31" fillId="0" borderId="0" xfId="0" applyFont="1" applyAlignment="1">
      <alignment wrapText="1"/>
    </xf>
    <xf numFmtId="0" fontId="3" fillId="0" borderId="23" xfId="0" applyFont="1" applyBorder="1" applyAlignment="1">
      <alignment horizontal="center"/>
    </xf>
    <xf numFmtId="0" fontId="3" fillId="0" borderId="0" xfId="0" applyFont="1" applyAlignment="1">
      <alignment horizontal="center"/>
    </xf>
    <xf numFmtId="0" fontId="2" fillId="37" borderId="0" xfId="0" applyFont="1" applyFill="1" applyBorder="1" applyAlignment="1">
      <alignment horizontal="left" wrapText="1"/>
    </xf>
    <xf numFmtId="0" fontId="52" fillId="0" borderId="42" xfId="0" applyFont="1" applyFill="1" applyBorder="1" applyAlignment="1">
      <alignment horizontal="center"/>
    </xf>
    <xf numFmtId="0" fontId="52" fillId="0" borderId="43" xfId="0" applyFont="1" applyFill="1" applyBorder="1" applyAlignment="1">
      <alignment horizontal="center"/>
    </xf>
    <xf numFmtId="0" fontId="3" fillId="37" borderId="42" xfId="0" applyFont="1" applyFill="1" applyBorder="1" applyAlignment="1">
      <alignment horizontal="center"/>
    </xf>
    <xf numFmtId="0" fontId="3" fillId="37" borderId="43" xfId="0" applyFont="1" applyFill="1" applyBorder="1" applyAlignment="1">
      <alignment horizontal="center"/>
    </xf>
    <xf numFmtId="0" fontId="3" fillId="37" borderId="44" xfId="0" applyFont="1" applyFill="1" applyBorder="1" applyAlignment="1">
      <alignment horizontal="center"/>
    </xf>
    <xf numFmtId="0" fontId="0" fillId="33" borderId="108" xfId="0" applyFill="1" applyBorder="1" applyAlignment="1">
      <alignment horizontal="center" vertical="top" wrapText="1"/>
    </xf>
    <xf numFmtId="0" fontId="0" fillId="33" borderId="110" xfId="0" applyFill="1" applyBorder="1" applyAlignment="1">
      <alignment horizontal="center" vertical="top" wrapText="1"/>
    </xf>
    <xf numFmtId="0" fontId="6" fillId="33" borderId="108" xfId="0" applyFont="1" applyFill="1" applyBorder="1" applyAlignment="1">
      <alignment horizontal="center"/>
    </xf>
    <xf numFmtId="0" fontId="6" fillId="33" borderId="110" xfId="0" applyFont="1" applyFill="1" applyBorder="1" applyAlignment="1">
      <alignment horizontal="center"/>
    </xf>
    <xf numFmtId="0" fontId="0" fillId="33" borderId="109" xfId="0" applyFill="1" applyBorder="1" applyAlignment="1">
      <alignment horizontal="center" vertical="top" wrapText="1"/>
    </xf>
    <xf numFmtId="0" fontId="0" fillId="33" borderId="25" xfId="0" applyFill="1" applyBorder="1" applyAlignment="1">
      <alignment horizontal="center" vertical="top" wrapText="1"/>
    </xf>
    <xf numFmtId="0" fontId="2" fillId="33" borderId="108" xfId="0" applyFont="1" applyFill="1" applyBorder="1" applyAlignment="1">
      <alignment horizontal="center"/>
    </xf>
    <xf numFmtId="0" fontId="2" fillId="33" borderId="110" xfId="0" applyFont="1" applyFill="1" applyBorder="1" applyAlignment="1">
      <alignment horizontal="center"/>
    </xf>
    <xf numFmtId="0" fontId="3" fillId="0" borderId="0" xfId="48" applyFont="1" applyAlignment="1">
      <alignment horizontal="center"/>
    </xf>
    <xf numFmtId="0" fontId="57" fillId="43" borderId="0" xfId="0" applyFont="1" applyFill="1" applyAlignment="1">
      <alignment horizontal="center" vertical="center"/>
    </xf>
    <xf numFmtId="0" fontId="58" fillId="47" borderId="0" xfId="0" applyFont="1" applyFill="1" applyAlignment="1">
      <alignment horizontal="center"/>
    </xf>
  </cellXfs>
  <cellStyles count="9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96" xr:uid="{00000000-0005-0000-0000-00001C000000}"/>
    <cellStyle name="Currency" xfId="29" builtinId="4"/>
    <cellStyle name="Currency 2" xfId="97" xr:uid="{00000000-0005-0000-0000-00001E000000}"/>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Input" xfId="36" builtinId="20" customBuiltin="1"/>
    <cellStyle name="Linked Cell" xfId="37" builtinId="24" customBuiltin="1"/>
    <cellStyle name="Neutral" xfId="38" builtinId="28" customBuiltin="1"/>
    <cellStyle name="Normal" xfId="0" builtinId="0"/>
    <cellStyle name="Normal 108" xfId="98" xr:uid="{00000000-0005-0000-0000-000029000000}"/>
    <cellStyle name="Normal 2" xfId="94" xr:uid="{00000000-0005-0000-0000-00002A000000}"/>
    <cellStyle name="Normal 2 10" xfId="39" xr:uid="{00000000-0005-0000-0000-00002B000000}"/>
    <cellStyle name="Normal 2 2" xfId="40" xr:uid="{00000000-0005-0000-0000-00002C000000}"/>
    <cellStyle name="Normal 2 3" xfId="41" xr:uid="{00000000-0005-0000-0000-00002D000000}"/>
    <cellStyle name="Normal 2 4" xfId="42" xr:uid="{00000000-0005-0000-0000-00002E000000}"/>
    <cellStyle name="Normal 2 5" xfId="43" xr:uid="{00000000-0005-0000-0000-00002F000000}"/>
    <cellStyle name="Normal 2 6" xfId="44" xr:uid="{00000000-0005-0000-0000-000030000000}"/>
    <cellStyle name="Normal 2 7" xfId="45" xr:uid="{00000000-0005-0000-0000-000031000000}"/>
    <cellStyle name="Normal 2 8" xfId="46" xr:uid="{00000000-0005-0000-0000-000032000000}"/>
    <cellStyle name="Normal 2 9" xfId="47" xr:uid="{00000000-0005-0000-0000-000033000000}"/>
    <cellStyle name="Normal_FAS 141 Valutation" xfId="48" xr:uid="{00000000-0005-0000-0000-000034000000}"/>
    <cellStyle name="Normal_FY'06 TEMPLATE" xfId="49" xr:uid="{00000000-0005-0000-0000-000035000000}"/>
    <cellStyle name="Note" xfId="50" builtinId="10" customBuiltin="1"/>
    <cellStyle name="Output" xfId="51" builtinId="21" customBuiltin="1"/>
    <cellStyle name="Percent" xfId="52" builtinId="5"/>
    <cellStyle name="Percent 2" xfId="95" xr:uid="{00000000-0005-0000-0000-000039000000}"/>
    <cellStyle name="SAPBEXaggData" xfId="53" xr:uid="{00000000-0005-0000-0000-00003A000000}"/>
    <cellStyle name="SAPBEXaggDataEmph" xfId="54" xr:uid="{00000000-0005-0000-0000-00003B000000}"/>
    <cellStyle name="SAPBEXaggItem" xfId="55" xr:uid="{00000000-0005-0000-0000-00003C000000}"/>
    <cellStyle name="SAPBEXaggItemX" xfId="56" xr:uid="{00000000-0005-0000-0000-00003D000000}"/>
    <cellStyle name="SAPBEXchaText" xfId="57" xr:uid="{00000000-0005-0000-0000-00003E000000}"/>
    <cellStyle name="SAPBEXexcBad7" xfId="58" xr:uid="{00000000-0005-0000-0000-00003F000000}"/>
    <cellStyle name="SAPBEXexcBad8" xfId="59" xr:uid="{00000000-0005-0000-0000-000040000000}"/>
    <cellStyle name="SAPBEXexcBad9" xfId="60" xr:uid="{00000000-0005-0000-0000-000041000000}"/>
    <cellStyle name="SAPBEXexcCritical4" xfId="61" xr:uid="{00000000-0005-0000-0000-000042000000}"/>
    <cellStyle name="SAPBEXexcCritical5" xfId="62" xr:uid="{00000000-0005-0000-0000-000043000000}"/>
    <cellStyle name="SAPBEXexcCritical6" xfId="63" xr:uid="{00000000-0005-0000-0000-000044000000}"/>
    <cellStyle name="SAPBEXexcGood1" xfId="64" xr:uid="{00000000-0005-0000-0000-000045000000}"/>
    <cellStyle name="SAPBEXexcGood2" xfId="65" xr:uid="{00000000-0005-0000-0000-000046000000}"/>
    <cellStyle name="SAPBEXexcGood3" xfId="66" xr:uid="{00000000-0005-0000-0000-000047000000}"/>
    <cellStyle name="SAPBEXfilterDrill" xfId="67" xr:uid="{00000000-0005-0000-0000-000048000000}"/>
    <cellStyle name="SAPBEXfilterItem" xfId="68" xr:uid="{00000000-0005-0000-0000-000049000000}"/>
    <cellStyle name="SAPBEXfilterText" xfId="69" xr:uid="{00000000-0005-0000-0000-00004A000000}"/>
    <cellStyle name="SAPBEXformats" xfId="70" xr:uid="{00000000-0005-0000-0000-00004B000000}"/>
    <cellStyle name="SAPBEXheaderItem" xfId="71" xr:uid="{00000000-0005-0000-0000-00004C000000}"/>
    <cellStyle name="SAPBEXheaderText" xfId="72" xr:uid="{00000000-0005-0000-0000-00004D000000}"/>
    <cellStyle name="SAPBEXHLevel0" xfId="73" xr:uid="{00000000-0005-0000-0000-00004E000000}"/>
    <cellStyle name="SAPBEXHLevel0X" xfId="74" xr:uid="{00000000-0005-0000-0000-00004F000000}"/>
    <cellStyle name="SAPBEXHLevel1" xfId="75" xr:uid="{00000000-0005-0000-0000-000050000000}"/>
    <cellStyle name="SAPBEXHLevel1X" xfId="76" xr:uid="{00000000-0005-0000-0000-000051000000}"/>
    <cellStyle name="SAPBEXHLevel2" xfId="77" xr:uid="{00000000-0005-0000-0000-000052000000}"/>
    <cellStyle name="SAPBEXHLevel2X" xfId="78" xr:uid="{00000000-0005-0000-0000-000053000000}"/>
    <cellStyle name="SAPBEXHLevel3" xfId="79" xr:uid="{00000000-0005-0000-0000-000054000000}"/>
    <cellStyle name="SAPBEXHLevel3X" xfId="80" xr:uid="{00000000-0005-0000-0000-000055000000}"/>
    <cellStyle name="SAPBEXresData" xfId="81" xr:uid="{00000000-0005-0000-0000-000056000000}"/>
    <cellStyle name="SAPBEXresDataEmph" xfId="82" xr:uid="{00000000-0005-0000-0000-000057000000}"/>
    <cellStyle name="SAPBEXresItem" xfId="83" xr:uid="{00000000-0005-0000-0000-000058000000}"/>
    <cellStyle name="SAPBEXresItemX" xfId="84" xr:uid="{00000000-0005-0000-0000-000059000000}"/>
    <cellStyle name="SAPBEXstdData" xfId="85" xr:uid="{00000000-0005-0000-0000-00005A000000}"/>
    <cellStyle name="SAPBEXstdDataEmph" xfId="86" xr:uid="{00000000-0005-0000-0000-00005B000000}"/>
    <cellStyle name="SAPBEXstdItem" xfId="87" xr:uid="{00000000-0005-0000-0000-00005C000000}"/>
    <cellStyle name="SAPBEXstdItemX" xfId="88" xr:uid="{00000000-0005-0000-0000-00005D000000}"/>
    <cellStyle name="SAPBEXtitle" xfId="89" xr:uid="{00000000-0005-0000-0000-00005E000000}"/>
    <cellStyle name="SAPBEXundefined" xfId="90" xr:uid="{00000000-0005-0000-0000-00005F000000}"/>
    <cellStyle name="Title" xfId="91" builtinId="15" customBuiltin="1"/>
    <cellStyle name="Total" xfId="92" builtinId="25" customBuiltin="1"/>
    <cellStyle name="Warning Text" xfId="93" builtinId="11" customBuiltin="1"/>
  </cellStyles>
  <dxfs count="255">
    <dxf>
      <fill>
        <patternFill>
          <bgColor indexed="44"/>
        </patternFill>
      </fill>
    </dxf>
    <dxf>
      <fill>
        <patternFill>
          <bgColor indexed="44"/>
        </patternFill>
      </fill>
    </dxf>
    <dxf>
      <fill>
        <patternFill>
          <bgColor indexed="44"/>
        </patternFill>
      </fill>
      <border>
        <left style="thin">
          <color indexed="63"/>
        </left>
        <right style="thin">
          <color indexed="63"/>
        </right>
        <top style="thin">
          <color indexed="63"/>
        </top>
        <bottom style="thin">
          <color indexed="63"/>
        </bottom>
      </border>
    </dxf>
    <dxf>
      <fill>
        <patternFill>
          <bgColor indexed="44"/>
        </patternFill>
      </fill>
    </dxf>
    <dxf>
      <fill>
        <patternFill>
          <bgColor indexed="44"/>
        </patternFill>
      </fill>
    </dxf>
    <dxf>
      <fill>
        <patternFill>
          <bgColor indexed="44"/>
        </patternFill>
      </fill>
      <border>
        <left style="thin">
          <color indexed="63"/>
        </left>
        <right style="thin">
          <color indexed="63"/>
        </right>
        <top style="thin">
          <color indexed="63"/>
        </top>
        <bottom style="thin">
          <color indexed="63"/>
        </bottom>
      </border>
    </dxf>
    <dxf>
      <fill>
        <patternFill>
          <bgColor indexed="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9C0006"/>
      </font>
    </dxf>
    <dxf>
      <font>
        <color rgb="FF9C0006"/>
      </font>
    </dxf>
    <dxf>
      <font>
        <color rgb="FFFF0000"/>
      </font>
      <fill>
        <patternFill>
          <bgColor theme="0" tint="-0.1499679555650502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FF0000"/>
      </font>
      <fill>
        <patternFill>
          <bgColor theme="0" tint="-0.14996795556505021"/>
        </patternFill>
      </fill>
    </dxf>
    <dxf>
      <font>
        <color rgb="FF9C0006"/>
      </font>
    </dxf>
    <dxf>
      <font>
        <color rgb="FF9C0006"/>
      </font>
    </dxf>
    <dxf>
      <font>
        <color rgb="FFFF0000"/>
      </font>
      <fill>
        <patternFill>
          <bgColor theme="0" tint="-0.14996795556505021"/>
        </patternFill>
      </fill>
    </dxf>
    <dxf>
      <fill>
        <patternFill>
          <bgColor theme="0"/>
        </patternFill>
      </fill>
    </dxf>
    <dxf>
      <font>
        <color rgb="FF92D050"/>
      </font>
      <fill>
        <patternFill>
          <bgColor rgb="FF92D050"/>
        </patternFill>
      </fill>
    </dxf>
    <dxf>
      <font>
        <color theme="9" tint="-0.24994659260841701"/>
      </font>
      <fill>
        <patternFill>
          <bgColor theme="9" tint="-0.24994659260841701"/>
        </patternFill>
      </fill>
    </dxf>
  </dxfs>
  <tableStyles count="0" defaultTableStyle="TableStyleMedium9"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xml"/><Relationship Id="rId1" Type="http://schemas.microsoft.com/office/2011/relationships/chartStyle" Target="style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0.1023152860187205"/>
          <c:w val="0.87589778060758949"/>
          <c:h val="0.65134112196272842"/>
        </c:manualLayout>
      </c:layout>
      <c:barChart>
        <c:barDir val="col"/>
        <c:grouping val="clustered"/>
        <c:varyColors val="0"/>
        <c:ser>
          <c:idx val="0"/>
          <c:order val="0"/>
          <c:tx>
            <c:strRef>
              <c:f>Current_Prior!$I$133</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62D-4133-9248-5866EA384024}"/>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62D-4133-9248-5866EA384024}"/>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62D-4133-9248-5866EA384024}"/>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2D-4133-9248-5866EA384024}"/>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Current_Prior!$E$134:$G$142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Current_Prior!$I$134:$I$142</c:f>
              <c:numCache>
                <c:formatCode>0</c:formatCode>
                <c:ptCount val="9"/>
                <c:pt idx="0">
                  <c:v>0</c:v>
                </c:pt>
                <c:pt idx="6">
                  <c:v>21.75477969081026</c:v>
                </c:pt>
                <c:pt idx="8">
                  <c:v>0</c:v>
                </c:pt>
              </c:numCache>
            </c:numRef>
          </c:val>
          <c:extLst>
            <c:ext xmlns:c16="http://schemas.microsoft.com/office/drawing/2014/chart" uri="{C3380CC4-5D6E-409C-BE32-E72D297353CC}">
              <c16:uniqueId val="{00000004-062D-4133-9248-5866EA384024}"/>
            </c:ext>
          </c:extLst>
        </c:ser>
        <c:dLbls>
          <c:dLblPos val="ctr"/>
          <c:showLegendKey val="0"/>
          <c:showVal val="1"/>
          <c:showCatName val="0"/>
          <c:showSerName val="0"/>
          <c:showPercent val="0"/>
          <c:showBubbleSize val="0"/>
        </c:dLbls>
        <c:gapWidth val="75"/>
        <c:axId val="144681424"/>
        <c:axId val="144682208"/>
      </c:barChart>
      <c:lineChart>
        <c:grouping val="standard"/>
        <c:varyColors val="0"/>
        <c:ser>
          <c:idx val="1"/>
          <c:order val="1"/>
          <c:tx>
            <c:strRef>
              <c:f>Current_Prior!$J$133</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062D-4133-9248-5866EA384024}"/>
                </c:ext>
              </c:extLst>
            </c:dLbl>
            <c:dLbl>
              <c:idx val="2"/>
              <c:delete val="1"/>
              <c:extLst>
                <c:ext xmlns:c15="http://schemas.microsoft.com/office/drawing/2012/chart" uri="{CE6537A1-D6FC-4f65-9D91-7224C49458BB}"/>
                <c:ext xmlns:c16="http://schemas.microsoft.com/office/drawing/2014/chart" uri="{C3380CC4-5D6E-409C-BE32-E72D297353CC}">
                  <c16:uniqueId val="{00000006-062D-4133-9248-5866EA384024}"/>
                </c:ext>
              </c:extLst>
            </c:dLbl>
            <c:dLbl>
              <c:idx val="3"/>
              <c:delete val="1"/>
              <c:extLst>
                <c:ext xmlns:c15="http://schemas.microsoft.com/office/drawing/2012/chart" uri="{CE6537A1-D6FC-4f65-9D91-7224C49458BB}"/>
                <c:ext xmlns:c16="http://schemas.microsoft.com/office/drawing/2014/chart" uri="{C3380CC4-5D6E-409C-BE32-E72D297353CC}">
                  <c16:uniqueId val="{00000007-062D-4133-9248-5866EA384024}"/>
                </c:ext>
              </c:extLst>
            </c:dLbl>
            <c:dLbl>
              <c:idx val="4"/>
              <c:delete val="1"/>
              <c:extLst>
                <c:ext xmlns:c15="http://schemas.microsoft.com/office/drawing/2012/chart" uri="{CE6537A1-D6FC-4f65-9D91-7224C49458BB}"/>
                <c:ext xmlns:c16="http://schemas.microsoft.com/office/drawing/2014/chart" uri="{C3380CC4-5D6E-409C-BE32-E72D297353CC}">
                  <c16:uniqueId val="{00000008-062D-4133-9248-5866EA384024}"/>
                </c:ext>
              </c:extLst>
            </c:dLbl>
            <c:dLbl>
              <c:idx val="5"/>
              <c:delete val="1"/>
              <c:extLst>
                <c:ext xmlns:c15="http://schemas.microsoft.com/office/drawing/2012/chart" uri="{CE6537A1-D6FC-4f65-9D91-7224C49458BB}"/>
                <c:ext xmlns:c16="http://schemas.microsoft.com/office/drawing/2014/chart" uri="{C3380CC4-5D6E-409C-BE32-E72D297353CC}">
                  <c16:uniqueId val="{00000009-062D-4133-9248-5866EA384024}"/>
                </c:ext>
              </c:extLst>
            </c:dLbl>
            <c:dLbl>
              <c:idx val="7"/>
              <c:delete val="1"/>
              <c:extLst>
                <c:ext xmlns:c15="http://schemas.microsoft.com/office/drawing/2012/chart" uri="{CE6537A1-D6FC-4f65-9D91-7224C49458BB}"/>
                <c:ext xmlns:c16="http://schemas.microsoft.com/office/drawing/2014/chart" uri="{C3380CC4-5D6E-409C-BE32-E72D297353CC}">
                  <c16:uniqueId val="{0000000A-062D-4133-9248-5866EA384024}"/>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Current_Prior!$E$134:$G$142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Current_Prior!$J$134:$J$142</c:f>
              <c:numCache>
                <c:formatCode>0</c:formatCode>
                <c:ptCount val="9"/>
                <c:pt idx="1">
                  <c:v>0</c:v>
                </c:pt>
                <c:pt idx="2">
                  <c:v>0</c:v>
                </c:pt>
                <c:pt idx="3">
                  <c:v>0</c:v>
                </c:pt>
                <c:pt idx="4">
                  <c:v>0</c:v>
                </c:pt>
                <c:pt idx="5">
                  <c:v>0</c:v>
                </c:pt>
                <c:pt idx="7">
                  <c:v>21.75477969081026</c:v>
                </c:pt>
              </c:numCache>
            </c:numRef>
          </c:val>
          <c:smooth val="0"/>
          <c:extLst>
            <c:ext xmlns:c16="http://schemas.microsoft.com/office/drawing/2014/chart" uri="{C3380CC4-5D6E-409C-BE32-E72D297353CC}">
              <c16:uniqueId val="{0000000B-062D-4133-9248-5866EA384024}"/>
            </c:ext>
          </c:extLst>
        </c:ser>
        <c:ser>
          <c:idx val="2"/>
          <c:order val="2"/>
          <c:tx>
            <c:strRef>
              <c:f>Current_Prior!$K$133</c:f>
              <c:strCache>
                <c:ptCount val="1"/>
                <c:pt idx="0">
                  <c:v>After</c:v>
                </c:pt>
              </c:strCache>
            </c:strRef>
          </c:tx>
          <c:spPr>
            <a:ln>
              <a:noFill/>
            </a:ln>
          </c:spPr>
          <c:marker>
            <c:symbol val="none"/>
          </c:marker>
          <c:dLbls>
            <c:delete val="1"/>
          </c:dLbls>
          <c:cat>
            <c:multiLvlStrRef>
              <c:f>Current_Prior!$E$134:$G$142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Current_Prior!$K$134:$K$142</c:f>
              <c:numCache>
                <c:formatCode>0</c:formatCode>
                <c:ptCount val="9"/>
                <c:pt idx="1">
                  <c:v>0</c:v>
                </c:pt>
                <c:pt idx="2">
                  <c:v>0</c:v>
                </c:pt>
                <c:pt idx="3">
                  <c:v>0</c:v>
                </c:pt>
                <c:pt idx="4">
                  <c:v>0</c:v>
                </c:pt>
                <c:pt idx="5">
                  <c:v>21.75477969081026</c:v>
                </c:pt>
                <c:pt idx="7">
                  <c:v>0</c:v>
                </c:pt>
              </c:numCache>
            </c:numRef>
          </c:val>
          <c:smooth val="0"/>
          <c:extLst>
            <c:ext xmlns:c16="http://schemas.microsoft.com/office/drawing/2014/chart" uri="{C3380CC4-5D6E-409C-BE32-E72D297353CC}">
              <c16:uniqueId val="{0000000C-062D-4133-9248-5866EA384024}"/>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144681424"/>
        <c:axId val="144682208"/>
      </c:lineChart>
      <c:catAx>
        <c:axId val="144681424"/>
        <c:scaling>
          <c:orientation val="minMax"/>
        </c:scaling>
        <c:delete val="0"/>
        <c:axPos val="b"/>
        <c:numFmt formatCode="General" sourceLinked="0"/>
        <c:majorTickMark val="out"/>
        <c:minorTickMark val="none"/>
        <c:tickLblPos val="low"/>
        <c:txPr>
          <a:bodyPr rot="0" vert="horz"/>
          <a:lstStyle/>
          <a:p>
            <a:pPr>
              <a:defRPr b="1"/>
            </a:pPr>
            <a:endParaRPr lang="en-US"/>
          </a:p>
        </c:txPr>
        <c:crossAx val="144682208"/>
        <c:crosses val="autoZero"/>
        <c:auto val="1"/>
        <c:lblAlgn val="ctr"/>
        <c:lblOffset val="100"/>
        <c:noMultiLvlLbl val="0"/>
      </c:catAx>
      <c:valAx>
        <c:axId val="144682208"/>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144681424"/>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0919080312175188E-2"/>
          <c:w val="0.87907956206063242"/>
          <c:h val="0.70610134729173291"/>
        </c:manualLayout>
      </c:layout>
      <c:barChart>
        <c:barDir val="col"/>
        <c:grouping val="clustered"/>
        <c:varyColors val="0"/>
        <c:ser>
          <c:idx val="0"/>
          <c:order val="0"/>
          <c:tx>
            <c:strRef>
              <c:f>Current_Prior!$AT$133</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AC-4FCA-B654-4047DD16226E}"/>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AC-4FCA-B654-4047DD16226E}"/>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4AC-4FCA-B654-4047DD16226E}"/>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AC-4FCA-B654-4047DD16226E}"/>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Current_Prior!$AT$134:$AT$142</c:f>
              <c:numCache>
                <c:formatCode>0</c:formatCode>
                <c:ptCount val="9"/>
                <c:pt idx="0">
                  <c:v>0</c:v>
                </c:pt>
                <c:pt idx="6">
                  <c:v>101.68322203437472</c:v>
                </c:pt>
                <c:pt idx="8">
                  <c:v>0</c:v>
                </c:pt>
              </c:numCache>
            </c:numRef>
          </c:val>
          <c:extLst>
            <c:ext xmlns:c16="http://schemas.microsoft.com/office/drawing/2014/chart" uri="{C3380CC4-5D6E-409C-BE32-E72D297353CC}">
              <c16:uniqueId val="{00000004-94AC-4FCA-B654-4047DD16226E}"/>
            </c:ext>
          </c:extLst>
        </c:ser>
        <c:dLbls>
          <c:dLblPos val="ctr"/>
          <c:showLegendKey val="0"/>
          <c:showVal val="1"/>
          <c:showCatName val="0"/>
          <c:showSerName val="0"/>
          <c:showPercent val="0"/>
          <c:showBubbleSize val="0"/>
        </c:dLbls>
        <c:gapWidth val="75"/>
        <c:axId val="144682992"/>
        <c:axId val="144683384"/>
      </c:barChart>
      <c:lineChart>
        <c:grouping val="standard"/>
        <c:varyColors val="0"/>
        <c:ser>
          <c:idx val="1"/>
          <c:order val="1"/>
          <c:tx>
            <c:strRef>
              <c:f>Current_Prior!$AU$133</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94AC-4FCA-B654-4047DD16226E}"/>
                </c:ext>
              </c:extLst>
            </c:dLbl>
            <c:dLbl>
              <c:idx val="2"/>
              <c:delete val="1"/>
              <c:extLst>
                <c:ext xmlns:c15="http://schemas.microsoft.com/office/drawing/2012/chart" uri="{CE6537A1-D6FC-4f65-9D91-7224C49458BB}"/>
                <c:ext xmlns:c16="http://schemas.microsoft.com/office/drawing/2014/chart" uri="{C3380CC4-5D6E-409C-BE32-E72D297353CC}">
                  <c16:uniqueId val="{00000006-94AC-4FCA-B654-4047DD16226E}"/>
                </c:ext>
              </c:extLst>
            </c:dLbl>
            <c:dLbl>
              <c:idx val="3"/>
              <c:delete val="1"/>
              <c:extLst>
                <c:ext xmlns:c15="http://schemas.microsoft.com/office/drawing/2012/chart" uri="{CE6537A1-D6FC-4f65-9D91-7224C49458BB}"/>
                <c:ext xmlns:c16="http://schemas.microsoft.com/office/drawing/2014/chart" uri="{C3380CC4-5D6E-409C-BE32-E72D297353CC}">
                  <c16:uniqueId val="{00000007-94AC-4FCA-B654-4047DD16226E}"/>
                </c:ext>
              </c:extLst>
            </c:dLbl>
            <c:dLbl>
              <c:idx val="4"/>
              <c:delete val="1"/>
              <c:extLst>
                <c:ext xmlns:c15="http://schemas.microsoft.com/office/drawing/2012/chart" uri="{CE6537A1-D6FC-4f65-9D91-7224C49458BB}"/>
                <c:ext xmlns:c16="http://schemas.microsoft.com/office/drawing/2014/chart" uri="{C3380CC4-5D6E-409C-BE32-E72D297353CC}">
                  <c16:uniqueId val="{00000008-94AC-4FCA-B654-4047DD16226E}"/>
                </c:ext>
              </c:extLst>
            </c:dLbl>
            <c:dLbl>
              <c:idx val="5"/>
              <c:delete val="1"/>
              <c:extLst>
                <c:ext xmlns:c15="http://schemas.microsoft.com/office/drawing/2012/chart" uri="{CE6537A1-D6FC-4f65-9D91-7224C49458BB}"/>
                <c:ext xmlns:c16="http://schemas.microsoft.com/office/drawing/2014/chart" uri="{C3380CC4-5D6E-409C-BE32-E72D297353CC}">
                  <c16:uniqueId val="{00000009-94AC-4FCA-B654-4047DD16226E}"/>
                </c:ext>
              </c:extLst>
            </c:dLbl>
            <c:dLbl>
              <c:idx val="7"/>
              <c:delete val="1"/>
              <c:extLst>
                <c:ext xmlns:c15="http://schemas.microsoft.com/office/drawing/2012/chart" uri="{CE6537A1-D6FC-4f65-9D91-7224C49458BB}"/>
                <c:ext xmlns:c16="http://schemas.microsoft.com/office/drawing/2014/chart" uri="{C3380CC4-5D6E-409C-BE32-E72D297353CC}">
                  <c16:uniqueId val="{0000000A-94AC-4FCA-B654-4047DD16226E}"/>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Current_Prior!$AU$134:$AU$142</c:f>
              <c:numCache>
                <c:formatCode>0</c:formatCode>
                <c:ptCount val="9"/>
                <c:pt idx="1">
                  <c:v>0</c:v>
                </c:pt>
                <c:pt idx="2">
                  <c:v>0</c:v>
                </c:pt>
                <c:pt idx="3">
                  <c:v>0</c:v>
                </c:pt>
                <c:pt idx="4">
                  <c:v>0</c:v>
                </c:pt>
                <c:pt idx="5">
                  <c:v>0</c:v>
                </c:pt>
                <c:pt idx="7">
                  <c:v>101.68322203437472</c:v>
                </c:pt>
              </c:numCache>
            </c:numRef>
          </c:val>
          <c:smooth val="0"/>
          <c:extLst>
            <c:ext xmlns:c16="http://schemas.microsoft.com/office/drawing/2014/chart" uri="{C3380CC4-5D6E-409C-BE32-E72D297353CC}">
              <c16:uniqueId val="{0000000B-94AC-4FCA-B654-4047DD16226E}"/>
            </c:ext>
          </c:extLst>
        </c:ser>
        <c:ser>
          <c:idx val="2"/>
          <c:order val="2"/>
          <c:tx>
            <c:strRef>
              <c:f>Current_Prior!$AV$133</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94AC-4FCA-B654-4047DD16226E}"/>
                </c:ext>
              </c:extLst>
            </c:dLbl>
            <c:dLbl>
              <c:idx val="2"/>
              <c:delete val="1"/>
              <c:extLst>
                <c:ext xmlns:c15="http://schemas.microsoft.com/office/drawing/2012/chart" uri="{CE6537A1-D6FC-4f65-9D91-7224C49458BB}"/>
                <c:ext xmlns:c16="http://schemas.microsoft.com/office/drawing/2014/chart" uri="{C3380CC4-5D6E-409C-BE32-E72D297353CC}">
                  <c16:uniqueId val="{0000000D-94AC-4FCA-B654-4047DD16226E}"/>
                </c:ext>
              </c:extLst>
            </c:dLbl>
            <c:dLbl>
              <c:idx val="3"/>
              <c:delete val="1"/>
              <c:extLst>
                <c:ext xmlns:c15="http://schemas.microsoft.com/office/drawing/2012/chart" uri="{CE6537A1-D6FC-4f65-9D91-7224C49458BB}"/>
                <c:ext xmlns:c16="http://schemas.microsoft.com/office/drawing/2014/chart" uri="{C3380CC4-5D6E-409C-BE32-E72D297353CC}">
                  <c16:uniqueId val="{0000000E-94AC-4FCA-B654-4047DD16226E}"/>
                </c:ext>
              </c:extLst>
            </c:dLbl>
            <c:dLbl>
              <c:idx val="4"/>
              <c:delete val="1"/>
              <c:extLst>
                <c:ext xmlns:c15="http://schemas.microsoft.com/office/drawing/2012/chart" uri="{CE6537A1-D6FC-4f65-9D91-7224C49458BB}"/>
                <c:ext xmlns:c16="http://schemas.microsoft.com/office/drawing/2014/chart" uri="{C3380CC4-5D6E-409C-BE32-E72D297353CC}">
                  <c16:uniqueId val="{0000000F-94AC-4FCA-B654-4047DD16226E}"/>
                </c:ext>
              </c:extLst>
            </c:dLbl>
            <c:dLbl>
              <c:idx val="5"/>
              <c:delete val="1"/>
              <c:extLst>
                <c:ext xmlns:c15="http://schemas.microsoft.com/office/drawing/2012/chart" uri="{CE6537A1-D6FC-4f65-9D91-7224C49458BB}"/>
                <c:ext xmlns:c16="http://schemas.microsoft.com/office/drawing/2014/chart" uri="{C3380CC4-5D6E-409C-BE32-E72D297353CC}">
                  <c16:uniqueId val="{00000010-94AC-4FCA-B654-4047DD16226E}"/>
                </c:ext>
              </c:extLst>
            </c:dLbl>
            <c:dLbl>
              <c:idx val="7"/>
              <c:delete val="1"/>
              <c:extLst>
                <c:ext xmlns:c15="http://schemas.microsoft.com/office/drawing/2012/chart" uri="{CE6537A1-D6FC-4f65-9D91-7224C49458BB}"/>
                <c:ext xmlns:c16="http://schemas.microsoft.com/office/drawing/2014/chart" uri="{C3380CC4-5D6E-409C-BE32-E72D297353CC}">
                  <c16:uniqueId val="{00000011-94AC-4FCA-B654-4047DD16226E}"/>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Current_Prior!$AV$134:$AV$142</c:f>
              <c:numCache>
                <c:formatCode>0</c:formatCode>
                <c:ptCount val="9"/>
                <c:pt idx="1">
                  <c:v>0</c:v>
                </c:pt>
                <c:pt idx="2">
                  <c:v>0</c:v>
                </c:pt>
                <c:pt idx="3">
                  <c:v>0</c:v>
                </c:pt>
                <c:pt idx="4">
                  <c:v>0</c:v>
                </c:pt>
                <c:pt idx="5">
                  <c:v>101.68322203437472</c:v>
                </c:pt>
                <c:pt idx="7">
                  <c:v>0</c:v>
                </c:pt>
              </c:numCache>
            </c:numRef>
          </c:val>
          <c:smooth val="0"/>
          <c:extLst>
            <c:ext xmlns:c16="http://schemas.microsoft.com/office/drawing/2014/chart" uri="{C3380CC4-5D6E-409C-BE32-E72D297353CC}">
              <c16:uniqueId val="{00000012-94AC-4FCA-B654-4047DD16226E}"/>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144682992"/>
        <c:axId val="144683384"/>
      </c:lineChart>
      <c:catAx>
        <c:axId val="144682992"/>
        <c:scaling>
          <c:orientation val="minMax"/>
        </c:scaling>
        <c:delete val="0"/>
        <c:axPos val="b"/>
        <c:numFmt formatCode="General" sourceLinked="0"/>
        <c:majorTickMark val="out"/>
        <c:minorTickMark val="none"/>
        <c:tickLblPos val="low"/>
        <c:txPr>
          <a:bodyPr rot="0" vert="horz"/>
          <a:lstStyle/>
          <a:p>
            <a:pPr>
              <a:defRPr b="1"/>
            </a:pPr>
            <a:endParaRPr lang="en-US"/>
          </a:p>
        </c:txPr>
        <c:crossAx val="144683384"/>
        <c:crosses val="autoZero"/>
        <c:auto val="1"/>
        <c:lblAlgn val="ctr"/>
        <c:lblOffset val="100"/>
        <c:noMultiLvlLbl val="0"/>
      </c:catAx>
      <c:valAx>
        <c:axId val="144683384"/>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6.8609112639571538E-3"/>
              <c:y val="0.36279126567512388"/>
            </c:manualLayout>
          </c:layout>
          <c:overlay val="0"/>
        </c:title>
        <c:numFmt formatCode="0" sourceLinked="0"/>
        <c:majorTickMark val="out"/>
        <c:minorTickMark val="none"/>
        <c:tickLblPos val="nextTo"/>
        <c:txPr>
          <a:bodyPr/>
          <a:lstStyle/>
          <a:p>
            <a:pPr>
              <a:defRPr b="1"/>
            </a:pPr>
            <a:endParaRPr lang="en-US"/>
          </a:p>
        </c:txPr>
        <c:crossAx val="144682992"/>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521917406537E-2"/>
          <c:y val="7.8120234970628671E-2"/>
          <c:w val="0.86580873976053607"/>
          <c:h val="0.67177091488709872"/>
        </c:manualLayout>
      </c:layout>
      <c:barChart>
        <c:barDir val="col"/>
        <c:grouping val="clustered"/>
        <c:varyColors val="0"/>
        <c:ser>
          <c:idx val="0"/>
          <c:order val="0"/>
          <c:tx>
            <c:strRef>
              <c:f>Current_Prior!$I$225</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CA-4E1D-8863-3E4A75602995}"/>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CA-4E1D-8863-3E4A75602995}"/>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CA-4E1D-8863-3E4A75602995}"/>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CA-4E1D-8863-3E4A75602995}"/>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Current_Prior!$E$226:$G$232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Current_Prior!$I$226:$I$232</c:f>
              <c:numCache>
                <c:formatCode>0</c:formatCode>
                <c:ptCount val="7"/>
                <c:pt idx="0">
                  <c:v>0</c:v>
                </c:pt>
                <c:pt idx="6">
                  <c:v>21.75477969081026</c:v>
                </c:pt>
              </c:numCache>
            </c:numRef>
          </c:val>
          <c:extLst>
            <c:ext xmlns:c16="http://schemas.microsoft.com/office/drawing/2014/chart" uri="{C3380CC4-5D6E-409C-BE32-E72D297353CC}">
              <c16:uniqueId val="{00000004-FBCA-4E1D-8863-3E4A75602995}"/>
            </c:ext>
          </c:extLst>
        </c:ser>
        <c:dLbls>
          <c:dLblPos val="ctr"/>
          <c:showLegendKey val="0"/>
          <c:showVal val="1"/>
          <c:showCatName val="0"/>
          <c:showSerName val="0"/>
          <c:showPercent val="0"/>
          <c:showBubbleSize val="0"/>
        </c:dLbls>
        <c:gapWidth val="75"/>
        <c:axId val="144684168"/>
        <c:axId val="429296384"/>
      </c:barChart>
      <c:lineChart>
        <c:grouping val="standard"/>
        <c:varyColors val="0"/>
        <c:ser>
          <c:idx val="1"/>
          <c:order val="1"/>
          <c:tx>
            <c:strRef>
              <c:f>Current_Prior!$J$225</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FBCA-4E1D-8863-3E4A75602995}"/>
                </c:ext>
              </c:extLst>
            </c:dLbl>
            <c:dLbl>
              <c:idx val="2"/>
              <c:delete val="1"/>
              <c:extLst>
                <c:ext xmlns:c15="http://schemas.microsoft.com/office/drawing/2012/chart" uri="{CE6537A1-D6FC-4f65-9D91-7224C49458BB}"/>
                <c:ext xmlns:c16="http://schemas.microsoft.com/office/drawing/2014/chart" uri="{C3380CC4-5D6E-409C-BE32-E72D297353CC}">
                  <c16:uniqueId val="{00000006-FBCA-4E1D-8863-3E4A75602995}"/>
                </c:ext>
              </c:extLst>
            </c:dLbl>
            <c:dLbl>
              <c:idx val="3"/>
              <c:delete val="1"/>
              <c:extLst>
                <c:ext xmlns:c15="http://schemas.microsoft.com/office/drawing/2012/chart" uri="{CE6537A1-D6FC-4f65-9D91-7224C49458BB}"/>
                <c:ext xmlns:c16="http://schemas.microsoft.com/office/drawing/2014/chart" uri="{C3380CC4-5D6E-409C-BE32-E72D297353CC}">
                  <c16:uniqueId val="{00000007-FBCA-4E1D-8863-3E4A75602995}"/>
                </c:ext>
              </c:extLst>
            </c:dLbl>
            <c:dLbl>
              <c:idx val="4"/>
              <c:delete val="1"/>
              <c:extLst>
                <c:ext xmlns:c15="http://schemas.microsoft.com/office/drawing/2012/chart" uri="{CE6537A1-D6FC-4f65-9D91-7224C49458BB}"/>
                <c:ext xmlns:c16="http://schemas.microsoft.com/office/drawing/2014/chart" uri="{C3380CC4-5D6E-409C-BE32-E72D297353CC}">
                  <c16:uniqueId val="{00000008-FBCA-4E1D-8863-3E4A75602995}"/>
                </c:ext>
              </c:extLst>
            </c:dLbl>
            <c:dLbl>
              <c:idx val="5"/>
              <c:delete val="1"/>
              <c:extLst>
                <c:ext xmlns:c15="http://schemas.microsoft.com/office/drawing/2012/chart" uri="{CE6537A1-D6FC-4f65-9D91-7224C49458BB}"/>
                <c:ext xmlns:c16="http://schemas.microsoft.com/office/drawing/2014/chart" uri="{C3380CC4-5D6E-409C-BE32-E72D297353CC}">
                  <c16:uniqueId val="{00000009-FBCA-4E1D-8863-3E4A75602995}"/>
                </c:ext>
              </c:extLst>
            </c:dLbl>
            <c:dLbl>
              <c:idx val="7"/>
              <c:delete val="1"/>
              <c:extLst>
                <c:ext xmlns:c15="http://schemas.microsoft.com/office/drawing/2012/chart" uri="{CE6537A1-D6FC-4f65-9D91-7224C49458BB}"/>
                <c:ext xmlns:c16="http://schemas.microsoft.com/office/drawing/2014/chart" uri="{C3380CC4-5D6E-409C-BE32-E72D297353CC}">
                  <c16:uniqueId val="{0000000A-FBCA-4E1D-8863-3E4A75602995}"/>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Current_Prior!$E$226:$G$232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Current_Prior!$J$226:$J$232</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B-FBCA-4E1D-8863-3E4A75602995}"/>
            </c:ext>
          </c:extLst>
        </c:ser>
        <c:ser>
          <c:idx val="2"/>
          <c:order val="2"/>
          <c:tx>
            <c:strRef>
              <c:f>Current_Prior!$K$225</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FBCA-4E1D-8863-3E4A75602995}"/>
                </c:ext>
              </c:extLst>
            </c:dLbl>
            <c:dLbl>
              <c:idx val="2"/>
              <c:delete val="1"/>
              <c:extLst>
                <c:ext xmlns:c15="http://schemas.microsoft.com/office/drawing/2012/chart" uri="{CE6537A1-D6FC-4f65-9D91-7224C49458BB}"/>
                <c:ext xmlns:c16="http://schemas.microsoft.com/office/drawing/2014/chart" uri="{C3380CC4-5D6E-409C-BE32-E72D297353CC}">
                  <c16:uniqueId val="{0000000D-FBCA-4E1D-8863-3E4A75602995}"/>
                </c:ext>
              </c:extLst>
            </c:dLbl>
            <c:dLbl>
              <c:idx val="3"/>
              <c:delete val="1"/>
              <c:extLst>
                <c:ext xmlns:c15="http://schemas.microsoft.com/office/drawing/2012/chart" uri="{CE6537A1-D6FC-4f65-9D91-7224C49458BB}"/>
                <c:ext xmlns:c16="http://schemas.microsoft.com/office/drawing/2014/chart" uri="{C3380CC4-5D6E-409C-BE32-E72D297353CC}">
                  <c16:uniqueId val="{0000000E-FBCA-4E1D-8863-3E4A75602995}"/>
                </c:ext>
              </c:extLst>
            </c:dLbl>
            <c:dLbl>
              <c:idx val="4"/>
              <c:delete val="1"/>
              <c:extLst>
                <c:ext xmlns:c15="http://schemas.microsoft.com/office/drawing/2012/chart" uri="{CE6537A1-D6FC-4f65-9D91-7224C49458BB}"/>
                <c:ext xmlns:c16="http://schemas.microsoft.com/office/drawing/2014/chart" uri="{C3380CC4-5D6E-409C-BE32-E72D297353CC}">
                  <c16:uniqueId val="{0000000F-FBCA-4E1D-8863-3E4A75602995}"/>
                </c:ext>
              </c:extLst>
            </c:dLbl>
            <c:dLbl>
              <c:idx val="5"/>
              <c:delete val="1"/>
              <c:extLst>
                <c:ext xmlns:c15="http://schemas.microsoft.com/office/drawing/2012/chart" uri="{CE6537A1-D6FC-4f65-9D91-7224C49458BB}"/>
                <c:ext xmlns:c16="http://schemas.microsoft.com/office/drawing/2014/chart" uri="{C3380CC4-5D6E-409C-BE32-E72D297353CC}">
                  <c16:uniqueId val="{00000010-FBCA-4E1D-8863-3E4A75602995}"/>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BCA-4E1D-8863-3E4A75602995}"/>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Current_Prior!$E$226:$G$232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Current_Prior!$K$226:$K$232</c:f>
              <c:numCache>
                <c:formatCode>0</c:formatCode>
                <c:ptCount val="7"/>
                <c:pt idx="1">
                  <c:v>0</c:v>
                </c:pt>
                <c:pt idx="2">
                  <c:v>0</c:v>
                </c:pt>
                <c:pt idx="3">
                  <c:v>0</c:v>
                </c:pt>
                <c:pt idx="4">
                  <c:v>0</c:v>
                </c:pt>
                <c:pt idx="5">
                  <c:v>21.75477969081026</c:v>
                </c:pt>
              </c:numCache>
            </c:numRef>
          </c:val>
          <c:smooth val="0"/>
          <c:extLst>
            <c:ext xmlns:c16="http://schemas.microsoft.com/office/drawing/2014/chart" uri="{C3380CC4-5D6E-409C-BE32-E72D297353CC}">
              <c16:uniqueId val="{00000012-FBCA-4E1D-8863-3E4A75602995}"/>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144684168"/>
        <c:axId val="429296384"/>
      </c:lineChart>
      <c:catAx>
        <c:axId val="144684168"/>
        <c:scaling>
          <c:orientation val="minMax"/>
        </c:scaling>
        <c:delete val="0"/>
        <c:axPos val="b"/>
        <c:numFmt formatCode="General" sourceLinked="0"/>
        <c:majorTickMark val="out"/>
        <c:minorTickMark val="none"/>
        <c:tickLblPos val="low"/>
        <c:txPr>
          <a:bodyPr rot="0" vert="horz"/>
          <a:lstStyle/>
          <a:p>
            <a:pPr>
              <a:defRPr b="1"/>
            </a:pPr>
            <a:endParaRPr lang="en-US"/>
          </a:p>
        </c:txPr>
        <c:crossAx val="429296384"/>
        <c:crosses val="autoZero"/>
        <c:auto val="1"/>
        <c:lblAlgn val="ctr"/>
        <c:lblOffset val="100"/>
        <c:noMultiLvlLbl val="0"/>
      </c:catAx>
      <c:valAx>
        <c:axId val="429296384"/>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144684168"/>
        <c:crosses val="autoZero"/>
        <c:crossBetween val="between"/>
      </c:valAx>
    </c:plotArea>
    <c:plotVisOnly val="1"/>
    <c:dispBlanksAs val="gap"/>
    <c:showDLblsOverMax val="0"/>
  </c:chart>
  <c:spPr>
    <a:ln>
      <a:noFill/>
    </a:ln>
  </c:sp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2064573689723636E-2"/>
          <c:w val="0.87640374669159438"/>
          <c:h val="0.60303503314417195"/>
        </c:manualLayout>
      </c:layout>
      <c:barChart>
        <c:barDir val="col"/>
        <c:grouping val="clustered"/>
        <c:varyColors val="0"/>
        <c:ser>
          <c:idx val="0"/>
          <c:order val="0"/>
          <c:tx>
            <c:strRef>
              <c:f>Current_Prior!$AT$225</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5E-4251-A173-92B21202AFED}"/>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5E-4251-A173-92B21202AFED}"/>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5E-4251-A173-92B21202AFED}"/>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5E-4251-A173-92B21202AFED}"/>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Current_Prior!$AP$226:$AR$232</c:f>
              <c:multiLvlStrCache>
                <c:ptCount val="7"/>
                <c:lvl>
                  <c:pt idx="0">
                    <c:v>Prior Sub
(Fwd Look)</c:v>
                  </c:pt>
                  <c:pt idx="1">
                    <c:v>Launch
Investment</c:v>
                  </c:pt>
                  <c:pt idx="2">
                    <c:v>Launch
Delay</c:v>
                  </c:pt>
                  <c:pt idx="3">
                    <c:v>Revenue
(exc. Delay)</c:v>
                  </c:pt>
                  <c:pt idx="4">
                    <c:v>Margin</c:v>
                  </c:pt>
                  <c:pt idx="5">
                    <c:v>Other</c:v>
                  </c:pt>
                  <c:pt idx="6">
                    <c:v>Current Sub
(Fwd Look)</c:v>
                  </c:pt>
                </c:lvl>
                <c:lvl>
                  <c:pt idx="0">
                    <c:v>#VALUE!</c:v>
                  </c:pt>
                </c:lvl>
              </c:multiLvlStrCache>
            </c:multiLvlStrRef>
          </c:cat>
          <c:val>
            <c:numRef>
              <c:f>Current_Prior!$AT$226:$AT$232</c:f>
              <c:numCache>
                <c:formatCode>0</c:formatCode>
                <c:ptCount val="7"/>
                <c:pt idx="0">
                  <c:v>0</c:v>
                </c:pt>
                <c:pt idx="6">
                  <c:v>101.68322203437472</c:v>
                </c:pt>
              </c:numCache>
            </c:numRef>
          </c:val>
          <c:extLst>
            <c:ext xmlns:c16="http://schemas.microsoft.com/office/drawing/2014/chart" uri="{C3380CC4-5D6E-409C-BE32-E72D297353CC}">
              <c16:uniqueId val="{00000004-6B5E-4251-A173-92B21202AFED}"/>
            </c:ext>
          </c:extLst>
        </c:ser>
        <c:dLbls>
          <c:dLblPos val="ctr"/>
          <c:showLegendKey val="0"/>
          <c:showVal val="1"/>
          <c:showCatName val="0"/>
          <c:showSerName val="0"/>
          <c:showPercent val="0"/>
          <c:showBubbleSize val="0"/>
        </c:dLbls>
        <c:gapWidth val="75"/>
        <c:axId val="429297168"/>
        <c:axId val="429297560"/>
      </c:barChart>
      <c:lineChart>
        <c:grouping val="standard"/>
        <c:varyColors val="0"/>
        <c:ser>
          <c:idx val="1"/>
          <c:order val="1"/>
          <c:tx>
            <c:strRef>
              <c:f>Current_Prior!$AU$225</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6B5E-4251-A173-92B21202AFED}"/>
                </c:ext>
              </c:extLst>
            </c:dLbl>
            <c:dLbl>
              <c:idx val="2"/>
              <c:delete val="1"/>
              <c:extLst>
                <c:ext xmlns:c15="http://schemas.microsoft.com/office/drawing/2012/chart" uri="{CE6537A1-D6FC-4f65-9D91-7224C49458BB}"/>
                <c:ext xmlns:c16="http://schemas.microsoft.com/office/drawing/2014/chart" uri="{C3380CC4-5D6E-409C-BE32-E72D297353CC}">
                  <c16:uniqueId val="{00000006-6B5E-4251-A173-92B21202AFED}"/>
                </c:ext>
              </c:extLst>
            </c:dLbl>
            <c:dLbl>
              <c:idx val="3"/>
              <c:delete val="1"/>
              <c:extLst>
                <c:ext xmlns:c15="http://schemas.microsoft.com/office/drawing/2012/chart" uri="{CE6537A1-D6FC-4f65-9D91-7224C49458BB}"/>
                <c:ext xmlns:c16="http://schemas.microsoft.com/office/drawing/2014/chart" uri="{C3380CC4-5D6E-409C-BE32-E72D297353CC}">
                  <c16:uniqueId val="{00000007-6B5E-4251-A173-92B21202AFED}"/>
                </c:ext>
              </c:extLst>
            </c:dLbl>
            <c:dLbl>
              <c:idx val="4"/>
              <c:delete val="1"/>
              <c:extLst>
                <c:ext xmlns:c15="http://schemas.microsoft.com/office/drawing/2012/chart" uri="{CE6537A1-D6FC-4f65-9D91-7224C49458BB}"/>
                <c:ext xmlns:c16="http://schemas.microsoft.com/office/drawing/2014/chart" uri="{C3380CC4-5D6E-409C-BE32-E72D297353CC}">
                  <c16:uniqueId val="{00000008-6B5E-4251-A173-92B21202AFED}"/>
                </c:ext>
              </c:extLst>
            </c:dLbl>
            <c:dLbl>
              <c:idx val="5"/>
              <c:delete val="1"/>
              <c:extLst>
                <c:ext xmlns:c15="http://schemas.microsoft.com/office/drawing/2012/chart" uri="{CE6537A1-D6FC-4f65-9D91-7224C49458BB}"/>
                <c:ext xmlns:c16="http://schemas.microsoft.com/office/drawing/2014/chart" uri="{C3380CC4-5D6E-409C-BE32-E72D297353CC}">
                  <c16:uniqueId val="{00000009-6B5E-4251-A173-92B21202AFED}"/>
                </c:ext>
              </c:extLst>
            </c:dLbl>
            <c:dLbl>
              <c:idx val="7"/>
              <c:delete val="1"/>
              <c:extLst>
                <c:ext xmlns:c15="http://schemas.microsoft.com/office/drawing/2012/chart" uri="{CE6537A1-D6FC-4f65-9D91-7224C49458BB}"/>
                <c:ext xmlns:c16="http://schemas.microsoft.com/office/drawing/2014/chart" uri="{C3380CC4-5D6E-409C-BE32-E72D297353CC}">
                  <c16:uniqueId val="{0000000A-6B5E-4251-A173-92B21202AFED}"/>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Current_Prior!$AU$226:$AU$232</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B-6B5E-4251-A173-92B21202AFED}"/>
            </c:ext>
          </c:extLst>
        </c:ser>
        <c:ser>
          <c:idx val="2"/>
          <c:order val="2"/>
          <c:tx>
            <c:strRef>
              <c:f>Current_Prior!$AV$225</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6B5E-4251-A173-92B21202AFED}"/>
                </c:ext>
              </c:extLst>
            </c:dLbl>
            <c:dLbl>
              <c:idx val="2"/>
              <c:delete val="1"/>
              <c:extLst>
                <c:ext xmlns:c15="http://schemas.microsoft.com/office/drawing/2012/chart" uri="{CE6537A1-D6FC-4f65-9D91-7224C49458BB}"/>
                <c:ext xmlns:c16="http://schemas.microsoft.com/office/drawing/2014/chart" uri="{C3380CC4-5D6E-409C-BE32-E72D297353CC}">
                  <c16:uniqueId val="{0000000D-6B5E-4251-A173-92B21202AFED}"/>
                </c:ext>
              </c:extLst>
            </c:dLbl>
            <c:dLbl>
              <c:idx val="3"/>
              <c:delete val="1"/>
              <c:extLst>
                <c:ext xmlns:c15="http://schemas.microsoft.com/office/drawing/2012/chart" uri="{CE6537A1-D6FC-4f65-9D91-7224C49458BB}"/>
                <c:ext xmlns:c16="http://schemas.microsoft.com/office/drawing/2014/chart" uri="{C3380CC4-5D6E-409C-BE32-E72D297353CC}">
                  <c16:uniqueId val="{0000000E-6B5E-4251-A173-92B21202AFED}"/>
                </c:ext>
              </c:extLst>
            </c:dLbl>
            <c:dLbl>
              <c:idx val="4"/>
              <c:delete val="1"/>
              <c:extLst>
                <c:ext xmlns:c15="http://schemas.microsoft.com/office/drawing/2012/chart" uri="{CE6537A1-D6FC-4f65-9D91-7224C49458BB}"/>
                <c:ext xmlns:c16="http://schemas.microsoft.com/office/drawing/2014/chart" uri="{C3380CC4-5D6E-409C-BE32-E72D297353CC}">
                  <c16:uniqueId val="{0000000F-6B5E-4251-A173-92B21202AFED}"/>
                </c:ext>
              </c:extLst>
            </c:dLbl>
            <c:dLbl>
              <c:idx val="5"/>
              <c:delete val="1"/>
              <c:extLst>
                <c:ext xmlns:c15="http://schemas.microsoft.com/office/drawing/2012/chart" uri="{CE6537A1-D6FC-4f65-9D91-7224C49458BB}"/>
                <c:ext xmlns:c16="http://schemas.microsoft.com/office/drawing/2014/chart" uri="{C3380CC4-5D6E-409C-BE32-E72D297353CC}">
                  <c16:uniqueId val="{00000010-6B5E-4251-A173-92B21202AFED}"/>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B5E-4251-A173-92B21202AFED}"/>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Current_Prior!$AP$134:$AR$142</c:f>
              <c:multiLvlStrCache>
                <c:ptCount val="9"/>
                <c:lvl>
                  <c:pt idx="0">
                    <c:v>Prior Sub
(Fwd Look)</c:v>
                  </c:pt>
                  <c:pt idx="1">
                    <c:v>Launch
Investment</c:v>
                  </c:pt>
                  <c:pt idx="2">
                    <c:v>Launch
Delay</c:v>
                  </c:pt>
                  <c:pt idx="3">
                    <c:v>Revenue
(exc. Delay)</c:v>
                  </c:pt>
                  <c:pt idx="4">
                    <c:v>Margin</c:v>
                  </c:pt>
                  <c:pt idx="5">
                    <c:v>Other</c:v>
                  </c:pt>
                  <c:pt idx="6">
                    <c:v>Current Sub
(Fwd Look)</c:v>
                  </c:pt>
                  <c:pt idx="7">
                    <c:v>Roll Fwd</c:v>
                  </c:pt>
                  <c:pt idx="8">
                    <c:v>Current Sub
(Fwd Look)</c:v>
                  </c:pt>
                </c:lvl>
                <c:lvl>
                  <c:pt idx="0">
                    <c:v>#VALUE!</c:v>
                  </c:pt>
                  <c:pt idx="7">
                    <c:v>#VALUE!</c:v>
                  </c:pt>
                </c:lvl>
              </c:multiLvlStrCache>
            </c:multiLvlStrRef>
          </c:cat>
          <c:val>
            <c:numRef>
              <c:f>Current_Prior!$AV$226:$AV$232</c:f>
              <c:numCache>
                <c:formatCode>0</c:formatCode>
                <c:ptCount val="7"/>
                <c:pt idx="1">
                  <c:v>0</c:v>
                </c:pt>
                <c:pt idx="2">
                  <c:v>0</c:v>
                </c:pt>
                <c:pt idx="3">
                  <c:v>0</c:v>
                </c:pt>
                <c:pt idx="4">
                  <c:v>0</c:v>
                </c:pt>
                <c:pt idx="5">
                  <c:v>101.68322203437472</c:v>
                </c:pt>
              </c:numCache>
            </c:numRef>
          </c:val>
          <c:smooth val="0"/>
          <c:extLst>
            <c:ext xmlns:c16="http://schemas.microsoft.com/office/drawing/2014/chart" uri="{C3380CC4-5D6E-409C-BE32-E72D297353CC}">
              <c16:uniqueId val="{00000012-6B5E-4251-A173-92B21202AFED}"/>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9297168"/>
        <c:axId val="429297560"/>
      </c:lineChart>
      <c:catAx>
        <c:axId val="429297168"/>
        <c:scaling>
          <c:orientation val="minMax"/>
        </c:scaling>
        <c:delete val="0"/>
        <c:axPos val="b"/>
        <c:numFmt formatCode="General" sourceLinked="0"/>
        <c:majorTickMark val="out"/>
        <c:minorTickMark val="none"/>
        <c:tickLblPos val="low"/>
        <c:txPr>
          <a:bodyPr rot="0" vert="horz"/>
          <a:lstStyle/>
          <a:p>
            <a:pPr>
              <a:defRPr b="1"/>
            </a:pPr>
            <a:endParaRPr lang="en-US"/>
          </a:p>
        </c:txPr>
        <c:crossAx val="429297560"/>
        <c:crosses val="autoZero"/>
        <c:auto val="1"/>
        <c:lblAlgn val="ctr"/>
        <c:lblOffset val="100"/>
        <c:noMultiLvlLbl val="0"/>
      </c:catAx>
      <c:valAx>
        <c:axId val="429297560"/>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6.8609112639571538E-3"/>
              <c:y val="0.36279126567512388"/>
            </c:manualLayout>
          </c:layout>
          <c:overlay val="0"/>
        </c:title>
        <c:numFmt formatCode="0" sourceLinked="0"/>
        <c:majorTickMark val="out"/>
        <c:minorTickMark val="none"/>
        <c:tickLblPos val="nextTo"/>
        <c:txPr>
          <a:bodyPr/>
          <a:lstStyle/>
          <a:p>
            <a:pPr>
              <a:defRPr b="1"/>
            </a:pPr>
            <a:endParaRPr lang="en-US"/>
          </a:p>
        </c:txPr>
        <c:crossAx val="429297168"/>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399040508783E-2"/>
          <c:y val="7.4926644873197279E-2"/>
          <c:w val="0.88159613481198196"/>
          <c:h val="0.72467866154997218"/>
        </c:manualLayout>
      </c:layout>
      <c:barChart>
        <c:barDir val="col"/>
        <c:grouping val="clustered"/>
        <c:varyColors val="0"/>
        <c:ser>
          <c:idx val="0"/>
          <c:order val="0"/>
          <c:tx>
            <c:strRef>
              <c:f>HistInfo!$K$407</c:f>
              <c:strCache>
                <c:ptCount val="1"/>
                <c:pt idx="0">
                  <c:v>Ends</c:v>
                </c:pt>
              </c:strCache>
            </c:strRef>
          </c:tx>
          <c:spPr>
            <a:solidFill>
              <a:schemeClr val="tx2"/>
            </a:solidFill>
          </c:spPr>
          <c:invertIfNegative val="0"/>
          <c:dLbls>
            <c:dLbl>
              <c:idx val="0"/>
              <c:layout>
                <c:manualLayout>
                  <c:x val="0"/>
                  <c:y val="2.4909959171770184E-2"/>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E4-4697-9C7F-9DA998114454}"/>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E4-4697-9C7F-9DA998114454}"/>
                </c:ext>
              </c:extLst>
            </c:dLbl>
            <c:dLbl>
              <c:idx val="6"/>
              <c:layout>
                <c:manualLayout>
                  <c:x val="0"/>
                  <c:y val="-4.371536891221931E-3"/>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E4-4697-9C7F-9DA998114454}"/>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E4-4697-9C7F-9DA998114454}"/>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HistInfo!$G$408:$I$414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HistInfo!$K$408:$K$414</c:f>
              <c:numCache>
                <c:formatCode>0</c:formatCode>
                <c:ptCount val="7"/>
                <c:pt idx="0">
                  <c:v>0</c:v>
                </c:pt>
                <c:pt idx="6">
                  <c:v>0</c:v>
                </c:pt>
              </c:numCache>
            </c:numRef>
          </c:val>
          <c:extLst>
            <c:ext xmlns:c16="http://schemas.microsoft.com/office/drawing/2014/chart" uri="{C3380CC4-5D6E-409C-BE32-E72D297353CC}">
              <c16:uniqueId val="{00000004-C2E4-4697-9C7F-9DA998114454}"/>
            </c:ext>
          </c:extLst>
        </c:ser>
        <c:dLbls>
          <c:dLblPos val="ctr"/>
          <c:showLegendKey val="0"/>
          <c:showVal val="1"/>
          <c:showCatName val="0"/>
          <c:showSerName val="0"/>
          <c:showPercent val="0"/>
          <c:showBubbleSize val="0"/>
        </c:dLbls>
        <c:gapWidth val="75"/>
        <c:axId val="429298736"/>
        <c:axId val="429299128"/>
      </c:barChart>
      <c:lineChart>
        <c:grouping val="standard"/>
        <c:varyColors val="0"/>
        <c:ser>
          <c:idx val="1"/>
          <c:order val="1"/>
          <c:tx>
            <c:strRef>
              <c:f>HistInfo!$L$407</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C2E4-4697-9C7F-9DA998114454}"/>
                </c:ext>
              </c:extLst>
            </c:dLbl>
            <c:dLbl>
              <c:idx val="2"/>
              <c:delete val="1"/>
              <c:extLst>
                <c:ext xmlns:c15="http://schemas.microsoft.com/office/drawing/2012/chart" uri="{CE6537A1-D6FC-4f65-9D91-7224C49458BB}"/>
                <c:ext xmlns:c16="http://schemas.microsoft.com/office/drawing/2014/chart" uri="{C3380CC4-5D6E-409C-BE32-E72D297353CC}">
                  <c16:uniqueId val="{00000006-C2E4-4697-9C7F-9DA998114454}"/>
                </c:ext>
              </c:extLst>
            </c:dLbl>
            <c:dLbl>
              <c:idx val="3"/>
              <c:delete val="1"/>
              <c:extLst>
                <c:ext xmlns:c15="http://schemas.microsoft.com/office/drawing/2012/chart" uri="{CE6537A1-D6FC-4f65-9D91-7224C49458BB}"/>
                <c:ext xmlns:c16="http://schemas.microsoft.com/office/drawing/2014/chart" uri="{C3380CC4-5D6E-409C-BE32-E72D297353CC}">
                  <c16:uniqueId val="{00000007-C2E4-4697-9C7F-9DA998114454}"/>
                </c:ext>
              </c:extLst>
            </c:dLbl>
            <c:dLbl>
              <c:idx val="4"/>
              <c:delete val="1"/>
              <c:extLst>
                <c:ext xmlns:c15="http://schemas.microsoft.com/office/drawing/2012/chart" uri="{CE6537A1-D6FC-4f65-9D91-7224C49458BB}"/>
                <c:ext xmlns:c16="http://schemas.microsoft.com/office/drawing/2014/chart" uri="{C3380CC4-5D6E-409C-BE32-E72D297353CC}">
                  <c16:uniqueId val="{00000008-C2E4-4697-9C7F-9DA998114454}"/>
                </c:ext>
              </c:extLst>
            </c:dLbl>
            <c:dLbl>
              <c:idx val="5"/>
              <c:delete val="1"/>
              <c:extLst>
                <c:ext xmlns:c15="http://schemas.microsoft.com/office/drawing/2012/chart" uri="{CE6537A1-D6FC-4f65-9D91-7224C49458BB}"/>
                <c:ext xmlns:c16="http://schemas.microsoft.com/office/drawing/2014/chart" uri="{C3380CC4-5D6E-409C-BE32-E72D297353CC}">
                  <c16:uniqueId val="{00000009-C2E4-4697-9C7F-9DA998114454}"/>
                </c:ext>
              </c:extLst>
            </c:dLbl>
            <c:dLbl>
              <c:idx val="7"/>
              <c:layout>
                <c:manualLayout>
                  <c:x val="-3.3612410135051521E-2"/>
                  <c:y val="6.4814814814814811E-2"/>
                </c:manualLayout>
              </c:layout>
              <c:spPr/>
              <c:txPr>
                <a:bodyPr/>
                <a:lstStyle/>
                <a:p>
                  <a:pPr>
                    <a:defRPr b="1">
                      <a:solidFill>
                        <a:schemeClr val="bg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2E4-4697-9C7F-9DA998114454}"/>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HistInfo!$G$407:$I$414</c:f>
              <c:multiLvlStrCache>
                <c:ptCount val="8"/>
                <c:lvl>
                  <c:pt idx="1">
                    <c:v>Commitment
(Def Exit)</c:v>
                  </c:pt>
                  <c:pt idx="2">
                    <c:v>Launch
Investment</c:v>
                  </c:pt>
                  <c:pt idx="3">
                    <c:v>Launch
Delay</c:v>
                  </c:pt>
                  <c:pt idx="4">
                    <c:v>Revenue
(exc. Delay)</c:v>
                  </c:pt>
                  <c:pt idx="5">
                    <c:v>Margin</c:v>
                  </c:pt>
                  <c:pt idx="6">
                    <c:v>Other</c:v>
                  </c:pt>
                  <c:pt idx="7">
                    <c:v>Act/Proj
(Def Exit)</c:v>
                  </c:pt>
                </c:lvl>
                <c:lvl>
                  <c:pt idx="1">
                    <c:v>#VALUE!</c:v>
                  </c:pt>
                </c:lvl>
              </c:multiLvlStrCache>
            </c:multiLvlStrRef>
          </c:cat>
          <c:val>
            <c:numRef>
              <c:f>HistInfo!$L$408:$L$414</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B-C2E4-4697-9C7F-9DA998114454}"/>
            </c:ext>
          </c:extLst>
        </c:ser>
        <c:ser>
          <c:idx val="2"/>
          <c:order val="2"/>
          <c:tx>
            <c:strRef>
              <c:f>HistInfo!$M$407</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C2E4-4697-9C7F-9DA998114454}"/>
                </c:ext>
              </c:extLst>
            </c:dLbl>
            <c:dLbl>
              <c:idx val="2"/>
              <c:delete val="1"/>
              <c:extLst>
                <c:ext xmlns:c15="http://schemas.microsoft.com/office/drawing/2012/chart" uri="{CE6537A1-D6FC-4f65-9D91-7224C49458BB}"/>
                <c:ext xmlns:c16="http://schemas.microsoft.com/office/drawing/2014/chart" uri="{C3380CC4-5D6E-409C-BE32-E72D297353CC}">
                  <c16:uniqueId val="{0000000D-C2E4-4697-9C7F-9DA998114454}"/>
                </c:ext>
              </c:extLst>
            </c:dLbl>
            <c:dLbl>
              <c:idx val="3"/>
              <c:delete val="1"/>
              <c:extLst>
                <c:ext xmlns:c15="http://schemas.microsoft.com/office/drawing/2012/chart" uri="{CE6537A1-D6FC-4f65-9D91-7224C49458BB}"/>
                <c:ext xmlns:c16="http://schemas.microsoft.com/office/drawing/2014/chart" uri="{C3380CC4-5D6E-409C-BE32-E72D297353CC}">
                  <c16:uniqueId val="{0000000E-C2E4-4697-9C7F-9DA998114454}"/>
                </c:ext>
              </c:extLst>
            </c:dLbl>
            <c:dLbl>
              <c:idx val="4"/>
              <c:delete val="1"/>
              <c:extLst>
                <c:ext xmlns:c15="http://schemas.microsoft.com/office/drawing/2012/chart" uri="{CE6537A1-D6FC-4f65-9D91-7224C49458BB}"/>
                <c:ext xmlns:c16="http://schemas.microsoft.com/office/drawing/2014/chart" uri="{C3380CC4-5D6E-409C-BE32-E72D297353CC}">
                  <c16:uniqueId val="{0000000F-C2E4-4697-9C7F-9DA998114454}"/>
                </c:ext>
              </c:extLst>
            </c:dLbl>
            <c:dLbl>
              <c:idx val="5"/>
              <c:delete val="1"/>
              <c:extLst>
                <c:ext xmlns:c15="http://schemas.microsoft.com/office/drawing/2012/chart" uri="{CE6537A1-D6FC-4f65-9D91-7224C49458BB}"/>
                <c:ext xmlns:c16="http://schemas.microsoft.com/office/drawing/2014/chart" uri="{C3380CC4-5D6E-409C-BE32-E72D297353CC}">
                  <c16:uniqueId val="{00000010-C2E4-4697-9C7F-9DA998114454}"/>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2E4-4697-9C7F-9DA998114454}"/>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HistInfo!$G$407:$I$414</c:f>
              <c:multiLvlStrCache>
                <c:ptCount val="8"/>
                <c:lvl>
                  <c:pt idx="1">
                    <c:v>Commitment
(Def Exit)</c:v>
                  </c:pt>
                  <c:pt idx="2">
                    <c:v>Launch
Investment</c:v>
                  </c:pt>
                  <c:pt idx="3">
                    <c:v>Launch
Delay</c:v>
                  </c:pt>
                  <c:pt idx="4">
                    <c:v>Revenue
(exc. Delay)</c:v>
                  </c:pt>
                  <c:pt idx="5">
                    <c:v>Margin</c:v>
                  </c:pt>
                  <c:pt idx="6">
                    <c:v>Other</c:v>
                  </c:pt>
                  <c:pt idx="7">
                    <c:v>Act/Proj
(Def Exit)</c:v>
                  </c:pt>
                </c:lvl>
                <c:lvl>
                  <c:pt idx="1">
                    <c:v>#VALUE!</c:v>
                  </c:pt>
                </c:lvl>
              </c:multiLvlStrCache>
            </c:multiLvlStrRef>
          </c:cat>
          <c:val>
            <c:numRef>
              <c:f>HistInfo!$M$408:$M$414</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12-C2E4-4697-9C7F-9DA998114454}"/>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9298736"/>
        <c:axId val="429299128"/>
      </c:lineChart>
      <c:catAx>
        <c:axId val="429298736"/>
        <c:scaling>
          <c:orientation val="minMax"/>
        </c:scaling>
        <c:delete val="0"/>
        <c:axPos val="b"/>
        <c:numFmt formatCode="General" sourceLinked="0"/>
        <c:majorTickMark val="out"/>
        <c:minorTickMark val="none"/>
        <c:tickLblPos val="low"/>
        <c:txPr>
          <a:bodyPr rot="0" vert="horz"/>
          <a:lstStyle/>
          <a:p>
            <a:pPr>
              <a:defRPr b="1"/>
            </a:pPr>
            <a:endParaRPr lang="en-US"/>
          </a:p>
        </c:txPr>
        <c:crossAx val="429299128"/>
        <c:crosses val="autoZero"/>
        <c:auto val="1"/>
        <c:lblAlgn val="ctr"/>
        <c:lblOffset val="100"/>
        <c:noMultiLvlLbl val="0"/>
      </c:catAx>
      <c:valAx>
        <c:axId val="429299128"/>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429298736"/>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383190587408E-2"/>
          <c:y val="2.8252426547409264E-2"/>
          <c:w val="0.87210099369805039"/>
          <c:h val="0.72981862774761441"/>
        </c:manualLayout>
      </c:layout>
      <c:barChart>
        <c:barDir val="col"/>
        <c:grouping val="clustered"/>
        <c:varyColors val="0"/>
        <c:ser>
          <c:idx val="0"/>
          <c:order val="0"/>
          <c:tx>
            <c:strRef>
              <c:f>HistInfo!$AT$407</c:f>
              <c:strCache>
                <c:ptCount val="1"/>
                <c:pt idx="0">
                  <c:v>Ends</c:v>
                </c:pt>
              </c:strCache>
            </c:strRef>
          </c:tx>
          <c:spPr>
            <a:solidFill>
              <a:schemeClr val="tx2"/>
            </a:solidFill>
          </c:spPr>
          <c:invertIfNegative val="0"/>
          <c:dLbls>
            <c:dLbl>
              <c:idx val="0"/>
              <c:layout>
                <c:manualLayout>
                  <c:x val="0"/>
                  <c:y val="2.4909959171770184E-2"/>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321-499F-BF26-62131A554B50}"/>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21-499F-BF26-62131A554B50}"/>
                </c:ext>
              </c:extLst>
            </c:dLbl>
            <c:dLbl>
              <c:idx val="6"/>
              <c:layout>
                <c:manualLayout>
                  <c:x val="0"/>
                  <c:y val="-4.371536891221931E-3"/>
                </c:manualLayout>
              </c:layout>
              <c:spPr>
                <a:noFill/>
                <a:ln>
                  <a:noFill/>
                </a:ln>
                <a:effectLst/>
              </c:spPr>
              <c:txPr>
                <a:bodyPr/>
                <a:lstStyle/>
                <a:p>
                  <a:pPr>
                    <a:defRPr sz="1200" b="1"/>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321-499F-BF26-62131A554B50}"/>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21-499F-BF26-62131A554B50}"/>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HistInfo!$G$408:$I$414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HistInfo!$AT$408:$AT$414</c:f>
              <c:numCache>
                <c:formatCode>0</c:formatCode>
                <c:ptCount val="7"/>
                <c:pt idx="0">
                  <c:v>0</c:v>
                </c:pt>
                <c:pt idx="6">
                  <c:v>0</c:v>
                </c:pt>
              </c:numCache>
            </c:numRef>
          </c:val>
          <c:extLst>
            <c:ext xmlns:c16="http://schemas.microsoft.com/office/drawing/2014/chart" uri="{C3380CC4-5D6E-409C-BE32-E72D297353CC}">
              <c16:uniqueId val="{00000004-4321-499F-BF26-62131A554B50}"/>
            </c:ext>
          </c:extLst>
        </c:ser>
        <c:dLbls>
          <c:dLblPos val="ctr"/>
          <c:showLegendKey val="0"/>
          <c:showVal val="1"/>
          <c:showCatName val="0"/>
          <c:showSerName val="0"/>
          <c:showPercent val="0"/>
          <c:showBubbleSize val="0"/>
        </c:dLbls>
        <c:gapWidth val="75"/>
        <c:axId val="429299912"/>
        <c:axId val="427432776"/>
      </c:barChart>
      <c:lineChart>
        <c:grouping val="standard"/>
        <c:varyColors val="0"/>
        <c:ser>
          <c:idx val="1"/>
          <c:order val="1"/>
          <c:tx>
            <c:strRef>
              <c:f>HistInfo!$AU$407</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4321-499F-BF26-62131A554B50}"/>
                </c:ext>
              </c:extLst>
            </c:dLbl>
            <c:dLbl>
              <c:idx val="2"/>
              <c:delete val="1"/>
              <c:extLst>
                <c:ext xmlns:c15="http://schemas.microsoft.com/office/drawing/2012/chart" uri="{CE6537A1-D6FC-4f65-9D91-7224C49458BB}"/>
                <c:ext xmlns:c16="http://schemas.microsoft.com/office/drawing/2014/chart" uri="{C3380CC4-5D6E-409C-BE32-E72D297353CC}">
                  <c16:uniqueId val="{00000006-4321-499F-BF26-62131A554B50}"/>
                </c:ext>
              </c:extLst>
            </c:dLbl>
            <c:dLbl>
              <c:idx val="3"/>
              <c:delete val="1"/>
              <c:extLst>
                <c:ext xmlns:c15="http://schemas.microsoft.com/office/drawing/2012/chart" uri="{CE6537A1-D6FC-4f65-9D91-7224C49458BB}"/>
                <c:ext xmlns:c16="http://schemas.microsoft.com/office/drawing/2014/chart" uri="{C3380CC4-5D6E-409C-BE32-E72D297353CC}">
                  <c16:uniqueId val="{00000007-4321-499F-BF26-62131A554B50}"/>
                </c:ext>
              </c:extLst>
            </c:dLbl>
            <c:dLbl>
              <c:idx val="4"/>
              <c:delete val="1"/>
              <c:extLst>
                <c:ext xmlns:c15="http://schemas.microsoft.com/office/drawing/2012/chart" uri="{CE6537A1-D6FC-4f65-9D91-7224C49458BB}"/>
                <c:ext xmlns:c16="http://schemas.microsoft.com/office/drawing/2014/chart" uri="{C3380CC4-5D6E-409C-BE32-E72D297353CC}">
                  <c16:uniqueId val="{00000008-4321-499F-BF26-62131A554B50}"/>
                </c:ext>
              </c:extLst>
            </c:dLbl>
            <c:dLbl>
              <c:idx val="5"/>
              <c:delete val="1"/>
              <c:extLst>
                <c:ext xmlns:c15="http://schemas.microsoft.com/office/drawing/2012/chart" uri="{CE6537A1-D6FC-4f65-9D91-7224C49458BB}"/>
                <c:ext xmlns:c16="http://schemas.microsoft.com/office/drawing/2014/chart" uri="{C3380CC4-5D6E-409C-BE32-E72D297353CC}">
                  <c16:uniqueId val="{00000009-4321-499F-BF26-62131A554B50}"/>
                </c:ext>
              </c:extLst>
            </c:dLbl>
            <c:dLbl>
              <c:idx val="7"/>
              <c:layout>
                <c:manualLayout>
                  <c:x val="-3.3612410135051521E-2"/>
                  <c:y val="6.4814814814814811E-2"/>
                </c:manualLayout>
              </c:layout>
              <c:spPr/>
              <c:txPr>
                <a:bodyPr/>
                <a:lstStyle/>
                <a:p>
                  <a:pPr>
                    <a:defRPr b="1">
                      <a:solidFill>
                        <a:schemeClr val="bg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321-499F-BF26-62131A554B50}"/>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HistInfo!$AP$408:$AR$414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HistInfo!$AU$408:$AU$414</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B-4321-499F-BF26-62131A554B50}"/>
            </c:ext>
          </c:extLst>
        </c:ser>
        <c:ser>
          <c:idx val="2"/>
          <c:order val="2"/>
          <c:tx>
            <c:strRef>
              <c:f>HistInfo!$AV$408</c:f>
              <c:strCache>
                <c:ptCount val="1"/>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4321-499F-BF26-62131A554B50}"/>
                </c:ext>
              </c:extLst>
            </c:dLbl>
            <c:dLbl>
              <c:idx val="2"/>
              <c:delete val="1"/>
              <c:extLst>
                <c:ext xmlns:c15="http://schemas.microsoft.com/office/drawing/2012/chart" uri="{CE6537A1-D6FC-4f65-9D91-7224C49458BB}"/>
                <c:ext xmlns:c16="http://schemas.microsoft.com/office/drawing/2014/chart" uri="{C3380CC4-5D6E-409C-BE32-E72D297353CC}">
                  <c16:uniqueId val="{0000000D-4321-499F-BF26-62131A554B50}"/>
                </c:ext>
              </c:extLst>
            </c:dLbl>
            <c:dLbl>
              <c:idx val="3"/>
              <c:delete val="1"/>
              <c:extLst>
                <c:ext xmlns:c15="http://schemas.microsoft.com/office/drawing/2012/chart" uri="{CE6537A1-D6FC-4f65-9D91-7224C49458BB}"/>
                <c:ext xmlns:c16="http://schemas.microsoft.com/office/drawing/2014/chart" uri="{C3380CC4-5D6E-409C-BE32-E72D297353CC}">
                  <c16:uniqueId val="{0000000E-4321-499F-BF26-62131A554B50}"/>
                </c:ext>
              </c:extLst>
            </c:dLbl>
            <c:dLbl>
              <c:idx val="4"/>
              <c:delete val="1"/>
              <c:extLst>
                <c:ext xmlns:c15="http://schemas.microsoft.com/office/drawing/2012/chart" uri="{CE6537A1-D6FC-4f65-9D91-7224C49458BB}"/>
                <c:ext xmlns:c16="http://schemas.microsoft.com/office/drawing/2014/chart" uri="{C3380CC4-5D6E-409C-BE32-E72D297353CC}">
                  <c16:uniqueId val="{0000000F-4321-499F-BF26-62131A554B50}"/>
                </c:ext>
              </c:extLst>
            </c:dLbl>
            <c:dLbl>
              <c:idx val="5"/>
              <c:delete val="1"/>
              <c:extLst>
                <c:ext xmlns:c15="http://schemas.microsoft.com/office/drawing/2012/chart" uri="{CE6537A1-D6FC-4f65-9D91-7224C49458BB}"/>
                <c:ext xmlns:c16="http://schemas.microsoft.com/office/drawing/2014/chart" uri="{C3380CC4-5D6E-409C-BE32-E72D297353CC}">
                  <c16:uniqueId val="{00000010-4321-499F-BF26-62131A554B50}"/>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321-499F-BF26-62131A554B50}"/>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HistInfo!$AP$408:$AR$414</c:f>
              <c:multiLvlStrCache>
                <c:ptCount val="7"/>
                <c:lvl>
                  <c:pt idx="0">
                    <c:v>Commitment
(Def Exit)</c:v>
                  </c:pt>
                  <c:pt idx="1">
                    <c:v>Launch
Investment</c:v>
                  </c:pt>
                  <c:pt idx="2">
                    <c:v>Launch
Delay</c:v>
                  </c:pt>
                  <c:pt idx="3">
                    <c:v>Revenue
(exc. Delay)</c:v>
                  </c:pt>
                  <c:pt idx="4">
                    <c:v>Margin</c:v>
                  </c:pt>
                  <c:pt idx="5">
                    <c:v>Other</c:v>
                  </c:pt>
                  <c:pt idx="6">
                    <c:v>Act/Proj
(Def Exit)</c:v>
                  </c:pt>
                </c:lvl>
                <c:lvl>
                  <c:pt idx="0">
                    <c:v>#VALUE!</c:v>
                  </c:pt>
                </c:lvl>
              </c:multiLvlStrCache>
            </c:multiLvlStrRef>
          </c:cat>
          <c:val>
            <c:numRef>
              <c:f>HistInfo!$AV$408:$AV$414</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12-4321-499F-BF26-62131A554B50}"/>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9299912"/>
        <c:axId val="427432776"/>
      </c:lineChart>
      <c:catAx>
        <c:axId val="429299912"/>
        <c:scaling>
          <c:orientation val="minMax"/>
        </c:scaling>
        <c:delete val="0"/>
        <c:axPos val="b"/>
        <c:numFmt formatCode="General" sourceLinked="0"/>
        <c:majorTickMark val="out"/>
        <c:minorTickMark val="none"/>
        <c:tickLblPos val="low"/>
        <c:txPr>
          <a:bodyPr rot="0" vert="horz"/>
          <a:lstStyle/>
          <a:p>
            <a:pPr>
              <a:defRPr b="1"/>
            </a:pPr>
            <a:endParaRPr lang="en-US"/>
          </a:p>
        </c:txPr>
        <c:crossAx val="427432776"/>
        <c:crosses val="autoZero"/>
        <c:auto val="1"/>
        <c:lblAlgn val="ctr"/>
        <c:lblOffset val="100"/>
        <c:noMultiLvlLbl val="0"/>
      </c:catAx>
      <c:valAx>
        <c:axId val="427432776"/>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429299912"/>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Calc!$F$379:$F$382</c:f>
              <c:strCache>
                <c:ptCount val="4"/>
                <c:pt idx="0">
                  <c:v>C</c:v>
                </c:pt>
                <c:pt idx="1">
                  <c:v>PT</c:v>
                </c:pt>
                <c:pt idx="2">
                  <c:v>LA</c:v>
                </c:pt>
                <c:pt idx="3">
                  <c:v>IR</c:v>
                </c:pt>
              </c:strCache>
            </c:strRef>
          </c:tx>
          <c:dPt>
            <c:idx val="0"/>
            <c:bubble3D val="0"/>
            <c:spPr>
              <a:solidFill>
                <a:schemeClr val="bg1">
                  <a:lumMod val="85000"/>
                </a:schemeClr>
              </a:solidFill>
            </c:spPr>
            <c:extLst>
              <c:ext xmlns:c16="http://schemas.microsoft.com/office/drawing/2014/chart" uri="{C3380CC4-5D6E-409C-BE32-E72D297353CC}">
                <c16:uniqueId val="{00000001-EBF4-4E83-B126-2BF00F96AAE5}"/>
              </c:ext>
            </c:extLst>
          </c:dPt>
          <c:dPt>
            <c:idx val="3"/>
            <c:bubble3D val="0"/>
            <c:spPr>
              <a:solidFill>
                <a:schemeClr val="accent3">
                  <a:lumMod val="75000"/>
                </a:schemeClr>
              </a:solidFill>
            </c:spPr>
            <c:extLst>
              <c:ext xmlns:c16="http://schemas.microsoft.com/office/drawing/2014/chart" uri="{C3380CC4-5D6E-409C-BE32-E72D297353CC}">
                <c16:uniqueId val="{00000003-EBF4-4E83-B126-2BF00F96AAE5}"/>
              </c:ext>
            </c:extLst>
          </c:dPt>
          <c:dLbls>
            <c:dLbl>
              <c:idx val="1"/>
              <c:layout>
                <c:manualLayout>
                  <c:x val="4.5728886261830116E-2"/>
                  <c:y val="-4.305863893784155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F4-4E83-B126-2BF00F96AAE5}"/>
                </c:ext>
              </c:extLst>
            </c:dLbl>
            <c:dLbl>
              <c:idx val="2"/>
              <c:layout>
                <c:manualLayout>
                  <c:x val="0.20717403489807787"/>
                  <c:y val="-4.707085040319196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F4-4E83-B126-2BF00F96AAE5}"/>
                </c:ext>
              </c:extLst>
            </c:dLbl>
            <c:dLbl>
              <c:idx val="3"/>
              <c:layout>
                <c:manualLayout>
                  <c:x val="0.14163615485564304"/>
                  <c:y val="7.44061679790026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F4-4E83-B126-2BF00F96AAE5}"/>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Calc!$F$379:$F$382</c:f>
              <c:strCache>
                <c:ptCount val="4"/>
                <c:pt idx="0">
                  <c:v>C</c:v>
                </c:pt>
                <c:pt idx="1">
                  <c:v>PT</c:v>
                </c:pt>
                <c:pt idx="2">
                  <c:v>LA</c:v>
                </c:pt>
                <c:pt idx="3">
                  <c:v>IR</c:v>
                </c:pt>
              </c:strCache>
            </c:strRef>
          </c:cat>
          <c:val>
            <c:numRef>
              <c:f>Calc!$M$379:$M$382</c:f>
              <c:numCache>
                <c:formatCode>0%</c:formatCode>
                <c:ptCount val="4"/>
                <c:pt idx="0">
                  <c:v>0</c:v>
                </c:pt>
                <c:pt idx="1">
                  <c:v>0</c:v>
                </c:pt>
                <c:pt idx="2">
                  <c:v>0</c:v>
                </c:pt>
                <c:pt idx="3">
                  <c:v>1</c:v>
                </c:pt>
              </c:numCache>
            </c:numRef>
          </c:val>
          <c:extLst>
            <c:ext xmlns:c16="http://schemas.microsoft.com/office/drawing/2014/chart" uri="{C3380CC4-5D6E-409C-BE32-E72D297353CC}">
              <c16:uniqueId val="{00000006-EBF4-4E83-B126-2BF00F96AAE5}"/>
            </c:ext>
          </c:extLst>
        </c:ser>
        <c:dLbls>
          <c:showLegendKey val="0"/>
          <c:showVal val="1"/>
          <c:showCatName val="1"/>
          <c:showSerName val="0"/>
          <c:showPercent val="0"/>
          <c:showBubbleSize val="0"/>
          <c:showLeaderLines val="1"/>
        </c:dLbls>
        <c:firstSliceAng val="0"/>
      </c:pieChart>
    </c:plotArea>
    <c:plotVisOnly val="1"/>
    <c:dispBlanksAs val="gap"/>
    <c:showDLblsOverMax val="0"/>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Calc!$F$379:$F$382</c:f>
              <c:strCache>
                <c:ptCount val="4"/>
                <c:pt idx="0">
                  <c:v>C</c:v>
                </c:pt>
                <c:pt idx="1">
                  <c:v>PT</c:v>
                </c:pt>
                <c:pt idx="2">
                  <c:v>LA</c:v>
                </c:pt>
                <c:pt idx="3">
                  <c:v>IR</c:v>
                </c:pt>
              </c:strCache>
            </c:strRef>
          </c:tx>
          <c:dPt>
            <c:idx val="0"/>
            <c:bubble3D val="0"/>
            <c:spPr>
              <a:solidFill>
                <a:schemeClr val="bg1">
                  <a:lumMod val="85000"/>
                </a:schemeClr>
              </a:solidFill>
            </c:spPr>
            <c:extLst>
              <c:ext xmlns:c16="http://schemas.microsoft.com/office/drawing/2014/chart" uri="{C3380CC4-5D6E-409C-BE32-E72D297353CC}">
                <c16:uniqueId val="{00000001-8027-4352-892A-58849D187BDE}"/>
              </c:ext>
            </c:extLst>
          </c:dPt>
          <c:dPt>
            <c:idx val="3"/>
            <c:bubble3D val="0"/>
            <c:spPr>
              <a:solidFill>
                <a:schemeClr val="accent3">
                  <a:lumMod val="75000"/>
                </a:schemeClr>
              </a:solidFill>
            </c:spPr>
            <c:extLst>
              <c:ext xmlns:c16="http://schemas.microsoft.com/office/drawing/2014/chart" uri="{C3380CC4-5D6E-409C-BE32-E72D297353CC}">
                <c16:uniqueId val="{00000003-8027-4352-892A-58849D187BDE}"/>
              </c:ext>
            </c:extLst>
          </c:dPt>
          <c:dLbls>
            <c:dLbl>
              <c:idx val="2"/>
              <c:layout>
                <c:manualLayout>
                  <c:x val="8.9993312301513667E-2"/>
                  <c:y val="0.1325511078560766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027-4352-892A-58849D187BDE}"/>
                </c:ext>
              </c:extLst>
            </c:dLbl>
            <c:dLbl>
              <c:idx val="3"/>
              <c:layout>
                <c:manualLayout>
                  <c:x val="0.14163615485564304"/>
                  <c:y val="7.44061679790026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27-4352-892A-58849D187BDE}"/>
                </c:ext>
              </c:extLst>
            </c:dLbl>
            <c:spPr>
              <a:noFill/>
              <a:ln>
                <a:noFill/>
              </a:ln>
              <a:effectLst/>
            </c:spPr>
            <c:showLegendKey val="0"/>
            <c:showVal val="1"/>
            <c:showCatName val="1"/>
            <c:showSerName val="0"/>
            <c:showPercent val="0"/>
            <c:showBubbleSize val="0"/>
            <c:showLeaderLines val="1"/>
            <c:extLst>
              <c:ext xmlns:c15="http://schemas.microsoft.com/office/drawing/2012/chart" uri="{CE6537A1-D6FC-4f65-9D91-7224C49458BB}"/>
            </c:extLst>
          </c:dLbls>
          <c:cat>
            <c:strRef>
              <c:f>Calc!$F$379:$F$382</c:f>
              <c:strCache>
                <c:ptCount val="4"/>
                <c:pt idx="0">
                  <c:v>C</c:v>
                </c:pt>
                <c:pt idx="1">
                  <c:v>PT</c:v>
                </c:pt>
                <c:pt idx="2">
                  <c:v>LA</c:v>
                </c:pt>
                <c:pt idx="3">
                  <c:v>IR</c:v>
                </c:pt>
              </c:strCache>
            </c:strRef>
          </c:cat>
          <c:val>
            <c:numRef>
              <c:f>Calc!$R$379:$R$382</c:f>
              <c:numCache>
                <c:formatCode>0%</c:formatCode>
                <c:ptCount val="4"/>
                <c:pt idx="0">
                  <c:v>0</c:v>
                </c:pt>
                <c:pt idx="1">
                  <c:v>0</c:v>
                </c:pt>
                <c:pt idx="2">
                  <c:v>0</c:v>
                </c:pt>
                <c:pt idx="3">
                  <c:v>1</c:v>
                </c:pt>
              </c:numCache>
            </c:numRef>
          </c:val>
          <c:extLst>
            <c:ext xmlns:c16="http://schemas.microsoft.com/office/drawing/2014/chart" uri="{C3380CC4-5D6E-409C-BE32-E72D297353CC}">
              <c16:uniqueId val="{00000005-8027-4352-892A-58849D187BDE}"/>
            </c:ext>
          </c:extLst>
        </c:ser>
        <c:dLbls>
          <c:showLegendKey val="0"/>
          <c:showVal val="1"/>
          <c:showCatName val="1"/>
          <c:showSerName val="0"/>
          <c:showPercent val="0"/>
          <c:showBubbleSize val="0"/>
          <c:showLeaderLines val="1"/>
        </c:dLbls>
        <c:firstSliceAng val="0"/>
      </c:pieChart>
    </c:plotArea>
    <c:plotVisOnly val="1"/>
    <c:dispBlanksAs val="gap"/>
    <c:showDLblsOverMax val="0"/>
  </c:chart>
  <c:spPr>
    <a:no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5142603632694389E-2"/>
          <c:w val="0.88530738752592264"/>
          <c:h val="0.69678395695852191"/>
        </c:manualLayout>
      </c:layout>
      <c:barChart>
        <c:barDir val="col"/>
        <c:grouping val="clustered"/>
        <c:varyColors val="0"/>
        <c:ser>
          <c:idx val="0"/>
          <c:order val="0"/>
          <c:tx>
            <c:strRef>
              <c:f>Calc!$K$356</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DD-4C9F-955B-DF70C4C869E3}"/>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DD-4C9F-955B-DF70C4C869E3}"/>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DD-4C9F-955B-DF70C4C869E3}"/>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DD-4C9F-955B-DF70C4C869E3}"/>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Calc!$G$357:$H$363</c:f>
              <c:multiLvlStrCache>
                <c:ptCount val="7"/>
                <c:lvl>
                  <c:pt idx="0">
                    <c:v>Commitment  (Def Exit)</c:v>
                  </c:pt>
                  <c:pt idx="1">
                    <c:v>Launch
Investment</c:v>
                  </c:pt>
                  <c:pt idx="2">
                    <c:v>Launch
Delay</c:v>
                  </c:pt>
                  <c:pt idx="3">
                    <c:v>Revenue
(exc. Delay)</c:v>
                  </c:pt>
                  <c:pt idx="4">
                    <c:v>Margin</c:v>
                  </c:pt>
                  <c:pt idx="5">
                    <c:v>Other</c:v>
                  </c:pt>
                  <c:pt idx="6">
                    <c:v>Act / Proj       (Def Exit)</c:v>
                  </c:pt>
                </c:lvl>
                <c:lvl>
                  <c:pt idx="0">
                    <c:v>#VALUE!</c:v>
                  </c:pt>
                </c:lvl>
              </c:multiLvlStrCache>
            </c:multiLvlStrRef>
          </c:cat>
          <c:val>
            <c:numRef>
              <c:f>Calc!$K$357:$K$363</c:f>
              <c:numCache>
                <c:formatCode>0</c:formatCode>
                <c:ptCount val="7"/>
                <c:pt idx="0">
                  <c:v>0</c:v>
                </c:pt>
                <c:pt idx="6">
                  <c:v>0</c:v>
                </c:pt>
              </c:numCache>
            </c:numRef>
          </c:val>
          <c:extLst>
            <c:ext xmlns:c16="http://schemas.microsoft.com/office/drawing/2014/chart" uri="{C3380CC4-5D6E-409C-BE32-E72D297353CC}">
              <c16:uniqueId val="{00000004-6EDD-4C9F-955B-DF70C4C869E3}"/>
            </c:ext>
          </c:extLst>
        </c:ser>
        <c:dLbls>
          <c:dLblPos val="ctr"/>
          <c:showLegendKey val="0"/>
          <c:showVal val="1"/>
          <c:showCatName val="0"/>
          <c:showSerName val="0"/>
          <c:showPercent val="0"/>
          <c:showBubbleSize val="0"/>
        </c:dLbls>
        <c:gapWidth val="75"/>
        <c:axId val="427434344"/>
        <c:axId val="427434736"/>
      </c:barChart>
      <c:lineChart>
        <c:grouping val="standard"/>
        <c:varyColors val="0"/>
        <c:ser>
          <c:idx val="1"/>
          <c:order val="1"/>
          <c:tx>
            <c:strRef>
              <c:f>Calc!$L$356</c:f>
              <c:strCache>
                <c:ptCount val="1"/>
                <c:pt idx="0">
                  <c:v>Before</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5-6EDD-4C9F-955B-DF70C4C869E3}"/>
                </c:ext>
              </c:extLst>
            </c:dLbl>
            <c:dLbl>
              <c:idx val="2"/>
              <c:delete val="1"/>
              <c:extLst>
                <c:ext xmlns:c15="http://schemas.microsoft.com/office/drawing/2012/chart" uri="{CE6537A1-D6FC-4f65-9D91-7224C49458BB}"/>
                <c:ext xmlns:c16="http://schemas.microsoft.com/office/drawing/2014/chart" uri="{C3380CC4-5D6E-409C-BE32-E72D297353CC}">
                  <c16:uniqueId val="{00000006-6EDD-4C9F-955B-DF70C4C869E3}"/>
                </c:ext>
              </c:extLst>
            </c:dLbl>
            <c:dLbl>
              <c:idx val="3"/>
              <c:delete val="1"/>
              <c:extLst>
                <c:ext xmlns:c15="http://schemas.microsoft.com/office/drawing/2012/chart" uri="{CE6537A1-D6FC-4f65-9D91-7224C49458BB}"/>
                <c:ext xmlns:c16="http://schemas.microsoft.com/office/drawing/2014/chart" uri="{C3380CC4-5D6E-409C-BE32-E72D297353CC}">
                  <c16:uniqueId val="{00000007-6EDD-4C9F-955B-DF70C4C869E3}"/>
                </c:ext>
              </c:extLst>
            </c:dLbl>
            <c:dLbl>
              <c:idx val="4"/>
              <c:delete val="1"/>
              <c:extLst>
                <c:ext xmlns:c15="http://schemas.microsoft.com/office/drawing/2012/chart" uri="{CE6537A1-D6FC-4f65-9D91-7224C49458BB}"/>
                <c:ext xmlns:c16="http://schemas.microsoft.com/office/drawing/2014/chart" uri="{C3380CC4-5D6E-409C-BE32-E72D297353CC}">
                  <c16:uniqueId val="{00000008-6EDD-4C9F-955B-DF70C4C869E3}"/>
                </c:ext>
              </c:extLst>
            </c:dLbl>
            <c:dLbl>
              <c:idx val="5"/>
              <c:delete val="1"/>
              <c:extLst>
                <c:ext xmlns:c15="http://schemas.microsoft.com/office/drawing/2012/chart" uri="{CE6537A1-D6FC-4f65-9D91-7224C49458BB}"/>
                <c:ext xmlns:c16="http://schemas.microsoft.com/office/drawing/2014/chart" uri="{C3380CC4-5D6E-409C-BE32-E72D297353CC}">
                  <c16:uniqueId val="{00000009-6EDD-4C9F-955B-DF70C4C869E3}"/>
                </c:ext>
              </c:extLst>
            </c:dLbl>
            <c:dLbl>
              <c:idx val="7"/>
              <c:layout>
                <c:manualLayout>
                  <c:x val="-3.3612410135051521E-2"/>
                  <c:y val="6.4814814814814811E-2"/>
                </c:manualLayout>
              </c:layout>
              <c:spPr/>
              <c:txPr>
                <a:bodyPr/>
                <a:lstStyle/>
                <a:p>
                  <a:pPr>
                    <a:defRPr b="1">
                      <a:solidFill>
                        <a:schemeClr val="bg1"/>
                      </a:solidFill>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EDD-4C9F-955B-DF70C4C869E3}"/>
                </c:ext>
              </c:extLst>
            </c:dLbl>
            <c:spPr>
              <a:noFill/>
              <a:ln>
                <a:noFill/>
              </a:ln>
              <a:effectLst/>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Calc!$H$356:$H$363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Calc!$L$357:$L$363</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B-6EDD-4C9F-955B-DF70C4C869E3}"/>
            </c:ext>
          </c:extLst>
        </c:ser>
        <c:ser>
          <c:idx val="2"/>
          <c:order val="2"/>
          <c:tx>
            <c:strRef>
              <c:f>Calc!$M$356</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C-6EDD-4C9F-955B-DF70C4C869E3}"/>
                </c:ext>
              </c:extLst>
            </c:dLbl>
            <c:dLbl>
              <c:idx val="2"/>
              <c:delete val="1"/>
              <c:extLst>
                <c:ext xmlns:c15="http://schemas.microsoft.com/office/drawing/2012/chart" uri="{CE6537A1-D6FC-4f65-9D91-7224C49458BB}"/>
                <c:ext xmlns:c16="http://schemas.microsoft.com/office/drawing/2014/chart" uri="{C3380CC4-5D6E-409C-BE32-E72D297353CC}">
                  <c16:uniqueId val="{0000000D-6EDD-4C9F-955B-DF70C4C869E3}"/>
                </c:ext>
              </c:extLst>
            </c:dLbl>
            <c:dLbl>
              <c:idx val="3"/>
              <c:delete val="1"/>
              <c:extLst>
                <c:ext xmlns:c15="http://schemas.microsoft.com/office/drawing/2012/chart" uri="{CE6537A1-D6FC-4f65-9D91-7224C49458BB}"/>
                <c:ext xmlns:c16="http://schemas.microsoft.com/office/drawing/2014/chart" uri="{C3380CC4-5D6E-409C-BE32-E72D297353CC}">
                  <c16:uniqueId val="{0000000E-6EDD-4C9F-955B-DF70C4C869E3}"/>
                </c:ext>
              </c:extLst>
            </c:dLbl>
            <c:dLbl>
              <c:idx val="4"/>
              <c:delete val="1"/>
              <c:extLst>
                <c:ext xmlns:c15="http://schemas.microsoft.com/office/drawing/2012/chart" uri="{CE6537A1-D6FC-4f65-9D91-7224C49458BB}"/>
                <c:ext xmlns:c16="http://schemas.microsoft.com/office/drawing/2014/chart" uri="{C3380CC4-5D6E-409C-BE32-E72D297353CC}">
                  <c16:uniqueId val="{0000000F-6EDD-4C9F-955B-DF70C4C869E3}"/>
                </c:ext>
              </c:extLst>
            </c:dLbl>
            <c:dLbl>
              <c:idx val="5"/>
              <c:delete val="1"/>
              <c:extLst>
                <c:ext xmlns:c15="http://schemas.microsoft.com/office/drawing/2012/chart" uri="{CE6537A1-D6FC-4f65-9D91-7224C49458BB}"/>
                <c:ext xmlns:c16="http://schemas.microsoft.com/office/drawing/2014/chart" uri="{C3380CC4-5D6E-409C-BE32-E72D297353CC}">
                  <c16:uniqueId val="{00000010-6EDD-4C9F-955B-DF70C4C869E3}"/>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EDD-4C9F-955B-DF70C4C869E3}"/>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Calc!$H$356:$H$363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Calc!$M$357:$M$363</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12-6EDD-4C9F-955B-DF70C4C869E3}"/>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7434344"/>
        <c:axId val="427434736"/>
      </c:lineChart>
      <c:catAx>
        <c:axId val="427434344"/>
        <c:scaling>
          <c:orientation val="minMax"/>
        </c:scaling>
        <c:delete val="0"/>
        <c:axPos val="b"/>
        <c:numFmt formatCode="General" sourceLinked="0"/>
        <c:majorTickMark val="out"/>
        <c:minorTickMark val="none"/>
        <c:tickLblPos val="low"/>
        <c:txPr>
          <a:bodyPr rot="0" vert="horz"/>
          <a:lstStyle/>
          <a:p>
            <a:pPr>
              <a:defRPr sz="1200" b="1"/>
            </a:pPr>
            <a:endParaRPr lang="en-US"/>
          </a:p>
        </c:txPr>
        <c:crossAx val="427434736"/>
        <c:crosses val="autoZero"/>
        <c:auto val="1"/>
        <c:lblAlgn val="ctr"/>
        <c:lblOffset val="100"/>
        <c:noMultiLvlLbl val="0"/>
      </c:catAx>
      <c:valAx>
        <c:axId val="427434736"/>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1.4389832189778363E-3"/>
              <c:y val="0.41810747233430751"/>
            </c:manualLayout>
          </c:layout>
          <c:overlay val="0"/>
        </c:title>
        <c:numFmt formatCode="0" sourceLinked="0"/>
        <c:majorTickMark val="out"/>
        <c:minorTickMark val="none"/>
        <c:tickLblPos val="nextTo"/>
        <c:txPr>
          <a:bodyPr/>
          <a:lstStyle/>
          <a:p>
            <a:pPr>
              <a:defRPr b="1"/>
            </a:pPr>
            <a:endParaRPr lang="en-US"/>
          </a:p>
        </c:txPr>
        <c:crossAx val="427434344"/>
        <c:crosses val="autoZero"/>
        <c:crossBetween val="between"/>
      </c:valAx>
      <c:spPr>
        <a:noFill/>
      </c:spPr>
    </c:plotArea>
    <c:plotVisOnly val="1"/>
    <c:dispBlanksAs val="gap"/>
    <c:showDLblsOverMax val="0"/>
  </c:chart>
  <c:spPr>
    <a:ln>
      <a:noFill/>
    </a:ln>
  </c:sp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62459349840201E-2"/>
          <c:y val="9.7696886007905367E-2"/>
          <c:w val="0.87761632681402002"/>
          <c:h val="0.68201222580598786"/>
        </c:manualLayout>
      </c:layout>
      <c:barChart>
        <c:barDir val="col"/>
        <c:grouping val="clustered"/>
        <c:varyColors val="0"/>
        <c:ser>
          <c:idx val="0"/>
          <c:order val="0"/>
          <c:tx>
            <c:strRef>
              <c:f>Calc!$AT$356</c:f>
              <c:strCache>
                <c:ptCount val="1"/>
                <c:pt idx="0">
                  <c:v>Ends</c:v>
                </c:pt>
              </c:strCache>
            </c:strRef>
          </c:tx>
          <c:spPr>
            <a:solidFill>
              <a:schemeClr val="tx2"/>
            </a:solidFill>
          </c:spPr>
          <c:invertIfNegative val="0"/>
          <c:dLbls>
            <c:dLbl>
              <c:idx val="0"/>
              <c:layout>
                <c:manualLayout>
                  <c:x val="0"/>
                  <c:y val="2.490995917177018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E5-4528-B2BE-04B0FF701054}"/>
                </c:ext>
              </c:extLst>
            </c:dLbl>
            <c:dLbl>
              <c:idx val="5"/>
              <c:layout>
                <c:manualLayout>
                  <c:x val="2.7777777777777779E-3"/>
                  <c:y val="6.723534558180227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E5-4528-B2BE-04B0FF701054}"/>
                </c:ext>
              </c:extLst>
            </c:dLbl>
            <c:dLbl>
              <c:idx val="6"/>
              <c:layout>
                <c:manualLayout>
                  <c:x val="0"/>
                  <c:y val="-4.3715368912219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E5-4528-B2BE-04B0FF701054}"/>
                </c:ext>
              </c:extLst>
            </c:dLbl>
            <c:dLbl>
              <c:idx val="8"/>
              <c:layout>
                <c:manualLayout>
                  <c:x val="1.7718719101239599E-3"/>
                  <c:y val="7.401210265383514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E5-4528-B2BE-04B0FF701054}"/>
                </c:ext>
              </c:extLst>
            </c:dLbl>
            <c:spPr>
              <a:noFill/>
              <a:ln>
                <a:noFill/>
              </a:ln>
              <a:effectLst/>
            </c:spPr>
            <c:txPr>
              <a:bodyPr/>
              <a:lstStyle/>
              <a:p>
                <a:pPr>
                  <a:defRPr sz="1200"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Calc!$AP$357:$AQ$363</c:f>
              <c:multiLvlStrCache>
                <c:ptCount val="7"/>
                <c:lvl>
                  <c:pt idx="0">
                    <c:v>Commitment    (Def Exit)</c:v>
                  </c:pt>
                  <c:pt idx="1">
                    <c:v>Launch
Investment</c:v>
                  </c:pt>
                  <c:pt idx="2">
                    <c:v>Launch
Delay</c:v>
                  </c:pt>
                  <c:pt idx="3">
                    <c:v>Revenue
(exc. Delay)</c:v>
                  </c:pt>
                  <c:pt idx="4">
                    <c:v>Margin</c:v>
                  </c:pt>
                  <c:pt idx="5">
                    <c:v>Other</c:v>
                  </c:pt>
                  <c:pt idx="6">
                    <c:v>Act / Proj        (Def Exit)</c:v>
                  </c:pt>
                </c:lvl>
                <c:lvl>
                  <c:pt idx="0">
                    <c:v>#VALUE!</c:v>
                  </c:pt>
                </c:lvl>
              </c:multiLvlStrCache>
            </c:multiLvlStrRef>
          </c:cat>
          <c:val>
            <c:numRef>
              <c:f>Calc!$AT$357:$AT$363</c:f>
              <c:numCache>
                <c:formatCode>0</c:formatCode>
                <c:ptCount val="7"/>
                <c:pt idx="0">
                  <c:v>0</c:v>
                </c:pt>
                <c:pt idx="6">
                  <c:v>0</c:v>
                </c:pt>
              </c:numCache>
            </c:numRef>
          </c:val>
          <c:extLst>
            <c:ext xmlns:c16="http://schemas.microsoft.com/office/drawing/2014/chart" uri="{C3380CC4-5D6E-409C-BE32-E72D297353CC}">
              <c16:uniqueId val="{00000004-8FE5-4528-B2BE-04B0FF701054}"/>
            </c:ext>
          </c:extLst>
        </c:ser>
        <c:dLbls>
          <c:dLblPos val="ctr"/>
          <c:showLegendKey val="0"/>
          <c:showVal val="1"/>
          <c:showCatName val="0"/>
          <c:showSerName val="0"/>
          <c:showPercent val="0"/>
          <c:showBubbleSize val="0"/>
        </c:dLbls>
        <c:gapWidth val="75"/>
        <c:axId val="427435520"/>
        <c:axId val="427435912"/>
      </c:barChart>
      <c:lineChart>
        <c:grouping val="standard"/>
        <c:varyColors val="0"/>
        <c:ser>
          <c:idx val="1"/>
          <c:order val="1"/>
          <c:tx>
            <c:strRef>
              <c:f>Calc!$AU$356</c:f>
              <c:strCache>
                <c:ptCount val="1"/>
                <c:pt idx="0">
                  <c:v>Before</c:v>
                </c:pt>
              </c:strCache>
            </c:strRef>
          </c:tx>
          <c:spPr>
            <a:ln>
              <a:noFill/>
            </a:ln>
          </c:spPr>
          <c:marker>
            <c:symbol val="none"/>
          </c:marker>
          <c:dLbls>
            <c:delete val="1"/>
          </c:dLbls>
          <c:cat>
            <c:strRef>
              <c:f>Calc!$AQ$356:$AQ$363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Calc!$AU$357:$AU$363</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5-8FE5-4528-B2BE-04B0FF701054}"/>
            </c:ext>
          </c:extLst>
        </c:ser>
        <c:ser>
          <c:idx val="2"/>
          <c:order val="2"/>
          <c:tx>
            <c:strRef>
              <c:f>Calc!$AV$356</c:f>
              <c:strCache>
                <c:ptCount val="1"/>
                <c:pt idx="0">
                  <c:v>After</c:v>
                </c:pt>
              </c:strCache>
            </c:strRef>
          </c:tx>
          <c:spPr>
            <a:ln>
              <a:noFill/>
            </a:ln>
          </c:spPr>
          <c:marker>
            <c:symbol val="none"/>
          </c:marker>
          <c:dLbls>
            <c:dLbl>
              <c:idx val="1"/>
              <c:delete val="1"/>
              <c:extLst>
                <c:ext xmlns:c15="http://schemas.microsoft.com/office/drawing/2012/chart" uri="{CE6537A1-D6FC-4f65-9D91-7224C49458BB}"/>
                <c:ext xmlns:c16="http://schemas.microsoft.com/office/drawing/2014/chart" uri="{C3380CC4-5D6E-409C-BE32-E72D297353CC}">
                  <c16:uniqueId val="{00000006-8FE5-4528-B2BE-04B0FF701054}"/>
                </c:ext>
              </c:extLst>
            </c:dLbl>
            <c:dLbl>
              <c:idx val="2"/>
              <c:delete val="1"/>
              <c:extLst>
                <c:ext xmlns:c15="http://schemas.microsoft.com/office/drawing/2012/chart" uri="{CE6537A1-D6FC-4f65-9D91-7224C49458BB}"/>
                <c:ext xmlns:c16="http://schemas.microsoft.com/office/drawing/2014/chart" uri="{C3380CC4-5D6E-409C-BE32-E72D297353CC}">
                  <c16:uniqueId val="{00000007-8FE5-4528-B2BE-04B0FF701054}"/>
                </c:ext>
              </c:extLst>
            </c:dLbl>
            <c:dLbl>
              <c:idx val="3"/>
              <c:delete val="1"/>
              <c:extLst>
                <c:ext xmlns:c15="http://schemas.microsoft.com/office/drawing/2012/chart" uri="{CE6537A1-D6FC-4f65-9D91-7224C49458BB}"/>
                <c:ext xmlns:c16="http://schemas.microsoft.com/office/drawing/2014/chart" uri="{C3380CC4-5D6E-409C-BE32-E72D297353CC}">
                  <c16:uniqueId val="{00000008-8FE5-4528-B2BE-04B0FF701054}"/>
                </c:ext>
              </c:extLst>
            </c:dLbl>
            <c:dLbl>
              <c:idx val="4"/>
              <c:delete val="1"/>
              <c:extLst>
                <c:ext xmlns:c15="http://schemas.microsoft.com/office/drawing/2012/chart" uri="{CE6537A1-D6FC-4f65-9D91-7224C49458BB}"/>
                <c:ext xmlns:c16="http://schemas.microsoft.com/office/drawing/2014/chart" uri="{C3380CC4-5D6E-409C-BE32-E72D297353CC}">
                  <c16:uniqueId val="{00000009-8FE5-4528-B2BE-04B0FF701054}"/>
                </c:ext>
              </c:extLst>
            </c:dLbl>
            <c:dLbl>
              <c:idx val="5"/>
              <c:delete val="1"/>
              <c:extLst>
                <c:ext xmlns:c15="http://schemas.microsoft.com/office/drawing/2012/chart" uri="{CE6537A1-D6FC-4f65-9D91-7224C49458BB}"/>
                <c:ext xmlns:c16="http://schemas.microsoft.com/office/drawing/2014/chart" uri="{C3380CC4-5D6E-409C-BE32-E72D297353CC}">
                  <c16:uniqueId val="{0000000A-8FE5-4528-B2BE-04B0FF701054}"/>
                </c:ext>
              </c:extLst>
            </c:dLbl>
            <c:dLbl>
              <c:idx val="7"/>
              <c:layout>
                <c:manualLayout>
                  <c:x val="-3.3612410135051521E-2"/>
                  <c:y val="0.467592592592592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FE5-4528-B2BE-04B0FF701054}"/>
                </c:ext>
              </c:extLst>
            </c:dLbl>
            <c:spPr>
              <a:noFill/>
              <a:ln>
                <a:noFill/>
              </a:ln>
              <a:effectLst/>
            </c:spPr>
            <c:txPr>
              <a:bodyPr/>
              <a:lstStyle/>
              <a:p>
                <a:pPr>
                  <a:defRPr b="1">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Calc!$AQ$356:$AQ$363</c:f>
              <c:strCache>
                <c:ptCount val="8"/>
                <c:pt idx="1">
                  <c:v>Commitment    (Def Exit)</c:v>
                </c:pt>
                <c:pt idx="2">
                  <c:v>Launch
Investment</c:v>
                </c:pt>
                <c:pt idx="3">
                  <c:v>Launch
Delay</c:v>
                </c:pt>
                <c:pt idx="4">
                  <c:v>Revenue
(exc. Delay)</c:v>
                </c:pt>
                <c:pt idx="5">
                  <c:v>Margin</c:v>
                </c:pt>
                <c:pt idx="6">
                  <c:v>Other</c:v>
                </c:pt>
                <c:pt idx="7">
                  <c:v>Act / Proj        (Def Exit)</c:v>
                </c:pt>
              </c:strCache>
            </c:strRef>
          </c:cat>
          <c:val>
            <c:numRef>
              <c:f>Calc!$AV$357:$AV$363</c:f>
              <c:numCache>
                <c:formatCode>0</c:formatCode>
                <c:ptCount val="7"/>
                <c:pt idx="1">
                  <c:v>0</c:v>
                </c:pt>
                <c:pt idx="2">
                  <c:v>0</c:v>
                </c:pt>
                <c:pt idx="3">
                  <c:v>0</c:v>
                </c:pt>
                <c:pt idx="4">
                  <c:v>0</c:v>
                </c:pt>
                <c:pt idx="5">
                  <c:v>0</c:v>
                </c:pt>
              </c:numCache>
            </c:numRef>
          </c:val>
          <c:smooth val="0"/>
          <c:extLst>
            <c:ext xmlns:c16="http://schemas.microsoft.com/office/drawing/2014/chart" uri="{C3380CC4-5D6E-409C-BE32-E72D297353CC}">
              <c16:uniqueId val="{0000000C-8FE5-4528-B2BE-04B0FF701054}"/>
            </c:ext>
          </c:extLst>
        </c:ser>
        <c:dLbls>
          <c:dLblPos val="ctr"/>
          <c:showLegendKey val="0"/>
          <c:showVal val="1"/>
          <c:showCatName val="0"/>
          <c:showSerName val="0"/>
          <c:showPercent val="0"/>
          <c:showBubbleSize val="0"/>
        </c:dLbls>
        <c:upDownBars>
          <c:gapWidth val="150"/>
          <c:upBars>
            <c:spPr>
              <a:solidFill>
                <a:srgbClr val="00B050"/>
              </a:solidFill>
              <a:ln>
                <a:noFill/>
              </a:ln>
            </c:spPr>
          </c:upBars>
          <c:downBars>
            <c:spPr>
              <a:solidFill>
                <a:srgbClr val="FF0000"/>
              </a:solidFill>
              <a:ln>
                <a:noFill/>
              </a:ln>
            </c:spPr>
          </c:downBars>
        </c:upDownBars>
        <c:marker val="1"/>
        <c:smooth val="0"/>
        <c:axId val="427435520"/>
        <c:axId val="427435912"/>
      </c:lineChart>
      <c:catAx>
        <c:axId val="427435520"/>
        <c:scaling>
          <c:orientation val="minMax"/>
        </c:scaling>
        <c:delete val="0"/>
        <c:axPos val="b"/>
        <c:numFmt formatCode="General" sourceLinked="0"/>
        <c:majorTickMark val="out"/>
        <c:minorTickMark val="none"/>
        <c:tickLblPos val="low"/>
        <c:txPr>
          <a:bodyPr rot="0" vert="horz"/>
          <a:lstStyle/>
          <a:p>
            <a:pPr>
              <a:defRPr sz="1200" b="1"/>
            </a:pPr>
            <a:endParaRPr lang="en-US"/>
          </a:p>
        </c:txPr>
        <c:crossAx val="427435912"/>
        <c:crosses val="autoZero"/>
        <c:auto val="1"/>
        <c:lblAlgn val="ctr"/>
        <c:lblOffset val="100"/>
        <c:noMultiLvlLbl val="0"/>
      </c:catAx>
      <c:valAx>
        <c:axId val="427435912"/>
        <c:scaling>
          <c:orientation val="minMax"/>
        </c:scaling>
        <c:delete val="0"/>
        <c:axPos val="l"/>
        <c:majorGridlines>
          <c:spPr>
            <a:ln>
              <a:noFill/>
            </a:ln>
          </c:spPr>
        </c:majorGridlines>
        <c:title>
          <c:tx>
            <c:rich>
              <a:bodyPr/>
              <a:lstStyle/>
              <a:p>
                <a:pPr>
                  <a:defRPr/>
                </a:pPr>
                <a:r>
                  <a:rPr lang="en-US"/>
                  <a:t>NPV ($M)</a:t>
                </a:r>
              </a:p>
            </c:rich>
          </c:tx>
          <c:layout>
            <c:manualLayout>
              <c:xMode val="edge"/>
              <c:yMode val="edge"/>
              <c:x val="6.8609112639571538E-3"/>
              <c:y val="0.36279126567512388"/>
            </c:manualLayout>
          </c:layout>
          <c:overlay val="0"/>
        </c:title>
        <c:numFmt formatCode="0" sourceLinked="0"/>
        <c:majorTickMark val="out"/>
        <c:minorTickMark val="none"/>
        <c:tickLblPos val="nextTo"/>
        <c:txPr>
          <a:bodyPr/>
          <a:lstStyle/>
          <a:p>
            <a:pPr>
              <a:defRPr b="1"/>
            </a:pPr>
            <a:endParaRPr lang="en-US"/>
          </a:p>
        </c:txPr>
        <c:crossAx val="427435520"/>
        <c:crosses val="autoZero"/>
        <c:crossBetween val="between"/>
      </c:valAx>
    </c:plotArea>
    <c:plotVisOnly val="1"/>
    <c:dispBlanksAs val="gap"/>
    <c:showDLblsOverMax val="0"/>
  </c:chart>
  <c:spPr>
    <a:noFill/>
    <a:ln>
      <a:noFill/>
    </a:ln>
  </c:sp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2"/>
          <c:tx>
            <c:strRef>
              <c:f>Calc!$O$419</c:f>
              <c:strCache>
                <c:ptCount val="1"/>
                <c:pt idx="0">
                  <c:v>Budget</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Calc!$O$420:$O$425</c:f>
              <c:numCache>
                <c:formatCode>General</c:formatCode>
                <c:ptCount val="6"/>
              </c:numCache>
            </c:numRef>
          </c:val>
          <c:extLst>
            <c:ext xmlns:c16="http://schemas.microsoft.com/office/drawing/2014/chart" uri="{C3380CC4-5D6E-409C-BE32-E72D297353CC}">
              <c16:uniqueId val="{00000000-B7BA-4C99-A62B-E402FB55C57A}"/>
            </c:ext>
          </c:extLst>
        </c:ser>
        <c:ser>
          <c:idx val="2"/>
          <c:order val="3"/>
          <c:tx>
            <c:strRef>
              <c:f>Calc!$P$419</c:f>
              <c:strCache>
                <c:ptCount val="1"/>
                <c:pt idx="0">
                  <c:v>Act / Proj</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Calc!$P$420:$P$425</c:f>
              <c:numCache>
                <c:formatCode>General</c:formatCode>
                <c:ptCount val="6"/>
              </c:numCache>
            </c:numRef>
          </c:val>
          <c:extLst>
            <c:ext xmlns:c16="http://schemas.microsoft.com/office/drawing/2014/chart" uri="{C3380CC4-5D6E-409C-BE32-E72D297353CC}">
              <c16:uniqueId val="{00000001-B7BA-4C99-A62B-E402FB55C57A}"/>
            </c:ext>
          </c:extLst>
        </c:ser>
        <c:dLbls>
          <c:showLegendKey val="0"/>
          <c:showVal val="0"/>
          <c:showCatName val="0"/>
          <c:showSerName val="0"/>
          <c:showPercent val="0"/>
          <c:showBubbleSize val="0"/>
        </c:dLbls>
        <c:gapWidth val="150"/>
        <c:axId val="434978328"/>
        <c:axId val="434977936"/>
      </c:barChart>
      <c:lineChart>
        <c:grouping val="standard"/>
        <c:varyColors val="0"/>
        <c:ser>
          <c:idx val="0"/>
          <c:order val="0"/>
          <c:tx>
            <c:strRef>
              <c:f>Calc!$M$419</c:f>
              <c:strCache>
                <c:ptCount val="1"/>
                <c:pt idx="0">
                  <c:v>Commit</c:v>
                </c:pt>
              </c:strCache>
            </c:strRef>
          </c:tx>
          <c:spPr>
            <a:ln w="28575" cap="rnd">
              <a:solidFill>
                <a:sysClr val="windowText" lastClr="000000"/>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Calc!$M$420:$M$425</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B7BA-4C99-A62B-E402FB55C57A}"/>
            </c:ext>
          </c:extLst>
        </c:ser>
        <c:ser>
          <c:idx val="1"/>
          <c:order val="1"/>
          <c:tx>
            <c:strRef>
              <c:f>Calc!$N$419</c:f>
              <c:strCache>
                <c:ptCount val="1"/>
                <c:pt idx="0">
                  <c:v>Act/Proj</c:v>
                </c:pt>
              </c:strCache>
            </c:strRef>
          </c:tx>
          <c:spPr>
            <a:ln w="28575" cap="rnd">
              <a:solidFill>
                <a:schemeClr val="bg1">
                  <a:lumMod val="65000"/>
                </a:schemeClr>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Calc!$L$420:$L$425</c:f>
              <c:numCache>
                <c:formatCode>General</c:formatCode>
                <c:ptCount val="6"/>
                <c:pt idx="0">
                  <c:v>0</c:v>
                </c:pt>
                <c:pt idx="1">
                  <c:v>0</c:v>
                </c:pt>
                <c:pt idx="2">
                  <c:v>0</c:v>
                </c:pt>
                <c:pt idx="3">
                  <c:v>0</c:v>
                </c:pt>
                <c:pt idx="4">
                  <c:v>0</c:v>
                </c:pt>
                <c:pt idx="5">
                  <c:v>0</c:v>
                </c:pt>
              </c:numCache>
            </c:numRef>
          </c:cat>
          <c:val>
            <c:numRef>
              <c:f>Calc!$N$420:$N$425</c:f>
              <c:numCache>
                <c:formatCode>General</c:formatCode>
                <c:ptCount val="6"/>
              </c:numCache>
            </c:numRef>
          </c:val>
          <c:smooth val="0"/>
          <c:extLst>
            <c:ext xmlns:c16="http://schemas.microsoft.com/office/drawing/2014/chart" uri="{C3380CC4-5D6E-409C-BE32-E72D297353CC}">
              <c16:uniqueId val="{00000003-B7BA-4C99-A62B-E402FB55C57A}"/>
            </c:ext>
          </c:extLst>
        </c:ser>
        <c:dLbls>
          <c:showLegendKey val="0"/>
          <c:showVal val="0"/>
          <c:showCatName val="0"/>
          <c:showSerName val="0"/>
          <c:showPercent val="0"/>
          <c:showBubbleSize val="0"/>
        </c:dLbls>
        <c:marker val="1"/>
        <c:smooth val="0"/>
        <c:axId val="434977152"/>
        <c:axId val="434977544"/>
      </c:lineChart>
      <c:catAx>
        <c:axId val="43497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34977544"/>
        <c:crosses val="autoZero"/>
        <c:auto val="1"/>
        <c:lblAlgn val="ctr"/>
        <c:lblOffset val="100"/>
        <c:noMultiLvlLbl val="0"/>
      </c:catAx>
      <c:valAx>
        <c:axId val="43497754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77152"/>
        <c:crosses val="autoZero"/>
        <c:crossBetween val="between"/>
      </c:valAx>
      <c:valAx>
        <c:axId val="434977936"/>
        <c:scaling>
          <c:orientation val="minMax"/>
        </c:scaling>
        <c:delete val="1"/>
        <c:axPos val="r"/>
        <c:numFmt formatCode="General" sourceLinked="1"/>
        <c:majorTickMark val="out"/>
        <c:minorTickMark val="none"/>
        <c:tickLblPos val="nextTo"/>
        <c:crossAx val="434978328"/>
        <c:crosses val="max"/>
        <c:crossBetween val="between"/>
      </c:valAx>
      <c:catAx>
        <c:axId val="434978328"/>
        <c:scaling>
          <c:orientation val="minMax"/>
        </c:scaling>
        <c:delete val="1"/>
        <c:axPos val="b"/>
        <c:numFmt formatCode="General" sourceLinked="1"/>
        <c:majorTickMark val="out"/>
        <c:minorTickMark val="none"/>
        <c:tickLblPos val="nextTo"/>
        <c:crossAx val="434977936"/>
        <c:crosses val="autoZero"/>
        <c:auto val="1"/>
        <c:lblAlgn val="ctr"/>
        <c:lblOffset val="100"/>
        <c:noMultiLvlLbl val="0"/>
      </c:catAx>
      <c:spPr>
        <a:noFill/>
        <a:ln>
          <a:noFill/>
        </a:ln>
        <a:effectLst/>
      </c:spPr>
    </c:plotArea>
    <c:legend>
      <c:legendPos val="b"/>
      <c:layout>
        <c:manualLayout>
          <c:xMode val="edge"/>
          <c:yMode val="edge"/>
          <c:x val="0.16635230030208489"/>
          <c:y val="0.92187445319335082"/>
          <c:w val="0.7635735155747042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2"/>
          <c:tx>
            <c:strRef>
              <c:f>Calc!$AU$419</c:f>
              <c:strCache>
                <c:ptCount val="1"/>
                <c:pt idx="0">
                  <c:v>Budget</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Calc!$AU$420:$AU$425</c:f>
              <c:numCache>
                <c:formatCode>General</c:formatCode>
                <c:ptCount val="6"/>
              </c:numCache>
            </c:numRef>
          </c:val>
          <c:extLst>
            <c:ext xmlns:c16="http://schemas.microsoft.com/office/drawing/2014/chart" uri="{C3380CC4-5D6E-409C-BE32-E72D297353CC}">
              <c16:uniqueId val="{00000000-F232-411A-A99B-5D5E800456C2}"/>
            </c:ext>
          </c:extLst>
        </c:ser>
        <c:ser>
          <c:idx val="2"/>
          <c:order val="3"/>
          <c:tx>
            <c:strRef>
              <c:f>Calc!$AV$419</c:f>
              <c:strCache>
                <c:ptCount val="1"/>
                <c:pt idx="0">
                  <c:v>Act / Proj</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lumMod val="60000"/>
                        <a:lumOff val="4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Calc!$AV$420:$AV$425</c:f>
              <c:numCache>
                <c:formatCode>General</c:formatCode>
                <c:ptCount val="6"/>
              </c:numCache>
            </c:numRef>
          </c:val>
          <c:extLst>
            <c:ext xmlns:c16="http://schemas.microsoft.com/office/drawing/2014/chart" uri="{C3380CC4-5D6E-409C-BE32-E72D297353CC}">
              <c16:uniqueId val="{00000001-F232-411A-A99B-5D5E800456C2}"/>
            </c:ext>
          </c:extLst>
        </c:ser>
        <c:dLbls>
          <c:showLegendKey val="0"/>
          <c:showVal val="0"/>
          <c:showCatName val="0"/>
          <c:showSerName val="0"/>
          <c:showPercent val="0"/>
          <c:showBubbleSize val="0"/>
        </c:dLbls>
        <c:gapWidth val="150"/>
        <c:axId val="434980288"/>
        <c:axId val="434979896"/>
      </c:barChart>
      <c:lineChart>
        <c:grouping val="standard"/>
        <c:varyColors val="0"/>
        <c:ser>
          <c:idx val="0"/>
          <c:order val="0"/>
          <c:tx>
            <c:strRef>
              <c:f>Calc!$AS$419</c:f>
              <c:strCache>
                <c:ptCount val="1"/>
                <c:pt idx="0">
                  <c:v>Commit</c:v>
                </c:pt>
              </c:strCache>
            </c:strRef>
          </c:tx>
          <c:spPr>
            <a:ln w="28575" cap="rnd">
              <a:solidFill>
                <a:sysClr val="windowText" lastClr="000000"/>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Calc!$AS$420:$AS$425</c:f>
              <c:numCache>
                <c:formatCode>_(* #,##0_);_(* \(#,##0\);_(* "-"??_);_(@_)</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F232-411A-A99B-5D5E800456C2}"/>
            </c:ext>
          </c:extLst>
        </c:ser>
        <c:ser>
          <c:idx val="1"/>
          <c:order val="1"/>
          <c:tx>
            <c:strRef>
              <c:f>Calc!$AT$419</c:f>
              <c:strCache>
                <c:ptCount val="1"/>
                <c:pt idx="0">
                  <c:v>Act/Proj</c:v>
                </c:pt>
              </c:strCache>
            </c:strRef>
          </c:tx>
          <c:spPr>
            <a:ln w="28575" cap="rnd">
              <a:solidFill>
                <a:schemeClr val="bg1">
                  <a:lumMod val="65000"/>
                </a:schemeClr>
              </a:solidFill>
              <a:prstDash val="dash"/>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Calc!$AR$420:$AR$425</c:f>
              <c:numCache>
                <c:formatCode>General</c:formatCode>
                <c:ptCount val="6"/>
                <c:pt idx="0">
                  <c:v>0</c:v>
                </c:pt>
                <c:pt idx="1">
                  <c:v>0</c:v>
                </c:pt>
                <c:pt idx="2">
                  <c:v>0</c:v>
                </c:pt>
                <c:pt idx="3">
                  <c:v>0</c:v>
                </c:pt>
                <c:pt idx="4">
                  <c:v>0</c:v>
                </c:pt>
                <c:pt idx="5">
                  <c:v>0</c:v>
                </c:pt>
              </c:numCache>
            </c:numRef>
          </c:cat>
          <c:val>
            <c:numRef>
              <c:f>Calc!$AT$420:$AT$425</c:f>
              <c:numCache>
                <c:formatCode>General</c:formatCode>
                <c:ptCount val="6"/>
              </c:numCache>
            </c:numRef>
          </c:val>
          <c:smooth val="0"/>
          <c:extLst>
            <c:ext xmlns:c16="http://schemas.microsoft.com/office/drawing/2014/chart" uri="{C3380CC4-5D6E-409C-BE32-E72D297353CC}">
              <c16:uniqueId val="{00000003-F232-411A-A99B-5D5E800456C2}"/>
            </c:ext>
          </c:extLst>
        </c:ser>
        <c:dLbls>
          <c:showLegendKey val="0"/>
          <c:showVal val="0"/>
          <c:showCatName val="0"/>
          <c:showSerName val="0"/>
          <c:showPercent val="0"/>
          <c:showBubbleSize val="0"/>
        </c:dLbls>
        <c:marker val="1"/>
        <c:smooth val="0"/>
        <c:axId val="434979112"/>
        <c:axId val="434979504"/>
      </c:lineChart>
      <c:catAx>
        <c:axId val="43497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34979504"/>
        <c:crosses val="autoZero"/>
        <c:auto val="1"/>
        <c:lblAlgn val="ctr"/>
        <c:lblOffset val="100"/>
        <c:noMultiLvlLbl val="0"/>
      </c:catAx>
      <c:valAx>
        <c:axId val="43497950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979112"/>
        <c:crosses val="autoZero"/>
        <c:crossBetween val="between"/>
      </c:valAx>
      <c:valAx>
        <c:axId val="434979896"/>
        <c:scaling>
          <c:orientation val="minMax"/>
          <c:max val="200"/>
        </c:scaling>
        <c:delete val="1"/>
        <c:axPos val="r"/>
        <c:numFmt formatCode="General" sourceLinked="1"/>
        <c:majorTickMark val="out"/>
        <c:minorTickMark val="none"/>
        <c:tickLblPos val="nextTo"/>
        <c:crossAx val="434980288"/>
        <c:crosses val="max"/>
        <c:crossBetween val="between"/>
      </c:valAx>
      <c:catAx>
        <c:axId val="434980288"/>
        <c:scaling>
          <c:orientation val="minMax"/>
        </c:scaling>
        <c:delete val="1"/>
        <c:axPos val="b"/>
        <c:numFmt formatCode="General" sourceLinked="1"/>
        <c:majorTickMark val="out"/>
        <c:minorTickMark val="none"/>
        <c:tickLblPos val="nextTo"/>
        <c:crossAx val="434979896"/>
        <c:crosses val="autoZero"/>
        <c:auto val="1"/>
        <c:lblAlgn val="ctr"/>
        <c:lblOffset val="100"/>
        <c:noMultiLvlLbl val="0"/>
      </c:catAx>
      <c:spPr>
        <a:noFill/>
        <a:ln>
          <a:noFill/>
        </a:ln>
        <a:effectLst/>
      </c:spPr>
    </c:plotArea>
    <c:legend>
      <c:legendPos val="b"/>
      <c:layout>
        <c:manualLayout>
          <c:xMode val="edge"/>
          <c:yMode val="edge"/>
          <c:x val="0.18873020872390953"/>
          <c:y val="0.92187445319335082"/>
          <c:w val="0.6834057742782153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119062</xdr:colOff>
      <xdr:row>133</xdr:row>
      <xdr:rowOff>95250</xdr:rowOff>
    </xdr:from>
    <xdr:to>
      <xdr:col>23</xdr:col>
      <xdr:colOff>702468</xdr:colOff>
      <xdr:row>143</xdr:row>
      <xdr:rowOff>47624</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51</xdr:col>
      <xdr:colOff>35718</xdr:colOff>
      <xdr:row>133</xdr:row>
      <xdr:rowOff>23810</xdr:rowOff>
    </xdr:from>
    <xdr:to>
      <xdr:col>61</xdr:col>
      <xdr:colOff>23813</xdr:colOff>
      <xdr:row>144</xdr:row>
      <xdr:rowOff>23811</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14</xdr:col>
      <xdr:colOff>202406</xdr:colOff>
      <xdr:row>225</xdr:row>
      <xdr:rowOff>142876</xdr:rowOff>
    </xdr:from>
    <xdr:to>
      <xdr:col>23</xdr:col>
      <xdr:colOff>476249</xdr:colOff>
      <xdr:row>233</xdr:row>
      <xdr:rowOff>154780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51</xdr:col>
      <xdr:colOff>166688</xdr:colOff>
      <xdr:row>225</xdr:row>
      <xdr:rowOff>0</xdr:rowOff>
    </xdr:from>
    <xdr:to>
      <xdr:col>60</xdr:col>
      <xdr:colOff>631031</xdr:colOff>
      <xdr:row>235</xdr:row>
      <xdr:rowOff>83343</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wsDr>
</file>

<file path=xl/drawings/drawing2.xml><?xml version="1.0" encoding="utf-8"?>
<c:userShapes xmlns:c="http://schemas.openxmlformats.org/drawingml/2006/chart">
  <cdr:relSizeAnchor xmlns:cdr="http://schemas.openxmlformats.org/drawingml/2006/chartDrawing">
    <cdr:from>
      <cdr:x>0.30197</cdr:x>
      <cdr:y>0.59541</cdr:y>
    </cdr:from>
    <cdr:to>
      <cdr:x>0.39731</cdr:x>
      <cdr:y>0.70826</cdr:y>
    </cdr:to>
    <cdr:sp macro="" textlink="Current_Prior!$H$136">
      <cdr:nvSpPr>
        <cdr:cNvPr id="2" name="Rectangle 1"/>
        <cdr:cNvSpPr/>
      </cdr:nvSpPr>
      <cdr:spPr>
        <a:xfrm xmlns:a="http://schemas.openxmlformats.org/drawingml/2006/main">
          <a:off x="2034971" y="1339832"/>
          <a:ext cx="642490"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BC134C06-7484-4F20-A284-10F357EEDE04}" type="TxLink">
            <a:rPr lang="en-US" sz="1000" b="1" i="0" u="none" strike="noStrike">
              <a:solidFill>
                <a:srgbClr val="000000"/>
              </a:solidFill>
              <a:latin typeface="Calibri"/>
              <a:cs typeface="Arial"/>
            </a:rPr>
            <a:pPr/>
            <a:t>0</a:t>
          </a:fld>
          <a:endParaRPr lang="en-US" sz="600" b="1"/>
        </a:p>
      </cdr:txBody>
    </cdr:sp>
  </cdr:relSizeAnchor>
  <cdr:relSizeAnchor xmlns:cdr="http://schemas.openxmlformats.org/drawingml/2006/chartDrawing">
    <cdr:from>
      <cdr:x>0.1965</cdr:x>
      <cdr:y>0.57729</cdr:y>
    </cdr:from>
    <cdr:to>
      <cdr:x>0.29184</cdr:x>
      <cdr:y>0.69014</cdr:y>
    </cdr:to>
    <cdr:sp macro="" textlink="Current_Prior!$H$135">
      <cdr:nvSpPr>
        <cdr:cNvPr id="3" name="Rectangle 2"/>
        <cdr:cNvSpPr/>
      </cdr:nvSpPr>
      <cdr:spPr>
        <a:xfrm xmlns:a="http://schemas.openxmlformats.org/drawingml/2006/main">
          <a:off x="1324230" y="1299053"/>
          <a:ext cx="642490"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F134FD2-0FEF-47E6-87F1-B0AE8448B098}"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0.38861</cdr:x>
      <cdr:y>0.57688</cdr:y>
    </cdr:from>
    <cdr:to>
      <cdr:x>0.4961</cdr:x>
      <cdr:y>0.68973</cdr:y>
    </cdr:to>
    <cdr:sp macro="" textlink="Current_Prior!$H$137">
      <cdr:nvSpPr>
        <cdr:cNvPr id="4" name="Rectangle 3"/>
        <cdr:cNvSpPr/>
      </cdr:nvSpPr>
      <cdr:spPr>
        <a:xfrm xmlns:a="http://schemas.openxmlformats.org/drawingml/2006/main">
          <a:off x="2891805" y="1696523"/>
          <a:ext cx="799877"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338CD2A-8DE9-490F-9F09-09E15C9B6DA2}"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0.48723</cdr:x>
      <cdr:y>0.65724</cdr:y>
    </cdr:from>
    <cdr:to>
      <cdr:x>0.58257</cdr:x>
      <cdr:y>0.77009</cdr:y>
    </cdr:to>
    <cdr:sp macro="" textlink="Current_Prior!$H$138">
      <cdr:nvSpPr>
        <cdr:cNvPr id="5" name="Rectangle 4"/>
        <cdr:cNvSpPr/>
      </cdr:nvSpPr>
      <cdr:spPr>
        <a:xfrm xmlns:a="http://schemas.openxmlformats.org/drawingml/2006/main">
          <a:off x="3625676" y="1932848"/>
          <a:ext cx="709464"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14D0108-4F12-43D7-872E-221603EEB937}"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0.58903</cdr:x>
      <cdr:y>0.41371</cdr:y>
    </cdr:from>
    <cdr:to>
      <cdr:x>0.68437</cdr:x>
      <cdr:y>0.52656</cdr:y>
    </cdr:to>
    <cdr:sp macro="" textlink="Current_Prior!$H$139">
      <cdr:nvSpPr>
        <cdr:cNvPr id="14" name="Rectangle 5"/>
        <cdr:cNvSpPr/>
      </cdr:nvSpPr>
      <cdr:spPr>
        <a:xfrm xmlns:a="http://schemas.openxmlformats.org/drawingml/2006/main">
          <a:off x="4383211" y="1216661"/>
          <a:ext cx="709464"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95FBDDF-41F5-4519-9CF7-643B41B77A2C}" type="TxLink">
            <a:rPr lang="en-US" sz="1000" b="1" i="0" u="none" strike="noStrike">
              <a:solidFill>
                <a:srgbClr val="000000"/>
              </a:solidFill>
              <a:latin typeface="Calibri"/>
              <a:cs typeface="Arial"/>
            </a:rPr>
            <a:pPr/>
            <a:t>22</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0.18576</cdr:x>
      <cdr:y>0.09359</cdr:y>
    </cdr:from>
    <cdr:to>
      <cdr:x>0.2865</cdr:x>
      <cdr:y>0.20644</cdr:y>
    </cdr:to>
    <cdr:sp macro="" textlink="Current_Prior!$F$144">
      <cdr:nvSpPr>
        <cdr:cNvPr id="11" name="Rectangle 2"/>
        <cdr:cNvSpPr/>
      </cdr:nvSpPr>
      <cdr:spPr>
        <a:xfrm xmlns:a="http://schemas.openxmlformats.org/drawingml/2006/main">
          <a:off x="1251825" y="245154"/>
          <a:ext cx="67888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4B009E7-3588-46A5-80AA-8758328A8A6F}" type="TxLink">
            <a:rPr lang="en-US" sz="10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0.18395</cdr:x>
      <cdr:y>0.21946</cdr:y>
    </cdr:from>
    <cdr:to>
      <cdr:x>0.29647</cdr:x>
      <cdr:y>0.33231</cdr:y>
    </cdr:to>
    <cdr:sp macro="" textlink="Current_Prior!$F$146">
      <cdr:nvSpPr>
        <cdr:cNvPr id="20" name="Rectangle 19"/>
        <cdr:cNvSpPr/>
      </cdr:nvSpPr>
      <cdr:spPr>
        <a:xfrm xmlns:a="http://schemas.openxmlformats.org/drawingml/2006/main">
          <a:off x="1239627" y="574855"/>
          <a:ext cx="758265" cy="29559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F9680AB-148C-462C-9D05-920175FB7B68}" type="TxLink">
            <a:rPr lang="en-US" sz="10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0.18396</cdr:x>
      <cdr:y>0.1587</cdr:y>
    </cdr:from>
    <cdr:to>
      <cdr:x>0.28816</cdr:x>
      <cdr:y>0.27155</cdr:y>
    </cdr:to>
    <cdr:sp macro="" textlink="Current_Prior!$F$145">
      <cdr:nvSpPr>
        <cdr:cNvPr id="23" name="Rectangle 22"/>
        <cdr:cNvSpPr/>
      </cdr:nvSpPr>
      <cdr:spPr>
        <a:xfrm xmlns:a="http://schemas.openxmlformats.org/drawingml/2006/main">
          <a:off x="1239695" y="415702"/>
          <a:ext cx="702197" cy="29559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3678B63-ADBC-4B73-89D8-38B5381E1C70}" type="TxLink">
            <a:rPr lang="en-US" sz="10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0.08682</cdr:x>
      <cdr:y>0.34464</cdr:y>
    </cdr:from>
    <cdr:to>
      <cdr:x>0.19934</cdr:x>
      <cdr:y>0.45749</cdr:y>
    </cdr:to>
    <cdr:sp macro="" textlink="Current_Prior!$L$134">
      <cdr:nvSpPr>
        <cdr:cNvPr id="18" name="Rectangle 17"/>
        <cdr:cNvSpPr/>
      </cdr:nvSpPr>
      <cdr:spPr>
        <a:xfrm xmlns:a="http://schemas.openxmlformats.org/drawingml/2006/main">
          <a:off x="626423" y="1013531"/>
          <a:ext cx="811852"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C867C73-AF35-4ECE-A608-9FF91FD350D2}" type="TxLink">
            <a:rPr lang="en-US" sz="1000" b="1" i="1" u="none" strike="noStrike">
              <a:solidFill>
                <a:schemeClr val="bg1"/>
              </a:solidFill>
              <a:latin typeface="Calibri"/>
              <a:cs typeface="Arial"/>
            </a:rPr>
            <a:pPr/>
            <a:t>-15%</a:t>
          </a:fld>
          <a:endParaRPr lang="en-US" sz="200" b="1" i="1">
            <a:solidFill>
              <a:schemeClr val="bg1"/>
            </a:solidFill>
          </a:endParaRPr>
        </a:p>
      </cdr:txBody>
    </cdr:sp>
  </cdr:relSizeAnchor>
  <cdr:relSizeAnchor xmlns:cdr="http://schemas.openxmlformats.org/drawingml/2006/chartDrawing">
    <cdr:from>
      <cdr:x>0.67498</cdr:x>
      <cdr:y>0.34357</cdr:y>
    </cdr:from>
    <cdr:to>
      <cdr:x>0.77215</cdr:x>
      <cdr:y>0.44939</cdr:y>
    </cdr:to>
    <cdr:sp macro="" textlink="Current_Prior!$L$140">
      <cdr:nvSpPr>
        <cdr:cNvPr id="21" name="Rectangle 20"/>
        <cdr:cNvSpPr/>
      </cdr:nvSpPr>
      <cdr:spPr>
        <a:xfrm xmlns:a="http://schemas.openxmlformats.org/drawingml/2006/main">
          <a:off x="5022801" y="1010385"/>
          <a:ext cx="723081" cy="3112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EB2C859-DEC6-49D4-A0A8-5405F146F9A6}" type="TxLink">
            <a:rPr lang="en-US" sz="1000" b="1" i="1" u="none" strike="noStrike">
              <a:solidFill>
                <a:schemeClr val="bg1"/>
              </a:solidFill>
              <a:latin typeface="Calibri"/>
              <a:cs typeface="Arial"/>
            </a:rPr>
            <a:pPr/>
            <a:t>5%</a:t>
          </a:fld>
          <a:endParaRPr lang="en-US" sz="200" b="1" i="1">
            <a:solidFill>
              <a:schemeClr val="bg1"/>
            </a:solidFill>
          </a:endParaRPr>
        </a:p>
      </cdr:txBody>
    </cdr:sp>
  </cdr:relSizeAnchor>
  <cdr:relSizeAnchor xmlns:cdr="http://schemas.openxmlformats.org/drawingml/2006/chartDrawing">
    <cdr:from>
      <cdr:x>0.88748</cdr:x>
      <cdr:y>0.19656</cdr:y>
    </cdr:from>
    <cdr:to>
      <cdr:x>1</cdr:x>
      <cdr:y>0.32995</cdr:y>
    </cdr:to>
    <cdr:sp macro="" textlink="">
      <cdr:nvSpPr>
        <cdr:cNvPr id="22" name="Rectangle 21"/>
        <cdr:cNvSpPr/>
      </cdr:nvSpPr>
      <cdr:spPr>
        <a:xfrm xmlns:a="http://schemas.openxmlformats.org/drawingml/2006/main">
          <a:off x="6604099" y="578059"/>
          <a:ext cx="837307" cy="39227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0.56231</cdr:x>
      <cdr:y>0.08077</cdr:y>
    </cdr:from>
    <cdr:to>
      <cdr:x>0.68728</cdr:x>
      <cdr:y>0.19577</cdr:y>
    </cdr:to>
    <cdr:sp macro="" textlink="Current_Prior!$F$147">
      <cdr:nvSpPr>
        <cdr:cNvPr id="24" name="Rectangle 23"/>
        <cdr:cNvSpPr/>
      </cdr:nvSpPr>
      <cdr:spPr>
        <a:xfrm xmlns:a="http://schemas.openxmlformats.org/drawingml/2006/main">
          <a:off x="3789371" y="181755"/>
          <a:ext cx="842160" cy="2587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07CD662-8396-4EF5-AF25-01A75424F9A3}" type="TxLink">
            <a:rPr lang="en-US" sz="1000" b="1" i="0" u="none" strike="noStrike">
              <a:solidFill>
                <a:srgbClr val="000000"/>
              </a:solidFill>
              <a:latin typeface="Calibri"/>
              <a:cs typeface="Arial"/>
            </a:rPr>
            <a:pPr/>
            <a:t>Hurdle -86</a:t>
          </a:fld>
          <a:endParaRPr lang="en-US" sz="400" b="1"/>
        </a:p>
      </cdr:txBody>
    </cdr:sp>
  </cdr:relSizeAnchor>
  <cdr:relSizeAnchor xmlns:cdr="http://schemas.openxmlformats.org/drawingml/2006/chartDrawing">
    <cdr:from>
      <cdr:x>0.56407</cdr:x>
      <cdr:y>0.14956</cdr:y>
    </cdr:from>
    <cdr:to>
      <cdr:x>0.67659</cdr:x>
      <cdr:y>0.26241</cdr:y>
    </cdr:to>
    <cdr:sp macro="" textlink="Current_Prior!$F$148">
      <cdr:nvSpPr>
        <cdr:cNvPr id="25" name="Rectangle 24"/>
        <cdr:cNvSpPr/>
      </cdr:nvSpPr>
      <cdr:spPr>
        <a:xfrm xmlns:a="http://schemas.openxmlformats.org/drawingml/2006/main">
          <a:off x="3801243" y="336551"/>
          <a:ext cx="758266"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AC5CDEF-DE84-4A5A-93E2-41471948B3E6}" type="TxLink">
            <a:rPr lang="en-US" sz="1000" b="1" i="0" u="none" strike="noStrike">
              <a:solidFill>
                <a:srgbClr val="000000"/>
              </a:solidFill>
              <a:latin typeface="Calibri"/>
              <a:cs typeface="Arial"/>
            </a:rPr>
            <a:pPr/>
            <a:t>Other +107</a:t>
          </a:fld>
          <a:endParaRPr lang="en-US" sz="400" b="1"/>
        </a:p>
      </cdr:txBody>
    </cdr:sp>
  </cdr:relSizeAnchor>
  <cdr:relSizeAnchor xmlns:cdr="http://schemas.openxmlformats.org/drawingml/2006/chartDrawing">
    <cdr:from>
      <cdr:x>0.78036</cdr:x>
      <cdr:y>0.12066</cdr:y>
    </cdr:from>
    <cdr:to>
      <cdr:x>0.8757</cdr:x>
      <cdr:y>0.23351</cdr:y>
    </cdr:to>
    <cdr:sp macro="" textlink="Current_Prior!$H$141">
      <cdr:nvSpPr>
        <cdr:cNvPr id="28" name="Rectangle 27"/>
        <cdr:cNvSpPr/>
      </cdr:nvSpPr>
      <cdr:spPr>
        <a:xfrm xmlns:a="http://schemas.openxmlformats.org/drawingml/2006/main">
          <a:off x="5806975" y="354851"/>
          <a:ext cx="709464" cy="33187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AB4C8B1-BF02-406B-B231-54D6279EE840}" type="TxLink">
            <a:rPr lang="en-US" sz="1000" b="1" i="0" u="none" strike="noStrike">
              <a:solidFill>
                <a:srgbClr val="000000"/>
              </a:solidFill>
              <a:latin typeface="Calibri"/>
              <a:cs typeface="Arial"/>
            </a:rPr>
            <a:pPr/>
            <a:t>#VALUE!</a:t>
          </a:fld>
          <a:endParaRPr lang="en-US" sz="400" b="1"/>
        </a:p>
      </cdr:txBody>
    </cdr:sp>
  </cdr:relSizeAnchor>
  <cdr:relSizeAnchor xmlns:cdr="http://schemas.openxmlformats.org/drawingml/2006/chartDrawing">
    <cdr:from>
      <cdr:x>0.87533</cdr:x>
      <cdr:y>0.18567</cdr:y>
    </cdr:from>
    <cdr:to>
      <cdr:x>0.9725</cdr:x>
      <cdr:y>0.29149</cdr:y>
    </cdr:to>
    <cdr:sp macro="" textlink="Current_Prior!$L$142">
      <cdr:nvSpPr>
        <cdr:cNvPr id="29" name="Rectangle 28"/>
        <cdr:cNvSpPr/>
      </cdr:nvSpPr>
      <cdr:spPr>
        <a:xfrm xmlns:a="http://schemas.openxmlformats.org/drawingml/2006/main">
          <a:off x="6513683" y="546035"/>
          <a:ext cx="723081" cy="31120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E25E2AB-CD5E-48E2-AB7C-1CA5ECAB30B7}"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0.19305</cdr:x>
      <cdr:y>0</cdr:y>
    </cdr:from>
    <cdr:to>
      <cdr:x>0.28839</cdr:x>
      <cdr:y>0.11285</cdr:y>
    </cdr:to>
    <cdr:sp macro="" textlink="Current_Prior!$M$135">
      <cdr:nvSpPr>
        <cdr:cNvPr id="26" name="Rectangle 25"/>
        <cdr:cNvSpPr/>
      </cdr:nvSpPr>
      <cdr:spPr>
        <a:xfrm xmlns:a="http://schemas.openxmlformats.org/drawingml/2006/main">
          <a:off x="1300956"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9BAFC8A-C54E-4CB4-AAAE-3BE08F984643}"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0.28669</cdr:x>
      <cdr:y>0</cdr:y>
    </cdr:from>
    <cdr:to>
      <cdr:x>0.38203</cdr:x>
      <cdr:y>0.11285</cdr:y>
    </cdr:to>
    <cdr:sp macro="" textlink="Current_Prior!$M$136">
      <cdr:nvSpPr>
        <cdr:cNvPr id="27" name="Rectangle 26"/>
        <cdr:cNvSpPr/>
      </cdr:nvSpPr>
      <cdr:spPr>
        <a:xfrm xmlns:a="http://schemas.openxmlformats.org/drawingml/2006/main">
          <a:off x="1931988"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6A86463-EB29-44EA-B54E-CF8341D28A9E}"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0.3874</cdr:x>
      <cdr:y>0</cdr:y>
    </cdr:from>
    <cdr:to>
      <cdr:x>0.48274</cdr:x>
      <cdr:y>0.11285</cdr:y>
    </cdr:to>
    <cdr:sp macro="" textlink="Current_Prior!$M$137">
      <cdr:nvSpPr>
        <cdr:cNvPr id="30" name="Rectangle 29"/>
        <cdr:cNvSpPr/>
      </cdr:nvSpPr>
      <cdr:spPr>
        <a:xfrm xmlns:a="http://schemas.openxmlformats.org/drawingml/2006/main">
          <a:off x="2610643"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2102950-4F1D-41FA-8911-AD885C68E77C}"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0.48457</cdr:x>
      <cdr:y>0</cdr:y>
    </cdr:from>
    <cdr:to>
      <cdr:x>0.57991</cdr:x>
      <cdr:y>0.11285</cdr:y>
    </cdr:to>
    <cdr:sp macro="" textlink="Current_Prior!$M$138">
      <cdr:nvSpPr>
        <cdr:cNvPr id="31" name="Rectangle 30"/>
        <cdr:cNvSpPr/>
      </cdr:nvSpPr>
      <cdr:spPr>
        <a:xfrm xmlns:a="http://schemas.openxmlformats.org/drawingml/2006/main">
          <a:off x="3265487"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5A9251D-4744-43FC-8E7B-3BE61F0C472F}" type="TxLink">
            <a:rPr lang="en-US" sz="1000" b="0" i="1" u="none" strike="noStrike">
              <a:solidFill>
                <a:srgbClr val="000000"/>
              </a:solidFill>
              <a:latin typeface="Calibri"/>
              <a:cs typeface="Arial"/>
            </a:rPr>
            <a:pPr/>
            <a:t>0%</a:t>
          </a:fld>
          <a:endParaRPr lang="en-US" sz="200" b="1" i="1"/>
        </a:p>
      </cdr:txBody>
    </cdr:sp>
  </cdr:relSizeAnchor>
  <cdr:relSizeAnchor xmlns:cdr="http://schemas.openxmlformats.org/drawingml/2006/chartDrawing">
    <cdr:from>
      <cdr:x>0.58881</cdr:x>
      <cdr:y>0</cdr:y>
    </cdr:from>
    <cdr:to>
      <cdr:x>0.68415</cdr:x>
      <cdr:y>0.11285</cdr:y>
    </cdr:to>
    <cdr:sp macro="" textlink="Current_Prior!$M$139">
      <cdr:nvSpPr>
        <cdr:cNvPr id="32" name="Rectangle 31"/>
        <cdr:cNvSpPr/>
      </cdr:nvSpPr>
      <cdr:spPr>
        <a:xfrm xmlns:a="http://schemas.openxmlformats.org/drawingml/2006/main">
          <a:off x="3967956" y="0"/>
          <a:ext cx="642490" cy="29559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B427627-4C97-424A-A414-9C3CA6EB9120}" type="TxLink">
            <a:rPr lang="en-US" sz="1000" b="0" i="1" u="none" strike="noStrike">
              <a:solidFill>
                <a:srgbClr val="000000"/>
              </a:solidFill>
              <a:latin typeface="Calibri"/>
              <a:cs typeface="Arial"/>
            </a:rPr>
            <a:pPr/>
            <a:t>100%</a:t>
          </a:fld>
          <a:endParaRPr lang="en-US" sz="200" b="1" i="1"/>
        </a:p>
      </cdr:txBody>
    </cdr:sp>
  </cdr:relSizeAnchor>
  <cdr:relSizeAnchor xmlns:cdr="http://schemas.openxmlformats.org/drawingml/2006/chartDrawing">
    <cdr:from>
      <cdr:x>0.70482</cdr:x>
      <cdr:y>0.50412</cdr:y>
    </cdr:from>
    <cdr:to>
      <cdr:x>0.80016</cdr:x>
      <cdr:y>0.61697</cdr:y>
    </cdr:to>
    <cdr:sp macro="" textlink="Current_Prior!$M$140">
      <cdr:nvSpPr>
        <cdr:cNvPr id="33" name="Rectangle 32"/>
        <cdr:cNvSpPr/>
      </cdr:nvSpPr>
      <cdr:spPr>
        <a:xfrm xmlns:a="http://schemas.openxmlformats.org/drawingml/2006/main">
          <a:off x="5244852" y="1482541"/>
          <a:ext cx="709463" cy="3318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B6BB5FB0-A4D6-48C1-83FA-42B380C3DCAA}" type="TxLink">
            <a:rPr lang="en-US" sz="1000" b="0" i="0" u="none" strike="noStrike">
              <a:solidFill>
                <a:srgbClr val="FF0000"/>
              </a:solidFill>
              <a:latin typeface="Calibri"/>
              <a:cs typeface="Arial"/>
            </a:rPr>
            <a:pPr algn="r"/>
            <a:t>#DIV/0!</a:t>
          </a:fld>
          <a:endParaRPr lang="en-US" sz="200" b="1">
            <a:solidFill>
              <a:srgbClr val="FF0000"/>
            </a:solidFill>
          </a:endParaRPr>
        </a:p>
      </cdr:txBody>
    </cdr:sp>
  </cdr:relSizeAnchor>
  <cdr:relSizeAnchor xmlns:cdr="http://schemas.openxmlformats.org/drawingml/2006/chartDrawing">
    <cdr:from>
      <cdr:x>0.90466</cdr:x>
      <cdr:y>0.02848</cdr:y>
    </cdr:from>
    <cdr:to>
      <cdr:x>1</cdr:x>
      <cdr:y>0.14133</cdr:y>
    </cdr:to>
    <cdr:sp macro="" textlink="Current_Prior!$M$142">
      <cdr:nvSpPr>
        <cdr:cNvPr id="34" name="Rectangle 33"/>
        <cdr:cNvSpPr/>
      </cdr:nvSpPr>
      <cdr:spPr>
        <a:xfrm xmlns:a="http://schemas.openxmlformats.org/drawingml/2006/main">
          <a:off x="6096446" y="74612"/>
          <a:ext cx="642490" cy="29559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2D7A050E-9239-47BB-AA8D-B597A1461018}" type="TxLink">
            <a:rPr lang="en-US" sz="1000" b="0" i="0" u="none" strike="noStrike">
              <a:solidFill>
                <a:srgbClr val="FF0000"/>
              </a:solidFill>
              <a:latin typeface="Calibri"/>
              <a:cs typeface="Arial"/>
            </a:rPr>
            <a:pPr algn="r"/>
            <a:t>#VALUE!</a:t>
          </a:fld>
          <a:endParaRPr lang="en-US" sz="200" b="1">
            <a:solidFill>
              <a:srgbClr val="FF0000"/>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0.29599</cdr:x>
      <cdr:y>0.26158</cdr:y>
    </cdr:from>
    <cdr:to>
      <cdr:x>0.39133</cdr:x>
      <cdr:y>0.37443</cdr:y>
    </cdr:to>
    <cdr:sp macro="" textlink="Current_Prior!$AS$136">
      <cdr:nvSpPr>
        <cdr:cNvPr id="2" name="Rectangle 1"/>
        <cdr:cNvSpPr/>
      </cdr:nvSpPr>
      <cdr:spPr>
        <a:xfrm xmlns:a="http://schemas.openxmlformats.org/drawingml/2006/main">
          <a:off x="2086286" y="787944"/>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7F238621-1E11-4F85-8655-4DDAE92D8500}"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0.19326</cdr:x>
      <cdr:y>0.35766</cdr:y>
    </cdr:from>
    <cdr:to>
      <cdr:x>0.2886</cdr:x>
      <cdr:y>0.47051</cdr:y>
    </cdr:to>
    <cdr:sp macro="" textlink="Current_Prior!$AS$135">
      <cdr:nvSpPr>
        <cdr:cNvPr id="3" name="Rectangle 2"/>
        <cdr:cNvSpPr/>
      </cdr:nvSpPr>
      <cdr:spPr>
        <a:xfrm xmlns:a="http://schemas.openxmlformats.org/drawingml/2006/main">
          <a:off x="1362193" y="1077364"/>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3771EEE-0A33-4735-A69F-BE1E796B4568}"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0.39626</cdr:x>
      <cdr:y>0.36348</cdr:y>
    </cdr:from>
    <cdr:to>
      <cdr:x>0.50375</cdr:x>
      <cdr:y>0.47633</cdr:y>
    </cdr:to>
    <cdr:sp macro="" textlink="Current_Prior!$AS$137">
      <cdr:nvSpPr>
        <cdr:cNvPr id="4" name="Rectangle 3"/>
        <cdr:cNvSpPr/>
      </cdr:nvSpPr>
      <cdr:spPr>
        <a:xfrm xmlns:a="http://schemas.openxmlformats.org/drawingml/2006/main">
          <a:off x="2920450" y="1155506"/>
          <a:ext cx="792198"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A66A672-2AF1-49A3-81C3-2818EBB9A769}"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0.4842</cdr:x>
      <cdr:y>0.5106</cdr:y>
    </cdr:from>
    <cdr:to>
      <cdr:x>0.57954</cdr:x>
      <cdr:y>0.62345</cdr:y>
    </cdr:to>
    <cdr:sp macro="" textlink="Current_Prior!$AS$138">
      <cdr:nvSpPr>
        <cdr:cNvPr id="5" name="Rectangle 4"/>
        <cdr:cNvSpPr/>
      </cdr:nvSpPr>
      <cdr:spPr>
        <a:xfrm xmlns:a="http://schemas.openxmlformats.org/drawingml/2006/main">
          <a:off x="3568542" y="1623182"/>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5CBAF81-030E-4C0E-B52B-BF82C111CC12}"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0.59496</cdr:x>
      <cdr:y>0.3543</cdr:y>
    </cdr:from>
    <cdr:to>
      <cdr:x>0.6903</cdr:x>
      <cdr:y>0.46715</cdr:y>
    </cdr:to>
    <cdr:sp macro="" textlink="Current_Prior!$AS$139">
      <cdr:nvSpPr>
        <cdr:cNvPr id="14" name="Rectangle 5"/>
        <cdr:cNvSpPr/>
      </cdr:nvSpPr>
      <cdr:spPr>
        <a:xfrm xmlns:a="http://schemas.openxmlformats.org/drawingml/2006/main">
          <a:off x="4384807" y="1126309"/>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6C32907-6DD7-456B-AF42-D8695B7A9B97}" type="TxLink">
            <a:rPr lang="en-US" sz="1000" b="1" i="0" u="none" strike="noStrike">
              <a:solidFill>
                <a:srgbClr val="000000"/>
              </a:solidFill>
              <a:latin typeface="Calibri"/>
              <a:cs typeface="Arial"/>
            </a:rPr>
            <a:pPr/>
            <a:t>102</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0.17438</cdr:x>
      <cdr:y>0.46541</cdr:y>
    </cdr:from>
    <cdr:to>
      <cdr:x>0.27512</cdr:x>
      <cdr:y>0.57826</cdr:y>
    </cdr:to>
    <cdr:sp macro="" textlink="Current_Prior!$AQ$144">
      <cdr:nvSpPr>
        <cdr:cNvPr id="11" name="Rectangle 2"/>
        <cdr:cNvSpPr/>
      </cdr:nvSpPr>
      <cdr:spPr>
        <a:xfrm xmlns:a="http://schemas.openxmlformats.org/drawingml/2006/main">
          <a:off x="1229123" y="1401958"/>
          <a:ext cx="710066"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3820554-7111-44EE-975B-B8B954418B35}" type="TxLink">
            <a:rPr lang="en-US" sz="1000" b="1" i="0" u="none" strike="noStrike">
              <a:solidFill>
                <a:srgbClr val="000000"/>
              </a:solidFill>
              <a:latin typeface="Calibri"/>
              <a:cs typeface="Arial"/>
            </a:rPr>
            <a:pPr/>
            <a:t>SSGA +0</a:t>
          </a:fld>
          <a:endParaRPr lang="en-US" sz="2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0.17257</cdr:x>
      <cdr:y>0.59128</cdr:y>
    </cdr:from>
    <cdr:to>
      <cdr:x>0.28509</cdr:x>
      <cdr:y>0.70413</cdr:y>
    </cdr:to>
    <cdr:sp macro="" textlink="Current_Prior!$AQ$146">
      <cdr:nvSpPr>
        <cdr:cNvPr id="20" name="Rectangle 19"/>
        <cdr:cNvSpPr/>
      </cdr:nvSpPr>
      <cdr:spPr>
        <a:xfrm xmlns:a="http://schemas.openxmlformats.org/drawingml/2006/main">
          <a:off x="1216366" y="1781114"/>
          <a:ext cx="793097"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ECBE477-0BAD-4611-9595-28F7DCA339AD}" type="TxLink">
            <a:rPr lang="en-US" sz="1000" b="1" i="0" u="none" strike="noStrike">
              <a:solidFill>
                <a:srgbClr val="000000"/>
              </a:solidFill>
              <a:latin typeface="Calibri"/>
              <a:cs typeface="Arial"/>
            </a:rPr>
            <a:pPr/>
            <a:t>CapEx +0</a:t>
          </a:fld>
          <a:endParaRPr lang="en-US" sz="200" b="1"/>
        </a:p>
      </cdr:txBody>
    </cdr:sp>
  </cdr:relSizeAnchor>
  <cdr:relSizeAnchor xmlns:cdr="http://schemas.openxmlformats.org/drawingml/2006/chartDrawing">
    <cdr:from>
      <cdr:x>0.17258</cdr:x>
      <cdr:y>0.53052</cdr:y>
    </cdr:from>
    <cdr:to>
      <cdr:x>0.27678</cdr:x>
      <cdr:y>0.64337</cdr:y>
    </cdr:to>
    <cdr:sp macro="" textlink="Current_Prior!$AQ$145">
      <cdr:nvSpPr>
        <cdr:cNvPr id="23" name="Rectangle 22"/>
        <cdr:cNvSpPr/>
      </cdr:nvSpPr>
      <cdr:spPr>
        <a:xfrm xmlns:a="http://schemas.openxmlformats.org/drawingml/2006/main">
          <a:off x="1216436" y="1598088"/>
          <a:ext cx="73445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3839B16-B521-44AA-BC8F-81F167464B79}" type="TxLink">
            <a:rPr lang="en-US" sz="1000" b="1" i="0" u="none" strike="noStrike">
              <a:solidFill>
                <a:srgbClr val="000000"/>
              </a:solidFill>
              <a:latin typeface="Calibri"/>
              <a:cs typeface="Arial"/>
            </a:rPr>
            <a:pPr/>
            <a:t>R&amp;D +0</a:t>
          </a:fld>
          <a:endParaRPr lang="en-US" sz="200" b="1"/>
        </a:p>
      </cdr:txBody>
    </cdr:sp>
  </cdr:relSizeAnchor>
  <cdr:relSizeAnchor xmlns:cdr="http://schemas.openxmlformats.org/drawingml/2006/chartDrawing">
    <cdr:from>
      <cdr:x>0.5817</cdr:x>
      <cdr:y>0.04474</cdr:y>
    </cdr:from>
    <cdr:to>
      <cdr:x>0.6992</cdr:x>
      <cdr:y>0.15759</cdr:y>
    </cdr:to>
    <cdr:sp macro="" textlink="Current_Prior!$AQ$147">
      <cdr:nvSpPr>
        <cdr:cNvPr id="18" name="Rectangle 17"/>
        <cdr:cNvSpPr/>
      </cdr:nvSpPr>
      <cdr:spPr>
        <a:xfrm xmlns:a="http://schemas.openxmlformats.org/drawingml/2006/main">
          <a:off x="3982341" y="12911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B4FFBF7-78FA-4DC4-9729-A07940E165CC}" type="TxLink">
            <a:rPr lang="en-US" sz="1000" b="1" i="0" u="none" strike="noStrike">
              <a:solidFill>
                <a:srgbClr val="000000"/>
              </a:solidFill>
              <a:latin typeface="Calibri"/>
              <a:cs typeface="Arial"/>
            </a:rPr>
            <a:pPr/>
            <a:t>Hurdle -438</a:t>
          </a:fld>
          <a:endParaRPr lang="en-US" sz="200" b="1"/>
        </a:p>
      </cdr:txBody>
    </cdr:sp>
  </cdr:relSizeAnchor>
  <cdr:relSizeAnchor xmlns:cdr="http://schemas.openxmlformats.org/drawingml/2006/chartDrawing">
    <cdr:from>
      <cdr:x>0.58328</cdr:x>
      <cdr:y>0.11087</cdr:y>
    </cdr:from>
    <cdr:to>
      <cdr:x>0.70078</cdr:x>
      <cdr:y>0.22372</cdr:y>
    </cdr:to>
    <cdr:sp macro="" textlink="Current_Prior!$AQ$148">
      <cdr:nvSpPr>
        <cdr:cNvPr id="21" name="Rectangle 20"/>
        <cdr:cNvSpPr/>
      </cdr:nvSpPr>
      <cdr:spPr>
        <a:xfrm xmlns:a="http://schemas.openxmlformats.org/drawingml/2006/main">
          <a:off x="3993163" y="31998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7283613-B37A-4D55-977E-2D9AF201B2B4}" type="TxLink">
            <a:rPr lang="en-US" sz="1000" b="1" i="0" u="none" strike="noStrike">
              <a:solidFill>
                <a:srgbClr val="000000"/>
              </a:solidFill>
              <a:latin typeface="Calibri"/>
              <a:cs typeface="Arial"/>
            </a:rPr>
            <a:pPr/>
            <a:t>Other +539</a:t>
          </a:fld>
          <a:endParaRPr lang="en-US" sz="200" b="1"/>
        </a:p>
      </cdr:txBody>
    </cdr:sp>
  </cdr:relSizeAnchor>
  <cdr:relSizeAnchor xmlns:cdr="http://schemas.openxmlformats.org/drawingml/2006/chartDrawing">
    <cdr:from>
      <cdr:x>0.89926</cdr:x>
      <cdr:y>0.53449</cdr:y>
    </cdr:from>
    <cdr:to>
      <cdr:x>1</cdr:x>
      <cdr:y>0.64734</cdr:y>
    </cdr:to>
    <cdr:sp macro="" textlink="">
      <cdr:nvSpPr>
        <cdr:cNvPr id="22" name="Rectangle 21"/>
        <cdr:cNvSpPr/>
      </cdr:nvSpPr>
      <cdr:spPr>
        <a:xfrm xmlns:a="http://schemas.openxmlformats.org/drawingml/2006/main">
          <a:off x="6338434" y="1699136"/>
          <a:ext cx="710066"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0.0982</cdr:x>
      <cdr:y>0.51917</cdr:y>
    </cdr:from>
    <cdr:to>
      <cdr:x>0.19894</cdr:x>
      <cdr:y>0.63202</cdr:y>
    </cdr:to>
    <cdr:sp macro="" textlink="Current_Prior!$AW$134">
      <cdr:nvSpPr>
        <cdr:cNvPr id="24" name="Rectangle 23"/>
        <cdr:cNvSpPr/>
      </cdr:nvSpPr>
      <cdr:spPr>
        <a:xfrm xmlns:a="http://schemas.openxmlformats.org/drawingml/2006/main">
          <a:off x="692144" y="1563899"/>
          <a:ext cx="710066"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075465C-BAD7-4577-ACEA-A40FFE7DE339}" type="TxLink">
            <a:rPr lang="en-US" sz="1000" b="1" i="1"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0.87987</cdr:x>
      <cdr:y>0.51938</cdr:y>
    </cdr:from>
    <cdr:to>
      <cdr:x>0.98061</cdr:x>
      <cdr:y>0.63223</cdr:y>
    </cdr:to>
    <cdr:sp macro="" textlink="Current_Prior!$AW$142">
      <cdr:nvSpPr>
        <cdr:cNvPr id="28" name="Rectangle 27"/>
        <cdr:cNvSpPr/>
      </cdr:nvSpPr>
      <cdr:spPr>
        <a:xfrm xmlns:a="http://schemas.openxmlformats.org/drawingml/2006/main">
          <a:off x="6484644" y="1651093"/>
          <a:ext cx="742451"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01C1F0A-48F8-420D-9DFE-74E0C3879148}"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0.67499</cdr:x>
      <cdr:y>0.52351</cdr:y>
    </cdr:from>
    <cdr:to>
      <cdr:x>0.77573</cdr:x>
      <cdr:y>0.63636</cdr:y>
    </cdr:to>
    <cdr:sp macro="" textlink="Current_Prior!$AW$140">
      <cdr:nvSpPr>
        <cdr:cNvPr id="25" name="Rectangle 24"/>
        <cdr:cNvSpPr/>
      </cdr:nvSpPr>
      <cdr:spPr>
        <a:xfrm xmlns:a="http://schemas.openxmlformats.org/drawingml/2006/main">
          <a:off x="4974685" y="1664223"/>
          <a:ext cx="742451" cy="35874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3E67D45-1B6C-4950-9299-0A839ADF6529}" type="TxLink">
            <a:rPr lang="en-US" sz="1000" b="1" i="1" u="none" strike="noStrike">
              <a:solidFill>
                <a:schemeClr val="bg1"/>
              </a:solidFill>
              <a:latin typeface="Calibri"/>
              <a:cs typeface="Arial"/>
            </a:rPr>
            <a:pPr/>
            <a:t>11%</a:t>
          </a:fld>
          <a:endParaRPr lang="en-US" sz="100" b="1" i="1">
            <a:solidFill>
              <a:schemeClr val="bg1"/>
            </a:solidFill>
          </a:endParaRPr>
        </a:p>
      </cdr:txBody>
    </cdr:sp>
  </cdr:relSizeAnchor>
  <cdr:relSizeAnchor xmlns:cdr="http://schemas.openxmlformats.org/drawingml/2006/chartDrawing">
    <cdr:from>
      <cdr:x>0.77958</cdr:x>
      <cdr:y>0.10204</cdr:y>
    </cdr:from>
    <cdr:to>
      <cdr:x>0.87492</cdr:x>
      <cdr:y>0.21489</cdr:y>
    </cdr:to>
    <cdr:sp macro="" textlink="Current_Prior!$AS$141">
      <cdr:nvSpPr>
        <cdr:cNvPr id="29" name="Rectangle 28"/>
        <cdr:cNvSpPr/>
      </cdr:nvSpPr>
      <cdr:spPr>
        <a:xfrm xmlns:a="http://schemas.openxmlformats.org/drawingml/2006/main">
          <a:off x="5745503" y="324382"/>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3C62C22-31A4-4907-BFAB-9332C1A7B075}" type="TxLink">
            <a:rPr lang="en-US" sz="1000" b="1" i="0" u="none" strike="noStrike">
              <a:solidFill>
                <a:srgbClr val="000000"/>
              </a:solidFill>
              <a:latin typeface="Calibri"/>
              <a:cs typeface="Arial"/>
            </a:rPr>
            <a:pPr/>
            <a:t>#VALUE!</a:t>
          </a:fld>
          <a:endParaRPr lang="en-US" sz="200" b="1"/>
        </a:p>
      </cdr:txBody>
    </cdr:sp>
  </cdr:relSizeAnchor>
  <cdr:relSizeAnchor xmlns:cdr="http://schemas.openxmlformats.org/drawingml/2006/chartDrawing">
    <cdr:from>
      <cdr:x>0.19471</cdr:x>
      <cdr:y>0</cdr:y>
    </cdr:from>
    <cdr:to>
      <cdr:x>0.29005</cdr:x>
      <cdr:y>0.11285</cdr:y>
    </cdr:to>
    <cdr:sp macro="" textlink="Current_Prior!$AX$135">
      <cdr:nvSpPr>
        <cdr:cNvPr id="26" name="Rectangle 25"/>
        <cdr:cNvSpPr/>
      </cdr:nvSpPr>
      <cdr:spPr>
        <a:xfrm xmlns:a="http://schemas.openxmlformats.org/drawingml/2006/main">
          <a:off x="1372394"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8C4E5D5-B907-480F-BE00-4EA7CA9F70B0}"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0.28761</cdr:x>
      <cdr:y>0</cdr:y>
    </cdr:from>
    <cdr:to>
      <cdr:x>0.38295</cdr:x>
      <cdr:y>0.11285</cdr:y>
    </cdr:to>
    <cdr:sp macro="" textlink="Current_Prior!$AX$136">
      <cdr:nvSpPr>
        <cdr:cNvPr id="27" name="Rectangle 26"/>
        <cdr:cNvSpPr/>
      </cdr:nvSpPr>
      <cdr:spPr>
        <a:xfrm xmlns:a="http://schemas.openxmlformats.org/drawingml/2006/main">
          <a:off x="2027237"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39C88DF-2DB9-4046-8714-F13D1B46EF07}"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0.39403</cdr:x>
      <cdr:y>0</cdr:y>
    </cdr:from>
    <cdr:to>
      <cdr:x>0.48937</cdr:x>
      <cdr:y>0.11285</cdr:y>
    </cdr:to>
    <cdr:sp macro="" textlink="Current_Prior!$AX$137">
      <cdr:nvSpPr>
        <cdr:cNvPr id="30" name="Rectangle 29"/>
        <cdr:cNvSpPr/>
      </cdr:nvSpPr>
      <cdr:spPr>
        <a:xfrm xmlns:a="http://schemas.openxmlformats.org/drawingml/2006/main">
          <a:off x="2777331"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6FF0AAD-C289-4905-A774-C43171A8FD9D}"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0.48863</cdr:x>
      <cdr:y>0</cdr:y>
    </cdr:from>
    <cdr:to>
      <cdr:x>0.58397</cdr:x>
      <cdr:y>0.11285</cdr:y>
    </cdr:to>
    <cdr:sp macro="" textlink="Current_Prior!$AX$138">
      <cdr:nvSpPr>
        <cdr:cNvPr id="31" name="Rectangle 30"/>
        <cdr:cNvSpPr/>
      </cdr:nvSpPr>
      <cdr:spPr>
        <a:xfrm xmlns:a="http://schemas.openxmlformats.org/drawingml/2006/main">
          <a:off x="3444081"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6033BB3-D034-41F7-B4CF-FF15DB9B3754}"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0.59336</cdr:x>
      <cdr:y>0</cdr:y>
    </cdr:from>
    <cdr:to>
      <cdr:x>0.6887</cdr:x>
      <cdr:y>0.11285</cdr:y>
    </cdr:to>
    <cdr:sp macro="" textlink="Current_Prior!$AX$139">
      <cdr:nvSpPr>
        <cdr:cNvPr id="32" name="Rectangle 31"/>
        <cdr:cNvSpPr/>
      </cdr:nvSpPr>
      <cdr:spPr>
        <a:xfrm xmlns:a="http://schemas.openxmlformats.org/drawingml/2006/main">
          <a:off x="4182269" y="0"/>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84F300F-2842-48C8-8F3E-E246865545E1}" type="TxLink">
            <a:rPr lang="en-US" sz="1000" b="0" i="1" u="none" strike="noStrike">
              <a:solidFill>
                <a:srgbClr val="000000"/>
              </a:solidFill>
              <a:latin typeface="Calibri"/>
              <a:cs typeface="Arial"/>
            </a:rPr>
            <a:pPr/>
            <a:t>100%</a:t>
          </a:fld>
          <a:endParaRPr lang="en-US" sz="100" b="1" i="1"/>
        </a:p>
      </cdr:txBody>
    </cdr:sp>
  </cdr:relSizeAnchor>
  <cdr:relSizeAnchor xmlns:cdr="http://schemas.openxmlformats.org/drawingml/2006/chartDrawing">
    <cdr:from>
      <cdr:x>0.68193</cdr:x>
      <cdr:y>0.32496</cdr:y>
    </cdr:from>
    <cdr:to>
      <cdr:x>0.77727</cdr:x>
      <cdr:y>0.43781</cdr:y>
    </cdr:to>
    <cdr:sp macro="" textlink="Current_Prior!$AX$140">
      <cdr:nvSpPr>
        <cdr:cNvPr id="33" name="Rectangle 32"/>
        <cdr:cNvSpPr/>
      </cdr:nvSpPr>
      <cdr:spPr>
        <a:xfrm xmlns:a="http://schemas.openxmlformats.org/drawingml/2006/main">
          <a:off x="5025840" y="1033023"/>
          <a:ext cx="702653" cy="35874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5211A664-5806-4BBD-A91A-46405DE3D7CC}" type="TxLink">
            <a:rPr lang="en-US" sz="1000" b="0" i="0" u="none" strike="noStrike">
              <a:solidFill>
                <a:srgbClr val="FF0000"/>
              </a:solidFill>
              <a:latin typeface="Calibri"/>
              <a:cs typeface="Arial"/>
            </a:rPr>
            <a:pPr algn="r"/>
            <a:t>#DIV/0!</a:t>
          </a:fld>
          <a:endParaRPr lang="en-US" sz="100" b="1" i="0">
            <a:solidFill>
              <a:srgbClr val="FF0000"/>
            </a:solidFill>
          </a:endParaRPr>
        </a:p>
      </cdr:txBody>
    </cdr:sp>
  </cdr:relSizeAnchor>
  <cdr:relSizeAnchor xmlns:cdr="http://schemas.openxmlformats.org/drawingml/2006/chartDrawing">
    <cdr:from>
      <cdr:x>0.89284</cdr:x>
      <cdr:y>0.08406</cdr:y>
    </cdr:from>
    <cdr:to>
      <cdr:x>0.98818</cdr:x>
      <cdr:y>0.19691</cdr:y>
    </cdr:to>
    <cdr:sp macro="" textlink="Current_Prior!$AX$142">
      <cdr:nvSpPr>
        <cdr:cNvPr id="34" name="Rectangle 33"/>
        <cdr:cNvSpPr/>
      </cdr:nvSpPr>
      <cdr:spPr>
        <a:xfrm xmlns:a="http://schemas.openxmlformats.org/drawingml/2006/main">
          <a:off x="6293153" y="253206"/>
          <a:ext cx="672004" cy="33993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F3A16E41-0D29-40CD-A6CA-46C0AF367FDB}" type="TxLink">
            <a:rPr lang="en-US" sz="1000" b="0" i="0" u="none" strike="noStrike">
              <a:solidFill>
                <a:srgbClr val="FF0000"/>
              </a:solidFill>
              <a:latin typeface="Calibri"/>
              <a:cs typeface="Arial"/>
            </a:rPr>
            <a:pPr algn="r"/>
            <a:t>#VALUE!</a:t>
          </a:fld>
          <a:endParaRPr lang="en-US" sz="100" b="1" i="0">
            <a:solidFill>
              <a:srgbClr val="FF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0.36734</cdr:x>
      <cdr:y>0.31248</cdr:y>
    </cdr:from>
    <cdr:to>
      <cdr:x>0.46268</cdr:x>
      <cdr:y>0.42533</cdr:y>
    </cdr:to>
    <cdr:sp macro="" textlink="Current_Prior!$H$228">
      <cdr:nvSpPr>
        <cdr:cNvPr id="2" name="Rectangle 1"/>
        <cdr:cNvSpPr/>
      </cdr:nvSpPr>
      <cdr:spPr>
        <a:xfrm xmlns:a="http://schemas.openxmlformats.org/drawingml/2006/main">
          <a:off x="2619811" y="844545"/>
          <a:ext cx="679950" cy="30500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4BAB2B08-8FA7-42A2-AD61-3674375AAE6D}"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0.22731</cdr:x>
      <cdr:y>0.42132</cdr:y>
    </cdr:from>
    <cdr:to>
      <cdr:x>0.32265</cdr:x>
      <cdr:y>0.53417</cdr:y>
    </cdr:to>
    <cdr:sp macro="" textlink="Current_Prior!$H$227">
      <cdr:nvSpPr>
        <cdr:cNvPr id="3" name="Rectangle 2"/>
        <cdr:cNvSpPr/>
      </cdr:nvSpPr>
      <cdr:spPr>
        <a:xfrm xmlns:a="http://schemas.openxmlformats.org/drawingml/2006/main">
          <a:off x="1621139" y="1138708"/>
          <a:ext cx="67995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38778A3-0582-4A57-A6D4-4186079F83ED}"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0.48192</cdr:x>
      <cdr:y>0.47315</cdr:y>
    </cdr:from>
    <cdr:to>
      <cdr:x>0.58941</cdr:x>
      <cdr:y>0.586</cdr:y>
    </cdr:to>
    <cdr:sp macro="" textlink="Current_Prior!$H$137">
      <cdr:nvSpPr>
        <cdr:cNvPr id="4" name="Rectangle 3"/>
        <cdr:cNvSpPr/>
      </cdr:nvSpPr>
      <cdr:spPr>
        <a:xfrm xmlns:a="http://schemas.openxmlformats.org/drawingml/2006/main">
          <a:off x="3436978" y="1278790"/>
          <a:ext cx="766602"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338CD2A-8DE9-490F-9F09-09E15C9B6DA2}"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0.60571</cdr:x>
      <cdr:y>0.59905</cdr:y>
    </cdr:from>
    <cdr:to>
      <cdr:x>0.70105</cdr:x>
      <cdr:y>0.7119</cdr:y>
    </cdr:to>
    <cdr:sp macro="" textlink="Current_Prior!$H$230">
      <cdr:nvSpPr>
        <cdr:cNvPr id="5" name="Rectangle 4"/>
        <cdr:cNvSpPr/>
      </cdr:nvSpPr>
      <cdr:spPr>
        <a:xfrm xmlns:a="http://schemas.openxmlformats.org/drawingml/2006/main">
          <a:off x="4319829" y="1619062"/>
          <a:ext cx="67995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4CAB72D-0E35-4479-A17F-58C24D080C3E}" type="TxLink">
            <a:rPr lang="en-US" sz="1000" b="1" i="0" u="none" strike="noStrike">
              <a:solidFill>
                <a:srgbClr val="000000"/>
              </a:solidFill>
              <a:latin typeface="Calibri"/>
              <a:cs typeface="Arial"/>
            </a:rPr>
            <a:pPr/>
            <a:t>0</a:t>
          </a:fld>
          <a:endParaRPr lang="en-US" sz="10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0.72697</cdr:x>
      <cdr:y>0.69009</cdr:y>
    </cdr:from>
    <cdr:to>
      <cdr:x>0.82231</cdr:x>
      <cdr:y>0.80293</cdr:y>
    </cdr:to>
    <cdr:sp macro="" textlink="Current_Prior!$H$231">
      <cdr:nvSpPr>
        <cdr:cNvPr id="14" name="Rectangle 5"/>
        <cdr:cNvSpPr/>
      </cdr:nvSpPr>
      <cdr:spPr>
        <a:xfrm xmlns:a="http://schemas.openxmlformats.org/drawingml/2006/main">
          <a:off x="5184636" y="1865117"/>
          <a:ext cx="679950" cy="30497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1861D6F-28CB-44E2-A9EF-25842C306A2B}" type="TxLink">
            <a:rPr lang="en-US" sz="1000" b="1" i="0" u="none" strike="noStrike">
              <a:solidFill>
                <a:srgbClr val="000000"/>
              </a:solidFill>
              <a:latin typeface="Calibri"/>
              <a:cs typeface="Arial"/>
            </a:rPr>
            <a:pPr/>
            <a:t>22</a:t>
          </a:fld>
          <a:endParaRPr lang="en-US" sz="10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0.22463</cdr:x>
      <cdr:y>0.46125</cdr:y>
    </cdr:from>
    <cdr:to>
      <cdr:x>0.32537</cdr:x>
      <cdr:y>0.5741</cdr:y>
    </cdr:to>
    <cdr:sp macro="" textlink="Current_Prior!$F$236">
      <cdr:nvSpPr>
        <cdr:cNvPr id="11" name="Rectangle 2"/>
        <cdr:cNvSpPr/>
      </cdr:nvSpPr>
      <cdr:spPr>
        <a:xfrm xmlns:a="http://schemas.openxmlformats.org/drawingml/2006/main">
          <a:off x="1513762" y="1246639"/>
          <a:ext cx="67888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5130D2F-CDEA-42E9-AE53-15EC42603A66}" type="TxLink">
            <a:rPr lang="en-US" sz="1000" b="1" i="0" u="none" strike="noStrike">
              <a:solidFill>
                <a:srgbClr val="000000"/>
              </a:solidFill>
              <a:latin typeface="Calibri"/>
              <a:cs typeface="Arial"/>
            </a:rPr>
            <a:pPr/>
            <a:t>SSGA +0</a:t>
          </a:fld>
          <a:endParaRPr lang="en-US" sz="2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0.22282</cdr:x>
      <cdr:y>0.58712</cdr:y>
    </cdr:from>
    <cdr:to>
      <cdr:x>0.33534</cdr:x>
      <cdr:y>0.69997</cdr:y>
    </cdr:to>
    <cdr:sp macro="" textlink="Current_Prior!$F$238">
      <cdr:nvSpPr>
        <cdr:cNvPr id="20" name="Rectangle 19"/>
        <cdr:cNvSpPr/>
      </cdr:nvSpPr>
      <cdr:spPr>
        <a:xfrm xmlns:a="http://schemas.openxmlformats.org/drawingml/2006/main">
          <a:off x="1501564" y="1586830"/>
          <a:ext cx="758265"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30CCD3-98A4-4974-841E-EDBF5EC2C0BB}" type="TxLink">
            <a:rPr lang="en-US" sz="1000" b="1" i="0" u="none" strike="noStrike">
              <a:solidFill>
                <a:srgbClr val="000000"/>
              </a:solidFill>
              <a:latin typeface="Calibri"/>
              <a:cs typeface="Arial"/>
            </a:rPr>
            <a:pPr/>
            <a:t>CapEx +0</a:t>
          </a:fld>
          <a:endParaRPr lang="en-US" sz="200" b="1"/>
        </a:p>
      </cdr:txBody>
    </cdr:sp>
  </cdr:relSizeAnchor>
  <cdr:relSizeAnchor xmlns:cdr="http://schemas.openxmlformats.org/drawingml/2006/chartDrawing">
    <cdr:from>
      <cdr:x>0.22283</cdr:x>
      <cdr:y>0.52636</cdr:y>
    </cdr:from>
    <cdr:to>
      <cdr:x>0.32703</cdr:x>
      <cdr:y>0.63921</cdr:y>
    </cdr:to>
    <cdr:sp macro="" textlink="Current_Prior!$F$237">
      <cdr:nvSpPr>
        <cdr:cNvPr id="23" name="Rectangle 22"/>
        <cdr:cNvSpPr/>
      </cdr:nvSpPr>
      <cdr:spPr>
        <a:xfrm xmlns:a="http://schemas.openxmlformats.org/drawingml/2006/main">
          <a:off x="1501632" y="1422613"/>
          <a:ext cx="702197"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ECAAF81-5913-4D57-90B1-E1F44E75A959}" type="TxLink">
            <a:rPr lang="en-US" sz="1000" b="1" i="0" u="none" strike="noStrike">
              <a:solidFill>
                <a:srgbClr val="000000"/>
              </a:solidFill>
              <a:latin typeface="Calibri"/>
              <a:cs typeface="Arial"/>
            </a:rPr>
            <a:pPr/>
            <a:t>R&amp;D +0</a:t>
          </a:fld>
          <a:endParaRPr lang="en-US" sz="200" b="1"/>
        </a:p>
      </cdr:txBody>
    </cdr:sp>
  </cdr:relSizeAnchor>
  <cdr:relSizeAnchor xmlns:cdr="http://schemas.openxmlformats.org/drawingml/2006/chartDrawing">
    <cdr:from>
      <cdr:x>0.10979</cdr:x>
      <cdr:y>0.33208</cdr:y>
    </cdr:from>
    <cdr:to>
      <cdr:x>0.22231</cdr:x>
      <cdr:y>0.44493</cdr:y>
    </cdr:to>
    <cdr:sp macro="" textlink="Current_Prior!$L$226">
      <cdr:nvSpPr>
        <cdr:cNvPr id="18" name="Rectangle 17"/>
        <cdr:cNvSpPr/>
      </cdr:nvSpPr>
      <cdr:spPr>
        <a:xfrm xmlns:a="http://schemas.openxmlformats.org/drawingml/2006/main">
          <a:off x="783005" y="897524"/>
          <a:ext cx="802475" cy="30500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D5464FE-6FE0-4DF5-A9DE-175CA36C8466}" type="TxLink">
            <a:rPr lang="en-US" sz="1000" b="1" i="1"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0.84303</cdr:x>
      <cdr:y>0.53735</cdr:y>
    </cdr:from>
    <cdr:to>
      <cdr:x>0.9402</cdr:x>
      <cdr:y>0.64317</cdr:y>
    </cdr:to>
    <cdr:sp macro="" textlink="Current_Prior!$L$232">
      <cdr:nvSpPr>
        <cdr:cNvPr id="21" name="Rectangle 20"/>
        <cdr:cNvSpPr/>
      </cdr:nvSpPr>
      <cdr:spPr>
        <a:xfrm xmlns:a="http://schemas.openxmlformats.org/drawingml/2006/main">
          <a:off x="6012369" y="1452304"/>
          <a:ext cx="693001" cy="28600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B09B793-836D-4BE4-9300-4FD8542C7AD7}"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0.88748</cdr:x>
      <cdr:y>0.45525</cdr:y>
    </cdr:from>
    <cdr:to>
      <cdr:x>1</cdr:x>
      <cdr:y>0.58863</cdr:y>
    </cdr:to>
    <cdr:sp macro="" textlink="">
      <cdr:nvSpPr>
        <cdr:cNvPr id="22" name="Rectangle 21"/>
        <cdr:cNvSpPr/>
      </cdr:nvSpPr>
      <cdr:spPr>
        <a:xfrm xmlns:a="http://schemas.openxmlformats.org/drawingml/2006/main">
          <a:off x="6329368" y="1230398"/>
          <a:ext cx="802475" cy="36051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0.56231</cdr:x>
      <cdr:y>0.08077</cdr:y>
    </cdr:from>
    <cdr:to>
      <cdr:x>0.68728</cdr:x>
      <cdr:y>0.19577</cdr:y>
    </cdr:to>
    <cdr:sp macro="" textlink="Current_Prior!$F$147">
      <cdr:nvSpPr>
        <cdr:cNvPr id="24" name="Rectangle 23"/>
        <cdr:cNvSpPr/>
      </cdr:nvSpPr>
      <cdr:spPr>
        <a:xfrm xmlns:a="http://schemas.openxmlformats.org/drawingml/2006/main">
          <a:off x="3789371" y="181755"/>
          <a:ext cx="842160" cy="2587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07CD662-8396-4EF5-AF25-01A75424F9A3}" type="TxLink">
            <a:rPr lang="en-US" sz="1000" b="1" i="0" u="none" strike="noStrike">
              <a:solidFill>
                <a:srgbClr val="000000"/>
              </a:solidFill>
              <a:latin typeface="Calibri"/>
              <a:cs typeface="Arial"/>
            </a:rPr>
            <a:pPr/>
            <a:t>Hurdle -86</a:t>
          </a:fld>
          <a:endParaRPr lang="en-US" sz="400" b="1"/>
        </a:p>
      </cdr:txBody>
    </cdr:sp>
  </cdr:relSizeAnchor>
  <cdr:relSizeAnchor xmlns:cdr="http://schemas.openxmlformats.org/drawingml/2006/chartDrawing">
    <cdr:from>
      <cdr:x>0.56407</cdr:x>
      <cdr:y>0.14956</cdr:y>
    </cdr:from>
    <cdr:to>
      <cdr:x>0.67659</cdr:x>
      <cdr:y>0.26241</cdr:y>
    </cdr:to>
    <cdr:sp macro="" textlink="Current_Prior!$F$148">
      <cdr:nvSpPr>
        <cdr:cNvPr id="25" name="Rectangle 24"/>
        <cdr:cNvSpPr/>
      </cdr:nvSpPr>
      <cdr:spPr>
        <a:xfrm xmlns:a="http://schemas.openxmlformats.org/drawingml/2006/main">
          <a:off x="3801243" y="336551"/>
          <a:ext cx="758266" cy="25394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AC5CDEF-DE84-4A5A-93E2-41471948B3E6}" type="TxLink">
            <a:rPr lang="en-US" sz="1000" b="1" i="0" u="none" strike="noStrike">
              <a:solidFill>
                <a:srgbClr val="000000"/>
              </a:solidFill>
              <a:latin typeface="Calibri"/>
              <a:cs typeface="Arial"/>
            </a:rPr>
            <a:pPr/>
            <a:t>Other +107</a:t>
          </a:fld>
          <a:endParaRPr lang="en-US" sz="400" b="1"/>
        </a:p>
      </cdr:txBody>
    </cdr:sp>
  </cdr:relSizeAnchor>
  <cdr:relSizeAnchor xmlns:cdr="http://schemas.openxmlformats.org/drawingml/2006/chartDrawing">
    <cdr:from>
      <cdr:x>0.72662</cdr:x>
      <cdr:y>0</cdr:y>
    </cdr:from>
    <cdr:to>
      <cdr:x>0.82736</cdr:x>
      <cdr:y>0.11285</cdr:y>
    </cdr:to>
    <cdr:sp macro="" textlink="Current_Prior!$F$239">
      <cdr:nvSpPr>
        <cdr:cNvPr id="26" name="Rectangle 25"/>
        <cdr:cNvSpPr/>
      </cdr:nvSpPr>
      <cdr:spPr>
        <a:xfrm xmlns:a="http://schemas.openxmlformats.org/drawingml/2006/main">
          <a:off x="4896643" y="0"/>
          <a:ext cx="678880" cy="27544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CBB84C2-FBC3-4EFD-9A31-C9D105D6D92A}" type="TxLink">
            <a:rPr lang="en-US" sz="1100" b="1" i="0" u="none" strike="noStrike">
              <a:solidFill>
                <a:srgbClr val="000000"/>
              </a:solidFill>
              <a:latin typeface="Calibri"/>
              <a:cs typeface="Arial"/>
            </a:rPr>
            <a:pPr/>
            <a:t>Hurdle -86</a:t>
          </a:fld>
          <a:endParaRPr lang="en-US" sz="200" b="1"/>
        </a:p>
      </cdr:txBody>
    </cdr:sp>
  </cdr:relSizeAnchor>
  <cdr:relSizeAnchor xmlns:cdr="http://schemas.openxmlformats.org/drawingml/2006/chartDrawing">
    <cdr:from>
      <cdr:x>0.72839</cdr:x>
      <cdr:y>0.08423</cdr:y>
    </cdr:from>
    <cdr:to>
      <cdr:x>0.82913</cdr:x>
      <cdr:y>0.19708</cdr:y>
    </cdr:to>
    <cdr:sp macro="" textlink="Current_Prior!$F$240">
      <cdr:nvSpPr>
        <cdr:cNvPr id="27" name="Rectangle 26"/>
        <cdr:cNvSpPr/>
      </cdr:nvSpPr>
      <cdr:spPr>
        <a:xfrm xmlns:a="http://schemas.openxmlformats.org/drawingml/2006/main">
          <a:off x="4908550" y="205581"/>
          <a:ext cx="678880" cy="27544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6B5E9E4-18E4-4A09-9A23-DC6FCCF6E65F}" type="TxLink">
            <a:rPr lang="en-US" sz="1100" b="1" i="0" u="none" strike="noStrike">
              <a:solidFill>
                <a:srgbClr val="000000"/>
              </a:solidFill>
              <a:latin typeface="Calibri"/>
              <a:cs typeface="Arial"/>
            </a:rPr>
            <a:pPr/>
            <a:t>Other +107</a:t>
          </a:fld>
          <a:endParaRPr lang="en-US" sz="200" b="1"/>
        </a:p>
      </cdr:txBody>
    </cdr:sp>
  </cdr:relSizeAnchor>
  <cdr:relSizeAnchor xmlns:cdr="http://schemas.openxmlformats.org/drawingml/2006/chartDrawing">
    <cdr:from>
      <cdr:x>0.23545</cdr:x>
      <cdr:y>0</cdr:y>
    </cdr:from>
    <cdr:to>
      <cdr:x>0.33079</cdr:x>
      <cdr:y>0.11285</cdr:y>
    </cdr:to>
    <cdr:sp macro="" textlink="Current_Prior!$M$227">
      <cdr:nvSpPr>
        <cdr:cNvPr id="28" name="Rectangle 27"/>
        <cdr:cNvSpPr/>
      </cdr:nvSpPr>
      <cdr:spPr>
        <a:xfrm xmlns:a="http://schemas.openxmlformats.org/drawingml/2006/main">
          <a:off x="1586706"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5D4EC7B-F5BD-4187-B7B1-B5A67BBEBEBD}"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0.36266</cdr:x>
      <cdr:y>0</cdr:y>
    </cdr:from>
    <cdr:to>
      <cdr:x>0.458</cdr:x>
      <cdr:y>0.11285</cdr:y>
    </cdr:to>
    <cdr:sp macro="" textlink="Current_Prior!$M$228">
      <cdr:nvSpPr>
        <cdr:cNvPr id="29" name="Rectangle 28"/>
        <cdr:cNvSpPr/>
      </cdr:nvSpPr>
      <cdr:spPr>
        <a:xfrm xmlns:a="http://schemas.openxmlformats.org/drawingml/2006/main">
          <a:off x="2443957"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0DA19F6-D392-4A65-AAF4-73BEE65012C4}"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0.4881</cdr:x>
      <cdr:y>0</cdr:y>
    </cdr:from>
    <cdr:to>
      <cdr:x>0.58344</cdr:x>
      <cdr:y>0.11285</cdr:y>
    </cdr:to>
    <cdr:sp macro="" textlink="Current_Prior!$M$229">
      <cdr:nvSpPr>
        <cdr:cNvPr id="30" name="Rectangle 29"/>
        <cdr:cNvSpPr/>
      </cdr:nvSpPr>
      <cdr:spPr>
        <a:xfrm xmlns:a="http://schemas.openxmlformats.org/drawingml/2006/main">
          <a:off x="3289300"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8D3D661-A83D-4C11-A665-1976F95AA67A}"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0.61001</cdr:x>
      <cdr:y>0</cdr:y>
    </cdr:from>
    <cdr:to>
      <cdr:x>0.70535</cdr:x>
      <cdr:y>0.11285</cdr:y>
    </cdr:to>
    <cdr:sp macro="" textlink="Current_Prior!$M$230">
      <cdr:nvSpPr>
        <cdr:cNvPr id="31" name="Rectangle 30"/>
        <cdr:cNvSpPr/>
      </cdr:nvSpPr>
      <cdr:spPr>
        <a:xfrm xmlns:a="http://schemas.openxmlformats.org/drawingml/2006/main">
          <a:off x="4110832"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92902AE-FC26-4C47-83FE-BFC80D1650A7}" type="TxLink">
            <a:rPr lang="en-US" sz="1000" b="0" i="1" u="none" strike="noStrike">
              <a:solidFill>
                <a:srgbClr val="000000"/>
              </a:solidFill>
              <a:latin typeface="Calibri"/>
              <a:cs typeface="Arial"/>
            </a:rPr>
            <a:pPr/>
            <a:t>0%</a:t>
          </a:fld>
          <a:endParaRPr lang="en-US" sz="800" b="1" i="1"/>
        </a:p>
      </cdr:txBody>
    </cdr:sp>
  </cdr:relSizeAnchor>
  <cdr:relSizeAnchor xmlns:cdr="http://schemas.openxmlformats.org/drawingml/2006/chartDrawing">
    <cdr:from>
      <cdr:x>0.74252</cdr:x>
      <cdr:y>0</cdr:y>
    </cdr:from>
    <cdr:to>
      <cdr:x>0.83786</cdr:x>
      <cdr:y>0.11285</cdr:y>
    </cdr:to>
    <cdr:sp macro="" textlink="Current_Prior!$M$231">
      <cdr:nvSpPr>
        <cdr:cNvPr id="32" name="Rectangle 31"/>
        <cdr:cNvSpPr/>
      </cdr:nvSpPr>
      <cdr:spPr>
        <a:xfrm xmlns:a="http://schemas.openxmlformats.org/drawingml/2006/main">
          <a:off x="5003800" y="0"/>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592713E-E2F1-4053-91A8-8DD238B4A09B}" type="TxLink">
            <a:rPr lang="en-US" sz="1000" b="0" i="1" u="none" strike="noStrike">
              <a:solidFill>
                <a:srgbClr val="000000"/>
              </a:solidFill>
              <a:latin typeface="Calibri"/>
              <a:cs typeface="Arial"/>
            </a:rPr>
            <a:pPr/>
            <a:t>100%</a:t>
          </a:fld>
          <a:endParaRPr lang="en-US" sz="800" b="1" i="1"/>
        </a:p>
      </cdr:txBody>
    </cdr:sp>
  </cdr:relSizeAnchor>
  <cdr:relSizeAnchor xmlns:cdr="http://schemas.openxmlformats.org/drawingml/2006/chartDrawing">
    <cdr:from>
      <cdr:x>0.90466</cdr:x>
      <cdr:y>0.64435</cdr:y>
    </cdr:from>
    <cdr:to>
      <cdr:x>1</cdr:x>
      <cdr:y>0.7572</cdr:y>
    </cdr:to>
    <cdr:sp macro="" textlink="Current_Prior!$M$232">
      <cdr:nvSpPr>
        <cdr:cNvPr id="33" name="Rectangle 32"/>
        <cdr:cNvSpPr/>
      </cdr:nvSpPr>
      <cdr:spPr>
        <a:xfrm xmlns:a="http://schemas.openxmlformats.org/drawingml/2006/main">
          <a:off x="6096446" y="1741488"/>
          <a:ext cx="642490" cy="30500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A180ED45-188A-450E-BA70-375119320077}" type="TxLink">
            <a:rPr lang="en-US" sz="1000" b="0" i="0" u="none" strike="noStrike">
              <a:solidFill>
                <a:srgbClr val="FF0000"/>
              </a:solidFill>
              <a:latin typeface="Calibri"/>
              <a:cs typeface="Arial"/>
            </a:rPr>
            <a:pPr algn="r"/>
            <a:t>#DIV/0!</a:t>
          </a:fld>
          <a:endParaRPr lang="en-US" sz="800" b="1">
            <a:solidFill>
              <a:srgbClr val="FF0000"/>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0.37251</cdr:x>
      <cdr:y>0.21493</cdr:y>
    </cdr:from>
    <cdr:to>
      <cdr:x>0.46785</cdr:x>
      <cdr:y>0.32778</cdr:y>
    </cdr:to>
    <cdr:sp macro="" textlink="Current_Prior!$AS$228">
      <cdr:nvSpPr>
        <cdr:cNvPr id="2" name="Rectangle 1"/>
        <cdr:cNvSpPr/>
      </cdr:nvSpPr>
      <cdr:spPr>
        <a:xfrm xmlns:a="http://schemas.openxmlformats.org/drawingml/2006/main">
          <a:off x="2550238" y="678124"/>
          <a:ext cx="652707"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9944526B-CAED-46FB-87E3-20345D14CEE7}"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0.23674</cdr:x>
      <cdr:y>0.3223</cdr:y>
    </cdr:from>
    <cdr:to>
      <cdr:x>0.33208</cdr:x>
      <cdr:y>0.43515</cdr:y>
    </cdr:to>
    <cdr:sp macro="" textlink="Current_Prior!$AS$227">
      <cdr:nvSpPr>
        <cdr:cNvPr id="3" name="Rectangle 2"/>
        <cdr:cNvSpPr/>
      </cdr:nvSpPr>
      <cdr:spPr>
        <a:xfrm xmlns:a="http://schemas.openxmlformats.org/drawingml/2006/main">
          <a:off x="1620744" y="1016908"/>
          <a:ext cx="652707"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D2E80A9-F852-432D-BCCD-7529ECE7F027}" type="TxLink">
            <a:rPr lang="en-US" sz="1000" b="1" i="0" u="none" strike="noStrike">
              <a:solidFill>
                <a:srgbClr val="000000"/>
              </a:solidFill>
              <a:latin typeface="Calibri"/>
              <a:cs typeface="Arial"/>
            </a:rPr>
            <a:pPr/>
            <a:t>0</a:t>
          </a:fld>
          <a:endParaRPr lang="en-US" sz="100" b="1"/>
        </a:p>
      </cdr:txBody>
    </cdr:sp>
  </cdr:relSizeAnchor>
  <cdr:relSizeAnchor xmlns:cdr="http://schemas.openxmlformats.org/drawingml/2006/chartDrawing">
    <cdr:from>
      <cdr:x>0.49212</cdr:x>
      <cdr:y>0.1739</cdr:y>
    </cdr:from>
    <cdr:to>
      <cdr:x>0.59961</cdr:x>
      <cdr:y>0.28675</cdr:y>
    </cdr:to>
    <cdr:sp macro="" textlink="Current_Prior!$AS$229">
      <cdr:nvSpPr>
        <cdr:cNvPr id="4" name="Rectangle 3"/>
        <cdr:cNvSpPr/>
      </cdr:nvSpPr>
      <cdr:spPr>
        <a:xfrm xmlns:a="http://schemas.openxmlformats.org/drawingml/2006/main">
          <a:off x="3498037" y="548681"/>
          <a:ext cx="764043" cy="3560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3C54011-DD44-4E1C-A773-FC597B423C06}" type="TxLink">
            <a:rPr lang="en-US" sz="1000" b="1" i="0" u="none" strike="noStrike">
              <a:solidFill>
                <a:srgbClr val="000000"/>
              </a:solidFill>
              <a:latin typeface="Calibri"/>
              <a:cs typeface="Arial"/>
            </a:rPr>
            <a:pPr/>
            <a:t>0</a:t>
          </a:fld>
          <a:endParaRPr lang="en-US" sz="100" b="1"/>
        </a:p>
      </cdr:txBody>
    </cdr:sp>
  </cdr:relSizeAnchor>
  <cdr:relSizeAnchor xmlns:cdr="http://schemas.openxmlformats.org/drawingml/2006/chartDrawing">
    <cdr:from>
      <cdr:x>0.60192</cdr:x>
      <cdr:y>0.38977</cdr:y>
    </cdr:from>
    <cdr:to>
      <cdr:x>0.69726</cdr:x>
      <cdr:y>0.50262</cdr:y>
    </cdr:to>
    <cdr:sp macro="" textlink="Current_Prior!$AS$230">
      <cdr:nvSpPr>
        <cdr:cNvPr id="5" name="Rectangle 4"/>
        <cdr:cNvSpPr/>
      </cdr:nvSpPr>
      <cdr:spPr>
        <a:xfrm xmlns:a="http://schemas.openxmlformats.org/drawingml/2006/main">
          <a:off x="4278499" y="1229785"/>
          <a:ext cx="677680"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927DBC6-4742-4CD2-9B54-D055AA66764C}" type="TxLink">
            <a:rPr lang="en-US" sz="1000" b="1" i="0" u="none" strike="noStrike">
              <a:solidFill>
                <a:srgbClr val="000000"/>
              </a:solidFill>
              <a:latin typeface="Calibri"/>
              <a:cs typeface="Arial"/>
            </a:rPr>
            <a:pPr/>
            <a:t>0</a:t>
          </a:fld>
          <a:endParaRPr lang="en-US" sz="1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0.74063</cdr:x>
      <cdr:y>0.49939</cdr:y>
    </cdr:from>
    <cdr:to>
      <cdr:x>0.83597</cdr:x>
      <cdr:y>0.61225</cdr:y>
    </cdr:to>
    <cdr:sp macro="" textlink="Current_Prior!$AS$231">
      <cdr:nvSpPr>
        <cdr:cNvPr id="14" name="Rectangle 5"/>
        <cdr:cNvSpPr/>
      </cdr:nvSpPr>
      <cdr:spPr>
        <a:xfrm xmlns:a="http://schemas.openxmlformats.org/drawingml/2006/main">
          <a:off x="5264454" y="1575653"/>
          <a:ext cx="677680" cy="3560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CA723CC-523C-4D21-A659-80048DCD2C8E}" type="TxLink">
            <a:rPr lang="en-US" sz="1000" b="1" i="0" u="none" strike="noStrike">
              <a:solidFill>
                <a:srgbClr val="000000"/>
              </a:solidFill>
              <a:latin typeface="Calibri"/>
              <a:cs typeface="Arial"/>
            </a:rPr>
            <a:pPr/>
            <a:t>102</a:t>
          </a:fld>
          <a:endParaRPr lang="en-US" sz="1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0.21607</cdr:x>
      <cdr:y>0.40472</cdr:y>
    </cdr:from>
    <cdr:to>
      <cdr:x>0.31681</cdr:x>
      <cdr:y>0.51757</cdr:y>
    </cdr:to>
    <cdr:sp macro="" textlink="Current_Prior!$AQ$236">
      <cdr:nvSpPr>
        <cdr:cNvPr id="11" name="Rectangle 2"/>
        <cdr:cNvSpPr/>
      </cdr:nvSpPr>
      <cdr:spPr>
        <a:xfrm xmlns:a="http://schemas.openxmlformats.org/drawingml/2006/main">
          <a:off x="1479235" y="1276940"/>
          <a:ext cx="689676"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1DFF8D7-22EB-40BA-87DF-574C267E14C8}" type="TxLink">
            <a:rPr lang="en-US" sz="1000" b="1" i="0" u="none" strike="noStrike">
              <a:solidFill>
                <a:srgbClr val="000000"/>
              </a:solidFill>
              <a:latin typeface="Calibri"/>
              <a:cs typeface="Arial"/>
            </a:rPr>
            <a:pPr/>
            <a:t>SSGA +0</a:t>
          </a:fld>
          <a:endParaRPr lang="en-US" sz="1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0.21078</cdr:x>
      <cdr:y>0.53059</cdr:y>
    </cdr:from>
    <cdr:to>
      <cdr:x>0.3233</cdr:x>
      <cdr:y>0.64344</cdr:y>
    </cdr:to>
    <cdr:sp macro="" textlink="Current_Prior!$AQ$238">
      <cdr:nvSpPr>
        <cdr:cNvPr id="20" name="Rectangle 19"/>
        <cdr:cNvSpPr/>
      </cdr:nvSpPr>
      <cdr:spPr>
        <a:xfrm xmlns:a="http://schemas.openxmlformats.org/drawingml/2006/main">
          <a:off x="1443019" y="1674079"/>
          <a:ext cx="770323"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208850B-343A-420D-B9F9-D54A65DC9290}" type="TxLink">
            <a:rPr lang="en-US" sz="1000" b="1" i="0" u="none" strike="noStrike">
              <a:solidFill>
                <a:srgbClr val="000000"/>
              </a:solidFill>
              <a:latin typeface="Calibri"/>
              <a:cs typeface="Arial"/>
            </a:rPr>
            <a:pPr/>
            <a:t>CapEx +0</a:t>
          </a:fld>
          <a:endParaRPr lang="en-US" sz="100" b="1"/>
        </a:p>
      </cdr:txBody>
    </cdr:sp>
  </cdr:relSizeAnchor>
  <cdr:relSizeAnchor xmlns:cdr="http://schemas.openxmlformats.org/drawingml/2006/chartDrawing">
    <cdr:from>
      <cdr:x>0.21427</cdr:x>
      <cdr:y>0.46983</cdr:y>
    </cdr:from>
    <cdr:to>
      <cdr:x>0.31847</cdr:x>
      <cdr:y>0.58268</cdr:y>
    </cdr:to>
    <cdr:sp macro="" textlink="Current_Prior!$AQ$237">
      <cdr:nvSpPr>
        <cdr:cNvPr id="23" name="Rectangle 22"/>
        <cdr:cNvSpPr/>
      </cdr:nvSpPr>
      <cdr:spPr>
        <a:xfrm xmlns:a="http://schemas.openxmlformats.org/drawingml/2006/main">
          <a:off x="1466912" y="1482372"/>
          <a:ext cx="713363"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AC162FE-A9CD-445B-8A66-9478EBBBC2E7}" type="TxLink">
            <a:rPr lang="en-US" sz="1000" b="1" i="0" u="none" strike="noStrike">
              <a:solidFill>
                <a:srgbClr val="000000"/>
              </a:solidFill>
              <a:latin typeface="Calibri"/>
              <a:cs typeface="Arial"/>
            </a:rPr>
            <a:pPr/>
            <a:t>R&amp;D +0</a:t>
          </a:fld>
          <a:endParaRPr lang="en-US" sz="100" b="1"/>
        </a:p>
      </cdr:txBody>
    </cdr:sp>
  </cdr:relSizeAnchor>
  <cdr:relSizeAnchor xmlns:cdr="http://schemas.openxmlformats.org/drawingml/2006/chartDrawing">
    <cdr:from>
      <cdr:x>0.5817</cdr:x>
      <cdr:y>0.04474</cdr:y>
    </cdr:from>
    <cdr:to>
      <cdr:x>0.6992</cdr:x>
      <cdr:y>0.15759</cdr:y>
    </cdr:to>
    <cdr:sp macro="" textlink="Current_Prior!$AQ$147">
      <cdr:nvSpPr>
        <cdr:cNvPr id="18" name="Rectangle 17"/>
        <cdr:cNvSpPr/>
      </cdr:nvSpPr>
      <cdr:spPr>
        <a:xfrm xmlns:a="http://schemas.openxmlformats.org/drawingml/2006/main">
          <a:off x="3982341" y="12911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B4FFBF7-78FA-4DC4-9729-A07940E165CC}" type="TxLink">
            <a:rPr lang="en-US" sz="1000" b="1" i="0" u="none" strike="noStrike">
              <a:solidFill>
                <a:srgbClr val="000000"/>
              </a:solidFill>
              <a:latin typeface="Calibri"/>
              <a:cs typeface="Arial"/>
            </a:rPr>
            <a:pPr/>
            <a:t>Hurdle -438</a:t>
          </a:fld>
          <a:endParaRPr lang="en-US" sz="200" b="1"/>
        </a:p>
      </cdr:txBody>
    </cdr:sp>
  </cdr:relSizeAnchor>
  <cdr:relSizeAnchor xmlns:cdr="http://schemas.openxmlformats.org/drawingml/2006/chartDrawing">
    <cdr:from>
      <cdr:x>0.58328</cdr:x>
      <cdr:y>0.11087</cdr:y>
    </cdr:from>
    <cdr:to>
      <cdr:x>0.70078</cdr:x>
      <cdr:y>0.22372</cdr:y>
    </cdr:to>
    <cdr:sp macro="" textlink="Current_Prior!$AQ$148">
      <cdr:nvSpPr>
        <cdr:cNvPr id="21" name="Rectangle 20"/>
        <cdr:cNvSpPr/>
      </cdr:nvSpPr>
      <cdr:spPr>
        <a:xfrm xmlns:a="http://schemas.openxmlformats.org/drawingml/2006/main">
          <a:off x="3993163" y="319983"/>
          <a:ext cx="804416"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7283613-B37A-4D55-977E-2D9AF201B2B4}" type="TxLink">
            <a:rPr lang="en-US" sz="1000" b="1" i="0" u="none" strike="noStrike">
              <a:solidFill>
                <a:srgbClr val="000000"/>
              </a:solidFill>
              <a:latin typeface="Calibri"/>
              <a:cs typeface="Arial"/>
            </a:rPr>
            <a:pPr/>
            <a:t>Other +539</a:t>
          </a:fld>
          <a:endParaRPr lang="en-US" sz="200" b="1"/>
        </a:p>
      </cdr:txBody>
    </cdr:sp>
  </cdr:relSizeAnchor>
  <cdr:relSizeAnchor xmlns:cdr="http://schemas.openxmlformats.org/drawingml/2006/chartDrawing">
    <cdr:from>
      <cdr:x>0.89926</cdr:x>
      <cdr:y>0.53281</cdr:y>
    </cdr:from>
    <cdr:to>
      <cdr:x>1</cdr:x>
      <cdr:y>0.64566</cdr:y>
    </cdr:to>
    <cdr:sp macro="" textlink="">
      <cdr:nvSpPr>
        <cdr:cNvPr id="22" name="Rectangle 21"/>
        <cdr:cNvSpPr/>
      </cdr:nvSpPr>
      <cdr:spPr>
        <a:xfrm xmlns:a="http://schemas.openxmlformats.org/drawingml/2006/main">
          <a:off x="6156418" y="1681094"/>
          <a:ext cx="689675"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0.1134</cdr:x>
      <cdr:y>0.52432</cdr:y>
    </cdr:from>
    <cdr:to>
      <cdr:x>0.21414</cdr:x>
      <cdr:y>0.63717</cdr:y>
    </cdr:to>
    <cdr:sp macro="" textlink="Current_Prior!$AW$226">
      <cdr:nvSpPr>
        <cdr:cNvPr id="24" name="Rectangle 23"/>
        <cdr:cNvSpPr/>
      </cdr:nvSpPr>
      <cdr:spPr>
        <a:xfrm xmlns:a="http://schemas.openxmlformats.org/drawingml/2006/main">
          <a:off x="776347" y="1654309"/>
          <a:ext cx="689675" cy="3560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1FCF60-FBBD-432C-9B64-29B948830E8C}" type="TxLink">
            <a:rPr lang="en-US" sz="1000" b="1" i="0"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0.86365</cdr:x>
      <cdr:y>0.53243</cdr:y>
    </cdr:from>
    <cdr:to>
      <cdr:x>0.96439</cdr:x>
      <cdr:y>0.64528</cdr:y>
    </cdr:to>
    <cdr:sp macro="" textlink="Current_Prior!$AW$232">
      <cdr:nvSpPr>
        <cdr:cNvPr id="25" name="Rectangle 24"/>
        <cdr:cNvSpPr/>
      </cdr:nvSpPr>
      <cdr:spPr>
        <a:xfrm xmlns:a="http://schemas.openxmlformats.org/drawingml/2006/main">
          <a:off x="6138883" y="1679911"/>
          <a:ext cx="716063" cy="35605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BF1B300-2ECB-4EC3-B4D9-C8DDE1B1D708}" type="TxLink">
            <a:rPr lang="en-US" sz="1000" b="1" i="0"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0.73612</cdr:x>
      <cdr:y>0.50853</cdr:y>
    </cdr:from>
    <cdr:to>
      <cdr:x>0.84864</cdr:x>
      <cdr:y>0.62138</cdr:y>
    </cdr:to>
    <cdr:sp macro="" textlink="Current_Prior!$AQ$239">
      <cdr:nvSpPr>
        <cdr:cNvPr id="26" name="Rectangle 25"/>
        <cdr:cNvSpPr/>
      </cdr:nvSpPr>
      <cdr:spPr>
        <a:xfrm xmlns:a="http://schemas.openxmlformats.org/drawingml/2006/main">
          <a:off x="5039519" y="1467644"/>
          <a:ext cx="770322"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9E0203E-9D3C-46C2-A3EE-9E700F17495E}" type="TxLink">
            <a:rPr lang="en-US" sz="1100" b="1" i="0" u="none" strike="noStrike">
              <a:solidFill>
                <a:srgbClr val="000000"/>
              </a:solidFill>
              <a:latin typeface="Calibri"/>
              <a:cs typeface="Arial"/>
            </a:rPr>
            <a:pPr/>
            <a:t>Hurdle -438</a:t>
          </a:fld>
          <a:endParaRPr lang="en-US" sz="100" b="1"/>
        </a:p>
      </cdr:txBody>
    </cdr:sp>
  </cdr:relSizeAnchor>
  <cdr:relSizeAnchor xmlns:cdr="http://schemas.openxmlformats.org/drawingml/2006/chartDrawing">
    <cdr:from>
      <cdr:x>0.73612</cdr:x>
      <cdr:y>0.57041</cdr:y>
    </cdr:from>
    <cdr:to>
      <cdr:x>0.84864</cdr:x>
      <cdr:y>0.68326</cdr:y>
    </cdr:to>
    <cdr:sp macro="" textlink="Current_Prior!$AQ$240">
      <cdr:nvSpPr>
        <cdr:cNvPr id="27" name="Rectangle 26"/>
        <cdr:cNvSpPr/>
      </cdr:nvSpPr>
      <cdr:spPr>
        <a:xfrm xmlns:a="http://schemas.openxmlformats.org/drawingml/2006/main">
          <a:off x="5039519" y="1646237"/>
          <a:ext cx="770322"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D8F25AB-CCCE-4F19-BB79-7328AB43850A}" type="TxLink">
            <a:rPr lang="en-US" sz="1100" b="1" i="0" u="none" strike="noStrike">
              <a:solidFill>
                <a:srgbClr val="000000"/>
              </a:solidFill>
              <a:latin typeface="Calibri"/>
              <a:cs typeface="Arial"/>
            </a:rPr>
            <a:pPr/>
            <a:t>Other +539</a:t>
          </a:fld>
          <a:endParaRPr lang="en-US" sz="100" b="1"/>
        </a:p>
      </cdr:txBody>
    </cdr:sp>
  </cdr:relSizeAnchor>
  <cdr:relSizeAnchor xmlns:cdr="http://schemas.openxmlformats.org/drawingml/2006/chartDrawing">
    <cdr:from>
      <cdr:x>0.23525</cdr:x>
      <cdr:y>0</cdr:y>
    </cdr:from>
    <cdr:to>
      <cdr:x>0.33059</cdr:x>
      <cdr:y>0.11285</cdr:y>
    </cdr:to>
    <cdr:sp macro="" textlink="Current_Prior!$AX$227">
      <cdr:nvSpPr>
        <cdr:cNvPr id="29" name="Rectangle 28"/>
        <cdr:cNvSpPr/>
      </cdr:nvSpPr>
      <cdr:spPr>
        <a:xfrm xmlns:a="http://schemas.openxmlformats.org/drawingml/2006/main">
          <a:off x="1610518"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1215DE0-F5BA-406D-870D-775B7E296B64}"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0.3622</cdr:x>
      <cdr:y>0</cdr:y>
    </cdr:from>
    <cdr:to>
      <cdr:x>0.45754</cdr:x>
      <cdr:y>0.11285</cdr:y>
    </cdr:to>
    <cdr:sp macro="" textlink="Current_Prior!$AX$228">
      <cdr:nvSpPr>
        <cdr:cNvPr id="30" name="Rectangle 29"/>
        <cdr:cNvSpPr/>
      </cdr:nvSpPr>
      <cdr:spPr>
        <a:xfrm xmlns:a="http://schemas.openxmlformats.org/drawingml/2006/main">
          <a:off x="2479675"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55828A3-AD62-4BA5-9F0D-0A6C63375ED1}"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0.49612</cdr:x>
      <cdr:y>0</cdr:y>
    </cdr:from>
    <cdr:to>
      <cdr:x>0.59146</cdr:x>
      <cdr:y>0.11285</cdr:y>
    </cdr:to>
    <cdr:sp macro="" textlink="Current_Prior!$AX$229">
      <cdr:nvSpPr>
        <cdr:cNvPr id="31" name="Rectangle 30"/>
        <cdr:cNvSpPr/>
      </cdr:nvSpPr>
      <cdr:spPr>
        <a:xfrm xmlns:a="http://schemas.openxmlformats.org/drawingml/2006/main">
          <a:off x="3396456"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40B1B62-7A54-407A-9279-0ACAC3014A6E}"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0.62307</cdr:x>
      <cdr:y>0</cdr:y>
    </cdr:from>
    <cdr:to>
      <cdr:x>0.71841</cdr:x>
      <cdr:y>0.11285</cdr:y>
    </cdr:to>
    <cdr:sp macro="" textlink="Current_Prior!$AX$230">
      <cdr:nvSpPr>
        <cdr:cNvPr id="32" name="Rectangle 31"/>
        <cdr:cNvSpPr/>
      </cdr:nvSpPr>
      <cdr:spPr>
        <a:xfrm xmlns:a="http://schemas.openxmlformats.org/drawingml/2006/main">
          <a:off x="4265613"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2F337DF-C8D7-474A-BFDF-82417198E753}" type="TxLink">
            <a:rPr lang="en-US" sz="1000" b="0" i="1" u="none" strike="noStrike">
              <a:solidFill>
                <a:srgbClr val="000000"/>
              </a:solidFill>
              <a:latin typeface="Calibri"/>
              <a:cs typeface="Arial"/>
            </a:rPr>
            <a:pPr/>
            <a:t>0%</a:t>
          </a:fld>
          <a:endParaRPr lang="en-US" sz="100" b="1" i="1"/>
        </a:p>
      </cdr:txBody>
    </cdr:sp>
  </cdr:relSizeAnchor>
  <cdr:relSizeAnchor xmlns:cdr="http://schemas.openxmlformats.org/drawingml/2006/chartDrawing">
    <cdr:from>
      <cdr:x>0.74829</cdr:x>
      <cdr:y>0</cdr:y>
    </cdr:from>
    <cdr:to>
      <cdr:x>0.84363</cdr:x>
      <cdr:y>0.11285</cdr:y>
    </cdr:to>
    <cdr:sp macro="" textlink="Current_Prior!$AX$231">
      <cdr:nvSpPr>
        <cdr:cNvPr id="33" name="Rectangle 32"/>
        <cdr:cNvSpPr/>
      </cdr:nvSpPr>
      <cdr:spPr>
        <a:xfrm xmlns:a="http://schemas.openxmlformats.org/drawingml/2006/main">
          <a:off x="5122862" y="0"/>
          <a:ext cx="652707" cy="32569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71F36B4-7E4E-48BC-85F8-1412E0C4CBB8}" type="TxLink">
            <a:rPr lang="en-US" sz="1000" b="0" i="1" u="none" strike="noStrike">
              <a:solidFill>
                <a:srgbClr val="000000"/>
              </a:solidFill>
              <a:latin typeface="Calibri"/>
              <a:cs typeface="Arial"/>
            </a:rPr>
            <a:pPr/>
            <a:t>100%</a:t>
          </a:fld>
          <a:endParaRPr lang="en-US" sz="100" b="1" i="1"/>
        </a:p>
      </cdr:txBody>
    </cdr:sp>
  </cdr:relSizeAnchor>
  <cdr:relSizeAnchor xmlns:cdr="http://schemas.openxmlformats.org/drawingml/2006/chartDrawing">
    <cdr:from>
      <cdr:x>0.88456</cdr:x>
      <cdr:y>0.37143</cdr:y>
    </cdr:from>
    <cdr:to>
      <cdr:x>0.9799</cdr:x>
      <cdr:y>0.48428</cdr:y>
    </cdr:to>
    <cdr:sp macro="" textlink="Current_Prior!$AX$232">
      <cdr:nvSpPr>
        <cdr:cNvPr id="34" name="Rectangle 33"/>
        <cdr:cNvSpPr/>
      </cdr:nvSpPr>
      <cdr:spPr>
        <a:xfrm xmlns:a="http://schemas.openxmlformats.org/drawingml/2006/main">
          <a:off x="6287476" y="1171911"/>
          <a:ext cx="677680" cy="35606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9D88A7B1-D8A0-458D-B349-0192CACDCEE6}" type="TxLink">
            <a:rPr lang="en-US" sz="1000" b="0" i="0" u="none" strike="noStrike">
              <a:solidFill>
                <a:srgbClr val="FF0000"/>
              </a:solidFill>
              <a:latin typeface="Calibri"/>
              <a:cs typeface="Arial"/>
            </a:rPr>
            <a:pPr algn="r"/>
            <a:t>#DIV/0!</a:t>
          </a:fld>
          <a:endParaRPr lang="en-US" sz="100" b="1">
            <a:solidFill>
              <a:srgbClr val="FF0000"/>
            </a:solidFill>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16</xdr:col>
      <xdr:colOff>59530</xdr:colOff>
      <xdr:row>406</xdr:row>
      <xdr:rowOff>83344</xdr:rowOff>
    </xdr:from>
    <xdr:to>
      <xdr:col>25</xdr:col>
      <xdr:colOff>595311</xdr:colOff>
      <xdr:row>419</xdr:row>
      <xdr:rowOff>107156</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51</xdr:col>
      <xdr:colOff>59531</xdr:colOff>
      <xdr:row>407</xdr:row>
      <xdr:rowOff>0</xdr:rowOff>
    </xdr:from>
    <xdr:to>
      <xdr:col>60</xdr:col>
      <xdr:colOff>571500</xdr:colOff>
      <xdr:row>416</xdr:row>
      <xdr:rowOff>28573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wsDr>
</file>

<file path=xl/drawings/drawing7.xml><?xml version="1.0" encoding="utf-8"?>
<c:userShapes xmlns:c="http://schemas.openxmlformats.org/drawingml/2006/chart">
  <cdr:relSizeAnchor xmlns:cdr="http://schemas.openxmlformats.org/drawingml/2006/chartDrawing">
    <cdr:from>
      <cdr:x>0.35438</cdr:x>
      <cdr:y>0.51793</cdr:y>
    </cdr:from>
    <cdr:to>
      <cdr:x>0.44972</cdr:x>
      <cdr:y>0.63078</cdr:y>
    </cdr:to>
    <cdr:sp macro="" textlink="HistInfo!$J$410">
      <cdr:nvSpPr>
        <cdr:cNvPr id="2" name="Rectangle 1"/>
        <cdr:cNvSpPr/>
      </cdr:nvSpPr>
      <cdr:spPr>
        <a:xfrm xmlns:a="http://schemas.openxmlformats.org/drawingml/2006/main">
          <a:off x="2291080" y="1812988"/>
          <a:ext cx="61638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CD46E8D7-7DC4-45A1-B0A0-D64CAF9CED0B}" type="TxLink">
            <a:rPr lang="en-US" sz="1000" b="1" i="0" u="none" strike="noStrike">
              <a:solidFill>
                <a:srgbClr val="000000"/>
              </a:solidFill>
              <a:latin typeface="Calibri"/>
              <a:cs typeface="Arial"/>
            </a:rPr>
            <a:pPr/>
            <a:t>0</a:t>
          </a:fld>
          <a:endParaRPr lang="en-US" sz="600" b="1"/>
        </a:p>
      </cdr:txBody>
    </cdr:sp>
  </cdr:relSizeAnchor>
  <cdr:relSizeAnchor xmlns:cdr="http://schemas.openxmlformats.org/drawingml/2006/chartDrawing">
    <cdr:from>
      <cdr:x>0.23184</cdr:x>
      <cdr:y>0.33692</cdr:y>
    </cdr:from>
    <cdr:to>
      <cdr:x>0.32718</cdr:x>
      <cdr:y>0.44977</cdr:y>
    </cdr:to>
    <cdr:sp macro="" textlink="HistInfo!$J$409">
      <cdr:nvSpPr>
        <cdr:cNvPr id="3" name="Rectangle 2"/>
        <cdr:cNvSpPr/>
      </cdr:nvSpPr>
      <cdr:spPr>
        <a:xfrm xmlns:a="http://schemas.openxmlformats.org/drawingml/2006/main">
          <a:off x="1498867" y="1179377"/>
          <a:ext cx="61638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0137917-5404-4F06-9C21-13E09EF291F8}"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0.47978</cdr:x>
      <cdr:y>0.66626</cdr:y>
    </cdr:from>
    <cdr:to>
      <cdr:x>0.58727</cdr:x>
      <cdr:y>0.77911</cdr:y>
    </cdr:to>
    <cdr:sp macro="" textlink="HistInfo!$J$411">
      <cdr:nvSpPr>
        <cdr:cNvPr id="4" name="Rectangle 3"/>
        <cdr:cNvSpPr/>
      </cdr:nvSpPr>
      <cdr:spPr>
        <a:xfrm xmlns:a="http://schemas.openxmlformats.org/drawingml/2006/main">
          <a:off x="3101816" y="2332200"/>
          <a:ext cx="694932" cy="3950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909C59-2321-4B74-9249-20B8BED116EC}"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0.61444</cdr:x>
      <cdr:y>0.70805</cdr:y>
    </cdr:from>
    <cdr:to>
      <cdr:x>0.70978</cdr:x>
      <cdr:y>0.8209</cdr:y>
    </cdr:to>
    <cdr:sp macro="" textlink="HistInfo!$J$412">
      <cdr:nvSpPr>
        <cdr:cNvPr id="5" name="Rectangle 4"/>
        <cdr:cNvSpPr/>
      </cdr:nvSpPr>
      <cdr:spPr>
        <a:xfrm xmlns:a="http://schemas.openxmlformats.org/drawingml/2006/main">
          <a:off x="3972393" y="2478500"/>
          <a:ext cx="616382" cy="3950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2F099F2-08D2-4F59-B747-1D8B69F2C3A7}"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0.74404</cdr:x>
      <cdr:y>0.5595</cdr:y>
    </cdr:from>
    <cdr:to>
      <cdr:x>0.83938</cdr:x>
      <cdr:y>0.67235</cdr:y>
    </cdr:to>
    <cdr:sp macro="" textlink="HistInfo!$J$413">
      <cdr:nvSpPr>
        <cdr:cNvPr id="14" name="Rectangle 5"/>
        <cdr:cNvSpPr/>
      </cdr:nvSpPr>
      <cdr:spPr>
        <a:xfrm xmlns:a="http://schemas.openxmlformats.org/drawingml/2006/main">
          <a:off x="4810291" y="1958482"/>
          <a:ext cx="61638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74C57C6-EE38-4580-8903-F4433BEF8574}" type="TxLink">
            <a:rPr lang="en-US" sz="1000" b="1" i="0" u="none" strike="noStrike">
              <a:solidFill>
                <a:srgbClr val="000000"/>
              </a:solidFill>
              <a:latin typeface="Calibri"/>
              <a:cs typeface="Arial"/>
            </a:rPr>
            <a:pPr/>
            <a:t>#VALUE!</a:t>
          </a:fld>
          <a:endParaRPr lang="en-US" sz="4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0.22816</cdr:x>
      <cdr:y>0.41956</cdr:y>
    </cdr:from>
    <cdr:to>
      <cdr:x>0.3289</cdr:x>
      <cdr:y>0.53241</cdr:y>
    </cdr:to>
    <cdr:sp macro="" textlink="HistInfo!$H$416">
      <cdr:nvSpPr>
        <cdr:cNvPr id="11" name="Rectangle 2"/>
        <cdr:cNvSpPr/>
      </cdr:nvSpPr>
      <cdr:spPr>
        <a:xfrm xmlns:a="http://schemas.openxmlformats.org/drawingml/2006/main">
          <a:off x="1475076" y="1468633"/>
          <a:ext cx="651293"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E9497C0-CDDC-4F5B-B27B-4FD5C794F5C5}" type="TxLink">
            <a:rPr lang="en-US" sz="10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0.22635</cdr:x>
      <cdr:y>0.54543</cdr:y>
    </cdr:from>
    <cdr:to>
      <cdr:x>0.33887</cdr:x>
      <cdr:y>0.65828</cdr:y>
    </cdr:to>
    <cdr:sp macro="" textlink="HistInfo!$H$418">
      <cdr:nvSpPr>
        <cdr:cNvPr id="20" name="Rectangle 19"/>
        <cdr:cNvSpPr/>
      </cdr:nvSpPr>
      <cdr:spPr>
        <a:xfrm xmlns:a="http://schemas.openxmlformats.org/drawingml/2006/main">
          <a:off x="1463374" y="1909233"/>
          <a:ext cx="72745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62D1945-BF68-481D-B604-0C8393E3FB42}" type="TxLink">
            <a:rPr lang="en-US" sz="10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0.22636</cdr:x>
      <cdr:y>0.48467</cdr:y>
    </cdr:from>
    <cdr:to>
      <cdr:x>0.33056</cdr:x>
      <cdr:y>0.59752</cdr:y>
    </cdr:to>
    <cdr:sp macro="" textlink="HistInfo!$H$417">
      <cdr:nvSpPr>
        <cdr:cNvPr id="23" name="Rectangle 22"/>
        <cdr:cNvSpPr/>
      </cdr:nvSpPr>
      <cdr:spPr>
        <a:xfrm xmlns:a="http://schemas.openxmlformats.org/drawingml/2006/main">
          <a:off x="1463438" y="1696546"/>
          <a:ext cx="673663"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8BCBC58-A8E7-491C-A957-85F59205349A}" type="TxLink">
            <a:rPr lang="en-US" sz="10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0.73798</cdr:x>
      <cdr:y>0.2312</cdr:y>
    </cdr:from>
    <cdr:to>
      <cdr:x>0.85548</cdr:x>
      <cdr:y>0.34405</cdr:y>
    </cdr:to>
    <cdr:sp macro="" textlink="[10]Calc!$H$369">
      <cdr:nvSpPr>
        <cdr:cNvPr id="26" name="Rectangle 25"/>
        <cdr:cNvSpPr/>
      </cdr:nvSpPr>
      <cdr:spPr>
        <a:xfrm xmlns:a="http://schemas.openxmlformats.org/drawingml/2006/main">
          <a:off x="5289525" y="634214"/>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619966-7392-492C-AFFD-7507346A7E12}"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0.73632</cdr:x>
      <cdr:y>0.16609</cdr:y>
    </cdr:from>
    <cdr:to>
      <cdr:x>0.85382</cdr:x>
      <cdr:y>0.27894</cdr:y>
    </cdr:to>
    <cdr:sp macro="" textlink="[10]Calc!$H$368">
      <cdr:nvSpPr>
        <cdr:cNvPr id="27" name="Rectangle 26"/>
        <cdr:cNvSpPr/>
      </cdr:nvSpPr>
      <cdr:spPr>
        <a:xfrm xmlns:a="http://schemas.openxmlformats.org/drawingml/2006/main">
          <a:off x="5277643" y="455613"/>
          <a:ext cx="84216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52BEFD-736B-4589-92B9-77D5408491DD}"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0.1126</cdr:x>
      <cdr:y>0.19327</cdr:y>
    </cdr:from>
    <cdr:to>
      <cdr:x>0.22512</cdr:x>
      <cdr:y>0.30612</cdr:y>
    </cdr:to>
    <cdr:sp macro="" textlink="HistInfo!$N$408">
      <cdr:nvSpPr>
        <cdr:cNvPr id="18" name="Rectangle 17"/>
        <cdr:cNvSpPr/>
      </cdr:nvSpPr>
      <cdr:spPr>
        <a:xfrm xmlns:a="http://schemas.openxmlformats.org/drawingml/2006/main">
          <a:off x="727986" y="676538"/>
          <a:ext cx="727453"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6413533-1303-4C67-875F-84355B0AA02E}" type="TxLink">
            <a:rPr lang="en-US" sz="1000" b="1" i="1" u="none" strike="noStrike">
              <a:solidFill>
                <a:schemeClr val="bg1"/>
              </a:solidFill>
              <a:latin typeface="Calibri"/>
              <a:cs typeface="Arial"/>
            </a:rPr>
            <a:pPr/>
            <a:t>-15%</a:t>
          </a:fld>
          <a:endParaRPr lang="en-US" sz="200" b="1" i="1">
            <a:solidFill>
              <a:schemeClr val="bg1"/>
            </a:solidFill>
          </a:endParaRPr>
        </a:p>
      </cdr:txBody>
    </cdr:sp>
  </cdr:relSizeAnchor>
  <cdr:relSizeAnchor xmlns:cdr="http://schemas.openxmlformats.org/drawingml/2006/chartDrawing">
    <cdr:from>
      <cdr:x>0.84881</cdr:x>
      <cdr:y>0.41436</cdr:y>
    </cdr:from>
    <cdr:to>
      <cdr:x>0.96133</cdr:x>
      <cdr:y>0.52721</cdr:y>
    </cdr:to>
    <cdr:sp macro="" textlink="HistInfo!$N$414">
      <cdr:nvSpPr>
        <cdr:cNvPr id="21" name="Rectangle 20"/>
        <cdr:cNvSpPr/>
      </cdr:nvSpPr>
      <cdr:spPr>
        <a:xfrm xmlns:a="http://schemas.openxmlformats.org/drawingml/2006/main">
          <a:off x="5487618" y="1450434"/>
          <a:ext cx="727452" cy="3950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9DCF1C9-AD43-4556-BDAE-962910CE78F8}" type="TxLink">
            <a:rPr lang="en-US" sz="1000" b="1" i="1" u="none" strike="noStrike">
              <a:solidFill>
                <a:schemeClr val="bg1"/>
              </a:solidFill>
              <a:latin typeface="Calibri"/>
              <a:cs typeface="Arial"/>
            </a:rPr>
            <a:pPr/>
            <a:t>#VALUE!</a:t>
          </a:fld>
          <a:endParaRPr lang="en-US" sz="200" b="1" i="1">
            <a:solidFill>
              <a:schemeClr val="bg1"/>
            </a:solidFill>
          </a:endParaRPr>
        </a:p>
      </cdr:txBody>
    </cdr:sp>
  </cdr:relSizeAnchor>
  <cdr:relSizeAnchor xmlns:cdr="http://schemas.openxmlformats.org/drawingml/2006/chartDrawing">
    <cdr:from>
      <cdr:x>0.88748</cdr:x>
      <cdr:y>0.43876</cdr:y>
    </cdr:from>
    <cdr:to>
      <cdr:x>1</cdr:x>
      <cdr:y>0.57215</cdr:y>
    </cdr:to>
    <cdr:sp macro="" textlink="">
      <cdr:nvSpPr>
        <cdr:cNvPr id="22" name="Rectangle 21"/>
        <cdr:cNvSpPr/>
      </cdr:nvSpPr>
      <cdr:spPr>
        <a:xfrm xmlns:a="http://schemas.openxmlformats.org/drawingml/2006/main">
          <a:off x="5737641" y="1535862"/>
          <a:ext cx="727452" cy="46692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0.24174</cdr:x>
      <cdr:y>0</cdr:y>
    </cdr:from>
    <cdr:to>
      <cdr:x>0.33708</cdr:x>
      <cdr:y>0.11285</cdr:y>
    </cdr:to>
    <cdr:sp macro="" textlink="HistInfo!$O$409">
      <cdr:nvSpPr>
        <cdr:cNvPr id="24" name="Rectangle 23"/>
        <cdr:cNvSpPr/>
      </cdr:nvSpPr>
      <cdr:spPr>
        <a:xfrm xmlns:a="http://schemas.openxmlformats.org/drawingml/2006/main">
          <a:off x="1562894"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619667E-D3F7-4C76-A075-83D7AF3B9C4D}"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0.37618</cdr:x>
      <cdr:y>0</cdr:y>
    </cdr:from>
    <cdr:to>
      <cdr:x>0.47152</cdr:x>
      <cdr:y>0.11285</cdr:y>
    </cdr:to>
    <cdr:sp macro="" textlink="HistInfo!$O$410">
      <cdr:nvSpPr>
        <cdr:cNvPr id="25" name="Rectangle 24"/>
        <cdr:cNvSpPr/>
      </cdr:nvSpPr>
      <cdr:spPr>
        <a:xfrm xmlns:a="http://schemas.openxmlformats.org/drawingml/2006/main">
          <a:off x="2432050"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ADF38D4-0C0D-4F33-A2D1-62179120D2B5}"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0.50141</cdr:x>
      <cdr:y>0</cdr:y>
    </cdr:from>
    <cdr:to>
      <cdr:x>0.59675</cdr:x>
      <cdr:y>0.11285</cdr:y>
    </cdr:to>
    <cdr:sp macro="" textlink="HistInfo!$O$411">
      <cdr:nvSpPr>
        <cdr:cNvPr id="28" name="Rectangle 27"/>
        <cdr:cNvSpPr/>
      </cdr:nvSpPr>
      <cdr:spPr>
        <a:xfrm xmlns:a="http://schemas.openxmlformats.org/drawingml/2006/main">
          <a:off x="3241675"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B83C8D2-5575-44A8-B41B-A70A486FBC23}"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0.6248</cdr:x>
      <cdr:y>0</cdr:y>
    </cdr:from>
    <cdr:to>
      <cdr:x>0.72014</cdr:x>
      <cdr:y>0.11285</cdr:y>
    </cdr:to>
    <cdr:sp macro="" textlink="HistInfo!$O$412">
      <cdr:nvSpPr>
        <cdr:cNvPr id="29" name="Rectangle 28"/>
        <cdr:cNvSpPr/>
      </cdr:nvSpPr>
      <cdr:spPr>
        <a:xfrm xmlns:a="http://schemas.openxmlformats.org/drawingml/2006/main">
          <a:off x="4039394"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CCD3BD5-6A03-4F44-A496-EB62939D8DC2}"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0.76108</cdr:x>
      <cdr:y>0</cdr:y>
    </cdr:from>
    <cdr:to>
      <cdr:x>0.85642</cdr:x>
      <cdr:y>0.11285</cdr:y>
    </cdr:to>
    <cdr:sp macro="" textlink="HistInfo!$O$413">
      <cdr:nvSpPr>
        <cdr:cNvPr id="30" name="Rectangle 29"/>
        <cdr:cNvSpPr/>
      </cdr:nvSpPr>
      <cdr:spPr>
        <a:xfrm xmlns:a="http://schemas.openxmlformats.org/drawingml/2006/main">
          <a:off x="4920456" y="0"/>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0B5945F-B529-4299-8F5B-A887C74D9030}"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0.90466</cdr:x>
      <cdr:y>0.14873</cdr:y>
    </cdr:from>
    <cdr:to>
      <cdr:x>1</cdr:x>
      <cdr:y>0.26158</cdr:y>
    </cdr:to>
    <cdr:sp macro="" textlink="HistInfo!$O$414">
      <cdr:nvSpPr>
        <cdr:cNvPr id="31" name="Rectangle 30"/>
        <cdr:cNvSpPr/>
      </cdr:nvSpPr>
      <cdr:spPr>
        <a:xfrm xmlns:a="http://schemas.openxmlformats.org/drawingml/2006/main">
          <a:off x="5848711" y="407987"/>
          <a:ext cx="61638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27A57D15-220C-4AE4-844D-91D29B1CEC97}" type="TxLink">
            <a:rPr lang="en-US" sz="1000" b="0" i="0" u="none" strike="noStrike">
              <a:solidFill>
                <a:srgbClr val="FF0000"/>
              </a:solidFill>
              <a:latin typeface="Calibri"/>
              <a:cs typeface="Arial"/>
            </a:rPr>
            <a:pPr algn="r"/>
            <a:t>#VALUE!</a:t>
          </a:fld>
          <a:endParaRPr lang="en-US" sz="200" b="1">
            <a:solidFill>
              <a:srgbClr val="FF0000"/>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0.35539</cdr:x>
      <cdr:y>0.6033</cdr:y>
    </cdr:from>
    <cdr:to>
      <cdr:x>0.45073</cdr:x>
      <cdr:y>0.71615</cdr:y>
    </cdr:to>
    <cdr:sp macro="" textlink="HistInfo!$AS$410">
      <cdr:nvSpPr>
        <cdr:cNvPr id="2" name="Rectangle 1"/>
        <cdr:cNvSpPr/>
      </cdr:nvSpPr>
      <cdr:spPr>
        <a:xfrm xmlns:a="http://schemas.openxmlformats.org/drawingml/2006/main">
          <a:off x="2466869" y="1654979"/>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279F4B46-DBDE-4689-9462-70AA900BA87B}" type="TxLink">
            <a:rPr lang="en-US" sz="1000" b="1" i="0" u="none" strike="noStrike">
              <a:solidFill>
                <a:srgbClr val="000000"/>
              </a:solidFill>
              <a:latin typeface="Calibri"/>
              <a:cs typeface="Arial"/>
            </a:rPr>
            <a:pPr/>
            <a:t>0</a:t>
          </a:fld>
          <a:endParaRPr lang="en-US" sz="400" b="1"/>
        </a:p>
      </cdr:txBody>
    </cdr:sp>
  </cdr:relSizeAnchor>
  <cdr:relSizeAnchor xmlns:cdr="http://schemas.openxmlformats.org/drawingml/2006/chartDrawing">
    <cdr:from>
      <cdr:x>0.23184</cdr:x>
      <cdr:y>0.43951</cdr:y>
    </cdr:from>
    <cdr:to>
      <cdr:x>0.32718</cdr:x>
      <cdr:y>0.55236</cdr:y>
    </cdr:to>
    <cdr:sp macro="" textlink="HistInfo!$AS$409">
      <cdr:nvSpPr>
        <cdr:cNvPr id="3" name="Rectangle 2"/>
        <cdr:cNvSpPr/>
      </cdr:nvSpPr>
      <cdr:spPr>
        <a:xfrm xmlns:a="http://schemas.openxmlformats.org/drawingml/2006/main">
          <a:off x="1609281" y="1205671"/>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81D35D2-62D0-45CA-AD8D-0A3D421A4801}"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0.47971</cdr:x>
      <cdr:y>0.34837</cdr:y>
    </cdr:from>
    <cdr:to>
      <cdr:x>0.5872</cdr:x>
      <cdr:y>0.46122</cdr:y>
    </cdr:to>
    <cdr:sp macro="" textlink="HistInfo!$AS$411">
      <cdr:nvSpPr>
        <cdr:cNvPr id="4" name="Rectangle 3"/>
        <cdr:cNvSpPr/>
      </cdr:nvSpPr>
      <cdr:spPr>
        <a:xfrm xmlns:a="http://schemas.openxmlformats.org/drawingml/2006/main">
          <a:off x="3329807" y="955660"/>
          <a:ext cx="746125" cy="30956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E994C78-762C-428A-A4F5-8F528257ACB5}"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0.60687</cdr:x>
      <cdr:y>0.56975</cdr:y>
    </cdr:from>
    <cdr:to>
      <cdr:x>0.70221</cdr:x>
      <cdr:y>0.6826</cdr:y>
    </cdr:to>
    <cdr:sp macro="" textlink="HistInfo!$AS$412">
      <cdr:nvSpPr>
        <cdr:cNvPr id="5" name="Rectangle 4"/>
        <cdr:cNvSpPr/>
      </cdr:nvSpPr>
      <cdr:spPr>
        <a:xfrm xmlns:a="http://schemas.openxmlformats.org/drawingml/2006/main">
          <a:off x="4212504" y="1562937"/>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672DC2F-801A-4290-858C-8D251DFA20C9}"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10]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rPr>
            <a:pPr/>
            <a:t> </a:t>
          </a:fld>
          <a:endParaRPr lang="en-US" sz="600" b="1"/>
        </a:p>
      </cdr:txBody>
    </cdr:sp>
  </cdr:relSizeAnchor>
  <cdr:relSizeAnchor xmlns:cdr="http://schemas.openxmlformats.org/drawingml/2006/chartDrawing">
    <cdr:from>
      <cdr:x>0.73183</cdr:x>
      <cdr:y>0.63916</cdr:y>
    </cdr:from>
    <cdr:to>
      <cdr:x>0.82717</cdr:x>
      <cdr:y>0.75201</cdr:y>
    </cdr:to>
    <cdr:sp macro="" textlink="HistInfo!$AS$413">
      <cdr:nvSpPr>
        <cdr:cNvPr id="14" name="Rectangle 5"/>
        <cdr:cNvSpPr/>
      </cdr:nvSpPr>
      <cdr:spPr>
        <a:xfrm xmlns:a="http://schemas.openxmlformats.org/drawingml/2006/main">
          <a:off x="5079916" y="1753349"/>
          <a:ext cx="6617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D12C446-C087-4835-A20A-2CCBC368D010}" type="TxLink">
            <a:rPr lang="en-US" sz="1000" b="1" i="0" u="none" strike="noStrike">
              <a:solidFill>
                <a:srgbClr val="000000"/>
              </a:solidFill>
              <a:latin typeface="Calibri"/>
              <a:cs typeface="Arial"/>
            </a:rPr>
            <a:pPr/>
            <a:t>0</a:t>
          </a:fld>
          <a:endParaRPr lang="en-US" sz="200" b="1"/>
        </a:p>
      </cdr:txBody>
    </cdr:sp>
  </cdr:relSizeAnchor>
  <cdr:relSizeAnchor xmlns:cdr="http://schemas.openxmlformats.org/drawingml/2006/chartDrawing">
    <cdr:from>
      <cdr:x>0.00636</cdr:x>
      <cdr:y>0.01852</cdr:y>
    </cdr:from>
    <cdr:to>
      <cdr:x>0.98941</cdr:x>
      <cdr:y>0.13137</cdr:y>
    </cdr:to>
    <cdr:sp macro="" textlink="[10]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0.21615</cdr:x>
      <cdr:y>0.50029</cdr:y>
    </cdr:from>
    <cdr:to>
      <cdr:x>0.31689</cdr:x>
      <cdr:y>0.61314</cdr:y>
    </cdr:to>
    <cdr:sp macro="" textlink="HistInfo!$AQ$416">
      <cdr:nvSpPr>
        <cdr:cNvPr id="11" name="Rectangle 2"/>
        <cdr:cNvSpPr/>
      </cdr:nvSpPr>
      <cdr:spPr>
        <a:xfrm xmlns:a="http://schemas.openxmlformats.org/drawingml/2006/main">
          <a:off x="1500393" y="1372383"/>
          <a:ext cx="699271"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A5B2A89-6081-402F-B1C6-B5ABEFF3A3C5}" type="TxLink">
            <a:rPr lang="en-US" sz="11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10]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rPr>
            <a:pPr/>
            <a:t> </a:t>
          </a:fld>
          <a:endParaRPr lang="en-US" sz="800" b="1"/>
        </a:p>
      </cdr:txBody>
    </cdr:sp>
  </cdr:relSizeAnchor>
  <cdr:relSizeAnchor xmlns:cdr="http://schemas.openxmlformats.org/drawingml/2006/chartDrawing">
    <cdr:from>
      <cdr:x>0.21434</cdr:x>
      <cdr:y>0.62616</cdr:y>
    </cdr:from>
    <cdr:to>
      <cdr:x>0.32686</cdr:x>
      <cdr:y>0.73901</cdr:y>
    </cdr:to>
    <cdr:sp macro="" textlink="HistInfo!$AQ$418">
      <cdr:nvSpPr>
        <cdr:cNvPr id="20" name="Rectangle 19"/>
        <cdr:cNvSpPr/>
      </cdr:nvSpPr>
      <cdr:spPr>
        <a:xfrm xmlns:a="http://schemas.openxmlformats.org/drawingml/2006/main">
          <a:off x="1487829" y="1717669"/>
          <a:ext cx="78104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F576EBF-54D0-46A4-91AA-BC05D1B92842}" type="TxLink">
            <a:rPr lang="en-US" sz="11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0.21435</cdr:x>
      <cdr:y>0.5654</cdr:y>
    </cdr:from>
    <cdr:to>
      <cdr:x>0.31855</cdr:x>
      <cdr:y>0.67825</cdr:y>
    </cdr:to>
    <cdr:sp macro="" textlink="HistInfo!$AQ$417">
      <cdr:nvSpPr>
        <cdr:cNvPr id="23" name="Rectangle 22"/>
        <cdr:cNvSpPr/>
      </cdr:nvSpPr>
      <cdr:spPr>
        <a:xfrm xmlns:a="http://schemas.openxmlformats.org/drawingml/2006/main">
          <a:off x="1487899" y="1550993"/>
          <a:ext cx="7232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E08842D-6FBC-4693-A104-05CE30AD84DA}" type="TxLink">
            <a:rPr lang="en-US" sz="11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0.73798</cdr:x>
      <cdr:y>0.2312</cdr:y>
    </cdr:from>
    <cdr:to>
      <cdr:x>0.85548</cdr:x>
      <cdr:y>0.34405</cdr:y>
    </cdr:to>
    <cdr:sp macro="" textlink="[10]Calc!$H$369">
      <cdr:nvSpPr>
        <cdr:cNvPr id="26" name="Rectangle 25"/>
        <cdr:cNvSpPr/>
      </cdr:nvSpPr>
      <cdr:spPr>
        <a:xfrm xmlns:a="http://schemas.openxmlformats.org/drawingml/2006/main">
          <a:off x="5289525" y="634214"/>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619966-7392-492C-AFFD-7507346A7E12}"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0.73632</cdr:x>
      <cdr:y>0.16609</cdr:y>
    </cdr:from>
    <cdr:to>
      <cdr:x>0.85382</cdr:x>
      <cdr:y>0.27894</cdr:y>
    </cdr:to>
    <cdr:sp macro="" textlink="[10]Calc!$H$368">
      <cdr:nvSpPr>
        <cdr:cNvPr id="27" name="Rectangle 26"/>
        <cdr:cNvSpPr/>
      </cdr:nvSpPr>
      <cdr:spPr>
        <a:xfrm xmlns:a="http://schemas.openxmlformats.org/drawingml/2006/main">
          <a:off x="5277643" y="455613"/>
          <a:ext cx="84216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52BEFD-736B-4589-92B9-77D5408491DD}" type="TxLink">
            <a:rPr lang="en-US" sz="1000" b="1" i="0" u="none" strike="noStrike">
              <a:solidFill>
                <a:srgbClr val="000000"/>
              </a:solidFill>
              <a:latin typeface="Calibri"/>
            </a:rPr>
            <a:pPr/>
            <a:t> </a:t>
          </a:fld>
          <a:endParaRPr lang="en-US" sz="400" b="1"/>
        </a:p>
      </cdr:txBody>
    </cdr:sp>
  </cdr:relSizeAnchor>
  <cdr:relSizeAnchor xmlns:cdr="http://schemas.openxmlformats.org/drawingml/2006/chartDrawing">
    <cdr:from>
      <cdr:x>0.11072</cdr:x>
      <cdr:y>0.59635</cdr:y>
    </cdr:from>
    <cdr:to>
      <cdr:x>0.22324</cdr:x>
      <cdr:y>0.7092</cdr:y>
    </cdr:to>
    <cdr:sp macro="" textlink="HistInfo!$AW$408">
      <cdr:nvSpPr>
        <cdr:cNvPr id="18" name="Rectangle 17"/>
        <cdr:cNvSpPr/>
      </cdr:nvSpPr>
      <cdr:spPr>
        <a:xfrm xmlns:a="http://schemas.openxmlformats.org/drawingml/2006/main">
          <a:off x="661793" y="1635909"/>
          <a:ext cx="672525"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AACA5B4-149D-43FC-9DF1-47B706C23A46}" type="TxLink">
            <a:rPr lang="en-US" sz="1000" b="1" i="1" u="none" strike="noStrike">
              <a:solidFill>
                <a:schemeClr val="bg1"/>
              </a:solidFill>
              <a:latin typeface="Calibri"/>
              <a:cs typeface="Arial"/>
            </a:rPr>
            <a:pPr/>
            <a:t>-15%</a:t>
          </a:fld>
          <a:endParaRPr lang="en-US" sz="100" b="1" i="1">
            <a:solidFill>
              <a:schemeClr val="bg1"/>
            </a:solidFill>
          </a:endParaRPr>
        </a:p>
      </cdr:txBody>
    </cdr:sp>
  </cdr:relSizeAnchor>
  <cdr:relSizeAnchor xmlns:cdr="http://schemas.openxmlformats.org/drawingml/2006/chartDrawing">
    <cdr:from>
      <cdr:x>0.8498</cdr:x>
      <cdr:y>0.65277</cdr:y>
    </cdr:from>
    <cdr:to>
      <cdr:x>0.96232</cdr:x>
      <cdr:y>0.76562</cdr:y>
    </cdr:to>
    <cdr:sp macro="" textlink="HistInfo!$AW$414">
      <cdr:nvSpPr>
        <cdr:cNvPr id="21" name="Rectangle 20"/>
        <cdr:cNvSpPr/>
      </cdr:nvSpPr>
      <cdr:spPr>
        <a:xfrm xmlns:a="http://schemas.openxmlformats.org/drawingml/2006/main">
          <a:off x="5898762" y="1790684"/>
          <a:ext cx="781040" cy="30956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DF1F5B7D-237B-427E-BC52-A044B4001706}" type="TxLink">
            <a:rPr lang="en-US" sz="1000" b="1" i="1" u="none" strike="noStrike">
              <a:solidFill>
                <a:schemeClr val="bg1"/>
              </a:solidFill>
              <a:latin typeface="Calibri"/>
              <a:cs typeface="Arial"/>
            </a:rPr>
            <a:pPr/>
            <a:t>#VALUE!</a:t>
          </a:fld>
          <a:endParaRPr lang="en-US" sz="100" b="1" i="1">
            <a:solidFill>
              <a:schemeClr val="bg1"/>
            </a:solidFill>
          </a:endParaRPr>
        </a:p>
      </cdr:txBody>
    </cdr:sp>
  </cdr:relSizeAnchor>
  <cdr:relSizeAnchor xmlns:cdr="http://schemas.openxmlformats.org/drawingml/2006/chartDrawing">
    <cdr:from>
      <cdr:x>0.88748</cdr:x>
      <cdr:y>0.6305</cdr:y>
    </cdr:from>
    <cdr:to>
      <cdr:x>1</cdr:x>
      <cdr:y>0.76389</cdr:y>
    </cdr:to>
    <cdr:sp macro="" textlink="">
      <cdr:nvSpPr>
        <cdr:cNvPr id="22" name="Rectangle 21"/>
        <cdr:cNvSpPr/>
      </cdr:nvSpPr>
      <cdr:spPr>
        <a:xfrm xmlns:a="http://schemas.openxmlformats.org/drawingml/2006/main">
          <a:off x="6160304" y="1729573"/>
          <a:ext cx="781040" cy="36591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0.23161</cdr:x>
      <cdr:y>0</cdr:y>
    </cdr:from>
    <cdr:to>
      <cdr:x>0.32695</cdr:x>
      <cdr:y>0.11285</cdr:y>
    </cdr:to>
    <cdr:sp macro="" textlink="HistInfo!$AX$409">
      <cdr:nvSpPr>
        <cdr:cNvPr id="24" name="Rectangle 23"/>
        <cdr:cNvSpPr/>
      </cdr:nvSpPr>
      <cdr:spPr>
        <a:xfrm xmlns:a="http://schemas.openxmlformats.org/drawingml/2006/main">
          <a:off x="1384300" y="0"/>
          <a:ext cx="56984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727AC2F-8E66-4BF3-A6E1-00280BE25163}"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0.3571</cdr:x>
      <cdr:y>0</cdr:y>
    </cdr:from>
    <cdr:to>
      <cdr:x>0.45245</cdr:x>
      <cdr:y>0.11285</cdr:y>
    </cdr:to>
    <cdr:sp macro="" textlink="HistInfo!$AX$410">
      <cdr:nvSpPr>
        <cdr:cNvPr id="25" name="Rectangle 24"/>
        <cdr:cNvSpPr/>
      </cdr:nvSpPr>
      <cdr:spPr>
        <a:xfrm xmlns:a="http://schemas.openxmlformats.org/drawingml/2006/main">
          <a:off x="2134394" y="0"/>
          <a:ext cx="56984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B162A6B-2391-4525-A4F1-29BE91890838}"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0.4826</cdr:x>
      <cdr:y>0</cdr:y>
    </cdr:from>
    <cdr:to>
      <cdr:x>0.57794</cdr:x>
      <cdr:y>0.11285</cdr:y>
    </cdr:to>
    <cdr:sp macro="" textlink="HistInfo!$AX$411">
      <cdr:nvSpPr>
        <cdr:cNvPr id="28" name="Rectangle 27"/>
        <cdr:cNvSpPr/>
      </cdr:nvSpPr>
      <cdr:spPr>
        <a:xfrm xmlns:a="http://schemas.openxmlformats.org/drawingml/2006/main">
          <a:off x="2884488" y="0"/>
          <a:ext cx="569842"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4D596DA-4C54-4ED7-95AB-D444AB5F5978}"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0.60207</cdr:x>
      <cdr:y>0</cdr:y>
    </cdr:from>
    <cdr:to>
      <cdr:x>0.69741</cdr:x>
      <cdr:y>0.11285</cdr:y>
    </cdr:to>
    <cdr:sp macro="" textlink="HistInfo!$AX$412">
      <cdr:nvSpPr>
        <cdr:cNvPr id="29" name="Rectangle 28"/>
        <cdr:cNvSpPr/>
      </cdr:nvSpPr>
      <cdr:spPr>
        <a:xfrm xmlns:a="http://schemas.openxmlformats.org/drawingml/2006/main">
          <a:off x="4179198" y="0"/>
          <a:ext cx="661787"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5005590-CFFE-48BF-B219-F892B87A43D5}"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0.72608</cdr:x>
      <cdr:y>0</cdr:y>
    </cdr:from>
    <cdr:to>
      <cdr:x>0.82142</cdr:x>
      <cdr:y>0.11285</cdr:y>
    </cdr:to>
    <cdr:sp macro="" textlink="HistInfo!$AX$413">
      <cdr:nvSpPr>
        <cdr:cNvPr id="30" name="Rectangle 29"/>
        <cdr:cNvSpPr/>
      </cdr:nvSpPr>
      <cdr:spPr>
        <a:xfrm xmlns:a="http://schemas.openxmlformats.org/drawingml/2006/main">
          <a:off x="5039943" y="0"/>
          <a:ext cx="661787"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B4EF7F2-2D28-4F53-8C45-FC180FC33ECD}" type="TxLink">
            <a:rPr lang="en-US" sz="1000" b="0" i="1" u="none" strike="noStrike">
              <a:solidFill>
                <a:srgbClr val="000000"/>
              </a:solidFill>
              <a:latin typeface="Calibri"/>
              <a:cs typeface="Arial"/>
            </a:rPr>
            <a:pPr/>
            <a:t>#DIV/0!</a:t>
          </a:fld>
          <a:endParaRPr lang="en-US" sz="100" b="1" i="1"/>
        </a:p>
      </cdr:txBody>
    </cdr:sp>
  </cdr:relSizeAnchor>
  <cdr:relSizeAnchor xmlns:cdr="http://schemas.openxmlformats.org/drawingml/2006/chartDrawing">
    <cdr:from>
      <cdr:x>0.8924</cdr:x>
      <cdr:y>0.48727</cdr:y>
    </cdr:from>
    <cdr:to>
      <cdr:x>0.98774</cdr:x>
      <cdr:y>0.60012</cdr:y>
    </cdr:to>
    <cdr:sp macro="" textlink="HistInfo!$AX$414">
      <cdr:nvSpPr>
        <cdr:cNvPr id="31" name="Rectangle 30"/>
        <cdr:cNvSpPr/>
      </cdr:nvSpPr>
      <cdr:spPr>
        <a:xfrm xmlns:a="http://schemas.openxmlformats.org/drawingml/2006/main">
          <a:off x="6194425" y="1336675"/>
          <a:ext cx="661787"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394B646-1D42-4AC7-86D8-B22C92216752}" type="TxLink">
            <a:rPr lang="en-US" sz="1000" b="0" i="0" u="none" strike="noStrike">
              <a:solidFill>
                <a:srgbClr val="FF0000"/>
              </a:solidFill>
              <a:latin typeface="Calibri"/>
              <a:cs typeface="Arial"/>
            </a:rPr>
            <a:pPr/>
            <a:t>#DIV/0!</a:t>
          </a:fld>
          <a:endParaRPr lang="en-US" sz="100" b="1" i="1">
            <a:solidFill>
              <a:srgbClr val="FF0000"/>
            </a:solidFill>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13</xdr:col>
      <xdr:colOff>107157</xdr:colOff>
      <xdr:row>374</xdr:row>
      <xdr:rowOff>107156</xdr:rowOff>
    </xdr:from>
    <xdr:to>
      <xdr:col>15</xdr:col>
      <xdr:colOff>534724</xdr:colOff>
      <xdr:row>382</xdr:row>
      <xdr:rowOff>156104</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17</xdr:col>
      <xdr:colOff>631030</xdr:colOff>
      <xdr:row>374</xdr:row>
      <xdr:rowOff>47624</xdr:rowOff>
    </xdr:from>
    <xdr:to>
      <xdr:col>20</xdr:col>
      <xdr:colOff>129911</xdr:colOff>
      <xdr:row>382</xdr:row>
      <xdr:rowOff>96572</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16</xdr:col>
      <xdr:colOff>404812</xdr:colOff>
      <xdr:row>356</xdr:row>
      <xdr:rowOff>23820</xdr:rowOff>
    </xdr:from>
    <xdr:to>
      <xdr:col>25</xdr:col>
      <xdr:colOff>488156</xdr:colOff>
      <xdr:row>366</xdr:row>
      <xdr:rowOff>166692</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51</xdr:col>
      <xdr:colOff>297657</xdr:colOff>
      <xdr:row>356</xdr:row>
      <xdr:rowOff>273844</xdr:rowOff>
    </xdr:from>
    <xdr:to>
      <xdr:col>60</xdr:col>
      <xdr:colOff>631031</xdr:colOff>
      <xdr:row>368</xdr:row>
      <xdr:rowOff>76199</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16</xdr:col>
      <xdr:colOff>690563</xdr:colOff>
      <xdr:row>418</xdr:row>
      <xdr:rowOff>71438</xdr:rowOff>
    </xdr:from>
    <xdr:to>
      <xdr:col>23</xdr:col>
      <xdr:colOff>100013</xdr:colOff>
      <xdr:row>432</xdr:row>
      <xdr:rowOff>147638</xdr:rowOff>
    </xdr:to>
    <xdr:graphicFrame macro="">
      <xdr:nvGraphicFramePr>
        <xdr:cNvPr id="6" name="Chart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48</xdr:col>
      <xdr:colOff>690563</xdr:colOff>
      <xdr:row>418</xdr:row>
      <xdr:rowOff>71438</xdr:rowOff>
    </xdr:from>
    <xdr:to>
      <xdr:col>55</xdr:col>
      <xdr:colOff>100013</xdr:colOff>
      <xdr:row>432</xdr:row>
      <xdr:rowOff>147638</xdr:rowOff>
    </xdr:to>
    <xdr:graphicFrame macro="">
      <xdr:nvGraphicFramePr>
        <xdr:cNvPr id="7" name="Chart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10.xml><?xml version="1.0" encoding="utf-8"?>
<c:userShapes xmlns:c="http://schemas.openxmlformats.org/drawingml/2006/chart">
  <cdr:relSizeAnchor xmlns:cdr="http://schemas.openxmlformats.org/drawingml/2006/chartDrawing">
    <cdr:from>
      <cdr:x>0.36095</cdr:x>
      <cdr:y>0.53491</cdr:y>
    </cdr:from>
    <cdr:to>
      <cdr:x>0.45629</cdr:x>
      <cdr:y>0.64776</cdr:y>
    </cdr:to>
    <cdr:sp macro="" textlink="Calc!$J$359">
      <cdr:nvSpPr>
        <cdr:cNvPr id="2" name="Rectangle 1"/>
        <cdr:cNvSpPr/>
      </cdr:nvSpPr>
      <cdr:spPr>
        <a:xfrm xmlns:a="http://schemas.openxmlformats.org/drawingml/2006/main">
          <a:off x="2634430" y="1764148"/>
          <a:ext cx="695842"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6B37A2C9-501E-4336-B933-C7F3DF5CFF59}" type="TxLink">
            <a:rPr lang="en-US" sz="1200" b="1" i="0" u="none" strike="noStrike">
              <a:solidFill>
                <a:srgbClr val="000000"/>
              </a:solidFill>
              <a:latin typeface="Calibri"/>
              <a:cs typeface="Arial"/>
            </a:rPr>
            <a:pPr/>
            <a:t>0</a:t>
          </a:fld>
          <a:endParaRPr lang="en-US" sz="1050" b="1"/>
        </a:p>
      </cdr:txBody>
    </cdr:sp>
  </cdr:relSizeAnchor>
  <cdr:relSizeAnchor xmlns:cdr="http://schemas.openxmlformats.org/drawingml/2006/chartDrawing">
    <cdr:from>
      <cdr:x>0.23184</cdr:x>
      <cdr:y>0.36853</cdr:y>
    </cdr:from>
    <cdr:to>
      <cdr:x>0.32718</cdr:x>
      <cdr:y>0.48138</cdr:y>
    </cdr:to>
    <cdr:sp macro="" textlink="Calc!$J$358">
      <cdr:nvSpPr>
        <cdr:cNvPr id="3" name="Rectangle 2"/>
        <cdr:cNvSpPr/>
      </cdr:nvSpPr>
      <cdr:spPr>
        <a:xfrm xmlns:a="http://schemas.openxmlformats.org/drawingml/2006/main">
          <a:off x="1645165" y="1215422"/>
          <a:ext cx="676545"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BC483D8-BEFD-41A7-A621-4EA22AF31551}"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0.48578</cdr:x>
      <cdr:y>0.67446</cdr:y>
    </cdr:from>
    <cdr:to>
      <cdr:x>0.59327</cdr:x>
      <cdr:y>0.78731</cdr:y>
    </cdr:to>
    <cdr:sp macro="" textlink="Calc!$J$360">
      <cdr:nvSpPr>
        <cdr:cNvPr id="4" name="Rectangle 3"/>
        <cdr:cNvSpPr/>
      </cdr:nvSpPr>
      <cdr:spPr>
        <a:xfrm xmlns:a="http://schemas.openxmlformats.org/drawingml/2006/main">
          <a:off x="3545449" y="2224389"/>
          <a:ext cx="784519"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54FC47B-58E8-48B2-BFE9-95F04C832CC0}"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0.61775</cdr:x>
      <cdr:y>0.72527</cdr:y>
    </cdr:from>
    <cdr:to>
      <cdr:x>0.71309</cdr:x>
      <cdr:y>0.83812</cdr:y>
    </cdr:to>
    <cdr:sp macro="" textlink="Calc!$J$361">
      <cdr:nvSpPr>
        <cdr:cNvPr id="5" name="Rectangle 4"/>
        <cdr:cNvSpPr/>
      </cdr:nvSpPr>
      <cdr:spPr>
        <a:xfrm xmlns:a="http://schemas.openxmlformats.org/drawingml/2006/main">
          <a:off x="4508673" y="2391962"/>
          <a:ext cx="695842"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442E34C-01EC-4352-B2B6-4C47117BF44B}"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0.00636</cdr:x>
      <cdr:y>0.01852</cdr:y>
    </cdr:from>
    <cdr:to>
      <cdr:x>0.98941</cdr:x>
      <cdr:y>0.13137</cdr:y>
    </cdr:to>
    <cdr:sp macro="" textlink="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cs typeface="Arial"/>
            </a:rPr>
            <a:pPr/>
            <a:t> </a:t>
          </a:fld>
          <a:endParaRPr lang="en-US" sz="600" b="1"/>
        </a:p>
      </cdr:txBody>
    </cdr:sp>
  </cdr:relSizeAnchor>
  <cdr:relSizeAnchor xmlns:cdr="http://schemas.openxmlformats.org/drawingml/2006/chartDrawing">
    <cdr:from>
      <cdr:x>0.74647</cdr:x>
      <cdr:y>0.55576</cdr:y>
    </cdr:from>
    <cdr:to>
      <cdr:x>0.84181</cdr:x>
      <cdr:y>0.66861</cdr:y>
    </cdr:to>
    <cdr:sp macro="" textlink="Calc!$J$362">
      <cdr:nvSpPr>
        <cdr:cNvPr id="14" name="Rectangle 5"/>
        <cdr:cNvSpPr/>
      </cdr:nvSpPr>
      <cdr:spPr>
        <a:xfrm xmlns:a="http://schemas.openxmlformats.org/drawingml/2006/main">
          <a:off x="5448111" y="1832913"/>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117D60B-E277-479B-A70D-EC6332E0E4B3}"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0.00636</cdr:x>
      <cdr:y>0.01852</cdr:y>
    </cdr:from>
    <cdr:to>
      <cdr:x>0.98941</cdr:x>
      <cdr:y>0.13137</cdr:y>
    </cdr:to>
    <cdr:sp macro="" textlink="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0.22816</cdr:x>
      <cdr:y>0.45116</cdr:y>
    </cdr:from>
    <cdr:to>
      <cdr:x>0.3289</cdr:x>
      <cdr:y>0.56401</cdr:y>
    </cdr:to>
    <cdr:sp macro="" textlink="Calc!$H$365">
      <cdr:nvSpPr>
        <cdr:cNvPr id="11" name="Rectangle 2"/>
        <cdr:cNvSpPr/>
      </cdr:nvSpPr>
      <cdr:spPr>
        <a:xfrm xmlns:a="http://schemas.openxmlformats.org/drawingml/2006/main">
          <a:off x="1619052" y="1487941"/>
          <a:ext cx="714863"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DBD8DE1-8C23-4CB2-802C-8F3E3313E930}" type="TxLink">
            <a:rPr lang="en-US" sz="1000" b="1" i="0" u="none" strike="noStrike">
              <a:solidFill>
                <a:srgbClr val="000000"/>
              </a:solidFill>
              <a:latin typeface="Calibri"/>
              <a:cs typeface="Arial"/>
            </a:rPr>
            <a:pPr/>
            <a:t>SSGA +0</a:t>
          </a:fld>
          <a:endParaRPr lang="en-US" sz="600" b="1"/>
        </a:p>
      </cdr:txBody>
    </cdr:sp>
  </cdr:relSizeAnchor>
  <cdr:relSizeAnchor xmlns:cdr="http://schemas.openxmlformats.org/drawingml/2006/chartDrawing">
    <cdr:from>
      <cdr:x>0.23002</cdr:x>
      <cdr:y>0.18779</cdr:y>
    </cdr:from>
    <cdr:to>
      <cdr:x>0.40265</cdr:x>
      <cdr:y>0.30064</cdr:y>
    </cdr:to>
    <cdr:sp macro="" textlink="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cs typeface="Arial"/>
            </a:rPr>
            <a:pPr/>
            <a:t> </a:t>
          </a:fld>
          <a:endParaRPr lang="en-US" sz="800" b="1"/>
        </a:p>
      </cdr:txBody>
    </cdr:sp>
  </cdr:relSizeAnchor>
  <cdr:relSizeAnchor xmlns:cdr="http://schemas.openxmlformats.org/drawingml/2006/chartDrawing">
    <cdr:from>
      <cdr:x>0.22635</cdr:x>
      <cdr:y>0.57703</cdr:y>
    </cdr:from>
    <cdr:to>
      <cdr:x>0.33887</cdr:x>
      <cdr:y>0.68988</cdr:y>
    </cdr:to>
    <cdr:sp macro="" textlink="Calc!$H$367">
      <cdr:nvSpPr>
        <cdr:cNvPr id="20" name="Rectangle 19"/>
        <cdr:cNvSpPr/>
      </cdr:nvSpPr>
      <cdr:spPr>
        <a:xfrm xmlns:a="http://schemas.openxmlformats.org/drawingml/2006/main">
          <a:off x="1606208" y="1903064"/>
          <a:ext cx="798456"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7312B208-1B2A-4385-B853-0A0507B02910}" type="TxLink">
            <a:rPr lang="en-US" sz="1000" b="1" i="0" u="none" strike="noStrike">
              <a:solidFill>
                <a:srgbClr val="000000"/>
              </a:solidFill>
              <a:latin typeface="Calibri"/>
              <a:cs typeface="Arial"/>
            </a:rPr>
            <a:pPr/>
            <a:t>CapEx +0</a:t>
          </a:fld>
          <a:endParaRPr lang="en-US" sz="600" b="1"/>
        </a:p>
      </cdr:txBody>
    </cdr:sp>
  </cdr:relSizeAnchor>
  <cdr:relSizeAnchor xmlns:cdr="http://schemas.openxmlformats.org/drawingml/2006/chartDrawing">
    <cdr:from>
      <cdr:x>0.22636</cdr:x>
      <cdr:y>0.51627</cdr:y>
    </cdr:from>
    <cdr:to>
      <cdr:x>0.33056</cdr:x>
      <cdr:y>0.62912</cdr:y>
    </cdr:to>
    <cdr:sp macro="" textlink="Calc!$H$366">
      <cdr:nvSpPr>
        <cdr:cNvPr id="23" name="Rectangle 22"/>
        <cdr:cNvSpPr/>
      </cdr:nvSpPr>
      <cdr:spPr>
        <a:xfrm xmlns:a="http://schemas.openxmlformats.org/drawingml/2006/main">
          <a:off x="1606279" y="1702676"/>
          <a:ext cx="739416"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9D98AF82-74F1-493F-9EE8-0AD58865F505}" type="TxLink">
            <a:rPr lang="en-US" sz="1000" b="1" i="0" u="none" strike="noStrike">
              <a:solidFill>
                <a:srgbClr val="000000"/>
              </a:solidFill>
              <a:latin typeface="Calibri"/>
              <a:cs typeface="Arial"/>
            </a:rPr>
            <a:pPr/>
            <a:t>R&amp;D +0</a:t>
          </a:fld>
          <a:endParaRPr lang="en-US" sz="600" b="1"/>
        </a:p>
      </cdr:txBody>
    </cdr:sp>
  </cdr:relSizeAnchor>
  <cdr:relSizeAnchor xmlns:cdr="http://schemas.openxmlformats.org/drawingml/2006/chartDrawing">
    <cdr:from>
      <cdr:x>0.73798</cdr:x>
      <cdr:y>0.2312</cdr:y>
    </cdr:from>
    <cdr:to>
      <cdr:x>0.85548</cdr:x>
      <cdr:y>0.34405</cdr:y>
    </cdr:to>
    <cdr:sp macro="" textlink="Calc!$H$369">
      <cdr:nvSpPr>
        <cdr:cNvPr id="26" name="Rectangle 25"/>
        <cdr:cNvSpPr/>
      </cdr:nvSpPr>
      <cdr:spPr>
        <a:xfrm xmlns:a="http://schemas.openxmlformats.org/drawingml/2006/main">
          <a:off x="5289525" y="634214"/>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2619966-7392-492C-AFFD-7507346A7E12}" type="TxLink">
            <a:rPr lang="en-US" sz="1000" b="1" i="0" u="none" strike="noStrike">
              <a:solidFill>
                <a:srgbClr val="000000"/>
              </a:solidFill>
              <a:latin typeface="Calibri"/>
              <a:cs typeface="Arial"/>
            </a:rPr>
            <a:pPr/>
            <a:t> </a:t>
          </a:fld>
          <a:endParaRPr lang="en-US" sz="400" b="1"/>
        </a:p>
      </cdr:txBody>
    </cdr:sp>
  </cdr:relSizeAnchor>
  <cdr:relSizeAnchor xmlns:cdr="http://schemas.openxmlformats.org/drawingml/2006/chartDrawing">
    <cdr:from>
      <cdr:x>0.73632</cdr:x>
      <cdr:y>0.16609</cdr:y>
    </cdr:from>
    <cdr:to>
      <cdr:x>0.85382</cdr:x>
      <cdr:y>0.27894</cdr:y>
    </cdr:to>
    <cdr:sp macro="" textlink="Calc!$H$368">
      <cdr:nvSpPr>
        <cdr:cNvPr id="27" name="Rectangle 26"/>
        <cdr:cNvSpPr/>
      </cdr:nvSpPr>
      <cdr:spPr>
        <a:xfrm xmlns:a="http://schemas.openxmlformats.org/drawingml/2006/main">
          <a:off x="5277643" y="455613"/>
          <a:ext cx="84216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452BEFD-736B-4589-92B9-77D5408491DD}" type="TxLink">
            <a:rPr lang="en-US" sz="1000" b="1" i="0" u="none" strike="noStrike">
              <a:solidFill>
                <a:srgbClr val="000000"/>
              </a:solidFill>
              <a:latin typeface="Calibri"/>
              <a:cs typeface="Arial"/>
            </a:rPr>
            <a:pPr/>
            <a:t> </a:t>
          </a:fld>
          <a:endParaRPr lang="en-US" sz="400" b="1"/>
        </a:p>
      </cdr:txBody>
    </cdr:sp>
  </cdr:relSizeAnchor>
  <cdr:relSizeAnchor xmlns:cdr="http://schemas.openxmlformats.org/drawingml/2006/chartDrawing">
    <cdr:from>
      <cdr:x>0.11367</cdr:x>
      <cdr:y>0.23733</cdr:y>
    </cdr:from>
    <cdr:to>
      <cdr:x>0.22619</cdr:x>
      <cdr:y>0.35018</cdr:y>
    </cdr:to>
    <cdr:sp macro="" textlink="Calc!$N$357">
      <cdr:nvSpPr>
        <cdr:cNvPr id="18" name="Rectangle 17"/>
        <cdr:cNvSpPr/>
      </cdr:nvSpPr>
      <cdr:spPr>
        <a:xfrm xmlns:a="http://schemas.openxmlformats.org/drawingml/2006/main">
          <a:off x="806585" y="782721"/>
          <a:ext cx="798456" cy="37218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9914054-667B-4130-8148-AAD67E290D9A}" type="TxLink">
            <a:rPr lang="en-US" sz="1000" b="1" i="1" u="none" strike="noStrike">
              <a:solidFill>
                <a:schemeClr val="bg1"/>
              </a:solidFill>
              <a:latin typeface="Calibri"/>
              <a:cs typeface="Arial"/>
            </a:rPr>
            <a:pPr/>
            <a:t>#VALUE!</a:t>
          </a:fld>
          <a:endParaRPr lang="en-US" sz="400" b="1" i="1">
            <a:solidFill>
              <a:schemeClr val="bg1"/>
            </a:solidFill>
          </a:endParaRPr>
        </a:p>
      </cdr:txBody>
    </cdr:sp>
  </cdr:relSizeAnchor>
  <cdr:relSizeAnchor xmlns:cdr="http://schemas.openxmlformats.org/drawingml/2006/chartDrawing">
    <cdr:from>
      <cdr:x>0.86268</cdr:x>
      <cdr:y>0.45394</cdr:y>
    </cdr:from>
    <cdr:to>
      <cdr:x>0.9752</cdr:x>
      <cdr:y>0.56679</cdr:y>
    </cdr:to>
    <cdr:sp macro="" textlink="Calc!$N$363">
      <cdr:nvSpPr>
        <cdr:cNvPr id="21" name="Rectangle 20"/>
        <cdr:cNvSpPr/>
      </cdr:nvSpPr>
      <cdr:spPr>
        <a:xfrm xmlns:a="http://schemas.openxmlformats.org/drawingml/2006/main">
          <a:off x="6296293" y="1497107"/>
          <a:ext cx="821231"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5F70B3F-1916-4A8D-A694-8BDE1E753C90}" type="TxLink">
            <a:rPr lang="en-US" sz="1000" b="1" i="1" u="none" strike="noStrike">
              <a:solidFill>
                <a:schemeClr val="bg1"/>
              </a:solidFill>
              <a:latin typeface="Calibri"/>
              <a:cs typeface="Arial"/>
            </a:rPr>
            <a:pPr/>
            <a:t>#VALUE!</a:t>
          </a:fld>
          <a:endParaRPr lang="en-US" sz="400" b="1" i="1">
            <a:solidFill>
              <a:schemeClr val="bg1"/>
            </a:solidFill>
          </a:endParaRPr>
        </a:p>
      </cdr:txBody>
    </cdr:sp>
  </cdr:relSizeAnchor>
  <cdr:relSizeAnchor xmlns:cdr="http://schemas.openxmlformats.org/drawingml/2006/chartDrawing">
    <cdr:from>
      <cdr:x>0.88748</cdr:x>
      <cdr:y>0.46702</cdr:y>
    </cdr:from>
    <cdr:to>
      <cdr:x>1</cdr:x>
      <cdr:y>0.60041</cdr:y>
    </cdr:to>
    <cdr:sp macro="" textlink="">
      <cdr:nvSpPr>
        <cdr:cNvPr id="22" name="Rectangle 21"/>
        <cdr:cNvSpPr/>
      </cdr:nvSpPr>
      <cdr:spPr>
        <a:xfrm xmlns:a="http://schemas.openxmlformats.org/drawingml/2006/main">
          <a:off x="6477301" y="1540257"/>
          <a:ext cx="821231" cy="43992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0.23266</cdr:x>
      <cdr:y>0</cdr:y>
    </cdr:from>
    <cdr:to>
      <cdr:x>0.328</cdr:x>
      <cdr:y>0.11285</cdr:y>
    </cdr:to>
    <cdr:sp macro="" textlink="Calc!$O$358">
      <cdr:nvSpPr>
        <cdr:cNvPr id="24" name="Rectangle 23"/>
        <cdr:cNvSpPr/>
      </cdr:nvSpPr>
      <cdr:spPr>
        <a:xfrm xmlns:a="http://schemas.openxmlformats.org/drawingml/2006/main">
          <a:off x="1634332" y="0"/>
          <a:ext cx="669734"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19E0F0D2-B655-432B-B6BF-66D5255CD31F}"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0.36316</cdr:x>
      <cdr:y>0</cdr:y>
    </cdr:from>
    <cdr:to>
      <cdr:x>0.4585</cdr:x>
      <cdr:y>0.11285</cdr:y>
    </cdr:to>
    <cdr:sp macro="" textlink="Calc!$O$359">
      <cdr:nvSpPr>
        <cdr:cNvPr id="25" name="Rectangle 24"/>
        <cdr:cNvSpPr/>
      </cdr:nvSpPr>
      <cdr:spPr>
        <a:xfrm xmlns:a="http://schemas.openxmlformats.org/drawingml/2006/main">
          <a:off x="2551113" y="0"/>
          <a:ext cx="669734"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E8CFF57-D341-4B9C-B304-06A0649F09A8}"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0.48395</cdr:x>
      <cdr:y>0</cdr:y>
    </cdr:from>
    <cdr:to>
      <cdr:x>0.57929</cdr:x>
      <cdr:y>0.11285</cdr:y>
    </cdr:to>
    <cdr:sp macro="" textlink="Calc!$O$360">
      <cdr:nvSpPr>
        <cdr:cNvPr id="28" name="Rectangle 27"/>
        <cdr:cNvSpPr/>
      </cdr:nvSpPr>
      <cdr:spPr>
        <a:xfrm xmlns:a="http://schemas.openxmlformats.org/drawingml/2006/main">
          <a:off x="3532130" y="0"/>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32A97B5-7C6E-4484-8E3D-70B11C3F6C60}"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0.61446</cdr:x>
      <cdr:y>0</cdr:y>
    </cdr:from>
    <cdr:to>
      <cdr:x>0.7098</cdr:x>
      <cdr:y>0.11285</cdr:y>
    </cdr:to>
    <cdr:sp macro="" textlink="Calc!$O$361">
      <cdr:nvSpPr>
        <cdr:cNvPr id="29" name="Rectangle 28"/>
        <cdr:cNvSpPr/>
      </cdr:nvSpPr>
      <cdr:spPr>
        <a:xfrm xmlns:a="http://schemas.openxmlformats.org/drawingml/2006/main">
          <a:off x="4484661" y="0"/>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99AC038-B7C0-400B-A945-58FFC823BE96}"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0.74019</cdr:x>
      <cdr:y>0</cdr:y>
    </cdr:from>
    <cdr:to>
      <cdr:x>0.83553</cdr:x>
      <cdr:y>0.11285</cdr:y>
    </cdr:to>
    <cdr:sp macro="" textlink="Calc!$O$362">
      <cdr:nvSpPr>
        <cdr:cNvPr id="30" name="Rectangle 29"/>
        <cdr:cNvSpPr/>
      </cdr:nvSpPr>
      <cdr:spPr>
        <a:xfrm xmlns:a="http://schemas.openxmlformats.org/drawingml/2006/main">
          <a:off x="5402331" y="0"/>
          <a:ext cx="695842" cy="37218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F8977CF-DE3A-4F1B-A221-9E8C938D5F4E}" type="TxLink">
            <a:rPr lang="en-US" sz="1000" b="0" i="1" u="none" strike="noStrike">
              <a:solidFill>
                <a:srgbClr val="000000"/>
              </a:solidFill>
              <a:latin typeface="Calibri"/>
              <a:cs typeface="Arial"/>
            </a:rPr>
            <a:pPr/>
            <a:t>#VALUE!</a:t>
          </a:fld>
          <a:endParaRPr lang="en-US" sz="400" b="1" i="1"/>
        </a:p>
      </cdr:txBody>
    </cdr:sp>
  </cdr:relSizeAnchor>
  <cdr:relSizeAnchor xmlns:cdr="http://schemas.openxmlformats.org/drawingml/2006/chartDrawing">
    <cdr:from>
      <cdr:x>0.91356</cdr:x>
      <cdr:y>0.66088</cdr:y>
    </cdr:from>
    <cdr:to>
      <cdr:x>1</cdr:x>
      <cdr:y>0.77373</cdr:y>
    </cdr:to>
    <cdr:sp macro="" textlink="Calc!$O$363">
      <cdr:nvSpPr>
        <cdr:cNvPr id="31" name="Rectangle 30"/>
        <cdr:cNvSpPr/>
      </cdr:nvSpPr>
      <cdr:spPr>
        <a:xfrm xmlns:a="http://schemas.openxmlformats.org/drawingml/2006/main">
          <a:off x="6417470" y="1812925"/>
          <a:ext cx="60721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6524838A-8212-47B9-9AF4-DAAB21C4D0B9}" type="TxLink">
            <a:rPr lang="en-US" sz="1000" b="0" i="0" u="none" strike="noStrike">
              <a:solidFill>
                <a:srgbClr val="FF0000"/>
              </a:solidFill>
              <a:latin typeface="Calibri"/>
              <a:cs typeface="Arial"/>
            </a:rPr>
            <a:pPr algn="r"/>
            <a:t>#VALUE!</a:t>
          </a:fld>
          <a:endParaRPr lang="en-US" sz="200" b="1" i="1">
            <a:solidFill>
              <a:srgbClr val="FF0000"/>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0.35964</cdr:x>
      <cdr:y>0.66814</cdr:y>
    </cdr:from>
    <cdr:to>
      <cdr:x>0.45498</cdr:x>
      <cdr:y>0.78099</cdr:y>
    </cdr:to>
    <cdr:sp macro="" textlink="Calc!$AS$359">
      <cdr:nvSpPr>
        <cdr:cNvPr id="2" name="Rectangle 1"/>
        <cdr:cNvSpPr/>
      </cdr:nvSpPr>
      <cdr:spPr>
        <a:xfrm xmlns:a="http://schemas.openxmlformats.org/drawingml/2006/main">
          <a:off x="2693364" y="2230585"/>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fld id="{4CE79090-597C-4E27-974B-D8FB8AB94718}" type="TxLink">
            <a:rPr lang="en-US" sz="1200" b="1" i="0" u="none" strike="noStrike">
              <a:solidFill>
                <a:srgbClr val="000000"/>
              </a:solidFill>
              <a:latin typeface="Calibri"/>
              <a:cs typeface="Arial"/>
            </a:rPr>
            <a:pPr/>
            <a:t>0</a:t>
          </a:fld>
          <a:endParaRPr lang="en-US" sz="900" b="1"/>
        </a:p>
      </cdr:txBody>
    </cdr:sp>
  </cdr:relSizeAnchor>
  <cdr:relSizeAnchor xmlns:cdr="http://schemas.openxmlformats.org/drawingml/2006/chartDrawing">
    <cdr:from>
      <cdr:x>0.23848</cdr:x>
      <cdr:y>0.46539</cdr:y>
    </cdr:from>
    <cdr:to>
      <cdr:x>0.33382</cdr:x>
      <cdr:y>0.57824</cdr:y>
    </cdr:to>
    <cdr:sp macro="" textlink="Calc!$AS$358">
      <cdr:nvSpPr>
        <cdr:cNvPr id="3" name="Rectangle 2"/>
        <cdr:cNvSpPr/>
      </cdr:nvSpPr>
      <cdr:spPr>
        <a:xfrm xmlns:a="http://schemas.openxmlformats.org/drawingml/2006/main">
          <a:off x="1754750" y="1553710"/>
          <a:ext cx="701518"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6205E9C8-7239-4358-B90A-58FC4AA297BE}"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0.48782</cdr:x>
      <cdr:y>0.40231</cdr:y>
    </cdr:from>
    <cdr:to>
      <cdr:x>0.59531</cdr:x>
      <cdr:y>0.51516</cdr:y>
    </cdr:to>
    <cdr:sp macro="" textlink="Calc!$AS$360">
      <cdr:nvSpPr>
        <cdr:cNvPr id="4" name="Rectangle 3"/>
        <cdr:cNvSpPr/>
      </cdr:nvSpPr>
      <cdr:spPr>
        <a:xfrm xmlns:a="http://schemas.openxmlformats.org/drawingml/2006/main">
          <a:off x="3653312" y="1343119"/>
          <a:ext cx="804996"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6348B40-FB5A-493C-8D01-EBBD52972B9D}"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0.61327</cdr:x>
      <cdr:y>0.60397</cdr:y>
    </cdr:from>
    <cdr:to>
      <cdr:x>0.70861</cdr:x>
      <cdr:y>0.71682</cdr:y>
    </cdr:to>
    <cdr:sp macro="" textlink="Calc!$AS$361">
      <cdr:nvSpPr>
        <cdr:cNvPr id="5" name="Rectangle 4"/>
        <cdr:cNvSpPr/>
      </cdr:nvSpPr>
      <cdr:spPr>
        <a:xfrm xmlns:a="http://schemas.openxmlformats.org/drawingml/2006/main">
          <a:off x="4592811" y="2016371"/>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93D61D3-4C71-40C7-BDF4-B650EC8CFF89}"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0.00636</cdr:x>
      <cdr:y>0.01852</cdr:y>
    </cdr:from>
    <cdr:to>
      <cdr:x>0.98941</cdr:x>
      <cdr:y>0.13137</cdr:y>
    </cdr:to>
    <cdr:sp macro="" textlink="Calc!#REF!">
      <cdr:nvSpPr>
        <cdr:cNvPr id="7"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0.7845</cdr:x>
      <cdr:y>0.08796</cdr:y>
    </cdr:from>
    <cdr:to>
      <cdr:x>0.87984</cdr:x>
      <cdr:y>0.20081</cdr:y>
    </cdr:to>
    <cdr:sp macro="" textlink="Calc!$J$363">
      <cdr:nvSpPr>
        <cdr:cNvPr id="9" name="Rectangle 8"/>
        <cdr:cNvSpPr/>
      </cdr:nvSpPr>
      <cdr:spPr>
        <a:xfrm xmlns:a="http://schemas.openxmlformats.org/drawingml/2006/main">
          <a:off x="5622924" y="241299"/>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69BF517-DA53-4D03-897A-4A5D1752843F}" type="TxLink">
            <a:rPr lang="en-US" sz="1000" b="1" i="0" u="none" strike="noStrike">
              <a:solidFill>
                <a:srgbClr val="000000"/>
              </a:solidFill>
              <a:latin typeface="Calibri"/>
              <a:cs typeface="Arial"/>
            </a:rPr>
            <a:pPr/>
            <a:t> </a:t>
          </a:fld>
          <a:endParaRPr lang="en-US" sz="600" b="1"/>
        </a:p>
      </cdr:txBody>
    </cdr:sp>
  </cdr:relSizeAnchor>
  <cdr:relSizeAnchor xmlns:cdr="http://schemas.openxmlformats.org/drawingml/2006/chartDrawing">
    <cdr:from>
      <cdr:x>0.73911</cdr:x>
      <cdr:y>0.6721</cdr:y>
    </cdr:from>
    <cdr:to>
      <cdr:x>0.83445</cdr:x>
      <cdr:y>0.78495</cdr:y>
    </cdr:to>
    <cdr:sp macro="" textlink="Calc!$AS$362">
      <cdr:nvSpPr>
        <cdr:cNvPr id="14" name="Rectangle 5"/>
        <cdr:cNvSpPr/>
      </cdr:nvSpPr>
      <cdr:spPr>
        <a:xfrm xmlns:a="http://schemas.openxmlformats.org/drawingml/2006/main">
          <a:off x="5535239" y="2243803"/>
          <a:ext cx="71400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88D4499-298F-4BBE-A10D-874CEC1FB96E}" type="TxLink">
            <a:rPr lang="en-US" sz="1200" b="1" i="0" u="none" strike="noStrike">
              <a:solidFill>
                <a:srgbClr val="000000"/>
              </a:solidFill>
              <a:latin typeface="Calibri"/>
              <a:cs typeface="Arial"/>
            </a:rPr>
            <a:pPr/>
            <a:t>0</a:t>
          </a:fld>
          <a:endParaRPr lang="en-US" sz="700" b="1"/>
        </a:p>
      </cdr:txBody>
    </cdr:sp>
  </cdr:relSizeAnchor>
  <cdr:relSizeAnchor xmlns:cdr="http://schemas.openxmlformats.org/drawingml/2006/chartDrawing">
    <cdr:from>
      <cdr:x>0.00636</cdr:x>
      <cdr:y>0.01852</cdr:y>
    </cdr:from>
    <cdr:to>
      <cdr:x>0.98941</cdr:x>
      <cdr:y>0.13137</cdr:y>
    </cdr:to>
    <cdr:sp macro="" textlink="Calc!#REF!">
      <cdr:nvSpPr>
        <cdr:cNvPr id="15" name="Rectangle 6"/>
        <cdr:cNvSpPr/>
      </cdr:nvSpPr>
      <cdr:spPr>
        <a:xfrm xmlns:a="http://schemas.openxmlformats.org/drawingml/2006/main">
          <a:off x="35718" y="50800"/>
          <a:ext cx="552450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3EED2300-7771-47A2-860A-5ADD801DD7FB}" type="TxLink">
            <a:rPr lang="en-US" sz="1100" b="1" i="0" u="none" strike="noStrike">
              <a:solidFill>
                <a:srgbClr val="000000"/>
              </a:solidFill>
              <a:latin typeface="Calibri"/>
            </a:rPr>
            <a:pPr algn="ctr"/>
            <a:t> </a:t>
          </a:fld>
          <a:endParaRPr lang="en-US" sz="1000" b="1"/>
        </a:p>
      </cdr:txBody>
    </cdr:sp>
  </cdr:relSizeAnchor>
  <cdr:relSizeAnchor xmlns:cdr="http://schemas.openxmlformats.org/drawingml/2006/chartDrawing">
    <cdr:from>
      <cdr:x>0.2265</cdr:x>
      <cdr:y>0.55237</cdr:y>
    </cdr:from>
    <cdr:to>
      <cdr:x>0.32724</cdr:x>
      <cdr:y>0.66522</cdr:y>
    </cdr:to>
    <cdr:sp macro="" textlink="Calc!$AQ$365">
      <cdr:nvSpPr>
        <cdr:cNvPr id="11" name="Rectangle 2"/>
        <cdr:cNvSpPr/>
      </cdr:nvSpPr>
      <cdr:spPr>
        <a:xfrm xmlns:a="http://schemas.openxmlformats.org/drawingml/2006/main">
          <a:off x="1623444" y="1515258"/>
          <a:ext cx="72206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318B5B8E-B47B-4E52-B817-BC4AFBC01CE9}" type="TxLink">
            <a:rPr lang="en-US" sz="1000" b="1" i="0" u="none" strike="noStrike">
              <a:solidFill>
                <a:srgbClr val="000000"/>
              </a:solidFill>
              <a:latin typeface="Calibri"/>
              <a:cs typeface="Arial"/>
            </a:rPr>
            <a:pPr/>
            <a:t>SSGA +0</a:t>
          </a:fld>
          <a:endParaRPr lang="en-US" sz="400" b="1"/>
        </a:p>
      </cdr:txBody>
    </cdr:sp>
  </cdr:relSizeAnchor>
  <cdr:relSizeAnchor xmlns:cdr="http://schemas.openxmlformats.org/drawingml/2006/chartDrawing">
    <cdr:from>
      <cdr:x>0.23002</cdr:x>
      <cdr:y>0.18779</cdr:y>
    </cdr:from>
    <cdr:to>
      <cdr:x>0.40265</cdr:x>
      <cdr:y>0.30064</cdr:y>
    </cdr:to>
    <cdr:sp macro="" textlink="Calc!$H$356">
      <cdr:nvSpPr>
        <cdr:cNvPr id="19" name="Rectangle 18"/>
        <cdr:cNvSpPr/>
      </cdr:nvSpPr>
      <cdr:spPr>
        <a:xfrm xmlns:a="http://schemas.openxmlformats.org/drawingml/2006/main">
          <a:off x="1648677" y="515146"/>
          <a:ext cx="123734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B9123DE-BDF2-44ED-98B4-5432A7DAF78F}" type="TxLink">
            <a:rPr lang="en-US" sz="1100" b="1" i="0" u="none" strike="noStrike">
              <a:solidFill>
                <a:srgbClr val="000000"/>
              </a:solidFill>
              <a:latin typeface="Calibri"/>
              <a:cs typeface="Arial"/>
            </a:rPr>
            <a:pPr/>
            <a:t> </a:t>
          </a:fld>
          <a:endParaRPr lang="en-US" sz="800" b="1"/>
        </a:p>
      </cdr:txBody>
    </cdr:sp>
  </cdr:relSizeAnchor>
  <cdr:relSizeAnchor xmlns:cdr="http://schemas.openxmlformats.org/drawingml/2006/chartDrawing">
    <cdr:from>
      <cdr:x>0.22469</cdr:x>
      <cdr:y>0.67824</cdr:y>
    </cdr:from>
    <cdr:to>
      <cdr:x>0.33721</cdr:x>
      <cdr:y>0.79109</cdr:y>
    </cdr:to>
    <cdr:sp macro="" textlink="Calc!$AQ$367">
      <cdr:nvSpPr>
        <cdr:cNvPr id="20" name="Rectangle 19"/>
        <cdr:cNvSpPr/>
      </cdr:nvSpPr>
      <cdr:spPr>
        <a:xfrm xmlns:a="http://schemas.openxmlformats.org/drawingml/2006/main">
          <a:off x="1610470" y="1860545"/>
          <a:ext cx="806494"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2872731-D393-49E3-B71B-C4EE5106C98F}" type="TxLink">
            <a:rPr lang="en-US" sz="1000" b="1" i="0" u="none" strike="noStrike">
              <a:solidFill>
                <a:srgbClr val="000000"/>
              </a:solidFill>
              <a:latin typeface="Calibri"/>
              <a:cs typeface="Arial"/>
            </a:rPr>
            <a:pPr/>
            <a:t>CapEx +0</a:t>
          </a:fld>
          <a:endParaRPr lang="en-US" sz="400" b="1"/>
        </a:p>
      </cdr:txBody>
    </cdr:sp>
  </cdr:relSizeAnchor>
  <cdr:relSizeAnchor xmlns:cdr="http://schemas.openxmlformats.org/drawingml/2006/chartDrawing">
    <cdr:from>
      <cdr:x>0.2247</cdr:x>
      <cdr:y>0.61748</cdr:y>
    </cdr:from>
    <cdr:to>
      <cdr:x>0.3289</cdr:x>
      <cdr:y>0.73033</cdr:y>
    </cdr:to>
    <cdr:sp macro="" textlink="Calc!$AQ$366">
      <cdr:nvSpPr>
        <cdr:cNvPr id="23" name="Rectangle 22"/>
        <cdr:cNvSpPr/>
      </cdr:nvSpPr>
      <cdr:spPr>
        <a:xfrm xmlns:a="http://schemas.openxmlformats.org/drawingml/2006/main">
          <a:off x="1610542" y="1693868"/>
          <a:ext cx="746860"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A4559713-2DAE-4F14-AB81-C9FA73A38B94}" type="TxLink">
            <a:rPr lang="en-US" sz="1000" b="1" i="0" u="none" strike="noStrike">
              <a:solidFill>
                <a:srgbClr val="000000"/>
              </a:solidFill>
              <a:latin typeface="Calibri"/>
              <a:cs typeface="Arial"/>
            </a:rPr>
            <a:pPr/>
            <a:t>R&amp;D +0</a:t>
          </a:fld>
          <a:endParaRPr lang="en-US" sz="400" b="1"/>
        </a:p>
      </cdr:txBody>
    </cdr:sp>
  </cdr:relSizeAnchor>
  <cdr:relSizeAnchor xmlns:cdr="http://schemas.openxmlformats.org/drawingml/2006/chartDrawing">
    <cdr:from>
      <cdr:x>0.73466</cdr:x>
      <cdr:y>0.06627</cdr:y>
    </cdr:from>
    <cdr:to>
      <cdr:x>0.85216</cdr:x>
      <cdr:y>0.17912</cdr:y>
    </cdr:to>
    <cdr:sp macro="" textlink="Calc!$AQ$368">
      <cdr:nvSpPr>
        <cdr:cNvPr id="18" name="Rectangle 17"/>
        <cdr:cNvSpPr/>
      </cdr:nvSpPr>
      <cdr:spPr>
        <a:xfrm xmlns:a="http://schemas.openxmlformats.org/drawingml/2006/main">
          <a:off x="5265728" y="181780"/>
          <a:ext cx="842189"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071FC6B2-CACE-4A5F-9958-D8F022BF9660}" type="TxLink">
            <a:rPr lang="en-US" sz="1000" b="1" i="0" u="none" strike="noStrike">
              <a:solidFill>
                <a:srgbClr val="000000"/>
              </a:solidFill>
              <a:latin typeface="Calibri"/>
              <a:cs typeface="Arial"/>
            </a:rPr>
            <a:pPr/>
            <a:t> </a:t>
          </a:fld>
          <a:endParaRPr lang="en-US" sz="200" b="1"/>
        </a:p>
      </cdr:txBody>
    </cdr:sp>
  </cdr:relSizeAnchor>
  <cdr:relSizeAnchor xmlns:cdr="http://schemas.openxmlformats.org/drawingml/2006/chartDrawing">
    <cdr:from>
      <cdr:x>0.73466</cdr:x>
      <cdr:y>0.13137</cdr:y>
    </cdr:from>
    <cdr:to>
      <cdr:x>0.85216</cdr:x>
      <cdr:y>0.24422</cdr:y>
    </cdr:to>
    <cdr:sp macro="" textlink="Calc!$AQ$369">
      <cdr:nvSpPr>
        <cdr:cNvPr id="21" name="Rectangle 20"/>
        <cdr:cNvSpPr/>
      </cdr:nvSpPr>
      <cdr:spPr>
        <a:xfrm xmlns:a="http://schemas.openxmlformats.org/drawingml/2006/main">
          <a:off x="5265713" y="360372"/>
          <a:ext cx="842188"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2C54D481-F07E-46BF-902C-CA03046C3484}" type="TxLink">
            <a:rPr lang="en-US" sz="1000" b="1" i="0" u="none" strike="noStrike">
              <a:solidFill>
                <a:srgbClr val="000000"/>
              </a:solidFill>
              <a:latin typeface="Calibri"/>
              <a:cs typeface="Arial"/>
            </a:rPr>
            <a:pPr/>
            <a:t> </a:t>
          </a:fld>
          <a:endParaRPr lang="en-US" sz="200" b="1"/>
        </a:p>
      </cdr:txBody>
    </cdr:sp>
  </cdr:relSizeAnchor>
  <cdr:relSizeAnchor xmlns:cdr="http://schemas.openxmlformats.org/drawingml/2006/chartDrawing">
    <cdr:from>
      <cdr:x>0.89926</cdr:x>
      <cdr:y>0.69349</cdr:y>
    </cdr:from>
    <cdr:to>
      <cdr:x>1</cdr:x>
      <cdr:y>0.80634</cdr:y>
    </cdr:to>
    <cdr:sp macro="" textlink="">
      <cdr:nvSpPr>
        <cdr:cNvPr id="22" name="Rectangle 21"/>
        <cdr:cNvSpPr/>
      </cdr:nvSpPr>
      <cdr:spPr>
        <a:xfrm xmlns:a="http://schemas.openxmlformats.org/drawingml/2006/main">
          <a:off x="6734585" y="2315228"/>
          <a:ext cx="75444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r>
            <a:rPr lang="en-US" sz="1000" b="0" i="1" u="none" strike="noStrike">
              <a:solidFill>
                <a:srgbClr val="000000"/>
              </a:solidFill>
              <a:latin typeface="Calibri"/>
            </a:rPr>
            <a:t>MIRR vs Hdle</a:t>
          </a:r>
          <a:endParaRPr lang="en-US" sz="400" b="0" i="1"/>
        </a:p>
      </cdr:txBody>
    </cdr:sp>
  </cdr:relSizeAnchor>
  <cdr:relSizeAnchor xmlns:cdr="http://schemas.openxmlformats.org/drawingml/2006/chartDrawing">
    <cdr:from>
      <cdr:x>0.1134</cdr:x>
      <cdr:y>0.56897</cdr:y>
    </cdr:from>
    <cdr:to>
      <cdr:x>0.21414</cdr:x>
      <cdr:y>0.68182</cdr:y>
    </cdr:to>
    <cdr:sp macro="" textlink="Calc!$AW$357">
      <cdr:nvSpPr>
        <cdr:cNvPr id="24" name="Rectangle 23"/>
        <cdr:cNvSpPr/>
      </cdr:nvSpPr>
      <cdr:spPr>
        <a:xfrm xmlns:a="http://schemas.openxmlformats.org/drawingml/2006/main">
          <a:off x="834404" y="1899521"/>
          <a:ext cx="741251"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8AD4CDC0-B7BE-45E2-B440-EC335AFF6178}" type="TxLink">
            <a:rPr lang="en-US" sz="1000" b="1" i="0" u="none" strike="noStrike">
              <a:solidFill>
                <a:schemeClr val="bg1"/>
              </a:solidFill>
              <a:latin typeface="Calibri"/>
              <a:cs typeface="Arial"/>
            </a:rPr>
            <a:pPr/>
            <a:t>#VALUE!</a:t>
          </a:fld>
          <a:endParaRPr lang="en-US" sz="200" b="1">
            <a:solidFill>
              <a:schemeClr val="bg1"/>
            </a:solidFill>
          </a:endParaRPr>
        </a:p>
      </cdr:txBody>
    </cdr:sp>
  </cdr:relSizeAnchor>
  <cdr:relSizeAnchor xmlns:cdr="http://schemas.openxmlformats.org/drawingml/2006/chartDrawing">
    <cdr:from>
      <cdr:x>0.86046</cdr:x>
      <cdr:y>0.67673</cdr:y>
    </cdr:from>
    <cdr:to>
      <cdr:x>0.9612</cdr:x>
      <cdr:y>0.78958</cdr:y>
    </cdr:to>
    <cdr:sp macro="" textlink="Calc!$AW$363">
      <cdr:nvSpPr>
        <cdr:cNvPr id="28" name="Rectangle 27"/>
        <cdr:cNvSpPr/>
      </cdr:nvSpPr>
      <cdr:spPr>
        <a:xfrm xmlns:a="http://schemas.openxmlformats.org/drawingml/2006/main">
          <a:off x="6444034" y="2259283"/>
          <a:ext cx="75444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b"/>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E420B15F-F86F-4496-8E50-BFE5757FF2CB}" type="TxLink">
            <a:rPr lang="en-US" sz="1000" b="1" i="0" u="none" strike="noStrike">
              <a:solidFill>
                <a:schemeClr val="bg1"/>
              </a:solidFill>
              <a:latin typeface="Calibri"/>
              <a:cs typeface="Arial"/>
            </a:rPr>
            <a:pPr/>
            <a:t>#VALUE!</a:t>
          </a:fld>
          <a:endParaRPr lang="en-US" sz="200" b="1">
            <a:solidFill>
              <a:schemeClr val="bg1"/>
            </a:solidFill>
          </a:endParaRPr>
        </a:p>
      </cdr:txBody>
    </cdr:sp>
  </cdr:relSizeAnchor>
  <cdr:relSizeAnchor xmlns:cdr="http://schemas.openxmlformats.org/drawingml/2006/chartDrawing">
    <cdr:from>
      <cdr:x>0.23466</cdr:x>
      <cdr:y>0</cdr:y>
    </cdr:from>
    <cdr:to>
      <cdr:x>0.33</cdr:x>
      <cdr:y>0.11285</cdr:y>
    </cdr:to>
    <cdr:sp macro="" textlink="Calc!$AX$358">
      <cdr:nvSpPr>
        <cdr:cNvPr id="25" name="Rectangle 24"/>
        <cdr:cNvSpPr/>
      </cdr:nvSpPr>
      <cdr:spPr>
        <a:xfrm xmlns:a="http://schemas.openxmlformats.org/drawingml/2006/main">
          <a:off x="1681956" y="0"/>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C07ECC61-DBDE-41D3-9BB6-C9F935268E37}"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0.3531</cdr:x>
      <cdr:y>0</cdr:y>
    </cdr:from>
    <cdr:to>
      <cdr:x>0.44844</cdr:x>
      <cdr:y>0.11285</cdr:y>
    </cdr:to>
    <cdr:sp macro="" textlink="Calc!$AX$359">
      <cdr:nvSpPr>
        <cdr:cNvPr id="26" name="Rectangle 25"/>
        <cdr:cNvSpPr/>
      </cdr:nvSpPr>
      <cdr:spPr>
        <a:xfrm xmlns:a="http://schemas.openxmlformats.org/drawingml/2006/main">
          <a:off x="2644385" y="0"/>
          <a:ext cx="714005"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FE9E6404-30EC-440F-B043-375522930F70}"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0.48101</cdr:x>
      <cdr:y>0</cdr:y>
    </cdr:from>
    <cdr:to>
      <cdr:x>0.57635</cdr:x>
      <cdr:y>0.11285</cdr:y>
    </cdr:to>
    <cdr:sp macro="" textlink="Calc!$AX$360">
      <cdr:nvSpPr>
        <cdr:cNvPr id="27" name="Rectangle 26"/>
        <cdr:cNvSpPr/>
      </cdr:nvSpPr>
      <cdr:spPr>
        <a:xfrm xmlns:a="http://schemas.openxmlformats.org/drawingml/2006/main">
          <a:off x="3602307" y="0"/>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5A546619-4933-4DA4-AB75-DADFC5E4639F}"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0.60725</cdr:x>
      <cdr:y>0</cdr:y>
    </cdr:from>
    <cdr:to>
      <cdr:x>0.70259</cdr:x>
      <cdr:y>0.11285</cdr:y>
    </cdr:to>
    <cdr:sp macro="" textlink="Calc!$AX$361">
      <cdr:nvSpPr>
        <cdr:cNvPr id="29" name="Rectangle 28"/>
        <cdr:cNvSpPr/>
      </cdr:nvSpPr>
      <cdr:spPr>
        <a:xfrm xmlns:a="http://schemas.openxmlformats.org/drawingml/2006/main">
          <a:off x="4547722" y="0"/>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B5B7702C-025B-4881-B56A-62DDF55D679F}"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0.73537</cdr:x>
      <cdr:y>0</cdr:y>
    </cdr:from>
    <cdr:to>
      <cdr:x>0.83071</cdr:x>
      <cdr:y>0.11285</cdr:y>
    </cdr:to>
    <cdr:sp macro="" textlink="Calc!$AX$362">
      <cdr:nvSpPr>
        <cdr:cNvPr id="30" name="Rectangle 29"/>
        <cdr:cNvSpPr/>
      </cdr:nvSpPr>
      <cdr:spPr>
        <a:xfrm xmlns:a="http://schemas.openxmlformats.org/drawingml/2006/main">
          <a:off x="5507221" y="0"/>
          <a:ext cx="714004" cy="37675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fld id="{41DACA30-4EE9-46C3-A25C-E1DF7E10A7EE}" type="TxLink">
            <a:rPr lang="en-US" sz="1000" b="0" i="1" u="none" strike="noStrike">
              <a:solidFill>
                <a:srgbClr val="000000"/>
              </a:solidFill>
              <a:latin typeface="Calibri"/>
              <a:cs typeface="Arial"/>
            </a:rPr>
            <a:pPr/>
            <a:t>#VALUE!</a:t>
          </a:fld>
          <a:endParaRPr lang="en-US" sz="200" b="1" i="1"/>
        </a:p>
      </cdr:txBody>
    </cdr:sp>
  </cdr:relSizeAnchor>
  <cdr:relSizeAnchor xmlns:cdr="http://schemas.openxmlformats.org/drawingml/2006/chartDrawing">
    <cdr:from>
      <cdr:x>0.90466</cdr:x>
      <cdr:y>0.50897</cdr:y>
    </cdr:from>
    <cdr:to>
      <cdr:x>1</cdr:x>
      <cdr:y>0.62182</cdr:y>
    </cdr:to>
    <cdr:sp macro="" textlink="Calc!$AX$363">
      <cdr:nvSpPr>
        <cdr:cNvPr id="31" name="Rectangle 30"/>
        <cdr:cNvSpPr/>
      </cdr:nvSpPr>
      <cdr:spPr>
        <a:xfrm xmlns:a="http://schemas.openxmlformats.org/drawingml/2006/main">
          <a:off x="6484206" y="1396206"/>
          <a:ext cx="683356" cy="30957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r"/>
          <a:fld id="{399926D7-6907-4C8E-9651-BE305A860550}" type="TxLink">
            <a:rPr lang="en-US" sz="1000" b="0" i="0" u="none" strike="noStrike">
              <a:solidFill>
                <a:srgbClr val="FF0000"/>
              </a:solidFill>
              <a:latin typeface="Calibri"/>
              <a:cs typeface="Arial"/>
            </a:rPr>
            <a:pPr algn="r"/>
            <a:t>#VALUE!</a:t>
          </a:fld>
          <a:endParaRPr lang="en-US" sz="200" b="1" i="0">
            <a:solidFill>
              <a:srgbClr val="FF0000"/>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0.19906</cdr:x>
      <cdr:y>0.86574</cdr:y>
    </cdr:from>
    <cdr:to>
      <cdr:x>0.72624</cdr:x>
      <cdr:y>0.99422</cdr:y>
    </cdr:to>
    <cdr:sp macro="" textlink="">
      <cdr:nvSpPr>
        <cdr:cNvPr id="2" name="Rectangle 1"/>
        <cdr:cNvSpPr/>
      </cdr:nvSpPr>
      <cdr:spPr>
        <a:xfrm xmlns:a="http://schemas.openxmlformats.org/drawingml/2006/main">
          <a:off x="1004887" y="2374898"/>
          <a:ext cx="2661378" cy="35244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0.72199</cdr:x>
      <cdr:y>0.87153</cdr:y>
    </cdr:from>
    <cdr:to>
      <cdr:x>0.95377</cdr:x>
      <cdr:y>0.93576</cdr:y>
    </cdr:to>
    <cdr:sp macro="" textlink="Calc!$R$435">
      <cdr:nvSpPr>
        <cdr:cNvPr id="5" name="Rectangle 4"/>
        <cdr:cNvSpPr/>
      </cdr:nvSpPr>
      <cdr:spPr>
        <a:xfrm xmlns:a="http://schemas.openxmlformats.org/drawingml/2006/main">
          <a:off x="3644789" y="2390781"/>
          <a:ext cx="1170097" cy="176206"/>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136E0BF2-39C0-4608-BE77-48FB736950D5}" type="TxLink">
            <a:rPr lang="en-US" sz="1100" b="1" i="0" u="none" strike="noStrike">
              <a:solidFill>
                <a:srgbClr val="000000"/>
              </a:solidFill>
              <a:latin typeface="Calibri"/>
              <a:cs typeface="Arial"/>
            </a:rPr>
            <a:pPr algn="ctr"/>
            <a:t>#VALUE!</a:t>
          </a:fld>
          <a:endParaRPr lang="en-US" sz="900" b="1" u="sng">
            <a:solidFill>
              <a:schemeClr val="bg1">
                <a:lumMod val="50000"/>
              </a:schemeClr>
            </a:solidFill>
          </a:endParaRPr>
        </a:p>
      </cdr:txBody>
    </cdr:sp>
  </cdr:relSizeAnchor>
  <cdr:relSizeAnchor xmlns:cdr="http://schemas.openxmlformats.org/drawingml/2006/chartDrawing">
    <cdr:from>
      <cdr:x>0.72403</cdr:x>
      <cdr:y>0.86574</cdr:y>
    </cdr:from>
    <cdr:to>
      <cdr:x>0.96132</cdr:x>
      <cdr:y>0.99421</cdr:y>
    </cdr:to>
    <cdr:sp macro="" textlink="">
      <cdr:nvSpPr>
        <cdr:cNvPr id="6" name="Rectangle 5"/>
        <cdr:cNvSpPr/>
      </cdr:nvSpPr>
      <cdr:spPr>
        <a:xfrm xmlns:a="http://schemas.openxmlformats.org/drawingml/2006/main">
          <a:off x="3655107" y="2374898"/>
          <a:ext cx="1197879" cy="352419"/>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0.25756</cdr:x>
      <cdr:y>0.86921</cdr:y>
    </cdr:from>
    <cdr:to>
      <cdr:x>0.67801</cdr:x>
      <cdr:y>0.92014</cdr:y>
    </cdr:to>
    <cdr:sp macro="" textlink="Calc!$R$434">
      <cdr:nvSpPr>
        <cdr:cNvPr id="3" name="Rectangle 2"/>
        <cdr:cNvSpPr/>
      </cdr:nvSpPr>
      <cdr:spPr>
        <a:xfrm xmlns:a="http://schemas.openxmlformats.org/drawingml/2006/main">
          <a:off x="1300245" y="2384417"/>
          <a:ext cx="2122537" cy="139711"/>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C22273E8-13D7-4EBE-A741-2DE41241B94A}" type="TxLink">
            <a:rPr lang="en-US" sz="1100" b="1" i="0" u="none" strike="noStrike">
              <a:solidFill>
                <a:srgbClr val="000000"/>
              </a:solidFill>
              <a:latin typeface="Calibri"/>
              <a:cs typeface="Arial"/>
            </a:rPr>
            <a:pPr algn="ctr"/>
            <a:t>Fwd Looking (FY+9)</a:t>
          </a:fld>
          <a:endParaRPr lang="en-US" sz="900" b="1" u="sng">
            <a:solidFill>
              <a:schemeClr val="bg1">
                <a:lumMod val="50000"/>
              </a:schemeClr>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0.19905</cdr:x>
      <cdr:y>0.86458</cdr:y>
    </cdr:from>
    <cdr:to>
      <cdr:x>0.70549</cdr:x>
      <cdr:y>0.99306</cdr:y>
    </cdr:to>
    <cdr:sp macro="" textlink="">
      <cdr:nvSpPr>
        <cdr:cNvPr id="2" name="Rectangle 1"/>
        <cdr:cNvSpPr/>
      </cdr:nvSpPr>
      <cdr:spPr>
        <a:xfrm xmlns:a="http://schemas.openxmlformats.org/drawingml/2006/main">
          <a:off x="995362" y="2371716"/>
          <a:ext cx="2532529" cy="352446"/>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0.25379</cdr:x>
      <cdr:y>0.86921</cdr:y>
    </cdr:from>
    <cdr:to>
      <cdr:x>0.67424</cdr:x>
      <cdr:y>0.92014</cdr:y>
    </cdr:to>
    <cdr:sp macro="" textlink="Calc!$AX$434">
      <cdr:nvSpPr>
        <cdr:cNvPr id="3" name="Rectangle 2"/>
        <cdr:cNvSpPr/>
      </cdr:nvSpPr>
      <cdr:spPr>
        <a:xfrm xmlns:a="http://schemas.openxmlformats.org/drawingml/2006/main">
          <a:off x="1276349" y="2384418"/>
          <a:ext cx="2114551" cy="139708"/>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08052F1A-9C96-43F1-BFCC-1791AC8338D6}" type="TxLink">
            <a:rPr lang="en-US" sz="1100" b="0" i="0" u="none" strike="noStrike">
              <a:solidFill>
                <a:srgbClr val="000000"/>
              </a:solidFill>
              <a:latin typeface="Calibri"/>
              <a:cs typeface="Arial"/>
            </a:rPr>
            <a:pPr algn="ctr"/>
            <a:t>Fwd Looking (FY+14)</a:t>
          </a:fld>
          <a:endParaRPr lang="en-US" sz="900" b="1" u="sng">
            <a:solidFill>
              <a:schemeClr val="bg1">
                <a:lumMod val="50000"/>
              </a:schemeClr>
            </a:solidFill>
          </a:endParaRPr>
        </a:p>
      </cdr:txBody>
    </cdr:sp>
  </cdr:relSizeAnchor>
  <cdr:relSizeAnchor xmlns:cdr="http://schemas.openxmlformats.org/drawingml/2006/chartDrawing">
    <cdr:from>
      <cdr:x>0.69543</cdr:x>
      <cdr:y>0.86806</cdr:y>
    </cdr:from>
    <cdr:to>
      <cdr:x>0.93238</cdr:x>
      <cdr:y>0.93229</cdr:y>
    </cdr:to>
    <cdr:sp macro="" textlink="Calc!$AX$435">
      <cdr:nvSpPr>
        <cdr:cNvPr id="5" name="Rectangle 4"/>
        <cdr:cNvSpPr/>
      </cdr:nvSpPr>
      <cdr:spPr>
        <a:xfrm xmlns:a="http://schemas.openxmlformats.org/drawingml/2006/main">
          <a:off x="3477593" y="2381256"/>
          <a:ext cx="1184893" cy="176206"/>
        </a:xfrm>
        <a:prstGeom xmlns:a="http://schemas.openxmlformats.org/drawingml/2006/main" prst="rect">
          <a:avLst/>
        </a:prstGeom>
        <a:noFill xmlns:a="http://schemas.openxmlformats.org/drawingml/2006/main"/>
        <a:ln xmlns:a="http://schemas.openxmlformats.org/drawingml/2006/main" w="12700">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10B41E30-E97A-4796-B138-D61752200B56}" type="TxLink">
            <a:rPr lang="en-US" sz="1100" b="0" i="0" u="none" strike="noStrike">
              <a:solidFill>
                <a:srgbClr val="000000"/>
              </a:solidFill>
              <a:latin typeface="Calibri"/>
              <a:cs typeface="Arial"/>
            </a:rPr>
            <a:pPr algn="ctr"/>
            <a:t>#VALUE!</a:t>
          </a:fld>
          <a:endParaRPr lang="en-US" sz="900" b="1" u="sng">
            <a:solidFill>
              <a:schemeClr val="bg1">
                <a:lumMod val="50000"/>
              </a:schemeClr>
            </a:solidFill>
          </a:endParaRPr>
        </a:p>
      </cdr:txBody>
    </cdr:sp>
  </cdr:relSizeAnchor>
  <cdr:relSizeAnchor xmlns:cdr="http://schemas.openxmlformats.org/drawingml/2006/chartDrawing">
    <cdr:from>
      <cdr:x>0.70328</cdr:x>
      <cdr:y>0.86458</cdr:y>
    </cdr:from>
    <cdr:to>
      <cdr:x>0.91714</cdr:x>
      <cdr:y>0.99305</cdr:y>
    </cdr:to>
    <cdr:sp macro="" textlink="">
      <cdr:nvSpPr>
        <cdr:cNvPr id="6" name="Rectangle 5"/>
        <cdr:cNvSpPr/>
      </cdr:nvSpPr>
      <cdr:spPr>
        <a:xfrm xmlns:a="http://schemas.openxmlformats.org/drawingml/2006/main">
          <a:off x="3516839" y="2371716"/>
          <a:ext cx="1069447" cy="352419"/>
        </a:xfrm>
        <a:prstGeom xmlns:a="http://schemas.openxmlformats.org/drawingml/2006/main" prst="rect">
          <a:avLst/>
        </a:prstGeom>
        <a:noFill xmlns:a="http://schemas.openxmlformats.org/drawingml/2006/main"/>
        <a:ln xmlns:a="http://schemas.openxmlformats.org/drawingml/2006/main" w="12700">
          <a:solidFill>
            <a:schemeClr val="tx1"/>
          </a:solid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https://collaborate.bdx.com/Corporate%20Services%20Finance/FY14/07-R&amp;D/Projects/Business%20Case%20Standardization/Version%202.0/Financial%20Model/Files/Copy%20of%20RD%20PPD%20-%20FY17-FY19ASR%20Flav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collaborate.bdx.com/Users/10113315/Documents/NPT/Market%20Modeling/Working%20directory/BD%20NPT%20Model%202015.02.12%201430%20-%20v1%20updated%20Feb%201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Users\10113315\Documents\NPT\Market%20Modeling\Working%20directory\BD%20NPT%20Model%202015.02.12%201430%20-%20v1%20updated%20Feb%2012.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ollaborate.bdx.com/Users/10062376/AppData/Local/Microsoft/Windows/Temporary%20Internet%20Files/Content.MSO/BU%20Files/20151113%20Submissions/RD%20PPD%20-%20FY16B%20-%20DC%20FINAL.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ollaborate.bdx.com/DOCUME~1/10067008/LOCALS~1/Temp/notesB7F628/LaborD_Sharp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collaborate.bdx.com/shared/Finance/FY%202015/Adhoc/ABG/ABG%20Base%20Case%204-16-15%20-%20updated%20capital.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collaborate.bdx.com/Users/agikaufman/AppData/Local/Microsoft/Windows/Temporary%20Internet%20Files/Content.Outlook/KC22231V/RD%20PPD%20-%20FY16-18ASR%20-%20DS_revised%20definitions_final%20including%20NPV%20and%20Revenuev3.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NPT\04%20DIOMEDES\03%20DIOMEDES%20FUNCTIONAL%20TEAM%20MEMBER%20WORKING%20DIRECTORIES\07%20FINANCE\BD%20NPT%20Model%202015.06.10%20-%20DIOMEDES%20with%20Prometheus%20base%20case%20-%2011.13%20v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collaborate.bdx.com/Accounting/VACS/BDGT08/Cost%20Centers/Sharps%20Labor%2005-15-07.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Cal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structions"/>
      <sheetName val="Collection Request"/>
      <sheetName val="Input_SMS"/>
      <sheetName val="Sheet2"/>
      <sheetName val="Notes"/>
      <sheetName val="Project #"/>
      <sheetName val="Mapping"/>
      <sheetName val="Map summary"/>
      <sheetName val="PT"/>
      <sheetName val="Sheet3"/>
      <sheetName val="Inputs"/>
      <sheetName val="Inputs (2)"/>
      <sheetName val="GPDS Phase_Defn"/>
      <sheetName val="Drop_Downs"/>
      <sheetName val="SMS Map Pivot"/>
      <sheetName val="SMS Totals"/>
      <sheetName val="SMS by Phase FY15"/>
      <sheetName val="Categories"/>
      <sheetName val="SMS by Phase FY16"/>
      <sheetName val="TIQ_Defn"/>
      <sheetName val="DC FY16-FY18 ASR"/>
      <sheetName val="DC FY15A &amp; 16B"/>
      <sheetName val="Digital_Prog"/>
      <sheetName val="Inputs_FY15-17ASR"/>
      <sheetName val="vs Prior AS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A5" t="str">
            <v>Biosciences</v>
          </cell>
          <cell r="H5" t="str">
            <v>Scarlett</v>
          </cell>
          <cell r="J5" t="str">
            <v>Advanced Bioprocess</v>
          </cell>
        </row>
        <row r="6">
          <cell r="A6" t="str">
            <v>Genomics</v>
          </cell>
          <cell r="H6" t="str">
            <v>Swatch</v>
          </cell>
          <cell r="J6" t="str">
            <v>Cell Analysis</v>
          </cell>
        </row>
        <row r="7">
          <cell r="A7" t="str">
            <v>Diabetes Care</v>
          </cell>
          <cell r="H7" t="str">
            <v>Velocity</v>
          </cell>
          <cell r="J7" t="str">
            <v>Diagnostic</v>
          </cell>
        </row>
        <row r="8">
          <cell r="A8" t="str">
            <v>Diagnostic Systems</v>
          </cell>
          <cell r="H8" t="str">
            <v>MAX</v>
          </cell>
          <cell r="J8" t="str">
            <v>Disease Management</v>
          </cell>
        </row>
        <row r="9">
          <cell r="A9" t="str">
            <v>Medication Management Solutions</v>
          </cell>
          <cell r="H9" t="str">
            <v>CTE</v>
          </cell>
          <cell r="J9" t="str">
            <v>Genomic</v>
          </cell>
        </row>
        <row r="10">
          <cell r="A10" t="str">
            <v>Medication &amp; Procedural Solutions</v>
          </cell>
          <cell r="H10" t="str">
            <v>Cyclops</v>
          </cell>
          <cell r="J10" t="str">
            <v>Parenteral</v>
          </cell>
          <cell r="T10" t="str">
            <v>Concept</v>
          </cell>
          <cell r="U10" t="str">
            <v>Architectural</v>
          </cell>
        </row>
        <row r="11">
          <cell r="A11" t="str">
            <v>Respiratory Solutions</v>
          </cell>
          <cell r="H11" t="str">
            <v>FACS Platforms</v>
          </cell>
          <cell r="J11" t="str">
            <v>Smart</v>
          </cell>
          <cell r="T11" t="str">
            <v>Definition</v>
          </cell>
          <cell r="U11" t="str">
            <v>Disruptive</v>
          </cell>
        </row>
        <row r="12">
          <cell r="A12" t="str">
            <v>Pharmaceutical Systems</v>
          </cell>
          <cell r="H12" t="str">
            <v>Resolve</v>
          </cell>
          <cell r="J12" t="str">
            <v>TS Core</v>
          </cell>
          <cell r="T12" t="str">
            <v>Development</v>
          </cell>
          <cell r="U12" t="str">
            <v>Radical</v>
          </cell>
        </row>
        <row r="13">
          <cell r="A13" t="str">
            <v>Digital Business Unit</v>
          </cell>
          <cell r="H13" t="str">
            <v>FACSseq</v>
          </cell>
          <cell r="J13" t="str">
            <v>TS Cloud/Analytics</v>
          </cell>
          <cell r="T13" t="str">
            <v>Qualification</v>
          </cell>
          <cell r="U13" t="str">
            <v>Routine</v>
          </cell>
        </row>
        <row r="14">
          <cell r="A14" t="str">
            <v>Medical Segment Adjustment</v>
          </cell>
          <cell r="H14" t="str">
            <v>CLiC</v>
          </cell>
          <cell r="J14" t="str">
            <v>TS Connectivity</v>
          </cell>
          <cell r="T14" t="str">
            <v>Launch</v>
          </cell>
          <cell r="U14" t="str">
            <v>Other</v>
          </cell>
        </row>
        <row r="15">
          <cell r="A15" t="str">
            <v>Technology Solutions</v>
          </cell>
          <cell r="H15" t="str">
            <v>Genomics</v>
          </cell>
          <cell r="J15" t="str">
            <v>TS Mobility</v>
          </cell>
        </row>
        <row r="16">
          <cell r="A16" t="str">
            <v>PreAnalytical Systems</v>
          </cell>
          <cell r="H16" t="str">
            <v>LSRR</v>
          </cell>
          <cell r="J16" t="str">
            <v>TS Services</v>
          </cell>
        </row>
        <row r="17">
          <cell r="A17" t="str">
            <v>RTP</v>
          </cell>
          <cell r="H17" t="str">
            <v>Infostratus</v>
          </cell>
          <cell r="J17" t="str">
            <v>Clinical Surveillance / Analytics</v>
          </cell>
        </row>
        <row r="18">
          <cell r="A18" t="str">
            <v>BDX Allocation</v>
          </cell>
          <cell r="H18" t="str">
            <v>ROWA</v>
          </cell>
          <cell r="J18" t="str">
            <v>MedMined Core</v>
          </cell>
        </row>
        <row r="19">
          <cell r="A19" t="str">
            <v>CFN Allocation</v>
          </cell>
          <cell r="H19" t="str">
            <v>A3</v>
          </cell>
          <cell r="J19" t="str">
            <v>Automation &amp; Tools</v>
          </cell>
        </row>
        <row r="20">
          <cell r="A20" t="str">
            <v>OSMT Ops</v>
          </cell>
          <cell r="H20" t="str">
            <v>HIT</v>
          </cell>
          <cell r="J20" t="str">
            <v>Asena</v>
          </cell>
        </row>
        <row r="21">
          <cell r="A21" t="str">
            <v>Global Health</v>
          </cell>
          <cell r="H21" t="str">
            <v>Kiestra</v>
          </cell>
          <cell r="J21" t="str">
            <v>Medley</v>
          </cell>
        </row>
        <row r="22">
          <cell r="A22" t="str">
            <v>Greater Asia</v>
          </cell>
          <cell r="H22" t="str">
            <v>Med Mgmt</v>
          </cell>
          <cell r="J22" t="str">
            <v>Med ES</v>
          </cell>
        </row>
        <row r="23">
          <cell r="H23" t="str">
            <v>Molecular HT</v>
          </cell>
          <cell r="J23" t="str">
            <v>3 - Pharmogistics</v>
          </cell>
        </row>
        <row r="24">
          <cell r="H24" t="str">
            <v>NPT</v>
          </cell>
          <cell r="J24" t="str">
            <v>Other</v>
          </cell>
        </row>
        <row r="25">
          <cell r="H25" t="str">
            <v>POC</v>
          </cell>
        </row>
        <row r="26">
          <cell r="H26" t="str">
            <v>SAIS</v>
          </cell>
        </row>
        <row r="27">
          <cell r="H27" t="str">
            <v>Alaris M2</v>
          </cell>
        </row>
        <row r="28">
          <cell r="H28" t="str">
            <v>Pyxis Mini</v>
          </cell>
        </row>
        <row r="29">
          <cell r="H29" t="str">
            <v>Smart Devices</v>
          </cell>
        </row>
        <row r="30">
          <cell r="H30" t="str">
            <v>Other</v>
          </cell>
        </row>
        <row r="32">
          <cell r="O32" t="str">
            <v>Licensing &amp; Acquisition</v>
          </cell>
          <cell r="Q32" t="str">
            <v>Licensing_Acquisition</v>
          </cell>
          <cell r="S32" t="str">
            <v>TI_Quad</v>
          </cell>
        </row>
        <row r="33">
          <cell r="O33" t="str">
            <v>Innovation</v>
          </cell>
          <cell r="Q33" t="str">
            <v>Innovation</v>
          </cell>
          <cell r="S33" t="str">
            <v>TI_Quad</v>
          </cell>
        </row>
        <row r="34">
          <cell r="O34" t="str">
            <v>New Product Development</v>
          </cell>
          <cell r="Q34" t="str">
            <v>Product_Development</v>
          </cell>
          <cell r="R34" t="str">
            <v>Phase</v>
          </cell>
          <cell r="S34" t="str">
            <v>TI_Quad</v>
          </cell>
        </row>
        <row r="35">
          <cell r="O35" t="str">
            <v>Technology Development</v>
          </cell>
          <cell r="Q35" t="str">
            <v>Technology_Development</v>
          </cell>
          <cell r="S35" t="str">
            <v>TI_Quad</v>
          </cell>
        </row>
        <row r="36">
          <cell r="O36" t="str">
            <v>Sustaining Engineering</v>
          </cell>
          <cell r="Q36" t="str">
            <v>Sustaining_Engineering</v>
          </cell>
          <cell r="S36" t="str">
            <v>Routine</v>
          </cell>
        </row>
        <row r="37">
          <cell r="A37" t="str">
            <v>Biosciences</v>
          </cell>
          <cell r="B37" t="str">
            <v>BDB</v>
          </cell>
          <cell r="O37" t="str">
            <v>Managed Risk</v>
          </cell>
          <cell r="Q37" t="str">
            <v>Managed_Risk</v>
          </cell>
          <cell r="S37" t="str">
            <v>Other</v>
          </cell>
        </row>
        <row r="38">
          <cell r="A38" t="str">
            <v>GenCell</v>
          </cell>
          <cell r="B38" t="str">
            <v>GC</v>
          </cell>
          <cell r="O38" t="str">
            <v>R&amp;D Services &amp; Infrastructure</v>
          </cell>
          <cell r="Q38" t="str">
            <v>RD_Services_Infrastructure</v>
          </cell>
          <cell r="S38" t="str">
            <v>Other</v>
          </cell>
        </row>
        <row r="39">
          <cell r="A39" t="str">
            <v>Diabetes Care</v>
          </cell>
          <cell r="B39" t="str">
            <v>DC</v>
          </cell>
          <cell r="O39" t="str">
            <v>Non-R&amp;D Functional Support</v>
          </cell>
          <cell r="Q39" t="str">
            <v>Non_RD_Functional_Support</v>
          </cell>
          <cell r="S39" t="str">
            <v>Other</v>
          </cell>
        </row>
        <row r="40">
          <cell r="A40" t="str">
            <v>Diagnostic Systems</v>
          </cell>
          <cell r="B40" t="str">
            <v>DS</v>
          </cell>
        </row>
        <row r="41">
          <cell r="A41" t="str">
            <v>Medication &amp; Procedural Solutions</v>
          </cell>
          <cell r="B41" t="str">
            <v>MPS</v>
          </cell>
          <cell r="P41" t="str">
            <v>Discretionary</v>
          </cell>
          <cell r="Q41" t="str">
            <v>Discretionary</v>
          </cell>
        </row>
        <row r="42">
          <cell r="A42" t="str">
            <v>Medication Management Solutions</v>
          </cell>
          <cell r="B42" t="str">
            <v>MMS</v>
          </cell>
          <cell r="P42" t="str">
            <v>R&amp;D Support</v>
          </cell>
          <cell r="Q42" t="str">
            <v>RD_Support</v>
          </cell>
        </row>
        <row r="43">
          <cell r="A43" t="str">
            <v>Technology Solutions</v>
          </cell>
          <cell r="B43" t="str">
            <v>TS</v>
          </cell>
          <cell r="P43" t="str">
            <v>Non Discretionary</v>
          </cell>
          <cell r="Q43" t="str">
            <v>Non_Discretionary</v>
          </cell>
        </row>
        <row r="44">
          <cell r="A44" t="str">
            <v>Respiratory Solutions</v>
          </cell>
          <cell r="B44" t="str">
            <v>RS</v>
          </cell>
        </row>
        <row r="45">
          <cell r="A45" t="str">
            <v>Pharmaceutical Systems</v>
          </cell>
          <cell r="B45" t="str">
            <v>PS</v>
          </cell>
        </row>
        <row r="46">
          <cell r="A46" t="str">
            <v>PreAnalytical Systems</v>
          </cell>
          <cell r="B46" t="str">
            <v>PAS</v>
          </cell>
        </row>
        <row r="47">
          <cell r="A47" t="str">
            <v>BDT</v>
          </cell>
          <cell r="B47" t="str">
            <v>BDT</v>
          </cell>
        </row>
        <row r="48">
          <cell r="A48" t="str">
            <v>BDX Allocation</v>
          </cell>
          <cell r="B48" t="str">
            <v>BDX_Alloc</v>
          </cell>
        </row>
        <row r="49">
          <cell r="A49" t="str">
            <v>OSMT Ops</v>
          </cell>
          <cell r="B49" t="str">
            <v>OSMT_Ops</v>
          </cell>
        </row>
        <row r="50">
          <cell r="A50" t="str">
            <v>Greater Asia</v>
          </cell>
          <cell r="B50" t="str">
            <v>GA</v>
          </cell>
        </row>
      </sheetData>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Base Case Model Assumptions"/>
      <sheetName val="Setup"/>
      <sheetName val="Dashboard"/>
      <sheetName val="Cannibalization"/>
      <sheetName val="Venous"/>
      <sheetName val="Venous Wtd. Roll-Up Tables"/>
      <sheetName val="Venous Penetration Scen. Data"/>
      <sheetName val="Arterial"/>
      <sheetName val="Arterial Wtd. Roll-Up Tables"/>
      <sheetName val="Arterial Penetration Scen. Data"/>
      <sheetName val="Capillary"/>
      <sheetName val="Capillary Wtd. Roll-Up Tables"/>
      <sheetName val="Capillary Penetr. Scen. Data"/>
      <sheetName val="Output Data"/>
      <sheetName val="Output Pivot"/>
      <sheetName val="Pivot NPT Blood Draws"/>
      <sheetName val="Pivot Included"/>
      <sheetName val="Pivot Target Pool"/>
      <sheetName val="Pivot Units"/>
      <sheetName val="Pivot Revenue"/>
      <sheetName val="Change Log"/>
    </sheetNames>
    <sheetDataSet>
      <sheetData sheetId="0"/>
      <sheetData sheetId="1"/>
      <sheetData sheetId="2">
        <row r="13">
          <cell r="C13">
            <v>10</v>
          </cell>
        </row>
        <row r="15">
          <cell r="C15">
            <v>2015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Base Case Model Assumptions"/>
      <sheetName val="Setup"/>
      <sheetName val="Dashboard"/>
      <sheetName val="Cannibalization"/>
      <sheetName val="Venous"/>
      <sheetName val="Venous Wtd. Roll-Up Tables"/>
      <sheetName val="Venous Penetration Scen. Data"/>
      <sheetName val="Arterial"/>
      <sheetName val="Arterial Wtd. Roll-Up Tables"/>
      <sheetName val="Arterial Penetration Scen. Data"/>
      <sheetName val="Capillary"/>
      <sheetName val="Capillary Wtd. Roll-Up Tables"/>
      <sheetName val="Capillary Penetr. Scen. Data"/>
      <sheetName val="Output Data"/>
      <sheetName val="Output Pivot"/>
      <sheetName val="Pivot NPT Blood Draws"/>
      <sheetName val="Pivot Included"/>
      <sheetName val="Pivot Target Pool"/>
      <sheetName val="Pivot Units"/>
      <sheetName val="Pivot Revenue"/>
      <sheetName val="Change Log"/>
    </sheetNames>
    <sheetDataSet>
      <sheetData sheetId="0"/>
      <sheetData sheetId="1"/>
      <sheetData sheetId="2">
        <row r="13">
          <cell r="C13">
            <v>10</v>
          </cell>
        </row>
        <row r="15">
          <cell r="C15">
            <v>2015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structions"/>
      <sheetName val="Collection Request"/>
      <sheetName val="Inputs"/>
      <sheetName val="Notes"/>
      <sheetName val="Drop_Downs"/>
      <sheetName val="Categories"/>
      <sheetName val="TIQ_Defn"/>
      <sheetName val="GPDS Phase_Defn"/>
      <sheetName val="DC FY16-FY18 ASR"/>
      <sheetName val="DC FY15A &amp; 16B"/>
      <sheetName val="Digital_Prog"/>
      <sheetName val="Inputs_FY15-17ASR"/>
      <sheetName val="vs Prior ASR"/>
    </sheetNames>
    <sheetDataSet>
      <sheetData sheetId="0"/>
      <sheetData sheetId="1"/>
      <sheetData sheetId="2"/>
      <sheetData sheetId="3"/>
      <sheetData sheetId="4"/>
      <sheetData sheetId="5">
        <row r="32">
          <cell r="O32" t="str">
            <v>Licensing &amp; Acquisition</v>
          </cell>
          <cell r="P32">
            <v>0</v>
          </cell>
          <cell r="Q32" t="str">
            <v>Licensing_Acquisition</v>
          </cell>
          <cell r="S32" t="str">
            <v>TI_Quad</v>
          </cell>
        </row>
        <row r="33">
          <cell r="O33" t="str">
            <v>Innovation</v>
          </cell>
          <cell r="P33">
            <v>0</v>
          </cell>
          <cell r="Q33" t="str">
            <v>Innovation</v>
          </cell>
          <cell r="S33" t="str">
            <v>TI_Quad</v>
          </cell>
        </row>
        <row r="34">
          <cell r="O34" t="str">
            <v>New Product Development</v>
          </cell>
          <cell r="P34">
            <v>0</v>
          </cell>
          <cell r="Q34" t="str">
            <v>Product_Development</v>
          </cell>
          <cell r="R34" t="str">
            <v>Phase</v>
          </cell>
          <cell r="S34" t="str">
            <v>TI_Quad</v>
          </cell>
        </row>
        <row r="35">
          <cell r="O35" t="str">
            <v>Technology Development</v>
          </cell>
          <cell r="P35">
            <v>0</v>
          </cell>
          <cell r="Q35" t="str">
            <v>Technology_Development</v>
          </cell>
          <cell r="S35" t="str">
            <v>TI_Quad</v>
          </cell>
        </row>
        <row r="36">
          <cell r="O36" t="str">
            <v>Sustaining Engineering</v>
          </cell>
          <cell r="P36">
            <v>0</v>
          </cell>
          <cell r="Q36" t="str">
            <v>Sustaining_Engineering</v>
          </cell>
          <cell r="S36" t="str">
            <v>Routine</v>
          </cell>
        </row>
        <row r="37">
          <cell r="O37" t="str">
            <v>Managed Risk</v>
          </cell>
          <cell r="P37">
            <v>0</v>
          </cell>
          <cell r="Q37" t="str">
            <v>Managed_Risk</v>
          </cell>
          <cell r="S37" t="str">
            <v>Routine</v>
          </cell>
        </row>
        <row r="38">
          <cell r="O38" t="str">
            <v>R&amp;D Services &amp; Infrastructure</v>
          </cell>
          <cell r="P38">
            <v>0</v>
          </cell>
          <cell r="Q38" t="str">
            <v>RD_Services_Infrastructure</v>
          </cell>
          <cell r="S38" t="str">
            <v>Routine</v>
          </cell>
        </row>
        <row r="39">
          <cell r="O39" t="str">
            <v>Non-R&amp;D Functional Support</v>
          </cell>
          <cell r="P39">
            <v>0</v>
          </cell>
          <cell r="Q39" t="str">
            <v>Non_RD_Functional_Support</v>
          </cell>
          <cell r="S39" t="str">
            <v>Routine</v>
          </cell>
        </row>
      </sheetData>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642"/>
      <sheetName val="4645"/>
      <sheetName val="4646"/>
      <sheetName val="4681"/>
      <sheetName val="J"/>
    </sheetNames>
    <sheetDataSet>
      <sheetData sheetId="0"/>
      <sheetData sheetId="1"/>
      <sheetData sheetId="2"/>
      <sheetData sheetId="3"/>
      <sheetData sheetId="4">
        <row r="8">
          <cell r="A8">
            <v>0</v>
          </cell>
          <cell r="B8">
            <v>0</v>
          </cell>
          <cell r="D8">
            <v>0</v>
          </cell>
        </row>
        <row r="9">
          <cell r="A9">
            <v>1</v>
          </cell>
          <cell r="B9">
            <v>11.88</v>
          </cell>
          <cell r="D9">
            <v>11.4</v>
          </cell>
        </row>
        <row r="10">
          <cell r="A10">
            <v>2</v>
          </cell>
          <cell r="B10">
            <v>12.54</v>
          </cell>
          <cell r="D10">
            <v>12.03</v>
          </cell>
        </row>
        <row r="11">
          <cell r="A11">
            <v>3</v>
          </cell>
          <cell r="B11">
            <v>13.14</v>
          </cell>
          <cell r="D11">
            <v>12.61</v>
          </cell>
        </row>
        <row r="12">
          <cell r="A12">
            <v>4</v>
          </cell>
          <cell r="B12">
            <v>13.55</v>
          </cell>
          <cell r="D12">
            <v>13</v>
          </cell>
        </row>
        <row r="13">
          <cell r="A13">
            <v>5</v>
          </cell>
          <cell r="B13">
            <v>14.13</v>
          </cell>
          <cell r="D13">
            <v>13.56</v>
          </cell>
        </row>
        <row r="14">
          <cell r="A14">
            <v>6</v>
          </cell>
          <cell r="B14">
            <v>14.78</v>
          </cell>
          <cell r="D14">
            <v>14.18</v>
          </cell>
        </row>
        <row r="15">
          <cell r="A15">
            <v>7</v>
          </cell>
          <cell r="B15">
            <v>15.89</v>
          </cell>
          <cell r="D15">
            <v>15.25</v>
          </cell>
        </row>
        <row r="16">
          <cell r="A16">
            <v>8</v>
          </cell>
          <cell r="B16">
            <v>16.29</v>
          </cell>
          <cell r="D16">
            <v>15.63</v>
          </cell>
        </row>
        <row r="17">
          <cell r="A17">
            <v>9</v>
          </cell>
          <cell r="B17">
            <v>17.11</v>
          </cell>
          <cell r="D17">
            <v>16.420000000000002</v>
          </cell>
        </row>
        <row r="18">
          <cell r="A18">
            <v>20</v>
          </cell>
          <cell r="B18">
            <v>18.170000000000002</v>
          </cell>
          <cell r="D18">
            <v>17.440000000000001</v>
          </cell>
        </row>
        <row r="19">
          <cell r="A19">
            <v>21</v>
          </cell>
          <cell r="B19">
            <v>19.38</v>
          </cell>
          <cell r="D19">
            <v>18.600000000000001</v>
          </cell>
        </row>
        <row r="20">
          <cell r="A20">
            <v>22</v>
          </cell>
          <cell r="B20">
            <v>21.4</v>
          </cell>
          <cell r="D20">
            <v>20.54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s for Assumptions"/>
      <sheetName val="Basic Info"/>
      <sheetName val="ASSUMPTIONS (2)"/>
      <sheetName val="Market Risk"/>
      <sheetName val="Technical Risk"/>
      <sheetName val="Act WW FY11"/>
      <sheetName val="Act WW FY12"/>
      <sheetName val="Volume Forecast"/>
      <sheetName val="ASP Forecast"/>
      <sheetName val=" Cost Forecast"/>
      <sheetName val="Royalty Calculation"/>
      <sheetName val="Cannibalization Impact"/>
      <sheetName val="Incremental Contribution"/>
      <sheetName val="Capital Investment"/>
      <sheetName val="Amortization &amp; Depreciation"/>
      <sheetName val="Development Cost"/>
      <sheetName val="Detail Income Statement"/>
      <sheetName val="Statement of Cash Flow"/>
      <sheetName val="Summary Incremental P &amp; L"/>
      <sheetName val="Scenario Summary"/>
      <sheetName val="Vol Chart Example"/>
      <sheetName val="Incr Rev Chart exampe"/>
      <sheetName val="Project Contract"/>
      <sheetName val="Assumptions"/>
      <sheetName val="Steering Comm"/>
      <sheetName val="Change fr Prior"/>
      <sheetName val="Ken_Proj Summ"/>
      <sheetName val="PDT"/>
      <sheetName val="Contract"/>
      <sheetName val="Financial History"/>
      <sheetName val="Volume_ASP Change"/>
      <sheetName val="Ajit"/>
      <sheetName val="Input"/>
      <sheetName val="Cost Summary"/>
      <sheetName val="Volume Forecast (2)"/>
      <sheetName val="De-rate Data"/>
      <sheetName val="Labor Assumptions"/>
      <sheetName val="Assembly Capital"/>
      <sheetName val="Molding Capabilities "/>
      <sheetName val="BOM"/>
      <sheetName val="Mfg. Materials"/>
      <sheetName val="Variable Spending &amp; Fxd Alloc"/>
      <sheetName val="Fin Review General"/>
      <sheetName val="Marketing Data"/>
      <sheetName val="Fin Review Marketing"/>
      <sheetName val="Fin Review Cost and Capital"/>
      <sheetName val="Fin Review Finance"/>
      <sheetName val="GPDS Finance Func Review Templ"/>
      <sheetName val="Out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
          <cell r="K7">
            <v>2017</v>
          </cell>
        </row>
        <row r="188">
          <cell r="A188">
            <v>0</v>
          </cell>
          <cell r="B188">
            <v>1</v>
          </cell>
        </row>
        <row r="189">
          <cell r="A189">
            <v>0.1</v>
          </cell>
          <cell r="B189">
            <v>1</v>
          </cell>
        </row>
        <row r="190">
          <cell r="A190">
            <v>0.2</v>
          </cell>
          <cell r="B190">
            <v>1</v>
          </cell>
        </row>
        <row r="191">
          <cell r="A191">
            <v>0.3</v>
          </cell>
          <cell r="B191">
            <v>1</v>
          </cell>
        </row>
        <row r="192">
          <cell r="A192">
            <v>0.4</v>
          </cell>
          <cell r="B192">
            <v>1</v>
          </cell>
        </row>
        <row r="193">
          <cell r="A193">
            <v>0.5</v>
          </cell>
          <cell r="B193">
            <v>1</v>
          </cell>
        </row>
        <row r="194">
          <cell r="A194">
            <v>0.6</v>
          </cell>
          <cell r="B194">
            <v>1</v>
          </cell>
        </row>
        <row r="195">
          <cell r="A195">
            <v>0.7</v>
          </cell>
          <cell r="B195">
            <v>1</v>
          </cell>
        </row>
        <row r="196">
          <cell r="A196">
            <v>0.8</v>
          </cell>
          <cell r="B196">
            <v>1</v>
          </cell>
        </row>
        <row r="197">
          <cell r="A197">
            <v>0.9</v>
          </cell>
          <cell r="B197">
            <v>1</v>
          </cell>
        </row>
        <row r="198">
          <cell r="A198">
            <v>1</v>
          </cell>
          <cell r="B198">
            <v>2</v>
          </cell>
        </row>
        <row r="199">
          <cell r="A199">
            <v>1.1000000000000001</v>
          </cell>
          <cell r="B199">
            <v>2</v>
          </cell>
        </row>
        <row r="200">
          <cell r="A200">
            <v>1.2</v>
          </cell>
          <cell r="B200">
            <v>2</v>
          </cell>
        </row>
        <row r="201">
          <cell r="A201">
            <v>1.3</v>
          </cell>
          <cell r="B201">
            <v>2</v>
          </cell>
        </row>
        <row r="202">
          <cell r="A202">
            <v>1.4</v>
          </cell>
          <cell r="B202">
            <v>2</v>
          </cell>
        </row>
        <row r="203">
          <cell r="A203">
            <v>1.5</v>
          </cell>
          <cell r="B203">
            <v>2</v>
          </cell>
        </row>
        <row r="204">
          <cell r="A204">
            <v>1.6</v>
          </cell>
          <cell r="B204">
            <v>2</v>
          </cell>
        </row>
        <row r="205">
          <cell r="A205">
            <v>1.7</v>
          </cell>
          <cell r="B205">
            <v>2</v>
          </cell>
        </row>
        <row r="206">
          <cell r="A206">
            <v>1.8</v>
          </cell>
          <cell r="B206">
            <v>2</v>
          </cell>
        </row>
        <row r="207">
          <cell r="A207">
            <v>1.9</v>
          </cell>
          <cell r="B207">
            <v>2</v>
          </cell>
        </row>
        <row r="208">
          <cell r="A208">
            <v>2</v>
          </cell>
          <cell r="B208">
            <v>3</v>
          </cell>
        </row>
        <row r="209">
          <cell r="A209">
            <v>2.1</v>
          </cell>
          <cell r="B209">
            <v>3</v>
          </cell>
        </row>
        <row r="210">
          <cell r="A210">
            <v>2.2000000000000002</v>
          </cell>
          <cell r="B210">
            <v>3</v>
          </cell>
        </row>
        <row r="211">
          <cell r="A211">
            <v>2.2999999999999998</v>
          </cell>
          <cell r="B211">
            <v>3</v>
          </cell>
        </row>
        <row r="212">
          <cell r="A212">
            <v>2.4</v>
          </cell>
          <cell r="B212">
            <v>3</v>
          </cell>
        </row>
        <row r="213">
          <cell r="A213">
            <v>2.5</v>
          </cell>
          <cell r="B213">
            <v>3</v>
          </cell>
        </row>
        <row r="214">
          <cell r="A214">
            <v>2.6</v>
          </cell>
          <cell r="B214">
            <v>3</v>
          </cell>
        </row>
        <row r="215">
          <cell r="A215">
            <v>2.7</v>
          </cell>
          <cell r="B215">
            <v>3</v>
          </cell>
        </row>
        <row r="216">
          <cell r="A216">
            <v>2.8</v>
          </cell>
          <cell r="B216">
            <v>3</v>
          </cell>
        </row>
        <row r="217">
          <cell r="A217">
            <v>2.9</v>
          </cell>
          <cell r="B217">
            <v>3</v>
          </cell>
        </row>
        <row r="218">
          <cell r="A218">
            <v>3</v>
          </cell>
          <cell r="B218">
            <v>4</v>
          </cell>
        </row>
        <row r="219">
          <cell r="A219">
            <v>3.1</v>
          </cell>
          <cell r="B219">
            <v>4</v>
          </cell>
        </row>
        <row r="220">
          <cell r="A220">
            <v>3.2</v>
          </cell>
          <cell r="B220">
            <v>4</v>
          </cell>
        </row>
        <row r="221">
          <cell r="A221">
            <v>3.3</v>
          </cell>
          <cell r="B221">
            <v>4</v>
          </cell>
        </row>
        <row r="222">
          <cell r="A222">
            <v>3.4</v>
          </cell>
          <cell r="B222">
            <v>4</v>
          </cell>
        </row>
        <row r="223">
          <cell r="A223">
            <v>3.5</v>
          </cell>
          <cell r="B223">
            <v>4</v>
          </cell>
        </row>
        <row r="224">
          <cell r="A224">
            <v>3.6</v>
          </cell>
          <cell r="B224">
            <v>4</v>
          </cell>
        </row>
        <row r="225">
          <cell r="A225">
            <v>3.7</v>
          </cell>
          <cell r="B225">
            <v>4</v>
          </cell>
        </row>
        <row r="226">
          <cell r="A226">
            <v>3.8</v>
          </cell>
          <cell r="B226">
            <v>4</v>
          </cell>
        </row>
        <row r="227">
          <cell r="A227">
            <v>3.9</v>
          </cell>
          <cell r="B227">
            <v>4</v>
          </cell>
        </row>
        <row r="228">
          <cell r="A228">
            <v>4</v>
          </cell>
          <cell r="B228">
            <v>5</v>
          </cell>
        </row>
        <row r="229">
          <cell r="A229">
            <v>4.0999999999999996</v>
          </cell>
          <cell r="B229">
            <v>5</v>
          </cell>
        </row>
        <row r="230">
          <cell r="A230">
            <v>4.2</v>
          </cell>
          <cell r="B230">
            <v>5</v>
          </cell>
        </row>
        <row r="231">
          <cell r="A231">
            <v>4.3</v>
          </cell>
          <cell r="B231">
            <v>5</v>
          </cell>
        </row>
        <row r="232">
          <cell r="A232">
            <v>4.4000000000000004</v>
          </cell>
          <cell r="B232">
            <v>5</v>
          </cell>
        </row>
        <row r="233">
          <cell r="A233">
            <v>4.5</v>
          </cell>
          <cell r="B233">
            <v>5</v>
          </cell>
        </row>
        <row r="234">
          <cell r="A234">
            <v>4.5999999999999996</v>
          </cell>
          <cell r="B234">
            <v>5</v>
          </cell>
        </row>
        <row r="235">
          <cell r="A235">
            <v>4.7</v>
          </cell>
          <cell r="B235">
            <v>5</v>
          </cell>
        </row>
        <row r="236">
          <cell r="A236">
            <v>4.8</v>
          </cell>
          <cell r="B236">
            <v>5</v>
          </cell>
        </row>
        <row r="237">
          <cell r="A237">
            <v>4.9000000000000004</v>
          </cell>
          <cell r="B237">
            <v>5</v>
          </cell>
        </row>
        <row r="238">
          <cell r="A238">
            <v>5</v>
          </cell>
          <cell r="B238">
            <v>6</v>
          </cell>
        </row>
        <row r="239">
          <cell r="A239">
            <v>5.0999999999999996</v>
          </cell>
          <cell r="B239">
            <v>6</v>
          </cell>
        </row>
        <row r="240">
          <cell r="A240">
            <v>5.2</v>
          </cell>
          <cell r="B240">
            <v>6</v>
          </cell>
        </row>
        <row r="241">
          <cell r="A241">
            <v>5.3</v>
          </cell>
          <cell r="B241">
            <v>6</v>
          </cell>
        </row>
        <row r="242">
          <cell r="A242">
            <v>5.4</v>
          </cell>
          <cell r="B242">
            <v>6</v>
          </cell>
        </row>
        <row r="243">
          <cell r="A243">
            <v>5.5</v>
          </cell>
          <cell r="B243">
            <v>6</v>
          </cell>
        </row>
        <row r="244">
          <cell r="A244">
            <v>5.6</v>
          </cell>
          <cell r="B244">
            <v>6</v>
          </cell>
        </row>
        <row r="245">
          <cell r="A245">
            <v>5.7</v>
          </cell>
          <cell r="B245">
            <v>6</v>
          </cell>
        </row>
        <row r="246">
          <cell r="A246">
            <v>5.8</v>
          </cell>
          <cell r="B246">
            <v>6</v>
          </cell>
        </row>
        <row r="247">
          <cell r="A247">
            <v>5.9</v>
          </cell>
          <cell r="B247">
            <v>6</v>
          </cell>
        </row>
        <row r="248">
          <cell r="A248">
            <v>6</v>
          </cell>
          <cell r="B248">
            <v>7</v>
          </cell>
        </row>
        <row r="249">
          <cell r="A249">
            <v>6.1</v>
          </cell>
          <cell r="B249">
            <v>7</v>
          </cell>
        </row>
        <row r="250">
          <cell r="A250">
            <v>6.2</v>
          </cell>
          <cell r="B250">
            <v>7</v>
          </cell>
        </row>
        <row r="251">
          <cell r="A251">
            <v>6.3</v>
          </cell>
          <cell r="B251">
            <v>7</v>
          </cell>
        </row>
        <row r="252">
          <cell r="A252">
            <v>6.4</v>
          </cell>
          <cell r="B252">
            <v>7</v>
          </cell>
        </row>
        <row r="253">
          <cell r="A253">
            <v>6.5</v>
          </cell>
          <cell r="B253">
            <v>7</v>
          </cell>
        </row>
        <row r="254">
          <cell r="A254">
            <v>6.6</v>
          </cell>
          <cell r="B254">
            <v>7</v>
          </cell>
        </row>
        <row r="255">
          <cell r="A255">
            <v>6.7</v>
          </cell>
          <cell r="B255">
            <v>7</v>
          </cell>
        </row>
        <row r="256">
          <cell r="A256">
            <v>6.8</v>
          </cell>
          <cell r="B256">
            <v>7</v>
          </cell>
        </row>
        <row r="257">
          <cell r="A257">
            <v>6.9</v>
          </cell>
          <cell r="B257">
            <v>7</v>
          </cell>
        </row>
        <row r="258">
          <cell r="A258">
            <v>7</v>
          </cell>
          <cell r="B258">
            <v>8</v>
          </cell>
        </row>
        <row r="259">
          <cell r="A259">
            <v>7.1</v>
          </cell>
          <cell r="B259">
            <v>8</v>
          </cell>
        </row>
        <row r="260">
          <cell r="A260">
            <v>7.2</v>
          </cell>
          <cell r="B260">
            <v>8</v>
          </cell>
        </row>
        <row r="261">
          <cell r="A261">
            <v>7.3</v>
          </cell>
          <cell r="B261">
            <v>8</v>
          </cell>
        </row>
        <row r="262">
          <cell r="A262">
            <v>7.4</v>
          </cell>
          <cell r="B262">
            <v>8</v>
          </cell>
        </row>
        <row r="263">
          <cell r="A263">
            <v>7.5</v>
          </cell>
          <cell r="B263">
            <v>8</v>
          </cell>
        </row>
        <row r="264">
          <cell r="A264">
            <v>7.6</v>
          </cell>
          <cell r="B264">
            <v>8</v>
          </cell>
        </row>
        <row r="265">
          <cell r="A265">
            <v>7.7</v>
          </cell>
          <cell r="B265">
            <v>8</v>
          </cell>
        </row>
        <row r="266">
          <cell r="A266">
            <v>7.8</v>
          </cell>
          <cell r="B266">
            <v>8</v>
          </cell>
        </row>
        <row r="267">
          <cell r="A267">
            <v>7.9</v>
          </cell>
          <cell r="B267">
            <v>8</v>
          </cell>
        </row>
        <row r="268">
          <cell r="A268">
            <v>8</v>
          </cell>
          <cell r="B268">
            <v>9</v>
          </cell>
        </row>
        <row r="269">
          <cell r="A269">
            <v>8.1</v>
          </cell>
          <cell r="B269">
            <v>8</v>
          </cell>
        </row>
        <row r="270">
          <cell r="A270">
            <v>8.1999999999999993</v>
          </cell>
          <cell r="B270">
            <v>9</v>
          </cell>
        </row>
        <row r="271">
          <cell r="A271">
            <v>8.3000000000000007</v>
          </cell>
          <cell r="B271">
            <v>9</v>
          </cell>
        </row>
        <row r="272">
          <cell r="A272">
            <v>8.4</v>
          </cell>
          <cell r="B272">
            <v>9</v>
          </cell>
        </row>
        <row r="273">
          <cell r="A273">
            <v>8.5</v>
          </cell>
          <cell r="B273">
            <v>9</v>
          </cell>
        </row>
        <row r="274">
          <cell r="A274">
            <v>8.6</v>
          </cell>
          <cell r="B274">
            <v>9</v>
          </cell>
        </row>
        <row r="275">
          <cell r="A275">
            <v>8.6999999999999993</v>
          </cell>
          <cell r="B275">
            <v>9</v>
          </cell>
        </row>
        <row r="276">
          <cell r="A276">
            <v>8.8000000000000007</v>
          </cell>
          <cell r="B276">
            <v>9</v>
          </cell>
        </row>
        <row r="277">
          <cell r="A277">
            <v>8.9</v>
          </cell>
          <cell r="B277">
            <v>9</v>
          </cell>
        </row>
        <row r="278">
          <cell r="A278">
            <v>9</v>
          </cell>
          <cell r="B278">
            <v>10</v>
          </cell>
        </row>
        <row r="279">
          <cell r="A279">
            <v>9.1</v>
          </cell>
          <cell r="B279">
            <v>10</v>
          </cell>
        </row>
        <row r="280">
          <cell r="A280">
            <v>9.1999999999999993</v>
          </cell>
          <cell r="B280">
            <v>10</v>
          </cell>
        </row>
        <row r="281">
          <cell r="A281">
            <v>9.3000000000000007</v>
          </cell>
          <cell r="B281">
            <v>10</v>
          </cell>
        </row>
        <row r="282">
          <cell r="A282">
            <v>9.4</v>
          </cell>
          <cell r="B282">
            <v>10</v>
          </cell>
        </row>
        <row r="283">
          <cell r="A283">
            <v>9.5</v>
          </cell>
          <cell r="B283">
            <v>10</v>
          </cell>
        </row>
        <row r="284">
          <cell r="A284">
            <v>9.6</v>
          </cell>
          <cell r="B284">
            <v>10</v>
          </cell>
        </row>
        <row r="285">
          <cell r="A285">
            <v>9.6999999999999993</v>
          </cell>
          <cell r="B285">
            <v>10</v>
          </cell>
        </row>
        <row r="286">
          <cell r="A286">
            <v>9.8000000000000007</v>
          </cell>
          <cell r="B286">
            <v>10</v>
          </cell>
        </row>
        <row r="287">
          <cell r="A287">
            <v>9.9</v>
          </cell>
          <cell r="B287">
            <v>10</v>
          </cell>
        </row>
        <row r="288">
          <cell r="A288">
            <v>10</v>
          </cell>
          <cell r="B288">
            <v>10</v>
          </cell>
        </row>
        <row r="289">
          <cell r="A289">
            <v>10.1</v>
          </cell>
          <cell r="B289">
            <v>11</v>
          </cell>
        </row>
        <row r="290">
          <cell r="A290">
            <v>10.199999999999999</v>
          </cell>
          <cell r="B290">
            <v>11</v>
          </cell>
        </row>
        <row r="291">
          <cell r="A291">
            <v>10.3</v>
          </cell>
          <cell r="B291">
            <v>11</v>
          </cell>
        </row>
        <row r="292">
          <cell r="A292">
            <v>10.4</v>
          </cell>
          <cell r="B292">
            <v>11</v>
          </cell>
        </row>
        <row r="293">
          <cell r="A293">
            <v>10.5</v>
          </cell>
          <cell r="B293">
            <v>11</v>
          </cell>
        </row>
        <row r="294">
          <cell r="A294">
            <v>10.6</v>
          </cell>
          <cell r="B294">
            <v>11</v>
          </cell>
        </row>
        <row r="295">
          <cell r="A295">
            <v>10.7</v>
          </cell>
          <cell r="B295">
            <v>11</v>
          </cell>
        </row>
        <row r="296">
          <cell r="A296">
            <v>10.8</v>
          </cell>
          <cell r="B296">
            <v>11</v>
          </cell>
        </row>
        <row r="297">
          <cell r="A297">
            <v>10.9</v>
          </cell>
          <cell r="B297">
            <v>11</v>
          </cell>
        </row>
        <row r="298">
          <cell r="A298">
            <v>11</v>
          </cell>
          <cell r="B298">
            <v>12</v>
          </cell>
        </row>
        <row r="299">
          <cell r="A299">
            <v>11.1</v>
          </cell>
          <cell r="B299">
            <v>12</v>
          </cell>
        </row>
        <row r="300">
          <cell r="A300">
            <v>11.2</v>
          </cell>
          <cell r="B300">
            <v>12</v>
          </cell>
        </row>
        <row r="301">
          <cell r="A301">
            <v>11.3</v>
          </cell>
          <cell r="B301">
            <v>12</v>
          </cell>
        </row>
        <row r="302">
          <cell r="A302">
            <v>11.4</v>
          </cell>
          <cell r="B302">
            <v>12</v>
          </cell>
        </row>
        <row r="303">
          <cell r="A303">
            <v>11.5</v>
          </cell>
          <cell r="B303">
            <v>12</v>
          </cell>
        </row>
        <row r="304">
          <cell r="A304">
            <v>11.6</v>
          </cell>
          <cell r="B304">
            <v>12</v>
          </cell>
        </row>
        <row r="305">
          <cell r="A305">
            <v>11.7</v>
          </cell>
          <cell r="B305">
            <v>12</v>
          </cell>
        </row>
        <row r="306">
          <cell r="A306">
            <v>11.8</v>
          </cell>
          <cell r="B306">
            <v>12</v>
          </cell>
        </row>
        <row r="307">
          <cell r="A307">
            <v>11.9</v>
          </cell>
          <cell r="B307">
            <v>12</v>
          </cell>
        </row>
        <row r="308">
          <cell r="A308">
            <v>12</v>
          </cell>
          <cell r="B308">
            <v>13</v>
          </cell>
        </row>
        <row r="309">
          <cell r="A309">
            <v>12.1</v>
          </cell>
          <cell r="B309">
            <v>13</v>
          </cell>
        </row>
      </sheetData>
      <sheetData sheetId="14"/>
      <sheetData sheetId="15"/>
      <sheetData sheetId="16"/>
      <sheetData sheetId="17"/>
      <sheetData sheetId="18">
        <row r="11">
          <cell r="W11">
            <v>184224</v>
          </cell>
        </row>
        <row r="23">
          <cell r="E23">
            <v>0.48465675606231473</v>
          </cell>
        </row>
        <row r="24">
          <cell r="E24">
            <v>0.30911078625753308</v>
          </cell>
        </row>
        <row r="26">
          <cell r="E26">
            <v>28042.962110315173</v>
          </cell>
        </row>
        <row r="29">
          <cell r="E29">
            <v>28042.962110315173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Inputs"/>
      <sheetName val="Notes"/>
      <sheetName val="Instructions"/>
      <sheetName val="Drop_Downs"/>
      <sheetName val="Categories"/>
      <sheetName val="TIQ_Defn"/>
      <sheetName val="GPDS Phase_Defn"/>
      <sheetName val="vs. HFM (2)"/>
      <sheetName val="Data_Checks"/>
      <sheetName val="Pisano"/>
    </sheetNames>
    <sheetDataSet>
      <sheetData sheetId="0"/>
      <sheetData sheetId="1"/>
      <sheetData sheetId="2"/>
      <sheetData sheetId="3"/>
      <sheetData sheetId="4">
        <row r="32">
          <cell r="L32" t="str">
            <v>Licensing &amp; Acquisition</v>
          </cell>
          <cell r="N32" t="str">
            <v>Licensing_Acquisition</v>
          </cell>
          <cell r="P32" t="str">
            <v>TI_Quad</v>
          </cell>
        </row>
        <row r="33">
          <cell r="L33" t="str">
            <v>Innovation</v>
          </cell>
          <cell r="N33" t="str">
            <v>Innovation</v>
          </cell>
          <cell r="P33" t="str">
            <v>TI_Quad</v>
          </cell>
        </row>
        <row r="34">
          <cell r="L34" t="str">
            <v>New Product Development</v>
          </cell>
          <cell r="N34" t="str">
            <v>Product_Development</v>
          </cell>
          <cell r="O34" t="str">
            <v>Phase</v>
          </cell>
          <cell r="P34" t="str">
            <v>TI_Quad</v>
          </cell>
        </row>
        <row r="35">
          <cell r="L35" t="str">
            <v>Technology Development</v>
          </cell>
          <cell r="N35" t="str">
            <v>Technology_Development</v>
          </cell>
          <cell r="P35" t="str">
            <v>TI_Quad</v>
          </cell>
        </row>
        <row r="36">
          <cell r="L36" t="str">
            <v>Sustaining Engineering</v>
          </cell>
          <cell r="N36" t="str">
            <v>Sustaining_Engineering</v>
          </cell>
          <cell r="P36" t="str">
            <v>Routine</v>
          </cell>
        </row>
        <row r="37">
          <cell r="L37" t="str">
            <v>Managed Risk</v>
          </cell>
          <cell r="N37" t="str">
            <v>Managed_Risk</v>
          </cell>
          <cell r="P37" t="str">
            <v>Routine</v>
          </cell>
        </row>
        <row r="38">
          <cell r="L38" t="str">
            <v>R&amp;D Services &amp; Infrastructure</v>
          </cell>
          <cell r="N38" t="str">
            <v>RD_Services_Infrastructure</v>
          </cell>
          <cell r="P38" t="str">
            <v>Routine</v>
          </cell>
        </row>
        <row r="39">
          <cell r="L39" t="str">
            <v>Non-R&amp;D Functional Support</v>
          </cell>
          <cell r="N39" t="str">
            <v>Non_RD_Functional_Support</v>
          </cell>
          <cell r="P39" t="str">
            <v>Routine</v>
          </cell>
        </row>
      </sheetData>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Base Case Model Assumptions"/>
      <sheetName val="COGS Assumptions"/>
      <sheetName val="Setup"/>
      <sheetName val="Price Sensitivity"/>
      <sheetName val="CapEx"/>
      <sheetName val="CB_DATA_"/>
      <sheetName val="Dashboard"/>
      <sheetName val="Expenses"/>
      <sheetName val="Cannibalization"/>
      <sheetName val="Venous"/>
      <sheetName val="Venous Wtd. Roll-Up Tables"/>
      <sheetName val="Venous Penetration Scen. Data"/>
      <sheetName val="Arterial"/>
      <sheetName val="Arterial Wtd. Roll-Up Tables"/>
      <sheetName val="Arterial Penetration Scen. Data"/>
      <sheetName val="Capillary"/>
      <sheetName val="Capillary Wtd. Roll-Up Tables"/>
      <sheetName val="Capillary Penetr. Scen. Data"/>
      <sheetName val="Output Data"/>
      <sheetName val="Output Pivot"/>
      <sheetName val="Pivot NPT Blood Draws"/>
      <sheetName val="Pivot Included"/>
      <sheetName val="Pivot Target Pool"/>
      <sheetName val="Pivot Units"/>
      <sheetName val="Pivot Revenue"/>
      <sheetName val="Change Log"/>
    </sheetNames>
    <sheetDataSet>
      <sheetData sheetId="0"/>
      <sheetData sheetId="1"/>
      <sheetData sheetId="2"/>
      <sheetData sheetId="3">
        <row r="17">
          <cell r="C17">
            <v>2015</v>
          </cell>
          <cell r="D17">
            <v>2016</v>
          </cell>
          <cell r="E17">
            <v>2017</v>
          </cell>
          <cell r="F17">
            <v>2018</v>
          </cell>
          <cell r="G17">
            <v>2019</v>
          </cell>
          <cell r="H17">
            <v>2020</v>
          </cell>
          <cell r="I17">
            <v>2021</v>
          </cell>
          <cell r="J17">
            <v>2022</v>
          </cell>
          <cell r="K17">
            <v>2023</v>
          </cell>
          <cell r="L17">
            <v>2024</v>
          </cell>
          <cell r="M17">
            <v>2025</v>
          </cell>
          <cell r="N17">
            <v>2026</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642-Direct"/>
      <sheetName val="4642-Indirect"/>
      <sheetName val="4644-FGL"/>
      <sheetName val="4645-Direct"/>
      <sheetName val="4645-Indirect"/>
      <sheetName val="4646-Direct"/>
      <sheetName val="4646-Indirect"/>
      <sheetName val="4681-Direct"/>
      <sheetName val="4713-EPAH"/>
      <sheetName val="4735-WM"/>
      <sheetName val="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8">
          <cell r="A8">
            <v>0</v>
          </cell>
          <cell r="B8">
            <v>0</v>
          </cell>
          <cell r="D8">
            <v>0</v>
          </cell>
        </row>
        <row r="9">
          <cell r="A9">
            <v>1</v>
          </cell>
          <cell r="B9">
            <v>13.144499999999999</v>
          </cell>
          <cell r="D9">
            <v>12.7</v>
          </cell>
        </row>
        <row r="10">
          <cell r="A10">
            <v>2</v>
          </cell>
          <cell r="B10">
            <v>13.879350000000001</v>
          </cell>
          <cell r="D10">
            <v>13.41</v>
          </cell>
        </row>
        <row r="11">
          <cell r="A11">
            <v>3</v>
          </cell>
          <cell r="B11">
            <v>15.587100000000001</v>
          </cell>
          <cell r="D11">
            <v>15.06</v>
          </cell>
        </row>
        <row r="12">
          <cell r="A12">
            <v>4</v>
          </cell>
          <cell r="B12">
            <v>16.063199999999998</v>
          </cell>
          <cell r="D12">
            <v>15.52</v>
          </cell>
        </row>
        <row r="13">
          <cell r="A13">
            <v>5</v>
          </cell>
          <cell r="B13">
            <v>16.766999999999999</v>
          </cell>
          <cell r="D13">
            <v>16.2</v>
          </cell>
        </row>
        <row r="14">
          <cell r="A14">
            <v>6</v>
          </cell>
          <cell r="B14">
            <v>17.532900000000001</v>
          </cell>
          <cell r="D14">
            <v>16.940000000000001</v>
          </cell>
        </row>
        <row r="15">
          <cell r="A15">
            <v>7</v>
          </cell>
          <cell r="B15">
            <v>18.857699999999998</v>
          </cell>
          <cell r="D15">
            <v>18.22</v>
          </cell>
        </row>
        <row r="16">
          <cell r="A16">
            <v>8</v>
          </cell>
          <cell r="B16">
            <v>19.313099999999999</v>
          </cell>
          <cell r="D16">
            <v>18.66</v>
          </cell>
        </row>
        <row r="17">
          <cell r="A17">
            <v>9</v>
          </cell>
          <cell r="B17">
            <v>20.286000000000001</v>
          </cell>
          <cell r="D17">
            <v>19.600000000000001</v>
          </cell>
        </row>
        <row r="18">
          <cell r="A18">
            <v>20</v>
          </cell>
          <cell r="B18">
            <v>21.559049999999999</v>
          </cell>
          <cell r="D18">
            <v>20.83</v>
          </cell>
        </row>
        <row r="19">
          <cell r="A19">
            <v>21</v>
          </cell>
          <cell r="B19">
            <v>22.987349999999999</v>
          </cell>
          <cell r="D19">
            <v>22.21</v>
          </cell>
        </row>
        <row r="20">
          <cell r="A20">
            <v>22</v>
          </cell>
          <cell r="B20">
            <v>25.3782</v>
          </cell>
          <cell r="D20">
            <v>24.52</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AE260"/>
  <sheetViews>
    <sheetView showGridLines="0" topLeftCell="A24" zoomScale="145" zoomScaleNormal="145" workbookViewId="0">
      <selection activeCell="H34" sqref="H34:AD34"/>
    </sheetView>
  </sheetViews>
  <sheetFormatPr defaultColWidth="9.109375" defaultRowHeight="14.4" x14ac:dyDescent="0.3"/>
  <cols>
    <col min="1" max="1" width="1.44140625" style="1071" customWidth="1"/>
    <col min="2" max="2" width="2.5546875" style="1071" customWidth="1"/>
    <col min="3" max="7" width="4.109375" style="1071" customWidth="1"/>
    <col min="8" max="8" width="3.88671875" style="1071" customWidth="1"/>
    <col min="9" max="9" width="10.6640625" style="1071" customWidth="1"/>
    <col min="10" max="29" width="9.109375" style="1071"/>
    <col min="30" max="30" width="10.109375" style="1071" customWidth="1"/>
    <col min="31" max="16384" width="9.109375" style="1071"/>
  </cols>
  <sheetData>
    <row r="1" spans="1:31" ht="5.25" customHeight="1" x14ac:dyDescent="0.3">
      <c r="A1" s="1070"/>
      <c r="B1" s="1070"/>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row>
    <row r="2" spans="1:31" ht="18" x14ac:dyDescent="0.35">
      <c r="A2" s="1070"/>
      <c r="B2" s="1072" t="s">
        <v>263</v>
      </c>
      <c r="C2" s="1070"/>
      <c r="D2" s="1070"/>
      <c r="E2" s="1070"/>
      <c r="F2" s="1070"/>
      <c r="G2" s="1070"/>
      <c r="H2" s="1070"/>
      <c r="I2" s="1070"/>
      <c r="J2" s="1070"/>
      <c r="K2" s="1070"/>
      <c r="L2" s="1070"/>
      <c r="M2" s="1070"/>
      <c r="N2" s="1070"/>
      <c r="O2" s="1070"/>
      <c r="P2" s="1070"/>
      <c r="Q2" s="1070"/>
      <c r="R2" s="1070"/>
      <c r="S2" s="1070"/>
      <c r="T2" s="1070"/>
      <c r="U2" s="1070"/>
      <c r="V2" s="1070"/>
      <c r="W2" s="1070"/>
      <c r="X2" s="1070"/>
      <c r="Y2" s="1070"/>
      <c r="Z2" s="1070"/>
      <c r="AA2" s="1070"/>
      <c r="AB2" s="1070"/>
      <c r="AC2" s="1070"/>
      <c r="AD2" s="1070"/>
      <c r="AE2" s="1070"/>
    </row>
    <row r="3" spans="1:31" ht="18" x14ac:dyDescent="0.35">
      <c r="A3" s="1070"/>
      <c r="B3" s="1072"/>
      <c r="C3" s="1070"/>
      <c r="D3" s="1073"/>
      <c r="E3" s="1074"/>
      <c r="F3" s="1073"/>
      <c r="G3" s="1074"/>
      <c r="H3" s="1070"/>
      <c r="I3" s="1070"/>
      <c r="J3" s="1070"/>
      <c r="K3" s="1070"/>
      <c r="L3" s="1070"/>
      <c r="M3" s="1070"/>
      <c r="N3" s="1070"/>
      <c r="O3" s="1070"/>
      <c r="P3" s="1070"/>
      <c r="Q3" s="1070"/>
      <c r="R3" s="1070"/>
      <c r="S3" s="1070"/>
      <c r="T3" s="1070"/>
      <c r="U3" s="1070"/>
      <c r="V3" s="1070"/>
      <c r="W3" s="1070"/>
      <c r="X3" s="1070"/>
      <c r="Y3" s="1070"/>
      <c r="Z3" s="1070"/>
      <c r="AA3" s="1070"/>
      <c r="AB3" s="1070"/>
      <c r="AC3" s="1070"/>
      <c r="AD3" s="1070"/>
      <c r="AE3" s="1070"/>
    </row>
    <row r="4" spans="1:31" x14ac:dyDescent="0.3">
      <c r="A4" s="1070"/>
      <c r="B4" s="1075" t="s">
        <v>1022</v>
      </c>
      <c r="C4" s="1075"/>
      <c r="D4" s="1075"/>
      <c r="E4" s="1075"/>
      <c r="F4" s="1075"/>
      <c r="G4" s="1075"/>
      <c r="H4" s="1076"/>
      <c r="I4" s="1076"/>
      <c r="J4" s="1076"/>
      <c r="K4" s="1076"/>
      <c r="L4" s="1076"/>
      <c r="M4" s="1076"/>
      <c r="N4" s="1076"/>
      <c r="O4" s="1076"/>
      <c r="P4" s="1076"/>
      <c r="Q4" s="1076"/>
      <c r="R4" s="1076"/>
      <c r="S4" s="1076"/>
      <c r="T4" s="1076"/>
      <c r="U4" s="1076"/>
      <c r="V4" s="1076"/>
      <c r="W4" s="1076"/>
      <c r="X4" s="1076"/>
      <c r="Y4" s="1076"/>
      <c r="Z4" s="1076"/>
      <c r="AA4" s="1076"/>
      <c r="AB4" s="1076"/>
      <c r="AC4" s="1076"/>
      <c r="AD4" s="1076"/>
      <c r="AE4" s="1070"/>
    </row>
    <row r="5" spans="1:31" x14ac:dyDescent="0.3">
      <c r="A5" s="1070"/>
      <c r="B5" s="1077"/>
      <c r="C5" s="1078">
        <v>1</v>
      </c>
      <c r="D5" s="1078"/>
      <c r="E5" s="1078"/>
      <c r="F5" s="1078"/>
      <c r="G5" s="1078"/>
      <c r="H5" s="3103" t="s">
        <v>1023</v>
      </c>
      <c r="I5" s="3103"/>
      <c r="J5" s="3103"/>
      <c r="K5" s="3103"/>
      <c r="L5" s="3103"/>
      <c r="M5" s="3103"/>
      <c r="N5" s="3103"/>
      <c r="O5" s="3103"/>
      <c r="P5" s="3103"/>
      <c r="Q5" s="3103"/>
      <c r="R5" s="3103"/>
      <c r="S5" s="3103"/>
      <c r="T5" s="3103"/>
      <c r="U5" s="3103"/>
      <c r="V5" s="3103"/>
      <c r="W5" s="3103"/>
      <c r="X5" s="3103"/>
      <c r="Y5" s="3103"/>
      <c r="Z5" s="3103"/>
      <c r="AA5" s="3103"/>
      <c r="AB5" s="3103"/>
      <c r="AC5" s="3103"/>
      <c r="AD5" s="3103"/>
      <c r="AE5" s="1070"/>
    </row>
    <row r="6" spans="1:31" x14ac:dyDescent="0.3">
      <c r="A6" s="1070"/>
      <c r="B6" s="1077"/>
      <c r="C6" s="1078">
        <f>C5+1</f>
        <v>2</v>
      </c>
      <c r="D6" s="1078"/>
      <c r="E6" s="1078"/>
      <c r="F6" s="1078"/>
      <c r="G6" s="1078"/>
      <c r="H6" s="3104" t="s">
        <v>1024</v>
      </c>
      <c r="I6" s="3104"/>
      <c r="J6" s="3104"/>
      <c r="K6" s="3104"/>
      <c r="L6" s="3104"/>
      <c r="M6" s="3104"/>
      <c r="N6" s="3104"/>
      <c r="O6" s="3104"/>
      <c r="P6" s="3104"/>
      <c r="Q6" s="3104"/>
      <c r="R6" s="3104"/>
      <c r="S6" s="3104"/>
      <c r="T6" s="3104"/>
      <c r="U6" s="3104"/>
      <c r="V6" s="3104"/>
      <c r="W6" s="3104"/>
      <c r="X6" s="3104"/>
      <c r="Y6" s="3104"/>
      <c r="Z6" s="3104"/>
      <c r="AA6" s="3104"/>
      <c r="AB6" s="3104"/>
      <c r="AC6" s="3104"/>
      <c r="AD6" s="3104"/>
      <c r="AE6" s="1070"/>
    </row>
    <row r="7" spans="1:31" ht="46.5" customHeight="1" x14ac:dyDescent="0.3">
      <c r="A7" s="1070"/>
      <c r="B7" s="1077"/>
      <c r="C7" s="1078">
        <f>C6+1</f>
        <v>3</v>
      </c>
      <c r="D7" s="1078"/>
      <c r="E7" s="1078"/>
      <c r="F7" s="1078"/>
      <c r="G7" s="1078"/>
      <c r="H7" s="3103" t="s">
        <v>1025</v>
      </c>
      <c r="I7" s="3103"/>
      <c r="J7" s="3103"/>
      <c r="K7" s="3103"/>
      <c r="L7" s="3103"/>
      <c r="M7" s="3103"/>
      <c r="N7" s="3103"/>
      <c r="O7" s="3103"/>
      <c r="P7" s="3103"/>
      <c r="Q7" s="3103"/>
      <c r="R7" s="3103"/>
      <c r="S7" s="3103"/>
      <c r="T7" s="3103"/>
      <c r="U7" s="3103"/>
      <c r="V7" s="3103"/>
      <c r="W7" s="3103"/>
      <c r="X7" s="3103"/>
      <c r="Y7" s="3103"/>
      <c r="Z7" s="3103"/>
      <c r="AA7" s="3103"/>
      <c r="AB7" s="3103"/>
      <c r="AC7" s="3103"/>
      <c r="AD7" s="3103"/>
      <c r="AE7" s="1070"/>
    </row>
    <row r="8" spans="1:31" x14ac:dyDescent="0.3">
      <c r="A8" s="1070"/>
      <c r="B8" s="1077"/>
      <c r="C8" s="1078"/>
      <c r="D8" s="1078"/>
      <c r="E8" s="1078"/>
      <c r="F8" s="1078"/>
      <c r="G8" s="1078"/>
      <c r="H8" s="1079"/>
      <c r="I8" s="1079"/>
      <c r="J8" s="1079"/>
      <c r="K8" s="1079"/>
      <c r="L8" s="1079"/>
      <c r="M8" s="1079"/>
      <c r="N8" s="1079"/>
      <c r="O8" s="1079"/>
      <c r="P8" s="1079"/>
      <c r="Q8" s="1079"/>
      <c r="R8" s="1079"/>
      <c r="S8" s="1079"/>
      <c r="T8" s="1079"/>
      <c r="U8" s="1079"/>
      <c r="V8" s="1079"/>
      <c r="W8" s="1079"/>
      <c r="X8" s="1079"/>
      <c r="Y8" s="1079"/>
      <c r="Z8" s="1079"/>
      <c r="AA8" s="1079"/>
      <c r="AB8" s="1079"/>
      <c r="AC8" s="1079"/>
      <c r="AD8" s="1079"/>
      <c r="AE8" s="1070"/>
    </row>
    <row r="9" spans="1:31" x14ac:dyDescent="0.3">
      <c r="A9" s="1070"/>
      <c r="B9" s="1075" t="s">
        <v>1026</v>
      </c>
      <c r="C9" s="1075"/>
      <c r="D9" s="1075"/>
      <c r="E9" s="1075"/>
      <c r="F9" s="1075"/>
      <c r="G9" s="1075"/>
      <c r="H9" s="1076"/>
      <c r="I9" s="1076"/>
      <c r="J9" s="1076"/>
      <c r="K9" s="1076"/>
      <c r="L9" s="1076"/>
      <c r="M9" s="1076"/>
      <c r="N9" s="1076"/>
      <c r="O9" s="1076"/>
      <c r="P9" s="1076"/>
      <c r="Q9" s="1076"/>
      <c r="R9" s="1076"/>
      <c r="S9" s="1076"/>
      <c r="T9" s="1076"/>
      <c r="U9" s="1076"/>
      <c r="V9" s="1076"/>
      <c r="W9" s="1076"/>
      <c r="X9" s="1076"/>
      <c r="Y9" s="1076"/>
      <c r="Z9" s="1076"/>
      <c r="AA9" s="1076"/>
      <c r="AB9" s="1076"/>
      <c r="AC9" s="1076"/>
      <c r="AD9" s="1076"/>
      <c r="AE9" s="1070"/>
    </row>
    <row r="10" spans="1:31" x14ac:dyDescent="0.3">
      <c r="A10" s="1070"/>
      <c r="B10" s="1080"/>
      <c r="C10" s="1081" t="s">
        <v>1027</v>
      </c>
      <c r="D10" s="1073" t="s">
        <v>1028</v>
      </c>
      <c r="E10" s="1074"/>
      <c r="F10" s="1073" t="s">
        <v>1029</v>
      </c>
      <c r="G10" s="1074"/>
      <c r="H10" s="1082"/>
      <c r="I10" s="1082"/>
      <c r="J10" s="1082"/>
      <c r="K10" s="1082"/>
      <c r="L10" s="1082"/>
      <c r="M10" s="1082"/>
      <c r="N10" s="1082"/>
      <c r="O10" s="1082"/>
      <c r="P10" s="1082"/>
      <c r="Q10" s="1082"/>
      <c r="R10" s="1082"/>
      <c r="S10" s="1082"/>
      <c r="T10" s="1082"/>
      <c r="U10" s="1082"/>
      <c r="V10" s="1082"/>
      <c r="W10" s="1082"/>
      <c r="X10" s="1082"/>
      <c r="Y10" s="1082"/>
      <c r="Z10" s="1082"/>
      <c r="AA10" s="1082"/>
      <c r="AB10" s="1082"/>
      <c r="AC10" s="1082"/>
      <c r="AD10" s="1082"/>
      <c r="AE10" s="1070"/>
    </row>
    <row r="11" spans="1:31" x14ac:dyDescent="0.3">
      <c r="A11" s="1070"/>
      <c r="B11" s="1080"/>
      <c r="C11" s="1078">
        <v>1</v>
      </c>
      <c r="D11" s="1083" t="str">
        <f>HLOOKUP(COLUMN(Input!A2),FT_PPD_DD!$A$116:$DZ$117,2,0)</f>
        <v>A</v>
      </c>
      <c r="E11" s="1084" t="str">
        <f>HLOOKUP(COLUMN(Input!R2),FT_PPD_DD!$A$116:$DZ$117,2,0)</f>
        <v>R</v>
      </c>
      <c r="F11" s="1078">
        <f>ROW(Input!A2)</f>
        <v>2</v>
      </c>
      <c r="G11" s="1078">
        <f>ROW(Input!R112)</f>
        <v>112</v>
      </c>
      <c r="H11" s="1082" t="s">
        <v>1030</v>
      </c>
      <c r="I11" s="1082"/>
      <c r="J11" s="1082"/>
      <c r="K11" s="1082"/>
      <c r="L11" s="1082"/>
      <c r="M11" s="1082"/>
      <c r="N11" s="1082"/>
      <c r="O11" s="1082"/>
      <c r="P11" s="1082"/>
      <c r="Q11" s="1082"/>
      <c r="R11" s="1082"/>
      <c r="S11" s="1082"/>
      <c r="T11" s="1082"/>
      <c r="U11" s="1082"/>
      <c r="V11" s="1082"/>
      <c r="W11" s="1082"/>
      <c r="X11" s="1082"/>
      <c r="Y11" s="1082"/>
      <c r="Z11" s="1082"/>
      <c r="AA11" s="1082"/>
      <c r="AB11" s="1082"/>
      <c r="AC11" s="1082"/>
      <c r="AD11" s="1082"/>
      <c r="AE11" s="1070"/>
    </row>
    <row r="12" spans="1:31" x14ac:dyDescent="0.3">
      <c r="A12" s="1070"/>
      <c r="B12" s="1080"/>
      <c r="C12" s="1078">
        <f>C11+1</f>
        <v>2</v>
      </c>
      <c r="D12" s="1085"/>
      <c r="E12" s="1086"/>
      <c r="F12" s="1078">
        <f>ROW(Input!D4)</f>
        <v>4</v>
      </c>
      <c r="G12" s="1074"/>
      <c r="H12" s="1082" t="s">
        <v>1031</v>
      </c>
      <c r="I12" s="1082"/>
      <c r="J12" s="1082"/>
      <c r="K12" s="1082"/>
      <c r="L12" s="1082"/>
      <c r="M12" s="1082"/>
      <c r="N12" s="1082"/>
      <c r="O12" s="1082"/>
      <c r="P12" s="1082"/>
      <c r="Q12" s="1082"/>
      <c r="R12" s="1082"/>
      <c r="S12" s="1082"/>
      <c r="T12" s="1082"/>
      <c r="U12" s="1082"/>
      <c r="V12" s="1082"/>
      <c r="W12" s="1082"/>
      <c r="X12" s="1082"/>
      <c r="Y12" s="1082"/>
      <c r="Z12" s="1082"/>
      <c r="AA12" s="1082"/>
      <c r="AB12" s="1082"/>
      <c r="AC12" s="1082"/>
      <c r="AD12" s="1082"/>
      <c r="AE12" s="1070"/>
    </row>
    <row r="13" spans="1:31" x14ac:dyDescent="0.3">
      <c r="A13" s="1070"/>
      <c r="B13" s="1080"/>
      <c r="C13" s="1078">
        <f t="shared" ref="C13:C53" si="0">C12+1</f>
        <v>3</v>
      </c>
      <c r="D13" s="1085"/>
      <c r="E13" s="1086"/>
      <c r="F13" s="1078">
        <f>ROW(Input!D5)</f>
        <v>5</v>
      </c>
      <c r="G13" s="1074"/>
      <c r="H13" s="1082" t="s">
        <v>1032</v>
      </c>
      <c r="I13" s="1082"/>
      <c r="J13" s="1082"/>
      <c r="K13" s="1082"/>
      <c r="L13" s="1082"/>
      <c r="M13" s="1082"/>
      <c r="N13" s="1082"/>
      <c r="O13" s="1082"/>
      <c r="P13" s="1082"/>
      <c r="Q13" s="1082"/>
      <c r="R13" s="1082"/>
      <c r="S13" s="1082"/>
      <c r="T13" s="1082"/>
      <c r="U13" s="1082"/>
      <c r="V13" s="1082"/>
      <c r="W13" s="1082"/>
      <c r="X13" s="1082"/>
      <c r="Y13" s="1082"/>
      <c r="Z13" s="1082"/>
      <c r="AA13" s="1082"/>
      <c r="AB13" s="1082"/>
      <c r="AC13" s="1082"/>
      <c r="AD13" s="1082"/>
      <c r="AE13" s="1070"/>
    </row>
    <row r="14" spans="1:31" x14ac:dyDescent="0.3">
      <c r="A14" s="1070"/>
      <c r="B14" s="1080"/>
      <c r="C14" s="1078">
        <f t="shared" si="0"/>
        <v>4</v>
      </c>
      <c r="D14" s="1085"/>
      <c r="E14" s="1086"/>
      <c r="F14" s="1078">
        <f>ROW(Input!D7)</f>
        <v>7</v>
      </c>
      <c r="G14" s="1074"/>
      <c r="H14" s="1082" t="s">
        <v>1033</v>
      </c>
      <c r="I14" s="1082"/>
      <c r="J14" s="1082"/>
      <c r="K14" s="1082"/>
      <c r="L14" s="1082"/>
      <c r="M14" s="1082"/>
      <c r="N14" s="1082"/>
      <c r="O14" s="1082"/>
      <c r="P14" s="1082"/>
      <c r="Q14" s="1082"/>
      <c r="R14" s="1082"/>
      <c r="S14" s="1082"/>
      <c r="T14" s="1082"/>
      <c r="U14" s="1082"/>
      <c r="V14" s="1082"/>
      <c r="W14" s="1082"/>
      <c r="X14" s="1082"/>
      <c r="Y14" s="1082"/>
      <c r="Z14" s="1082"/>
      <c r="AA14" s="1082"/>
      <c r="AB14" s="1082"/>
      <c r="AC14" s="1082"/>
      <c r="AD14" s="1082"/>
      <c r="AE14" s="1070"/>
    </row>
    <row r="15" spans="1:31" x14ac:dyDescent="0.3">
      <c r="A15" s="1070"/>
      <c r="B15" s="1080"/>
      <c r="C15" s="1078">
        <f t="shared" si="0"/>
        <v>5</v>
      </c>
      <c r="D15" s="1085"/>
      <c r="E15" s="1086"/>
      <c r="F15" s="1078">
        <f>ROW(Input!D8)</f>
        <v>8</v>
      </c>
      <c r="G15" s="1074"/>
      <c r="H15" s="1082" t="s">
        <v>1034</v>
      </c>
      <c r="I15" s="1082"/>
      <c r="J15" s="1082"/>
      <c r="K15" s="1082"/>
      <c r="L15" s="1082"/>
      <c r="M15" s="1082"/>
      <c r="N15" s="1082"/>
      <c r="O15" s="1082"/>
      <c r="P15" s="1082"/>
      <c r="Q15" s="1082"/>
      <c r="R15" s="1082"/>
      <c r="S15" s="1082"/>
      <c r="T15" s="1082"/>
      <c r="U15" s="1082"/>
      <c r="V15" s="1082"/>
      <c r="W15" s="1082"/>
      <c r="X15" s="1082"/>
      <c r="Y15" s="1082"/>
      <c r="Z15" s="1082"/>
      <c r="AA15" s="1082"/>
      <c r="AB15" s="1082"/>
      <c r="AC15" s="1082"/>
      <c r="AD15" s="1082"/>
      <c r="AE15" s="1070"/>
    </row>
    <row r="16" spans="1:31" x14ac:dyDescent="0.3">
      <c r="A16" s="1070"/>
      <c r="B16" s="1077"/>
      <c r="C16" s="1078">
        <f t="shared" si="0"/>
        <v>6</v>
      </c>
      <c r="D16" s="1083"/>
      <c r="E16" s="1084"/>
      <c r="F16" s="1078">
        <f>ROW(Input!D10)</f>
        <v>10</v>
      </c>
      <c r="G16" s="1078"/>
      <c r="H16" s="3104" t="s">
        <v>1035</v>
      </c>
      <c r="I16" s="3104"/>
      <c r="J16" s="3104"/>
      <c r="K16" s="3104"/>
      <c r="L16" s="3104"/>
      <c r="M16" s="3104"/>
      <c r="N16" s="3104"/>
      <c r="O16" s="3104"/>
      <c r="P16" s="3104"/>
      <c r="Q16" s="3104"/>
      <c r="R16" s="3104"/>
      <c r="S16" s="3104"/>
      <c r="T16" s="3104"/>
      <c r="U16" s="3104"/>
      <c r="V16" s="3104"/>
      <c r="W16" s="3104"/>
      <c r="X16" s="3104"/>
      <c r="Y16" s="3104"/>
      <c r="Z16" s="3104"/>
      <c r="AA16" s="3104"/>
      <c r="AB16" s="3104"/>
      <c r="AC16" s="3104"/>
      <c r="AD16" s="3104"/>
      <c r="AE16" s="1070"/>
    </row>
    <row r="17" spans="1:31" x14ac:dyDescent="0.3">
      <c r="A17" s="1070"/>
      <c r="B17" s="1077"/>
      <c r="C17" s="1078">
        <f t="shared" si="0"/>
        <v>7</v>
      </c>
      <c r="D17" s="1083"/>
      <c r="E17" s="1084"/>
      <c r="F17" s="1078">
        <f>ROW(Input!D11)</f>
        <v>11</v>
      </c>
      <c r="G17" s="1078"/>
      <c r="H17" s="3104" t="s">
        <v>1036</v>
      </c>
      <c r="I17" s="3104"/>
      <c r="J17" s="3104"/>
      <c r="K17" s="3104"/>
      <c r="L17" s="3104"/>
      <c r="M17" s="3104"/>
      <c r="N17" s="3104"/>
      <c r="O17" s="3104"/>
      <c r="P17" s="3104"/>
      <c r="Q17" s="3104"/>
      <c r="R17" s="3104"/>
      <c r="S17" s="3104"/>
      <c r="T17" s="3104"/>
      <c r="U17" s="3104"/>
      <c r="V17" s="3104"/>
      <c r="W17" s="3104"/>
      <c r="X17" s="3104"/>
      <c r="Y17" s="3104"/>
      <c r="Z17" s="3104"/>
      <c r="AA17" s="3104"/>
      <c r="AB17" s="3104"/>
      <c r="AC17" s="3104"/>
      <c r="AD17" s="3104"/>
      <c r="AE17" s="1070"/>
    </row>
    <row r="18" spans="1:31" x14ac:dyDescent="0.3">
      <c r="A18" s="1070"/>
      <c r="B18" s="1077"/>
      <c r="C18" s="1078">
        <f t="shared" si="0"/>
        <v>8</v>
      </c>
      <c r="D18" s="1083"/>
      <c r="E18" s="1084"/>
      <c r="F18" s="1078">
        <f>ROW(Input!D12)</f>
        <v>12</v>
      </c>
      <c r="G18" s="1078"/>
      <c r="H18" s="3104" t="s">
        <v>1037</v>
      </c>
      <c r="I18" s="3104"/>
      <c r="J18" s="3104"/>
      <c r="K18" s="3104"/>
      <c r="L18" s="3104"/>
      <c r="M18" s="3104"/>
      <c r="N18" s="3104"/>
      <c r="O18" s="3104"/>
      <c r="P18" s="3104"/>
      <c r="Q18" s="3104"/>
      <c r="R18" s="3104"/>
      <c r="S18" s="3104"/>
      <c r="T18" s="3104"/>
      <c r="U18" s="3104"/>
      <c r="V18" s="3104"/>
      <c r="W18" s="3104"/>
      <c r="X18" s="3104"/>
      <c r="Y18" s="3104"/>
      <c r="Z18" s="3104"/>
      <c r="AA18" s="3104"/>
      <c r="AB18" s="3104"/>
      <c r="AC18" s="3104"/>
      <c r="AD18" s="3104"/>
      <c r="AE18" s="1070"/>
    </row>
    <row r="19" spans="1:31" x14ac:dyDescent="0.3">
      <c r="A19" s="1070"/>
      <c r="B19" s="1077"/>
      <c r="C19" s="1078">
        <f>C17+1</f>
        <v>8</v>
      </c>
      <c r="D19" s="1083"/>
      <c r="E19" s="1084"/>
      <c r="F19" s="1078">
        <f>ROW(Input!D15)</f>
        <v>15</v>
      </c>
      <c r="G19" s="1078"/>
      <c r="H19" s="3104" t="s">
        <v>1038</v>
      </c>
      <c r="I19" s="3104"/>
      <c r="J19" s="3104"/>
      <c r="K19" s="3104"/>
      <c r="L19" s="3104"/>
      <c r="M19" s="3104"/>
      <c r="N19" s="3104"/>
      <c r="O19" s="3104"/>
      <c r="P19" s="3104"/>
      <c r="Q19" s="3104"/>
      <c r="R19" s="3104"/>
      <c r="S19" s="3104"/>
      <c r="T19" s="3104"/>
      <c r="U19" s="3104"/>
      <c r="V19" s="3104"/>
      <c r="W19" s="3104"/>
      <c r="X19" s="3104"/>
      <c r="Y19" s="3104"/>
      <c r="Z19" s="3104"/>
      <c r="AA19" s="3104"/>
      <c r="AB19" s="3104"/>
      <c r="AC19" s="3104"/>
      <c r="AD19" s="3104"/>
      <c r="AE19" s="1070"/>
    </row>
    <row r="20" spans="1:31" x14ac:dyDescent="0.3">
      <c r="A20" s="1070"/>
      <c r="B20" s="1077"/>
      <c r="C20" s="1078">
        <f t="shared" si="0"/>
        <v>9</v>
      </c>
      <c r="D20" s="1083"/>
      <c r="E20" s="1084"/>
      <c r="F20" s="1078">
        <f>ROW(Input!D32)</f>
        <v>32</v>
      </c>
      <c r="G20" s="1078">
        <f>ROW(Input!D36)</f>
        <v>36</v>
      </c>
      <c r="H20" s="3104" t="s">
        <v>1039</v>
      </c>
      <c r="I20" s="3104"/>
      <c r="J20" s="3104"/>
      <c r="K20" s="3104"/>
      <c r="L20" s="3104"/>
      <c r="M20" s="3104"/>
      <c r="N20" s="3104"/>
      <c r="O20" s="3104"/>
      <c r="P20" s="3104"/>
      <c r="Q20" s="3104"/>
      <c r="R20" s="3104"/>
      <c r="S20" s="3104"/>
      <c r="T20" s="3104"/>
      <c r="U20" s="3104"/>
      <c r="V20" s="3104"/>
      <c r="W20" s="3104"/>
      <c r="X20" s="3104"/>
      <c r="Y20" s="3104"/>
      <c r="Z20" s="3104"/>
      <c r="AA20" s="3104"/>
      <c r="AB20" s="3104"/>
      <c r="AC20" s="3104"/>
      <c r="AD20" s="3104"/>
      <c r="AE20" s="1070"/>
    </row>
    <row r="21" spans="1:31" x14ac:dyDescent="0.3">
      <c r="A21" s="1070"/>
      <c r="B21" s="1070"/>
      <c r="C21" s="1078">
        <f t="shared" si="0"/>
        <v>10</v>
      </c>
      <c r="D21" s="1083"/>
      <c r="E21" s="1084"/>
      <c r="F21" s="1078">
        <f>ROW(Input!D47)</f>
        <v>47</v>
      </c>
      <c r="G21" s="1078"/>
      <c r="H21" s="3106" t="s">
        <v>1040</v>
      </c>
      <c r="I21" s="3106"/>
      <c r="J21" s="3106"/>
      <c r="K21" s="3106"/>
      <c r="L21" s="3106"/>
      <c r="M21" s="3106"/>
      <c r="N21" s="3106"/>
      <c r="O21" s="3106"/>
      <c r="P21" s="3106"/>
      <c r="Q21" s="3106"/>
      <c r="R21" s="3106"/>
      <c r="S21" s="3106"/>
      <c r="T21" s="3106"/>
      <c r="U21" s="3106"/>
      <c r="V21" s="3106"/>
      <c r="W21" s="3106"/>
      <c r="X21" s="3106"/>
      <c r="Y21" s="3106"/>
      <c r="Z21" s="3106"/>
      <c r="AA21" s="3106"/>
      <c r="AB21" s="3106"/>
      <c r="AC21" s="3106"/>
      <c r="AD21" s="3106"/>
      <c r="AE21" s="1070"/>
    </row>
    <row r="22" spans="1:31" x14ac:dyDescent="0.3">
      <c r="A22" s="1070"/>
      <c r="B22" s="1070"/>
      <c r="C22" s="1078">
        <f t="shared" si="0"/>
        <v>11</v>
      </c>
      <c r="D22" s="1083"/>
      <c r="E22" s="1084"/>
      <c r="F22" s="1078">
        <f>ROW(Input!D48)</f>
        <v>48</v>
      </c>
      <c r="G22" s="1078"/>
      <c r="H22" s="3105" t="s">
        <v>1041</v>
      </c>
      <c r="I22" s="3105"/>
      <c r="J22" s="3105"/>
      <c r="K22" s="3105"/>
      <c r="L22" s="3105"/>
      <c r="M22" s="3105"/>
      <c r="N22" s="3105"/>
      <c r="O22" s="3105"/>
      <c r="P22" s="3105"/>
      <c r="Q22" s="3105"/>
      <c r="R22" s="3105"/>
      <c r="S22" s="3105"/>
      <c r="T22" s="3105"/>
      <c r="U22" s="3105"/>
      <c r="V22" s="3105"/>
      <c r="W22" s="3105"/>
      <c r="X22" s="3105"/>
      <c r="Y22" s="3105"/>
      <c r="Z22" s="3105"/>
      <c r="AA22" s="3105"/>
      <c r="AB22" s="3105"/>
      <c r="AC22" s="3105"/>
      <c r="AD22" s="3105"/>
      <c r="AE22" s="1070"/>
    </row>
    <row r="23" spans="1:31" x14ac:dyDescent="0.3">
      <c r="A23" s="1070"/>
      <c r="B23" s="1070"/>
      <c r="C23" s="1078">
        <f t="shared" si="0"/>
        <v>12</v>
      </c>
      <c r="D23" s="1083"/>
      <c r="E23" s="1084"/>
      <c r="F23" s="1078">
        <f>ROW(Input!D49)</f>
        <v>49</v>
      </c>
      <c r="G23" s="1078"/>
      <c r="H23" s="3105" t="s">
        <v>1042</v>
      </c>
      <c r="I23" s="3105"/>
      <c r="J23" s="3105"/>
      <c r="K23" s="3105"/>
      <c r="L23" s="3105"/>
      <c r="M23" s="3105"/>
      <c r="N23" s="3105"/>
      <c r="O23" s="3105"/>
      <c r="P23" s="3105"/>
      <c r="Q23" s="3105"/>
      <c r="R23" s="3105"/>
      <c r="S23" s="3105"/>
      <c r="T23" s="3105"/>
      <c r="U23" s="3105"/>
      <c r="V23" s="3105"/>
      <c r="W23" s="3105"/>
      <c r="X23" s="3105"/>
      <c r="Y23" s="3105"/>
      <c r="Z23" s="3105"/>
      <c r="AA23" s="3105"/>
      <c r="AB23" s="3105"/>
      <c r="AC23" s="3105"/>
      <c r="AD23" s="3105"/>
      <c r="AE23" s="1070"/>
    </row>
    <row r="24" spans="1:31" x14ac:dyDescent="0.3">
      <c r="A24" s="1070"/>
      <c r="B24" s="1070"/>
      <c r="C24" s="1078">
        <f t="shared" si="0"/>
        <v>13</v>
      </c>
      <c r="D24" s="1083"/>
      <c r="E24" s="1084"/>
      <c r="F24" s="1078">
        <f>ROW(Input!D51)</f>
        <v>51</v>
      </c>
      <c r="G24" s="1078"/>
      <c r="H24" s="3105" t="s">
        <v>1043</v>
      </c>
      <c r="I24" s="3105"/>
      <c r="J24" s="3105"/>
      <c r="K24" s="3105"/>
      <c r="L24" s="3105"/>
      <c r="M24" s="3105"/>
      <c r="N24" s="3105"/>
      <c r="O24" s="3105"/>
      <c r="P24" s="3105"/>
      <c r="Q24" s="3105"/>
      <c r="R24" s="3105"/>
      <c r="S24" s="3105"/>
      <c r="T24" s="3105"/>
      <c r="U24" s="3105"/>
      <c r="V24" s="3105"/>
      <c r="W24" s="3105"/>
      <c r="X24" s="3105"/>
      <c r="Y24" s="3105"/>
      <c r="Z24" s="3105"/>
      <c r="AA24" s="3105"/>
      <c r="AB24" s="3105"/>
      <c r="AC24" s="3105"/>
      <c r="AD24" s="3105"/>
      <c r="AE24" s="1070"/>
    </row>
    <row r="25" spans="1:31" x14ac:dyDescent="0.3">
      <c r="A25" s="1070"/>
      <c r="B25" s="1070"/>
      <c r="C25" s="1078">
        <f t="shared" si="0"/>
        <v>14</v>
      </c>
      <c r="D25" s="1083"/>
      <c r="E25" s="1084"/>
      <c r="F25" s="1078">
        <f>ROW(Input!D52)</f>
        <v>52</v>
      </c>
      <c r="G25" s="1078"/>
      <c r="H25" s="3105" t="s">
        <v>1044</v>
      </c>
      <c r="I25" s="3105"/>
      <c r="J25" s="3105"/>
      <c r="K25" s="3105"/>
      <c r="L25" s="3105"/>
      <c r="M25" s="3105"/>
      <c r="N25" s="3105"/>
      <c r="O25" s="3105"/>
      <c r="P25" s="3105"/>
      <c r="Q25" s="3105"/>
      <c r="R25" s="3105"/>
      <c r="S25" s="3105"/>
      <c r="T25" s="3105"/>
      <c r="U25" s="3105"/>
      <c r="V25" s="3105"/>
      <c r="W25" s="3105"/>
      <c r="X25" s="3105"/>
      <c r="Y25" s="3105"/>
      <c r="Z25" s="3105"/>
      <c r="AA25" s="3105"/>
      <c r="AB25" s="3105"/>
      <c r="AC25" s="3105"/>
      <c r="AD25" s="3105"/>
      <c r="AE25" s="1070"/>
    </row>
    <row r="26" spans="1:31" x14ac:dyDescent="0.3">
      <c r="A26" s="1070"/>
      <c r="B26" s="1070"/>
      <c r="C26" s="1078">
        <f t="shared" si="0"/>
        <v>15</v>
      </c>
      <c r="D26" s="1083"/>
      <c r="E26" s="1084"/>
      <c r="F26" s="1078">
        <f>ROW(Input!D55)</f>
        <v>55</v>
      </c>
      <c r="G26" s="1078"/>
      <c r="H26" s="3105" t="s">
        <v>1045</v>
      </c>
      <c r="I26" s="3105"/>
      <c r="J26" s="3105"/>
      <c r="K26" s="3105"/>
      <c r="L26" s="3105"/>
      <c r="M26" s="3105"/>
      <c r="N26" s="3105"/>
      <c r="O26" s="3105"/>
      <c r="P26" s="3105"/>
      <c r="Q26" s="3105"/>
      <c r="R26" s="3105"/>
      <c r="S26" s="3105"/>
      <c r="T26" s="3105"/>
      <c r="U26" s="3105"/>
      <c r="V26" s="3105"/>
      <c r="W26" s="3105"/>
      <c r="X26" s="3105"/>
      <c r="Y26" s="3105"/>
      <c r="Z26" s="3105"/>
      <c r="AA26" s="3105"/>
      <c r="AB26" s="3105"/>
      <c r="AC26" s="3105"/>
      <c r="AD26" s="3105"/>
      <c r="AE26" s="1070"/>
    </row>
    <row r="27" spans="1:31" x14ac:dyDescent="0.3">
      <c r="A27" s="1070"/>
      <c r="B27" s="1070"/>
      <c r="C27" s="1078">
        <f t="shared" si="0"/>
        <v>16</v>
      </c>
      <c r="D27" s="1083"/>
      <c r="E27" s="1084"/>
      <c r="F27" s="1078">
        <f>ROW(Input!D57)</f>
        <v>57</v>
      </c>
      <c r="G27" s="1078"/>
      <c r="H27" s="3106" t="s">
        <v>1046</v>
      </c>
      <c r="I27" s="3106"/>
      <c r="J27" s="3106"/>
      <c r="K27" s="3106"/>
      <c r="L27" s="3106"/>
      <c r="M27" s="3106"/>
      <c r="N27" s="3106"/>
      <c r="O27" s="3106"/>
      <c r="P27" s="3106"/>
      <c r="Q27" s="3106"/>
      <c r="R27" s="3106"/>
      <c r="S27" s="3106"/>
      <c r="T27" s="3106"/>
      <c r="U27" s="3106"/>
      <c r="V27" s="3106"/>
      <c r="W27" s="3106"/>
      <c r="X27" s="3106"/>
      <c r="Y27" s="3106"/>
      <c r="Z27" s="3106"/>
      <c r="AA27" s="3106"/>
      <c r="AB27" s="3106"/>
      <c r="AC27" s="3106"/>
      <c r="AD27" s="3106"/>
      <c r="AE27" s="1070"/>
    </row>
    <row r="28" spans="1:31" ht="45" customHeight="1" x14ac:dyDescent="0.3">
      <c r="A28" s="1070"/>
      <c r="B28" s="1070"/>
      <c r="C28" s="1078">
        <f t="shared" si="0"/>
        <v>17</v>
      </c>
      <c r="D28" s="1083" t="str">
        <f>HLOOKUP(COLUMN(Input!D58),FT_PPD_DD!$A$116:$DZ$117,2,0)</f>
        <v>D</v>
      </c>
      <c r="E28" s="1084" t="str">
        <f>HLOOKUP(COLUMN(Input!H63),FT_PPD_DD!$A$116:$DZ$117,2,0)</f>
        <v>H</v>
      </c>
      <c r="F28" s="1078">
        <f>ROW(Input!D58)</f>
        <v>58</v>
      </c>
      <c r="G28" s="1078">
        <f>ROW(Input!E63)</f>
        <v>63</v>
      </c>
      <c r="H28" s="3106" t="s">
        <v>1047</v>
      </c>
      <c r="I28" s="3106"/>
      <c r="J28" s="3106"/>
      <c r="K28" s="3106"/>
      <c r="L28" s="3106"/>
      <c r="M28" s="3106"/>
      <c r="N28" s="3106"/>
      <c r="O28" s="3106"/>
      <c r="P28" s="3106"/>
      <c r="Q28" s="3106"/>
      <c r="R28" s="3106"/>
      <c r="S28" s="3106"/>
      <c r="T28" s="3106"/>
      <c r="U28" s="3106"/>
      <c r="V28" s="3106"/>
      <c r="W28" s="3106"/>
      <c r="X28" s="3106"/>
      <c r="Y28" s="3106"/>
      <c r="Z28" s="3106"/>
      <c r="AA28" s="3106"/>
      <c r="AB28" s="3106"/>
      <c r="AC28" s="3106"/>
      <c r="AD28" s="3106"/>
      <c r="AE28" s="1070"/>
    </row>
    <row r="29" spans="1:31" x14ac:dyDescent="0.3">
      <c r="A29" s="1070"/>
      <c r="B29" s="1070"/>
      <c r="C29" s="1078">
        <f t="shared" si="0"/>
        <v>18</v>
      </c>
      <c r="D29" s="1083"/>
      <c r="E29" s="1084"/>
      <c r="F29" s="1078">
        <f>ROW(Input!D66)</f>
        <v>66</v>
      </c>
      <c r="G29" s="1078"/>
      <c r="H29" s="3105" t="s">
        <v>1048</v>
      </c>
      <c r="I29" s="3105"/>
      <c r="J29" s="3105"/>
      <c r="K29" s="3105"/>
      <c r="L29" s="3105"/>
      <c r="M29" s="3105"/>
      <c r="N29" s="3105"/>
      <c r="O29" s="3105"/>
      <c r="P29" s="3105"/>
      <c r="Q29" s="3105"/>
      <c r="R29" s="3105"/>
      <c r="S29" s="3105"/>
      <c r="T29" s="3105"/>
      <c r="U29" s="3105"/>
      <c r="V29" s="3105"/>
      <c r="W29" s="3105"/>
      <c r="X29" s="3105"/>
      <c r="Y29" s="3105"/>
      <c r="Z29" s="3105"/>
      <c r="AA29" s="3105"/>
      <c r="AB29" s="3105"/>
      <c r="AC29" s="3105"/>
      <c r="AD29" s="3105"/>
      <c r="AE29" s="1070"/>
    </row>
    <row r="30" spans="1:31" x14ac:dyDescent="0.3">
      <c r="A30" s="1070"/>
      <c r="B30" s="1070"/>
      <c r="C30" s="1078">
        <f t="shared" si="0"/>
        <v>19</v>
      </c>
      <c r="D30" s="1083"/>
      <c r="E30" s="1084"/>
      <c r="F30" s="1078">
        <f>ROW(Input!D67)</f>
        <v>67</v>
      </c>
      <c r="G30" s="1078"/>
      <c r="H30" s="3105" t="s">
        <v>1049</v>
      </c>
      <c r="I30" s="3105"/>
      <c r="J30" s="3105"/>
      <c r="K30" s="3105"/>
      <c r="L30" s="3105"/>
      <c r="M30" s="3105"/>
      <c r="N30" s="3105"/>
      <c r="O30" s="3105"/>
      <c r="P30" s="3105"/>
      <c r="Q30" s="3105"/>
      <c r="R30" s="3105"/>
      <c r="S30" s="3105"/>
      <c r="T30" s="3105"/>
      <c r="U30" s="3105"/>
      <c r="V30" s="3105"/>
      <c r="W30" s="3105"/>
      <c r="X30" s="3105"/>
      <c r="Y30" s="3105"/>
      <c r="Z30" s="3105"/>
      <c r="AA30" s="3105"/>
      <c r="AB30" s="3105"/>
      <c r="AC30" s="3105"/>
      <c r="AD30" s="3105"/>
      <c r="AE30" s="1070"/>
    </row>
    <row r="31" spans="1:31" x14ac:dyDescent="0.3">
      <c r="A31" s="1070"/>
      <c r="B31" s="1070"/>
      <c r="C31" s="1078">
        <f t="shared" si="0"/>
        <v>20</v>
      </c>
      <c r="D31" s="1083"/>
      <c r="E31" s="1084"/>
      <c r="F31" s="1078">
        <f>ROW(Input!D68)</f>
        <v>68</v>
      </c>
      <c r="G31" s="1078"/>
      <c r="H31" s="3106" t="s">
        <v>1050</v>
      </c>
      <c r="I31" s="3106"/>
      <c r="J31" s="3106"/>
      <c r="K31" s="3106"/>
      <c r="L31" s="3106"/>
      <c r="M31" s="3106"/>
      <c r="N31" s="3106"/>
      <c r="O31" s="3106"/>
      <c r="P31" s="3106"/>
      <c r="Q31" s="3106"/>
      <c r="R31" s="3106"/>
      <c r="S31" s="3106"/>
      <c r="T31" s="3106"/>
      <c r="U31" s="3106"/>
      <c r="V31" s="3106"/>
      <c r="W31" s="3106"/>
      <c r="X31" s="3106"/>
      <c r="Y31" s="3106"/>
      <c r="Z31" s="3106"/>
      <c r="AA31" s="3106"/>
      <c r="AB31" s="3106"/>
      <c r="AC31" s="3106"/>
      <c r="AD31" s="3106"/>
      <c r="AE31" s="1070"/>
    </row>
    <row r="32" spans="1:31" x14ac:dyDescent="0.3">
      <c r="A32" s="1070"/>
      <c r="B32" s="1070"/>
      <c r="C32" s="1078">
        <f t="shared" si="0"/>
        <v>21</v>
      </c>
      <c r="D32" s="1083"/>
      <c r="E32" s="1084"/>
      <c r="F32" s="1078">
        <f>ROW(Input!D69)</f>
        <v>69</v>
      </c>
      <c r="G32" s="1078"/>
      <c r="H32" s="3105" t="s">
        <v>1051</v>
      </c>
      <c r="I32" s="3105"/>
      <c r="J32" s="3105"/>
      <c r="K32" s="3105"/>
      <c r="L32" s="3105"/>
      <c r="M32" s="3105"/>
      <c r="N32" s="3105"/>
      <c r="O32" s="3105"/>
      <c r="P32" s="3105"/>
      <c r="Q32" s="3105"/>
      <c r="R32" s="3105"/>
      <c r="S32" s="3105"/>
      <c r="T32" s="3105"/>
      <c r="U32" s="3105"/>
      <c r="V32" s="3105"/>
      <c r="W32" s="3105"/>
      <c r="X32" s="3105"/>
      <c r="Y32" s="3105"/>
      <c r="Z32" s="3105"/>
      <c r="AA32" s="3105"/>
      <c r="AB32" s="3105"/>
      <c r="AC32" s="3105"/>
      <c r="AD32" s="3105"/>
      <c r="AE32" s="1070"/>
    </row>
    <row r="33" spans="1:31" x14ac:dyDescent="0.3">
      <c r="A33" s="1070"/>
      <c r="B33" s="1070"/>
      <c r="C33" s="1078">
        <f t="shared" si="0"/>
        <v>22</v>
      </c>
      <c r="D33" s="1083"/>
      <c r="E33" s="1084"/>
      <c r="F33" s="1078">
        <f>ROW(Input!D70)</f>
        <v>70</v>
      </c>
      <c r="G33" s="1078"/>
      <c r="H33" s="3105" t="s">
        <v>1052</v>
      </c>
      <c r="I33" s="3105"/>
      <c r="J33" s="3105"/>
      <c r="K33" s="3105"/>
      <c r="L33" s="3105"/>
      <c r="M33" s="3105"/>
      <c r="N33" s="3105"/>
      <c r="O33" s="3105"/>
      <c r="P33" s="3105"/>
      <c r="Q33" s="3105"/>
      <c r="R33" s="3105"/>
      <c r="S33" s="3105"/>
      <c r="T33" s="3105"/>
      <c r="U33" s="3105"/>
      <c r="V33" s="3105"/>
      <c r="W33" s="3105"/>
      <c r="X33" s="3105"/>
      <c r="Y33" s="3105"/>
      <c r="Z33" s="3105"/>
      <c r="AA33" s="3105"/>
      <c r="AB33" s="3105"/>
      <c r="AC33" s="3105"/>
      <c r="AD33" s="3105"/>
      <c r="AE33" s="1070"/>
    </row>
    <row r="34" spans="1:31" x14ac:dyDescent="0.3">
      <c r="A34" s="1070"/>
      <c r="B34" s="1070"/>
      <c r="C34" s="1078">
        <f t="shared" si="0"/>
        <v>23</v>
      </c>
      <c r="D34" s="1083"/>
      <c r="E34" s="1084"/>
      <c r="F34" s="1078">
        <f>ROW(Input!D71)</f>
        <v>71</v>
      </c>
      <c r="G34" s="1078"/>
      <c r="H34" s="3105" t="s">
        <v>1053</v>
      </c>
      <c r="I34" s="3105"/>
      <c r="J34" s="3105"/>
      <c r="K34" s="3105"/>
      <c r="L34" s="3105"/>
      <c r="M34" s="3105"/>
      <c r="N34" s="3105"/>
      <c r="O34" s="3105"/>
      <c r="P34" s="3105"/>
      <c r="Q34" s="3105"/>
      <c r="R34" s="3105"/>
      <c r="S34" s="3105"/>
      <c r="T34" s="3105"/>
      <c r="U34" s="3105"/>
      <c r="V34" s="3105"/>
      <c r="W34" s="3105"/>
      <c r="X34" s="3105"/>
      <c r="Y34" s="3105"/>
      <c r="Z34" s="3105"/>
      <c r="AA34" s="3105"/>
      <c r="AB34" s="3105"/>
      <c r="AC34" s="3105"/>
      <c r="AD34" s="3105"/>
      <c r="AE34" s="1070"/>
    </row>
    <row r="35" spans="1:31" ht="28.5" customHeight="1" x14ac:dyDescent="0.3">
      <c r="A35" s="1070"/>
      <c r="B35" s="1070"/>
      <c r="C35" s="1078">
        <f t="shared" si="0"/>
        <v>24</v>
      </c>
      <c r="D35" s="1083"/>
      <c r="E35" s="1084"/>
      <c r="F35" s="1078">
        <f>ROW(Input!D72)</f>
        <v>72</v>
      </c>
      <c r="G35" s="1078"/>
      <c r="H35" s="3103" t="s">
        <v>1054</v>
      </c>
      <c r="I35" s="3103"/>
      <c r="J35" s="3103"/>
      <c r="K35" s="3103"/>
      <c r="L35" s="3103"/>
      <c r="M35" s="3103"/>
      <c r="N35" s="3103"/>
      <c r="O35" s="3103"/>
      <c r="P35" s="3103"/>
      <c r="Q35" s="3103"/>
      <c r="R35" s="3103"/>
      <c r="S35" s="3103"/>
      <c r="T35" s="3103"/>
      <c r="U35" s="3103"/>
      <c r="V35" s="3103"/>
      <c r="W35" s="3103"/>
      <c r="X35" s="3103"/>
      <c r="Y35" s="3103"/>
      <c r="Z35" s="3103"/>
      <c r="AA35" s="3103"/>
      <c r="AB35" s="3103"/>
      <c r="AC35" s="3103"/>
      <c r="AD35" s="3103"/>
      <c r="AE35" s="1070"/>
    </row>
    <row r="36" spans="1:31" x14ac:dyDescent="0.3">
      <c r="A36" s="1070"/>
      <c r="B36" s="1070"/>
      <c r="C36" s="1078">
        <f t="shared" si="0"/>
        <v>25</v>
      </c>
      <c r="D36" s="1083"/>
      <c r="E36" s="1084"/>
      <c r="F36" s="1078">
        <f>ROW(Input!D73)</f>
        <v>73</v>
      </c>
      <c r="G36" s="1078"/>
      <c r="H36" s="3104" t="s">
        <v>1055</v>
      </c>
      <c r="I36" s="3104"/>
      <c r="J36" s="3104"/>
      <c r="K36" s="3104"/>
      <c r="L36" s="3104"/>
      <c r="M36" s="3104"/>
      <c r="N36" s="3104"/>
      <c r="O36" s="3104"/>
      <c r="P36" s="3104"/>
      <c r="Q36" s="3104"/>
      <c r="R36" s="3104"/>
      <c r="S36" s="3104"/>
      <c r="T36" s="3104"/>
      <c r="U36" s="3104"/>
      <c r="V36" s="3104"/>
      <c r="W36" s="3104"/>
      <c r="X36" s="3104"/>
      <c r="Y36" s="3104"/>
      <c r="Z36" s="3104"/>
      <c r="AA36" s="3104"/>
      <c r="AB36" s="3104"/>
      <c r="AC36" s="3104"/>
      <c r="AD36" s="3104"/>
      <c r="AE36" s="1070"/>
    </row>
    <row r="37" spans="1:31" x14ac:dyDescent="0.3">
      <c r="A37" s="1070"/>
      <c r="B37" s="1070"/>
      <c r="C37" s="1078">
        <f t="shared" si="0"/>
        <v>26</v>
      </c>
      <c r="D37" s="1083"/>
      <c r="E37" s="1084"/>
      <c r="F37" s="1078">
        <f>ROW(Input!D74)</f>
        <v>74</v>
      </c>
      <c r="G37" s="1078"/>
      <c r="H37" s="3105" t="s">
        <v>1056</v>
      </c>
      <c r="I37" s="3105"/>
      <c r="J37" s="3105"/>
      <c r="K37" s="3105"/>
      <c r="L37" s="3105"/>
      <c r="M37" s="3105"/>
      <c r="N37" s="3105"/>
      <c r="O37" s="3105"/>
      <c r="P37" s="3105"/>
      <c r="Q37" s="3105"/>
      <c r="R37" s="3105"/>
      <c r="S37" s="3105"/>
      <c r="T37" s="3105"/>
      <c r="U37" s="3105"/>
      <c r="V37" s="3105"/>
      <c r="W37" s="3105"/>
      <c r="X37" s="3105"/>
      <c r="Y37" s="3105"/>
      <c r="Z37" s="3105"/>
      <c r="AA37" s="3105"/>
      <c r="AB37" s="3105"/>
      <c r="AC37" s="3105"/>
      <c r="AD37" s="3105"/>
      <c r="AE37" s="1070"/>
    </row>
    <row r="38" spans="1:31" ht="31.5" customHeight="1" x14ac:dyDescent="0.3">
      <c r="A38" s="1070"/>
      <c r="B38" s="1070"/>
      <c r="C38" s="1078">
        <f t="shared" si="0"/>
        <v>27</v>
      </c>
      <c r="D38" s="1083"/>
      <c r="E38" s="1084"/>
      <c r="F38" s="1078">
        <f>ROW(Input!D76)</f>
        <v>76</v>
      </c>
      <c r="G38" s="1078">
        <f>ROW(Input!E78)</f>
        <v>78</v>
      </c>
      <c r="H38" s="3106" t="s">
        <v>1057</v>
      </c>
      <c r="I38" s="3106"/>
      <c r="J38" s="3106"/>
      <c r="K38" s="3106"/>
      <c r="L38" s="3106"/>
      <c r="M38" s="3106"/>
      <c r="N38" s="3106"/>
      <c r="O38" s="3106"/>
      <c r="P38" s="3106"/>
      <c r="Q38" s="3106"/>
      <c r="R38" s="3106"/>
      <c r="S38" s="3106"/>
      <c r="T38" s="3106"/>
      <c r="U38" s="3106"/>
      <c r="V38" s="3106"/>
      <c r="W38" s="3106"/>
      <c r="X38" s="3106"/>
      <c r="Y38" s="3106"/>
      <c r="Z38" s="3106"/>
      <c r="AA38" s="3106"/>
      <c r="AB38" s="3106"/>
      <c r="AC38" s="3106"/>
      <c r="AD38" s="3106"/>
      <c r="AE38" s="1070"/>
    </row>
    <row r="39" spans="1:31" x14ac:dyDescent="0.3">
      <c r="A39" s="1070"/>
      <c r="B39" s="1070"/>
      <c r="C39" s="1078">
        <f t="shared" si="0"/>
        <v>28</v>
      </c>
      <c r="D39" s="1083" t="str">
        <f>HLOOKUP(COLUMN(Input!B81),FT_PPD_DD!$A$116:$DZ$117,2,0)</f>
        <v>B</v>
      </c>
      <c r="E39" s="1084"/>
      <c r="F39" s="1078">
        <f>ROW(Input!D81)</f>
        <v>81</v>
      </c>
      <c r="G39" s="1078"/>
      <c r="H39" s="3105" t="s">
        <v>1058</v>
      </c>
      <c r="I39" s="3105"/>
      <c r="J39" s="3105"/>
      <c r="K39" s="3105"/>
      <c r="L39" s="3105"/>
      <c r="M39" s="3105"/>
      <c r="N39" s="3105"/>
      <c r="O39" s="3105"/>
      <c r="P39" s="3105"/>
      <c r="Q39" s="3105"/>
      <c r="R39" s="3105"/>
      <c r="S39" s="3105"/>
      <c r="T39" s="3105"/>
      <c r="U39" s="3105"/>
      <c r="V39" s="3105"/>
      <c r="W39" s="3105"/>
      <c r="X39" s="3105"/>
      <c r="Y39" s="3105"/>
      <c r="Z39" s="3105"/>
      <c r="AA39" s="3105"/>
      <c r="AB39" s="3105"/>
      <c r="AC39" s="3105"/>
      <c r="AD39" s="3105"/>
      <c r="AE39" s="1070"/>
    </row>
    <row r="40" spans="1:31" x14ac:dyDescent="0.3">
      <c r="A40" s="1070"/>
      <c r="B40" s="1070"/>
      <c r="C40" s="1078">
        <f t="shared" si="0"/>
        <v>29</v>
      </c>
      <c r="D40" s="1083"/>
      <c r="E40" s="1084"/>
      <c r="F40" s="1078">
        <f>ROW(Input!D82)</f>
        <v>82</v>
      </c>
      <c r="G40" s="1078"/>
      <c r="H40" s="3105" t="s">
        <v>1059</v>
      </c>
      <c r="I40" s="3105"/>
      <c r="J40" s="3105"/>
      <c r="K40" s="3105"/>
      <c r="L40" s="3105"/>
      <c r="M40" s="3105"/>
      <c r="N40" s="3105"/>
      <c r="O40" s="3105"/>
      <c r="P40" s="3105"/>
      <c r="Q40" s="3105"/>
      <c r="R40" s="3105"/>
      <c r="S40" s="3105"/>
      <c r="T40" s="3105"/>
      <c r="U40" s="3105"/>
      <c r="V40" s="3105"/>
      <c r="W40" s="3105"/>
      <c r="X40" s="3105"/>
      <c r="Y40" s="3105"/>
      <c r="Z40" s="3105"/>
      <c r="AA40" s="3105"/>
      <c r="AB40" s="3105"/>
      <c r="AC40" s="3105"/>
      <c r="AD40" s="3105"/>
      <c r="AE40" s="1070"/>
    </row>
    <row r="41" spans="1:31" x14ac:dyDescent="0.3">
      <c r="A41" s="1070"/>
      <c r="B41" s="1070"/>
      <c r="C41" s="1078">
        <f t="shared" si="0"/>
        <v>30</v>
      </c>
      <c r="D41" s="1083"/>
      <c r="E41" s="1084"/>
      <c r="F41" s="1078">
        <f>ROW(Input!D83)</f>
        <v>83</v>
      </c>
      <c r="G41" s="1078"/>
      <c r="H41" s="3105" t="s">
        <v>1060</v>
      </c>
      <c r="I41" s="3105"/>
      <c r="J41" s="3105"/>
      <c r="K41" s="3105"/>
      <c r="L41" s="3105"/>
      <c r="M41" s="3105"/>
      <c r="N41" s="3105"/>
      <c r="O41" s="3105"/>
      <c r="P41" s="3105"/>
      <c r="Q41" s="3105"/>
      <c r="R41" s="3105"/>
      <c r="S41" s="3105"/>
      <c r="T41" s="3105"/>
      <c r="U41" s="3105"/>
      <c r="V41" s="3105"/>
      <c r="W41" s="3105"/>
      <c r="X41" s="3105"/>
      <c r="Y41" s="3105"/>
      <c r="Z41" s="3105"/>
      <c r="AA41" s="3105"/>
      <c r="AB41" s="3105"/>
      <c r="AC41" s="3105"/>
      <c r="AD41" s="3105"/>
      <c r="AE41" s="1070"/>
    </row>
    <row r="42" spans="1:31" x14ac:dyDescent="0.3">
      <c r="A42" s="1070"/>
      <c r="B42" s="1070"/>
      <c r="C42" s="1078">
        <f t="shared" si="0"/>
        <v>31</v>
      </c>
      <c r="D42" s="1083"/>
      <c r="E42" s="1084"/>
      <c r="F42" s="1078">
        <f>ROW(Input!D84)</f>
        <v>84</v>
      </c>
      <c r="G42" s="1078"/>
      <c r="H42" s="3105" t="s">
        <v>1061</v>
      </c>
      <c r="I42" s="3105"/>
      <c r="J42" s="3105"/>
      <c r="K42" s="3105"/>
      <c r="L42" s="3105"/>
      <c r="M42" s="3105"/>
      <c r="N42" s="3105"/>
      <c r="O42" s="3105"/>
      <c r="P42" s="3105"/>
      <c r="Q42" s="3105"/>
      <c r="R42" s="3105"/>
      <c r="S42" s="3105"/>
      <c r="T42" s="3105"/>
      <c r="U42" s="3105"/>
      <c r="V42" s="3105"/>
      <c r="W42" s="3105"/>
      <c r="X42" s="3105"/>
      <c r="Y42" s="3105"/>
      <c r="Z42" s="3105"/>
      <c r="AA42" s="3105"/>
      <c r="AB42" s="3105"/>
      <c r="AC42" s="3105"/>
      <c r="AD42" s="3105"/>
      <c r="AE42" s="1070"/>
    </row>
    <row r="43" spans="1:31" x14ac:dyDescent="0.3">
      <c r="A43" s="1070"/>
      <c r="B43" s="1070"/>
      <c r="C43" s="1078">
        <f t="shared" si="0"/>
        <v>32</v>
      </c>
      <c r="D43" s="1083"/>
      <c r="E43" s="1084"/>
      <c r="F43" s="1078">
        <f>ROW(Input!D85)</f>
        <v>85</v>
      </c>
      <c r="G43" s="1078"/>
      <c r="H43" s="3107" t="s">
        <v>1062</v>
      </c>
      <c r="I43" s="3107"/>
      <c r="J43" s="3107"/>
      <c r="K43" s="3107"/>
      <c r="L43" s="3107"/>
      <c r="M43" s="3107"/>
      <c r="N43" s="3107"/>
      <c r="O43" s="3107"/>
      <c r="P43" s="3107"/>
      <c r="Q43" s="3107"/>
      <c r="R43" s="3107"/>
      <c r="S43" s="3107"/>
      <c r="T43" s="3107"/>
      <c r="U43" s="3107"/>
      <c r="V43" s="3107"/>
      <c r="W43" s="3107"/>
      <c r="X43" s="3107"/>
      <c r="Y43" s="3107"/>
      <c r="Z43" s="3107"/>
      <c r="AA43" s="3107"/>
      <c r="AB43" s="3107"/>
      <c r="AC43" s="3107"/>
      <c r="AD43" s="3107"/>
      <c r="AE43" s="1070"/>
    </row>
    <row r="44" spans="1:31" x14ac:dyDescent="0.3">
      <c r="A44" s="1070"/>
      <c r="B44" s="1070"/>
      <c r="C44" s="1078">
        <f t="shared" si="0"/>
        <v>33</v>
      </c>
      <c r="D44" s="1083"/>
      <c r="E44" s="1084"/>
      <c r="F44" s="1078">
        <f>ROW(Input!D86)</f>
        <v>86</v>
      </c>
      <c r="G44" s="1078"/>
      <c r="H44" s="3107" t="s">
        <v>1063</v>
      </c>
      <c r="I44" s="3107"/>
      <c r="J44" s="3107"/>
      <c r="K44" s="3107"/>
      <c r="L44" s="3107"/>
      <c r="M44" s="3107"/>
      <c r="N44" s="3107"/>
      <c r="O44" s="3107"/>
      <c r="P44" s="3107"/>
      <c r="Q44" s="3107"/>
      <c r="R44" s="3107"/>
      <c r="S44" s="3107"/>
      <c r="T44" s="3107"/>
      <c r="U44" s="3107"/>
      <c r="V44" s="3107"/>
      <c r="W44" s="3107"/>
      <c r="X44" s="3107"/>
      <c r="Y44" s="3107"/>
      <c r="Z44" s="3107"/>
      <c r="AA44" s="3107"/>
      <c r="AB44" s="3107"/>
      <c r="AC44" s="3107"/>
      <c r="AD44" s="3107"/>
      <c r="AE44" s="1070"/>
    </row>
    <row r="45" spans="1:31" x14ac:dyDescent="0.3">
      <c r="A45" s="1070"/>
      <c r="B45" s="1070"/>
      <c r="C45" s="1078">
        <f t="shared" si="0"/>
        <v>34</v>
      </c>
      <c r="D45" s="1083"/>
      <c r="E45" s="1084"/>
      <c r="F45" s="1078">
        <f>ROW(Input!D87)</f>
        <v>87</v>
      </c>
      <c r="G45" s="1078"/>
      <c r="H45" s="3107" t="s">
        <v>1064</v>
      </c>
      <c r="I45" s="3107"/>
      <c r="J45" s="3107"/>
      <c r="K45" s="3107"/>
      <c r="L45" s="3107"/>
      <c r="M45" s="3107"/>
      <c r="N45" s="3107"/>
      <c r="O45" s="3107"/>
      <c r="P45" s="3107"/>
      <c r="Q45" s="3107"/>
      <c r="R45" s="3107"/>
      <c r="S45" s="3107"/>
      <c r="T45" s="3107"/>
      <c r="U45" s="3107"/>
      <c r="V45" s="3107"/>
      <c r="W45" s="3107"/>
      <c r="X45" s="3107"/>
      <c r="Y45" s="3107"/>
      <c r="Z45" s="3107"/>
      <c r="AA45" s="3107"/>
      <c r="AB45" s="3107"/>
      <c r="AC45" s="3107"/>
      <c r="AD45" s="3107"/>
      <c r="AE45" s="1070"/>
    </row>
    <row r="46" spans="1:31" x14ac:dyDescent="0.3">
      <c r="A46" s="1070"/>
      <c r="B46" s="1070"/>
      <c r="C46" s="1078">
        <f t="shared" si="0"/>
        <v>35</v>
      </c>
      <c r="D46" s="1083" t="str">
        <f>HLOOKUP(COLUMN(Input!D88),FT_PPD_DD!$A$116:$DZ$117,2,0)</f>
        <v>D</v>
      </c>
      <c r="E46" s="1084"/>
      <c r="F46" s="1078">
        <f>ROW(Input!D88)</f>
        <v>88</v>
      </c>
      <c r="G46" s="1078"/>
      <c r="H46" s="3107" t="s">
        <v>1065</v>
      </c>
      <c r="I46" s="3107"/>
      <c r="J46" s="3107"/>
      <c r="K46" s="3107"/>
      <c r="L46" s="3107"/>
      <c r="M46" s="3107"/>
      <c r="N46" s="3107"/>
      <c r="O46" s="3107"/>
      <c r="P46" s="3107"/>
      <c r="Q46" s="3107"/>
      <c r="R46" s="3107"/>
      <c r="S46" s="3107"/>
      <c r="T46" s="3107"/>
      <c r="U46" s="3107"/>
      <c r="V46" s="3107"/>
      <c r="W46" s="3107"/>
      <c r="X46" s="3107"/>
      <c r="Y46" s="3107"/>
      <c r="Z46" s="3107"/>
      <c r="AA46" s="3107"/>
      <c r="AB46" s="3107"/>
      <c r="AC46" s="3107"/>
      <c r="AD46" s="3107"/>
      <c r="AE46" s="1070"/>
    </row>
    <row r="47" spans="1:31" x14ac:dyDescent="0.3">
      <c r="A47" s="1070"/>
      <c r="B47" s="1070"/>
      <c r="C47" s="1078">
        <f t="shared" si="0"/>
        <v>36</v>
      </c>
      <c r="D47" s="1083"/>
      <c r="E47" s="1084"/>
      <c r="F47" s="1078">
        <f>ROW(Input!D89)</f>
        <v>89</v>
      </c>
      <c r="G47" s="1078"/>
      <c r="H47" s="3107" t="s">
        <v>1066</v>
      </c>
      <c r="I47" s="3107"/>
      <c r="J47" s="3107"/>
      <c r="K47" s="3107"/>
      <c r="L47" s="3107"/>
      <c r="M47" s="3107"/>
      <c r="N47" s="3107"/>
      <c r="O47" s="3107"/>
      <c r="P47" s="3107"/>
      <c r="Q47" s="3107"/>
      <c r="R47" s="3107"/>
      <c r="S47" s="3107"/>
      <c r="T47" s="3107"/>
      <c r="U47" s="3107"/>
      <c r="V47" s="3107"/>
      <c r="W47" s="3107"/>
      <c r="X47" s="3107"/>
      <c r="Y47" s="3107"/>
      <c r="Z47" s="3107"/>
      <c r="AA47" s="3107"/>
      <c r="AB47" s="3107"/>
      <c r="AC47" s="3107"/>
      <c r="AD47" s="3107"/>
      <c r="AE47" s="1070"/>
    </row>
    <row r="48" spans="1:31" x14ac:dyDescent="0.3">
      <c r="A48" s="1070"/>
      <c r="B48" s="1070"/>
      <c r="C48" s="1078">
        <f t="shared" si="0"/>
        <v>37</v>
      </c>
      <c r="D48" s="1083"/>
      <c r="E48" s="1084"/>
      <c r="F48" s="1078">
        <f>ROW(Input!D92)</f>
        <v>92</v>
      </c>
      <c r="G48" s="1078"/>
      <c r="H48" s="3107" t="s">
        <v>1067</v>
      </c>
      <c r="I48" s="3107"/>
      <c r="J48" s="3107"/>
      <c r="K48" s="3107"/>
      <c r="L48" s="3107"/>
      <c r="M48" s="3107"/>
      <c r="N48" s="3107"/>
      <c r="O48" s="3107"/>
      <c r="P48" s="3107"/>
      <c r="Q48" s="3107"/>
      <c r="R48" s="3107"/>
      <c r="S48" s="3107"/>
      <c r="T48" s="3107"/>
      <c r="U48" s="3107"/>
      <c r="V48" s="3107"/>
      <c r="W48" s="3107"/>
      <c r="X48" s="3107"/>
      <c r="Y48" s="3107"/>
      <c r="Z48" s="3107"/>
      <c r="AA48" s="3107"/>
      <c r="AB48" s="3107"/>
      <c r="AC48" s="3107"/>
      <c r="AD48" s="3107"/>
      <c r="AE48" s="1070"/>
    </row>
    <row r="49" spans="1:31" x14ac:dyDescent="0.3">
      <c r="A49" s="1070"/>
      <c r="B49" s="1070"/>
      <c r="C49" s="1078">
        <f t="shared" si="0"/>
        <v>38</v>
      </c>
      <c r="D49" s="1083"/>
      <c r="E49" s="1084"/>
      <c r="F49" s="1078">
        <f>ROW(Input!D93)</f>
        <v>93</v>
      </c>
      <c r="G49" s="1078"/>
      <c r="H49" s="3107" t="s">
        <v>1068</v>
      </c>
      <c r="I49" s="3107"/>
      <c r="J49" s="3107"/>
      <c r="K49" s="3107"/>
      <c r="L49" s="3107"/>
      <c r="M49" s="3107"/>
      <c r="N49" s="3107"/>
      <c r="O49" s="3107"/>
      <c r="P49" s="3107"/>
      <c r="Q49" s="3107"/>
      <c r="R49" s="3107"/>
      <c r="S49" s="3107"/>
      <c r="T49" s="3107"/>
      <c r="U49" s="3107"/>
      <c r="V49" s="3107"/>
      <c r="W49" s="3107"/>
      <c r="X49" s="3107"/>
      <c r="Y49" s="3107"/>
      <c r="Z49" s="3107"/>
      <c r="AA49" s="3107"/>
      <c r="AB49" s="3107"/>
      <c r="AC49" s="3107"/>
      <c r="AD49" s="3107"/>
      <c r="AE49" s="1070"/>
    </row>
    <row r="50" spans="1:31" x14ac:dyDescent="0.3">
      <c r="A50" s="1070"/>
      <c r="B50" s="1070"/>
      <c r="C50" s="1078">
        <f t="shared" si="0"/>
        <v>39</v>
      </c>
      <c r="D50" s="1083"/>
      <c r="E50" s="1084"/>
      <c r="F50" s="1078">
        <f>ROW(Input!D94)</f>
        <v>94</v>
      </c>
      <c r="G50" s="1078"/>
      <c r="H50" s="3107" t="s">
        <v>1069</v>
      </c>
      <c r="I50" s="3107"/>
      <c r="J50" s="3107"/>
      <c r="K50" s="3107"/>
      <c r="L50" s="3107"/>
      <c r="M50" s="3107"/>
      <c r="N50" s="3107"/>
      <c r="O50" s="3107"/>
      <c r="P50" s="3107"/>
      <c r="Q50" s="3107"/>
      <c r="R50" s="3107"/>
      <c r="S50" s="3107"/>
      <c r="T50" s="3107"/>
      <c r="U50" s="3107"/>
      <c r="V50" s="3107"/>
      <c r="W50" s="3107"/>
      <c r="X50" s="3107"/>
      <c r="Y50" s="3107"/>
      <c r="Z50" s="3107"/>
      <c r="AA50" s="3107"/>
      <c r="AB50" s="3107"/>
      <c r="AC50" s="3107"/>
      <c r="AD50" s="3107"/>
      <c r="AE50" s="1070"/>
    </row>
    <row r="51" spans="1:31" ht="28.5" customHeight="1" x14ac:dyDescent="0.3">
      <c r="A51" s="1070"/>
      <c r="B51" s="1070"/>
      <c r="C51" s="1078">
        <f t="shared" si="0"/>
        <v>40</v>
      </c>
      <c r="D51" s="1083" t="str">
        <f>HLOOKUP(COLUMN(Input!B99),FT_PPD_DD!$A$116:$DZ$117,2,0)</f>
        <v>B</v>
      </c>
      <c r="E51" s="1084" t="str">
        <f>HLOOKUP(COLUMN(Input!E105),FT_PPD_DD!$A$116:$DZ$117,2,0)</f>
        <v>E</v>
      </c>
      <c r="F51" s="1078">
        <f>ROW(Input!D99)</f>
        <v>99</v>
      </c>
      <c r="G51" s="1078">
        <f>ROW(Input!E105)</f>
        <v>105</v>
      </c>
      <c r="H51" s="3108" t="s">
        <v>1070</v>
      </c>
      <c r="I51" s="3108"/>
      <c r="J51" s="3108"/>
      <c r="K51" s="3108"/>
      <c r="L51" s="3108"/>
      <c r="M51" s="3108"/>
      <c r="N51" s="3108"/>
      <c r="O51" s="3108"/>
      <c r="P51" s="3108"/>
      <c r="Q51" s="3108"/>
      <c r="R51" s="3108"/>
      <c r="S51" s="3108"/>
      <c r="T51" s="3108"/>
      <c r="U51" s="3108"/>
      <c r="V51" s="3108"/>
      <c r="W51" s="3108"/>
      <c r="X51" s="3108"/>
      <c r="Y51" s="3108"/>
      <c r="Z51" s="3108"/>
      <c r="AA51" s="3108"/>
      <c r="AB51" s="3108"/>
      <c r="AC51" s="3108"/>
      <c r="AD51" s="3108"/>
      <c r="AE51" s="1070"/>
    </row>
    <row r="52" spans="1:31" x14ac:dyDescent="0.3">
      <c r="A52" s="1070"/>
      <c r="B52" s="1070"/>
      <c r="C52" s="1078">
        <f t="shared" si="0"/>
        <v>41</v>
      </c>
      <c r="D52" s="1083"/>
      <c r="E52" s="1084"/>
      <c r="F52" s="1078">
        <f>ROW(Input!D96)</f>
        <v>96</v>
      </c>
      <c r="G52" s="1078"/>
      <c r="H52" s="3109" t="s">
        <v>1071</v>
      </c>
      <c r="I52" s="3109"/>
      <c r="J52" s="3109"/>
      <c r="K52" s="3109"/>
      <c r="L52" s="3109"/>
      <c r="M52" s="3109"/>
      <c r="N52" s="3109"/>
      <c r="O52" s="3109"/>
      <c r="P52" s="3109"/>
      <c r="Q52" s="3109"/>
      <c r="R52" s="3109"/>
      <c r="S52" s="3109"/>
      <c r="T52" s="3109"/>
      <c r="U52" s="3109"/>
      <c r="V52" s="3109"/>
      <c r="W52" s="3109"/>
      <c r="X52" s="3109"/>
      <c r="Y52" s="3109"/>
      <c r="Z52" s="3109"/>
      <c r="AA52" s="3109"/>
      <c r="AB52" s="3109"/>
      <c r="AC52" s="3109"/>
      <c r="AD52" s="3109"/>
      <c r="AE52" s="1070"/>
    </row>
    <row r="53" spans="1:31" x14ac:dyDescent="0.3">
      <c r="A53" s="1070"/>
      <c r="B53" s="1070"/>
      <c r="C53" s="1078">
        <f t="shared" si="0"/>
        <v>42</v>
      </c>
      <c r="D53" s="1083" t="str">
        <f>HLOOKUP(COLUMN(Input!B39),FT_PPD_DD!$A$116:$DZ$117,2,0)</f>
        <v>B</v>
      </c>
      <c r="E53" s="1084" t="str">
        <f>HLOOKUP(COLUMN(Input!E44),FT_PPD_DD!$A$116:$DZ$117,2,0)</f>
        <v>E</v>
      </c>
      <c r="F53" s="1078">
        <f>ROW(Input!D39)</f>
        <v>39</v>
      </c>
      <c r="G53" s="1078">
        <f>ROW(Input!E44)</f>
        <v>44</v>
      </c>
      <c r="H53" s="3109" t="s">
        <v>1072</v>
      </c>
      <c r="I53" s="3109"/>
      <c r="J53" s="3109"/>
      <c r="K53" s="3109"/>
      <c r="L53" s="3109"/>
      <c r="M53" s="3109"/>
      <c r="N53" s="3109"/>
      <c r="O53" s="3109"/>
      <c r="P53" s="3109"/>
      <c r="Q53" s="3109"/>
      <c r="R53" s="3109"/>
      <c r="S53" s="3109"/>
      <c r="T53" s="3109"/>
      <c r="U53" s="3109"/>
      <c r="V53" s="3109"/>
      <c r="W53" s="3109"/>
      <c r="X53" s="3109"/>
      <c r="Y53" s="3109"/>
      <c r="Z53" s="3109"/>
      <c r="AA53" s="3109"/>
      <c r="AB53" s="3109"/>
      <c r="AC53" s="3109"/>
      <c r="AD53" s="3109"/>
      <c r="AE53" s="1070"/>
    </row>
    <row r="54" spans="1:31" x14ac:dyDescent="0.3">
      <c r="A54" s="1070"/>
      <c r="B54" s="1070"/>
      <c r="C54" s="1070"/>
      <c r="D54" s="1070"/>
      <c r="E54" s="1070"/>
      <c r="F54" s="1070"/>
      <c r="G54" s="1070"/>
      <c r="H54" s="1070"/>
      <c r="I54" s="1070"/>
      <c r="J54" s="1070"/>
      <c r="K54" s="1070"/>
      <c r="L54" s="1070"/>
      <c r="M54" s="1070"/>
      <c r="N54" s="1070"/>
      <c r="O54" s="1070"/>
      <c r="P54" s="1070"/>
      <c r="Q54" s="1070"/>
      <c r="R54" s="1070"/>
      <c r="S54" s="1070"/>
      <c r="T54" s="1070"/>
      <c r="U54" s="1070"/>
      <c r="V54" s="1070"/>
      <c r="W54" s="1070"/>
      <c r="X54" s="1070"/>
      <c r="Y54" s="1070"/>
      <c r="Z54" s="1070"/>
      <c r="AA54" s="1070"/>
      <c r="AB54" s="1070"/>
      <c r="AC54" s="1070"/>
      <c r="AD54" s="1070"/>
      <c r="AE54" s="1070"/>
    </row>
    <row r="55" spans="1:31" x14ac:dyDescent="0.3">
      <c r="A55" s="1070"/>
      <c r="B55" s="1075" t="s">
        <v>1073</v>
      </c>
      <c r="C55" s="1076"/>
      <c r="D55" s="1076"/>
      <c r="E55" s="1076"/>
      <c r="F55" s="1076"/>
      <c r="G55" s="1076"/>
      <c r="H55" s="1076"/>
      <c r="I55" s="1076"/>
      <c r="J55" s="1076"/>
      <c r="K55" s="1076"/>
      <c r="L55" s="1076"/>
      <c r="M55" s="1076"/>
      <c r="N55" s="1076"/>
      <c r="O55" s="1076"/>
      <c r="P55" s="1076"/>
      <c r="Q55" s="1076"/>
      <c r="R55" s="1076"/>
      <c r="S55" s="1076"/>
      <c r="T55" s="1076"/>
      <c r="U55" s="1076"/>
      <c r="V55" s="1076"/>
      <c r="W55" s="1076"/>
      <c r="X55" s="1076"/>
      <c r="Y55" s="1076"/>
      <c r="Z55" s="1076"/>
      <c r="AA55" s="1076"/>
      <c r="AB55" s="1076"/>
      <c r="AC55" s="1076"/>
      <c r="AD55" s="1076"/>
      <c r="AE55" s="1070"/>
    </row>
    <row r="56" spans="1:31" ht="3.75" customHeight="1" x14ac:dyDescent="0.3">
      <c r="A56" s="1070"/>
      <c r="B56" s="1070"/>
      <c r="C56" s="1070"/>
      <c r="D56" s="1070"/>
      <c r="E56" s="1070"/>
      <c r="F56" s="1070"/>
      <c r="G56" s="1070"/>
      <c r="H56" s="1070"/>
      <c r="I56" s="1070"/>
      <c r="J56" s="1070"/>
      <c r="K56" s="1070"/>
      <c r="L56" s="1070"/>
      <c r="M56" s="1070"/>
      <c r="N56" s="1070"/>
      <c r="O56" s="1070"/>
      <c r="P56" s="1070"/>
      <c r="Q56" s="1070"/>
      <c r="R56" s="1070"/>
      <c r="S56" s="1070"/>
      <c r="T56" s="1070"/>
      <c r="U56" s="1070"/>
      <c r="V56" s="1070"/>
      <c r="W56" s="1070"/>
      <c r="X56" s="1070"/>
      <c r="Y56" s="1070"/>
      <c r="Z56" s="1070"/>
      <c r="AA56" s="1070"/>
      <c r="AB56" s="1070"/>
      <c r="AC56" s="1070"/>
      <c r="AD56" s="1070"/>
      <c r="AE56" s="1070"/>
    </row>
    <row r="57" spans="1:31" x14ac:dyDescent="0.3">
      <c r="A57" s="1070"/>
      <c r="B57" s="1077"/>
      <c r="C57" s="1077" t="s">
        <v>1074</v>
      </c>
      <c r="D57" s="1077"/>
      <c r="E57" s="1077"/>
      <c r="F57" s="1077"/>
      <c r="G57" s="1077"/>
      <c r="H57" s="1070"/>
      <c r="I57" s="1070"/>
      <c r="J57" s="1070"/>
      <c r="K57" s="1070"/>
      <c r="L57" s="1070"/>
      <c r="M57" s="1070"/>
      <c r="N57" s="1070"/>
      <c r="O57" s="1070"/>
      <c r="P57" s="1070"/>
      <c r="Q57" s="1070"/>
      <c r="R57" s="1070"/>
      <c r="S57" s="1070"/>
      <c r="T57" s="1070"/>
      <c r="U57" s="1070"/>
      <c r="V57" s="1070"/>
      <c r="W57" s="1070"/>
      <c r="X57" s="1070"/>
      <c r="Y57" s="1070"/>
      <c r="Z57" s="1070"/>
      <c r="AA57" s="1070"/>
      <c r="AB57" s="1070"/>
      <c r="AC57" s="1070"/>
      <c r="AD57" s="1070"/>
      <c r="AE57" s="1070"/>
    </row>
    <row r="58" spans="1:31" x14ac:dyDescent="0.3">
      <c r="A58" s="1070"/>
      <c r="B58" s="1077"/>
      <c r="C58" s="1070"/>
      <c r="E58" s="3110"/>
      <c r="F58" s="3111"/>
      <c r="G58" s="1070"/>
      <c r="H58" s="1070" t="s">
        <v>1075</v>
      </c>
      <c r="J58" s="1070"/>
      <c r="K58" s="1070"/>
      <c r="L58" s="1070"/>
      <c r="M58" s="1070"/>
      <c r="N58" s="1070"/>
      <c r="O58" s="1070"/>
      <c r="P58" s="1070"/>
      <c r="Q58" s="1070"/>
      <c r="R58" s="1070"/>
      <c r="S58" s="1070"/>
      <c r="T58" s="1070"/>
      <c r="U58" s="1070"/>
      <c r="V58" s="1070"/>
      <c r="W58" s="1070"/>
      <c r="X58" s="1070"/>
      <c r="Y58" s="1070"/>
      <c r="Z58" s="1070"/>
      <c r="AA58" s="1070"/>
      <c r="AB58" s="1070"/>
      <c r="AC58" s="1070"/>
      <c r="AD58" s="1070"/>
      <c r="AE58" s="1070"/>
    </row>
    <row r="59" spans="1:31" x14ac:dyDescent="0.3">
      <c r="A59" s="1070"/>
      <c r="B59" s="1077"/>
      <c r="C59" s="1070"/>
      <c r="E59" s="3112"/>
      <c r="F59" s="3113"/>
      <c r="G59" s="1070"/>
      <c r="H59" s="1070" t="s">
        <v>1076</v>
      </c>
      <c r="J59" s="1070"/>
      <c r="K59" s="1070"/>
      <c r="L59" s="1070"/>
      <c r="M59" s="1070"/>
      <c r="N59" s="1070"/>
      <c r="O59" s="1070"/>
      <c r="P59" s="1070"/>
      <c r="Q59" s="1070"/>
      <c r="R59" s="1070"/>
      <c r="S59" s="1070"/>
      <c r="T59" s="1070"/>
      <c r="U59" s="1070"/>
      <c r="V59" s="1070"/>
      <c r="W59" s="1070"/>
      <c r="X59" s="1070"/>
      <c r="Y59" s="1070"/>
      <c r="Z59" s="1070"/>
      <c r="AA59" s="1070"/>
      <c r="AB59" s="1070"/>
      <c r="AC59" s="1070"/>
      <c r="AD59" s="1070"/>
      <c r="AE59" s="1070"/>
    </row>
    <row r="60" spans="1:31" x14ac:dyDescent="0.3">
      <c r="A60" s="1070"/>
      <c r="B60" s="1077"/>
      <c r="C60" s="1070"/>
      <c r="E60" s="3114"/>
      <c r="F60" s="3115"/>
      <c r="G60" s="1070"/>
      <c r="H60" s="1070" t="s">
        <v>1077</v>
      </c>
      <c r="J60" s="1070"/>
      <c r="K60" s="1070"/>
      <c r="L60" s="1070"/>
      <c r="M60" s="1070"/>
      <c r="N60" s="1070"/>
      <c r="O60" s="1070"/>
      <c r="P60" s="1070"/>
      <c r="Q60" s="1070"/>
      <c r="R60" s="1070"/>
      <c r="S60" s="1070"/>
      <c r="T60" s="1070"/>
      <c r="U60" s="1070"/>
      <c r="V60" s="1070"/>
      <c r="W60" s="1070"/>
      <c r="X60" s="1070"/>
      <c r="Y60" s="1070"/>
      <c r="Z60" s="1070"/>
      <c r="AA60" s="1070"/>
      <c r="AB60" s="1070"/>
      <c r="AC60" s="1070"/>
      <c r="AD60" s="1070"/>
      <c r="AE60" s="1070"/>
    </row>
    <row r="61" spans="1:31" x14ac:dyDescent="0.3">
      <c r="A61" s="1070"/>
      <c r="B61" s="1077"/>
      <c r="C61" s="1070"/>
      <c r="E61" s="3116"/>
      <c r="F61" s="3117"/>
      <c r="G61" s="1070"/>
      <c r="H61" s="1070" t="s">
        <v>1078</v>
      </c>
      <c r="J61" s="1070"/>
      <c r="K61" s="1070"/>
      <c r="L61" s="1070"/>
      <c r="M61" s="1070"/>
      <c r="N61" s="1070"/>
      <c r="O61" s="1070"/>
      <c r="P61" s="1070"/>
      <c r="Q61" s="1070"/>
      <c r="R61" s="1070"/>
      <c r="S61" s="1070"/>
      <c r="T61" s="1070"/>
      <c r="U61" s="1070"/>
      <c r="V61" s="1070"/>
      <c r="W61" s="1070"/>
      <c r="X61" s="1070"/>
      <c r="Y61" s="1070"/>
      <c r="Z61" s="1070"/>
      <c r="AA61" s="1070"/>
      <c r="AB61" s="1070"/>
      <c r="AC61" s="1070"/>
      <c r="AD61" s="1070"/>
      <c r="AE61" s="1070"/>
    </row>
    <row r="62" spans="1:31" ht="7.5" customHeight="1" x14ac:dyDescent="0.3">
      <c r="A62" s="1070"/>
      <c r="B62" s="1077"/>
      <c r="C62" s="1070"/>
      <c r="D62" s="1070"/>
      <c r="E62" s="1070"/>
      <c r="F62" s="1070"/>
      <c r="G62" s="1070"/>
      <c r="H62" s="1070"/>
      <c r="I62" s="1070"/>
      <c r="J62" s="1070"/>
      <c r="K62" s="1070"/>
      <c r="L62" s="1070"/>
      <c r="M62" s="1070"/>
      <c r="N62" s="1070"/>
      <c r="O62" s="1070"/>
      <c r="P62" s="1070"/>
      <c r="Q62" s="1070"/>
      <c r="R62" s="1070"/>
      <c r="S62" s="1070"/>
      <c r="T62" s="1070"/>
      <c r="U62" s="1070"/>
      <c r="V62" s="1070"/>
      <c r="W62" s="1070"/>
      <c r="X62" s="1070"/>
      <c r="Y62" s="1070"/>
      <c r="Z62" s="1070"/>
      <c r="AA62" s="1070"/>
      <c r="AB62" s="1070"/>
      <c r="AC62" s="1070"/>
      <c r="AD62" s="1070"/>
      <c r="AE62" s="1070"/>
    </row>
    <row r="63" spans="1:31" x14ac:dyDescent="0.3">
      <c r="A63" s="1070"/>
      <c r="B63" s="1077"/>
      <c r="C63" s="1077" t="s">
        <v>1079</v>
      </c>
      <c r="D63" s="1077"/>
      <c r="E63" s="1077"/>
      <c r="F63" s="1077"/>
      <c r="G63" s="1077"/>
      <c r="H63" s="1070"/>
      <c r="I63" s="1070"/>
      <c r="J63" s="1070"/>
      <c r="K63" s="1070"/>
      <c r="L63" s="1070"/>
      <c r="M63" s="1070"/>
      <c r="N63" s="1070"/>
      <c r="O63" s="1070"/>
      <c r="P63" s="1070"/>
      <c r="Q63" s="1070"/>
      <c r="R63" s="1070"/>
      <c r="S63" s="1070"/>
      <c r="T63" s="1070"/>
      <c r="U63" s="1070"/>
      <c r="V63" s="1070"/>
      <c r="W63" s="1070"/>
      <c r="X63" s="1070"/>
      <c r="Y63" s="1070"/>
      <c r="Z63" s="1070"/>
      <c r="AA63" s="1070"/>
      <c r="AB63" s="1070"/>
      <c r="AC63" s="1070"/>
      <c r="AD63" s="1070"/>
      <c r="AE63" s="1070"/>
    </row>
    <row r="64" spans="1:31" x14ac:dyDescent="0.3">
      <c r="A64" s="1070"/>
      <c r="B64" s="1077"/>
      <c r="C64" s="1081" t="s">
        <v>1027</v>
      </c>
      <c r="D64" s="1085" t="s">
        <v>1028</v>
      </c>
      <c r="E64" s="1086"/>
      <c r="F64" s="1085" t="s">
        <v>1029</v>
      </c>
      <c r="G64" s="1087"/>
      <c r="H64" s="1070"/>
      <c r="I64" s="1070"/>
      <c r="J64" s="1070"/>
      <c r="K64" s="1070"/>
      <c r="L64" s="1070"/>
      <c r="M64" s="1070"/>
      <c r="N64" s="1070"/>
      <c r="O64" s="1070"/>
      <c r="P64" s="1070"/>
      <c r="Q64" s="1070"/>
      <c r="R64" s="1070"/>
      <c r="S64" s="1070"/>
      <c r="T64" s="1070"/>
      <c r="U64" s="1070"/>
      <c r="V64" s="1070"/>
      <c r="W64" s="1070"/>
      <c r="X64" s="1070"/>
      <c r="Y64" s="1070"/>
      <c r="Z64" s="1070"/>
      <c r="AA64" s="1070"/>
      <c r="AB64" s="1070"/>
      <c r="AC64" s="1070"/>
      <c r="AD64" s="1070"/>
      <c r="AE64" s="1070"/>
    </row>
    <row r="65" spans="1:31" x14ac:dyDescent="0.3">
      <c r="A65" s="1070"/>
      <c r="B65" s="1070"/>
      <c r="C65" s="1078">
        <v>1</v>
      </c>
      <c r="D65" s="1083"/>
      <c r="E65" s="1084"/>
      <c r="F65" s="1083">
        <f>ROW(Calc!G10)</f>
        <v>10</v>
      </c>
      <c r="G65" s="1088"/>
      <c r="H65" s="3105" t="s">
        <v>1080</v>
      </c>
      <c r="I65" s="3105"/>
      <c r="J65" s="3105"/>
      <c r="K65" s="3105"/>
      <c r="L65" s="3105"/>
      <c r="M65" s="3105"/>
      <c r="N65" s="3105"/>
      <c r="O65" s="3105"/>
      <c r="P65" s="3105"/>
      <c r="Q65" s="3105"/>
      <c r="R65" s="3105"/>
      <c r="S65" s="3105"/>
      <c r="T65" s="3105"/>
      <c r="U65" s="3105"/>
      <c r="V65" s="3105"/>
      <c r="W65" s="3105"/>
      <c r="X65" s="3105"/>
      <c r="Y65" s="3105"/>
      <c r="Z65" s="3105"/>
      <c r="AA65" s="3105"/>
      <c r="AB65" s="3105"/>
      <c r="AC65" s="3105"/>
      <c r="AD65" s="3105"/>
      <c r="AE65" s="1070"/>
    </row>
    <row r="66" spans="1:31" x14ac:dyDescent="0.3">
      <c r="A66" s="1070"/>
      <c r="B66" s="1070"/>
      <c r="C66" s="1078">
        <f>+C65+1</f>
        <v>2</v>
      </c>
      <c r="D66" s="1083"/>
      <c r="E66" s="1084"/>
      <c r="F66" s="1083">
        <f>ROW(Calc!G11)</f>
        <v>11</v>
      </c>
      <c r="G66" s="1088"/>
      <c r="H66" s="3105" t="s">
        <v>1081</v>
      </c>
      <c r="I66" s="3105"/>
      <c r="J66" s="3105"/>
      <c r="K66" s="3105"/>
      <c r="L66" s="3105"/>
      <c r="M66" s="3105"/>
      <c r="N66" s="3105"/>
      <c r="O66" s="3105"/>
      <c r="P66" s="3105"/>
      <c r="Q66" s="3105"/>
      <c r="R66" s="3105"/>
      <c r="S66" s="3105"/>
      <c r="T66" s="3105"/>
      <c r="U66" s="3105"/>
      <c r="V66" s="3105"/>
      <c r="W66" s="3105"/>
      <c r="X66" s="3105"/>
      <c r="Y66" s="3105"/>
      <c r="Z66" s="3105"/>
      <c r="AA66" s="3105"/>
      <c r="AB66" s="3105"/>
      <c r="AC66" s="3105"/>
      <c r="AD66" s="3105"/>
      <c r="AE66" s="1070"/>
    </row>
    <row r="67" spans="1:31" x14ac:dyDescent="0.3">
      <c r="A67" s="1070"/>
      <c r="B67" s="1070"/>
      <c r="C67" s="1078">
        <f t="shared" ref="C67:C83" si="1">+C66+1</f>
        <v>3</v>
      </c>
      <c r="D67" s="1083"/>
      <c r="E67" s="1084"/>
      <c r="F67" s="1083">
        <f>ROW(Calc!G13)</f>
        <v>13</v>
      </c>
      <c r="G67" s="1088"/>
      <c r="H67" s="3105" t="s">
        <v>1082</v>
      </c>
      <c r="I67" s="3105"/>
      <c r="J67" s="3105"/>
      <c r="K67" s="3105"/>
      <c r="L67" s="3105"/>
      <c r="M67" s="3105"/>
      <c r="N67" s="3105"/>
      <c r="O67" s="3105"/>
      <c r="P67" s="3105"/>
      <c r="Q67" s="3105"/>
      <c r="R67" s="3105"/>
      <c r="S67" s="3105"/>
      <c r="T67" s="3105"/>
      <c r="U67" s="3105"/>
      <c r="V67" s="3105"/>
      <c r="W67" s="3105"/>
      <c r="X67" s="3105"/>
      <c r="Y67" s="3105"/>
      <c r="Z67" s="3105"/>
      <c r="AA67" s="3105"/>
      <c r="AB67" s="3105"/>
      <c r="AC67" s="3105"/>
      <c r="AD67" s="3105"/>
      <c r="AE67" s="1070"/>
    </row>
    <row r="68" spans="1:31" x14ac:dyDescent="0.3">
      <c r="A68" s="1070"/>
      <c r="B68" s="1070"/>
      <c r="C68" s="1078">
        <f t="shared" si="1"/>
        <v>4</v>
      </c>
      <c r="D68" s="1083"/>
      <c r="E68" s="1084"/>
      <c r="F68" s="1083">
        <f>ROW(Calc!G14)</f>
        <v>14</v>
      </c>
      <c r="G68" s="1088"/>
      <c r="H68" s="3105" t="s">
        <v>1083</v>
      </c>
      <c r="I68" s="3105"/>
      <c r="J68" s="3105"/>
      <c r="K68" s="3105"/>
      <c r="L68" s="3105"/>
      <c r="M68" s="3105"/>
      <c r="N68" s="3105"/>
      <c r="O68" s="3105"/>
      <c r="P68" s="3105"/>
      <c r="Q68" s="3105"/>
      <c r="R68" s="3105"/>
      <c r="S68" s="3105"/>
      <c r="T68" s="3105"/>
      <c r="U68" s="3105"/>
      <c r="V68" s="3105"/>
      <c r="W68" s="3105"/>
      <c r="X68" s="3105"/>
      <c r="Y68" s="3105"/>
      <c r="Z68" s="3105"/>
      <c r="AA68" s="3105"/>
      <c r="AB68" s="3105"/>
      <c r="AC68" s="3105"/>
      <c r="AD68" s="3105"/>
      <c r="AE68" s="1070"/>
    </row>
    <row r="69" spans="1:31" x14ac:dyDescent="0.3">
      <c r="A69" s="1070"/>
      <c r="B69" s="1070"/>
      <c r="C69" s="1078">
        <f t="shared" si="1"/>
        <v>5</v>
      </c>
      <c r="D69" s="1083"/>
      <c r="E69" s="1084"/>
      <c r="F69" s="1083">
        <f>ROW(Calc!G15)</f>
        <v>15</v>
      </c>
      <c r="G69" s="1088"/>
      <c r="H69" s="3105" t="s">
        <v>1084</v>
      </c>
      <c r="I69" s="3105"/>
      <c r="J69" s="3105"/>
      <c r="K69" s="3105"/>
      <c r="L69" s="3105"/>
      <c r="M69" s="3105"/>
      <c r="N69" s="3105"/>
      <c r="O69" s="3105"/>
      <c r="P69" s="3105"/>
      <c r="Q69" s="3105"/>
      <c r="R69" s="3105"/>
      <c r="S69" s="3105"/>
      <c r="T69" s="3105"/>
      <c r="U69" s="3105"/>
      <c r="V69" s="3105"/>
      <c r="W69" s="3105"/>
      <c r="X69" s="3105"/>
      <c r="Y69" s="3105"/>
      <c r="Z69" s="3105"/>
      <c r="AA69" s="3105"/>
      <c r="AB69" s="3105"/>
      <c r="AC69" s="3105"/>
      <c r="AD69" s="3105"/>
      <c r="AE69" s="1070"/>
    </row>
    <row r="70" spans="1:31" x14ac:dyDescent="0.3">
      <c r="A70" s="1070"/>
      <c r="B70" s="1070"/>
      <c r="C70" s="1078">
        <f t="shared" si="1"/>
        <v>6</v>
      </c>
      <c r="D70" s="1083"/>
      <c r="E70" s="1084"/>
      <c r="F70" s="1083">
        <f>ROW(Calc!G16)</f>
        <v>16</v>
      </c>
      <c r="G70" s="1088"/>
      <c r="H70" s="3105" t="s">
        <v>1085</v>
      </c>
      <c r="I70" s="3105"/>
      <c r="J70" s="3105"/>
      <c r="K70" s="3105"/>
      <c r="L70" s="3105"/>
      <c r="M70" s="3105"/>
      <c r="N70" s="3105"/>
      <c r="O70" s="3105"/>
      <c r="P70" s="3105"/>
      <c r="Q70" s="3105"/>
      <c r="R70" s="3105"/>
      <c r="S70" s="3105"/>
      <c r="T70" s="3105"/>
      <c r="U70" s="3105"/>
      <c r="V70" s="3105"/>
      <c r="W70" s="3105"/>
      <c r="X70" s="3105"/>
      <c r="Y70" s="3105"/>
      <c r="Z70" s="3105"/>
      <c r="AA70" s="3105"/>
      <c r="AB70" s="3105"/>
      <c r="AC70" s="3105"/>
      <c r="AD70" s="3105"/>
      <c r="AE70" s="1070"/>
    </row>
    <row r="71" spans="1:31" x14ac:dyDescent="0.3">
      <c r="A71" s="1070"/>
      <c r="B71" s="1070"/>
      <c r="C71" s="1078">
        <f t="shared" si="1"/>
        <v>7</v>
      </c>
      <c r="D71" s="1083"/>
      <c r="E71" s="1084"/>
      <c r="F71" s="1083">
        <f>ROW(Calc!G17)</f>
        <v>17</v>
      </c>
      <c r="G71" s="1088"/>
      <c r="H71" s="3105" t="s">
        <v>1086</v>
      </c>
      <c r="I71" s="3105"/>
      <c r="J71" s="3105"/>
      <c r="K71" s="3105"/>
      <c r="L71" s="3105"/>
      <c r="M71" s="3105"/>
      <c r="N71" s="3105"/>
      <c r="O71" s="3105"/>
      <c r="P71" s="3105"/>
      <c r="Q71" s="3105"/>
      <c r="R71" s="3105"/>
      <c r="S71" s="3105"/>
      <c r="T71" s="3105"/>
      <c r="U71" s="3105"/>
      <c r="V71" s="3105"/>
      <c r="W71" s="3105"/>
      <c r="X71" s="3105"/>
      <c r="Y71" s="3105"/>
      <c r="Z71" s="3105"/>
      <c r="AA71" s="3105"/>
      <c r="AB71" s="3105"/>
      <c r="AC71" s="3105"/>
      <c r="AD71" s="3105"/>
      <c r="AE71" s="1070"/>
    </row>
    <row r="72" spans="1:31" x14ac:dyDescent="0.3">
      <c r="A72" s="1070"/>
      <c r="B72" s="1070"/>
      <c r="C72" s="1078">
        <f t="shared" si="1"/>
        <v>8</v>
      </c>
      <c r="D72" s="1083"/>
      <c r="E72" s="1084"/>
      <c r="F72" s="1083">
        <f>ROW(Calc!G18)</f>
        <v>18</v>
      </c>
      <c r="G72" s="1088"/>
      <c r="H72" s="3105" t="s">
        <v>1087</v>
      </c>
      <c r="I72" s="3105"/>
      <c r="J72" s="3105"/>
      <c r="K72" s="3105"/>
      <c r="L72" s="3105"/>
      <c r="M72" s="3105"/>
      <c r="N72" s="3105"/>
      <c r="O72" s="3105"/>
      <c r="P72" s="3105"/>
      <c r="Q72" s="3105"/>
      <c r="R72" s="3105"/>
      <c r="S72" s="3105"/>
      <c r="T72" s="3105"/>
      <c r="U72" s="3105"/>
      <c r="V72" s="3105"/>
      <c r="W72" s="3105"/>
      <c r="X72" s="3105"/>
      <c r="Y72" s="3105"/>
      <c r="Z72" s="3105"/>
      <c r="AA72" s="3105"/>
      <c r="AB72" s="3105"/>
      <c r="AC72" s="3105"/>
      <c r="AD72" s="3105"/>
      <c r="AE72" s="1070"/>
    </row>
    <row r="73" spans="1:31" x14ac:dyDescent="0.3">
      <c r="A73" s="1070"/>
      <c r="B73" s="1070"/>
      <c r="C73" s="1078">
        <f t="shared" si="1"/>
        <v>9</v>
      </c>
      <c r="D73" s="1083"/>
      <c r="E73" s="1084"/>
      <c r="F73" s="1083">
        <f>ROW(Calc!G19)</f>
        <v>19</v>
      </c>
      <c r="G73" s="1088"/>
      <c r="H73" s="3105" t="s">
        <v>1088</v>
      </c>
      <c r="I73" s="3105"/>
      <c r="J73" s="3105"/>
      <c r="K73" s="3105"/>
      <c r="L73" s="3105"/>
      <c r="M73" s="3105"/>
      <c r="N73" s="3105"/>
      <c r="O73" s="3105"/>
      <c r="P73" s="3105"/>
      <c r="Q73" s="3105"/>
      <c r="R73" s="3105"/>
      <c r="S73" s="3105"/>
      <c r="T73" s="3105"/>
      <c r="U73" s="3105"/>
      <c r="V73" s="3105"/>
      <c r="W73" s="3105"/>
      <c r="X73" s="3105"/>
      <c r="Y73" s="3105"/>
      <c r="Z73" s="3105"/>
      <c r="AA73" s="3105"/>
      <c r="AB73" s="3105"/>
      <c r="AC73" s="3105"/>
      <c r="AD73" s="3105"/>
      <c r="AE73" s="1070"/>
    </row>
    <row r="74" spans="1:31" x14ac:dyDescent="0.3">
      <c r="A74" s="1070"/>
      <c r="B74" s="1070"/>
      <c r="C74" s="1078">
        <f t="shared" si="1"/>
        <v>10</v>
      </c>
      <c r="D74" s="1083"/>
      <c r="E74" s="1084"/>
      <c r="F74" s="1083">
        <f>ROW(Calc!G20)</f>
        <v>20</v>
      </c>
      <c r="G74" s="1088"/>
      <c r="H74" s="3106" t="s">
        <v>1089</v>
      </c>
      <c r="I74" s="3106"/>
      <c r="J74" s="3106"/>
      <c r="K74" s="3106"/>
      <c r="L74" s="3106"/>
      <c r="M74" s="3106"/>
      <c r="N74" s="3106"/>
      <c r="O74" s="3106"/>
      <c r="P74" s="3106"/>
      <c r="Q74" s="3106"/>
      <c r="R74" s="3106"/>
      <c r="S74" s="3106"/>
      <c r="T74" s="3106"/>
      <c r="U74" s="3106"/>
      <c r="V74" s="3106"/>
      <c r="W74" s="3106"/>
      <c r="X74" s="3106"/>
      <c r="Y74" s="3106"/>
      <c r="Z74" s="3106"/>
      <c r="AA74" s="3106"/>
      <c r="AB74" s="3106"/>
      <c r="AC74" s="3106"/>
      <c r="AD74" s="3106"/>
      <c r="AE74" s="1070"/>
    </row>
    <row r="75" spans="1:31" x14ac:dyDescent="0.3">
      <c r="A75" s="1070"/>
      <c r="B75" s="1070"/>
      <c r="C75" s="1078">
        <f t="shared" si="1"/>
        <v>11</v>
      </c>
      <c r="D75" s="1083"/>
      <c r="E75" s="1084"/>
      <c r="F75" s="1083">
        <f>ROW(Calc!G21)</f>
        <v>21</v>
      </c>
      <c r="G75" s="1088"/>
      <c r="H75" s="3106" t="s">
        <v>1090</v>
      </c>
      <c r="I75" s="3106"/>
      <c r="J75" s="3106"/>
      <c r="K75" s="3106"/>
      <c r="L75" s="3106"/>
      <c r="M75" s="3106"/>
      <c r="N75" s="3106"/>
      <c r="O75" s="3106"/>
      <c r="P75" s="3106"/>
      <c r="Q75" s="3106"/>
      <c r="R75" s="3106"/>
      <c r="S75" s="3106"/>
      <c r="T75" s="3106"/>
      <c r="U75" s="3106"/>
      <c r="V75" s="3106"/>
      <c r="W75" s="3106"/>
      <c r="X75" s="3106"/>
      <c r="Y75" s="3106"/>
      <c r="Z75" s="3106"/>
      <c r="AA75" s="3106"/>
      <c r="AB75" s="3106"/>
      <c r="AC75" s="3106"/>
      <c r="AD75" s="3106"/>
      <c r="AE75" s="1070"/>
    </row>
    <row r="76" spans="1:31" x14ac:dyDescent="0.3">
      <c r="A76" s="1070"/>
      <c r="B76" s="1070"/>
      <c r="C76" s="1078">
        <f t="shared" si="1"/>
        <v>12</v>
      </c>
      <c r="D76" s="1083"/>
      <c r="E76" s="1084"/>
      <c r="F76" s="1083">
        <f>ROW(Calc!G22)</f>
        <v>22</v>
      </c>
      <c r="G76" s="1088"/>
      <c r="H76" s="3105" t="s">
        <v>1091</v>
      </c>
      <c r="I76" s="3105"/>
      <c r="J76" s="3105"/>
      <c r="K76" s="3105"/>
      <c r="L76" s="3105"/>
      <c r="M76" s="3105"/>
      <c r="N76" s="3105"/>
      <c r="O76" s="3105"/>
      <c r="P76" s="3105"/>
      <c r="Q76" s="3105"/>
      <c r="R76" s="3105"/>
      <c r="S76" s="3105"/>
      <c r="T76" s="3105"/>
      <c r="U76" s="3105"/>
      <c r="V76" s="3105"/>
      <c r="W76" s="3105"/>
      <c r="X76" s="3105"/>
      <c r="Y76" s="3105"/>
      <c r="Z76" s="3105"/>
      <c r="AA76" s="3105"/>
      <c r="AB76" s="3105"/>
      <c r="AC76" s="3105"/>
      <c r="AD76" s="3105"/>
      <c r="AE76" s="1070"/>
    </row>
    <row r="77" spans="1:31" x14ac:dyDescent="0.3">
      <c r="A77" s="1070"/>
      <c r="B77" s="1070"/>
      <c r="C77" s="1078">
        <f t="shared" si="1"/>
        <v>13</v>
      </c>
      <c r="D77" s="1083"/>
      <c r="E77" s="1084"/>
      <c r="F77" s="1083">
        <f>ROW(Calc!G23)</f>
        <v>23</v>
      </c>
      <c r="G77" s="1088"/>
      <c r="H77" s="3105" t="s">
        <v>1092</v>
      </c>
      <c r="I77" s="3105"/>
      <c r="J77" s="3105"/>
      <c r="K77" s="3105"/>
      <c r="L77" s="3105"/>
      <c r="M77" s="3105"/>
      <c r="N77" s="3105"/>
      <c r="O77" s="3105"/>
      <c r="P77" s="3105"/>
      <c r="Q77" s="3105"/>
      <c r="R77" s="3105"/>
      <c r="S77" s="3105"/>
      <c r="T77" s="3105"/>
      <c r="U77" s="3105"/>
      <c r="V77" s="3105"/>
      <c r="W77" s="3105"/>
      <c r="X77" s="3105"/>
      <c r="Y77" s="3105"/>
      <c r="Z77" s="3105"/>
      <c r="AA77" s="3105"/>
      <c r="AB77" s="3105"/>
      <c r="AC77" s="3105"/>
      <c r="AD77" s="3105"/>
      <c r="AE77" s="1070"/>
    </row>
    <row r="78" spans="1:31" x14ac:dyDescent="0.3">
      <c r="A78" s="1070"/>
      <c r="B78" s="1070"/>
      <c r="C78" s="1078">
        <f t="shared" si="1"/>
        <v>14</v>
      </c>
      <c r="D78" s="1083"/>
      <c r="E78" s="1084"/>
      <c r="F78" s="1083">
        <f>ROW(Calc!G24)</f>
        <v>24</v>
      </c>
      <c r="G78" s="1088">
        <f>ROW(Calc!G25)</f>
        <v>25</v>
      </c>
      <c r="H78" s="3105" t="s">
        <v>1093</v>
      </c>
      <c r="I78" s="3105"/>
      <c r="J78" s="3105"/>
      <c r="K78" s="3105"/>
      <c r="L78" s="3105"/>
      <c r="M78" s="3105"/>
      <c r="N78" s="3105"/>
      <c r="O78" s="3105"/>
      <c r="P78" s="3105"/>
      <c r="Q78" s="3105"/>
      <c r="R78" s="3105"/>
      <c r="S78" s="3105"/>
      <c r="T78" s="3105"/>
      <c r="U78" s="3105"/>
      <c r="V78" s="3105"/>
      <c r="W78" s="3105"/>
      <c r="X78" s="3105"/>
      <c r="Y78" s="3105"/>
      <c r="Z78" s="3105"/>
      <c r="AA78" s="3105"/>
      <c r="AB78" s="3105"/>
      <c r="AC78" s="3105"/>
      <c r="AD78" s="3105"/>
      <c r="AE78" s="1070"/>
    </row>
    <row r="79" spans="1:31" x14ac:dyDescent="0.3">
      <c r="A79" s="1070"/>
      <c r="B79" s="1070"/>
      <c r="C79" s="1078">
        <f t="shared" si="1"/>
        <v>15</v>
      </c>
      <c r="D79" s="1083"/>
      <c r="E79" s="1084"/>
      <c r="F79" s="1083">
        <f>ROW(Calc!G26)</f>
        <v>26</v>
      </c>
      <c r="G79" s="1088">
        <f>ROW(Calc!G27)</f>
        <v>27</v>
      </c>
      <c r="H79" s="3105" t="s">
        <v>1094</v>
      </c>
      <c r="I79" s="3105"/>
      <c r="J79" s="3105"/>
      <c r="K79" s="3105"/>
      <c r="L79" s="3105"/>
      <c r="M79" s="3105"/>
      <c r="N79" s="3105"/>
      <c r="O79" s="3105"/>
      <c r="P79" s="3105"/>
      <c r="Q79" s="3105"/>
      <c r="R79" s="3105"/>
      <c r="S79" s="3105"/>
      <c r="T79" s="3105"/>
      <c r="U79" s="3105"/>
      <c r="V79" s="3105"/>
      <c r="W79" s="3105"/>
      <c r="X79" s="3105"/>
      <c r="Y79" s="3105"/>
      <c r="Z79" s="3105"/>
      <c r="AA79" s="3105"/>
      <c r="AB79" s="3105"/>
      <c r="AC79" s="3105"/>
      <c r="AD79" s="3105"/>
      <c r="AE79" s="1070"/>
    </row>
    <row r="80" spans="1:31" ht="31.5" customHeight="1" x14ac:dyDescent="0.3">
      <c r="A80" s="1070"/>
      <c r="B80" s="1070"/>
      <c r="C80" s="1078">
        <f t="shared" si="1"/>
        <v>16</v>
      </c>
      <c r="D80" s="1083"/>
      <c r="E80" s="1084"/>
      <c r="F80" s="1083">
        <f>ROW(Calc!G30)</f>
        <v>30</v>
      </c>
      <c r="G80" s="1088">
        <f>ROW(Calc!G111)</f>
        <v>111</v>
      </c>
      <c r="H80" s="3103" t="s">
        <v>1095</v>
      </c>
      <c r="I80" s="3103"/>
      <c r="J80" s="3103"/>
      <c r="K80" s="3103"/>
      <c r="L80" s="3103"/>
      <c r="M80" s="3103"/>
      <c r="N80" s="3103"/>
      <c r="O80" s="3103"/>
      <c r="P80" s="3103"/>
      <c r="Q80" s="3103"/>
      <c r="R80" s="3103"/>
      <c r="S80" s="3103"/>
      <c r="T80" s="3103"/>
      <c r="U80" s="3103"/>
      <c r="V80" s="3103"/>
      <c r="W80" s="3103"/>
      <c r="X80" s="3103"/>
      <c r="Y80" s="3103"/>
      <c r="Z80" s="3103"/>
      <c r="AA80" s="3103"/>
      <c r="AB80" s="3103"/>
      <c r="AC80" s="3103"/>
      <c r="AD80" s="3103"/>
      <c r="AE80" s="1070"/>
    </row>
    <row r="81" spans="1:31" x14ac:dyDescent="0.3">
      <c r="A81" s="1070"/>
      <c r="B81" s="1070"/>
      <c r="C81" s="1078">
        <f t="shared" si="1"/>
        <v>17</v>
      </c>
      <c r="D81" s="1083" t="str">
        <f>HLOOKUP(COLUMN(Calc!G10),FT_PPD_DD!$A$116:$DZ$117,2,0)</f>
        <v>G</v>
      </c>
      <c r="E81" s="1084" t="str">
        <f>HLOOKUP(COLUMN(Calc!AI10),FT_PPD_DD!$A$116:$DZ$117,2,0)</f>
        <v>AI</v>
      </c>
      <c r="F81" s="1083"/>
      <c r="G81" s="1088"/>
      <c r="H81" s="3104" t="s">
        <v>1096</v>
      </c>
      <c r="I81" s="3104"/>
      <c r="J81" s="3104"/>
      <c r="K81" s="3104"/>
      <c r="L81" s="3104"/>
      <c r="M81" s="3104"/>
      <c r="N81" s="3104"/>
      <c r="O81" s="3104"/>
      <c r="P81" s="3104"/>
      <c r="Q81" s="3104"/>
      <c r="R81" s="3104"/>
      <c r="S81" s="3104"/>
      <c r="T81" s="3104"/>
      <c r="U81" s="3104"/>
      <c r="V81" s="3104"/>
      <c r="W81" s="3104"/>
      <c r="X81" s="3104"/>
      <c r="Y81" s="3104"/>
      <c r="Z81" s="3104"/>
      <c r="AA81" s="3104"/>
      <c r="AB81" s="3104"/>
      <c r="AC81" s="3104"/>
      <c r="AD81" s="3104"/>
      <c r="AE81" s="1070"/>
    </row>
    <row r="82" spans="1:31" x14ac:dyDescent="0.3">
      <c r="A82" s="1070"/>
      <c r="B82" s="1070"/>
      <c r="C82" s="1078">
        <f t="shared" si="1"/>
        <v>18</v>
      </c>
      <c r="D82" s="1083" t="str">
        <f>HLOOKUP(COLUMN(Calc!AQ11),FT_PPD_DD!$A$116:$DZ$117,2,0)</f>
        <v>AQ</v>
      </c>
      <c r="E82" s="1084" t="str">
        <f>HLOOKUP(COLUMN(Calc!BS11),FT_PPD_DD!$A$116:$DZ$117,2,0)</f>
        <v>BS</v>
      </c>
      <c r="F82" s="1083"/>
      <c r="G82" s="1088"/>
      <c r="H82" s="3104" t="s">
        <v>1097</v>
      </c>
      <c r="I82" s="3104"/>
      <c r="J82" s="3104"/>
      <c r="K82" s="3104"/>
      <c r="L82" s="3104"/>
      <c r="M82" s="3104"/>
      <c r="N82" s="3104"/>
      <c r="O82" s="3104"/>
      <c r="P82" s="3104"/>
      <c r="Q82" s="3104"/>
      <c r="R82" s="3104"/>
      <c r="S82" s="3104"/>
      <c r="T82" s="3104"/>
      <c r="U82" s="3104"/>
      <c r="V82" s="3104"/>
      <c r="W82" s="3104"/>
      <c r="X82" s="3104"/>
      <c r="Y82" s="3104"/>
      <c r="Z82" s="3104"/>
      <c r="AA82" s="3104"/>
      <c r="AB82" s="3104"/>
      <c r="AC82" s="3104"/>
      <c r="AD82" s="3104"/>
      <c r="AE82" s="1070"/>
    </row>
    <row r="83" spans="1:31" x14ac:dyDescent="0.3">
      <c r="A83" s="1070"/>
      <c r="B83" s="1070"/>
      <c r="C83" s="1078">
        <f t="shared" si="1"/>
        <v>19</v>
      </c>
      <c r="D83" s="1083" t="str">
        <f>HLOOKUP(COLUMN(Calc!CA12),FT_PPD_DD!$A$116:$DZ$117,2,0)</f>
        <v>CA</v>
      </c>
      <c r="E83" s="1084" t="str">
        <f>HLOOKUP(COLUMN(Calc!DF12),FT_PPD_DD!$A$116:$DZ$117,2,0)</f>
        <v>DF</v>
      </c>
      <c r="F83" s="1083"/>
      <c r="G83" s="1088"/>
      <c r="H83" s="3104" t="s">
        <v>1098</v>
      </c>
      <c r="I83" s="3104"/>
      <c r="J83" s="3104"/>
      <c r="K83" s="3104"/>
      <c r="L83" s="3104"/>
      <c r="M83" s="3104"/>
      <c r="N83" s="3104"/>
      <c r="O83" s="3104"/>
      <c r="P83" s="3104"/>
      <c r="Q83" s="3104"/>
      <c r="R83" s="3104"/>
      <c r="S83" s="3104"/>
      <c r="T83" s="3104"/>
      <c r="U83" s="3104"/>
      <c r="V83" s="3104"/>
      <c r="W83" s="3104"/>
      <c r="X83" s="3104"/>
      <c r="Y83" s="3104"/>
      <c r="Z83" s="3104"/>
      <c r="AA83" s="3104"/>
      <c r="AB83" s="3104"/>
      <c r="AC83" s="3104"/>
      <c r="AD83" s="3104"/>
      <c r="AE83" s="1070"/>
    </row>
    <row r="84" spans="1:31" x14ac:dyDescent="0.3">
      <c r="A84" s="1070"/>
      <c r="B84" s="1070"/>
      <c r="C84" s="1070"/>
      <c r="D84" s="1070"/>
      <c r="E84" s="1070"/>
      <c r="F84" s="1070"/>
      <c r="G84" s="1070"/>
      <c r="H84" s="1079"/>
      <c r="I84" s="1079"/>
      <c r="J84" s="1079"/>
      <c r="K84" s="1079"/>
      <c r="L84" s="1079"/>
      <c r="M84" s="1079"/>
      <c r="N84" s="1079"/>
      <c r="O84" s="1079"/>
      <c r="P84" s="1079"/>
      <c r="Q84" s="1079"/>
      <c r="R84" s="1079"/>
      <c r="S84" s="1079"/>
      <c r="T84" s="1079"/>
      <c r="U84" s="1079"/>
      <c r="V84" s="1079"/>
      <c r="W84" s="1079"/>
      <c r="X84" s="1079"/>
      <c r="Y84" s="1079"/>
      <c r="Z84" s="1070"/>
      <c r="AA84" s="1070"/>
      <c r="AB84" s="1070"/>
      <c r="AC84" s="1070"/>
      <c r="AD84" s="1070"/>
      <c r="AE84" s="1070"/>
    </row>
    <row r="85" spans="1:31" x14ac:dyDescent="0.3">
      <c r="A85" s="1070"/>
      <c r="B85" s="1070"/>
      <c r="C85" s="1077" t="s">
        <v>1099</v>
      </c>
      <c r="D85" s="1077"/>
      <c r="E85" s="1077"/>
      <c r="F85" s="1077"/>
      <c r="G85" s="1077"/>
      <c r="H85" s="1070"/>
      <c r="I85" s="1070"/>
      <c r="J85" s="1070"/>
      <c r="K85" s="1070"/>
      <c r="L85" s="1070"/>
      <c r="M85" s="1070"/>
      <c r="N85" s="1070"/>
      <c r="O85" s="1070"/>
      <c r="P85" s="1070"/>
      <c r="Q85" s="1070"/>
      <c r="R85" s="1070"/>
      <c r="S85" s="1070"/>
      <c r="T85" s="1070"/>
      <c r="U85" s="1070"/>
      <c r="V85" s="1070"/>
      <c r="W85" s="1070"/>
      <c r="X85" s="1070"/>
      <c r="Y85" s="1070"/>
      <c r="Z85" s="1070"/>
      <c r="AA85" s="1070"/>
      <c r="AB85" s="1070"/>
      <c r="AC85" s="1070"/>
      <c r="AD85" s="1070"/>
      <c r="AE85" s="1070"/>
    </row>
    <row r="86" spans="1:31" x14ac:dyDescent="0.3">
      <c r="A86" s="1070"/>
      <c r="B86" s="1070"/>
      <c r="C86" s="1081" t="s">
        <v>1027</v>
      </c>
      <c r="D86" s="1073" t="s">
        <v>1028</v>
      </c>
      <c r="E86" s="1074"/>
      <c r="F86" s="1073" t="s">
        <v>1029</v>
      </c>
      <c r="G86" s="1074"/>
      <c r="H86" s="1070"/>
      <c r="I86" s="1070"/>
      <c r="J86" s="1070"/>
      <c r="K86" s="1070"/>
      <c r="L86" s="1070"/>
      <c r="M86" s="1070"/>
      <c r="N86" s="1070"/>
      <c r="O86" s="1070"/>
      <c r="P86" s="1070"/>
      <c r="Q86" s="1070"/>
      <c r="R86" s="1070"/>
      <c r="S86" s="1070"/>
      <c r="T86" s="1070"/>
      <c r="U86" s="1070"/>
      <c r="V86" s="1070"/>
      <c r="W86" s="1070"/>
      <c r="X86" s="1070"/>
      <c r="Y86" s="1070"/>
      <c r="Z86" s="1070"/>
      <c r="AA86" s="1070"/>
      <c r="AB86" s="1070"/>
      <c r="AC86" s="1070"/>
      <c r="AD86" s="1070"/>
      <c r="AE86" s="1070"/>
    </row>
    <row r="87" spans="1:31" x14ac:dyDescent="0.3">
      <c r="A87" s="1070"/>
      <c r="B87" s="1070"/>
      <c r="C87" s="1078">
        <v>1</v>
      </c>
      <c r="D87" s="1083"/>
      <c r="E87" s="1084"/>
      <c r="F87" s="1078">
        <f>ROW(Calc!G127)</f>
        <v>127</v>
      </c>
      <c r="G87" s="1078">
        <f>ROW(Calc!G130)</f>
        <v>130</v>
      </c>
      <c r="H87" s="3107" t="s">
        <v>1100</v>
      </c>
      <c r="I87" s="3107"/>
      <c r="J87" s="3107"/>
      <c r="K87" s="3107"/>
      <c r="L87" s="3107"/>
      <c r="M87" s="3107"/>
      <c r="N87" s="3107"/>
      <c r="O87" s="3107"/>
      <c r="P87" s="3107"/>
      <c r="Q87" s="3107"/>
      <c r="R87" s="3107"/>
      <c r="S87" s="3107"/>
      <c r="T87" s="3107"/>
      <c r="U87" s="3107"/>
      <c r="V87" s="3107"/>
      <c r="W87" s="3107"/>
      <c r="X87" s="3107"/>
      <c r="Y87" s="3107"/>
      <c r="Z87" s="3107"/>
      <c r="AA87" s="3107"/>
      <c r="AB87" s="3107"/>
      <c r="AC87" s="3107"/>
      <c r="AD87" s="3107"/>
      <c r="AE87" s="1070"/>
    </row>
    <row r="88" spans="1:31" ht="31.5" customHeight="1" x14ac:dyDescent="0.3">
      <c r="A88" s="1070"/>
      <c r="B88" s="1070"/>
      <c r="C88" s="1078">
        <f>+C87+1</f>
        <v>2</v>
      </c>
      <c r="D88" s="1083"/>
      <c r="E88" s="1084"/>
      <c r="F88" s="1078">
        <f>ROW(Calc!G129)</f>
        <v>129</v>
      </c>
      <c r="G88" s="1078"/>
      <c r="H88" s="3118" t="s">
        <v>1101</v>
      </c>
      <c r="I88" s="3118"/>
      <c r="J88" s="3118"/>
      <c r="K88" s="3118"/>
      <c r="L88" s="3118"/>
      <c r="M88" s="3118"/>
      <c r="N88" s="3118"/>
      <c r="O88" s="3118"/>
      <c r="P88" s="3118"/>
      <c r="Q88" s="3118"/>
      <c r="R88" s="3118"/>
      <c r="S88" s="3118"/>
      <c r="T88" s="3118"/>
      <c r="U88" s="3118"/>
      <c r="V88" s="3118"/>
      <c r="W88" s="3118"/>
      <c r="X88" s="3118"/>
      <c r="Y88" s="3118"/>
      <c r="Z88" s="3118"/>
      <c r="AA88" s="3118"/>
      <c r="AB88" s="3118"/>
      <c r="AC88" s="3118"/>
      <c r="AD88" s="3118"/>
      <c r="AE88" s="1070"/>
    </row>
    <row r="89" spans="1:31" x14ac:dyDescent="0.3">
      <c r="A89" s="1070"/>
      <c r="B89" s="1070"/>
      <c r="C89" s="1078">
        <f t="shared" ref="C89:C117" si="2">+C88+1</f>
        <v>3</v>
      </c>
      <c r="D89" s="1083"/>
      <c r="E89" s="1084"/>
      <c r="F89" s="1078">
        <f>ROW(Calc!G131)</f>
        <v>131</v>
      </c>
      <c r="G89" s="1078"/>
      <c r="H89" s="3105" t="s">
        <v>1102</v>
      </c>
      <c r="I89" s="3105"/>
      <c r="J89" s="3105"/>
      <c r="K89" s="3105"/>
      <c r="L89" s="3105"/>
      <c r="M89" s="3105"/>
      <c r="N89" s="3105"/>
      <c r="O89" s="3105"/>
      <c r="P89" s="3105"/>
      <c r="Q89" s="3105"/>
      <c r="R89" s="3105"/>
      <c r="S89" s="3105"/>
      <c r="T89" s="3105"/>
      <c r="U89" s="3105"/>
      <c r="V89" s="3105"/>
      <c r="W89" s="3105"/>
      <c r="X89" s="3105"/>
      <c r="Y89" s="3105"/>
      <c r="Z89" s="3105"/>
      <c r="AA89" s="3105"/>
      <c r="AB89" s="3105"/>
      <c r="AC89" s="3105"/>
      <c r="AD89" s="3105"/>
      <c r="AE89" s="1070"/>
    </row>
    <row r="90" spans="1:31" x14ac:dyDescent="0.3">
      <c r="A90" s="1070"/>
      <c r="B90" s="1070"/>
      <c r="C90" s="1078">
        <f t="shared" si="2"/>
        <v>4</v>
      </c>
      <c r="D90" s="1083"/>
      <c r="E90" s="1084"/>
      <c r="F90" s="1078">
        <f>ROW(Calc!G132)</f>
        <v>132</v>
      </c>
      <c r="G90" s="1078"/>
      <c r="H90" s="3105" t="s">
        <v>1103</v>
      </c>
      <c r="I90" s="3105"/>
      <c r="J90" s="3105"/>
      <c r="K90" s="3105"/>
      <c r="L90" s="3105"/>
      <c r="M90" s="3105"/>
      <c r="N90" s="3105"/>
      <c r="O90" s="3105"/>
      <c r="P90" s="3105"/>
      <c r="Q90" s="3105"/>
      <c r="R90" s="3105"/>
      <c r="S90" s="3105"/>
      <c r="T90" s="3105"/>
      <c r="U90" s="3105"/>
      <c r="V90" s="3105"/>
      <c r="W90" s="3105"/>
      <c r="X90" s="3105"/>
      <c r="Y90" s="3105"/>
      <c r="Z90" s="3105"/>
      <c r="AA90" s="3105"/>
      <c r="AB90" s="3105"/>
      <c r="AC90" s="3105"/>
      <c r="AD90" s="3105"/>
      <c r="AE90" s="1070"/>
    </row>
    <row r="91" spans="1:31" x14ac:dyDescent="0.3">
      <c r="A91" s="1070"/>
      <c r="B91" s="1070"/>
      <c r="C91" s="1078">
        <f t="shared" si="2"/>
        <v>5</v>
      </c>
      <c r="D91" s="1083"/>
      <c r="E91" s="1084"/>
      <c r="F91" s="1078">
        <f>ROW(Calc!G133)</f>
        <v>133</v>
      </c>
      <c r="G91" s="1078"/>
      <c r="H91" s="3105" t="s">
        <v>1104</v>
      </c>
      <c r="I91" s="3105"/>
      <c r="J91" s="3105"/>
      <c r="K91" s="3105"/>
      <c r="L91" s="3105"/>
      <c r="M91" s="3105"/>
      <c r="N91" s="3105"/>
      <c r="O91" s="3105"/>
      <c r="P91" s="3105"/>
      <c r="Q91" s="3105"/>
      <c r="R91" s="3105"/>
      <c r="S91" s="3105"/>
      <c r="T91" s="3105"/>
      <c r="U91" s="3105"/>
      <c r="V91" s="3105"/>
      <c r="W91" s="3105"/>
      <c r="X91" s="3105"/>
      <c r="Y91" s="3105"/>
      <c r="Z91" s="3105"/>
      <c r="AA91" s="3105"/>
      <c r="AB91" s="3105"/>
      <c r="AC91" s="3105"/>
      <c r="AD91" s="3105"/>
      <c r="AE91" s="1070"/>
    </row>
    <row r="92" spans="1:31" x14ac:dyDescent="0.3">
      <c r="A92" s="1070"/>
      <c r="B92" s="1070"/>
      <c r="C92" s="1078">
        <f t="shared" si="2"/>
        <v>6</v>
      </c>
      <c r="D92" s="1083"/>
      <c r="E92" s="1084"/>
      <c r="F92" s="1078">
        <f>ROW(Calc!G135)</f>
        <v>135</v>
      </c>
      <c r="G92" s="1078"/>
      <c r="H92" s="3119" t="s">
        <v>1105</v>
      </c>
      <c r="I92" s="3119"/>
      <c r="J92" s="3119"/>
      <c r="K92" s="3119"/>
      <c r="L92" s="3119"/>
      <c r="M92" s="3119"/>
      <c r="N92" s="3119"/>
      <c r="O92" s="3119"/>
      <c r="P92" s="3119"/>
      <c r="Q92" s="3119"/>
      <c r="R92" s="3119"/>
      <c r="S92" s="3119"/>
      <c r="T92" s="3119"/>
      <c r="U92" s="3119"/>
      <c r="V92" s="3119"/>
      <c r="W92" s="3119"/>
      <c r="X92" s="3119"/>
      <c r="Y92" s="3119"/>
      <c r="Z92" s="3119"/>
      <c r="AA92" s="3119"/>
      <c r="AB92" s="3119"/>
      <c r="AC92" s="3119"/>
      <c r="AD92" s="3119"/>
      <c r="AE92" s="1070"/>
    </row>
    <row r="93" spans="1:31" x14ac:dyDescent="0.3">
      <c r="A93" s="1070"/>
      <c r="B93" s="1070"/>
      <c r="C93" s="1078">
        <f t="shared" si="2"/>
        <v>7</v>
      </c>
      <c r="D93" s="1083"/>
      <c r="E93" s="1084"/>
      <c r="F93" s="1078">
        <f>ROW(Calc!G136)</f>
        <v>136</v>
      </c>
      <c r="G93" s="1078"/>
      <c r="H93" s="3119" t="s">
        <v>1106</v>
      </c>
      <c r="I93" s="3119"/>
      <c r="J93" s="3119"/>
      <c r="K93" s="3119"/>
      <c r="L93" s="3119"/>
      <c r="M93" s="3119"/>
      <c r="N93" s="3119"/>
      <c r="O93" s="3119"/>
      <c r="P93" s="3119"/>
      <c r="Q93" s="3119"/>
      <c r="R93" s="3119"/>
      <c r="S93" s="3119"/>
      <c r="T93" s="3119"/>
      <c r="U93" s="3119"/>
      <c r="V93" s="3119"/>
      <c r="W93" s="3119"/>
      <c r="X93" s="3119"/>
      <c r="Y93" s="3119"/>
      <c r="Z93" s="3119"/>
      <c r="AA93" s="3119"/>
      <c r="AB93" s="3119"/>
      <c r="AC93" s="3119"/>
      <c r="AD93" s="3119"/>
      <c r="AE93" s="1070"/>
    </row>
    <row r="94" spans="1:31" x14ac:dyDescent="0.3">
      <c r="A94" s="1070"/>
      <c r="B94" s="1070"/>
      <c r="C94" s="1078">
        <f t="shared" si="2"/>
        <v>8</v>
      </c>
      <c r="D94" s="1083"/>
      <c r="E94" s="1084"/>
      <c r="F94" s="1078">
        <f>ROW(Calc!G137)</f>
        <v>137</v>
      </c>
      <c r="G94" s="1078"/>
      <c r="H94" s="3119" t="s">
        <v>1107</v>
      </c>
      <c r="I94" s="3119"/>
      <c r="J94" s="3119"/>
      <c r="K94" s="3119"/>
      <c r="L94" s="3119"/>
      <c r="M94" s="3119"/>
      <c r="N94" s="3119"/>
      <c r="O94" s="3119"/>
      <c r="P94" s="3119"/>
      <c r="Q94" s="3119"/>
      <c r="R94" s="3119"/>
      <c r="S94" s="3119"/>
      <c r="T94" s="3119"/>
      <c r="U94" s="3119"/>
      <c r="V94" s="3119"/>
      <c r="W94" s="3119"/>
      <c r="X94" s="3119"/>
      <c r="Y94" s="3119"/>
      <c r="Z94" s="3119"/>
      <c r="AA94" s="3119"/>
      <c r="AB94" s="3119"/>
      <c r="AC94" s="3119"/>
      <c r="AD94" s="3119"/>
      <c r="AE94" s="1070"/>
    </row>
    <row r="95" spans="1:31" x14ac:dyDescent="0.3">
      <c r="A95" s="1070"/>
      <c r="B95" s="1070"/>
      <c r="C95" s="1078">
        <f t="shared" si="2"/>
        <v>9</v>
      </c>
      <c r="D95" s="1083"/>
      <c r="E95" s="1084"/>
      <c r="F95" s="1078">
        <f>ROW(Calc!G139)</f>
        <v>139</v>
      </c>
      <c r="G95" s="1078"/>
      <c r="H95" s="3119" t="s">
        <v>1108</v>
      </c>
      <c r="I95" s="3119"/>
      <c r="J95" s="3119"/>
      <c r="K95" s="3119"/>
      <c r="L95" s="3119"/>
      <c r="M95" s="3119"/>
      <c r="N95" s="3119"/>
      <c r="O95" s="3119"/>
      <c r="P95" s="3119"/>
      <c r="Q95" s="3119"/>
      <c r="R95" s="3119"/>
      <c r="S95" s="3119"/>
      <c r="T95" s="3119"/>
      <c r="U95" s="3119"/>
      <c r="V95" s="3119"/>
      <c r="W95" s="3119"/>
      <c r="X95" s="3119"/>
      <c r="Y95" s="3119"/>
      <c r="Z95" s="3119"/>
      <c r="AA95" s="3119"/>
      <c r="AB95" s="3119"/>
      <c r="AC95" s="3119"/>
      <c r="AD95" s="3119"/>
      <c r="AE95" s="1070"/>
    </row>
    <row r="96" spans="1:31" x14ac:dyDescent="0.3">
      <c r="A96" s="1070"/>
      <c r="B96" s="1070"/>
      <c r="C96" s="1078">
        <f t="shared" si="2"/>
        <v>10</v>
      </c>
      <c r="D96" s="1083"/>
      <c r="E96" s="1084"/>
      <c r="F96" s="1078">
        <f>ROW(Calc!G140)</f>
        <v>140</v>
      </c>
      <c r="G96" s="1078"/>
      <c r="H96" s="3119" t="s">
        <v>1109</v>
      </c>
      <c r="I96" s="3119"/>
      <c r="J96" s="3119"/>
      <c r="K96" s="3119"/>
      <c r="L96" s="3119"/>
      <c r="M96" s="3119"/>
      <c r="N96" s="3119"/>
      <c r="O96" s="3119"/>
      <c r="P96" s="3119"/>
      <c r="Q96" s="3119"/>
      <c r="R96" s="3119"/>
      <c r="S96" s="3119"/>
      <c r="T96" s="3119"/>
      <c r="U96" s="3119"/>
      <c r="V96" s="3119"/>
      <c r="W96" s="3119"/>
      <c r="X96" s="3119"/>
      <c r="Y96" s="3119"/>
      <c r="Z96" s="3119"/>
      <c r="AA96" s="3119"/>
      <c r="AB96" s="3119"/>
      <c r="AC96" s="3119"/>
      <c r="AD96" s="3119"/>
      <c r="AE96" s="1070"/>
    </row>
    <row r="97" spans="1:31" x14ac:dyDescent="0.3">
      <c r="A97" s="1070"/>
      <c r="B97" s="1070"/>
      <c r="C97" s="1078">
        <f t="shared" si="2"/>
        <v>11</v>
      </c>
      <c r="D97" s="1083"/>
      <c r="E97" s="1084"/>
      <c r="F97" s="1078">
        <f>ROW(Calc!G141)</f>
        <v>141</v>
      </c>
      <c r="G97" s="1078"/>
      <c r="H97" s="3119" t="s">
        <v>1110</v>
      </c>
      <c r="I97" s="3119"/>
      <c r="J97" s="3119"/>
      <c r="K97" s="3119"/>
      <c r="L97" s="3119"/>
      <c r="M97" s="3119"/>
      <c r="N97" s="3119"/>
      <c r="O97" s="3119"/>
      <c r="P97" s="3119"/>
      <c r="Q97" s="3119"/>
      <c r="R97" s="3119"/>
      <c r="S97" s="3119"/>
      <c r="T97" s="3119"/>
      <c r="U97" s="3119"/>
      <c r="V97" s="3119"/>
      <c r="W97" s="3119"/>
      <c r="X97" s="3119"/>
      <c r="Y97" s="3119"/>
      <c r="Z97" s="3119"/>
      <c r="AA97" s="3119"/>
      <c r="AB97" s="3119"/>
      <c r="AC97" s="3119"/>
      <c r="AD97" s="3119"/>
      <c r="AE97" s="1070"/>
    </row>
    <row r="98" spans="1:31" x14ac:dyDescent="0.3">
      <c r="A98" s="1070"/>
      <c r="B98" s="1070"/>
      <c r="C98" s="1078">
        <f t="shared" si="2"/>
        <v>12</v>
      </c>
      <c r="D98" s="1083"/>
      <c r="E98" s="1084"/>
      <c r="F98" s="1078">
        <f>ROW(Calc!G143)</f>
        <v>143</v>
      </c>
      <c r="G98" s="1078"/>
      <c r="H98" s="3105" t="s">
        <v>1111</v>
      </c>
      <c r="I98" s="3105"/>
      <c r="J98" s="3105"/>
      <c r="K98" s="3105"/>
      <c r="L98" s="3105"/>
      <c r="M98" s="3105"/>
      <c r="N98" s="3105"/>
      <c r="O98" s="3105"/>
      <c r="P98" s="3105"/>
      <c r="Q98" s="3105"/>
      <c r="R98" s="3105"/>
      <c r="S98" s="3105"/>
      <c r="T98" s="3105"/>
      <c r="U98" s="3105"/>
      <c r="V98" s="3105"/>
      <c r="W98" s="3105"/>
      <c r="X98" s="3105"/>
      <c r="Y98" s="3105"/>
      <c r="Z98" s="3105"/>
      <c r="AA98" s="3105"/>
      <c r="AB98" s="3105"/>
      <c r="AC98" s="3105"/>
      <c r="AD98" s="3105"/>
      <c r="AE98" s="1070"/>
    </row>
    <row r="99" spans="1:31" x14ac:dyDescent="0.3">
      <c r="A99" s="1070"/>
      <c r="B99" s="1070"/>
      <c r="C99" s="1078">
        <f t="shared" si="2"/>
        <v>13</v>
      </c>
      <c r="D99" s="1083"/>
      <c r="E99" s="1084"/>
      <c r="F99" s="1078">
        <f>ROW(Calc!G144)</f>
        <v>144</v>
      </c>
      <c r="G99" s="1078"/>
      <c r="H99" s="3105" t="s">
        <v>1112</v>
      </c>
      <c r="I99" s="3105"/>
      <c r="J99" s="3105"/>
      <c r="K99" s="3105"/>
      <c r="L99" s="3105"/>
      <c r="M99" s="3105"/>
      <c r="N99" s="3105"/>
      <c r="O99" s="3105"/>
      <c r="P99" s="3105"/>
      <c r="Q99" s="3105"/>
      <c r="R99" s="3105"/>
      <c r="S99" s="3105"/>
      <c r="T99" s="3105"/>
      <c r="U99" s="3105"/>
      <c r="V99" s="3105"/>
      <c r="W99" s="3105"/>
      <c r="X99" s="3105"/>
      <c r="Y99" s="3105"/>
      <c r="Z99" s="3105"/>
      <c r="AA99" s="3105"/>
      <c r="AB99" s="3105"/>
      <c r="AC99" s="3105"/>
      <c r="AD99" s="3105"/>
      <c r="AE99" s="1070"/>
    </row>
    <row r="100" spans="1:31" x14ac:dyDescent="0.3">
      <c r="A100" s="1070"/>
      <c r="B100" s="1070"/>
      <c r="C100" s="1078">
        <f t="shared" si="2"/>
        <v>14</v>
      </c>
      <c r="D100" s="1083"/>
      <c r="E100" s="1084"/>
      <c r="F100" s="1078">
        <f>ROW(Calc!G145)</f>
        <v>145</v>
      </c>
      <c r="G100" s="1078"/>
      <c r="H100" s="3120" t="s">
        <v>1113</v>
      </c>
      <c r="I100" s="3120"/>
      <c r="J100" s="3120"/>
      <c r="K100" s="3120"/>
      <c r="L100" s="3120"/>
      <c r="M100" s="3120"/>
      <c r="N100" s="3120"/>
      <c r="O100" s="3120"/>
      <c r="P100" s="3120"/>
      <c r="Q100" s="3120"/>
      <c r="R100" s="3120"/>
      <c r="S100" s="3120"/>
      <c r="T100" s="3120"/>
      <c r="U100" s="3120"/>
      <c r="V100" s="3120"/>
      <c r="W100" s="3120"/>
      <c r="X100" s="3120"/>
      <c r="Y100" s="3120"/>
      <c r="Z100" s="3120"/>
      <c r="AA100" s="3120"/>
      <c r="AB100" s="3120"/>
      <c r="AC100" s="3120"/>
      <c r="AD100" s="3120"/>
      <c r="AE100" s="1070"/>
    </row>
    <row r="101" spans="1:31" x14ac:dyDescent="0.3">
      <c r="A101" s="1070"/>
      <c r="B101" s="1070"/>
      <c r="C101" s="1078">
        <f t="shared" si="2"/>
        <v>15</v>
      </c>
      <c r="D101" s="1083" t="str">
        <f>HLOOKUP(COLUMN(Calc!G147),FT_PPD_DD!$A$116:$DZ$117,2,0)</f>
        <v>G</v>
      </c>
      <c r="E101" s="1089" t="str">
        <f>HLOOKUP(COLUMN(Calc!AI147),FT_PPD_DD!$A$116:$DZ$117,2,0)</f>
        <v>AI</v>
      </c>
      <c r="F101" s="1078">
        <f>ROW(Calc!G147)</f>
        <v>147</v>
      </c>
      <c r="G101" s="1078"/>
      <c r="H101" s="3120" t="s">
        <v>1114</v>
      </c>
      <c r="I101" s="3120"/>
      <c r="J101" s="3120"/>
      <c r="K101" s="3120"/>
      <c r="L101" s="3120"/>
      <c r="M101" s="3120"/>
      <c r="N101" s="3120"/>
      <c r="O101" s="3120"/>
      <c r="P101" s="3120"/>
      <c r="Q101" s="3120"/>
      <c r="R101" s="3120"/>
      <c r="S101" s="3120"/>
      <c r="T101" s="3120"/>
      <c r="U101" s="3120"/>
      <c r="V101" s="3120"/>
      <c r="W101" s="3120"/>
      <c r="X101" s="3120"/>
      <c r="Y101" s="3120"/>
      <c r="Z101" s="3120"/>
      <c r="AA101" s="3120"/>
      <c r="AB101" s="3120"/>
      <c r="AC101" s="3120"/>
      <c r="AD101" s="3120"/>
      <c r="AE101" s="1070"/>
    </row>
    <row r="102" spans="1:31" x14ac:dyDescent="0.3">
      <c r="A102" s="1070"/>
      <c r="B102" s="1070"/>
      <c r="C102" s="1078">
        <f t="shared" si="2"/>
        <v>16</v>
      </c>
      <c r="D102" s="1083" t="str">
        <f>HLOOKUP(COLUMN(Calc!AQ147),FT_PPD_DD!$A$116:$DZ$117,2,0)</f>
        <v>AQ</v>
      </c>
      <c r="E102" s="1089" t="str">
        <f>HLOOKUP(COLUMN(Calc!BS147),FT_PPD_DD!$A$116:$DZ$117,2,0)</f>
        <v>BS</v>
      </c>
      <c r="F102" s="1078">
        <f>ROW(Calc!G147)</f>
        <v>147</v>
      </c>
      <c r="G102" s="1078"/>
      <c r="H102" s="3120" t="s">
        <v>1115</v>
      </c>
      <c r="I102" s="3120"/>
      <c r="J102" s="3120"/>
      <c r="K102" s="3120"/>
      <c r="L102" s="3120"/>
      <c r="M102" s="3120"/>
      <c r="N102" s="3120"/>
      <c r="O102" s="3120"/>
      <c r="P102" s="3120"/>
      <c r="Q102" s="3120"/>
      <c r="R102" s="3120"/>
      <c r="S102" s="3120"/>
      <c r="T102" s="3120"/>
      <c r="U102" s="3120"/>
      <c r="V102" s="3120"/>
      <c r="W102" s="3120"/>
      <c r="X102" s="3120"/>
      <c r="Y102" s="3120"/>
      <c r="Z102" s="3120"/>
      <c r="AA102" s="3120"/>
      <c r="AB102" s="3120"/>
      <c r="AC102" s="3120"/>
      <c r="AD102" s="3120"/>
      <c r="AE102" s="1070"/>
    </row>
    <row r="103" spans="1:31" x14ac:dyDescent="0.3">
      <c r="A103" s="1070"/>
      <c r="B103" s="1070"/>
      <c r="C103" s="1078">
        <f t="shared" si="2"/>
        <v>17</v>
      </c>
      <c r="D103" s="1083" t="str">
        <f>HLOOKUP(COLUMN(Calc!F124),FT_PPD_DD!$A$116:$DZ$117,2,0)</f>
        <v>F</v>
      </c>
      <c r="E103" s="1089"/>
      <c r="F103" s="1090"/>
      <c r="G103" s="1090"/>
      <c r="H103" s="3119" t="s">
        <v>1116</v>
      </c>
      <c r="I103" s="3119"/>
      <c r="J103" s="3119"/>
      <c r="K103" s="3119"/>
      <c r="L103" s="3119"/>
      <c r="M103" s="3119"/>
      <c r="N103" s="3119"/>
      <c r="O103" s="3119"/>
      <c r="P103" s="3119"/>
      <c r="Q103" s="3119"/>
      <c r="R103" s="3119"/>
      <c r="S103" s="3119"/>
      <c r="T103" s="3119"/>
      <c r="U103" s="3119"/>
      <c r="V103" s="3119"/>
      <c r="W103" s="3119"/>
      <c r="X103" s="3119"/>
      <c r="Y103" s="3119"/>
      <c r="Z103" s="3119"/>
      <c r="AA103" s="3119"/>
      <c r="AB103" s="3119"/>
      <c r="AC103" s="3119"/>
      <c r="AD103" s="3119"/>
      <c r="AE103" s="1070"/>
    </row>
    <row r="104" spans="1:31" x14ac:dyDescent="0.3">
      <c r="A104" s="1070"/>
      <c r="B104" s="1070"/>
      <c r="C104" s="1078">
        <f t="shared" si="2"/>
        <v>18</v>
      </c>
      <c r="D104" s="1083" t="str">
        <f>HLOOKUP(COLUMN(Calc!G124),FT_PPD_DD!$A$116:$DZ$117,2,0)</f>
        <v>G</v>
      </c>
      <c r="E104" s="1089" t="str">
        <f>HLOOKUP(COLUMN(Calc!AI147),FT_PPD_DD!$A$116:$DZ$117,2,0)</f>
        <v>AI</v>
      </c>
      <c r="F104" s="1090"/>
      <c r="G104" s="1090"/>
      <c r="H104" s="3121" t="s">
        <v>1117</v>
      </c>
      <c r="I104" s="3121"/>
      <c r="J104" s="3121"/>
      <c r="K104" s="3121"/>
      <c r="L104" s="3121"/>
      <c r="M104" s="3121"/>
      <c r="N104" s="3121"/>
      <c r="O104" s="3121"/>
      <c r="P104" s="3121"/>
      <c r="Q104" s="3121"/>
      <c r="R104" s="3121"/>
      <c r="S104" s="3121"/>
      <c r="T104" s="3121"/>
      <c r="U104" s="3121"/>
      <c r="V104" s="3121"/>
      <c r="W104" s="3121"/>
      <c r="X104" s="3121"/>
      <c r="Y104" s="3121"/>
      <c r="Z104" s="3121"/>
      <c r="AA104" s="3121"/>
      <c r="AB104" s="3121"/>
      <c r="AC104" s="3121"/>
      <c r="AD104" s="3121"/>
      <c r="AE104" s="1070"/>
    </row>
    <row r="105" spans="1:31" x14ac:dyDescent="0.3">
      <c r="A105" s="1070"/>
      <c r="B105" s="1070"/>
      <c r="C105" s="1078">
        <f t="shared" si="2"/>
        <v>19</v>
      </c>
      <c r="D105" s="1083" t="str">
        <f>HLOOKUP(COLUMN(Calc!AQ124),FT_PPD_DD!$A$116:$DZ$117,2,0)</f>
        <v>AQ</v>
      </c>
      <c r="E105" s="1089" t="str">
        <f>HLOOKUP(COLUMN(Calc!BS147),FT_PPD_DD!$A$116:$DZ$117,2,0)</f>
        <v>BS</v>
      </c>
      <c r="F105" s="1090"/>
      <c r="G105" s="1090"/>
      <c r="H105" s="3121" t="s">
        <v>1118</v>
      </c>
      <c r="I105" s="3121"/>
      <c r="J105" s="3121"/>
      <c r="K105" s="3121"/>
      <c r="L105" s="3121"/>
      <c r="M105" s="3121"/>
      <c r="N105" s="3121"/>
      <c r="O105" s="3121"/>
      <c r="P105" s="3121"/>
      <c r="Q105" s="3121"/>
      <c r="R105" s="3121"/>
      <c r="S105" s="3121"/>
      <c r="T105" s="3121"/>
      <c r="U105" s="3121"/>
      <c r="V105" s="3121"/>
      <c r="W105" s="3121"/>
      <c r="X105" s="3121"/>
      <c r="Y105" s="3121"/>
      <c r="Z105" s="3121"/>
      <c r="AA105" s="3121"/>
      <c r="AB105" s="3121"/>
      <c r="AC105" s="3121"/>
      <c r="AD105" s="3121"/>
      <c r="AE105" s="1070"/>
    </row>
    <row r="106" spans="1:31" x14ac:dyDescent="0.3">
      <c r="A106" s="1070"/>
      <c r="B106" s="1070"/>
      <c r="C106" s="1078">
        <f t="shared" si="2"/>
        <v>20</v>
      </c>
      <c r="D106" s="1083" t="str">
        <f>HLOOKUP(COLUMN(Calc!CA124),FT_PPD_DD!$A$116:$DZ$117,2,0)</f>
        <v>CA</v>
      </c>
      <c r="E106" s="1089" t="str">
        <f>HLOOKUP(COLUMN(Calc!DF147),FT_PPD_DD!$A$116:$DZ$117,2,0)</f>
        <v>DF</v>
      </c>
      <c r="F106" s="1090"/>
      <c r="G106" s="1090"/>
      <c r="H106" s="3119" t="s">
        <v>1098</v>
      </c>
      <c r="I106" s="3119"/>
      <c r="J106" s="3119"/>
      <c r="K106" s="3119"/>
      <c r="L106" s="3119"/>
      <c r="M106" s="3119"/>
      <c r="N106" s="3119"/>
      <c r="O106" s="3119"/>
      <c r="P106" s="3119"/>
      <c r="Q106" s="3119"/>
      <c r="R106" s="3119"/>
      <c r="S106" s="3119"/>
      <c r="T106" s="3119"/>
      <c r="U106" s="3119"/>
      <c r="V106" s="3119"/>
      <c r="W106" s="3119"/>
      <c r="X106" s="3119"/>
      <c r="Y106" s="3119"/>
      <c r="Z106" s="3119"/>
      <c r="AA106" s="3119"/>
      <c r="AB106" s="3119"/>
      <c r="AC106" s="3119"/>
      <c r="AD106" s="1091"/>
      <c r="AE106" s="1070"/>
    </row>
    <row r="107" spans="1:31" ht="73.5" customHeight="1" x14ac:dyDescent="0.3">
      <c r="A107" s="1070"/>
      <c r="B107" s="1070"/>
      <c r="C107" s="1078">
        <f t="shared" si="2"/>
        <v>21</v>
      </c>
      <c r="D107" s="1083" t="str">
        <f>HLOOKUP(COLUMN(Calc!U176),FT_PPD_DD!$A$116:$DZ$117,2,0)</f>
        <v>U</v>
      </c>
      <c r="E107" s="1084"/>
      <c r="F107" s="1078">
        <f>ROW(Calc!U176)</f>
        <v>176</v>
      </c>
      <c r="G107" s="1078">
        <f>ROW(Calc!U179)</f>
        <v>179</v>
      </c>
      <c r="H107" s="3121" t="s">
        <v>1119</v>
      </c>
      <c r="I107" s="3121"/>
      <c r="J107" s="3121"/>
      <c r="K107" s="3121"/>
      <c r="L107" s="3121"/>
      <c r="M107" s="3121"/>
      <c r="N107" s="3121"/>
      <c r="O107" s="3121"/>
      <c r="P107" s="3121"/>
      <c r="Q107" s="3121"/>
      <c r="R107" s="3121"/>
      <c r="S107" s="3121"/>
      <c r="T107" s="3121"/>
      <c r="U107" s="3121"/>
      <c r="V107" s="3121"/>
      <c r="W107" s="3121"/>
      <c r="X107" s="3121"/>
      <c r="Y107" s="3121"/>
      <c r="Z107" s="3121"/>
      <c r="AA107" s="3121"/>
      <c r="AB107" s="3121"/>
      <c r="AC107" s="3121"/>
      <c r="AD107" s="3121"/>
      <c r="AE107" s="1070"/>
    </row>
    <row r="108" spans="1:31" x14ac:dyDescent="0.3">
      <c r="A108" s="1070"/>
      <c r="B108" s="1070"/>
      <c r="C108" s="1078">
        <f t="shared" si="2"/>
        <v>22</v>
      </c>
      <c r="D108" s="1083" t="str">
        <f>HLOOKUP(COLUMN(Calc!U176),FT_PPD_DD!$A$116:$DZ$117,2,0)</f>
        <v>U</v>
      </c>
      <c r="E108" s="1084"/>
      <c r="F108" s="1078">
        <f>ROW(Calc!U176)</f>
        <v>176</v>
      </c>
      <c r="G108" s="1078"/>
      <c r="H108" s="3121" t="s">
        <v>1120</v>
      </c>
      <c r="I108" s="3121"/>
      <c r="J108" s="3121"/>
      <c r="K108" s="3121"/>
      <c r="L108" s="3121"/>
      <c r="M108" s="3121"/>
      <c r="N108" s="3121"/>
      <c r="O108" s="3121"/>
      <c r="P108" s="3121"/>
      <c r="Q108" s="3121"/>
      <c r="R108" s="3121"/>
      <c r="S108" s="3121"/>
      <c r="T108" s="3121"/>
      <c r="U108" s="3121"/>
      <c r="V108" s="3121"/>
      <c r="W108" s="3121"/>
      <c r="X108" s="3121"/>
      <c r="Y108" s="3121"/>
      <c r="Z108" s="3121"/>
      <c r="AA108" s="3121"/>
      <c r="AB108" s="3121"/>
      <c r="AC108" s="3121"/>
      <c r="AD108" s="3121"/>
      <c r="AE108" s="1070"/>
    </row>
    <row r="109" spans="1:31" x14ac:dyDescent="0.3">
      <c r="A109" s="1070"/>
      <c r="B109" s="1070"/>
      <c r="C109" s="1078">
        <f t="shared" si="2"/>
        <v>23</v>
      </c>
      <c r="D109" s="1083" t="str">
        <f>HLOOKUP(COLUMN(Calc!U177),FT_PPD_DD!$A$116:$DZ$117,2,0)</f>
        <v>U</v>
      </c>
      <c r="E109" s="1084"/>
      <c r="F109" s="1078">
        <f>ROW(Calc!U177)</f>
        <v>177</v>
      </c>
      <c r="G109" s="1078"/>
      <c r="H109" s="3121" t="s">
        <v>1121</v>
      </c>
      <c r="I109" s="3121"/>
      <c r="J109" s="3121"/>
      <c r="K109" s="3121"/>
      <c r="L109" s="3121"/>
      <c r="M109" s="3121"/>
      <c r="N109" s="3121"/>
      <c r="O109" s="3121"/>
      <c r="P109" s="3121"/>
      <c r="Q109" s="3121"/>
      <c r="R109" s="3121"/>
      <c r="S109" s="3121"/>
      <c r="T109" s="3121"/>
      <c r="U109" s="3121"/>
      <c r="V109" s="3121"/>
      <c r="W109" s="3121"/>
      <c r="X109" s="3121"/>
      <c r="Y109" s="3121"/>
      <c r="Z109" s="3121"/>
      <c r="AA109" s="3121"/>
      <c r="AB109" s="3121"/>
      <c r="AC109" s="3121"/>
      <c r="AD109" s="3121"/>
      <c r="AE109" s="1070"/>
    </row>
    <row r="110" spans="1:31" x14ac:dyDescent="0.3">
      <c r="A110" s="1070"/>
      <c r="B110" s="1070"/>
      <c r="C110" s="1078">
        <f t="shared" si="2"/>
        <v>24</v>
      </c>
      <c r="D110" s="1083" t="str">
        <f>HLOOKUP(COLUMN(Calc!U178),FT_PPD_DD!$A$116:$DZ$117,2,0)</f>
        <v>U</v>
      </c>
      <c r="E110" s="1084"/>
      <c r="F110" s="1078">
        <f>ROW(Calc!U178)</f>
        <v>178</v>
      </c>
      <c r="G110" s="1078"/>
      <c r="H110" s="3121" t="s">
        <v>1122</v>
      </c>
      <c r="I110" s="3121"/>
      <c r="J110" s="3121"/>
      <c r="K110" s="3121"/>
      <c r="L110" s="3121"/>
      <c r="M110" s="3121"/>
      <c r="N110" s="3121"/>
      <c r="O110" s="3121"/>
      <c r="P110" s="3121"/>
      <c r="Q110" s="3121"/>
      <c r="R110" s="3121"/>
      <c r="S110" s="3121"/>
      <c r="T110" s="3121"/>
      <c r="U110" s="3121"/>
      <c r="V110" s="3121"/>
      <c r="W110" s="3121"/>
      <c r="X110" s="3121"/>
      <c r="Y110" s="3121"/>
      <c r="Z110" s="3121"/>
      <c r="AA110" s="3121"/>
      <c r="AB110" s="3121"/>
      <c r="AC110" s="3121"/>
      <c r="AD110" s="3121"/>
      <c r="AE110" s="1070"/>
    </row>
    <row r="111" spans="1:31" x14ac:dyDescent="0.3">
      <c r="A111" s="1070"/>
      <c r="B111" s="1070"/>
      <c r="C111" s="1078">
        <f t="shared" si="2"/>
        <v>25</v>
      </c>
      <c r="D111" s="1083" t="str">
        <f>HLOOKUP(COLUMN(Calc!U179),FT_PPD_DD!$A$116:$DZ$117,2,0)</f>
        <v>U</v>
      </c>
      <c r="E111" s="1084"/>
      <c r="F111" s="1078">
        <f>ROW(Calc!U179)</f>
        <v>179</v>
      </c>
      <c r="G111" s="1078"/>
      <c r="H111" s="3121" t="s">
        <v>1123</v>
      </c>
      <c r="I111" s="3121"/>
      <c r="J111" s="3121"/>
      <c r="K111" s="3121"/>
      <c r="L111" s="3121"/>
      <c r="M111" s="3121"/>
      <c r="N111" s="3121"/>
      <c r="O111" s="3121"/>
      <c r="P111" s="3121"/>
      <c r="Q111" s="3121"/>
      <c r="R111" s="3121"/>
      <c r="S111" s="3121"/>
      <c r="T111" s="3121"/>
      <c r="U111" s="3121"/>
      <c r="V111" s="3121"/>
      <c r="W111" s="3121"/>
      <c r="X111" s="3121"/>
      <c r="Y111" s="3121"/>
      <c r="Z111" s="3121"/>
      <c r="AA111" s="3121"/>
      <c r="AB111" s="3121"/>
      <c r="AC111" s="3121"/>
      <c r="AD111" s="3121"/>
      <c r="AE111" s="1070"/>
    </row>
    <row r="112" spans="1:31" ht="33" customHeight="1" x14ac:dyDescent="0.3">
      <c r="A112" s="1070"/>
      <c r="B112" s="1070"/>
      <c r="C112" s="1078">
        <f t="shared" si="2"/>
        <v>26</v>
      </c>
      <c r="D112" s="1083" t="str">
        <f>HLOOKUP(COLUMN(Calc!W176),FT_PPD_DD!$A$116:$DZ$117,2,0)</f>
        <v>W</v>
      </c>
      <c r="E112" s="1084" t="str">
        <f>HLOOKUP(COLUMN(Calc!Y179),FT_PPD_DD!$A$116:$DZ$117,2,0)</f>
        <v>Y</v>
      </c>
      <c r="F112" s="1078">
        <f>ROW(Calc!U176)</f>
        <v>176</v>
      </c>
      <c r="G112" s="1078">
        <f>ROW(Calc!Y179)</f>
        <v>179</v>
      </c>
      <c r="H112" s="3121" t="s">
        <v>1124</v>
      </c>
      <c r="I112" s="3121"/>
      <c r="J112" s="3121"/>
      <c r="K112" s="3121"/>
      <c r="L112" s="3121"/>
      <c r="M112" s="3121"/>
      <c r="N112" s="3121"/>
      <c r="O112" s="3121"/>
      <c r="P112" s="3121"/>
      <c r="Q112" s="3121"/>
      <c r="R112" s="3121"/>
      <c r="S112" s="3121"/>
      <c r="T112" s="3121"/>
      <c r="U112" s="3121"/>
      <c r="V112" s="3121"/>
      <c r="W112" s="3121"/>
      <c r="X112" s="3121"/>
      <c r="Y112" s="3121"/>
      <c r="Z112" s="3121"/>
      <c r="AA112" s="3121"/>
      <c r="AB112" s="3121"/>
      <c r="AC112" s="3121"/>
      <c r="AD112" s="3121"/>
      <c r="AE112" s="1070"/>
    </row>
    <row r="113" spans="1:31" x14ac:dyDescent="0.3">
      <c r="A113" s="1070"/>
      <c r="B113" s="1070"/>
      <c r="C113" s="1078">
        <f t="shared" si="2"/>
        <v>27</v>
      </c>
      <c r="D113" s="1083" t="str">
        <f>HLOOKUP(COLUMN(Calc!W176),FT_PPD_DD!$A$116:$DZ$117,2,0)</f>
        <v>W</v>
      </c>
      <c r="E113" s="1084" t="str">
        <f>HLOOKUP(COLUMN(Calc!Y179),FT_PPD_DD!$A$116:$DZ$117,2,0)</f>
        <v>Y</v>
      </c>
      <c r="F113" s="1078">
        <f>ROW(Calc!U176)</f>
        <v>176</v>
      </c>
      <c r="G113" s="1078"/>
      <c r="H113" s="3121" t="s">
        <v>1125</v>
      </c>
      <c r="I113" s="3121"/>
      <c r="J113" s="3121"/>
      <c r="K113" s="3121"/>
      <c r="L113" s="3121"/>
      <c r="M113" s="3121"/>
      <c r="N113" s="3121"/>
      <c r="O113" s="3121"/>
      <c r="P113" s="3121"/>
      <c r="Q113" s="3121"/>
      <c r="R113" s="3121"/>
      <c r="S113" s="3121"/>
      <c r="T113" s="3121"/>
      <c r="U113" s="3121"/>
      <c r="V113" s="3121"/>
      <c r="W113" s="3121"/>
      <c r="X113" s="3121"/>
      <c r="Y113" s="3121"/>
      <c r="Z113" s="3121"/>
      <c r="AA113" s="3121"/>
      <c r="AB113" s="3121"/>
      <c r="AC113" s="3121"/>
      <c r="AD113" s="3121"/>
      <c r="AE113" s="1070"/>
    </row>
    <row r="114" spans="1:31" x14ac:dyDescent="0.3">
      <c r="A114" s="1070"/>
      <c r="B114" s="1070"/>
      <c r="C114" s="1078">
        <f t="shared" si="2"/>
        <v>28</v>
      </c>
      <c r="D114" s="1083" t="str">
        <f>HLOOKUP(COLUMN(Calc!W177),FT_PPD_DD!$A$116:$DZ$117,2,0)</f>
        <v>W</v>
      </c>
      <c r="E114" s="1084" t="str">
        <f>HLOOKUP(COLUMN(Calc!Y180),FT_PPD_DD!$A$116:$DZ$117,2,0)</f>
        <v>Y</v>
      </c>
      <c r="F114" s="1078">
        <f>ROW(Calc!U177)</f>
        <v>177</v>
      </c>
      <c r="G114" s="1078"/>
      <c r="H114" s="3121" t="s">
        <v>1126</v>
      </c>
      <c r="I114" s="3121"/>
      <c r="J114" s="3121"/>
      <c r="K114" s="3121"/>
      <c r="L114" s="3121"/>
      <c r="M114" s="3121"/>
      <c r="N114" s="3121"/>
      <c r="O114" s="3121"/>
      <c r="P114" s="3121"/>
      <c r="Q114" s="3121"/>
      <c r="R114" s="3121"/>
      <c r="S114" s="3121"/>
      <c r="T114" s="3121"/>
      <c r="U114" s="3121"/>
      <c r="V114" s="3121"/>
      <c r="W114" s="3121"/>
      <c r="X114" s="3121"/>
      <c r="Y114" s="3121"/>
      <c r="Z114" s="3121"/>
      <c r="AA114" s="3121"/>
      <c r="AB114" s="3121"/>
      <c r="AC114" s="3121"/>
      <c r="AD114" s="3121"/>
      <c r="AE114" s="1070"/>
    </row>
    <row r="115" spans="1:31" x14ac:dyDescent="0.3">
      <c r="A115" s="1070"/>
      <c r="B115" s="1070"/>
      <c r="C115" s="1078">
        <f t="shared" si="2"/>
        <v>29</v>
      </c>
      <c r="D115" s="1083" t="str">
        <f>HLOOKUP(COLUMN(Calc!W178),FT_PPD_DD!$A$116:$DZ$117,2,0)</f>
        <v>W</v>
      </c>
      <c r="E115" s="1084" t="str">
        <f>HLOOKUP(COLUMN(Calc!Y181),FT_PPD_DD!$A$116:$DZ$117,2,0)</f>
        <v>Y</v>
      </c>
      <c r="F115" s="1078">
        <f>ROW(Calc!U178)</f>
        <v>178</v>
      </c>
      <c r="G115" s="1078"/>
      <c r="H115" s="3121" t="s">
        <v>1127</v>
      </c>
      <c r="I115" s="3121"/>
      <c r="J115" s="3121"/>
      <c r="K115" s="3121"/>
      <c r="L115" s="3121"/>
      <c r="M115" s="3121"/>
      <c r="N115" s="3121"/>
      <c r="O115" s="3121"/>
      <c r="P115" s="3121"/>
      <c r="Q115" s="3121"/>
      <c r="R115" s="3121"/>
      <c r="S115" s="3121"/>
      <c r="T115" s="3121"/>
      <c r="U115" s="3121"/>
      <c r="V115" s="3121"/>
      <c r="W115" s="3121"/>
      <c r="X115" s="3121"/>
      <c r="Y115" s="3121"/>
      <c r="Z115" s="3121"/>
      <c r="AA115" s="3121"/>
      <c r="AB115" s="3121"/>
      <c r="AC115" s="3121"/>
      <c r="AD115" s="3121"/>
      <c r="AE115" s="1070"/>
    </row>
    <row r="116" spans="1:31" x14ac:dyDescent="0.3">
      <c r="A116" s="1070"/>
      <c r="B116" s="1070"/>
      <c r="C116" s="1078">
        <f t="shared" si="2"/>
        <v>30</v>
      </c>
      <c r="D116" s="1083" t="str">
        <f>HLOOKUP(COLUMN(Calc!W179),FT_PPD_DD!$A$116:$DZ$117,2,0)</f>
        <v>W</v>
      </c>
      <c r="E116" s="1084" t="str">
        <f>HLOOKUP(COLUMN(Calc!Y182),FT_PPD_DD!$A$116:$DZ$117,2,0)</f>
        <v>Y</v>
      </c>
      <c r="F116" s="1078">
        <f>ROW(Calc!U179)</f>
        <v>179</v>
      </c>
      <c r="G116" s="1078"/>
      <c r="H116" s="3121" t="s">
        <v>1128</v>
      </c>
      <c r="I116" s="3121"/>
      <c r="J116" s="3121"/>
      <c r="K116" s="3121"/>
      <c r="L116" s="3121"/>
      <c r="M116" s="3121"/>
      <c r="N116" s="3121"/>
      <c r="O116" s="3121"/>
      <c r="P116" s="3121"/>
      <c r="Q116" s="3121"/>
      <c r="R116" s="3121"/>
      <c r="S116" s="3121"/>
      <c r="T116" s="3121"/>
      <c r="U116" s="3121"/>
      <c r="V116" s="3121"/>
      <c r="W116" s="3121"/>
      <c r="X116" s="3121"/>
      <c r="Y116" s="3121"/>
      <c r="Z116" s="3121"/>
      <c r="AA116" s="3121"/>
      <c r="AB116" s="3121"/>
      <c r="AC116" s="3121"/>
      <c r="AD116" s="3121"/>
      <c r="AE116" s="1070"/>
    </row>
    <row r="117" spans="1:31" x14ac:dyDescent="0.3">
      <c r="A117" s="1070"/>
      <c r="B117" s="1070"/>
      <c r="C117" s="1078">
        <f t="shared" si="2"/>
        <v>31</v>
      </c>
      <c r="D117" s="1083" t="str">
        <f>HLOOKUP(COLUMN(Calc!AA176),FT_PPD_DD!$A$116:$DZ$117,2,0)</f>
        <v>AA</v>
      </c>
      <c r="E117" s="1084" t="str">
        <f>HLOOKUP(COLUMN(Calc!AE179),FT_PPD_DD!$A$116:$DZ$117,2,0)</f>
        <v>AE</v>
      </c>
      <c r="F117" s="1078">
        <f>ROW(Calc!AA176)</f>
        <v>176</v>
      </c>
      <c r="G117" s="1078">
        <f>ROW(Calc!AE179)</f>
        <v>179</v>
      </c>
      <c r="H117" s="3121" t="s">
        <v>1129</v>
      </c>
      <c r="I117" s="3121"/>
      <c r="J117" s="3121"/>
      <c r="K117" s="3121"/>
      <c r="L117" s="3121"/>
      <c r="M117" s="3121"/>
      <c r="N117" s="3121"/>
      <c r="O117" s="3121"/>
      <c r="P117" s="3121"/>
      <c r="Q117" s="3121"/>
      <c r="R117" s="3121"/>
      <c r="S117" s="3121"/>
      <c r="T117" s="3121"/>
      <c r="U117" s="3121"/>
      <c r="V117" s="3121"/>
      <c r="W117" s="3121"/>
      <c r="X117" s="3121"/>
      <c r="Y117" s="3121"/>
      <c r="Z117" s="3121"/>
      <c r="AA117" s="3121"/>
      <c r="AB117" s="3121"/>
      <c r="AC117" s="3121"/>
      <c r="AD117" s="3121"/>
      <c r="AE117" s="1070"/>
    </row>
    <row r="118" spans="1:31" x14ac:dyDescent="0.3">
      <c r="A118" s="1070"/>
      <c r="B118" s="1070"/>
      <c r="C118" s="1078"/>
      <c r="D118" s="1078"/>
      <c r="E118" s="1078"/>
      <c r="F118" s="1078"/>
      <c r="G118" s="1078"/>
      <c r="H118" s="1092"/>
      <c r="I118" s="1092"/>
      <c r="J118" s="1092"/>
      <c r="K118" s="1092"/>
      <c r="L118" s="1092"/>
      <c r="M118" s="1092"/>
      <c r="N118" s="1092"/>
      <c r="O118" s="1092"/>
      <c r="P118" s="1092"/>
      <c r="Q118" s="1092"/>
      <c r="R118" s="1092"/>
      <c r="S118" s="1092"/>
      <c r="T118" s="1092"/>
      <c r="U118" s="1092"/>
      <c r="V118" s="1092"/>
      <c r="W118" s="1092"/>
      <c r="X118" s="1092"/>
      <c r="Y118" s="1092"/>
      <c r="Z118" s="1092"/>
      <c r="AA118" s="1092"/>
      <c r="AB118" s="1092"/>
      <c r="AC118" s="1092"/>
      <c r="AD118" s="1092"/>
      <c r="AE118" s="1070"/>
    </row>
    <row r="119" spans="1:31" x14ac:dyDescent="0.3">
      <c r="A119" s="1070"/>
      <c r="B119" s="1070"/>
      <c r="C119" s="1077" t="s">
        <v>1130</v>
      </c>
      <c r="D119" s="1077"/>
      <c r="E119" s="1077"/>
      <c r="F119" s="1077"/>
      <c r="G119" s="1077"/>
      <c r="H119" s="1070"/>
      <c r="I119" s="1070"/>
      <c r="J119" s="1070"/>
      <c r="K119" s="1070"/>
      <c r="L119" s="1070"/>
      <c r="M119" s="1070"/>
      <c r="N119" s="1070"/>
      <c r="O119" s="1070"/>
      <c r="P119" s="1070"/>
      <c r="Q119" s="1070"/>
      <c r="R119" s="1070"/>
      <c r="S119" s="1070"/>
      <c r="T119" s="1070"/>
      <c r="U119" s="1070"/>
      <c r="V119" s="1070"/>
      <c r="W119" s="1070"/>
      <c r="X119" s="1070"/>
      <c r="Y119" s="1070"/>
      <c r="Z119" s="1070"/>
      <c r="AA119" s="1070"/>
      <c r="AB119" s="1070"/>
      <c r="AC119" s="1070"/>
      <c r="AD119" s="1070"/>
      <c r="AE119" s="1070"/>
    </row>
    <row r="120" spans="1:31" ht="27.75" customHeight="1" x14ac:dyDescent="0.3">
      <c r="A120" s="1070"/>
      <c r="B120" s="1070"/>
      <c r="C120" s="1078">
        <v>1</v>
      </c>
      <c r="D120" s="1083" t="str">
        <f>HLOOKUP(COLUMN(Calc!F152),FT_PPD_DD!$A$116:$DZ$117,2,0)</f>
        <v>F</v>
      </c>
      <c r="E120" s="1084" t="str">
        <f>HLOOKUP(COLUMN(Calc!P166),FT_PPD_DD!$A$116:$DZ$117,2,0)</f>
        <v>P</v>
      </c>
      <c r="F120" s="1078">
        <f>ROW(Calc!G152)</f>
        <v>152</v>
      </c>
      <c r="G120" s="1078">
        <f>ROW(Calc!H166)</f>
        <v>166</v>
      </c>
      <c r="H120" s="3122" t="s">
        <v>1131</v>
      </c>
      <c r="I120" s="3122"/>
      <c r="J120" s="3122"/>
      <c r="K120" s="3122"/>
      <c r="L120" s="3122"/>
      <c r="M120" s="3122"/>
      <c r="N120" s="3122"/>
      <c r="O120" s="3122"/>
      <c r="P120" s="3122"/>
      <c r="Q120" s="3122"/>
      <c r="R120" s="3122"/>
      <c r="S120" s="3122"/>
      <c r="T120" s="3122"/>
      <c r="U120" s="3122"/>
      <c r="V120" s="3122"/>
      <c r="W120" s="3122"/>
      <c r="X120" s="3122"/>
      <c r="Y120" s="3122"/>
      <c r="Z120" s="3122"/>
      <c r="AA120" s="3122"/>
      <c r="AB120" s="3122"/>
      <c r="AC120" s="3122"/>
      <c r="AD120" s="3122"/>
      <c r="AE120" s="1070"/>
    </row>
    <row r="121" spans="1:31" x14ac:dyDescent="0.3">
      <c r="A121" s="1070"/>
      <c r="B121" s="1070"/>
      <c r="C121" s="1077"/>
      <c r="D121" s="1077"/>
      <c r="E121" s="1077"/>
      <c r="F121" s="1077"/>
      <c r="G121" s="1077"/>
      <c r="H121" s="1070"/>
      <c r="I121" s="1070"/>
      <c r="J121" s="1070"/>
      <c r="K121" s="1070"/>
      <c r="L121" s="1070"/>
      <c r="M121" s="1070"/>
      <c r="N121" s="1070"/>
      <c r="O121" s="1070"/>
      <c r="P121" s="1070"/>
      <c r="Q121" s="1070"/>
      <c r="R121" s="1070"/>
      <c r="S121" s="1070"/>
      <c r="T121" s="1070"/>
      <c r="U121" s="1070"/>
      <c r="V121" s="1070"/>
      <c r="W121" s="1070"/>
      <c r="X121" s="1070"/>
      <c r="Y121" s="1070"/>
      <c r="Z121" s="1070"/>
      <c r="AA121" s="1070"/>
      <c r="AB121" s="1070"/>
      <c r="AC121" s="1070"/>
      <c r="AD121" s="1070"/>
      <c r="AE121" s="1070"/>
    </row>
    <row r="122" spans="1:31" x14ac:dyDescent="0.3">
      <c r="A122" s="1070"/>
      <c r="B122" s="1070"/>
      <c r="C122" s="1077" t="s">
        <v>1132</v>
      </c>
      <c r="D122" s="1077"/>
      <c r="E122" s="1077"/>
      <c r="F122" s="1077"/>
      <c r="G122" s="1077"/>
      <c r="H122" s="1070"/>
      <c r="I122" s="1070"/>
      <c r="J122" s="1070"/>
      <c r="K122" s="1070"/>
      <c r="L122" s="1070"/>
      <c r="M122" s="1070"/>
      <c r="N122" s="1070"/>
      <c r="O122" s="1070"/>
      <c r="P122" s="1070"/>
      <c r="Q122" s="1070"/>
      <c r="R122" s="1070"/>
      <c r="S122" s="1070"/>
      <c r="T122" s="1070"/>
      <c r="U122" s="1070"/>
      <c r="V122" s="1070"/>
      <c r="W122" s="1070"/>
      <c r="X122" s="1070"/>
      <c r="Y122" s="1070"/>
      <c r="Z122" s="1070"/>
      <c r="AA122" s="1070"/>
      <c r="AB122" s="1070"/>
      <c r="AC122" s="1070"/>
      <c r="AD122" s="1070"/>
      <c r="AE122" s="1070"/>
    </row>
    <row r="123" spans="1:31" ht="30.75" customHeight="1" x14ac:dyDescent="0.3">
      <c r="A123" s="1070"/>
      <c r="B123" s="1070"/>
      <c r="C123" s="1078">
        <v>1</v>
      </c>
      <c r="D123" s="1083" t="str">
        <f>HLOOKUP(COLUMN(Calc!T153),FT_PPD_DD!$A$116:$DZ$117,2,0)</f>
        <v>T</v>
      </c>
      <c r="E123" s="1084" t="str">
        <f>HLOOKUP(COLUMN(Calc!U156),FT_PPD_DD!$A$116:$DZ$117,2,0)</f>
        <v>U</v>
      </c>
      <c r="F123" s="1078">
        <f>ROW(Calc!T153)</f>
        <v>153</v>
      </c>
      <c r="G123" s="1078">
        <f>ROW(Calc!T156)</f>
        <v>156</v>
      </c>
      <c r="H123" s="3122" t="s">
        <v>1133</v>
      </c>
      <c r="I123" s="3122"/>
      <c r="J123" s="3122"/>
      <c r="K123" s="3122"/>
      <c r="L123" s="3122"/>
      <c r="M123" s="3122"/>
      <c r="N123" s="3122"/>
      <c r="O123" s="3122"/>
      <c r="P123" s="3122"/>
      <c r="Q123" s="3122"/>
      <c r="R123" s="3122"/>
      <c r="S123" s="3122"/>
      <c r="T123" s="3122"/>
      <c r="U123" s="3122"/>
      <c r="V123" s="3122"/>
      <c r="W123" s="3122"/>
      <c r="X123" s="3122"/>
      <c r="Y123" s="3122"/>
      <c r="Z123" s="3122"/>
      <c r="AA123" s="3122"/>
      <c r="AB123" s="3122"/>
      <c r="AC123" s="3122"/>
      <c r="AD123" s="3122"/>
      <c r="AE123" s="1070"/>
    </row>
    <row r="124" spans="1:31" x14ac:dyDescent="0.3">
      <c r="A124" s="1070"/>
      <c r="B124" s="1070"/>
      <c r="C124" s="1078"/>
      <c r="D124" s="1078"/>
      <c r="E124" s="1078"/>
      <c r="F124" s="1078"/>
      <c r="G124" s="1078"/>
      <c r="H124" s="1091"/>
      <c r="I124" s="1091"/>
      <c r="J124" s="1091"/>
      <c r="K124" s="1091"/>
      <c r="L124" s="1091"/>
      <c r="M124" s="1091"/>
      <c r="N124" s="1091"/>
      <c r="O124" s="1091"/>
      <c r="P124" s="1091"/>
      <c r="Q124" s="1091"/>
      <c r="R124" s="1091"/>
      <c r="S124" s="1091"/>
      <c r="T124" s="1091"/>
      <c r="U124" s="1091"/>
      <c r="V124" s="1091"/>
      <c r="W124" s="1091"/>
      <c r="X124" s="1091"/>
      <c r="Y124" s="1091"/>
      <c r="Z124" s="1091"/>
      <c r="AA124" s="1091"/>
      <c r="AB124" s="1091"/>
      <c r="AC124" s="1091"/>
      <c r="AD124" s="1091"/>
      <c r="AE124" s="1070"/>
    </row>
    <row r="125" spans="1:31" x14ac:dyDescent="0.3">
      <c r="A125" s="1070"/>
      <c r="B125" s="1070"/>
      <c r="C125" s="1077" t="s">
        <v>1134</v>
      </c>
      <c r="D125" s="1077"/>
      <c r="E125" s="1077"/>
      <c r="F125" s="1077"/>
      <c r="G125" s="1077"/>
      <c r="H125" s="1070"/>
      <c r="I125" s="1093"/>
      <c r="J125" s="1093"/>
      <c r="K125" s="1093"/>
      <c r="L125" s="1093"/>
      <c r="M125" s="1093"/>
      <c r="N125" s="1093"/>
      <c r="O125" s="1093"/>
      <c r="P125" s="1093"/>
      <c r="Q125" s="1093"/>
      <c r="R125" s="1093"/>
      <c r="S125" s="1093"/>
      <c r="T125" s="1093"/>
      <c r="U125" s="1093"/>
      <c r="V125" s="1093"/>
      <c r="W125" s="1093"/>
      <c r="X125" s="1093"/>
      <c r="Y125" s="1093"/>
      <c r="Z125" s="1093"/>
      <c r="AA125" s="1093"/>
      <c r="AB125" s="1093"/>
      <c r="AC125" s="1093"/>
      <c r="AD125" s="1093"/>
      <c r="AE125" s="1070"/>
    </row>
    <row r="126" spans="1:31" ht="29.25" customHeight="1" x14ac:dyDescent="0.3">
      <c r="A126" s="1070"/>
      <c r="B126" s="1070"/>
      <c r="C126" s="3123">
        <v>1</v>
      </c>
      <c r="D126" s="3124" t="str">
        <f>HLOOKUP(COLUMN(Calc!T161),FT_PPD_DD!$A$116:$DZ$117,2,0)</f>
        <v>T</v>
      </c>
      <c r="E126" s="3125" t="str">
        <f>HLOOKUP(COLUMN(Calc!U161),FT_PPD_DD!$A$116:$DZ$117,2,0)</f>
        <v>U</v>
      </c>
      <c r="F126" s="3123">
        <f>ROW(Calc!T161)</f>
        <v>161</v>
      </c>
      <c r="G126" s="3123"/>
      <c r="H126" s="3106" t="s">
        <v>1135</v>
      </c>
      <c r="I126" s="3106"/>
      <c r="J126" s="3106"/>
      <c r="K126" s="3106"/>
      <c r="L126" s="3106"/>
      <c r="M126" s="3106"/>
      <c r="N126" s="3106"/>
      <c r="O126" s="3106"/>
      <c r="P126" s="3106"/>
      <c r="Q126" s="3106"/>
      <c r="R126" s="3106"/>
      <c r="S126" s="3106"/>
      <c r="T126" s="3106"/>
      <c r="U126" s="3106"/>
      <c r="V126" s="3106"/>
      <c r="W126" s="3106"/>
      <c r="X126" s="3106"/>
      <c r="Y126" s="3106"/>
      <c r="Z126" s="3106"/>
      <c r="AA126" s="3106"/>
      <c r="AB126" s="3106"/>
      <c r="AC126" s="3106"/>
      <c r="AD126" s="3106"/>
      <c r="AE126" s="1070"/>
    </row>
    <row r="127" spans="1:31" x14ac:dyDescent="0.3">
      <c r="A127" s="1070"/>
      <c r="B127" s="1070"/>
      <c r="C127" s="3123"/>
      <c r="D127" s="3124"/>
      <c r="E127" s="3125"/>
      <c r="F127" s="3123"/>
      <c r="G127" s="3123"/>
      <c r="H127" s="3106" t="s">
        <v>1136</v>
      </c>
      <c r="I127" s="3106"/>
      <c r="J127" s="3106"/>
      <c r="K127" s="3106"/>
      <c r="L127" s="3106"/>
      <c r="M127" s="3106"/>
      <c r="N127" s="3106"/>
      <c r="O127" s="3106"/>
      <c r="P127" s="3106"/>
      <c r="Q127" s="3106"/>
      <c r="R127" s="3106"/>
      <c r="S127" s="3106"/>
      <c r="T127" s="3106"/>
      <c r="U127" s="3106"/>
      <c r="V127" s="3106"/>
      <c r="W127" s="3106"/>
      <c r="X127" s="3106"/>
      <c r="Y127" s="3106"/>
      <c r="Z127" s="3106"/>
      <c r="AA127" s="3106"/>
      <c r="AB127" s="3106"/>
      <c r="AC127" s="3106"/>
      <c r="AD127" s="3106"/>
      <c r="AE127" s="1070"/>
    </row>
    <row r="128" spans="1:31" x14ac:dyDescent="0.3">
      <c r="A128" s="1070"/>
      <c r="B128" s="1070"/>
      <c r="C128" s="3123"/>
      <c r="D128" s="3124"/>
      <c r="E128" s="3125"/>
      <c r="F128" s="3123"/>
      <c r="G128" s="3123"/>
      <c r="H128" s="1094"/>
      <c r="I128" s="1095" t="s">
        <v>1137</v>
      </c>
      <c r="J128" s="1095" t="s">
        <v>1138</v>
      </c>
      <c r="K128" s="1095" t="s">
        <v>1139</v>
      </c>
      <c r="L128" s="1095" t="s">
        <v>1140</v>
      </c>
      <c r="M128" s="1095" t="s">
        <v>1141</v>
      </c>
      <c r="N128" s="1095" t="s">
        <v>1142</v>
      </c>
      <c r="O128" s="1095" t="s">
        <v>1143</v>
      </c>
      <c r="P128" s="1095" t="s">
        <v>1144</v>
      </c>
      <c r="Q128" s="1095" t="s">
        <v>1145</v>
      </c>
      <c r="R128" s="1095" t="s">
        <v>1146</v>
      </c>
      <c r="S128" s="1095" t="s">
        <v>1147</v>
      </c>
      <c r="T128" s="1095" t="s">
        <v>1148</v>
      </c>
      <c r="U128" s="1094"/>
      <c r="V128" s="1094"/>
      <c r="W128" s="1094"/>
      <c r="X128" s="1094"/>
      <c r="Y128" s="1094"/>
      <c r="Z128" s="1094"/>
      <c r="AA128" s="1094"/>
      <c r="AB128" s="1094"/>
      <c r="AC128" s="1094"/>
      <c r="AD128" s="1094"/>
      <c r="AE128" s="1070"/>
    </row>
    <row r="129" spans="1:31" x14ac:dyDescent="0.3">
      <c r="A129" s="1070"/>
      <c r="B129" s="1070"/>
      <c r="C129" s="3123"/>
      <c r="D129" s="3124"/>
      <c r="E129" s="3125"/>
      <c r="F129" s="3123"/>
      <c r="G129" s="3123"/>
      <c r="H129" s="1094"/>
      <c r="I129" s="1096">
        <f>1/78</f>
        <v>1.282051282051282E-2</v>
      </c>
      <c r="J129" s="1096">
        <f>2/78</f>
        <v>2.564102564102564E-2</v>
      </c>
      <c r="K129" s="1096">
        <f>3/78</f>
        <v>3.8461538461538464E-2</v>
      </c>
      <c r="L129" s="1096">
        <f>4/78</f>
        <v>5.128205128205128E-2</v>
      </c>
      <c r="M129" s="1096">
        <f>5/78</f>
        <v>6.4102564102564097E-2</v>
      </c>
      <c r="N129" s="1096">
        <f>6/78</f>
        <v>7.6923076923076927E-2</v>
      </c>
      <c r="O129" s="1096">
        <f>7/78</f>
        <v>8.9743589743589744E-2</v>
      </c>
      <c r="P129" s="1096">
        <f>8/78</f>
        <v>0.10256410256410256</v>
      </c>
      <c r="Q129" s="1096">
        <f>9/78</f>
        <v>0.11538461538461539</v>
      </c>
      <c r="R129" s="1096">
        <f>10/78</f>
        <v>0.12820512820512819</v>
      </c>
      <c r="S129" s="1096">
        <f>11/78</f>
        <v>0.14102564102564102</v>
      </c>
      <c r="T129" s="1096">
        <f>12/78</f>
        <v>0.15384615384615385</v>
      </c>
      <c r="U129" s="1094" t="s">
        <v>1149</v>
      </c>
      <c r="V129" s="1070"/>
      <c r="W129" s="1094"/>
      <c r="X129" s="1094"/>
      <c r="Y129" s="1094"/>
      <c r="Z129" s="1094"/>
      <c r="AA129" s="1094"/>
      <c r="AB129" s="1094"/>
      <c r="AC129" s="1094"/>
      <c r="AD129" s="1094"/>
      <c r="AE129" s="1070"/>
    </row>
    <row r="130" spans="1:31" x14ac:dyDescent="0.3">
      <c r="A130" s="1070"/>
      <c r="B130" s="1070"/>
      <c r="C130" s="3123"/>
      <c r="D130" s="3124"/>
      <c r="E130" s="3125"/>
      <c r="F130" s="3123"/>
      <c r="G130" s="3123"/>
      <c r="H130" s="1094"/>
      <c r="I130" s="1097">
        <f>I129</f>
        <v>1.282051282051282E-2</v>
      </c>
      <c r="J130" s="1097">
        <f>I130+J129</f>
        <v>3.8461538461538464E-2</v>
      </c>
      <c r="K130" s="1097">
        <f t="shared" ref="K130:T130" si="3">J130+K129</f>
        <v>7.6923076923076927E-2</v>
      </c>
      <c r="L130" s="1097">
        <f t="shared" si="3"/>
        <v>0.12820512820512819</v>
      </c>
      <c r="M130" s="1097">
        <f t="shared" si="3"/>
        <v>0.19230769230769229</v>
      </c>
      <c r="N130" s="1097">
        <f t="shared" si="3"/>
        <v>0.26923076923076922</v>
      </c>
      <c r="O130" s="1097">
        <f t="shared" si="3"/>
        <v>0.35897435897435898</v>
      </c>
      <c r="P130" s="1097">
        <f t="shared" si="3"/>
        <v>0.46153846153846156</v>
      </c>
      <c r="Q130" s="1097">
        <f t="shared" si="3"/>
        <v>0.57692307692307698</v>
      </c>
      <c r="R130" s="1097">
        <f t="shared" si="3"/>
        <v>0.70512820512820518</v>
      </c>
      <c r="S130" s="1097">
        <f t="shared" si="3"/>
        <v>0.84615384615384626</v>
      </c>
      <c r="T130" s="1097">
        <f t="shared" si="3"/>
        <v>1</v>
      </c>
      <c r="U130" s="1098" t="s">
        <v>1150</v>
      </c>
      <c r="V130" s="1070"/>
      <c r="W130" s="1094"/>
      <c r="X130" s="1094"/>
      <c r="Y130" s="1094"/>
      <c r="Z130" s="1094"/>
      <c r="AA130" s="1094"/>
      <c r="AB130" s="1094"/>
      <c r="AC130" s="1094"/>
      <c r="AD130" s="1094"/>
      <c r="AE130" s="1070"/>
    </row>
    <row r="131" spans="1:31" x14ac:dyDescent="0.3">
      <c r="A131" s="1070"/>
      <c r="B131" s="1070"/>
      <c r="C131" s="1078"/>
      <c r="D131" s="1088"/>
      <c r="E131" s="1088"/>
      <c r="F131" s="1078"/>
      <c r="G131" s="1078"/>
      <c r="H131" s="1094"/>
      <c r="I131" s="1097"/>
      <c r="J131" s="1097"/>
      <c r="K131" s="1097"/>
      <c r="L131" s="1097"/>
      <c r="M131" s="1097"/>
      <c r="N131" s="1097"/>
      <c r="O131" s="1097"/>
      <c r="P131" s="1097"/>
      <c r="Q131" s="1097"/>
      <c r="R131" s="1097"/>
      <c r="S131" s="1097"/>
      <c r="T131" s="1097"/>
      <c r="U131" s="1098"/>
      <c r="V131" s="1070"/>
      <c r="W131" s="1094"/>
      <c r="X131" s="1094"/>
      <c r="Y131" s="1094"/>
      <c r="Z131" s="1094"/>
      <c r="AA131" s="1094"/>
      <c r="AB131" s="1094"/>
      <c r="AC131" s="1094"/>
      <c r="AD131" s="1094"/>
      <c r="AE131" s="1070"/>
    </row>
    <row r="132" spans="1:31" x14ac:dyDescent="0.3">
      <c r="A132" s="1070"/>
      <c r="B132" s="1070"/>
      <c r="C132" s="1077" t="s">
        <v>1132</v>
      </c>
      <c r="D132" s="1077"/>
      <c r="E132" s="1077"/>
      <c r="F132" s="1077"/>
      <c r="G132" s="1077"/>
      <c r="H132" s="1070"/>
      <c r="I132" s="1070"/>
      <c r="J132" s="1070"/>
      <c r="K132" s="1070"/>
      <c r="L132" s="1070"/>
      <c r="M132" s="1070"/>
      <c r="N132" s="1070"/>
      <c r="O132" s="1070"/>
      <c r="P132" s="1070"/>
      <c r="Q132" s="1070"/>
      <c r="R132" s="1070"/>
      <c r="S132" s="1070"/>
      <c r="T132" s="1070"/>
      <c r="U132" s="1070"/>
      <c r="V132" s="1070"/>
      <c r="W132" s="1070"/>
      <c r="X132" s="1070"/>
      <c r="Y132" s="1070"/>
      <c r="Z132" s="1070"/>
      <c r="AA132" s="1070"/>
      <c r="AB132" s="1070"/>
      <c r="AC132" s="1070"/>
      <c r="AD132" s="1070"/>
      <c r="AE132" s="1070"/>
    </row>
    <row r="133" spans="1:31" ht="29.25" customHeight="1" x14ac:dyDescent="0.3">
      <c r="A133" s="1070"/>
      <c r="B133" s="1070"/>
      <c r="C133" s="1078">
        <v>1</v>
      </c>
      <c r="D133" s="1083" t="str">
        <f>HLOOKUP(COLUMN(Calc!W163),FT_PPD_DD!$A$116:$DZ$117,2,0)</f>
        <v>W</v>
      </c>
      <c r="E133" s="1084" t="str">
        <f>HLOOKUP(COLUMN(Calc!AE166),FT_PPD_DD!$A$116:$DZ$117,2,0)</f>
        <v>AE</v>
      </c>
      <c r="F133" s="1078">
        <f>ROW(Calc!W152)</f>
        <v>152</v>
      </c>
      <c r="G133" s="1078">
        <f>ROW(Calc!AE157)</f>
        <v>157</v>
      </c>
      <c r="H133" s="3122" t="s">
        <v>1151</v>
      </c>
      <c r="I133" s="3122"/>
      <c r="J133" s="3122"/>
      <c r="K133" s="3122"/>
      <c r="L133" s="3122"/>
      <c r="M133" s="3122"/>
      <c r="N133" s="3122"/>
      <c r="O133" s="3122"/>
      <c r="P133" s="3122"/>
      <c r="Q133" s="3122"/>
      <c r="R133" s="3122"/>
      <c r="S133" s="3122"/>
      <c r="T133" s="3122"/>
      <c r="U133" s="3122"/>
      <c r="V133" s="3122"/>
      <c r="W133" s="3122"/>
      <c r="X133" s="3122"/>
      <c r="Y133" s="3122"/>
      <c r="Z133" s="3122"/>
      <c r="AA133" s="3122"/>
      <c r="AB133" s="3122"/>
      <c r="AC133" s="3122"/>
      <c r="AD133" s="3122"/>
      <c r="AE133" s="1070"/>
    </row>
    <row r="134" spans="1:31" x14ac:dyDescent="0.3">
      <c r="A134" s="1070"/>
      <c r="B134" s="1070"/>
      <c r="C134" s="1078"/>
      <c r="D134" s="1078"/>
      <c r="E134" s="1078"/>
      <c r="F134" s="1078"/>
      <c r="G134" s="1078"/>
      <c r="H134" s="1091"/>
      <c r="I134" s="1091"/>
      <c r="J134" s="1091"/>
      <c r="K134" s="1091"/>
      <c r="L134" s="1091"/>
      <c r="M134" s="1091"/>
      <c r="N134" s="1091"/>
      <c r="O134" s="1091"/>
      <c r="P134" s="1091"/>
      <c r="Q134" s="1091"/>
      <c r="R134" s="1091"/>
      <c r="S134" s="1091"/>
      <c r="T134" s="1091"/>
      <c r="U134" s="1091"/>
      <c r="V134" s="1091"/>
      <c r="W134" s="1091"/>
      <c r="X134" s="1091"/>
      <c r="Y134" s="1091"/>
      <c r="Z134" s="1091"/>
      <c r="AA134" s="1091"/>
      <c r="AB134" s="1091"/>
      <c r="AC134" s="1091"/>
      <c r="AD134" s="1091"/>
      <c r="AE134" s="1070"/>
    </row>
    <row r="135" spans="1:31" x14ac:dyDescent="0.3">
      <c r="A135" s="1070"/>
      <c r="B135" s="1070"/>
      <c r="C135" s="1080" t="s">
        <v>1152</v>
      </c>
      <c r="D135" s="1080"/>
      <c r="E135" s="1080"/>
      <c r="F135" s="1080"/>
      <c r="G135" s="1080"/>
      <c r="H135" s="1070"/>
      <c r="I135" s="1070"/>
      <c r="J135" s="1070"/>
      <c r="K135" s="1070"/>
      <c r="L135" s="1070"/>
      <c r="M135" s="1070"/>
      <c r="N135" s="1070"/>
      <c r="O135" s="1070"/>
      <c r="P135" s="1070"/>
      <c r="Q135" s="1070"/>
      <c r="R135" s="1070"/>
      <c r="S135" s="1070"/>
      <c r="T135" s="1070"/>
      <c r="U135" s="1070"/>
      <c r="V135" s="1070"/>
      <c r="W135" s="1070"/>
      <c r="X135" s="1070"/>
      <c r="Y135" s="1070"/>
      <c r="Z135" s="1070"/>
      <c r="AA135" s="1070"/>
      <c r="AB135" s="1070"/>
      <c r="AC135" s="1070"/>
      <c r="AD135" s="1070"/>
      <c r="AE135" s="1070"/>
    </row>
    <row r="136" spans="1:31" ht="6.75" customHeight="1" x14ac:dyDescent="0.3">
      <c r="A136" s="1070"/>
      <c r="B136" s="1070"/>
      <c r="C136" s="1077"/>
      <c r="D136" s="1077"/>
      <c r="E136" s="1077"/>
      <c r="F136" s="1077"/>
      <c r="G136" s="1077"/>
      <c r="H136" s="1070"/>
      <c r="I136" s="1070"/>
      <c r="J136" s="1070"/>
      <c r="K136" s="1070"/>
      <c r="L136" s="1070"/>
      <c r="M136" s="1070"/>
      <c r="N136" s="1070"/>
      <c r="O136" s="1070"/>
      <c r="P136" s="1070"/>
      <c r="Q136" s="1070"/>
      <c r="R136" s="1070"/>
      <c r="S136" s="1070"/>
      <c r="T136" s="1070"/>
      <c r="U136" s="1070"/>
      <c r="V136" s="1070"/>
      <c r="W136" s="1070"/>
      <c r="X136" s="1070"/>
      <c r="Y136" s="1070"/>
      <c r="Z136" s="1070"/>
      <c r="AA136" s="1070"/>
      <c r="AB136" s="1070"/>
      <c r="AC136" s="1070"/>
      <c r="AD136" s="1070"/>
      <c r="AE136" s="1070"/>
    </row>
    <row r="137" spans="1:31" x14ac:dyDescent="0.3">
      <c r="A137" s="1070"/>
      <c r="B137" s="1070"/>
      <c r="H137" s="1077" t="s">
        <v>1153</v>
      </c>
      <c r="I137" s="1070"/>
      <c r="J137" s="1070"/>
      <c r="K137" s="1070"/>
      <c r="L137" s="1070"/>
      <c r="M137" s="1070"/>
      <c r="N137" s="1070"/>
      <c r="O137" s="1070"/>
      <c r="P137" s="1070"/>
      <c r="Q137" s="1070"/>
      <c r="R137" s="1070"/>
      <c r="S137" s="1070"/>
      <c r="T137" s="1070"/>
      <c r="U137" s="1070"/>
      <c r="V137" s="1070"/>
      <c r="W137" s="1070"/>
      <c r="X137" s="1070"/>
      <c r="Y137" s="1070"/>
      <c r="Z137" s="1070"/>
      <c r="AA137" s="1070"/>
      <c r="AB137" s="1070"/>
      <c r="AC137" s="1070"/>
      <c r="AD137" s="1070"/>
      <c r="AE137" s="1099"/>
    </row>
    <row r="138" spans="1:31" x14ac:dyDescent="0.3">
      <c r="A138" s="1070"/>
      <c r="B138" s="1070"/>
      <c r="C138" s="1078">
        <v>1</v>
      </c>
      <c r="D138" s="1083" t="str">
        <f>HLOOKUP(COLUMN(Calc!F176),FT_PPD_DD!$A$116:$DZ$117,2,0)</f>
        <v>F</v>
      </c>
      <c r="E138" s="1084" t="str">
        <f>HLOOKUP(COLUMN(Calc!O176),FT_PPD_DD!$A$116:$DZ$117,2,0)</f>
        <v>O</v>
      </c>
      <c r="F138" s="1078">
        <f>ROW(Calc!C176)</f>
        <v>176</v>
      </c>
      <c r="G138" s="1078"/>
      <c r="H138" s="3106" t="s">
        <v>1154</v>
      </c>
      <c r="I138" s="3106"/>
      <c r="J138" s="3106"/>
      <c r="K138" s="3106"/>
      <c r="L138" s="3106"/>
      <c r="M138" s="3106"/>
      <c r="N138" s="3106"/>
      <c r="O138" s="3106"/>
      <c r="P138" s="3106"/>
      <c r="Q138" s="3106"/>
      <c r="R138" s="3106"/>
      <c r="S138" s="3106"/>
      <c r="T138" s="3106"/>
      <c r="U138" s="3106"/>
      <c r="V138" s="3106"/>
      <c r="W138" s="3106"/>
      <c r="X138" s="3106"/>
      <c r="Y138" s="3106"/>
      <c r="Z138" s="3106"/>
      <c r="AA138" s="3106"/>
      <c r="AB138" s="3106"/>
      <c r="AC138" s="3106"/>
      <c r="AD138" s="3106"/>
      <c r="AE138" s="1099"/>
    </row>
    <row r="139" spans="1:31" ht="31.5" customHeight="1" x14ac:dyDescent="0.3">
      <c r="A139" s="1070"/>
      <c r="B139" s="1070"/>
      <c r="C139" s="1078">
        <f>C138+1</f>
        <v>2</v>
      </c>
      <c r="D139" s="1083" t="str">
        <f>HLOOKUP(COLUMN(Calc!F177),FT_PPD_DD!$A$116:$DZ$117,2,0)</f>
        <v>F</v>
      </c>
      <c r="E139" s="1084" t="str">
        <f>HLOOKUP(COLUMN(Calc!O177),FT_PPD_DD!$A$116:$DZ$117,2,0)</f>
        <v>O</v>
      </c>
      <c r="F139" s="1078">
        <f>ROW(Calc!C177)</f>
        <v>177</v>
      </c>
      <c r="G139" s="1078"/>
      <c r="H139" s="3106" t="s">
        <v>1155</v>
      </c>
      <c r="I139" s="3106"/>
      <c r="J139" s="3106"/>
      <c r="K139" s="3106"/>
      <c r="L139" s="3106"/>
      <c r="M139" s="3106"/>
      <c r="N139" s="3106"/>
      <c r="O139" s="3106"/>
      <c r="P139" s="3106"/>
      <c r="Q139" s="3106"/>
      <c r="R139" s="3106"/>
      <c r="S139" s="3106"/>
      <c r="T139" s="3106"/>
      <c r="U139" s="3106"/>
      <c r="V139" s="3106"/>
      <c r="W139" s="3106"/>
      <c r="X139" s="3106"/>
      <c r="Y139" s="3106"/>
      <c r="Z139" s="3106"/>
      <c r="AA139" s="3106"/>
      <c r="AB139" s="3106"/>
      <c r="AC139" s="3106"/>
      <c r="AD139" s="3106"/>
      <c r="AE139" s="1099"/>
    </row>
    <row r="140" spans="1:31" x14ac:dyDescent="0.3">
      <c r="A140" s="1070"/>
      <c r="B140" s="1070"/>
      <c r="C140" s="1078">
        <f t="shared" ref="C140:C146" si="4">C139+1</f>
        <v>3</v>
      </c>
      <c r="D140" s="1083" t="str">
        <f>HLOOKUP(COLUMN(Calc!F178),FT_PPD_DD!$A$116:$DZ$117,2,0)</f>
        <v>F</v>
      </c>
      <c r="E140" s="1084" t="str">
        <f>HLOOKUP(COLUMN(Calc!O178),FT_PPD_DD!$A$116:$DZ$117,2,0)</f>
        <v>O</v>
      </c>
      <c r="F140" s="1078">
        <f>ROW(Calc!C178)</f>
        <v>178</v>
      </c>
      <c r="G140" s="1078"/>
      <c r="H140" s="3105" t="s">
        <v>1156</v>
      </c>
      <c r="I140" s="3105"/>
      <c r="J140" s="3105"/>
      <c r="K140" s="3105"/>
      <c r="L140" s="3105"/>
      <c r="M140" s="3105"/>
      <c r="N140" s="3105"/>
      <c r="O140" s="3105"/>
      <c r="P140" s="3105"/>
      <c r="Q140" s="3105"/>
      <c r="R140" s="3105"/>
      <c r="S140" s="3105"/>
      <c r="T140" s="3105"/>
      <c r="U140" s="3105"/>
      <c r="V140" s="3105"/>
      <c r="W140" s="3105"/>
      <c r="X140" s="3105"/>
      <c r="Y140" s="3105"/>
      <c r="Z140" s="3105"/>
      <c r="AA140" s="3105"/>
      <c r="AB140" s="3105"/>
      <c r="AC140" s="3105"/>
      <c r="AD140" s="3105"/>
      <c r="AE140" s="1099"/>
    </row>
    <row r="141" spans="1:31" x14ac:dyDescent="0.3">
      <c r="A141" s="1070"/>
      <c r="B141" s="1070"/>
      <c r="C141" s="1078">
        <f t="shared" si="4"/>
        <v>4</v>
      </c>
      <c r="D141" s="1083" t="str">
        <f>HLOOKUP(COLUMN(Calc!F179),FT_PPD_DD!$A$116:$DZ$117,2,0)</f>
        <v>F</v>
      </c>
      <c r="E141" s="1084" t="str">
        <f>HLOOKUP(COLUMN(Calc!O179),FT_PPD_DD!$A$116:$DZ$117,2,0)</f>
        <v>O</v>
      </c>
      <c r="F141" s="1078">
        <f>ROW(Calc!C179)</f>
        <v>179</v>
      </c>
      <c r="G141" s="1078"/>
      <c r="H141" s="3105" t="s">
        <v>1157</v>
      </c>
      <c r="I141" s="3105"/>
      <c r="J141" s="3105"/>
      <c r="K141" s="3105"/>
      <c r="L141" s="3105"/>
      <c r="M141" s="3105"/>
      <c r="N141" s="3105"/>
      <c r="O141" s="3105"/>
      <c r="P141" s="3105"/>
      <c r="Q141" s="3105"/>
      <c r="R141" s="3105"/>
      <c r="S141" s="3105"/>
      <c r="T141" s="3105"/>
      <c r="U141" s="3105"/>
      <c r="V141" s="3105"/>
      <c r="W141" s="3105"/>
      <c r="X141" s="3105"/>
      <c r="Y141" s="3105"/>
      <c r="Z141" s="3105"/>
      <c r="AA141" s="3105"/>
      <c r="AB141" s="3105"/>
      <c r="AC141" s="3105"/>
      <c r="AD141" s="3105"/>
      <c r="AE141" s="1099"/>
    </row>
    <row r="142" spans="1:31" x14ac:dyDescent="0.3">
      <c r="A142" s="1070"/>
      <c r="B142" s="1070"/>
      <c r="C142" s="1078">
        <f t="shared" si="4"/>
        <v>5</v>
      </c>
      <c r="D142" s="1083" t="str">
        <f>HLOOKUP(COLUMN(Calc!F180),FT_PPD_DD!$A$116:$DZ$117,2,0)</f>
        <v>F</v>
      </c>
      <c r="E142" s="1084" t="str">
        <f>HLOOKUP(COLUMN(Calc!O180),FT_PPD_DD!$A$116:$DZ$117,2,0)</f>
        <v>O</v>
      </c>
      <c r="F142" s="1078">
        <f>ROW(Calc!C180)</f>
        <v>180</v>
      </c>
      <c r="G142" s="1078"/>
      <c r="H142" s="3105" t="s">
        <v>1158</v>
      </c>
      <c r="I142" s="3105"/>
      <c r="J142" s="3105"/>
      <c r="K142" s="3105"/>
      <c r="L142" s="3105"/>
      <c r="M142" s="3105"/>
      <c r="N142" s="3105"/>
      <c r="O142" s="3105"/>
      <c r="P142" s="3105"/>
      <c r="Q142" s="3105"/>
      <c r="R142" s="3105"/>
      <c r="S142" s="3105"/>
      <c r="T142" s="3105"/>
      <c r="U142" s="3105"/>
      <c r="V142" s="3105"/>
      <c r="W142" s="3105"/>
      <c r="X142" s="3105"/>
      <c r="Y142" s="3105"/>
      <c r="Z142" s="3105"/>
      <c r="AA142" s="3105"/>
      <c r="AB142" s="3105"/>
      <c r="AC142" s="3105"/>
      <c r="AD142" s="3105"/>
      <c r="AE142" s="1099"/>
    </row>
    <row r="143" spans="1:31" x14ac:dyDescent="0.3">
      <c r="A143" s="1070"/>
      <c r="B143" s="1070"/>
      <c r="C143" s="1078">
        <f t="shared" si="4"/>
        <v>6</v>
      </c>
      <c r="D143" s="1083" t="str">
        <f>HLOOKUP(COLUMN(Calc!F181),FT_PPD_DD!$A$116:$DZ$117,2,0)</f>
        <v>F</v>
      </c>
      <c r="E143" s="1084" t="str">
        <f>HLOOKUP(COLUMN(Calc!O181),FT_PPD_DD!$A$116:$DZ$117,2,0)</f>
        <v>O</v>
      </c>
      <c r="F143" s="1078">
        <f>ROW(Calc!C181)</f>
        <v>181</v>
      </c>
      <c r="G143" s="1078"/>
      <c r="H143" s="3105" t="s">
        <v>1159</v>
      </c>
      <c r="I143" s="3105"/>
      <c r="J143" s="3105"/>
      <c r="K143" s="3105"/>
      <c r="L143" s="3105"/>
      <c r="M143" s="3105"/>
      <c r="N143" s="3105"/>
      <c r="O143" s="3105"/>
      <c r="P143" s="3105"/>
      <c r="Q143" s="3105"/>
      <c r="R143" s="3105"/>
      <c r="S143" s="3105"/>
      <c r="T143" s="3105"/>
      <c r="U143" s="3105"/>
      <c r="V143" s="3105"/>
      <c r="W143" s="3105"/>
      <c r="X143" s="3105"/>
      <c r="Y143" s="3105"/>
      <c r="Z143" s="3105"/>
      <c r="AA143" s="3105"/>
      <c r="AB143" s="3105"/>
      <c r="AC143" s="3105"/>
      <c r="AD143" s="3105"/>
      <c r="AE143" s="1099"/>
    </row>
    <row r="144" spans="1:31" x14ac:dyDescent="0.3">
      <c r="A144" s="1070"/>
      <c r="B144" s="1070"/>
      <c r="C144" s="1078">
        <f t="shared" si="4"/>
        <v>7</v>
      </c>
      <c r="D144" s="1083" t="str">
        <f>HLOOKUP(COLUMN(Calc!F185),FT_PPD_DD!$A$116:$DZ$117,2,0)</f>
        <v>F</v>
      </c>
      <c r="E144" s="1084" t="str">
        <f>HLOOKUP(COLUMN(Calc!J187),FT_PPD_DD!$A$116:$DZ$117,2,0)</f>
        <v>J</v>
      </c>
      <c r="F144" s="1078">
        <f>ROW(Calc!C185)</f>
        <v>185</v>
      </c>
      <c r="G144" s="1078">
        <f>ROW(Calc!J187)</f>
        <v>187</v>
      </c>
      <c r="H144" s="3105" t="s">
        <v>1160</v>
      </c>
      <c r="I144" s="3105"/>
      <c r="J144" s="3105"/>
      <c r="K144" s="3105"/>
      <c r="L144" s="3105"/>
      <c r="M144" s="3105"/>
      <c r="N144" s="3105"/>
      <c r="O144" s="3105"/>
      <c r="P144" s="3105"/>
      <c r="Q144" s="3105"/>
      <c r="R144" s="3105"/>
      <c r="S144" s="3105"/>
      <c r="T144" s="3105"/>
      <c r="U144" s="3105"/>
      <c r="V144" s="3105"/>
      <c r="W144" s="3105"/>
      <c r="X144" s="3105"/>
      <c r="Y144" s="3105"/>
      <c r="Z144" s="3105"/>
      <c r="AA144" s="3105"/>
      <c r="AB144" s="3105"/>
      <c r="AC144" s="3105"/>
      <c r="AD144" s="3105"/>
      <c r="AE144" s="1099"/>
    </row>
    <row r="145" spans="1:31" x14ac:dyDescent="0.3">
      <c r="A145" s="1070"/>
      <c r="B145" s="1070"/>
      <c r="C145" s="1078">
        <f t="shared" si="4"/>
        <v>8</v>
      </c>
      <c r="D145" s="1083" t="str">
        <f>HLOOKUP(COLUMN(Calc!F185),FT_PPD_DD!$A$116:$DZ$117,2,0)</f>
        <v>F</v>
      </c>
      <c r="E145" s="1084" t="str">
        <f>HLOOKUP(COLUMN(Calc!J187),FT_PPD_DD!$A$116:$DZ$117,2,0)</f>
        <v>J</v>
      </c>
      <c r="F145" s="1078">
        <f>ROW(Calc!C176)</f>
        <v>176</v>
      </c>
      <c r="G145" s="1078">
        <f>ROW(Calc!J187)</f>
        <v>187</v>
      </c>
      <c r="H145" s="3105" t="s">
        <v>1161</v>
      </c>
      <c r="I145" s="3105"/>
      <c r="J145" s="3105"/>
      <c r="K145" s="3105"/>
      <c r="L145" s="3105"/>
      <c r="M145" s="3105"/>
      <c r="N145" s="3105"/>
      <c r="O145" s="3105"/>
      <c r="P145" s="3105"/>
      <c r="Q145" s="3105"/>
      <c r="R145" s="3105"/>
      <c r="S145" s="3105"/>
      <c r="T145" s="3105"/>
      <c r="U145" s="3105"/>
      <c r="V145" s="3105"/>
      <c r="W145" s="3105"/>
      <c r="X145" s="3105"/>
      <c r="Y145" s="3105"/>
      <c r="Z145" s="3105"/>
      <c r="AA145" s="3105"/>
      <c r="AB145" s="3105"/>
      <c r="AC145" s="3105"/>
      <c r="AD145" s="3105"/>
      <c r="AE145" s="1099"/>
    </row>
    <row r="146" spans="1:31" x14ac:dyDescent="0.3">
      <c r="A146" s="1070"/>
      <c r="B146" s="1070"/>
      <c r="C146" s="1078">
        <f t="shared" si="4"/>
        <v>9</v>
      </c>
      <c r="D146" s="1083" t="str">
        <f>HLOOKUP(COLUMN(Calc!K176),FT_PPD_DD!$A$116:$DZ$117,2,0)</f>
        <v>K</v>
      </c>
      <c r="E146" s="1084" t="str">
        <f>HLOOKUP(COLUMN(Calc!O187),FT_PPD_DD!$A$116:$DZ$117,2,0)</f>
        <v>O</v>
      </c>
      <c r="F146" s="1071">
        <f>ROW(Calc!C176)</f>
        <v>176</v>
      </c>
      <c r="G146" s="1071">
        <f>ROW(Calc!J181)</f>
        <v>181</v>
      </c>
      <c r="H146" s="3106" t="s">
        <v>1162</v>
      </c>
      <c r="I146" s="3106"/>
      <c r="J146" s="3106"/>
      <c r="K146" s="3106"/>
      <c r="L146" s="3106"/>
      <c r="M146" s="3106"/>
      <c r="N146" s="3106"/>
      <c r="O146" s="3106"/>
      <c r="P146" s="3106"/>
      <c r="Q146" s="3106"/>
      <c r="R146" s="3106"/>
      <c r="S146" s="3106"/>
      <c r="T146" s="3106"/>
      <c r="U146" s="3106"/>
      <c r="V146" s="3106"/>
      <c r="W146" s="3106"/>
      <c r="X146" s="3106"/>
      <c r="Y146" s="3106"/>
      <c r="Z146" s="3106"/>
      <c r="AA146" s="3106"/>
      <c r="AB146" s="3106"/>
      <c r="AC146" s="3106"/>
      <c r="AD146" s="3106"/>
      <c r="AE146" s="1099"/>
    </row>
    <row r="147" spans="1:31" x14ac:dyDescent="0.3">
      <c r="A147" s="1070"/>
      <c r="B147" s="1070"/>
      <c r="C147" s="1078"/>
      <c r="D147" s="1088"/>
      <c r="E147" s="1088"/>
      <c r="H147" s="3126" t="s">
        <v>1163</v>
      </c>
      <c r="I147" s="3106"/>
      <c r="J147" s="3106"/>
      <c r="K147" s="3106"/>
      <c r="L147" s="3106"/>
      <c r="M147" s="3106"/>
      <c r="N147" s="3106"/>
      <c r="O147" s="3106"/>
      <c r="P147" s="3106"/>
      <c r="Q147" s="3106"/>
      <c r="R147" s="3106"/>
      <c r="S147" s="3106"/>
      <c r="T147" s="3106"/>
      <c r="U147" s="3106"/>
      <c r="V147" s="3106"/>
      <c r="W147" s="3106"/>
      <c r="X147" s="3106"/>
      <c r="Y147" s="3106"/>
      <c r="Z147" s="3106"/>
      <c r="AA147" s="3106"/>
      <c r="AB147" s="3106"/>
      <c r="AC147" s="3106"/>
      <c r="AD147" s="3106"/>
      <c r="AE147" s="1099"/>
    </row>
    <row r="148" spans="1:31" x14ac:dyDescent="0.3">
      <c r="A148" s="1070"/>
      <c r="B148" s="1070"/>
      <c r="C148" s="1078"/>
      <c r="D148" s="1078"/>
      <c r="E148" s="1078"/>
      <c r="H148" s="1100" t="s">
        <v>1164</v>
      </c>
      <c r="AE148" s="1099"/>
    </row>
    <row r="149" spans="1:31" x14ac:dyDescent="0.3">
      <c r="A149" s="1070"/>
      <c r="B149" s="1070"/>
      <c r="C149" s="1078">
        <v>10</v>
      </c>
      <c r="D149" s="1083" t="str">
        <f>HLOOKUP(COLUMN(Calc!F174),FT_PPD_DD!$A$116:$DZ$117,2,0)</f>
        <v>F</v>
      </c>
      <c r="E149" s="1084" t="str">
        <f>HLOOKUP(COLUMN(Calc!K174),FT_PPD_DD!$A$116:$DZ$117,2,0)</f>
        <v>K</v>
      </c>
      <c r="F149" s="1078"/>
      <c r="G149" s="1078"/>
      <c r="H149" s="3106" t="s">
        <v>1165</v>
      </c>
      <c r="I149" s="3106"/>
      <c r="J149" s="3106"/>
      <c r="K149" s="3106"/>
      <c r="L149" s="3106"/>
      <c r="M149" s="3106"/>
      <c r="N149" s="3106"/>
      <c r="O149" s="3106"/>
      <c r="P149" s="3106"/>
      <c r="Q149" s="3106"/>
      <c r="R149" s="3106"/>
      <c r="S149" s="3106"/>
      <c r="T149" s="3106"/>
      <c r="U149" s="3106"/>
      <c r="V149" s="3106"/>
      <c r="W149" s="3106"/>
      <c r="X149" s="3106"/>
      <c r="Y149" s="3106"/>
      <c r="Z149" s="3106"/>
      <c r="AA149" s="3106"/>
      <c r="AB149" s="3106"/>
      <c r="AC149" s="3106"/>
      <c r="AD149" s="3106"/>
      <c r="AE149" s="1099"/>
    </row>
    <row r="150" spans="1:31" ht="28.5" customHeight="1" x14ac:dyDescent="0.3">
      <c r="A150" s="1070"/>
      <c r="B150" s="1070"/>
      <c r="C150" s="1078">
        <f t="shared" ref="C150:C153" si="5">C149+1</f>
        <v>11</v>
      </c>
      <c r="D150" s="1083" t="str">
        <f>HLOOKUP(COLUMN(Calc!G174),FT_PPD_DD!$A$116:$DZ$117,2,0)</f>
        <v>G</v>
      </c>
      <c r="E150" s="1084" t="str">
        <f>HLOOKUP(COLUMN(Calc!L174),FT_PPD_DD!$A$116:$DZ$117,2,0)</f>
        <v>L</v>
      </c>
      <c r="F150" s="1078"/>
      <c r="G150" s="1078"/>
      <c r="H150" s="3106" t="s">
        <v>1166</v>
      </c>
      <c r="I150" s="3106"/>
      <c r="J150" s="3106"/>
      <c r="K150" s="3106"/>
      <c r="L150" s="3106"/>
      <c r="M150" s="3106"/>
      <c r="N150" s="3106"/>
      <c r="O150" s="3106"/>
      <c r="P150" s="3106"/>
      <c r="Q150" s="3106"/>
      <c r="R150" s="3106"/>
      <c r="S150" s="3106"/>
      <c r="T150" s="3106"/>
      <c r="U150" s="3106"/>
      <c r="V150" s="3106"/>
      <c r="W150" s="3106"/>
      <c r="X150" s="3106"/>
      <c r="Y150" s="3106"/>
      <c r="Z150" s="3106"/>
      <c r="AA150" s="3106"/>
      <c r="AB150" s="3106"/>
      <c r="AC150" s="3106"/>
      <c r="AD150" s="3106"/>
      <c r="AE150" s="1099"/>
    </row>
    <row r="151" spans="1:31" ht="41.25" customHeight="1" x14ac:dyDescent="0.3">
      <c r="A151" s="1070"/>
      <c r="B151" s="1070"/>
      <c r="C151" s="1078">
        <f t="shared" si="5"/>
        <v>12</v>
      </c>
      <c r="D151" s="1083" t="str">
        <f>HLOOKUP(COLUMN(Calc!H174),FT_PPD_DD!$A$116:$DZ$117,2,0)</f>
        <v>H</v>
      </c>
      <c r="E151" s="1084" t="str">
        <f>HLOOKUP(COLUMN(Calc!M174),FT_PPD_DD!$A$116:$DZ$117,2,0)</f>
        <v>M</v>
      </c>
      <c r="F151" s="1078"/>
      <c r="G151" s="1078"/>
      <c r="H151" s="3106" t="s">
        <v>1167</v>
      </c>
      <c r="I151" s="3106"/>
      <c r="J151" s="3106"/>
      <c r="K151" s="3106"/>
      <c r="L151" s="3106"/>
      <c r="M151" s="3106"/>
      <c r="N151" s="3106"/>
      <c r="O151" s="3106"/>
      <c r="P151" s="3106"/>
      <c r="Q151" s="3106"/>
      <c r="R151" s="3106"/>
      <c r="S151" s="3106"/>
      <c r="T151" s="3106"/>
      <c r="U151" s="3106"/>
      <c r="V151" s="3106"/>
      <c r="W151" s="3106"/>
      <c r="X151" s="3106"/>
      <c r="Y151" s="3106"/>
      <c r="Z151" s="3106"/>
      <c r="AA151" s="3106"/>
      <c r="AB151" s="3106"/>
      <c r="AC151" s="3106"/>
      <c r="AD151" s="3106"/>
      <c r="AE151" s="1099"/>
    </row>
    <row r="152" spans="1:31" ht="27.75" customHeight="1" x14ac:dyDescent="0.3">
      <c r="A152" s="1070"/>
      <c r="B152" s="1070"/>
      <c r="C152" s="1078">
        <f t="shared" si="5"/>
        <v>13</v>
      </c>
      <c r="D152" s="1083" t="str">
        <f>HLOOKUP(COLUMN(Calc!I174),FT_PPD_DD!$A$116:$DZ$117,2,0)</f>
        <v>I</v>
      </c>
      <c r="E152" s="1084" t="str">
        <f>HLOOKUP(COLUMN(Calc!N174),FT_PPD_DD!$A$116:$DZ$117,2,0)</f>
        <v>N</v>
      </c>
      <c r="F152" s="1078"/>
      <c r="G152" s="1078"/>
      <c r="H152" s="3106" t="s">
        <v>1168</v>
      </c>
      <c r="I152" s="3106"/>
      <c r="J152" s="3106"/>
      <c r="K152" s="3106"/>
      <c r="L152" s="3106"/>
      <c r="M152" s="3106"/>
      <c r="N152" s="3106"/>
      <c r="O152" s="3106"/>
      <c r="P152" s="3106"/>
      <c r="Q152" s="3106"/>
      <c r="R152" s="3106"/>
      <c r="S152" s="3106"/>
      <c r="T152" s="3106"/>
      <c r="U152" s="3106"/>
      <c r="V152" s="3106"/>
      <c r="W152" s="3106"/>
      <c r="X152" s="3106"/>
      <c r="Y152" s="3106"/>
      <c r="Z152" s="3106"/>
      <c r="AA152" s="3106"/>
      <c r="AB152" s="3106"/>
      <c r="AC152" s="3106"/>
      <c r="AD152" s="3106"/>
      <c r="AE152" s="1099"/>
    </row>
    <row r="153" spans="1:31" ht="15" customHeight="1" x14ac:dyDescent="0.3">
      <c r="A153" s="1070"/>
      <c r="B153" s="1070"/>
      <c r="C153" s="1078">
        <f t="shared" si="5"/>
        <v>14</v>
      </c>
      <c r="D153" s="1083" t="str">
        <f>HLOOKUP(COLUMN(Calc!J174),FT_PPD_DD!$A$116:$DZ$117,2,0)</f>
        <v>J</v>
      </c>
      <c r="E153" s="1084" t="str">
        <f>HLOOKUP(COLUMN(Calc!O174),FT_PPD_DD!$A$116:$DZ$117,2,0)</f>
        <v>O</v>
      </c>
      <c r="F153" s="1078"/>
      <c r="G153" s="1078"/>
      <c r="H153" s="3106" t="s">
        <v>1169</v>
      </c>
      <c r="I153" s="3106"/>
      <c r="J153" s="3106"/>
      <c r="K153" s="3106"/>
      <c r="L153" s="3106"/>
      <c r="M153" s="3106"/>
      <c r="N153" s="3106"/>
      <c r="O153" s="3106"/>
      <c r="P153" s="3106"/>
      <c r="Q153" s="3106"/>
      <c r="R153" s="3106"/>
      <c r="S153" s="3106"/>
      <c r="T153" s="3106"/>
      <c r="U153" s="3106"/>
      <c r="V153" s="3106"/>
      <c r="W153" s="3106"/>
      <c r="X153" s="3106"/>
      <c r="Y153" s="3106"/>
      <c r="Z153" s="3106"/>
      <c r="AA153" s="3106"/>
      <c r="AB153" s="3106"/>
      <c r="AC153" s="3106"/>
      <c r="AD153" s="3106"/>
      <c r="AE153" s="1099"/>
    </row>
    <row r="154" spans="1:31" x14ac:dyDescent="0.3">
      <c r="A154" s="1070"/>
      <c r="B154" s="1070"/>
      <c r="C154" s="1078"/>
      <c r="H154" s="1101" t="s">
        <v>1170</v>
      </c>
      <c r="I154" s="1070"/>
      <c r="J154" s="1070"/>
      <c r="K154" s="1070"/>
      <c r="L154" s="1070"/>
      <c r="M154" s="1070"/>
      <c r="N154" s="1070"/>
      <c r="O154" s="1070"/>
      <c r="P154" s="1070"/>
      <c r="Q154" s="1070"/>
      <c r="R154" s="1070"/>
      <c r="S154" s="1070"/>
      <c r="T154" s="1070"/>
      <c r="U154" s="1070"/>
      <c r="V154" s="1070"/>
      <c r="W154" s="1070"/>
      <c r="X154" s="1070"/>
      <c r="Y154" s="1070"/>
      <c r="Z154" s="1070"/>
      <c r="AA154" s="1070"/>
      <c r="AB154" s="1070"/>
      <c r="AC154" s="1070"/>
      <c r="AD154" s="1070"/>
      <c r="AE154" s="1099"/>
    </row>
    <row r="155" spans="1:31" x14ac:dyDescent="0.3">
      <c r="A155" s="1070"/>
      <c r="B155" s="1070"/>
      <c r="C155" s="1078">
        <v>15</v>
      </c>
      <c r="D155" s="1083" t="str">
        <f>HLOOKUP(COLUMN(Calc!AC176),FT_PPD_DD!$A$116:$DZ$117,2,0)</f>
        <v>AC</v>
      </c>
      <c r="E155" s="1084"/>
      <c r="F155" s="1078">
        <f>ROW(Calc!AC176)</f>
        <v>176</v>
      </c>
      <c r="G155" s="1078">
        <f>ROW(Calc!AC180)</f>
        <v>180</v>
      </c>
      <c r="H155" s="3106" t="s">
        <v>1171</v>
      </c>
      <c r="I155" s="3106"/>
      <c r="J155" s="3106"/>
      <c r="K155" s="3106"/>
      <c r="L155" s="3106"/>
      <c r="M155" s="3106"/>
      <c r="N155" s="3106"/>
      <c r="O155" s="3106"/>
      <c r="P155" s="3106"/>
      <c r="Q155" s="3106"/>
      <c r="R155" s="3106"/>
      <c r="S155" s="3106"/>
      <c r="T155" s="3106"/>
      <c r="U155" s="3106"/>
      <c r="V155" s="3106"/>
      <c r="W155" s="3106"/>
      <c r="X155" s="3106"/>
      <c r="Y155" s="3106"/>
      <c r="Z155" s="3106"/>
      <c r="AA155" s="3106"/>
      <c r="AB155" s="3106"/>
      <c r="AC155" s="3106"/>
      <c r="AD155" s="3106"/>
      <c r="AE155" s="1099"/>
    </row>
    <row r="156" spans="1:31" x14ac:dyDescent="0.3">
      <c r="A156" s="1070"/>
      <c r="B156" s="1070"/>
      <c r="C156" s="1078">
        <f t="shared" ref="C156" si="6">C155+1</f>
        <v>16</v>
      </c>
      <c r="D156" s="1083" t="str">
        <f>HLOOKUP(COLUMN(Calc!AD176),FT_PPD_DD!$A$116:$DZ$117,2,0)</f>
        <v>AD</v>
      </c>
      <c r="E156" s="1084" t="str">
        <f>HLOOKUP(COLUMN(Calc!AE180),FT_PPD_DD!$A$116:$DZ$117,2,0)</f>
        <v>AE</v>
      </c>
      <c r="F156" s="1078">
        <f>ROW(Calc!AC176)</f>
        <v>176</v>
      </c>
      <c r="G156" s="1078">
        <f>ROW(Calc!AC180)</f>
        <v>180</v>
      </c>
      <c r="H156" s="3106" t="s">
        <v>1172</v>
      </c>
      <c r="I156" s="3106"/>
      <c r="J156" s="3106"/>
      <c r="K156" s="3106"/>
      <c r="L156" s="3106"/>
      <c r="M156" s="3106"/>
      <c r="N156" s="3106"/>
      <c r="O156" s="3106"/>
      <c r="P156" s="3106"/>
      <c r="Q156" s="3106"/>
      <c r="R156" s="3106"/>
      <c r="S156" s="3106"/>
      <c r="T156" s="3106"/>
      <c r="U156" s="3106"/>
      <c r="V156" s="3106"/>
      <c r="W156" s="3106"/>
      <c r="X156" s="3106"/>
      <c r="Y156" s="3106"/>
      <c r="Z156" s="3106"/>
      <c r="AA156" s="3106"/>
      <c r="AB156" s="3106"/>
      <c r="AC156" s="3106"/>
      <c r="AD156" s="3106"/>
      <c r="AE156" s="1099"/>
    </row>
    <row r="157" spans="1:31" x14ac:dyDescent="0.3">
      <c r="A157" s="1070"/>
      <c r="B157" s="1070"/>
      <c r="C157" s="1070"/>
      <c r="D157" s="1088"/>
      <c r="E157" s="1088"/>
      <c r="F157" s="1078"/>
      <c r="G157" s="1078"/>
      <c r="H157" s="1094"/>
      <c r="I157" s="1094"/>
      <c r="J157" s="1094"/>
      <c r="K157" s="1094"/>
      <c r="L157" s="1094"/>
      <c r="M157" s="1094"/>
      <c r="N157" s="1094"/>
      <c r="O157" s="1094"/>
      <c r="P157" s="1094"/>
      <c r="Q157" s="1094"/>
      <c r="R157" s="1094"/>
      <c r="S157" s="1094"/>
      <c r="T157" s="1094"/>
      <c r="U157" s="1094"/>
      <c r="V157" s="1094"/>
      <c r="W157" s="1094"/>
      <c r="X157" s="1094"/>
      <c r="Y157" s="1094"/>
      <c r="Z157" s="1094"/>
      <c r="AA157" s="1094"/>
      <c r="AB157" s="1094"/>
      <c r="AC157" s="1094"/>
      <c r="AD157" s="1094"/>
      <c r="AE157" s="1099"/>
    </row>
    <row r="158" spans="1:31" x14ac:dyDescent="0.3">
      <c r="A158" s="1070"/>
      <c r="B158" s="1070"/>
      <c r="C158" s="1070"/>
      <c r="D158" s="1088"/>
      <c r="E158" s="1088"/>
      <c r="F158" s="1078"/>
      <c r="G158" s="1078"/>
      <c r="H158" s="1094"/>
      <c r="I158" s="1094"/>
      <c r="J158" s="1094"/>
      <c r="K158" s="1094"/>
      <c r="L158" s="1094"/>
      <c r="M158" s="1094"/>
      <c r="N158" s="1094"/>
      <c r="O158" s="1094"/>
      <c r="P158" s="1094"/>
      <c r="Q158" s="1094"/>
      <c r="R158" s="1094"/>
      <c r="S158" s="1094"/>
      <c r="T158" s="1094"/>
      <c r="U158" s="1094"/>
      <c r="V158" s="1094"/>
      <c r="W158" s="1094"/>
      <c r="X158" s="1094"/>
      <c r="Y158" s="1094"/>
      <c r="Z158" s="1094"/>
      <c r="AA158" s="1094"/>
      <c r="AB158" s="1094"/>
      <c r="AC158" s="1094"/>
      <c r="AD158" s="1094"/>
      <c r="AE158" s="1099"/>
    </row>
    <row r="159" spans="1:31" x14ac:dyDescent="0.3">
      <c r="A159" s="1070"/>
      <c r="B159" s="1070"/>
      <c r="C159" s="1077" t="s">
        <v>1173</v>
      </c>
      <c r="D159" s="1077"/>
      <c r="E159" s="1077"/>
      <c r="F159" s="1077"/>
      <c r="G159" s="1077"/>
      <c r="H159" s="1094"/>
      <c r="I159" s="1097"/>
      <c r="J159" s="1097"/>
      <c r="K159" s="1097"/>
      <c r="L159" s="1097"/>
      <c r="M159" s="1097"/>
      <c r="N159" s="1097"/>
      <c r="O159" s="1097"/>
      <c r="P159" s="1097"/>
      <c r="Q159" s="1097"/>
      <c r="R159" s="1097"/>
      <c r="S159" s="1097"/>
      <c r="T159" s="1097"/>
      <c r="U159" s="1098"/>
      <c r="V159" s="1070"/>
      <c r="W159" s="1094"/>
      <c r="X159" s="1094"/>
      <c r="Y159" s="1094"/>
      <c r="Z159" s="1094"/>
      <c r="AA159" s="1094"/>
      <c r="AB159" s="1094"/>
      <c r="AC159" s="1094"/>
      <c r="AD159" s="1094"/>
      <c r="AE159" s="1070"/>
    </row>
    <row r="160" spans="1:31" x14ac:dyDescent="0.3">
      <c r="A160" s="1070"/>
      <c r="B160" s="1070"/>
      <c r="C160" s="1078"/>
      <c r="D160" s="1078"/>
      <c r="E160" s="1078"/>
      <c r="F160" s="1078"/>
      <c r="G160" s="1078"/>
      <c r="H160" s="3127" t="s">
        <v>1174</v>
      </c>
      <c r="I160" s="3127"/>
      <c r="J160" s="3127"/>
      <c r="K160" s="3127"/>
      <c r="L160" s="3127"/>
      <c r="M160" s="3127"/>
      <c r="N160" s="3127"/>
      <c r="O160" s="3127"/>
      <c r="P160" s="3127"/>
      <c r="Q160" s="3127"/>
      <c r="R160" s="3127"/>
      <c r="S160" s="3127"/>
      <c r="T160" s="3127"/>
      <c r="U160" s="3127"/>
      <c r="V160" s="3127"/>
      <c r="W160" s="3127"/>
      <c r="X160" s="3127"/>
      <c r="Y160" s="3127"/>
      <c r="Z160" s="3127"/>
      <c r="AA160" s="3127"/>
      <c r="AB160" s="3127"/>
      <c r="AC160" s="3127"/>
      <c r="AD160" s="3127"/>
      <c r="AE160" s="1070"/>
    </row>
    <row r="161" spans="1:31" x14ac:dyDescent="0.3">
      <c r="A161" s="1070"/>
      <c r="B161" s="1070"/>
      <c r="C161" s="1078">
        <v>1</v>
      </c>
      <c r="D161" s="1083" t="str">
        <f>HLOOKUP(COLUMN(Calc!D191),FT_PPD_DD!$A$116:$DZ$117,2,0)</f>
        <v>D</v>
      </c>
      <c r="E161" s="1084" t="str">
        <f>HLOOKUP(COLUMN(Calc!BN227),FT_PPD_DD!$A$116:$DZ$117,2,0)</f>
        <v>BN</v>
      </c>
      <c r="F161" s="1078">
        <f>ROW(Calc!D191)</f>
        <v>191</v>
      </c>
      <c r="G161" s="1078">
        <f>ROW(Calc!BN227)</f>
        <v>227</v>
      </c>
      <c r="H161" s="3127" t="s">
        <v>1175</v>
      </c>
      <c r="I161" s="3127"/>
      <c r="J161" s="3127"/>
      <c r="K161" s="3127"/>
      <c r="L161" s="3127"/>
      <c r="M161" s="3127"/>
      <c r="N161" s="3127"/>
      <c r="O161" s="3127"/>
      <c r="P161" s="3127"/>
      <c r="Q161" s="3127"/>
      <c r="R161" s="3127"/>
      <c r="S161" s="3127"/>
      <c r="T161" s="3127"/>
      <c r="U161" s="3127"/>
      <c r="V161" s="3127"/>
      <c r="W161" s="3127"/>
      <c r="X161" s="3127"/>
      <c r="Y161" s="3127"/>
      <c r="Z161" s="3127"/>
      <c r="AA161" s="3127"/>
      <c r="AB161" s="3127"/>
      <c r="AC161" s="3127"/>
      <c r="AD161" s="3127"/>
      <c r="AE161" s="1070"/>
    </row>
    <row r="162" spans="1:31" x14ac:dyDescent="0.3">
      <c r="A162" s="1070"/>
      <c r="B162" s="1070"/>
      <c r="C162" s="1078">
        <f t="shared" ref="C162:C163" si="7">C161+1</f>
        <v>2</v>
      </c>
      <c r="D162" s="1083" t="str">
        <f>HLOOKUP(COLUMN(Calc!B231),FT_PPD_DD!$A$116:$DZ$117,2,0)</f>
        <v>B</v>
      </c>
      <c r="E162" s="1084" t="str">
        <f>HLOOKUP(COLUMN(Calc!BS241),FT_PPD_DD!$A$116:$DZ$117,2,0)</f>
        <v>BS</v>
      </c>
      <c r="F162" s="1078">
        <f>ROW(Calc!B231)</f>
        <v>231</v>
      </c>
      <c r="G162" s="1078">
        <f>ROW(Calc!BS241)</f>
        <v>241</v>
      </c>
      <c r="H162" s="3127" t="s">
        <v>1176</v>
      </c>
      <c r="I162" s="3127"/>
      <c r="J162" s="3127"/>
      <c r="K162" s="3127"/>
      <c r="L162" s="3127"/>
      <c r="M162" s="3127"/>
      <c r="N162" s="3127"/>
      <c r="O162" s="3127"/>
      <c r="P162" s="3127"/>
      <c r="Q162" s="3127"/>
      <c r="R162" s="3127"/>
      <c r="S162" s="3127"/>
      <c r="T162" s="3127"/>
      <c r="U162" s="3127"/>
      <c r="V162" s="3127"/>
      <c r="W162" s="3127"/>
      <c r="X162" s="3127"/>
      <c r="Y162" s="3127"/>
      <c r="Z162" s="3127"/>
      <c r="AA162" s="3127"/>
      <c r="AB162" s="3127"/>
      <c r="AC162" s="3127"/>
      <c r="AD162" s="3127"/>
      <c r="AE162" s="1070"/>
    </row>
    <row r="163" spans="1:31" x14ac:dyDescent="0.3">
      <c r="A163" s="1070"/>
      <c r="B163" s="1070"/>
      <c r="C163" s="1078">
        <f t="shared" si="7"/>
        <v>3</v>
      </c>
      <c r="D163" s="1083" t="str">
        <f>HLOOKUP(COLUMN(Calc!B244),FT_PPD_DD!$A$116:$DZ$117,2,0)</f>
        <v>B</v>
      </c>
      <c r="E163" s="1084" t="str">
        <f>HLOOKUP(COLUMN(Calc!BS255),FT_PPD_DD!$A$116:$DZ$117,2,0)</f>
        <v>BS</v>
      </c>
      <c r="F163" s="1078">
        <f>ROW(Calc!B244)</f>
        <v>244</v>
      </c>
      <c r="G163" s="1078">
        <f>ROW(Calc!BS255)</f>
        <v>255</v>
      </c>
      <c r="H163" s="3127" t="s">
        <v>1177</v>
      </c>
      <c r="I163" s="3127"/>
      <c r="J163" s="3127"/>
      <c r="K163" s="3127"/>
      <c r="L163" s="3127"/>
      <c r="M163" s="3127"/>
      <c r="N163" s="3127"/>
      <c r="O163" s="3127"/>
      <c r="P163" s="3127"/>
      <c r="Q163" s="3127"/>
      <c r="R163" s="3127"/>
      <c r="S163" s="3127"/>
      <c r="T163" s="3127"/>
      <c r="U163" s="3127"/>
      <c r="V163" s="3127"/>
      <c r="W163" s="3127"/>
      <c r="X163" s="3127"/>
      <c r="Y163" s="3127"/>
      <c r="Z163" s="3127"/>
      <c r="AA163" s="3127"/>
      <c r="AB163" s="3127"/>
      <c r="AC163" s="3127"/>
      <c r="AD163" s="3127"/>
      <c r="AE163" s="1070"/>
    </row>
    <row r="164" spans="1:31" x14ac:dyDescent="0.3">
      <c r="A164" s="1070"/>
      <c r="B164" s="1070"/>
      <c r="C164" s="1078"/>
      <c r="D164" s="1088"/>
      <c r="E164" s="1088"/>
      <c r="F164" s="1078"/>
      <c r="G164" s="1078"/>
      <c r="H164" s="1102"/>
      <c r="I164" s="1102"/>
      <c r="J164" s="1102"/>
      <c r="K164" s="1102"/>
      <c r="L164" s="1102"/>
      <c r="M164" s="1102"/>
      <c r="N164" s="1102"/>
      <c r="O164" s="1102"/>
      <c r="P164" s="1102"/>
      <c r="Q164" s="1102"/>
      <c r="R164" s="1102"/>
      <c r="S164" s="1102"/>
      <c r="T164" s="1102"/>
      <c r="U164" s="1102"/>
      <c r="V164" s="1102"/>
      <c r="W164" s="1102"/>
      <c r="X164" s="1102"/>
      <c r="Y164" s="1102"/>
      <c r="Z164" s="1102"/>
      <c r="AA164" s="1102"/>
      <c r="AB164" s="1102"/>
      <c r="AC164" s="1102"/>
      <c r="AD164" s="1102"/>
      <c r="AE164" s="1070"/>
    </row>
    <row r="165" spans="1:31" x14ac:dyDescent="0.3">
      <c r="A165" s="1070"/>
      <c r="B165" s="1070"/>
      <c r="C165" s="1070"/>
      <c r="D165" s="1070"/>
      <c r="E165" s="1070"/>
      <c r="F165" s="1070"/>
      <c r="G165" s="1070"/>
      <c r="H165" s="1094"/>
      <c r="I165" s="1097"/>
      <c r="J165" s="1097"/>
      <c r="K165" s="1097"/>
      <c r="L165" s="1097"/>
      <c r="M165" s="1097"/>
      <c r="N165" s="1097"/>
      <c r="O165" s="1097"/>
      <c r="P165" s="1097"/>
      <c r="Q165" s="1097"/>
      <c r="R165" s="1097"/>
      <c r="S165" s="1097"/>
      <c r="T165" s="1097"/>
      <c r="U165" s="1098"/>
      <c r="V165" s="1070"/>
      <c r="W165" s="1094"/>
      <c r="X165" s="1094"/>
      <c r="Y165" s="1094"/>
      <c r="Z165" s="1094"/>
      <c r="AA165" s="1094"/>
      <c r="AB165" s="1094"/>
      <c r="AC165" s="1094"/>
      <c r="AD165" s="1094"/>
      <c r="AE165" s="1070"/>
    </row>
    <row r="166" spans="1:31" x14ac:dyDescent="0.3">
      <c r="A166" s="1070"/>
      <c r="B166" s="1070"/>
      <c r="C166" s="1077" t="s">
        <v>1178</v>
      </c>
      <c r="D166" s="1077"/>
      <c r="E166" s="1077"/>
      <c r="F166" s="1077"/>
      <c r="G166" s="1077"/>
      <c r="H166" s="1094"/>
      <c r="I166" s="1097"/>
      <c r="J166" s="1097"/>
      <c r="K166" s="1097"/>
      <c r="L166" s="1097"/>
      <c r="M166" s="1097"/>
      <c r="N166" s="1097"/>
      <c r="O166" s="1097"/>
      <c r="P166" s="1097"/>
      <c r="Q166" s="1097"/>
      <c r="R166" s="1097"/>
      <c r="S166" s="1097"/>
      <c r="T166" s="1097"/>
      <c r="U166" s="1098"/>
      <c r="V166" s="1070"/>
      <c r="W166" s="1094"/>
      <c r="X166" s="1094"/>
      <c r="Y166" s="1094"/>
      <c r="Z166" s="1094"/>
      <c r="AA166" s="1094"/>
      <c r="AB166" s="1094"/>
      <c r="AC166" s="1094"/>
      <c r="AD166" s="1094"/>
      <c r="AE166" s="1070"/>
    </row>
    <row r="167" spans="1:31" x14ac:dyDescent="0.3">
      <c r="A167" s="1070"/>
      <c r="B167" s="1070"/>
      <c r="C167" s="1078">
        <v>1</v>
      </c>
      <c r="D167" s="1083" t="str">
        <f>HLOOKUP(COLUMN(Calc!B285),FT_PPD_DD!$A$116:$DZ$117,2,0)</f>
        <v>B</v>
      </c>
      <c r="E167" s="1084" t="str">
        <f>HLOOKUP(COLUMN(Calc!BS348),FT_PPD_DD!$A$116:$DZ$117,2,0)</f>
        <v>BS</v>
      </c>
      <c r="F167" s="1078">
        <f>ROW(Calc!B285)</f>
        <v>285</v>
      </c>
      <c r="G167" s="1078">
        <f>ROW(Calc!BS348)</f>
        <v>348</v>
      </c>
      <c r="H167" s="3106" t="s">
        <v>1179</v>
      </c>
      <c r="I167" s="3106"/>
      <c r="J167" s="3106"/>
      <c r="K167" s="3106"/>
      <c r="L167" s="3106"/>
      <c r="M167" s="3106"/>
      <c r="N167" s="3106"/>
      <c r="O167" s="3106"/>
      <c r="P167" s="3106"/>
      <c r="Q167" s="3106"/>
      <c r="R167" s="3106"/>
      <c r="S167" s="3106"/>
      <c r="T167" s="3106"/>
      <c r="U167" s="3106"/>
      <c r="V167" s="3106"/>
      <c r="W167" s="3106"/>
      <c r="X167" s="3106"/>
      <c r="Y167" s="3106"/>
      <c r="Z167" s="3106"/>
      <c r="AA167" s="3106"/>
      <c r="AB167" s="3106"/>
      <c r="AC167" s="3106"/>
      <c r="AD167" s="3106"/>
      <c r="AE167" s="1070"/>
    </row>
    <row r="168" spans="1:31" x14ac:dyDescent="0.3">
      <c r="A168" s="1070"/>
      <c r="B168" s="1070"/>
      <c r="C168" s="1078">
        <f>C167+1</f>
        <v>2</v>
      </c>
      <c r="D168" s="1083" t="str">
        <f>HLOOKUP(COLUMN(Calc!G351),FT_PPD_DD!$A$116:$DZ$117,2,0)</f>
        <v>G</v>
      </c>
      <c r="E168" s="1084" t="str">
        <f>HLOOKUP(COLUMN(Calc!Z369),FT_PPD_DD!$A$116:$DZ$117,2,0)</f>
        <v>Z</v>
      </c>
      <c r="F168" s="1078">
        <f>ROW(Calc!B351)</f>
        <v>351</v>
      </c>
      <c r="G168" s="1078">
        <f>ROW(Calc!BS369)</f>
        <v>369</v>
      </c>
      <c r="H168" s="3106" t="s">
        <v>1180</v>
      </c>
      <c r="I168" s="3106"/>
      <c r="J168" s="3106"/>
      <c r="K168" s="3106"/>
      <c r="L168" s="3106"/>
      <c r="M168" s="3106"/>
      <c r="N168" s="3106"/>
      <c r="O168" s="3106"/>
      <c r="P168" s="3106"/>
      <c r="Q168" s="3106"/>
      <c r="R168" s="3106"/>
      <c r="S168" s="3106"/>
      <c r="T168" s="3106"/>
      <c r="U168" s="3106"/>
      <c r="V168" s="3106"/>
      <c r="W168" s="3106"/>
      <c r="X168" s="3106"/>
      <c r="Y168" s="3106"/>
      <c r="Z168" s="3106"/>
      <c r="AA168" s="3106"/>
      <c r="AB168" s="3106"/>
      <c r="AC168" s="3106"/>
      <c r="AD168" s="3106"/>
      <c r="AE168" s="1070"/>
    </row>
    <row r="169" spans="1:31" x14ac:dyDescent="0.3">
      <c r="A169" s="1070"/>
      <c r="B169" s="1070"/>
      <c r="C169" s="1078">
        <f>C168+1</f>
        <v>3</v>
      </c>
      <c r="D169" s="1083" t="str">
        <f>HLOOKUP(COLUMN(Calc!AP351),FT_PPD_DD!$A$116:$DZ$117,2,0)</f>
        <v>AP</v>
      </c>
      <c r="E169" s="1084" t="str">
        <f>HLOOKUP(COLUMN(Calc!BI371),FT_PPD_DD!$A$116:$DZ$117,2,0)</f>
        <v>BI</v>
      </c>
      <c r="F169" s="1078">
        <f>ROW(Calc!B351)</f>
        <v>351</v>
      </c>
      <c r="G169" s="1078">
        <f>ROW(Calc!BS369)</f>
        <v>369</v>
      </c>
      <c r="H169" s="3106" t="s">
        <v>1181</v>
      </c>
      <c r="I169" s="3106"/>
      <c r="J169" s="3106"/>
      <c r="K169" s="3106"/>
      <c r="L169" s="3106"/>
      <c r="M169" s="3106"/>
      <c r="N169" s="3106"/>
      <c r="O169" s="3106"/>
      <c r="P169" s="3106"/>
      <c r="Q169" s="3106"/>
      <c r="R169" s="3106"/>
      <c r="S169" s="3106"/>
      <c r="T169" s="3106"/>
      <c r="U169" s="3106"/>
      <c r="V169" s="3106"/>
      <c r="W169" s="3106"/>
      <c r="X169" s="3106"/>
      <c r="Y169" s="3106"/>
      <c r="Z169" s="3106"/>
      <c r="AA169" s="3106"/>
      <c r="AB169" s="3106"/>
      <c r="AC169" s="3106"/>
      <c r="AD169" s="3106"/>
      <c r="AE169" s="1070"/>
    </row>
    <row r="170" spans="1:31" ht="120.75" customHeight="1" x14ac:dyDescent="0.3">
      <c r="A170" s="1070"/>
      <c r="B170" s="1070"/>
      <c r="C170" s="1078"/>
      <c r="D170" s="1088"/>
      <c r="E170" s="1088"/>
      <c r="F170" s="1078"/>
      <c r="G170" s="1078"/>
      <c r="H170" s="3106" t="s">
        <v>1182</v>
      </c>
      <c r="I170" s="3106"/>
      <c r="J170" s="3106"/>
      <c r="K170" s="3106"/>
      <c r="L170" s="3106"/>
      <c r="M170" s="3106"/>
      <c r="N170" s="3106"/>
      <c r="O170" s="3106"/>
      <c r="P170" s="3106"/>
      <c r="Q170" s="3106"/>
      <c r="R170" s="3106"/>
      <c r="S170" s="3106"/>
      <c r="T170" s="3106"/>
      <c r="U170" s="3106"/>
      <c r="V170" s="3106"/>
      <c r="W170" s="3106"/>
      <c r="X170" s="3106"/>
      <c r="Y170" s="3106"/>
      <c r="Z170" s="3106"/>
      <c r="AA170" s="3106"/>
      <c r="AB170" s="3106"/>
      <c r="AC170" s="3106"/>
      <c r="AD170" s="3106"/>
      <c r="AE170" s="1070"/>
    </row>
    <row r="171" spans="1:31" ht="30.75" customHeight="1" x14ac:dyDescent="0.3">
      <c r="A171" s="1070"/>
      <c r="B171" s="1070"/>
      <c r="C171" s="1077" t="s">
        <v>1183</v>
      </c>
      <c r="D171" s="1077"/>
      <c r="E171" s="1077"/>
      <c r="F171" s="1077"/>
      <c r="G171" s="1077"/>
      <c r="H171" s="1094"/>
      <c r="I171" s="1097"/>
      <c r="J171" s="1097"/>
      <c r="K171" s="1097"/>
      <c r="L171" s="1097"/>
      <c r="M171" s="1097"/>
      <c r="N171" s="1097"/>
      <c r="O171" s="1097"/>
      <c r="P171" s="1097"/>
      <c r="Q171" s="1097"/>
      <c r="R171" s="1097"/>
      <c r="S171" s="1097"/>
      <c r="T171" s="1097"/>
      <c r="U171" s="1098"/>
      <c r="V171" s="1070"/>
      <c r="W171" s="1094"/>
      <c r="X171" s="1094"/>
      <c r="Y171" s="1094"/>
      <c r="Z171" s="1094"/>
      <c r="AA171" s="1094"/>
      <c r="AB171" s="1094"/>
      <c r="AC171" s="1094"/>
      <c r="AD171" s="1094"/>
      <c r="AE171" s="1070"/>
    </row>
    <row r="172" spans="1:31" x14ac:dyDescent="0.3">
      <c r="A172" s="1070"/>
      <c r="B172" s="1070"/>
      <c r="C172" s="1078">
        <v>1</v>
      </c>
      <c r="D172" s="1083" t="str">
        <f>HLOOKUP(COLUMN(Calc!B375),FT_PPD_DD!$A$116:$DZ$117,2,0)</f>
        <v>B</v>
      </c>
      <c r="E172" s="1084" t="str">
        <f>HLOOKUP(COLUMN(Calc!T383),FT_PPD_DD!$A$116:$DZ$117,2,0)</f>
        <v>T</v>
      </c>
      <c r="F172" s="1078">
        <f>ROW(Calc!B375)</f>
        <v>375</v>
      </c>
      <c r="G172" s="1078">
        <f>ROW(Calc!T383)</f>
        <v>383</v>
      </c>
      <c r="H172" s="3106" t="s">
        <v>1184</v>
      </c>
      <c r="I172" s="3106"/>
      <c r="J172" s="3106"/>
      <c r="K172" s="3106"/>
      <c r="L172" s="3106"/>
      <c r="M172" s="3106"/>
      <c r="N172" s="3106"/>
      <c r="O172" s="3106"/>
      <c r="P172" s="3106"/>
      <c r="Q172" s="3106"/>
      <c r="R172" s="3106"/>
      <c r="S172" s="3106"/>
      <c r="T172" s="3106"/>
      <c r="U172" s="3106"/>
      <c r="V172" s="3106"/>
      <c r="W172" s="3106"/>
      <c r="X172" s="3106"/>
      <c r="Y172" s="3106"/>
      <c r="Z172" s="3106"/>
      <c r="AA172" s="3106"/>
      <c r="AB172" s="3106"/>
      <c r="AC172" s="3106"/>
      <c r="AD172" s="3106"/>
      <c r="AE172" s="1070"/>
    </row>
    <row r="173" spans="1:31" x14ac:dyDescent="0.3">
      <c r="A173" s="1070"/>
      <c r="B173" s="1070"/>
      <c r="C173" s="1078"/>
      <c r="D173" s="1088"/>
      <c r="E173" s="1088"/>
      <c r="F173" s="1078"/>
      <c r="G173" s="1078"/>
      <c r="H173" s="1094"/>
      <c r="I173" s="1094"/>
      <c r="J173" s="1094"/>
      <c r="K173" s="1094"/>
      <c r="L173" s="1094"/>
      <c r="M173" s="1094"/>
      <c r="N173" s="1094"/>
      <c r="O173" s="1094"/>
      <c r="P173" s="1094"/>
      <c r="Q173" s="1094"/>
      <c r="R173" s="1094"/>
      <c r="S173" s="1094"/>
      <c r="T173" s="1094"/>
      <c r="U173" s="1094"/>
      <c r="V173" s="1094"/>
      <c r="W173" s="1094"/>
      <c r="X173" s="1094"/>
      <c r="Y173" s="1094"/>
      <c r="Z173" s="1094"/>
      <c r="AA173" s="1094"/>
      <c r="AB173" s="1094"/>
      <c r="AC173" s="1094"/>
      <c r="AD173" s="1094"/>
      <c r="AE173" s="1070"/>
    </row>
    <row r="174" spans="1:31" x14ac:dyDescent="0.3">
      <c r="A174" s="1070"/>
      <c r="B174" s="1070"/>
      <c r="C174" s="1077" t="s">
        <v>1185</v>
      </c>
      <c r="D174" s="1077"/>
      <c r="E174" s="1077"/>
      <c r="F174" s="1077"/>
      <c r="G174" s="1077"/>
      <c r="H174" s="1094"/>
      <c r="I174" s="1097"/>
      <c r="J174" s="1097"/>
      <c r="K174" s="1097"/>
      <c r="L174" s="1097"/>
      <c r="M174" s="1097"/>
      <c r="N174" s="1097"/>
      <c r="O174" s="1097"/>
      <c r="P174" s="1097"/>
      <c r="Q174" s="1097"/>
      <c r="R174" s="1097"/>
      <c r="S174" s="1097"/>
      <c r="T174" s="1097"/>
      <c r="U174" s="1098"/>
      <c r="V174" s="1070"/>
      <c r="W174" s="1094"/>
      <c r="X174" s="1094"/>
      <c r="Y174" s="1094"/>
      <c r="Z174" s="1094"/>
      <c r="AA174" s="1094"/>
      <c r="AB174" s="1094"/>
      <c r="AC174" s="1094"/>
      <c r="AD174" s="1094"/>
      <c r="AE174" s="1070"/>
    </row>
    <row r="175" spans="1:31" x14ac:dyDescent="0.3">
      <c r="A175" s="1070"/>
      <c r="B175" s="1070"/>
      <c r="C175" s="1078">
        <v>1</v>
      </c>
      <c r="D175" s="1083" t="str">
        <f>HLOOKUP(COLUMN(Calc!B387),FT_PPD_DD!$A$116:$DZ$117,2,0)</f>
        <v>B</v>
      </c>
      <c r="E175" s="1084" t="str">
        <f>HLOOKUP(COLUMN(Calc!BE437),FT_PPD_DD!$A$116:$DZ$117,2,0)</f>
        <v>BE</v>
      </c>
      <c r="F175" s="1078">
        <f>ROW(Calc!B387)</f>
        <v>387</v>
      </c>
      <c r="G175" s="1078">
        <f>ROW(Calc!X437)</f>
        <v>437</v>
      </c>
      <c r="H175" s="3106" t="s">
        <v>1186</v>
      </c>
      <c r="I175" s="3106"/>
      <c r="J175" s="3106"/>
      <c r="K175" s="3106"/>
      <c r="L175" s="3106"/>
      <c r="M175" s="3106"/>
      <c r="N175" s="3106"/>
      <c r="O175" s="3106"/>
      <c r="P175" s="3106"/>
      <c r="Q175" s="3106"/>
      <c r="R175" s="3106"/>
      <c r="S175" s="3106"/>
      <c r="T175" s="3106"/>
      <c r="U175" s="3106"/>
      <c r="V175" s="3106"/>
      <c r="W175" s="3106"/>
      <c r="X175" s="3106"/>
      <c r="Y175" s="3106"/>
      <c r="Z175" s="3106"/>
      <c r="AA175" s="3106"/>
      <c r="AB175" s="3106"/>
      <c r="AC175" s="3106"/>
      <c r="AD175" s="3106"/>
      <c r="AE175" s="1070"/>
    </row>
    <row r="176" spans="1:31" x14ac:dyDescent="0.3">
      <c r="A176" s="1070"/>
      <c r="B176" s="1070"/>
      <c r="C176" s="1078">
        <f>C175+1</f>
        <v>2</v>
      </c>
      <c r="D176" s="1083" t="str">
        <f>HLOOKUP(COLUMN(Calc!M420),FT_PPD_DD!$A$116:$DZ$117,2,0)</f>
        <v>M</v>
      </c>
      <c r="E176" s="1084"/>
      <c r="F176" s="1078">
        <f>ROW(Calc!M420)</f>
        <v>420</v>
      </c>
      <c r="G176" s="1078">
        <f>ROW(Calc!M433)</f>
        <v>433</v>
      </c>
      <c r="H176" s="3106" t="s">
        <v>1187</v>
      </c>
      <c r="I176" s="3106"/>
      <c r="J176" s="3106"/>
      <c r="K176" s="3106"/>
      <c r="L176" s="3106"/>
      <c r="M176" s="3106"/>
      <c r="N176" s="3106"/>
      <c r="O176" s="3106"/>
      <c r="P176" s="3106"/>
      <c r="Q176" s="3106"/>
      <c r="R176" s="3106"/>
      <c r="S176" s="3106"/>
      <c r="T176" s="3106"/>
      <c r="U176" s="3106"/>
      <c r="V176" s="3106"/>
      <c r="W176" s="3106"/>
      <c r="X176" s="3106"/>
      <c r="Y176" s="3106"/>
      <c r="Z176" s="3106"/>
      <c r="AA176" s="3106"/>
      <c r="AB176" s="3106"/>
      <c r="AC176" s="3106"/>
      <c r="AD176" s="3106"/>
      <c r="AE176" s="1070"/>
    </row>
    <row r="177" spans="1:31" x14ac:dyDescent="0.3">
      <c r="A177" s="1070"/>
      <c r="B177" s="1070"/>
      <c r="C177" s="1078">
        <f t="shared" ref="C177:C181" si="8">C176+1</f>
        <v>3</v>
      </c>
      <c r="D177" s="1083" t="str">
        <f>HLOOKUP(COLUMN(Calc!N420),FT_PPD_DD!$A$116:$DZ$117,2,0)</f>
        <v>N</v>
      </c>
      <c r="E177" s="1084"/>
      <c r="F177" s="1078">
        <f>ROW(Calc!N420)</f>
        <v>420</v>
      </c>
      <c r="G177" s="1078">
        <f>ROW(Calc!N433)</f>
        <v>433</v>
      </c>
      <c r="H177" s="3106" t="s">
        <v>1188</v>
      </c>
      <c r="I177" s="3106"/>
      <c r="J177" s="3106"/>
      <c r="K177" s="3106"/>
      <c r="L177" s="3106"/>
      <c r="M177" s="3106"/>
      <c r="N177" s="3106"/>
      <c r="O177" s="3106"/>
      <c r="P177" s="3106"/>
      <c r="Q177" s="3106"/>
      <c r="R177" s="3106"/>
      <c r="S177" s="3106"/>
      <c r="T177" s="3106"/>
      <c r="U177" s="3106"/>
      <c r="V177" s="3106"/>
      <c r="W177" s="3106"/>
      <c r="X177" s="3106"/>
      <c r="Y177" s="3106"/>
      <c r="Z177" s="3106"/>
      <c r="AA177" s="3106"/>
      <c r="AB177" s="3106"/>
      <c r="AC177" s="3106"/>
      <c r="AD177" s="3106"/>
      <c r="AE177" s="1070"/>
    </row>
    <row r="178" spans="1:31" ht="29.25" customHeight="1" x14ac:dyDescent="0.3">
      <c r="A178" s="1070"/>
      <c r="B178" s="1070"/>
      <c r="C178" s="1078">
        <f t="shared" si="8"/>
        <v>4</v>
      </c>
      <c r="D178" s="1083" t="str">
        <f>HLOOKUP(COLUMN(Calc!O420),FT_PPD_DD!$A$116:$DZ$117,2,0)</f>
        <v>O</v>
      </c>
      <c r="E178" s="1084"/>
      <c r="F178" s="1078">
        <f>ROW(Calc!O420)</f>
        <v>420</v>
      </c>
      <c r="G178" s="1078">
        <f>ROW(Calc!O433)</f>
        <v>433</v>
      </c>
      <c r="H178" s="3106" t="s">
        <v>1189</v>
      </c>
      <c r="I178" s="3106"/>
      <c r="J178" s="3106"/>
      <c r="K178" s="3106"/>
      <c r="L178" s="3106"/>
      <c r="M178" s="3106"/>
      <c r="N178" s="3106"/>
      <c r="O178" s="3106"/>
      <c r="P178" s="3106"/>
      <c r="Q178" s="3106"/>
      <c r="R178" s="3106"/>
      <c r="S178" s="3106"/>
      <c r="T178" s="3106"/>
      <c r="U178" s="3106"/>
      <c r="V178" s="3106"/>
      <c r="W178" s="3106"/>
      <c r="X178" s="3106"/>
      <c r="Y178" s="3106"/>
      <c r="Z178" s="3106"/>
      <c r="AA178" s="3106"/>
      <c r="AB178" s="3106"/>
      <c r="AC178" s="3106"/>
      <c r="AD178" s="3106"/>
      <c r="AE178" s="1070"/>
    </row>
    <row r="179" spans="1:31" ht="30" customHeight="1" x14ac:dyDescent="0.3">
      <c r="A179" s="1070"/>
      <c r="B179" s="1070"/>
      <c r="C179" s="1078">
        <f t="shared" si="8"/>
        <v>5</v>
      </c>
      <c r="D179" s="1083" t="str">
        <f>HLOOKUP(COLUMN(Calc!P420),FT_PPD_DD!$A$116:$DZ$117,2,0)</f>
        <v>P</v>
      </c>
      <c r="E179" s="1084"/>
      <c r="F179" s="1078">
        <f>ROW(Calc!O420)</f>
        <v>420</v>
      </c>
      <c r="G179" s="1078">
        <f>ROW(Calc!O433)</f>
        <v>433</v>
      </c>
      <c r="H179" s="3120" t="s">
        <v>1190</v>
      </c>
      <c r="I179" s="3120"/>
      <c r="J179" s="3120"/>
      <c r="K179" s="3120"/>
      <c r="L179" s="3120"/>
      <c r="M179" s="3120"/>
      <c r="N179" s="3120"/>
      <c r="O179" s="3120"/>
      <c r="P179" s="3120"/>
      <c r="Q179" s="3120"/>
      <c r="R179" s="3120"/>
      <c r="S179" s="3120"/>
      <c r="T179" s="3120"/>
      <c r="U179" s="3120"/>
      <c r="V179" s="3120"/>
      <c r="W179" s="3120"/>
      <c r="X179" s="3120"/>
      <c r="Y179" s="3120"/>
      <c r="Z179" s="3120"/>
      <c r="AA179" s="3120"/>
      <c r="AB179" s="3120"/>
      <c r="AC179" s="3120"/>
      <c r="AD179" s="3120"/>
      <c r="AE179" s="1070"/>
    </row>
    <row r="180" spans="1:31" x14ac:dyDescent="0.3">
      <c r="A180" s="1070"/>
      <c r="B180" s="1070"/>
      <c r="C180" s="1078">
        <f t="shared" si="8"/>
        <v>6</v>
      </c>
      <c r="D180" s="1083" t="str">
        <f>HLOOKUP(COLUMN(Calc!K387),FT_PPD_DD!$A$116:$DZ$117,2,0)</f>
        <v>K</v>
      </c>
      <c r="E180" s="1084" t="str">
        <f>HLOOKUP(COLUMN(Calc!X437),FT_PPD_DD!$A$116:$DZ$117,2,0)</f>
        <v>X</v>
      </c>
      <c r="F180" s="1078">
        <f>ROW(Calc!B387)</f>
        <v>387</v>
      </c>
      <c r="G180" s="1078">
        <f>ROW(Calc!X437)</f>
        <v>437</v>
      </c>
      <c r="H180" s="3120" t="s">
        <v>1191</v>
      </c>
      <c r="I180" s="3120"/>
      <c r="J180" s="3120"/>
      <c r="K180" s="3120"/>
      <c r="L180" s="3120"/>
      <c r="M180" s="3120"/>
      <c r="N180" s="3120"/>
      <c r="O180" s="3120"/>
      <c r="P180" s="3120"/>
      <c r="Q180" s="3120"/>
      <c r="R180" s="3120"/>
      <c r="S180" s="3120"/>
      <c r="T180" s="3120"/>
      <c r="U180" s="3120"/>
      <c r="V180" s="3120"/>
      <c r="W180" s="3120"/>
      <c r="X180" s="3120"/>
      <c r="Y180" s="3120"/>
      <c r="Z180" s="3120"/>
      <c r="AA180" s="3120"/>
      <c r="AB180" s="3120"/>
      <c r="AC180" s="3120"/>
      <c r="AD180" s="3120"/>
      <c r="AE180" s="1070"/>
    </row>
    <row r="181" spans="1:31" x14ac:dyDescent="0.3">
      <c r="A181" s="1070"/>
      <c r="B181" s="1070"/>
      <c r="C181" s="1078">
        <f t="shared" si="8"/>
        <v>7</v>
      </c>
      <c r="D181" s="1083" t="str">
        <f>HLOOKUP(COLUMN(Calc!AQ387),FT_PPD_DD!$A$116:$DZ$117,2,0)</f>
        <v>AQ</v>
      </c>
      <c r="E181" s="1084" t="str">
        <f>HLOOKUP(COLUMN(Calc!BD437),FT_PPD_DD!$A$116:$DZ$117,2,0)</f>
        <v>BD</v>
      </c>
      <c r="F181" s="1078">
        <f>ROW(Calc!B387)</f>
        <v>387</v>
      </c>
      <c r="G181" s="1078">
        <f>ROW(Calc!X437)</f>
        <v>437</v>
      </c>
      <c r="H181" s="3120" t="s">
        <v>1192</v>
      </c>
      <c r="I181" s="3120"/>
      <c r="J181" s="3120"/>
      <c r="K181" s="3120"/>
      <c r="L181" s="3120"/>
      <c r="M181" s="3120"/>
      <c r="N181" s="3120"/>
      <c r="O181" s="3120"/>
      <c r="P181" s="3120"/>
      <c r="Q181" s="3120"/>
      <c r="R181" s="3120"/>
      <c r="S181" s="3120"/>
      <c r="T181" s="3120"/>
      <c r="U181" s="3120"/>
      <c r="V181" s="3120"/>
      <c r="W181" s="3120"/>
      <c r="X181" s="3120"/>
      <c r="Y181" s="3120"/>
      <c r="Z181" s="3120"/>
      <c r="AA181" s="3120"/>
      <c r="AB181" s="3120"/>
      <c r="AC181" s="3120"/>
      <c r="AD181" s="3120"/>
      <c r="AE181" s="1070"/>
    </row>
    <row r="182" spans="1:31" x14ac:dyDescent="0.3">
      <c r="A182" s="1070"/>
      <c r="B182" s="1082"/>
      <c r="C182" s="1070"/>
      <c r="D182" s="1070"/>
      <c r="E182" s="1070"/>
      <c r="F182" s="1070"/>
      <c r="G182" s="1070"/>
      <c r="H182" s="1094"/>
      <c r="I182" s="1094"/>
      <c r="J182" s="1094"/>
      <c r="K182" s="1094"/>
      <c r="L182" s="1094"/>
      <c r="M182" s="1094"/>
      <c r="N182" s="1094"/>
      <c r="O182" s="1094"/>
      <c r="P182" s="1094"/>
      <c r="Q182" s="1094"/>
      <c r="R182" s="1094"/>
      <c r="S182" s="1094"/>
      <c r="T182" s="1094"/>
      <c r="U182" s="1094"/>
      <c r="V182" s="1094"/>
      <c r="W182" s="1094"/>
      <c r="X182" s="1094"/>
      <c r="Y182" s="1094"/>
      <c r="Z182" s="1094"/>
      <c r="AA182" s="1094"/>
      <c r="AB182" s="1094"/>
      <c r="AC182" s="1094"/>
      <c r="AD182" s="1094"/>
      <c r="AE182" s="1070"/>
    </row>
    <row r="183" spans="1:31" x14ac:dyDescent="0.3">
      <c r="A183" s="1070"/>
      <c r="B183" s="1075" t="s">
        <v>1193</v>
      </c>
      <c r="C183" s="1076"/>
      <c r="D183" s="1076"/>
      <c r="E183" s="1076"/>
      <c r="F183" s="1076"/>
      <c r="G183" s="1076"/>
      <c r="H183" s="1076"/>
      <c r="I183" s="1076"/>
      <c r="J183" s="1076"/>
      <c r="K183" s="1076"/>
      <c r="L183" s="1076"/>
      <c r="M183" s="1076"/>
      <c r="N183" s="1076"/>
      <c r="O183" s="1076"/>
      <c r="P183" s="1076"/>
      <c r="Q183" s="1076"/>
      <c r="R183" s="1076"/>
      <c r="S183" s="1076"/>
      <c r="T183" s="1076"/>
      <c r="U183" s="1076"/>
      <c r="V183" s="1076"/>
      <c r="W183" s="1076"/>
      <c r="X183" s="1076"/>
      <c r="Y183" s="1076"/>
      <c r="Z183" s="1076"/>
      <c r="AA183" s="1076"/>
      <c r="AB183" s="1076"/>
      <c r="AC183" s="1076"/>
      <c r="AD183" s="1076"/>
      <c r="AE183" s="1070"/>
    </row>
    <row r="184" spans="1:31" x14ac:dyDescent="0.3">
      <c r="A184" s="1070"/>
      <c r="B184" s="1070"/>
      <c r="C184" s="1078"/>
      <c r="D184" s="1078"/>
      <c r="E184" s="1078"/>
      <c r="F184" s="1078"/>
      <c r="G184" s="1078"/>
      <c r="H184" s="3104" t="s">
        <v>1194</v>
      </c>
      <c r="I184" s="3104"/>
      <c r="J184" s="3104"/>
      <c r="K184" s="3104"/>
      <c r="L184" s="3104"/>
      <c r="M184" s="3104"/>
      <c r="N184" s="3104"/>
      <c r="O184" s="3104"/>
      <c r="P184" s="3104"/>
      <c r="Q184" s="3104"/>
      <c r="R184" s="3104"/>
      <c r="S184" s="3104"/>
      <c r="T184" s="3104"/>
      <c r="U184" s="3104"/>
      <c r="V184" s="3104"/>
      <c r="W184" s="3104"/>
      <c r="X184" s="3104"/>
      <c r="Y184" s="3104"/>
      <c r="Z184" s="3104"/>
      <c r="AA184" s="3104"/>
      <c r="AB184" s="3104"/>
      <c r="AC184" s="3104"/>
      <c r="AD184" s="3104"/>
      <c r="AE184" s="1070"/>
    </row>
    <row r="185" spans="1:31" x14ac:dyDescent="0.3">
      <c r="A185" s="1070"/>
      <c r="B185" s="1070"/>
      <c r="C185" s="1078">
        <v>1</v>
      </c>
      <c r="D185" s="1083" t="str">
        <f>HLOOKUP(COLUMN(Current_Prior!B6),FT_PPD_DD!$A$116:$DZ$117,2,0)</f>
        <v>B</v>
      </c>
      <c r="E185" s="1084" t="str">
        <f>HLOOKUP(COLUMN(Current_Prior!AM59),FT_PPD_DD!$A$116:$DZ$117,2,0)</f>
        <v>AM</v>
      </c>
      <c r="F185" s="1078">
        <f>ROW(Current_Prior!B6)</f>
        <v>6</v>
      </c>
      <c r="G185" s="1078">
        <f>ROW(Current_Prior!AM59)</f>
        <v>59</v>
      </c>
      <c r="H185" s="3104" t="s">
        <v>1195</v>
      </c>
      <c r="I185" s="3104"/>
      <c r="J185" s="3104"/>
      <c r="K185" s="3104"/>
      <c r="L185" s="3104"/>
      <c r="M185" s="3104"/>
      <c r="N185" s="3104"/>
      <c r="O185" s="3104"/>
      <c r="P185" s="3104"/>
      <c r="Q185" s="3104"/>
      <c r="R185" s="3104"/>
      <c r="S185" s="3104"/>
      <c r="T185" s="3104"/>
      <c r="U185" s="3104"/>
      <c r="V185" s="3104"/>
      <c r="W185" s="3104"/>
      <c r="X185" s="3104"/>
      <c r="Y185" s="3104"/>
      <c r="Z185" s="3104"/>
      <c r="AA185" s="3104"/>
      <c r="AB185" s="3104"/>
      <c r="AC185" s="3104"/>
      <c r="AD185" s="3104"/>
      <c r="AE185" s="1070"/>
    </row>
    <row r="186" spans="1:31" x14ac:dyDescent="0.3">
      <c r="A186" s="1070"/>
      <c r="B186" s="1070"/>
      <c r="C186" s="1078">
        <f>C185+1</f>
        <v>2</v>
      </c>
      <c r="D186" s="1083" t="str">
        <f>HLOOKUP(COLUMN(Current_Prior!AP6),FT_PPD_DD!$A$116:$DZ$117,2,0)</f>
        <v>AP</v>
      </c>
      <c r="E186" s="1084" t="str">
        <f>HLOOKUP(COLUMN(Current_Prior!BW59),FT_PPD_DD!$A$116:$DZ$117,2,0)</f>
        <v>BW</v>
      </c>
      <c r="F186" s="1078">
        <f>ROW(Current_Prior!B6)</f>
        <v>6</v>
      </c>
      <c r="G186" s="1078">
        <f>ROW(Current_Prior!AM59)</f>
        <v>59</v>
      </c>
      <c r="H186" s="3104" t="s">
        <v>1196</v>
      </c>
      <c r="I186" s="3104"/>
      <c r="J186" s="3104"/>
      <c r="K186" s="3104"/>
      <c r="L186" s="3104"/>
      <c r="M186" s="3104"/>
      <c r="N186" s="3104"/>
      <c r="O186" s="3104"/>
      <c r="P186" s="3104"/>
      <c r="Q186" s="3104"/>
      <c r="R186" s="3104"/>
      <c r="S186" s="3104"/>
      <c r="T186" s="3104"/>
      <c r="U186" s="3104"/>
      <c r="V186" s="3104"/>
      <c r="W186" s="3104"/>
      <c r="X186" s="3104"/>
      <c r="Y186" s="3104"/>
      <c r="Z186" s="3104"/>
      <c r="AA186" s="3104"/>
      <c r="AB186" s="3104"/>
      <c r="AC186" s="3104"/>
      <c r="AD186" s="3104"/>
      <c r="AE186" s="1070"/>
    </row>
    <row r="187" spans="1:31" x14ac:dyDescent="0.3">
      <c r="A187" s="1070"/>
      <c r="B187" s="1070"/>
      <c r="C187" s="1078"/>
      <c r="H187" s="1103" t="s">
        <v>1197</v>
      </c>
      <c r="AE187" s="1070"/>
    </row>
    <row r="188" spans="1:31" ht="27.75" customHeight="1" x14ac:dyDescent="0.3">
      <c r="A188" s="1070"/>
      <c r="B188" s="1070"/>
      <c r="C188" s="1078">
        <v>1</v>
      </c>
      <c r="D188" s="1083" t="str">
        <f>HLOOKUP(COLUMN(Current_Prior!E131),FT_PPD_DD!$A$116:$DZ$117,2,0)</f>
        <v>E</v>
      </c>
      <c r="E188" s="1084" t="str">
        <f>HLOOKUP(COLUMN(Current_Prior!BI148),FT_PPD_DD!$A$116:$DZ$117,2,0)</f>
        <v>BI</v>
      </c>
      <c r="F188" s="1078">
        <f>ROW(Current_Prior!E131)</f>
        <v>131</v>
      </c>
      <c r="G188" s="1078">
        <f>ROW(Current_Prior!BI148)</f>
        <v>148</v>
      </c>
      <c r="H188" s="3103" t="s">
        <v>1198</v>
      </c>
      <c r="I188" s="3103"/>
      <c r="J188" s="3103"/>
      <c r="K188" s="3103"/>
      <c r="L188" s="3103"/>
      <c r="M188" s="3103"/>
      <c r="N188" s="3103"/>
      <c r="O188" s="3103"/>
      <c r="P188" s="3103"/>
      <c r="Q188" s="3103"/>
      <c r="R188" s="3103"/>
      <c r="S188" s="3103"/>
      <c r="T188" s="3103"/>
      <c r="U188" s="3103"/>
      <c r="V188" s="3103"/>
      <c r="W188" s="3103"/>
      <c r="X188" s="3103"/>
      <c r="Y188" s="3103"/>
      <c r="Z188" s="3103"/>
      <c r="AA188" s="3103"/>
      <c r="AB188" s="3103"/>
      <c r="AC188" s="3103"/>
      <c r="AD188" s="3103"/>
      <c r="AE188" s="1070"/>
    </row>
    <row r="189" spans="1:31" x14ac:dyDescent="0.3">
      <c r="A189" s="1070"/>
      <c r="B189" s="1070"/>
      <c r="C189" s="1078">
        <f>C188+1</f>
        <v>2</v>
      </c>
      <c r="D189" s="1083" t="str">
        <f>HLOOKUP(COLUMN(Current_Prior!E233),FT_PPD_DD!$A$116:$DZ$117,2,0)</f>
        <v>E</v>
      </c>
      <c r="E189" s="1084" t="str">
        <f>HLOOKUP(COLUMN(Current_Prior!BI240),FT_PPD_DD!$A$116:$DZ$117,2,0)</f>
        <v>BI</v>
      </c>
      <c r="F189" s="1078">
        <f>ROW(Current_Prior!E233)</f>
        <v>233</v>
      </c>
      <c r="G189" s="1078">
        <f>ROW(Current_Prior!BI240)</f>
        <v>240</v>
      </c>
      <c r="H189" s="3103" t="s">
        <v>1199</v>
      </c>
      <c r="I189" s="3103"/>
      <c r="J189" s="3103"/>
      <c r="K189" s="3103"/>
      <c r="L189" s="3103"/>
      <c r="M189" s="3103"/>
      <c r="N189" s="3103"/>
      <c r="O189" s="3103"/>
      <c r="P189" s="3103"/>
      <c r="Q189" s="3103"/>
      <c r="R189" s="3103"/>
      <c r="S189" s="3103"/>
      <c r="T189" s="3103"/>
      <c r="U189" s="3103"/>
      <c r="V189" s="3103"/>
      <c r="W189" s="3103"/>
      <c r="X189" s="3103"/>
      <c r="Y189" s="3103"/>
      <c r="Z189" s="3103"/>
      <c r="AA189" s="3103"/>
      <c r="AB189" s="3103"/>
      <c r="AC189" s="3103"/>
      <c r="AD189" s="3103"/>
      <c r="AE189" s="1070"/>
    </row>
    <row r="190" spans="1:31" x14ac:dyDescent="0.3">
      <c r="A190" s="1070"/>
      <c r="B190" s="1070"/>
      <c r="C190" s="1078"/>
      <c r="H190" s="1103" t="s">
        <v>1200</v>
      </c>
      <c r="AE190" s="1070"/>
    </row>
    <row r="191" spans="1:31" x14ac:dyDescent="0.3">
      <c r="A191" s="1070"/>
      <c r="B191" s="1070"/>
      <c r="C191" s="1078">
        <v>1</v>
      </c>
      <c r="D191" s="1083" t="str">
        <f>HLOOKUP(COLUMN(Current_Prior!B249),FT_PPD_DD!$A$116:$DZ$117,2,0)</f>
        <v>B</v>
      </c>
      <c r="E191" s="1084" t="str">
        <f>HLOOKUP(COLUMN(Current_Prior!Z286),FT_PPD_DD!$A$116:$DZ$117,2,0)</f>
        <v>Z</v>
      </c>
      <c r="F191" s="1078">
        <f>ROW(Current_Prior!B249)</f>
        <v>249</v>
      </c>
      <c r="G191" s="1078">
        <f>ROW(Current_Prior!Z286)</f>
        <v>286</v>
      </c>
      <c r="H191" s="3103" t="s">
        <v>1201</v>
      </c>
      <c r="I191" s="3103"/>
      <c r="J191" s="3103"/>
      <c r="K191" s="3103"/>
      <c r="L191" s="3103"/>
      <c r="M191" s="3103"/>
      <c r="N191" s="3103"/>
      <c r="O191" s="3103"/>
      <c r="P191" s="3103"/>
      <c r="Q191" s="3103"/>
      <c r="R191" s="3103"/>
      <c r="S191" s="3103"/>
      <c r="T191" s="3103"/>
      <c r="U191" s="3103"/>
      <c r="V191" s="3103"/>
      <c r="W191" s="3103"/>
      <c r="X191" s="3103"/>
      <c r="Y191" s="3103"/>
      <c r="Z191" s="3103"/>
      <c r="AA191" s="3103"/>
      <c r="AB191" s="3103"/>
      <c r="AC191" s="3103"/>
      <c r="AD191" s="3103"/>
      <c r="AE191" s="1070"/>
    </row>
    <row r="192" spans="1:31" x14ac:dyDescent="0.3">
      <c r="A192" s="1070"/>
      <c r="B192" s="1070"/>
      <c r="C192" s="1078"/>
      <c r="D192" s="1078"/>
      <c r="E192" s="1078"/>
      <c r="F192" s="1078"/>
      <c r="G192" s="1078"/>
      <c r="H192" s="1079"/>
      <c r="I192" s="1079"/>
      <c r="J192" s="1079"/>
      <c r="K192" s="1079"/>
      <c r="L192" s="1079"/>
      <c r="M192" s="1079"/>
      <c r="N192" s="1079"/>
      <c r="O192" s="1079"/>
      <c r="P192" s="1079"/>
      <c r="Q192" s="1079"/>
      <c r="R192" s="1079"/>
      <c r="S192" s="1079"/>
      <c r="T192" s="1079"/>
      <c r="U192" s="1079"/>
      <c r="V192" s="1079"/>
      <c r="W192" s="1079"/>
      <c r="X192" s="1079"/>
      <c r="Y192" s="1079"/>
      <c r="Z192" s="1079"/>
      <c r="AA192" s="1079"/>
      <c r="AB192" s="1079"/>
      <c r="AC192" s="1079"/>
      <c r="AD192" s="1079"/>
      <c r="AE192" s="1070"/>
    </row>
    <row r="193" spans="1:31" x14ac:dyDescent="0.3">
      <c r="A193" s="1070"/>
      <c r="B193" s="1075" t="s">
        <v>1202</v>
      </c>
      <c r="C193" s="1076"/>
      <c r="D193" s="1076"/>
      <c r="E193" s="1076"/>
      <c r="F193" s="1076"/>
      <c r="G193" s="1076"/>
      <c r="H193" s="1076"/>
      <c r="I193" s="1076"/>
      <c r="J193" s="1076"/>
      <c r="K193" s="1076"/>
      <c r="L193" s="1076"/>
      <c r="M193" s="1076"/>
      <c r="N193" s="1076"/>
      <c r="O193" s="1076"/>
      <c r="P193" s="1076"/>
      <c r="Q193" s="1076"/>
      <c r="R193" s="1076"/>
      <c r="S193" s="1076"/>
      <c r="T193" s="1076"/>
      <c r="U193" s="1076"/>
      <c r="V193" s="1076"/>
      <c r="W193" s="1076"/>
      <c r="X193" s="1076"/>
      <c r="Y193" s="1076"/>
      <c r="Z193" s="1076"/>
      <c r="AA193" s="1076"/>
      <c r="AB193" s="1076"/>
      <c r="AC193" s="1076"/>
      <c r="AD193" s="1076"/>
      <c r="AE193" s="1070"/>
    </row>
    <row r="194" spans="1:31" x14ac:dyDescent="0.3">
      <c r="A194" s="1070"/>
      <c r="B194" s="1070"/>
      <c r="C194" s="1078"/>
      <c r="D194" s="1078"/>
      <c r="E194" s="1078"/>
      <c r="F194" s="1078"/>
      <c r="G194" s="1078"/>
      <c r="H194" s="3104" t="s">
        <v>1203</v>
      </c>
      <c r="I194" s="3104"/>
      <c r="J194" s="3104"/>
      <c r="K194" s="3104"/>
      <c r="L194" s="3104"/>
      <c r="M194" s="3104"/>
      <c r="N194" s="3104"/>
      <c r="O194" s="3104"/>
      <c r="P194" s="3104"/>
      <c r="Q194" s="3104"/>
      <c r="R194" s="3104"/>
      <c r="S194" s="3104"/>
      <c r="T194" s="3104"/>
      <c r="U194" s="3104"/>
      <c r="V194" s="3104"/>
      <c r="W194" s="3104"/>
      <c r="X194" s="3104"/>
      <c r="Y194" s="3104"/>
      <c r="Z194" s="3104"/>
      <c r="AA194" s="3104"/>
      <c r="AB194" s="3104"/>
      <c r="AC194" s="3104"/>
      <c r="AD194" s="3104"/>
      <c r="AE194" s="1070"/>
    </row>
    <row r="195" spans="1:31" x14ac:dyDescent="0.3">
      <c r="A195" s="1070"/>
      <c r="B195" s="1070"/>
      <c r="C195" s="1078"/>
      <c r="D195" s="1083" t="str">
        <f>HLOOKUP(COLUMN(HistInfo!B8),FT_PPD_DD!$A$116:$DZ$117,2,0)</f>
        <v>B</v>
      </c>
      <c r="E195" s="1084" t="str">
        <f>HLOOKUP(COLUMN(HistInfo!AM189),FT_PPD_DD!$A$116:$DZ$117,2,0)</f>
        <v>AM</v>
      </c>
      <c r="F195" s="1078">
        <f>ROW(HistInfo!B8)</f>
        <v>8</v>
      </c>
      <c r="G195" s="1078">
        <f>ROW(HistInfo!AM189)</f>
        <v>189</v>
      </c>
      <c r="H195" s="3104" t="s">
        <v>1204</v>
      </c>
      <c r="I195" s="3104"/>
      <c r="J195" s="3104"/>
      <c r="K195" s="3104"/>
      <c r="L195" s="3104"/>
      <c r="M195" s="3104"/>
      <c r="N195" s="3104"/>
      <c r="O195" s="3104"/>
      <c r="P195" s="3104"/>
      <c r="Q195" s="3104"/>
      <c r="R195" s="3104"/>
      <c r="S195" s="3104"/>
      <c r="T195" s="3104"/>
      <c r="U195" s="3104"/>
      <c r="V195" s="3104"/>
      <c r="W195" s="3104"/>
      <c r="X195" s="3104"/>
      <c r="Y195" s="3104"/>
      <c r="Z195" s="3104"/>
      <c r="AA195" s="3104"/>
      <c r="AB195" s="3104"/>
      <c r="AC195" s="3104"/>
      <c r="AD195" s="3104"/>
      <c r="AE195" s="1070"/>
    </row>
    <row r="196" spans="1:31" x14ac:dyDescent="0.3">
      <c r="A196" s="1070"/>
      <c r="B196" s="1070"/>
      <c r="C196" s="1078"/>
      <c r="D196" s="1083" t="str">
        <f>HLOOKUP(COLUMN(HistInfo!B284),FT_PPD_DD!$A$116:$DZ$117,2,0)</f>
        <v>B</v>
      </c>
      <c r="E196" s="1084" t="str">
        <f>HLOOKUP(COLUMN(HistInfo!BS424),FT_PPD_DD!$A$116:$DZ$117,2,0)</f>
        <v>BS</v>
      </c>
      <c r="F196" s="1078">
        <f>ROW(HistInfo!B284)</f>
        <v>284</v>
      </c>
      <c r="G196" s="1078">
        <f>ROW(HistInfo!BS424)</f>
        <v>424</v>
      </c>
      <c r="H196" s="3104" t="s">
        <v>1205</v>
      </c>
      <c r="I196" s="3104"/>
      <c r="J196" s="3104"/>
      <c r="K196" s="3104"/>
      <c r="L196" s="3104"/>
      <c r="M196" s="3104"/>
      <c r="N196" s="3104"/>
      <c r="O196" s="3104"/>
      <c r="P196" s="3104"/>
      <c r="Q196" s="3104"/>
      <c r="R196" s="3104"/>
      <c r="S196" s="3104"/>
      <c r="T196" s="3104"/>
      <c r="U196" s="3104"/>
      <c r="V196" s="3104"/>
      <c r="W196" s="3104"/>
      <c r="X196" s="3104"/>
      <c r="Y196" s="3104"/>
      <c r="Z196" s="3104"/>
      <c r="AA196" s="3104"/>
      <c r="AB196" s="3104"/>
      <c r="AC196" s="3104"/>
      <c r="AD196" s="3104"/>
      <c r="AE196" s="1070"/>
    </row>
    <row r="197" spans="1:31" x14ac:dyDescent="0.3">
      <c r="A197" s="1070"/>
      <c r="B197" s="1070"/>
      <c r="C197" s="1078"/>
      <c r="D197" s="1083" t="str">
        <f>HLOOKUP(COLUMN(HistInfo!B432),FT_PPD_DD!$A$116:$DZ$117,2,0)</f>
        <v>B</v>
      </c>
      <c r="E197" s="1084" t="str">
        <f>HLOOKUP(COLUMN(HistInfo!AM622),FT_PPD_DD!$A$116:$DZ$117,2,0)</f>
        <v>AM</v>
      </c>
      <c r="F197" s="1078">
        <f>ROW(HistInfo!B432)</f>
        <v>432</v>
      </c>
      <c r="G197" s="1078">
        <f>ROW(HistInfo!AM622)</f>
        <v>622</v>
      </c>
      <c r="H197" s="3104" t="s">
        <v>1206</v>
      </c>
      <c r="I197" s="3104"/>
      <c r="J197" s="3104"/>
      <c r="K197" s="3104"/>
      <c r="L197" s="3104"/>
      <c r="M197" s="3104"/>
      <c r="N197" s="3104"/>
      <c r="O197" s="3104"/>
      <c r="P197" s="3104"/>
      <c r="Q197" s="3104"/>
      <c r="R197" s="3104"/>
      <c r="S197" s="3104"/>
      <c r="T197" s="3104"/>
      <c r="U197" s="3104"/>
      <c r="V197" s="3104"/>
      <c r="W197" s="3104"/>
      <c r="X197" s="3104"/>
      <c r="Y197" s="3104"/>
      <c r="Z197" s="3104"/>
      <c r="AA197" s="3104"/>
      <c r="AB197" s="3104"/>
      <c r="AC197" s="3104"/>
      <c r="AD197" s="3104"/>
      <c r="AE197" s="1070"/>
    </row>
    <row r="198" spans="1:31" x14ac:dyDescent="0.3">
      <c r="A198" s="1070"/>
      <c r="B198" s="1070"/>
      <c r="C198" s="1078"/>
      <c r="D198" s="1088"/>
      <c r="E198" s="1088"/>
      <c r="F198" s="1078"/>
      <c r="G198" s="1078"/>
      <c r="H198" s="1079"/>
      <c r="I198" s="1079"/>
      <c r="J198" s="1079"/>
      <c r="K198" s="1079"/>
      <c r="L198" s="1079"/>
      <c r="M198" s="1079"/>
      <c r="N198" s="1079"/>
      <c r="O198" s="1079"/>
      <c r="P198" s="1079"/>
      <c r="Q198" s="1079"/>
      <c r="R198" s="1079"/>
      <c r="S198" s="1079"/>
      <c r="T198" s="1079"/>
      <c r="U198" s="1079"/>
      <c r="V198" s="1079"/>
      <c r="W198" s="1079"/>
      <c r="X198" s="1079"/>
      <c r="Y198" s="1079"/>
      <c r="Z198" s="1079"/>
      <c r="AA198" s="1079"/>
      <c r="AB198" s="1079"/>
      <c r="AC198" s="1079"/>
      <c r="AD198" s="1079"/>
      <c r="AE198" s="1070"/>
    </row>
    <row r="199" spans="1:31" x14ac:dyDescent="0.3">
      <c r="A199" s="1070"/>
      <c r="B199" s="1075" t="s">
        <v>1207</v>
      </c>
      <c r="C199" s="1076"/>
      <c r="D199" s="1076"/>
      <c r="E199" s="1076"/>
      <c r="F199" s="1076"/>
      <c r="G199" s="1076"/>
      <c r="H199" s="1076"/>
      <c r="I199" s="1076"/>
      <c r="J199" s="1076"/>
      <c r="K199" s="1076"/>
      <c r="L199" s="1076"/>
      <c r="M199" s="1076"/>
      <c r="N199" s="1076"/>
      <c r="O199" s="1076"/>
      <c r="P199" s="1076"/>
      <c r="Q199" s="1076"/>
      <c r="R199" s="1076"/>
      <c r="S199" s="1076"/>
      <c r="T199" s="1076"/>
      <c r="U199" s="1076"/>
      <c r="V199" s="1076"/>
      <c r="W199" s="1076"/>
      <c r="X199" s="1076"/>
      <c r="Y199" s="1076"/>
      <c r="Z199" s="1076"/>
      <c r="AA199" s="1076"/>
      <c r="AB199" s="1076"/>
      <c r="AC199" s="1076"/>
      <c r="AD199" s="1076"/>
      <c r="AE199" s="1070"/>
    </row>
    <row r="200" spans="1:31" x14ac:dyDescent="0.3">
      <c r="A200" s="1070"/>
      <c r="B200" s="1070"/>
      <c r="C200" s="1078"/>
      <c r="D200" s="1078"/>
      <c r="E200" s="1078"/>
      <c r="F200" s="1078"/>
      <c r="G200" s="1078"/>
      <c r="H200" s="3104" t="s">
        <v>1208</v>
      </c>
      <c r="I200" s="3104"/>
      <c r="J200" s="3104"/>
      <c r="K200" s="3104"/>
      <c r="L200" s="3104"/>
      <c r="M200" s="3104"/>
      <c r="N200" s="3104"/>
      <c r="O200" s="3104"/>
      <c r="P200" s="3104"/>
      <c r="Q200" s="3104"/>
      <c r="R200" s="3104"/>
      <c r="S200" s="3104"/>
      <c r="T200" s="3104"/>
      <c r="U200" s="3104"/>
      <c r="V200" s="3104"/>
      <c r="W200" s="3104"/>
      <c r="X200" s="3104"/>
      <c r="Y200" s="3104"/>
      <c r="Z200" s="3104"/>
      <c r="AA200" s="3104"/>
      <c r="AB200" s="3104"/>
      <c r="AC200" s="3104"/>
      <c r="AD200" s="3104"/>
      <c r="AE200" s="1070"/>
    </row>
    <row r="201" spans="1:31" ht="28.5" customHeight="1" x14ac:dyDescent="0.3">
      <c r="A201" s="1070"/>
      <c r="B201" s="1070"/>
      <c r="C201" s="1078">
        <v>1</v>
      </c>
      <c r="D201" s="1083" t="str">
        <f>HLOOKUP(COLUMN(Capital_Dep!C6),FT_PPD_DD!$A$116:$DZ$117,2,0)</f>
        <v>C</v>
      </c>
      <c r="E201" s="1084" t="str">
        <f>HLOOKUP(COLUMN(Capital_Dep!AJ35),FT_PPD_DD!$A$116:$DZ$117,2,0)</f>
        <v>AJ</v>
      </c>
      <c r="F201" s="1078">
        <f>ROW(Capital_Dep!C6)</f>
        <v>6</v>
      </c>
      <c r="G201" s="1078">
        <f>ROW(Capital_Dep!AJ35)</f>
        <v>35</v>
      </c>
      <c r="H201" s="3103" t="s">
        <v>1209</v>
      </c>
      <c r="I201" s="3103"/>
      <c r="J201" s="3103"/>
      <c r="K201" s="3103"/>
      <c r="L201" s="3103"/>
      <c r="M201" s="3103"/>
      <c r="N201" s="3103"/>
      <c r="O201" s="3103"/>
      <c r="P201" s="3103"/>
      <c r="Q201" s="3103"/>
      <c r="R201" s="3103"/>
      <c r="S201" s="3103"/>
      <c r="T201" s="3103"/>
      <c r="U201" s="3103"/>
      <c r="V201" s="3103"/>
      <c r="W201" s="3103"/>
      <c r="X201" s="3103"/>
      <c r="Y201" s="3103"/>
      <c r="Z201" s="3103"/>
      <c r="AA201" s="3103"/>
      <c r="AB201" s="3103"/>
      <c r="AC201" s="3103"/>
      <c r="AD201" s="3103"/>
      <c r="AE201" s="1070"/>
    </row>
    <row r="202" spans="1:31" ht="29.25" customHeight="1" x14ac:dyDescent="0.3">
      <c r="A202" s="1070"/>
      <c r="B202" s="1070"/>
      <c r="C202" s="1078">
        <f>C201+1</f>
        <v>2</v>
      </c>
      <c r="D202" s="1083" t="str">
        <f>HLOOKUP(COLUMN(Capital_Dep!AO6),FT_PPD_DD!$A$116:$DZ$117,2,0)</f>
        <v>AO</v>
      </c>
      <c r="E202" s="1084" t="str">
        <f>HLOOKUP(COLUMN(Capital_Dep!BV35),FT_PPD_DD!$A$116:$DZ$117,2,0)</f>
        <v>BV</v>
      </c>
      <c r="F202" s="1078">
        <f>ROW(Capital_Dep!AO6)</f>
        <v>6</v>
      </c>
      <c r="G202" s="1078">
        <f>ROW(Capital_Dep!ABV35)</f>
        <v>35</v>
      </c>
      <c r="H202" s="3103" t="s">
        <v>1210</v>
      </c>
      <c r="I202" s="3103"/>
      <c r="J202" s="3103"/>
      <c r="K202" s="3103"/>
      <c r="L202" s="3103"/>
      <c r="M202" s="3103"/>
      <c r="N202" s="3103"/>
      <c r="O202" s="3103"/>
      <c r="P202" s="3103"/>
      <c r="Q202" s="3103"/>
      <c r="R202" s="3103"/>
      <c r="S202" s="3103"/>
      <c r="T202" s="3103"/>
      <c r="U202" s="3103"/>
      <c r="V202" s="3103"/>
      <c r="W202" s="3103"/>
      <c r="X202" s="3103"/>
      <c r="Y202" s="3103"/>
      <c r="Z202" s="3103"/>
      <c r="AA202" s="3103"/>
      <c r="AB202" s="3103"/>
      <c r="AC202" s="3103"/>
      <c r="AD202" s="3103"/>
      <c r="AE202" s="1070"/>
    </row>
    <row r="203" spans="1:31" x14ac:dyDescent="0.3">
      <c r="A203" s="1070"/>
      <c r="B203" s="1070"/>
      <c r="C203" s="1070"/>
      <c r="D203" s="1070"/>
      <c r="E203" s="1070"/>
      <c r="F203" s="1070"/>
      <c r="G203" s="1070"/>
      <c r="H203" s="1094"/>
      <c r="I203" s="1094"/>
      <c r="J203" s="1094"/>
      <c r="K203" s="1094"/>
      <c r="L203" s="1094"/>
      <c r="M203" s="1094"/>
      <c r="N203" s="1094"/>
      <c r="O203" s="1094"/>
      <c r="P203" s="1094"/>
      <c r="Q203" s="1094"/>
      <c r="R203" s="1094"/>
      <c r="S203" s="1094"/>
      <c r="T203" s="1094"/>
      <c r="U203" s="1094"/>
      <c r="V203" s="1094"/>
      <c r="W203" s="1094"/>
      <c r="X203" s="1094"/>
      <c r="Y203" s="1094"/>
      <c r="Z203" s="1094"/>
      <c r="AA203" s="1094"/>
      <c r="AB203" s="1094"/>
      <c r="AC203" s="1094"/>
      <c r="AD203" s="1094"/>
      <c r="AE203" s="1070"/>
    </row>
    <row r="204" spans="1:31" x14ac:dyDescent="0.3">
      <c r="A204" s="1070"/>
      <c r="B204" s="1075" t="s">
        <v>1211</v>
      </c>
      <c r="C204" s="1076"/>
      <c r="D204" s="1076"/>
      <c r="E204" s="1076"/>
      <c r="F204" s="1076"/>
      <c r="G204" s="1076"/>
      <c r="H204" s="1076"/>
      <c r="I204" s="1076"/>
      <c r="J204" s="1076"/>
      <c r="K204" s="1076"/>
      <c r="L204" s="1076"/>
      <c r="M204" s="1076"/>
      <c r="N204" s="1076"/>
      <c r="O204" s="1076"/>
      <c r="P204" s="1076"/>
      <c r="Q204" s="1076"/>
      <c r="R204" s="1076"/>
      <c r="S204" s="1076"/>
      <c r="T204" s="1076"/>
      <c r="U204" s="1076"/>
      <c r="V204" s="1076"/>
      <c r="W204" s="1076"/>
      <c r="X204" s="1076"/>
      <c r="Y204" s="1076"/>
      <c r="Z204" s="1076"/>
      <c r="AA204" s="1076"/>
      <c r="AB204" s="1076"/>
      <c r="AC204" s="1076"/>
      <c r="AD204" s="1076"/>
      <c r="AE204" s="1070"/>
    </row>
    <row r="205" spans="1:31" x14ac:dyDescent="0.3">
      <c r="A205" s="1070"/>
      <c r="B205" s="1070"/>
      <c r="C205" s="1078">
        <v>1</v>
      </c>
      <c r="D205" s="1083" t="str">
        <f>HLOOKUP(COLUMN(PPT!D2),FT_PPD_DD!$A$116:$DZ$117,2,0)</f>
        <v>D</v>
      </c>
      <c r="E205" s="1084"/>
      <c r="F205" s="1078">
        <f>ROW(PPT!D2)</f>
        <v>2</v>
      </c>
      <c r="G205" s="1078"/>
      <c r="H205" s="3104" t="s">
        <v>1212</v>
      </c>
      <c r="I205" s="3104"/>
      <c r="J205" s="3104"/>
      <c r="K205" s="3104"/>
      <c r="L205" s="3104"/>
      <c r="M205" s="3104"/>
      <c r="N205" s="3104"/>
      <c r="O205" s="3104"/>
      <c r="P205" s="3104"/>
      <c r="Q205" s="3104"/>
      <c r="R205" s="3104"/>
      <c r="S205" s="3104"/>
      <c r="T205" s="3104"/>
      <c r="U205" s="3104"/>
      <c r="V205" s="3104"/>
      <c r="W205" s="3104"/>
      <c r="X205" s="3104"/>
      <c r="Y205" s="3104"/>
      <c r="Z205" s="3104"/>
      <c r="AA205" s="3104"/>
      <c r="AB205" s="3104"/>
      <c r="AC205" s="3104"/>
      <c r="AD205" s="3104"/>
      <c r="AE205" s="1070"/>
    </row>
    <row r="206" spans="1:31" ht="28.5" customHeight="1" x14ac:dyDescent="0.3">
      <c r="A206" s="1070"/>
      <c r="B206" s="1070"/>
      <c r="C206" s="1078">
        <f>C205+1</f>
        <v>2</v>
      </c>
      <c r="D206" s="1083" t="str">
        <f>HLOOKUP(COLUMN(PPT!B3),FT_PPD_DD!$A$116:$DZ$117,2,0)</f>
        <v>B</v>
      </c>
      <c r="E206" s="1084" t="str">
        <f>HLOOKUP(COLUMN(PPT!BR116),FT_PPD_DD!$A$116:$DZ$117,2,0)</f>
        <v>BR</v>
      </c>
      <c r="F206" s="1078">
        <f>ROW(PPT!B28)</f>
        <v>28</v>
      </c>
      <c r="G206" s="1078">
        <f>ROW(PPT!BR116)</f>
        <v>116</v>
      </c>
      <c r="H206" s="3103" t="s">
        <v>1213</v>
      </c>
      <c r="I206" s="3103"/>
      <c r="J206" s="3103"/>
      <c r="K206" s="3103"/>
      <c r="L206" s="3103"/>
      <c r="M206" s="3103"/>
      <c r="N206" s="3103"/>
      <c r="O206" s="3103"/>
      <c r="P206" s="3103"/>
      <c r="Q206" s="3103"/>
      <c r="R206" s="3103"/>
      <c r="S206" s="3103"/>
      <c r="T206" s="3103"/>
      <c r="U206" s="3103"/>
      <c r="V206" s="3103"/>
      <c r="W206" s="3103"/>
      <c r="X206" s="3103"/>
      <c r="Y206" s="3103"/>
      <c r="Z206" s="3103"/>
      <c r="AA206" s="3103"/>
      <c r="AB206" s="3103"/>
      <c r="AC206" s="3103"/>
      <c r="AD206" s="3103"/>
      <c r="AE206" s="1070"/>
    </row>
    <row r="207" spans="1:31" x14ac:dyDescent="0.3">
      <c r="A207" s="1070"/>
      <c r="B207" s="1070"/>
      <c r="C207" s="1078">
        <f t="shared" ref="C207:C210" si="9">C206+1</f>
        <v>3</v>
      </c>
      <c r="D207" s="1083" t="str">
        <f>HLOOKUP(COLUMN(PPT!B117),FT_PPD_DD!$A$116:$DZ$117,2,0)</f>
        <v>B</v>
      </c>
      <c r="E207" s="1084" t="str">
        <f>HLOOKUP(COLUMN(PPT!BR126),FT_PPD_DD!$A$116:$DZ$117,2,0)</f>
        <v>BR</v>
      </c>
      <c r="F207" s="1078">
        <f>ROW(PPT!B117)</f>
        <v>117</v>
      </c>
      <c r="G207" s="1078">
        <f>ROW(PPT!BR126)</f>
        <v>126</v>
      </c>
      <c r="H207" s="3104" t="s">
        <v>1214</v>
      </c>
      <c r="I207" s="3104"/>
      <c r="J207" s="3104"/>
      <c r="K207" s="3104"/>
      <c r="L207" s="3104"/>
      <c r="M207" s="3104"/>
      <c r="N207" s="3104"/>
      <c r="O207" s="3104"/>
      <c r="P207" s="3104"/>
      <c r="Q207" s="3104"/>
      <c r="R207" s="3104"/>
      <c r="S207" s="3104"/>
      <c r="T207" s="3104"/>
      <c r="U207" s="3104"/>
      <c r="V207" s="3104"/>
      <c r="W207" s="3104"/>
      <c r="X207" s="3104"/>
      <c r="Y207" s="3104"/>
      <c r="Z207" s="3104"/>
      <c r="AA207" s="3104"/>
      <c r="AB207" s="3104"/>
      <c r="AC207" s="3104"/>
      <c r="AD207" s="3104"/>
      <c r="AE207" s="1070"/>
    </row>
    <row r="208" spans="1:31" ht="43.5" customHeight="1" x14ac:dyDescent="0.3">
      <c r="A208" s="1070"/>
      <c r="B208" s="1070"/>
      <c r="C208" s="1078">
        <f t="shared" si="9"/>
        <v>4</v>
      </c>
      <c r="D208" s="1083" t="str">
        <f>HLOOKUP(COLUMN(PPT!B130),FT_PPD_DD!$A$116:$DZ$117,2,0)</f>
        <v>B</v>
      </c>
      <c r="E208" s="1084" t="str">
        <f>HLOOKUP(COLUMN(PPT!BR159),FT_PPD_DD!$A$116:$DZ$117,2,0)</f>
        <v>BR</v>
      </c>
      <c r="F208" s="1078">
        <f>ROW(PPT!B130)</f>
        <v>130</v>
      </c>
      <c r="G208" s="1078">
        <f>ROW(PPT!BR159)</f>
        <v>159</v>
      </c>
      <c r="H208" s="3103" t="s">
        <v>1215</v>
      </c>
      <c r="I208" s="3103"/>
      <c r="J208" s="3103"/>
      <c r="K208" s="3103"/>
      <c r="L208" s="3103"/>
      <c r="M208" s="3103"/>
      <c r="N208" s="3103"/>
      <c r="O208" s="3103"/>
      <c r="P208" s="3103"/>
      <c r="Q208" s="3103"/>
      <c r="R208" s="3103"/>
      <c r="S208" s="3103"/>
      <c r="T208" s="3103"/>
      <c r="U208" s="3103"/>
      <c r="V208" s="3103"/>
      <c r="W208" s="3103"/>
      <c r="X208" s="3103"/>
      <c r="Y208" s="3103"/>
      <c r="Z208" s="3103"/>
      <c r="AA208" s="3103"/>
      <c r="AB208" s="3103"/>
      <c r="AC208" s="3103"/>
      <c r="AD208" s="3103"/>
      <c r="AE208" s="1070"/>
    </row>
    <row r="209" spans="1:31" x14ac:dyDescent="0.3">
      <c r="A209" s="1070"/>
      <c r="B209" s="1070"/>
      <c r="C209" s="1078">
        <f t="shared" si="9"/>
        <v>5</v>
      </c>
      <c r="D209" s="1083" t="str">
        <f>HLOOKUP(COLUMN(PPT!BU164),FT_PPD_DD!$A$116:$DZ$117,2,0)</f>
        <v>BU</v>
      </c>
      <c r="E209" s="1084" t="str">
        <f>HLOOKUP(COLUMN(PPT!CA178),FT_PPD_DD!$A$116:$DZ$117,2,0)</f>
        <v>CA</v>
      </c>
      <c r="F209" s="1078">
        <f>ROW(PPT!B164)</f>
        <v>164</v>
      </c>
      <c r="G209" s="1078">
        <f>ROW(PPT!BR178)</f>
        <v>178</v>
      </c>
      <c r="H209" s="3103" t="s">
        <v>1216</v>
      </c>
      <c r="I209" s="3103"/>
      <c r="J209" s="3103"/>
      <c r="K209" s="3103"/>
      <c r="L209" s="3103"/>
      <c r="M209" s="3103"/>
      <c r="N209" s="3103"/>
      <c r="O209" s="3103"/>
      <c r="P209" s="3103"/>
      <c r="Q209" s="3103"/>
      <c r="R209" s="3103"/>
      <c r="S209" s="3103"/>
      <c r="T209" s="3103"/>
      <c r="U209" s="3103"/>
      <c r="V209" s="3103"/>
      <c r="W209" s="3103"/>
      <c r="X209" s="3103"/>
      <c r="Y209" s="3103"/>
      <c r="Z209" s="3103"/>
      <c r="AA209" s="3103"/>
      <c r="AB209" s="3103"/>
      <c r="AC209" s="3103"/>
      <c r="AD209" s="3103"/>
      <c r="AE209" s="1070"/>
    </row>
    <row r="210" spans="1:31" x14ac:dyDescent="0.3">
      <c r="A210" s="1070"/>
      <c r="B210" s="1070"/>
      <c r="C210" s="1078">
        <f t="shared" si="9"/>
        <v>6</v>
      </c>
      <c r="D210" s="1083" t="str">
        <f>HLOOKUP(COLUMN(PPT!CC182),FT_PPD_DD!$A$116:$DZ$117,2,0)</f>
        <v>CC</v>
      </c>
      <c r="E210" s="1084" t="str">
        <f>HLOOKUP(COLUMN(PPT!CL211),FT_PPD_DD!$A$116:$DZ$117,2,0)</f>
        <v>CL</v>
      </c>
      <c r="F210" s="1078">
        <f>ROW(PPT!CC182)</f>
        <v>182</v>
      </c>
      <c r="G210" s="1078">
        <f>ROW(PPT!CL211)</f>
        <v>211</v>
      </c>
      <c r="H210" s="3103" t="s">
        <v>1217</v>
      </c>
      <c r="I210" s="3103"/>
      <c r="J210" s="3103"/>
      <c r="K210" s="3103"/>
      <c r="L210" s="3103"/>
      <c r="M210" s="3103"/>
      <c r="N210" s="3103"/>
      <c r="O210" s="3103"/>
      <c r="P210" s="3103"/>
      <c r="Q210" s="3103"/>
      <c r="R210" s="3103"/>
      <c r="S210" s="3103"/>
      <c r="T210" s="3103"/>
      <c r="U210" s="3103"/>
      <c r="V210" s="3103"/>
      <c r="W210" s="3103"/>
      <c r="X210" s="3103"/>
      <c r="Y210" s="3103"/>
      <c r="Z210" s="3103"/>
      <c r="AA210" s="3103"/>
      <c r="AB210" s="3103"/>
      <c r="AC210" s="3103"/>
      <c r="AD210" s="3103"/>
      <c r="AE210" s="1070"/>
    </row>
    <row r="211" spans="1:31" x14ac:dyDescent="0.3">
      <c r="A211" s="1070"/>
      <c r="B211" s="1070"/>
      <c r="C211" s="1070"/>
      <c r="D211" s="1070"/>
      <c r="E211" s="1070"/>
      <c r="F211" s="1070"/>
      <c r="G211" s="1070"/>
      <c r="H211" s="1070"/>
      <c r="I211" s="1070"/>
      <c r="J211" s="1070"/>
      <c r="K211" s="1070"/>
      <c r="L211" s="1070"/>
      <c r="M211" s="1070"/>
      <c r="N211" s="1070"/>
      <c r="O211" s="1070"/>
      <c r="P211" s="1070"/>
      <c r="Q211" s="1070"/>
      <c r="R211" s="1070"/>
      <c r="S211" s="1070"/>
      <c r="T211" s="1070"/>
      <c r="U211" s="1070"/>
      <c r="V211" s="1070"/>
      <c r="W211" s="1070"/>
      <c r="X211" s="1070"/>
      <c r="Y211" s="1070"/>
      <c r="Z211" s="1070"/>
      <c r="AA211" s="1070"/>
      <c r="AB211" s="1070"/>
      <c r="AC211" s="1070"/>
      <c r="AD211" s="1070"/>
      <c r="AE211" s="1070"/>
    </row>
    <row r="212" spans="1:31" x14ac:dyDescent="0.3">
      <c r="A212" s="1070"/>
      <c r="B212" s="1070"/>
      <c r="C212" s="1070"/>
      <c r="D212" s="1070"/>
      <c r="E212" s="1070"/>
      <c r="F212" s="1070"/>
      <c r="G212" s="1070"/>
      <c r="H212" s="3104"/>
      <c r="I212" s="3104"/>
      <c r="J212" s="3104"/>
      <c r="K212" s="3104"/>
      <c r="L212" s="3104"/>
      <c r="M212" s="3104"/>
      <c r="N212" s="3104"/>
      <c r="O212" s="3104"/>
      <c r="P212" s="3104"/>
      <c r="Q212" s="3104"/>
      <c r="R212" s="3104"/>
      <c r="S212" s="3104"/>
      <c r="T212" s="3104"/>
      <c r="U212" s="3104"/>
      <c r="V212" s="3104"/>
      <c r="W212" s="3104"/>
      <c r="X212" s="3104"/>
      <c r="Y212" s="3104"/>
      <c r="Z212" s="3104"/>
      <c r="AA212" s="3104"/>
      <c r="AB212" s="3104"/>
      <c r="AC212" s="3104"/>
      <c r="AD212" s="3104"/>
      <c r="AE212" s="1070"/>
    </row>
    <row r="213" spans="1:31" x14ac:dyDescent="0.3">
      <c r="A213" s="1070"/>
      <c r="B213" s="1075" t="s">
        <v>1218</v>
      </c>
      <c r="C213" s="1076"/>
      <c r="D213" s="1076"/>
      <c r="E213" s="1076"/>
      <c r="F213" s="1076"/>
      <c r="G213" s="1076"/>
      <c r="H213" s="1076"/>
      <c r="I213" s="1076"/>
      <c r="J213" s="1076"/>
      <c r="K213" s="1076"/>
      <c r="L213" s="1076"/>
      <c r="M213" s="1076"/>
      <c r="N213" s="1076"/>
      <c r="O213" s="1076"/>
      <c r="P213" s="1076"/>
      <c r="Q213" s="1076"/>
      <c r="R213" s="1076"/>
      <c r="S213" s="1076"/>
      <c r="T213" s="1076"/>
      <c r="U213" s="1076"/>
      <c r="V213" s="1076"/>
      <c r="W213" s="1076"/>
      <c r="X213" s="1076"/>
      <c r="Y213" s="1076"/>
      <c r="Z213" s="1076"/>
      <c r="AA213" s="1076"/>
      <c r="AB213" s="1076"/>
      <c r="AC213" s="1076"/>
      <c r="AD213" s="1076"/>
      <c r="AE213" s="1070"/>
    </row>
    <row r="214" spans="1:31" x14ac:dyDescent="0.3">
      <c r="A214" s="1070"/>
      <c r="B214" s="1070"/>
      <c r="C214" s="1078">
        <v>1</v>
      </c>
      <c r="D214" s="1078"/>
      <c r="E214" s="1078"/>
      <c r="F214" s="1078"/>
      <c r="G214" s="1078"/>
      <c r="H214" s="3104" t="s">
        <v>1219</v>
      </c>
      <c r="I214" s="3104"/>
      <c r="J214" s="3104"/>
      <c r="K214" s="3104"/>
      <c r="L214" s="3104"/>
      <c r="M214" s="3104"/>
      <c r="N214" s="3104"/>
      <c r="O214" s="3104"/>
      <c r="P214" s="3104"/>
      <c r="Q214" s="3104"/>
      <c r="R214" s="3104"/>
      <c r="S214" s="3104"/>
      <c r="T214" s="3104"/>
      <c r="U214" s="3104"/>
      <c r="V214" s="3104"/>
      <c r="W214" s="3104"/>
      <c r="X214" s="3104"/>
      <c r="Y214" s="3104"/>
      <c r="Z214" s="3104"/>
      <c r="AA214" s="3104"/>
      <c r="AB214" s="3104"/>
      <c r="AC214" s="3104"/>
      <c r="AD214" s="3104"/>
      <c r="AE214" s="1070"/>
    </row>
    <row r="215" spans="1:31" x14ac:dyDescent="0.3">
      <c r="A215" s="1070"/>
      <c r="B215" s="1070"/>
      <c r="C215" s="1078"/>
      <c r="D215" s="1078"/>
      <c r="E215" s="1078"/>
      <c r="F215" s="1078"/>
      <c r="G215" s="1078"/>
      <c r="H215" s="1079"/>
      <c r="I215" s="1079"/>
      <c r="J215" s="1079"/>
      <c r="K215" s="1079"/>
      <c r="L215" s="1079"/>
      <c r="M215" s="1079"/>
      <c r="N215" s="1079"/>
      <c r="O215" s="1079"/>
      <c r="P215" s="1079"/>
      <c r="Q215" s="1079"/>
      <c r="R215" s="1079"/>
      <c r="S215" s="1079"/>
      <c r="T215" s="1079"/>
      <c r="U215" s="1079"/>
      <c r="V215" s="1079"/>
      <c r="W215" s="1079"/>
      <c r="X215" s="1079"/>
      <c r="Y215" s="1079"/>
      <c r="Z215" s="1079"/>
      <c r="AA215" s="1079"/>
      <c r="AB215" s="1079"/>
      <c r="AC215" s="1079"/>
      <c r="AD215" s="1079"/>
      <c r="AE215" s="1070"/>
    </row>
    <row r="216" spans="1:31" x14ac:dyDescent="0.3">
      <c r="A216" s="1070"/>
      <c r="B216" s="1070"/>
      <c r="C216" s="1070"/>
      <c r="D216" s="1070"/>
      <c r="E216" s="1070"/>
      <c r="F216" s="1070"/>
      <c r="G216" s="1070"/>
      <c r="H216" s="3105"/>
      <c r="I216" s="3105"/>
      <c r="J216" s="3105"/>
      <c r="K216" s="3105"/>
      <c r="L216" s="3105"/>
      <c r="M216" s="3105"/>
      <c r="N216" s="3105"/>
      <c r="O216" s="3105"/>
      <c r="P216" s="3105"/>
      <c r="Q216" s="3105"/>
      <c r="R216" s="3105"/>
      <c r="S216" s="3105"/>
      <c r="T216" s="3105"/>
      <c r="U216" s="3105"/>
      <c r="V216" s="3105"/>
      <c r="W216" s="3105"/>
      <c r="X216" s="3105"/>
      <c r="Y216" s="3105"/>
      <c r="Z216" s="3105"/>
      <c r="AA216" s="3105"/>
      <c r="AB216" s="3105"/>
      <c r="AC216" s="3105"/>
      <c r="AD216" s="3105"/>
      <c r="AE216" s="1070"/>
    </row>
    <row r="217" spans="1:31" x14ac:dyDescent="0.3">
      <c r="A217" s="1070"/>
      <c r="B217" s="1075" t="s">
        <v>1220</v>
      </c>
      <c r="C217" s="1076"/>
      <c r="D217" s="1076"/>
      <c r="E217" s="1076"/>
      <c r="F217" s="1076"/>
      <c r="G217" s="1076"/>
      <c r="H217" s="1076"/>
      <c r="I217" s="1076"/>
      <c r="J217" s="1076"/>
      <c r="K217" s="1076"/>
      <c r="L217" s="1076"/>
      <c r="M217" s="1076"/>
      <c r="N217" s="1076"/>
      <c r="O217" s="1076"/>
      <c r="P217" s="1076"/>
      <c r="Q217" s="1076"/>
      <c r="R217" s="1076"/>
      <c r="S217" s="1076"/>
      <c r="T217" s="1076"/>
      <c r="U217" s="1076"/>
      <c r="V217" s="1076"/>
      <c r="W217" s="1076"/>
      <c r="X217" s="1076"/>
      <c r="Y217" s="1076"/>
      <c r="Z217" s="1076"/>
      <c r="AA217" s="1076"/>
      <c r="AB217" s="1076"/>
      <c r="AC217" s="1076"/>
      <c r="AD217" s="1076"/>
      <c r="AE217" s="1070"/>
    </row>
    <row r="218" spans="1:31" x14ac:dyDescent="0.3">
      <c r="A218" s="1070"/>
      <c r="B218" s="1070"/>
      <c r="C218" s="1070"/>
      <c r="D218" s="1070"/>
      <c r="E218" s="1070"/>
      <c r="F218" s="1070"/>
      <c r="G218" s="1070"/>
      <c r="H218" s="3106" t="s">
        <v>1221</v>
      </c>
      <c r="I218" s="3106"/>
      <c r="J218" s="3106"/>
      <c r="K218" s="3106"/>
      <c r="L218" s="3106"/>
      <c r="M218" s="3106"/>
      <c r="N218" s="3106"/>
      <c r="O218" s="3106"/>
      <c r="P218" s="3106"/>
      <c r="Q218" s="3106"/>
      <c r="R218" s="3106"/>
      <c r="S218" s="3106"/>
      <c r="T218" s="3106"/>
      <c r="U218" s="3106"/>
      <c r="V218" s="3106"/>
      <c r="W218" s="3106"/>
      <c r="X218" s="3106"/>
      <c r="Y218" s="3106"/>
      <c r="Z218" s="3106"/>
      <c r="AA218" s="3106"/>
      <c r="AB218" s="3106"/>
      <c r="AC218" s="3106"/>
      <c r="AD218" s="3106"/>
      <c r="AE218" s="1070"/>
    </row>
    <row r="219" spans="1:31" x14ac:dyDescent="0.3">
      <c r="A219" s="1070"/>
      <c r="B219" s="1070"/>
      <c r="C219" s="1070"/>
      <c r="D219" s="1070"/>
      <c r="E219" s="1070"/>
      <c r="F219" s="1070"/>
      <c r="G219" s="1070"/>
      <c r="H219" s="3106" t="s">
        <v>1222</v>
      </c>
      <c r="I219" s="3106"/>
      <c r="J219" s="3106"/>
      <c r="K219" s="3106"/>
      <c r="L219" s="3106"/>
      <c r="M219" s="3106"/>
      <c r="N219" s="3106"/>
      <c r="O219" s="3106"/>
      <c r="P219" s="3106"/>
      <c r="Q219" s="3106"/>
      <c r="R219" s="3106"/>
      <c r="S219" s="3106"/>
      <c r="T219" s="3106"/>
      <c r="U219" s="3106"/>
      <c r="V219" s="3106"/>
      <c r="W219" s="3106"/>
      <c r="X219" s="3106"/>
      <c r="Y219" s="3106"/>
      <c r="Z219" s="3106"/>
      <c r="AA219" s="3106"/>
      <c r="AB219" s="3106"/>
      <c r="AC219" s="3106"/>
      <c r="AD219" s="3106"/>
      <c r="AE219" s="1070"/>
    </row>
    <row r="220" spans="1:31" x14ac:dyDescent="0.3">
      <c r="A220" s="1070"/>
      <c r="B220" s="1070"/>
      <c r="C220" s="1070"/>
      <c r="D220" s="1070"/>
      <c r="E220" s="1070"/>
      <c r="F220" s="1070"/>
      <c r="G220" s="1070"/>
      <c r="H220" s="3106" t="s">
        <v>1223</v>
      </c>
      <c r="I220" s="3106"/>
      <c r="J220" s="3106"/>
      <c r="K220" s="3106"/>
      <c r="L220" s="3106"/>
      <c r="M220" s="3106"/>
      <c r="N220" s="3106"/>
      <c r="O220" s="3106"/>
      <c r="P220" s="3106"/>
      <c r="Q220" s="3106"/>
      <c r="R220" s="3106"/>
      <c r="S220" s="3106"/>
      <c r="T220" s="3106"/>
      <c r="U220" s="3106"/>
      <c r="V220" s="3106"/>
      <c r="W220" s="3106"/>
      <c r="X220" s="3106"/>
      <c r="Y220" s="3106"/>
      <c r="Z220" s="3106"/>
      <c r="AA220" s="3106"/>
      <c r="AB220" s="3106"/>
      <c r="AC220" s="3106"/>
      <c r="AD220" s="3106"/>
      <c r="AE220" s="1070"/>
    </row>
    <row r="221" spans="1:31" x14ac:dyDescent="0.3">
      <c r="A221" s="1070"/>
      <c r="B221" s="1070"/>
      <c r="C221" s="1070"/>
      <c r="D221" s="1070"/>
      <c r="E221" s="1070"/>
      <c r="F221" s="1070"/>
      <c r="G221" s="1070"/>
      <c r="H221" s="3128" t="s">
        <v>1224</v>
      </c>
      <c r="I221" s="3128"/>
      <c r="J221" s="3128"/>
      <c r="K221" s="3128"/>
      <c r="L221" s="3128"/>
      <c r="M221" s="3128"/>
      <c r="N221" s="3128"/>
      <c r="O221" s="3128"/>
      <c r="P221" s="3128"/>
      <c r="Q221" s="3128"/>
      <c r="R221" s="3128"/>
      <c r="S221" s="3128"/>
      <c r="T221" s="3128"/>
      <c r="U221" s="3128"/>
      <c r="V221" s="3128"/>
      <c r="W221" s="3128"/>
      <c r="X221" s="3128"/>
      <c r="Y221" s="3128"/>
      <c r="Z221" s="3128"/>
      <c r="AA221" s="3128"/>
      <c r="AB221" s="3128"/>
      <c r="AC221" s="3128"/>
      <c r="AD221" s="3128"/>
      <c r="AE221" s="1070"/>
    </row>
    <row r="222" spans="1:31" x14ac:dyDescent="0.3">
      <c r="A222" s="1070"/>
      <c r="B222" s="1070"/>
      <c r="C222" s="1070"/>
      <c r="D222" s="1070"/>
      <c r="E222" s="1070"/>
      <c r="F222" s="1070"/>
      <c r="G222" s="1070"/>
      <c r="H222" s="1104"/>
      <c r="I222" s="1105"/>
      <c r="J222" s="1105"/>
      <c r="K222" s="1105"/>
      <c r="L222" s="1105"/>
      <c r="M222" s="1070"/>
      <c r="N222" s="1070"/>
      <c r="O222" s="1070"/>
      <c r="P222" s="1070"/>
      <c r="Q222" s="1070"/>
      <c r="R222" s="1070"/>
      <c r="S222" s="1070"/>
      <c r="T222" s="1070"/>
      <c r="U222" s="1070"/>
      <c r="V222" s="1070"/>
      <c r="W222" s="1070"/>
      <c r="X222" s="1070"/>
      <c r="Y222" s="1070"/>
      <c r="Z222" s="1070"/>
      <c r="AA222" s="1070"/>
      <c r="AB222" s="1070"/>
      <c r="AC222" s="1070"/>
      <c r="AD222" s="1070"/>
      <c r="AE222" s="1070"/>
    </row>
    <row r="223" spans="1:31" x14ac:dyDescent="0.3">
      <c r="A223" s="1070"/>
      <c r="B223" s="1070"/>
      <c r="C223" s="1070"/>
      <c r="D223" s="1070"/>
      <c r="E223" s="1070"/>
      <c r="F223" s="1070"/>
      <c r="G223" s="1070"/>
      <c r="H223" s="1105"/>
      <c r="I223" s="1105"/>
      <c r="J223" s="1105"/>
      <c r="K223" s="1105"/>
      <c r="L223" s="1105"/>
      <c r="M223" s="1070"/>
      <c r="N223" s="1070"/>
      <c r="O223" s="1070"/>
      <c r="P223" s="1070"/>
      <c r="Q223" s="1070"/>
      <c r="R223" s="1070"/>
      <c r="S223" s="1070"/>
      <c r="T223" s="1070"/>
      <c r="U223" s="1070"/>
      <c r="V223" s="1070"/>
      <c r="W223" s="1070"/>
      <c r="X223" s="1070"/>
      <c r="Y223" s="1070"/>
      <c r="Z223" s="1070"/>
      <c r="AA223" s="1070"/>
      <c r="AB223" s="1070"/>
      <c r="AC223" s="1070"/>
      <c r="AD223" s="1070"/>
      <c r="AE223" s="1070"/>
    </row>
    <row r="224" spans="1:31" x14ac:dyDescent="0.3">
      <c r="A224" s="1070"/>
      <c r="B224" s="1070"/>
      <c r="C224" s="1070"/>
      <c r="D224" s="1070"/>
      <c r="E224" s="1070"/>
      <c r="F224" s="1070"/>
      <c r="G224" s="1070"/>
      <c r="H224" s="1070"/>
      <c r="I224" s="1070"/>
      <c r="J224" s="1070"/>
      <c r="K224" s="1070"/>
      <c r="L224" s="1070"/>
      <c r="M224" s="1070"/>
      <c r="N224" s="1070"/>
      <c r="O224" s="1070"/>
      <c r="P224" s="1070"/>
      <c r="Q224" s="1070"/>
      <c r="R224" s="1070"/>
      <c r="S224" s="1070"/>
      <c r="T224" s="1070"/>
      <c r="U224" s="1070"/>
      <c r="V224" s="1070"/>
      <c r="W224" s="1070"/>
      <c r="X224" s="1070"/>
      <c r="Y224" s="1070"/>
      <c r="Z224" s="1070"/>
      <c r="AA224" s="1070"/>
      <c r="AB224" s="1070"/>
      <c r="AC224" s="1070"/>
      <c r="AD224" s="1070"/>
      <c r="AE224" s="1070"/>
    </row>
    <row r="225" spans="1:31" x14ac:dyDescent="0.3">
      <c r="A225" s="1070"/>
      <c r="B225" s="1106" t="s">
        <v>1225</v>
      </c>
      <c r="C225" s="1070"/>
      <c r="D225" s="1070"/>
      <c r="E225" s="1070"/>
      <c r="F225" s="1070"/>
      <c r="G225" s="1070"/>
      <c r="H225" s="1070"/>
      <c r="I225" s="1070"/>
      <c r="J225" s="1070"/>
      <c r="K225" s="1070"/>
      <c r="L225" s="1070"/>
      <c r="M225" s="1070"/>
      <c r="N225" s="1070"/>
      <c r="O225" s="1070"/>
      <c r="P225" s="1070"/>
      <c r="Q225" s="1070"/>
      <c r="R225" s="1070"/>
      <c r="S225" s="1070"/>
      <c r="T225" s="1070"/>
      <c r="U225" s="1070"/>
      <c r="V225" s="1070"/>
      <c r="W225" s="1070"/>
      <c r="X225" s="1070"/>
      <c r="Y225" s="1070"/>
      <c r="Z225" s="1070"/>
      <c r="AA225" s="1070"/>
      <c r="AB225" s="1070"/>
      <c r="AC225" s="1070"/>
      <c r="AD225" s="1070"/>
      <c r="AE225" s="1070"/>
    </row>
    <row r="226" spans="1:31" x14ac:dyDescent="0.3">
      <c r="A226" s="1070"/>
      <c r="B226" s="1070"/>
      <c r="C226" s="1070"/>
      <c r="D226" s="1070"/>
      <c r="E226" s="1070"/>
      <c r="F226" s="1070"/>
      <c r="G226" s="1070"/>
      <c r="H226" s="1070"/>
      <c r="I226" s="1070"/>
      <c r="J226" s="1070"/>
      <c r="K226" s="1070"/>
      <c r="L226" s="1070"/>
      <c r="M226" s="1070"/>
      <c r="N226" s="1070"/>
      <c r="O226" s="1070"/>
      <c r="P226" s="1070"/>
      <c r="Q226" s="1070"/>
      <c r="R226" s="1070"/>
      <c r="S226" s="1070"/>
      <c r="T226" s="1070"/>
      <c r="U226" s="1070"/>
      <c r="V226" s="1070"/>
      <c r="W226" s="1070"/>
      <c r="X226" s="1070"/>
      <c r="Y226" s="1070"/>
      <c r="Z226" s="1070"/>
      <c r="AA226" s="1070"/>
      <c r="AB226" s="1070"/>
      <c r="AC226" s="1070"/>
      <c r="AD226" s="1070"/>
      <c r="AE226" s="1070"/>
    </row>
    <row r="239" spans="1:31" x14ac:dyDescent="0.3">
      <c r="AE239" s="1107"/>
    </row>
    <row r="240" spans="1:31" ht="15" customHeight="1" x14ac:dyDescent="0.3">
      <c r="AE240" s="1107"/>
    </row>
    <row r="241" spans="31:31" x14ac:dyDescent="0.3">
      <c r="AE241" s="1107"/>
    </row>
    <row r="242" spans="31:31" ht="15" customHeight="1" x14ac:dyDescent="0.3">
      <c r="AE242" s="1107"/>
    </row>
    <row r="243" spans="31:31" ht="15" customHeight="1" x14ac:dyDescent="0.3">
      <c r="AE243" s="1107"/>
    </row>
    <row r="244" spans="31:31" ht="15" customHeight="1" x14ac:dyDescent="0.3">
      <c r="AE244" s="1107"/>
    </row>
    <row r="245" spans="31:31" x14ac:dyDescent="0.3">
      <c r="AE245" s="1107"/>
    </row>
    <row r="246" spans="31:31" x14ac:dyDescent="0.3">
      <c r="AE246" s="1107"/>
    </row>
    <row r="247" spans="31:31" x14ac:dyDescent="0.3">
      <c r="AE247" s="1107"/>
    </row>
    <row r="248" spans="31:31" x14ac:dyDescent="0.3">
      <c r="AE248" s="1107"/>
    </row>
    <row r="249" spans="31:31" x14ac:dyDescent="0.3">
      <c r="AE249" s="1107"/>
    </row>
    <row r="250" spans="31:31" x14ac:dyDescent="0.3">
      <c r="AE250" s="1107"/>
    </row>
    <row r="251" spans="31:31" x14ac:dyDescent="0.3">
      <c r="AE251" s="1107"/>
    </row>
    <row r="252" spans="31:31" ht="15" customHeight="1" x14ac:dyDescent="0.3">
      <c r="AE252" s="1107"/>
    </row>
    <row r="253" spans="31:31" x14ac:dyDescent="0.3">
      <c r="AE253" s="1107"/>
    </row>
    <row r="254" spans="31:31" ht="15" customHeight="1" x14ac:dyDescent="0.3">
      <c r="AE254" s="1107"/>
    </row>
    <row r="255" spans="31:31" ht="15" customHeight="1" x14ac:dyDescent="0.3">
      <c r="AE255" s="1107"/>
    </row>
    <row r="256" spans="31:31" ht="15" customHeight="1" x14ac:dyDescent="0.3">
      <c r="AE256" s="1107"/>
    </row>
    <row r="257" spans="31:31" x14ac:dyDescent="0.3">
      <c r="AE257" s="1107"/>
    </row>
    <row r="258" spans="31:31" x14ac:dyDescent="0.3">
      <c r="AE258" s="1107"/>
    </row>
    <row r="259" spans="31:31" x14ac:dyDescent="0.3">
      <c r="AE259" s="1107"/>
    </row>
    <row r="260" spans="31:31" x14ac:dyDescent="0.3">
      <c r="AE260" s="1107"/>
    </row>
  </sheetData>
  <sheetProtection algorithmName="SHA-512" hashValue="qZ6HT4dI3p4t8maUK3m5cynjrXMEpX2UWhgYQvRPQn5ETdug/8MgzakUULCvh+FB8UJo6P8u0uqa+EATAm95Tg==" saltValue="AgF4nlsfk0bOu1pEVvl6ww==" spinCount="100000" sheet="1" scenarios="1" formatCells="0" formatColumns="0" formatRows="0" pivotTables="0"/>
  <mergeCells count="164">
    <mergeCell ref="H214:AD214"/>
    <mergeCell ref="H216:AD216"/>
    <mergeCell ref="H218:AD218"/>
    <mergeCell ref="H219:AD219"/>
    <mergeCell ref="H220:AD220"/>
    <mergeCell ref="H221:AD221"/>
    <mergeCell ref="H206:AD206"/>
    <mergeCell ref="H207:AD207"/>
    <mergeCell ref="H208:AD208"/>
    <mergeCell ref="H209:AD209"/>
    <mergeCell ref="H210:AD210"/>
    <mergeCell ref="H212:AD212"/>
    <mergeCell ref="H196:AD196"/>
    <mergeCell ref="H197:AD197"/>
    <mergeCell ref="H200:AD200"/>
    <mergeCell ref="H201:AD201"/>
    <mergeCell ref="H202:AD202"/>
    <mergeCell ref="H205:AD205"/>
    <mergeCell ref="H186:AD186"/>
    <mergeCell ref="H188:AD188"/>
    <mergeCell ref="H189:AD189"/>
    <mergeCell ref="H191:AD191"/>
    <mergeCell ref="H194:AD194"/>
    <mergeCell ref="H195:AD195"/>
    <mergeCell ref="H178:AD178"/>
    <mergeCell ref="H179:AD179"/>
    <mergeCell ref="H180:AD180"/>
    <mergeCell ref="H181:AD181"/>
    <mergeCell ref="H184:AD184"/>
    <mergeCell ref="H185:AD185"/>
    <mergeCell ref="H169:AD169"/>
    <mergeCell ref="H170:AD170"/>
    <mergeCell ref="H172:AD172"/>
    <mergeCell ref="H175:AD175"/>
    <mergeCell ref="H176:AD176"/>
    <mergeCell ref="H177:AD177"/>
    <mergeCell ref="H160:AD160"/>
    <mergeCell ref="H161:AD161"/>
    <mergeCell ref="H162:AD162"/>
    <mergeCell ref="H163:AD163"/>
    <mergeCell ref="H167:AD167"/>
    <mergeCell ref="H168:AD168"/>
    <mergeCell ref="H150:AD150"/>
    <mergeCell ref="H151:AD151"/>
    <mergeCell ref="H152:AD152"/>
    <mergeCell ref="H153:AD153"/>
    <mergeCell ref="H155:AD155"/>
    <mergeCell ref="H156:AD156"/>
    <mergeCell ref="H143:AD143"/>
    <mergeCell ref="H144:AD144"/>
    <mergeCell ref="H145:AD145"/>
    <mergeCell ref="H146:AD146"/>
    <mergeCell ref="H147:AD147"/>
    <mergeCell ref="H149:AD149"/>
    <mergeCell ref="H133:AD133"/>
    <mergeCell ref="H138:AD138"/>
    <mergeCell ref="H139:AD139"/>
    <mergeCell ref="H140:AD140"/>
    <mergeCell ref="H141:AD141"/>
    <mergeCell ref="H142:AD142"/>
    <mergeCell ref="H123:AD123"/>
    <mergeCell ref="C126:C130"/>
    <mergeCell ref="D126:D130"/>
    <mergeCell ref="E126:E130"/>
    <mergeCell ref="F126:F130"/>
    <mergeCell ref="G126:G130"/>
    <mergeCell ref="H126:AD126"/>
    <mergeCell ref="H127:AD127"/>
    <mergeCell ref="H113:AD113"/>
    <mergeCell ref="H114:AD114"/>
    <mergeCell ref="H115:AD115"/>
    <mergeCell ref="H116:AD116"/>
    <mergeCell ref="H117:AD117"/>
    <mergeCell ref="H120:AD120"/>
    <mergeCell ref="H107:AD107"/>
    <mergeCell ref="H108:AD108"/>
    <mergeCell ref="H109:AD109"/>
    <mergeCell ref="H110:AD110"/>
    <mergeCell ref="H111:AD111"/>
    <mergeCell ref="H112:AD112"/>
    <mergeCell ref="H101:AD101"/>
    <mergeCell ref="H102:AD102"/>
    <mergeCell ref="H103:AD103"/>
    <mergeCell ref="H104:AD104"/>
    <mergeCell ref="H105:AD105"/>
    <mergeCell ref="H106:AC106"/>
    <mergeCell ref="H95:AD95"/>
    <mergeCell ref="H96:AD96"/>
    <mergeCell ref="H97:AD97"/>
    <mergeCell ref="H98:AD98"/>
    <mergeCell ref="H99:AD99"/>
    <mergeCell ref="H100:AD100"/>
    <mergeCell ref="H89:AD89"/>
    <mergeCell ref="H90:AD90"/>
    <mergeCell ref="H91:AD91"/>
    <mergeCell ref="H92:AD92"/>
    <mergeCell ref="H93:AD93"/>
    <mergeCell ref="H94:AD94"/>
    <mergeCell ref="H80:AD80"/>
    <mergeCell ref="H81:AD81"/>
    <mergeCell ref="H82:AD82"/>
    <mergeCell ref="H83:AD83"/>
    <mergeCell ref="H87:AD87"/>
    <mergeCell ref="H88:AD88"/>
    <mergeCell ref="H74:AD74"/>
    <mergeCell ref="H75:AD75"/>
    <mergeCell ref="H76:AD76"/>
    <mergeCell ref="H77:AD77"/>
    <mergeCell ref="H78:AD78"/>
    <mergeCell ref="H79:AD79"/>
    <mergeCell ref="H68:AD68"/>
    <mergeCell ref="H69:AD69"/>
    <mergeCell ref="H70:AD70"/>
    <mergeCell ref="H71:AD71"/>
    <mergeCell ref="H72:AD72"/>
    <mergeCell ref="H73:AD73"/>
    <mergeCell ref="E59:F59"/>
    <mergeCell ref="E60:F60"/>
    <mergeCell ref="E61:F61"/>
    <mergeCell ref="H65:AD65"/>
    <mergeCell ref="H66:AD66"/>
    <mergeCell ref="H67:AD67"/>
    <mergeCell ref="H49:AD49"/>
    <mergeCell ref="H50:AD50"/>
    <mergeCell ref="H51:AD51"/>
    <mergeCell ref="H52:AD52"/>
    <mergeCell ref="H53:AD53"/>
    <mergeCell ref="E58:F58"/>
    <mergeCell ref="H43:AD43"/>
    <mergeCell ref="H44:AD44"/>
    <mergeCell ref="H45:AD45"/>
    <mergeCell ref="H46:AD46"/>
    <mergeCell ref="H47:AD47"/>
    <mergeCell ref="H48:AD48"/>
    <mergeCell ref="H37:AD37"/>
    <mergeCell ref="H38:AD38"/>
    <mergeCell ref="H39:AD39"/>
    <mergeCell ref="H40:AD40"/>
    <mergeCell ref="H41:AD41"/>
    <mergeCell ref="H42:AD42"/>
    <mergeCell ref="H31:AD31"/>
    <mergeCell ref="H32:AD32"/>
    <mergeCell ref="H33:AD33"/>
    <mergeCell ref="H34:AD34"/>
    <mergeCell ref="H35:AD35"/>
    <mergeCell ref="H36:AD36"/>
    <mergeCell ref="H28:AD28"/>
    <mergeCell ref="H29:AD29"/>
    <mergeCell ref="H30:AD30"/>
    <mergeCell ref="H19:AD19"/>
    <mergeCell ref="H20:AD20"/>
    <mergeCell ref="H21:AD21"/>
    <mergeCell ref="H22:AD22"/>
    <mergeCell ref="H23:AD23"/>
    <mergeCell ref="H24:AD24"/>
    <mergeCell ref="H5:AD5"/>
    <mergeCell ref="H6:AD6"/>
    <mergeCell ref="H7:AD7"/>
    <mergeCell ref="H16:AD16"/>
    <mergeCell ref="H17:AD17"/>
    <mergeCell ref="H18:AD18"/>
    <mergeCell ref="H25:AD25"/>
    <mergeCell ref="H26:AD26"/>
    <mergeCell ref="H27:AD27"/>
  </mergeCells>
  <pageMargins left="0.25" right="0.25" top="0.25" bottom="0.25" header="0.3" footer="0.3"/>
  <pageSetup paperSize="5" scale="39"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pageSetUpPr fitToPage="1"/>
  </sheetPr>
  <dimension ref="A1:BA615"/>
  <sheetViews>
    <sheetView showGridLines="0" topLeftCell="A58" zoomScale="85" zoomScaleNormal="85" workbookViewId="0">
      <selection activeCell="J70" sqref="J70"/>
    </sheetView>
  </sheetViews>
  <sheetFormatPr defaultColWidth="9.109375" defaultRowHeight="14.4" outlineLevelCol="1" x14ac:dyDescent="0.3"/>
  <cols>
    <col min="1" max="1" width="1.33203125" style="1071" customWidth="1"/>
    <col min="2" max="2" width="50.44140625" style="1071" customWidth="1"/>
    <col min="3" max="3" width="1.33203125" style="1071" customWidth="1"/>
    <col min="4" max="4" width="5.6640625" style="1071" customWidth="1"/>
    <col min="5" max="5" width="6.5546875" style="1071" customWidth="1"/>
    <col min="6" max="6" width="5.88671875" style="1071" customWidth="1"/>
    <col min="7" max="7" width="1.5546875" style="1071" customWidth="1"/>
    <col min="8" max="8" width="5.88671875" style="1071" customWidth="1"/>
    <col min="9" max="9" width="1.5546875" style="1071" customWidth="1"/>
    <col min="10" max="10" width="9.109375" style="1071"/>
    <col min="11" max="11" width="1.5546875" style="1071" customWidth="1"/>
    <col min="12" max="12" width="9.109375" style="1071"/>
    <col min="13" max="13" width="19.109375" style="1071" customWidth="1"/>
    <col min="14" max="17" width="6.6640625" style="1071" customWidth="1"/>
    <col min="18" max="18" width="9.109375" style="1071" customWidth="1"/>
    <col min="19" max="19" width="2.44140625" style="1071" customWidth="1"/>
    <col min="20" max="20" width="6.6640625" style="1071" customWidth="1"/>
    <col min="21" max="21" width="20.88671875" style="1071" customWidth="1" outlineLevel="1"/>
    <col min="22" max="22" width="6.6640625" style="1071" customWidth="1" outlineLevel="1"/>
    <col min="23" max="23" width="6" style="1071" customWidth="1" outlineLevel="1"/>
    <col min="24" max="25" width="6.6640625" style="1071" customWidth="1" outlineLevel="1"/>
    <col min="26" max="26" width="4.109375" style="1071" customWidth="1" outlineLevel="1"/>
    <col min="27" max="27" width="6.6640625" style="1071" customWidth="1" outlineLevel="1"/>
    <col min="28" max="28" width="6" style="1071" customWidth="1" outlineLevel="1"/>
    <col min="29" max="30" width="6.6640625" style="1071" customWidth="1" outlineLevel="1"/>
    <col min="31" max="31" width="4.109375" style="1071" customWidth="1" outlineLevel="1"/>
    <col min="32" max="32" width="6.6640625" style="1071" customWidth="1" outlineLevel="1"/>
    <col min="33" max="33" width="6" style="1071" customWidth="1" outlineLevel="1"/>
    <col min="34" max="35" width="6.6640625" style="1071" customWidth="1" outlineLevel="1"/>
    <col min="36" max="36" width="4.109375" style="1071" customWidth="1" outlineLevel="1"/>
    <col min="37" max="37" width="6.6640625" style="1071" customWidth="1" outlineLevel="1"/>
    <col min="38" max="39" width="6" style="1071" customWidth="1" outlineLevel="1"/>
    <col min="40" max="40" width="7.88671875" style="1071" customWidth="1" outlineLevel="1"/>
    <col min="41" max="41" width="4.109375" style="1071" customWidth="1" outlineLevel="1"/>
    <col min="42" max="45" width="6" style="1071" customWidth="1" outlineLevel="1"/>
    <col min="46" max="46" width="1.88671875" style="1071" customWidth="1"/>
    <col min="47" max="16384" width="9.109375" style="1071"/>
  </cols>
  <sheetData>
    <row r="1" spans="1:48" ht="4.5" customHeight="1" x14ac:dyDescent="0.3">
      <c r="A1" s="1070"/>
      <c r="B1" s="1070"/>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c r="AF1" s="1070"/>
      <c r="AG1" s="1070"/>
      <c r="AH1" s="1070"/>
      <c r="AI1" s="1070"/>
      <c r="AJ1" s="1070"/>
      <c r="AK1" s="1070"/>
      <c r="AL1" s="1070"/>
      <c r="AM1" s="1070"/>
      <c r="AN1" s="1070"/>
      <c r="AO1" s="1070"/>
      <c r="AP1" s="1070"/>
      <c r="AQ1" s="1070"/>
      <c r="AR1" s="1070"/>
      <c r="AS1" s="1070"/>
      <c r="AT1" s="1070"/>
      <c r="AU1" s="1070"/>
      <c r="AV1" s="1070"/>
    </row>
    <row r="2" spans="1:48" x14ac:dyDescent="0.3">
      <c r="A2" s="1070"/>
      <c r="B2" s="1108" t="s">
        <v>1226</v>
      </c>
      <c r="C2" s="1109"/>
      <c r="D2" s="1109"/>
      <c r="E2" s="1109"/>
      <c r="F2" s="1109"/>
      <c r="G2" s="1109"/>
      <c r="H2" s="1109"/>
      <c r="I2" s="1109"/>
      <c r="J2" s="1109"/>
      <c r="K2" s="1109"/>
      <c r="L2" s="1109"/>
      <c r="M2" s="1109"/>
      <c r="N2" s="1109"/>
      <c r="O2" s="1109"/>
      <c r="P2" s="1110"/>
      <c r="Q2" s="1070"/>
      <c r="R2" s="1070"/>
      <c r="S2" s="1070"/>
      <c r="T2" s="1070"/>
      <c r="U2" s="1108" t="s">
        <v>1227</v>
      </c>
      <c r="V2" s="1109"/>
      <c r="W2" s="1109"/>
      <c r="X2" s="1109"/>
      <c r="Y2" s="1109"/>
      <c r="Z2" s="1109"/>
      <c r="AA2" s="1109"/>
      <c r="AB2" s="1109"/>
      <c r="AC2" s="1109"/>
      <c r="AD2" s="1109"/>
      <c r="AE2" s="1109"/>
      <c r="AF2" s="1109"/>
      <c r="AG2" s="1109"/>
      <c r="AH2" s="1109"/>
      <c r="AI2" s="1109"/>
      <c r="AJ2" s="1109"/>
      <c r="AK2" s="1109"/>
      <c r="AL2" s="1109"/>
      <c r="AM2" s="1109"/>
      <c r="AN2" s="1109"/>
      <c r="AO2" s="1109"/>
      <c r="AP2" s="1109"/>
      <c r="AQ2" s="1109"/>
      <c r="AR2" s="1109"/>
      <c r="AS2" s="1110"/>
      <c r="AT2" s="1070"/>
      <c r="AU2" s="1070"/>
      <c r="AV2" s="1070"/>
    </row>
    <row r="3" spans="1:48" x14ac:dyDescent="0.3">
      <c r="A3" s="1070"/>
      <c r="B3" s="1077"/>
      <c r="C3" s="1070"/>
      <c r="D3" s="1070"/>
      <c r="E3" s="1070"/>
      <c r="F3" s="1070"/>
      <c r="G3" s="1070"/>
      <c r="H3" s="1070"/>
      <c r="I3" s="1070"/>
      <c r="J3" s="1070"/>
      <c r="K3" s="1070"/>
      <c r="L3" s="1070"/>
      <c r="M3" s="1070"/>
      <c r="N3" s="1070"/>
      <c r="O3" s="1070"/>
      <c r="P3" s="1070"/>
      <c r="Q3" s="1070"/>
      <c r="R3" s="1070"/>
      <c r="S3" s="1076"/>
      <c r="T3" s="1070"/>
      <c r="U3" s="1070"/>
      <c r="V3" s="1070"/>
      <c r="W3" s="1070"/>
      <c r="X3" s="1070"/>
      <c r="Y3" s="1070"/>
      <c r="Z3" s="1070"/>
      <c r="AA3" s="1070"/>
      <c r="AB3" s="1070"/>
      <c r="AC3" s="1070"/>
      <c r="AD3" s="1070"/>
      <c r="AE3" s="1070"/>
      <c r="AF3" s="1070"/>
      <c r="AG3" s="1070"/>
      <c r="AH3" s="1070"/>
      <c r="AI3" s="1070"/>
      <c r="AJ3" s="1070"/>
      <c r="AK3" s="1070"/>
      <c r="AL3" s="1070"/>
      <c r="AM3" s="1070"/>
      <c r="AN3" s="1070"/>
      <c r="AO3" s="1070"/>
      <c r="AP3" s="1070"/>
      <c r="AQ3" s="1070"/>
      <c r="AR3" s="1070"/>
      <c r="AS3" s="1070"/>
      <c r="AT3" s="1070"/>
      <c r="AU3" s="1070"/>
      <c r="AV3" s="1070"/>
    </row>
    <row r="4" spans="1:48" x14ac:dyDescent="0.3">
      <c r="A4" s="1070"/>
      <c r="B4" s="1111" t="s">
        <v>1228</v>
      </c>
      <c r="C4" s="1112"/>
      <c r="D4" s="3129" t="s">
        <v>2258</v>
      </c>
      <c r="E4" s="3130"/>
      <c r="F4" s="3131"/>
      <c r="G4" s="1070"/>
      <c r="H4" s="1070"/>
      <c r="I4" s="1070"/>
      <c r="J4" s="1070"/>
      <c r="K4" s="1070"/>
      <c r="L4" s="1070"/>
      <c r="M4" s="1070"/>
      <c r="N4" s="1070"/>
      <c r="O4" s="1070"/>
      <c r="P4" s="1070"/>
      <c r="Q4" s="1070"/>
      <c r="R4" s="1070"/>
      <c r="S4" s="1076"/>
      <c r="T4" s="1070"/>
      <c r="U4" s="1070"/>
      <c r="V4" s="1070"/>
      <c r="W4" s="1070"/>
      <c r="X4" s="1070"/>
      <c r="Y4" s="1070"/>
      <c r="Z4" s="1070"/>
      <c r="AA4" s="1070"/>
      <c r="AB4" s="1070"/>
      <c r="AC4" s="1070"/>
      <c r="AD4" s="1070"/>
      <c r="AE4" s="1070"/>
      <c r="AF4" s="1070"/>
      <c r="AG4" s="1070"/>
      <c r="AH4" s="1070"/>
      <c r="AI4" s="1070"/>
      <c r="AJ4" s="1070"/>
      <c r="AK4" s="1070"/>
      <c r="AL4" s="1070"/>
      <c r="AM4" s="1070"/>
      <c r="AN4" s="1070"/>
      <c r="AO4" s="1070"/>
      <c r="AP4" s="1070"/>
      <c r="AQ4" s="1070"/>
      <c r="AR4" s="1070"/>
      <c r="AS4" s="1070"/>
      <c r="AT4" s="1070"/>
      <c r="AU4" s="1070"/>
      <c r="AV4" s="1070"/>
    </row>
    <row r="5" spans="1:48" x14ac:dyDescent="0.3">
      <c r="A5" s="1070"/>
      <c r="B5" s="1113" t="s">
        <v>76</v>
      </c>
      <c r="C5" s="1114"/>
      <c r="D5" s="3132" t="s">
        <v>2177</v>
      </c>
      <c r="E5" s="3133"/>
      <c r="F5" s="3134"/>
      <c r="G5" s="1070"/>
      <c r="H5" s="1070"/>
      <c r="I5" s="1070"/>
      <c r="J5" s="1070"/>
      <c r="K5" s="1070"/>
      <c r="L5" s="1070"/>
      <c r="M5" s="1070"/>
      <c r="N5" s="1070"/>
      <c r="O5" s="1070"/>
      <c r="P5" s="1070"/>
      <c r="Q5" s="1070"/>
      <c r="R5" s="1070"/>
      <c r="S5" s="1076"/>
      <c r="T5" s="1070"/>
      <c r="U5" s="1070"/>
      <c r="V5" s="1070"/>
      <c r="W5" s="1070"/>
      <c r="X5" s="1070"/>
      <c r="Y5" s="1070"/>
      <c r="Z5" s="1070"/>
      <c r="AA5" s="1070"/>
      <c r="AB5" s="1070"/>
      <c r="AC5" s="1070"/>
      <c r="AD5" s="1070"/>
      <c r="AE5" s="1070"/>
      <c r="AF5" s="1070"/>
      <c r="AG5" s="1070"/>
      <c r="AH5" s="1070"/>
      <c r="AI5" s="1070"/>
      <c r="AJ5" s="1070"/>
      <c r="AK5" s="1070"/>
      <c r="AL5" s="1070"/>
      <c r="AM5" s="1070"/>
      <c r="AN5" s="1070"/>
      <c r="AO5" s="1070"/>
      <c r="AP5" s="1070"/>
      <c r="AQ5" s="1070"/>
      <c r="AR5" s="1070"/>
      <c r="AS5" s="1070"/>
      <c r="AT5" s="1070"/>
      <c r="AU5" s="1070"/>
      <c r="AV5" s="1070"/>
    </row>
    <row r="6" spans="1:48" x14ac:dyDescent="0.3">
      <c r="A6" s="1070"/>
      <c r="B6" s="1115"/>
      <c r="C6" s="1116"/>
      <c r="D6" s="1117"/>
      <c r="E6" s="1117"/>
      <c r="F6" s="1070"/>
      <c r="G6" s="1070"/>
      <c r="H6" s="1070"/>
      <c r="I6" s="1070"/>
      <c r="J6" s="1070"/>
      <c r="K6" s="1070"/>
      <c r="L6" s="1070"/>
      <c r="M6" s="1070"/>
      <c r="N6" s="1070"/>
      <c r="O6" s="1070"/>
      <c r="P6" s="1070"/>
      <c r="Q6" s="1070"/>
      <c r="R6" s="1070"/>
      <c r="S6" s="1076"/>
      <c r="T6" s="1070"/>
      <c r="U6" s="1070"/>
      <c r="V6" s="1070"/>
      <c r="W6" s="1070"/>
      <c r="X6" s="1070"/>
      <c r="Y6" s="1070"/>
      <c r="Z6" s="1070"/>
      <c r="AA6" s="1070"/>
      <c r="AB6" s="1070"/>
      <c r="AC6" s="1070"/>
      <c r="AD6" s="1070"/>
      <c r="AE6" s="1070"/>
      <c r="AF6" s="1070"/>
      <c r="AG6" s="1070"/>
      <c r="AH6" s="1070"/>
      <c r="AI6" s="1070"/>
      <c r="AJ6" s="1070"/>
      <c r="AK6" s="1070"/>
      <c r="AL6" s="1070"/>
      <c r="AM6" s="1070"/>
      <c r="AN6" s="1070"/>
      <c r="AO6" s="1070"/>
      <c r="AP6" s="1070"/>
      <c r="AQ6" s="1070"/>
      <c r="AR6" s="1070"/>
      <c r="AS6" s="1070"/>
      <c r="AT6" s="1070"/>
      <c r="AU6" s="1070"/>
      <c r="AV6" s="1070"/>
    </row>
    <row r="7" spans="1:48" x14ac:dyDescent="0.3">
      <c r="A7" s="1070"/>
      <c r="B7" s="1118" t="s">
        <v>1230</v>
      </c>
      <c r="C7" s="1119"/>
      <c r="D7" s="1120" t="s">
        <v>1229</v>
      </c>
      <c r="E7" s="1121" t="s">
        <v>1229</v>
      </c>
      <c r="F7" s="1122" t="s">
        <v>1229</v>
      </c>
      <c r="G7" s="1070"/>
      <c r="H7" s="1070"/>
      <c r="I7" s="1070"/>
      <c r="J7" s="1070"/>
      <c r="K7" s="1070"/>
      <c r="L7" s="1070"/>
      <c r="M7" s="1070"/>
      <c r="N7" s="1070"/>
      <c r="O7" s="1070"/>
      <c r="P7" s="1070"/>
      <c r="Q7" s="1070"/>
      <c r="R7" s="1070"/>
      <c r="S7" s="1076"/>
      <c r="T7" s="1070"/>
      <c r="U7" s="1070"/>
      <c r="V7" s="1070"/>
      <c r="W7" s="1070"/>
      <c r="X7" s="1070"/>
      <c r="Y7" s="1070"/>
      <c r="Z7" s="1070"/>
      <c r="AA7" s="1070"/>
      <c r="AB7" s="1070"/>
      <c r="AC7" s="1070"/>
      <c r="AD7" s="1070"/>
      <c r="AE7" s="1070"/>
      <c r="AF7" s="1070"/>
      <c r="AG7" s="1070"/>
      <c r="AH7" s="1070"/>
      <c r="AI7" s="1070"/>
      <c r="AJ7" s="1070"/>
      <c r="AK7" s="1070"/>
      <c r="AL7" s="1070"/>
      <c r="AM7" s="1070"/>
      <c r="AN7" s="1070"/>
      <c r="AO7" s="1070"/>
      <c r="AP7" s="1070"/>
      <c r="AQ7" s="1070"/>
      <c r="AR7" s="1070"/>
      <c r="AS7" s="1070"/>
      <c r="AT7" s="1070"/>
      <c r="AU7" s="1070"/>
      <c r="AV7" s="1070"/>
    </row>
    <row r="8" spans="1:48" x14ac:dyDescent="0.3">
      <c r="A8" s="1070"/>
      <c r="B8" s="1118" t="s">
        <v>1231</v>
      </c>
      <c r="C8" s="1119"/>
      <c r="D8" s="1120" t="s">
        <v>1229</v>
      </c>
      <c r="E8" s="1121" t="s">
        <v>1229</v>
      </c>
      <c r="F8" s="1122" t="s">
        <v>1229</v>
      </c>
      <c r="G8" s="1070"/>
      <c r="H8" s="1070"/>
      <c r="I8" s="1070"/>
      <c r="J8" s="1070"/>
      <c r="K8" s="1070"/>
      <c r="L8" s="1070"/>
      <c r="M8" s="1070"/>
      <c r="N8" s="1070"/>
      <c r="O8" s="1070"/>
      <c r="P8" s="1070"/>
      <c r="Q8" s="1070"/>
      <c r="R8" s="1070"/>
      <c r="S8" s="1076"/>
      <c r="T8" s="1070"/>
      <c r="U8" s="1070"/>
      <c r="V8" s="1070"/>
      <c r="W8" s="1070"/>
      <c r="X8" s="1070"/>
      <c r="Y8" s="1070"/>
      <c r="Z8" s="1070"/>
      <c r="AA8" s="1070"/>
      <c r="AB8" s="1070"/>
      <c r="AC8" s="1070"/>
      <c r="AD8" s="1070"/>
      <c r="AE8" s="1070"/>
      <c r="AF8" s="1070"/>
      <c r="AG8" s="1070"/>
      <c r="AH8" s="1070"/>
      <c r="AI8" s="1070"/>
      <c r="AJ8" s="1070"/>
      <c r="AK8" s="1070"/>
      <c r="AL8" s="1070"/>
      <c r="AM8" s="1070"/>
      <c r="AN8" s="1070"/>
      <c r="AO8" s="1070"/>
      <c r="AP8" s="1070"/>
      <c r="AQ8" s="1070"/>
      <c r="AR8" s="1070"/>
      <c r="AS8" s="1070"/>
      <c r="AT8" s="1070"/>
      <c r="AU8" s="1070"/>
      <c r="AV8" s="1070"/>
    </row>
    <row r="9" spans="1:48" x14ac:dyDescent="0.3">
      <c r="A9" s="1070"/>
      <c r="B9" s="1077"/>
      <c r="C9" s="1070"/>
      <c r="D9" s="1070"/>
      <c r="E9" s="1070"/>
      <c r="F9" s="1070"/>
      <c r="G9" s="1070"/>
      <c r="H9" s="1070"/>
      <c r="I9" s="1070"/>
      <c r="J9" s="1070"/>
      <c r="K9" s="1070"/>
      <c r="L9" s="1070"/>
      <c r="M9" s="1070"/>
      <c r="N9" s="1070"/>
      <c r="O9" s="1070"/>
      <c r="P9" s="1070"/>
      <c r="Q9" s="1070"/>
      <c r="R9" s="1070"/>
      <c r="S9" s="1076"/>
      <c r="T9" s="1070"/>
      <c r="U9" s="1070"/>
      <c r="V9" s="1070"/>
      <c r="W9" s="1070"/>
      <c r="X9" s="1070"/>
      <c r="Y9" s="1070"/>
      <c r="Z9" s="1070"/>
      <c r="AA9" s="1070"/>
      <c r="AB9" s="1070"/>
      <c r="AC9" s="1070"/>
      <c r="AD9" s="1070"/>
      <c r="AE9" s="1070"/>
      <c r="AF9" s="1070"/>
      <c r="AG9" s="1070"/>
      <c r="AH9" s="1070"/>
      <c r="AI9" s="1070"/>
      <c r="AJ9" s="1070"/>
      <c r="AK9" s="1070"/>
      <c r="AL9" s="1070"/>
      <c r="AM9" s="1070"/>
      <c r="AN9" s="1070"/>
      <c r="AO9" s="1070"/>
      <c r="AP9" s="1070"/>
      <c r="AQ9" s="1070"/>
      <c r="AR9" s="1070"/>
      <c r="AS9" s="1070"/>
      <c r="AT9" s="1070"/>
      <c r="AU9" s="1070"/>
      <c r="AV9" s="1070"/>
    </row>
    <row r="10" spans="1:48" x14ac:dyDescent="0.3">
      <c r="A10" s="1070"/>
      <c r="B10" s="1123" t="s">
        <v>1232</v>
      </c>
      <c r="C10" s="1124"/>
      <c r="D10" s="3135"/>
      <c r="E10" s="3136"/>
      <c r="F10" s="3136"/>
      <c r="G10" s="3136"/>
      <c r="H10" s="3136"/>
      <c r="I10" s="3136"/>
      <c r="J10" s="3136"/>
      <c r="K10" s="3136"/>
      <c r="L10" s="3136"/>
      <c r="M10" s="3136"/>
      <c r="N10" s="3136"/>
      <c r="O10" s="3136"/>
      <c r="P10" s="3137"/>
      <c r="Q10" s="1070"/>
      <c r="R10" s="1070"/>
      <c r="S10" s="1076"/>
      <c r="T10" s="1070"/>
      <c r="U10" s="1070"/>
      <c r="V10" s="1070"/>
      <c r="W10" s="1070"/>
      <c r="X10" s="1070"/>
      <c r="Y10" s="1070"/>
      <c r="Z10" s="1070"/>
      <c r="AA10" s="1070"/>
      <c r="AB10" s="1070"/>
      <c r="AC10" s="1070"/>
      <c r="AD10" s="1070"/>
      <c r="AE10" s="1070"/>
      <c r="AF10" s="1070"/>
      <c r="AG10" s="1070"/>
      <c r="AH10" s="1070"/>
      <c r="AI10" s="1070"/>
      <c r="AJ10" s="1070"/>
      <c r="AK10" s="1070"/>
      <c r="AL10" s="1070"/>
      <c r="AM10" s="1070"/>
      <c r="AN10" s="1070"/>
      <c r="AO10" s="1070"/>
      <c r="AP10" s="1070"/>
      <c r="AQ10" s="1070"/>
      <c r="AR10" s="1070"/>
      <c r="AS10" s="1070"/>
      <c r="AT10" s="1070"/>
      <c r="AU10" s="1070"/>
      <c r="AV10" s="1070"/>
    </row>
    <row r="11" spans="1:48" x14ac:dyDescent="0.3">
      <c r="A11" s="1070"/>
      <c r="B11" s="1123" t="s">
        <v>1233</v>
      </c>
      <c r="C11" s="1124"/>
      <c r="D11" s="3135"/>
      <c r="E11" s="3136"/>
      <c r="F11" s="3136"/>
      <c r="G11" s="3136"/>
      <c r="H11" s="3136"/>
      <c r="I11" s="3136"/>
      <c r="J11" s="3136"/>
      <c r="K11" s="3136"/>
      <c r="L11" s="3136"/>
      <c r="M11" s="3136"/>
      <c r="N11" s="3136"/>
      <c r="O11" s="3136"/>
      <c r="P11" s="3137"/>
      <c r="Q11" s="1070"/>
      <c r="R11" s="1070"/>
      <c r="S11" s="1076"/>
      <c r="T11" s="1070"/>
      <c r="U11" s="1070"/>
      <c r="V11" s="1070"/>
      <c r="W11" s="1070"/>
      <c r="X11" s="1070"/>
      <c r="Y11" s="1070"/>
      <c r="Z11" s="1070"/>
      <c r="AA11" s="1070"/>
      <c r="AB11" s="1070"/>
      <c r="AC11" s="1070"/>
      <c r="AD11" s="1070"/>
      <c r="AE11" s="1070"/>
      <c r="AF11" s="1070"/>
      <c r="AG11" s="1070"/>
      <c r="AH11" s="1070"/>
      <c r="AI11" s="1070"/>
      <c r="AJ11" s="1070"/>
      <c r="AK11" s="1070"/>
      <c r="AL11" s="1070"/>
      <c r="AM11" s="1070"/>
      <c r="AN11" s="1070"/>
      <c r="AO11" s="1070"/>
      <c r="AP11" s="1070"/>
      <c r="AQ11" s="1070"/>
      <c r="AR11" s="1070"/>
      <c r="AS11" s="1070"/>
      <c r="AT11" s="1070"/>
      <c r="AU11" s="1070"/>
      <c r="AV11" s="1070"/>
    </row>
    <row r="12" spans="1:48" x14ac:dyDescent="0.3">
      <c r="A12" s="1070"/>
      <c r="B12" s="1123" t="s">
        <v>1234</v>
      </c>
      <c r="C12" s="1124"/>
      <c r="D12" s="3138" t="s">
        <v>2290</v>
      </c>
      <c r="E12" s="3139"/>
      <c r="F12" s="3140"/>
      <c r="G12" s="1125"/>
      <c r="H12" s="1125"/>
      <c r="I12" s="1125"/>
      <c r="J12" s="1125"/>
      <c r="K12" s="1125"/>
      <c r="L12" s="1125"/>
      <c r="M12" s="1125"/>
      <c r="N12" s="1125"/>
      <c r="O12" s="1125"/>
      <c r="P12" s="1125"/>
      <c r="Q12" s="1070"/>
      <c r="R12" s="1070"/>
      <c r="S12" s="1076"/>
      <c r="T12" s="1070"/>
      <c r="U12" s="1070"/>
      <c r="V12" s="1070"/>
      <c r="W12" s="1070"/>
      <c r="X12" s="1070"/>
      <c r="Y12" s="1070"/>
      <c r="Z12" s="1070"/>
      <c r="AA12" s="1070"/>
      <c r="AB12" s="1070"/>
      <c r="AC12" s="1070"/>
      <c r="AD12" s="1070"/>
      <c r="AE12" s="1070"/>
      <c r="AF12" s="1070"/>
      <c r="AG12" s="1070"/>
      <c r="AH12" s="1070"/>
      <c r="AI12" s="1070"/>
      <c r="AJ12" s="1070"/>
      <c r="AK12" s="1070"/>
      <c r="AL12" s="1070"/>
      <c r="AM12" s="1070"/>
      <c r="AN12" s="1070"/>
      <c r="AO12" s="1070"/>
      <c r="AP12" s="1070"/>
      <c r="AQ12" s="1070"/>
      <c r="AR12" s="1070"/>
      <c r="AS12" s="1070"/>
      <c r="AT12" s="1070"/>
      <c r="AU12" s="1070"/>
      <c r="AV12" s="1070"/>
    </row>
    <row r="13" spans="1:48" x14ac:dyDescent="0.3">
      <c r="A13" s="1070"/>
      <c r="B13" s="1126"/>
      <c r="C13" s="1127"/>
      <c r="Q13" s="1070"/>
      <c r="R13" s="1070"/>
      <c r="S13" s="1076"/>
      <c r="T13" s="1070"/>
      <c r="U13" s="1070"/>
      <c r="V13" s="1070"/>
      <c r="W13" s="1070"/>
      <c r="X13" s="1070"/>
      <c r="Y13" s="1070"/>
      <c r="Z13" s="1070"/>
      <c r="AA13" s="1070"/>
      <c r="AB13" s="1070"/>
      <c r="AC13" s="1070"/>
      <c r="AD13" s="1070"/>
      <c r="AE13" s="1070"/>
      <c r="AF13" s="1070"/>
      <c r="AG13" s="1070"/>
      <c r="AH13" s="1070"/>
      <c r="AI13" s="1070"/>
      <c r="AJ13" s="1070"/>
      <c r="AK13" s="1070"/>
      <c r="AL13" s="1070"/>
      <c r="AM13" s="1070"/>
      <c r="AN13" s="1070"/>
      <c r="AO13" s="1070"/>
      <c r="AP13" s="1070"/>
      <c r="AQ13" s="1070"/>
      <c r="AR13" s="1070"/>
      <c r="AS13" s="1070"/>
      <c r="AT13" s="1070"/>
      <c r="AU13" s="1070"/>
      <c r="AV13" s="1070"/>
    </row>
    <row r="14" spans="1:48" x14ac:dyDescent="0.3">
      <c r="A14" s="1070"/>
      <c r="B14" s="3141" t="s">
        <v>1235</v>
      </c>
      <c r="C14" s="1128"/>
      <c r="D14" s="1129" t="s">
        <v>1236</v>
      </c>
      <c r="E14" s="1130"/>
      <c r="F14" s="1130"/>
      <c r="G14" s="1130"/>
      <c r="H14" s="1130"/>
      <c r="I14" s="1130"/>
      <c r="J14" s="1129" t="s">
        <v>1237</v>
      </c>
      <c r="K14" s="1130"/>
      <c r="L14" s="1130"/>
      <c r="M14" s="1130"/>
      <c r="N14" s="1130"/>
      <c r="O14" s="1130"/>
      <c r="P14" s="1131"/>
      <c r="Q14" s="1070"/>
      <c r="R14" s="1070"/>
      <c r="S14" s="1076"/>
      <c r="T14" s="1070"/>
      <c r="U14" s="1070"/>
      <c r="V14" s="1070"/>
      <c r="W14" s="1070"/>
      <c r="X14" s="1070"/>
      <c r="Y14" s="1070"/>
      <c r="Z14" s="1070"/>
      <c r="AA14" s="1070"/>
      <c r="AB14" s="1070"/>
      <c r="AC14" s="1070"/>
      <c r="AD14" s="1070"/>
      <c r="AE14" s="1070"/>
      <c r="AF14" s="1070"/>
      <c r="AG14" s="1070"/>
      <c r="AH14" s="1070"/>
      <c r="AI14" s="1070"/>
      <c r="AJ14" s="1070"/>
      <c r="AK14" s="1070"/>
      <c r="AL14" s="1070"/>
      <c r="AM14" s="1070"/>
      <c r="AN14" s="1070"/>
      <c r="AO14" s="1070"/>
      <c r="AP14" s="1070"/>
      <c r="AQ14" s="1070"/>
      <c r="AR14" s="1070"/>
      <c r="AS14" s="1070"/>
      <c r="AT14" s="1070"/>
      <c r="AU14" s="1070"/>
      <c r="AV14" s="1070"/>
    </row>
    <row r="15" spans="1:48" x14ac:dyDescent="0.3">
      <c r="A15" s="1070"/>
      <c r="B15" s="3142"/>
      <c r="C15" s="1132"/>
      <c r="D15" s="1133"/>
      <c r="E15" s="1134"/>
      <c r="F15" s="1134"/>
      <c r="G15" s="1134"/>
      <c r="H15" s="1134"/>
      <c r="I15" s="1135"/>
      <c r="J15" s="1133"/>
      <c r="K15" s="1134"/>
      <c r="L15" s="1134"/>
      <c r="M15" s="1134"/>
      <c r="N15" s="1134"/>
      <c r="O15" s="1134"/>
      <c r="P15" s="1135"/>
      <c r="Q15" s="1070"/>
      <c r="R15" s="1070"/>
      <c r="S15" s="1076"/>
      <c r="T15" s="1070"/>
      <c r="U15" s="1070"/>
      <c r="V15" s="1070"/>
      <c r="W15" s="1070"/>
      <c r="X15" s="1070"/>
      <c r="Y15" s="1070"/>
      <c r="Z15" s="1070"/>
      <c r="AA15" s="1070"/>
      <c r="AB15" s="1070"/>
      <c r="AC15" s="1070"/>
      <c r="AD15" s="1070"/>
      <c r="AE15" s="1070"/>
      <c r="AF15" s="1070"/>
      <c r="AG15" s="1070"/>
      <c r="AH15" s="1070"/>
      <c r="AI15" s="1070"/>
      <c r="AJ15" s="1070"/>
      <c r="AK15" s="1070"/>
      <c r="AL15" s="1070"/>
      <c r="AM15" s="1070"/>
      <c r="AN15" s="1070"/>
      <c r="AO15" s="1070"/>
      <c r="AP15" s="1070"/>
      <c r="AQ15" s="1070"/>
      <c r="AR15" s="1070"/>
      <c r="AS15" s="1070"/>
      <c r="AT15" s="1070"/>
      <c r="AU15" s="1070"/>
      <c r="AV15" s="1070"/>
    </row>
    <row r="16" spans="1:48" x14ac:dyDescent="0.3">
      <c r="A16" s="1070"/>
      <c r="B16" s="3142"/>
      <c r="C16" s="1132"/>
      <c r="D16" s="1133"/>
      <c r="E16" s="1134"/>
      <c r="F16" s="1134"/>
      <c r="G16" s="1134"/>
      <c r="H16" s="1134"/>
      <c r="I16" s="1135"/>
      <c r="J16" s="1133"/>
      <c r="K16" s="1134"/>
      <c r="L16" s="1134"/>
      <c r="M16" s="1134"/>
      <c r="N16" s="1134"/>
      <c r="O16" s="1134"/>
      <c r="P16" s="1135"/>
      <c r="Q16" s="1070"/>
      <c r="R16" s="1070"/>
      <c r="S16" s="1076"/>
      <c r="T16" s="1070"/>
      <c r="U16" s="1070"/>
      <c r="V16" s="1070"/>
      <c r="W16" s="1070"/>
      <c r="X16" s="1070"/>
      <c r="Y16" s="1070"/>
      <c r="Z16" s="1070"/>
      <c r="AA16" s="1070"/>
      <c r="AB16" s="1070"/>
      <c r="AC16" s="1070"/>
      <c r="AD16" s="1070"/>
      <c r="AE16" s="1070"/>
      <c r="AF16" s="1070"/>
      <c r="AG16" s="1070"/>
      <c r="AH16" s="1070"/>
      <c r="AI16" s="1070"/>
      <c r="AJ16" s="1070"/>
      <c r="AK16" s="1070"/>
      <c r="AL16" s="1070"/>
      <c r="AM16" s="1070"/>
      <c r="AN16" s="1070"/>
      <c r="AO16" s="1070"/>
      <c r="AP16" s="1070"/>
      <c r="AQ16" s="1070"/>
      <c r="AR16" s="1070"/>
      <c r="AS16" s="1070"/>
      <c r="AT16" s="1070"/>
      <c r="AU16" s="1070"/>
      <c r="AV16" s="1070"/>
    </row>
    <row r="17" spans="1:48" x14ac:dyDescent="0.3">
      <c r="A17" s="1070"/>
      <c r="B17" s="3142"/>
      <c r="C17" s="1132"/>
      <c r="D17" s="1133"/>
      <c r="E17" s="1134"/>
      <c r="F17" s="1134"/>
      <c r="G17" s="1134"/>
      <c r="H17" s="1134"/>
      <c r="I17" s="1135"/>
      <c r="J17" s="1133"/>
      <c r="K17" s="1134"/>
      <c r="L17" s="1134"/>
      <c r="M17" s="1134"/>
      <c r="N17" s="1134"/>
      <c r="O17" s="1134"/>
      <c r="P17" s="1135"/>
      <c r="Q17" s="1070"/>
      <c r="R17" s="1070"/>
      <c r="S17" s="1076"/>
      <c r="T17" s="1070"/>
      <c r="U17" s="1070"/>
      <c r="V17" s="1070"/>
      <c r="W17" s="1070"/>
      <c r="X17" s="1070"/>
      <c r="Y17" s="1070"/>
      <c r="Z17" s="1070"/>
      <c r="AA17" s="1070"/>
      <c r="AB17" s="1070"/>
      <c r="AC17" s="1070"/>
      <c r="AD17" s="1070"/>
      <c r="AE17" s="1070"/>
      <c r="AF17" s="1070"/>
      <c r="AG17" s="1070"/>
      <c r="AH17" s="1070"/>
      <c r="AI17" s="1070"/>
      <c r="AJ17" s="1070"/>
      <c r="AK17" s="1070"/>
      <c r="AL17" s="1070"/>
      <c r="AM17" s="1070"/>
      <c r="AN17" s="1070"/>
      <c r="AO17" s="1070"/>
      <c r="AP17" s="1070"/>
      <c r="AQ17" s="1070"/>
      <c r="AR17" s="1070"/>
      <c r="AS17" s="1070"/>
      <c r="AT17" s="1070"/>
      <c r="AU17" s="1070"/>
      <c r="AV17" s="1070"/>
    </row>
    <row r="18" spans="1:48" x14ac:dyDescent="0.3">
      <c r="A18" s="1070"/>
      <c r="B18" s="3142"/>
      <c r="C18" s="1132"/>
      <c r="D18" s="1133"/>
      <c r="E18" s="1134"/>
      <c r="F18" s="1134"/>
      <c r="G18" s="1134"/>
      <c r="H18" s="1134"/>
      <c r="I18" s="1135"/>
      <c r="J18" s="1133"/>
      <c r="K18" s="1134"/>
      <c r="L18" s="1134"/>
      <c r="M18" s="1134"/>
      <c r="N18" s="1134"/>
      <c r="O18" s="1134"/>
      <c r="P18" s="1135"/>
      <c r="Q18" s="1070"/>
      <c r="R18" s="1070"/>
      <c r="S18" s="1076"/>
      <c r="T18" s="1070"/>
      <c r="U18" s="1070"/>
      <c r="V18" s="1070"/>
      <c r="W18" s="1070"/>
      <c r="X18" s="1070"/>
      <c r="Y18" s="1070"/>
      <c r="Z18" s="1070"/>
      <c r="AA18" s="1070"/>
      <c r="AB18" s="1070"/>
      <c r="AC18" s="1070"/>
      <c r="AD18" s="1070"/>
      <c r="AE18" s="1070"/>
      <c r="AF18" s="1070"/>
      <c r="AG18" s="1070"/>
      <c r="AH18" s="1070"/>
      <c r="AI18" s="1070"/>
      <c r="AJ18" s="1070"/>
      <c r="AK18" s="1070"/>
      <c r="AL18" s="1070"/>
      <c r="AM18" s="1070"/>
      <c r="AN18" s="1070"/>
      <c r="AO18" s="1070"/>
      <c r="AP18" s="1070"/>
      <c r="AQ18" s="1070"/>
      <c r="AR18" s="1070"/>
      <c r="AS18" s="1070"/>
      <c r="AT18" s="1070"/>
      <c r="AU18" s="1070"/>
      <c r="AV18" s="1070"/>
    </row>
    <row r="19" spans="1:48" x14ac:dyDescent="0.3">
      <c r="A19" s="1070"/>
      <c r="B19" s="3142"/>
      <c r="C19" s="1132"/>
      <c r="D19" s="1133"/>
      <c r="E19" s="1134"/>
      <c r="F19" s="1134"/>
      <c r="G19" s="1134"/>
      <c r="H19" s="1134"/>
      <c r="I19" s="1135"/>
      <c r="J19" s="1133"/>
      <c r="K19" s="1134"/>
      <c r="L19" s="1134"/>
      <c r="M19" s="1134"/>
      <c r="N19" s="1134"/>
      <c r="O19" s="1134"/>
      <c r="P19" s="1135"/>
      <c r="Q19" s="1070"/>
      <c r="R19" s="1070"/>
      <c r="S19" s="1076"/>
      <c r="T19" s="1070"/>
      <c r="U19" s="1070"/>
      <c r="V19" s="1070"/>
      <c r="W19" s="1070"/>
      <c r="X19" s="1070"/>
      <c r="Y19" s="1070"/>
      <c r="Z19" s="1070"/>
      <c r="AA19" s="1070"/>
      <c r="AB19" s="1070"/>
      <c r="AC19" s="1070"/>
      <c r="AD19" s="1070"/>
      <c r="AE19" s="1070"/>
      <c r="AF19" s="1070"/>
      <c r="AG19" s="1070"/>
      <c r="AH19" s="1070"/>
      <c r="AI19" s="1070"/>
      <c r="AJ19" s="1070"/>
      <c r="AK19" s="1070"/>
      <c r="AL19" s="1070"/>
      <c r="AM19" s="1070"/>
      <c r="AN19" s="1070"/>
      <c r="AO19" s="1070"/>
      <c r="AP19" s="1070"/>
      <c r="AQ19" s="1070"/>
      <c r="AR19" s="1070"/>
      <c r="AS19" s="1070"/>
      <c r="AT19" s="1070"/>
      <c r="AU19" s="1070"/>
      <c r="AV19" s="1070"/>
    </row>
    <row r="20" spans="1:48" x14ac:dyDescent="0.3">
      <c r="A20" s="1070"/>
      <c r="B20" s="3142"/>
      <c r="C20" s="1132"/>
      <c r="D20" s="1133"/>
      <c r="E20" s="1134"/>
      <c r="F20" s="1134"/>
      <c r="G20" s="1134"/>
      <c r="H20" s="1134"/>
      <c r="I20" s="1135"/>
      <c r="J20" s="1133"/>
      <c r="K20" s="1134"/>
      <c r="L20" s="1134"/>
      <c r="M20" s="1134"/>
      <c r="N20" s="1134"/>
      <c r="O20" s="1134"/>
      <c r="P20" s="1135"/>
      <c r="Q20" s="1070"/>
      <c r="R20" s="1070"/>
      <c r="S20" s="1076"/>
      <c r="T20" s="1070"/>
      <c r="U20" s="1070"/>
      <c r="V20" s="1070"/>
      <c r="W20" s="1070"/>
      <c r="X20" s="1070"/>
      <c r="Y20" s="1070"/>
      <c r="Z20" s="1070"/>
      <c r="AA20" s="1070"/>
      <c r="AB20" s="1070"/>
      <c r="AC20" s="1070"/>
      <c r="AD20" s="1070"/>
      <c r="AE20" s="1070"/>
      <c r="AF20" s="1070"/>
      <c r="AG20" s="1070"/>
      <c r="AH20" s="1070"/>
      <c r="AI20" s="1070"/>
      <c r="AJ20" s="1070"/>
      <c r="AK20" s="1070"/>
      <c r="AL20" s="1070"/>
      <c r="AM20" s="1070"/>
      <c r="AN20" s="1070"/>
      <c r="AO20" s="1070"/>
      <c r="AP20" s="1070"/>
      <c r="AQ20" s="1070"/>
      <c r="AR20" s="1070"/>
      <c r="AS20" s="1070"/>
      <c r="AT20" s="1070"/>
      <c r="AU20" s="1070"/>
      <c r="AV20" s="1070"/>
    </row>
    <row r="21" spans="1:48" x14ac:dyDescent="0.3">
      <c r="A21" s="1070"/>
      <c r="B21" s="3142"/>
      <c r="C21" s="1132"/>
      <c r="D21" s="1133"/>
      <c r="E21" s="1134"/>
      <c r="F21" s="1134"/>
      <c r="G21" s="1134"/>
      <c r="H21" s="1134"/>
      <c r="I21" s="1135"/>
      <c r="J21" s="1133"/>
      <c r="K21" s="1134"/>
      <c r="L21" s="1134"/>
      <c r="M21" s="1134"/>
      <c r="N21" s="1134"/>
      <c r="O21" s="1134"/>
      <c r="P21" s="1135"/>
      <c r="Q21" s="1070"/>
      <c r="R21" s="1070"/>
      <c r="S21" s="1076"/>
      <c r="T21" s="1070"/>
      <c r="U21" s="1070"/>
      <c r="V21" s="1070"/>
      <c r="W21" s="1070"/>
      <c r="X21" s="1070"/>
      <c r="Y21" s="1070"/>
      <c r="Z21" s="1070"/>
      <c r="AA21" s="1070"/>
      <c r="AB21" s="1070"/>
      <c r="AC21" s="1070"/>
      <c r="AD21" s="1070"/>
      <c r="AE21" s="1070"/>
      <c r="AF21" s="1070"/>
      <c r="AG21" s="1070"/>
      <c r="AH21" s="1070"/>
      <c r="AI21" s="1070"/>
      <c r="AJ21" s="1070"/>
      <c r="AK21" s="1070"/>
      <c r="AL21" s="1070"/>
      <c r="AM21" s="1070"/>
      <c r="AN21" s="1070"/>
      <c r="AO21" s="1070"/>
      <c r="AP21" s="1070"/>
      <c r="AQ21" s="1070"/>
      <c r="AR21" s="1070"/>
      <c r="AS21" s="1070"/>
      <c r="AT21" s="1070"/>
      <c r="AU21" s="1070"/>
      <c r="AV21" s="1070"/>
    </row>
    <row r="22" spans="1:48" x14ac:dyDescent="0.3">
      <c r="A22" s="1070"/>
      <c r="B22" s="3142"/>
      <c r="C22" s="1132"/>
      <c r="D22" s="1133"/>
      <c r="E22" s="1134"/>
      <c r="F22" s="1134"/>
      <c r="G22" s="1134"/>
      <c r="H22" s="1134"/>
      <c r="I22" s="1135"/>
      <c r="J22" s="1133"/>
      <c r="K22" s="1134"/>
      <c r="L22" s="1134"/>
      <c r="M22" s="1134"/>
      <c r="N22" s="1134"/>
      <c r="O22" s="1134"/>
      <c r="P22" s="1135"/>
      <c r="Q22" s="1070"/>
      <c r="R22" s="1070"/>
      <c r="S22" s="1076"/>
      <c r="T22" s="1070"/>
      <c r="U22" s="1070"/>
      <c r="V22" s="1070"/>
      <c r="W22" s="1070"/>
      <c r="X22" s="1070"/>
      <c r="Y22" s="1070"/>
      <c r="Z22" s="1070"/>
      <c r="AA22" s="1070"/>
      <c r="AB22" s="1070"/>
      <c r="AC22" s="1070"/>
      <c r="AD22" s="1070"/>
      <c r="AE22" s="1070"/>
      <c r="AF22" s="1070"/>
      <c r="AG22" s="1070"/>
      <c r="AH22" s="1070"/>
      <c r="AI22" s="1070"/>
      <c r="AJ22" s="1070"/>
      <c r="AK22" s="1070"/>
      <c r="AL22" s="1070"/>
      <c r="AM22" s="1070"/>
      <c r="AN22" s="1070"/>
      <c r="AO22" s="1070"/>
      <c r="AP22" s="1070"/>
      <c r="AQ22" s="1070"/>
      <c r="AR22" s="1070"/>
      <c r="AS22" s="1070"/>
      <c r="AT22" s="1070"/>
      <c r="AU22" s="1070"/>
      <c r="AV22" s="1070"/>
    </row>
    <row r="23" spans="1:48" x14ac:dyDescent="0.3">
      <c r="A23" s="1070"/>
      <c r="B23" s="3142"/>
      <c r="C23" s="1132"/>
      <c r="D23" s="1133"/>
      <c r="E23" s="1134"/>
      <c r="F23" s="1134"/>
      <c r="G23" s="1134"/>
      <c r="H23" s="1134"/>
      <c r="I23" s="1135"/>
      <c r="J23" s="1133"/>
      <c r="K23" s="1134"/>
      <c r="L23" s="1134"/>
      <c r="M23" s="1134"/>
      <c r="N23" s="1134"/>
      <c r="O23" s="1134"/>
      <c r="P23" s="1135"/>
      <c r="Q23" s="1070"/>
      <c r="R23" s="1070"/>
      <c r="S23" s="1076"/>
      <c r="T23" s="1070"/>
      <c r="U23" s="1070"/>
      <c r="V23" s="1070"/>
      <c r="W23" s="1070"/>
      <c r="X23" s="1070"/>
      <c r="Y23" s="1070"/>
      <c r="Z23" s="1070"/>
      <c r="AA23" s="1070"/>
      <c r="AB23" s="1070"/>
      <c r="AC23" s="1070"/>
      <c r="AD23" s="1070"/>
      <c r="AE23" s="1070"/>
      <c r="AF23" s="1070"/>
      <c r="AG23" s="1070"/>
      <c r="AH23" s="1070"/>
      <c r="AI23" s="1070"/>
      <c r="AJ23" s="1070"/>
      <c r="AK23" s="1070"/>
      <c r="AL23" s="1070"/>
      <c r="AM23" s="1070"/>
      <c r="AN23" s="1070"/>
      <c r="AO23" s="1070"/>
      <c r="AP23" s="1070"/>
      <c r="AQ23" s="1070"/>
      <c r="AR23" s="1070"/>
      <c r="AS23" s="1070"/>
      <c r="AT23" s="1070"/>
      <c r="AU23" s="1070"/>
      <c r="AV23" s="1070"/>
    </row>
    <row r="24" spans="1:48" x14ac:dyDescent="0.3">
      <c r="A24" s="1070"/>
      <c r="B24" s="3142"/>
      <c r="C24" s="1132"/>
      <c r="D24" s="1133"/>
      <c r="E24" s="1134"/>
      <c r="F24" s="1134"/>
      <c r="G24" s="1134"/>
      <c r="H24" s="1134"/>
      <c r="I24" s="1135"/>
      <c r="J24" s="1133"/>
      <c r="K24" s="1134"/>
      <c r="L24" s="1134"/>
      <c r="M24" s="1134"/>
      <c r="N24" s="1134"/>
      <c r="O24" s="1134"/>
      <c r="P24" s="1135"/>
      <c r="Q24" s="1070"/>
      <c r="R24" s="1070"/>
      <c r="S24" s="1076"/>
      <c r="T24" s="1070"/>
      <c r="U24" s="1070"/>
      <c r="V24" s="1070"/>
      <c r="W24" s="1070"/>
      <c r="X24" s="1070"/>
      <c r="Y24" s="1070"/>
      <c r="Z24" s="1070"/>
      <c r="AA24" s="1070"/>
      <c r="AB24" s="1070"/>
      <c r="AC24" s="1070"/>
      <c r="AD24" s="1070"/>
      <c r="AE24" s="1070"/>
      <c r="AF24" s="1070"/>
      <c r="AG24" s="1070"/>
      <c r="AH24" s="1070"/>
      <c r="AI24" s="1070"/>
      <c r="AJ24" s="1070"/>
      <c r="AK24" s="1070"/>
      <c r="AL24" s="1070"/>
      <c r="AM24" s="1070"/>
      <c r="AN24" s="1070"/>
      <c r="AO24" s="1070"/>
      <c r="AP24" s="1070"/>
      <c r="AQ24" s="1070"/>
      <c r="AR24" s="1070"/>
      <c r="AS24" s="1070"/>
      <c r="AT24" s="1070"/>
      <c r="AU24" s="1070"/>
      <c r="AV24" s="1070"/>
    </row>
    <row r="25" spans="1:48" x14ac:dyDescent="0.3">
      <c r="A25" s="1070"/>
      <c r="B25" s="3142"/>
      <c r="C25" s="1132"/>
      <c r="D25" s="1133"/>
      <c r="E25" s="1134"/>
      <c r="F25" s="1134"/>
      <c r="G25" s="1134"/>
      <c r="H25" s="1134"/>
      <c r="I25" s="1135"/>
      <c r="J25" s="1133"/>
      <c r="K25" s="1134"/>
      <c r="L25" s="1134"/>
      <c r="M25" s="1134"/>
      <c r="N25" s="1134"/>
      <c r="O25" s="1134"/>
      <c r="P25" s="1135"/>
      <c r="Q25" s="1070"/>
      <c r="R25" s="1070"/>
      <c r="S25" s="1076"/>
      <c r="T25" s="1070"/>
      <c r="U25" s="1070"/>
      <c r="V25" s="1070"/>
      <c r="W25" s="1070"/>
      <c r="X25" s="1070"/>
      <c r="Y25" s="1070"/>
      <c r="Z25" s="1070"/>
      <c r="AA25" s="1070"/>
      <c r="AB25" s="1070"/>
      <c r="AC25" s="1070"/>
      <c r="AD25" s="1070"/>
      <c r="AE25" s="1070"/>
      <c r="AF25" s="1070"/>
      <c r="AG25" s="1070"/>
      <c r="AH25" s="1070"/>
      <c r="AI25" s="1070"/>
      <c r="AJ25" s="1070"/>
      <c r="AK25" s="1070"/>
      <c r="AL25" s="1070"/>
      <c r="AM25" s="1070"/>
      <c r="AN25" s="1070"/>
      <c r="AO25" s="1070"/>
      <c r="AP25" s="1070"/>
      <c r="AQ25" s="1070"/>
      <c r="AR25" s="1070"/>
      <c r="AS25" s="1070"/>
      <c r="AT25" s="1070"/>
      <c r="AU25" s="1070"/>
      <c r="AV25" s="1070"/>
    </row>
    <row r="26" spans="1:48" x14ac:dyDescent="0.3">
      <c r="A26" s="1070"/>
      <c r="B26" s="3142"/>
      <c r="C26" s="1132"/>
      <c r="D26" s="1133"/>
      <c r="E26" s="1134"/>
      <c r="F26" s="1134"/>
      <c r="G26" s="1134"/>
      <c r="H26" s="1134"/>
      <c r="I26" s="1135"/>
      <c r="J26" s="1133"/>
      <c r="K26" s="1134"/>
      <c r="L26" s="1134"/>
      <c r="M26" s="1134"/>
      <c r="N26" s="1134"/>
      <c r="O26" s="1134"/>
      <c r="P26" s="1135"/>
      <c r="Q26" s="1070"/>
      <c r="R26" s="1070"/>
      <c r="S26" s="1076"/>
      <c r="T26" s="1070"/>
      <c r="U26" s="1070"/>
      <c r="V26" s="1070"/>
      <c r="W26" s="1070"/>
      <c r="X26" s="1070"/>
      <c r="Y26" s="1070"/>
      <c r="Z26" s="1070"/>
      <c r="AA26" s="1070"/>
      <c r="AB26" s="1070"/>
      <c r="AC26" s="1070"/>
      <c r="AD26" s="1070"/>
      <c r="AE26" s="1070"/>
      <c r="AF26" s="1070"/>
      <c r="AG26" s="1070"/>
      <c r="AH26" s="1070"/>
      <c r="AI26" s="1070"/>
      <c r="AJ26" s="1070"/>
      <c r="AK26" s="1070"/>
      <c r="AL26" s="1070"/>
      <c r="AM26" s="1070"/>
      <c r="AN26" s="1070"/>
      <c r="AO26" s="1070"/>
      <c r="AP26" s="1070"/>
      <c r="AQ26" s="1070"/>
      <c r="AR26" s="1070"/>
      <c r="AS26" s="1070"/>
      <c r="AT26" s="1070"/>
      <c r="AU26" s="1070"/>
      <c r="AV26" s="1070"/>
    </row>
    <row r="27" spans="1:48" x14ac:dyDescent="0.3">
      <c r="A27" s="1070"/>
      <c r="B27" s="3142"/>
      <c r="C27" s="1132"/>
      <c r="D27" s="1133"/>
      <c r="E27" s="1134"/>
      <c r="F27" s="1134"/>
      <c r="G27" s="1134"/>
      <c r="H27" s="1134"/>
      <c r="I27" s="1135"/>
      <c r="J27" s="1133"/>
      <c r="K27" s="1134"/>
      <c r="L27" s="1134"/>
      <c r="M27" s="1134"/>
      <c r="N27" s="1134"/>
      <c r="O27" s="1134"/>
      <c r="P27" s="1135"/>
      <c r="Q27" s="1070"/>
      <c r="R27" s="1070"/>
      <c r="S27" s="1076"/>
      <c r="T27" s="1070"/>
      <c r="U27" s="1070"/>
      <c r="V27" s="1070"/>
      <c r="W27" s="1070"/>
      <c r="X27" s="1070"/>
      <c r="Y27" s="1070"/>
      <c r="Z27" s="1070"/>
      <c r="AA27" s="1070"/>
      <c r="AB27" s="1070"/>
      <c r="AC27" s="1070"/>
      <c r="AD27" s="1070"/>
      <c r="AE27" s="1070"/>
      <c r="AF27" s="1070"/>
      <c r="AG27" s="1070"/>
      <c r="AH27" s="1070"/>
      <c r="AI27" s="1070"/>
      <c r="AJ27" s="1070"/>
      <c r="AK27" s="1070"/>
      <c r="AL27" s="1070"/>
      <c r="AM27" s="1070"/>
      <c r="AN27" s="1070"/>
      <c r="AO27" s="1070"/>
      <c r="AP27" s="1070"/>
      <c r="AQ27" s="1070"/>
      <c r="AR27" s="1070"/>
      <c r="AS27" s="1070"/>
      <c r="AT27" s="1070"/>
      <c r="AU27" s="1070"/>
      <c r="AV27" s="1070"/>
    </row>
    <row r="28" spans="1:48" x14ac:dyDescent="0.3">
      <c r="A28" s="1070"/>
      <c r="B28" s="3142"/>
      <c r="C28" s="1132"/>
      <c r="D28" s="1133"/>
      <c r="E28" s="1134"/>
      <c r="F28" s="1134"/>
      <c r="G28" s="1134"/>
      <c r="H28" s="1134"/>
      <c r="I28" s="1135"/>
      <c r="J28" s="1133"/>
      <c r="K28" s="1134"/>
      <c r="L28" s="1134"/>
      <c r="M28" s="1134"/>
      <c r="N28" s="1134"/>
      <c r="O28" s="1134"/>
      <c r="P28" s="1135"/>
      <c r="Q28" s="1070"/>
      <c r="R28" s="1070"/>
      <c r="S28" s="1076"/>
      <c r="T28" s="1070"/>
      <c r="U28" s="1070"/>
      <c r="V28" s="1070"/>
      <c r="W28" s="1070"/>
      <c r="X28" s="1070"/>
      <c r="Y28" s="1070"/>
      <c r="Z28" s="1070"/>
      <c r="AA28" s="1070"/>
      <c r="AB28" s="1070"/>
      <c r="AC28" s="1070"/>
      <c r="AD28" s="1070"/>
      <c r="AE28" s="1070"/>
      <c r="AF28" s="1070"/>
      <c r="AG28" s="1070"/>
      <c r="AH28" s="1070"/>
      <c r="AI28" s="1070"/>
      <c r="AJ28" s="1070"/>
      <c r="AK28" s="1070"/>
      <c r="AL28" s="1070"/>
      <c r="AM28" s="1070"/>
      <c r="AN28" s="1070"/>
      <c r="AO28" s="1070"/>
      <c r="AP28" s="1070"/>
      <c r="AQ28" s="1070"/>
      <c r="AR28" s="1070"/>
      <c r="AS28" s="1070"/>
      <c r="AT28" s="1070"/>
      <c r="AU28" s="1070"/>
      <c r="AV28" s="1070"/>
    </row>
    <row r="29" spans="1:48" x14ac:dyDescent="0.3">
      <c r="A29" s="1070"/>
      <c r="B29" s="3143"/>
      <c r="C29" s="1136"/>
      <c r="D29" s="1137"/>
      <c r="E29" s="1138"/>
      <c r="F29" s="1138"/>
      <c r="G29" s="1138"/>
      <c r="H29" s="1138"/>
      <c r="I29" s="1139"/>
      <c r="J29" s="1137"/>
      <c r="K29" s="1138"/>
      <c r="L29" s="1138"/>
      <c r="M29" s="1138"/>
      <c r="N29" s="1138"/>
      <c r="O29" s="1138"/>
      <c r="P29" s="1139"/>
      <c r="Q29" s="1070"/>
      <c r="R29" s="1070"/>
      <c r="S29" s="1076"/>
      <c r="T29" s="1070"/>
      <c r="U29" s="1070"/>
      <c r="V29" s="1070"/>
      <c r="W29" s="1070"/>
      <c r="X29" s="1070"/>
      <c r="Y29" s="1070"/>
      <c r="Z29" s="1070"/>
      <c r="AA29" s="1070"/>
      <c r="AB29" s="1070"/>
      <c r="AC29" s="1070"/>
      <c r="AD29" s="1070"/>
      <c r="AE29" s="1070"/>
      <c r="AF29" s="1070"/>
      <c r="AG29" s="1070"/>
      <c r="AH29" s="1070"/>
      <c r="AI29" s="1070"/>
      <c r="AJ29" s="1070"/>
      <c r="AK29" s="1070"/>
      <c r="AL29" s="1070"/>
      <c r="AM29" s="1070"/>
      <c r="AN29" s="1070"/>
      <c r="AO29" s="1070"/>
      <c r="AP29" s="1070"/>
      <c r="AQ29" s="1070"/>
      <c r="AR29" s="1070"/>
      <c r="AS29" s="1070"/>
      <c r="AT29" s="1070"/>
      <c r="AU29" s="1070"/>
      <c r="AV29" s="1070"/>
    </row>
    <row r="30" spans="1:48" x14ac:dyDescent="0.3">
      <c r="A30" s="1070"/>
      <c r="B30" s="1077"/>
      <c r="C30" s="1070"/>
      <c r="D30" s="1070"/>
      <c r="E30" s="1070"/>
      <c r="F30" s="1070"/>
      <c r="G30" s="1070"/>
      <c r="H30" s="1070"/>
      <c r="I30" s="1070"/>
      <c r="J30" s="1070"/>
      <c r="K30" s="1070"/>
      <c r="L30" s="1099"/>
      <c r="M30" s="1099"/>
      <c r="N30" s="1099"/>
      <c r="O30" s="1099"/>
      <c r="P30" s="1099"/>
      <c r="Q30" s="1070"/>
      <c r="R30" s="1070"/>
      <c r="S30" s="1076"/>
      <c r="T30" s="1070"/>
      <c r="U30" s="1070"/>
      <c r="V30" s="1070"/>
      <c r="W30" s="1070"/>
      <c r="X30" s="1070"/>
      <c r="Y30" s="1070"/>
      <c r="Z30" s="1070"/>
      <c r="AA30" s="1070"/>
      <c r="AB30" s="1070"/>
      <c r="AC30" s="1070"/>
      <c r="AD30" s="1070"/>
      <c r="AE30" s="1070"/>
      <c r="AF30" s="1070"/>
      <c r="AG30" s="1070"/>
      <c r="AH30" s="1070"/>
      <c r="AI30" s="1070"/>
      <c r="AJ30" s="1070"/>
      <c r="AK30" s="1070"/>
      <c r="AL30" s="1070"/>
      <c r="AM30" s="1070"/>
      <c r="AN30" s="1070"/>
      <c r="AO30" s="1070"/>
      <c r="AP30" s="1070"/>
      <c r="AQ30" s="1070"/>
      <c r="AR30" s="1070"/>
      <c r="AS30" s="1070"/>
      <c r="AT30" s="1070"/>
      <c r="AU30" s="1070"/>
      <c r="AV30" s="1070"/>
    </row>
    <row r="31" spans="1:48" x14ac:dyDescent="0.3">
      <c r="A31" s="1070"/>
      <c r="B31" s="1140" t="s">
        <v>1238</v>
      </c>
      <c r="C31" s="1128"/>
      <c r="D31" s="3162" t="s">
        <v>1237</v>
      </c>
      <c r="E31" s="3163"/>
      <c r="F31" s="3163"/>
      <c r="G31" s="3163"/>
      <c r="H31" s="3163"/>
      <c r="I31" s="3163"/>
      <c r="J31" s="3163"/>
      <c r="K31" s="3163"/>
      <c r="L31" s="3163"/>
      <c r="M31" s="3163"/>
      <c r="N31" s="3163"/>
      <c r="O31" s="3163"/>
      <c r="P31" s="3164"/>
      <c r="Q31" s="1070"/>
      <c r="R31" s="1070"/>
      <c r="S31" s="1076"/>
      <c r="T31" s="1070"/>
      <c r="U31" s="1070"/>
      <c r="V31" s="1070"/>
      <c r="W31" s="1070"/>
      <c r="X31" s="1070"/>
      <c r="Y31" s="1070"/>
      <c r="Z31" s="1070"/>
      <c r="AA31" s="1070"/>
      <c r="AB31" s="1070"/>
      <c r="AC31" s="1070"/>
      <c r="AD31" s="1070"/>
      <c r="AE31" s="1070"/>
      <c r="AF31" s="1070"/>
      <c r="AG31" s="1070"/>
      <c r="AH31" s="1070"/>
      <c r="AI31" s="1070"/>
      <c r="AJ31" s="1070"/>
      <c r="AK31" s="1070"/>
      <c r="AL31" s="1070"/>
      <c r="AM31" s="1070"/>
      <c r="AN31" s="1070"/>
      <c r="AO31" s="1070"/>
      <c r="AP31" s="1070"/>
      <c r="AQ31" s="1070"/>
      <c r="AR31" s="1070"/>
      <c r="AS31" s="1070"/>
      <c r="AT31" s="1070"/>
      <c r="AU31" s="1070"/>
      <c r="AV31" s="1070"/>
    </row>
    <row r="32" spans="1:48" x14ac:dyDescent="0.3">
      <c r="A32" s="1070"/>
      <c r="B32" s="1141" t="s">
        <v>1239</v>
      </c>
      <c r="C32" s="1132"/>
      <c r="D32" s="3165" t="s">
        <v>50</v>
      </c>
      <c r="E32" s="3166"/>
      <c r="F32" s="3166"/>
      <c r="G32" s="3166"/>
      <c r="H32" s="3166"/>
      <c r="I32" s="3166"/>
      <c r="J32" s="3166"/>
      <c r="K32" s="3166"/>
      <c r="L32" s="3166"/>
      <c r="M32" s="3166"/>
      <c r="N32" s="3166"/>
      <c r="O32" s="3166"/>
      <c r="P32" s="3167"/>
      <c r="Q32" s="1070"/>
      <c r="R32" s="1070"/>
      <c r="S32" s="1076"/>
      <c r="T32" s="1070"/>
      <c r="U32" s="1070"/>
      <c r="V32" s="1070"/>
      <c r="W32" s="1070"/>
      <c r="X32" s="1070"/>
      <c r="Y32" s="1070"/>
      <c r="Z32" s="1070"/>
      <c r="AA32" s="1070"/>
      <c r="AB32" s="1070"/>
      <c r="AC32" s="1070"/>
      <c r="AD32" s="1070"/>
      <c r="AE32" s="1070"/>
      <c r="AF32" s="1070"/>
      <c r="AG32" s="1070"/>
      <c r="AH32" s="1070"/>
      <c r="AI32" s="1070"/>
      <c r="AJ32" s="1070"/>
      <c r="AK32" s="1070"/>
      <c r="AL32" s="1070"/>
      <c r="AM32" s="1070"/>
      <c r="AN32" s="1070"/>
      <c r="AO32" s="1070"/>
      <c r="AP32" s="1070"/>
      <c r="AQ32" s="1070"/>
      <c r="AR32" s="1070"/>
      <c r="AS32" s="1070"/>
      <c r="AT32" s="1070"/>
      <c r="AU32" s="1070"/>
      <c r="AV32" s="1070"/>
    </row>
    <row r="33" spans="1:48" x14ac:dyDescent="0.3">
      <c r="A33" s="1082"/>
      <c r="B33" s="1132" t="s">
        <v>1240</v>
      </c>
      <c r="C33" s="1132"/>
      <c r="D33" s="3168" t="s">
        <v>1241</v>
      </c>
      <c r="E33" s="3169"/>
      <c r="F33" s="3169"/>
      <c r="G33" s="3169"/>
      <c r="H33" s="3169"/>
      <c r="I33" s="3169"/>
      <c r="J33" s="3169"/>
      <c r="K33" s="3169"/>
      <c r="L33" s="3169"/>
      <c r="M33" s="3169"/>
      <c r="N33" s="3169"/>
      <c r="O33" s="3169"/>
      <c r="P33" s="3170"/>
      <c r="Q33" s="1070"/>
      <c r="R33" s="1070"/>
      <c r="S33" s="1076"/>
      <c r="T33" s="1070"/>
      <c r="AT33" s="1070"/>
      <c r="AU33" s="1070"/>
      <c r="AV33" s="1070"/>
    </row>
    <row r="34" spans="1:48" x14ac:dyDescent="0.3">
      <c r="A34" s="1082"/>
      <c r="B34" s="1132" t="s">
        <v>1242</v>
      </c>
      <c r="C34" s="1132"/>
      <c r="D34" s="3168" t="s">
        <v>1243</v>
      </c>
      <c r="E34" s="3169"/>
      <c r="F34" s="3169"/>
      <c r="G34" s="3169"/>
      <c r="H34" s="3169"/>
      <c r="I34" s="3169"/>
      <c r="J34" s="3169"/>
      <c r="K34" s="3169"/>
      <c r="L34" s="3169"/>
      <c r="M34" s="3169"/>
      <c r="N34" s="3169"/>
      <c r="O34" s="3169"/>
      <c r="P34" s="3170"/>
      <c r="Q34" s="1070"/>
      <c r="R34" s="1070"/>
      <c r="S34" s="1076"/>
      <c r="T34" s="1070"/>
      <c r="AT34" s="1070"/>
      <c r="AU34" s="1070"/>
      <c r="AV34" s="1070"/>
    </row>
    <row r="35" spans="1:48" x14ac:dyDescent="0.3">
      <c r="A35" s="1082"/>
      <c r="B35" s="1132" t="s">
        <v>1244</v>
      </c>
      <c r="C35" s="1132"/>
      <c r="D35" s="3168" t="s">
        <v>1245</v>
      </c>
      <c r="E35" s="3169"/>
      <c r="F35" s="3169"/>
      <c r="G35" s="3169"/>
      <c r="H35" s="3169"/>
      <c r="I35" s="3169"/>
      <c r="J35" s="3169"/>
      <c r="K35" s="3169"/>
      <c r="L35" s="3169"/>
      <c r="M35" s="3169"/>
      <c r="N35" s="3169"/>
      <c r="O35" s="3169"/>
      <c r="P35" s="3170"/>
      <c r="Q35" s="1070"/>
      <c r="R35" s="1070"/>
      <c r="S35" s="1076"/>
      <c r="T35" s="1070"/>
      <c r="AT35" s="1070"/>
      <c r="AU35" s="1070"/>
      <c r="AV35" s="1070"/>
    </row>
    <row r="36" spans="1:48" x14ac:dyDescent="0.3">
      <c r="A36" s="1082"/>
      <c r="B36" s="1136" t="s">
        <v>1246</v>
      </c>
      <c r="C36" s="1136"/>
      <c r="D36" s="3171" t="s">
        <v>1247</v>
      </c>
      <c r="E36" s="3172"/>
      <c r="F36" s="3172"/>
      <c r="G36" s="3172"/>
      <c r="H36" s="3172"/>
      <c r="I36" s="3172"/>
      <c r="J36" s="3172"/>
      <c r="K36" s="3172"/>
      <c r="L36" s="3172"/>
      <c r="M36" s="3172"/>
      <c r="N36" s="3172"/>
      <c r="O36" s="3172"/>
      <c r="P36" s="3173"/>
      <c r="Q36" s="1070"/>
      <c r="R36" s="1070"/>
      <c r="S36" s="1076"/>
      <c r="T36" s="1070"/>
      <c r="AT36" s="1082"/>
      <c r="AU36" s="1070"/>
      <c r="AV36" s="1070"/>
    </row>
    <row r="37" spans="1:48" x14ac:dyDescent="0.3">
      <c r="A37" s="1082"/>
      <c r="B37" s="1142"/>
      <c r="C37" s="1142"/>
      <c r="D37" s="1125"/>
      <c r="E37" s="1125"/>
      <c r="F37" s="1125"/>
      <c r="G37" s="1125"/>
      <c r="H37" s="1125"/>
      <c r="I37" s="1125"/>
      <c r="J37" s="1125"/>
      <c r="K37" s="1125"/>
      <c r="L37" s="1125"/>
      <c r="M37" s="1125"/>
      <c r="N37" s="1125"/>
      <c r="O37" s="1125"/>
      <c r="P37" s="1125"/>
      <c r="Q37" s="1070"/>
      <c r="R37" s="1070"/>
      <c r="S37" s="1076"/>
      <c r="T37" s="1070"/>
      <c r="AT37" s="1082"/>
      <c r="AU37" s="1070"/>
      <c r="AV37" s="1070"/>
    </row>
    <row r="38" spans="1:48" x14ac:dyDescent="0.3">
      <c r="A38" s="1082"/>
      <c r="B38" s="3144" t="s">
        <v>667</v>
      </c>
      <c r="C38" s="3145"/>
      <c r="D38" s="3145"/>
      <c r="E38" s="3146"/>
      <c r="F38" s="1125"/>
      <c r="G38" s="1125"/>
      <c r="H38" s="1125"/>
      <c r="I38" s="1125"/>
      <c r="J38" s="1125"/>
      <c r="K38" s="1125"/>
      <c r="L38" s="1125"/>
      <c r="M38" s="1125"/>
      <c r="N38" s="1125"/>
      <c r="O38" s="1125"/>
      <c r="P38" s="1125"/>
      <c r="Q38" s="1070"/>
      <c r="R38" s="1070"/>
      <c r="S38" s="1076"/>
      <c r="T38" s="1070"/>
      <c r="AT38" s="1082"/>
      <c r="AU38" s="1070"/>
      <c r="AV38" s="1070"/>
    </row>
    <row r="39" spans="1:48" x14ac:dyDescent="0.3">
      <c r="A39" s="1082"/>
      <c r="B39" s="3147" t="s">
        <v>1248</v>
      </c>
      <c r="C39" s="3148"/>
      <c r="D39" s="3148"/>
      <c r="E39" s="3149"/>
      <c r="F39" s="1125"/>
      <c r="G39" s="1125"/>
      <c r="H39" s="1125"/>
      <c r="I39" s="1125"/>
      <c r="J39" s="1125"/>
      <c r="K39" s="1125"/>
      <c r="L39" s="1125"/>
      <c r="M39" s="1125"/>
      <c r="N39" s="1125"/>
      <c r="O39" s="1125"/>
      <c r="P39" s="1125"/>
      <c r="Q39" s="1070"/>
      <c r="R39" s="1070"/>
      <c r="S39" s="1076"/>
      <c r="T39" s="1070"/>
      <c r="AT39" s="1082"/>
      <c r="AU39" s="1070"/>
      <c r="AV39" s="1070"/>
    </row>
    <row r="40" spans="1:48" x14ac:dyDescent="0.3">
      <c r="A40" s="1082"/>
      <c r="B40" s="3150"/>
      <c r="C40" s="3151"/>
      <c r="D40" s="3151"/>
      <c r="E40" s="3152"/>
      <c r="F40" s="1125"/>
      <c r="G40" s="1125"/>
      <c r="H40" s="1125"/>
      <c r="I40" s="1125"/>
      <c r="J40" s="1125"/>
      <c r="K40" s="1125"/>
      <c r="L40" s="1125"/>
      <c r="M40" s="1125"/>
      <c r="N40" s="1125"/>
      <c r="O40" s="1125"/>
      <c r="P40" s="1125"/>
      <c r="Q40" s="1070"/>
      <c r="R40" s="1070"/>
      <c r="S40" s="1076"/>
      <c r="T40" s="1070"/>
      <c r="AT40" s="1082"/>
      <c r="AU40" s="1070"/>
      <c r="AV40" s="1070"/>
    </row>
    <row r="41" spans="1:48" x14ac:dyDescent="0.3">
      <c r="A41" s="1082"/>
      <c r="B41" s="3150"/>
      <c r="C41" s="3151"/>
      <c r="D41" s="3151"/>
      <c r="E41" s="3152"/>
      <c r="F41" s="1125"/>
      <c r="G41" s="1125"/>
      <c r="H41" s="1125"/>
      <c r="I41" s="1125"/>
      <c r="J41" s="1125"/>
      <c r="K41" s="1125"/>
      <c r="L41" s="1125"/>
      <c r="M41" s="1125"/>
      <c r="N41" s="1125"/>
      <c r="O41" s="1125"/>
      <c r="P41" s="1125"/>
      <c r="Q41" s="1070"/>
      <c r="R41" s="1070"/>
      <c r="S41" s="1076"/>
      <c r="T41" s="1070"/>
      <c r="AT41" s="1082"/>
      <c r="AU41" s="1070"/>
      <c r="AV41" s="1070"/>
    </row>
    <row r="42" spans="1:48" x14ac:dyDescent="0.3">
      <c r="A42" s="1082"/>
      <c r="B42" s="3150"/>
      <c r="C42" s="3151"/>
      <c r="D42" s="3151"/>
      <c r="E42" s="3152"/>
      <c r="F42" s="1125"/>
      <c r="G42" s="1125"/>
      <c r="H42" s="1125"/>
      <c r="I42" s="1125"/>
      <c r="J42" s="1125"/>
      <c r="K42" s="1125"/>
      <c r="L42" s="1125"/>
      <c r="M42" s="1125"/>
      <c r="N42" s="1125"/>
      <c r="O42" s="1125"/>
      <c r="P42" s="1125"/>
      <c r="Q42" s="1070"/>
      <c r="R42" s="1070"/>
      <c r="S42" s="1076"/>
      <c r="T42" s="1070"/>
      <c r="AT42" s="1082"/>
      <c r="AU42" s="1070"/>
      <c r="AV42" s="1070"/>
    </row>
    <row r="43" spans="1:48" x14ac:dyDescent="0.3">
      <c r="A43" s="1082"/>
      <c r="B43" s="3150"/>
      <c r="C43" s="3151"/>
      <c r="D43" s="3151"/>
      <c r="E43" s="3152"/>
      <c r="F43" s="1125"/>
      <c r="G43" s="1125"/>
      <c r="H43" s="1125"/>
      <c r="I43" s="1125"/>
      <c r="J43" s="1125"/>
      <c r="K43" s="1125"/>
      <c r="L43" s="1125"/>
      <c r="M43" s="1125"/>
      <c r="N43" s="1125"/>
      <c r="O43" s="1125"/>
      <c r="P43" s="1125"/>
      <c r="Q43" s="1070"/>
      <c r="R43" s="1070"/>
      <c r="S43" s="1076"/>
      <c r="T43" s="1070"/>
      <c r="AT43" s="1082"/>
      <c r="AU43" s="1070"/>
      <c r="AV43" s="1070"/>
    </row>
    <row r="44" spans="1:48" x14ac:dyDescent="0.3">
      <c r="A44" s="1082"/>
      <c r="B44" s="3153"/>
      <c r="C44" s="3154"/>
      <c r="D44" s="3154"/>
      <c r="E44" s="3155"/>
      <c r="F44" s="1125"/>
      <c r="G44" s="1125"/>
      <c r="H44" s="1125"/>
      <c r="I44" s="1125"/>
      <c r="J44" s="1125"/>
      <c r="K44" s="1125"/>
      <c r="L44" s="1125"/>
      <c r="M44" s="1125"/>
      <c r="N44" s="1125"/>
      <c r="O44" s="1125"/>
      <c r="P44" s="1125"/>
      <c r="Q44" s="1070"/>
      <c r="R44" s="1070"/>
      <c r="S44" s="1076"/>
      <c r="T44" s="1070"/>
      <c r="AT44" s="1082"/>
      <c r="AU44" s="1070"/>
      <c r="AV44" s="1070"/>
    </row>
    <row r="45" spans="1:48" x14ac:dyDescent="0.3">
      <c r="A45" s="1070"/>
      <c r="B45" s="1077"/>
      <c r="C45" s="1070"/>
      <c r="D45" s="1070"/>
      <c r="E45" s="1070"/>
      <c r="F45" s="1070"/>
      <c r="G45" s="1070"/>
      <c r="H45" s="1070"/>
      <c r="I45" s="1070"/>
      <c r="J45" s="1070"/>
      <c r="K45" s="1070"/>
      <c r="L45" s="1070"/>
      <c r="M45" s="1070"/>
      <c r="N45" s="1070"/>
      <c r="O45" s="1070"/>
      <c r="P45" s="1070"/>
      <c r="Q45" s="1070"/>
      <c r="R45" s="1070"/>
      <c r="S45" s="1076"/>
      <c r="T45" s="1070"/>
      <c r="AT45" s="1082"/>
      <c r="AU45" s="1070"/>
      <c r="AV45" s="1070"/>
    </row>
    <row r="46" spans="1:48" x14ac:dyDescent="0.3">
      <c r="A46" s="1070"/>
      <c r="B46" s="1143" t="s">
        <v>1249</v>
      </c>
      <c r="C46" s="1144"/>
      <c r="D46" s="1145"/>
      <c r="E46" s="1146"/>
      <c r="F46" s="1070"/>
      <c r="G46" s="1070"/>
      <c r="H46" s="1070"/>
      <c r="I46" s="1070"/>
      <c r="J46" s="1070"/>
      <c r="K46" s="1070"/>
      <c r="L46" s="1070"/>
      <c r="M46" s="1070"/>
      <c r="N46" s="1070"/>
      <c r="O46" s="1070"/>
      <c r="P46" s="1070"/>
      <c r="Q46" s="1070"/>
      <c r="R46" s="1070"/>
      <c r="S46" s="1076"/>
      <c r="T46" s="1070"/>
      <c r="AT46" s="1082"/>
      <c r="AU46" s="1070"/>
      <c r="AV46" s="1070"/>
    </row>
    <row r="47" spans="1:48" x14ac:dyDescent="0.3">
      <c r="A47" s="1070"/>
      <c r="B47" s="1147" t="s">
        <v>1250</v>
      </c>
      <c r="C47" s="1128"/>
      <c r="D47" s="3156" t="s">
        <v>770</v>
      </c>
      <c r="E47" s="3157"/>
      <c r="F47" s="1148">
        <f>RIGHT(D47,2)*1</f>
        <v>18</v>
      </c>
      <c r="G47" s="1070"/>
      <c r="H47" s="1070"/>
      <c r="I47" s="1070"/>
      <c r="J47" s="1070"/>
      <c r="K47" s="1070"/>
      <c r="L47" s="1070"/>
      <c r="M47" s="1070"/>
      <c r="N47" s="1070"/>
      <c r="O47" s="1070"/>
      <c r="P47" s="1070"/>
      <c r="Q47" s="1070"/>
      <c r="R47" s="1070"/>
      <c r="S47" s="1076"/>
      <c r="T47" s="1070"/>
      <c r="U47" s="1070"/>
      <c r="V47" s="1070"/>
      <c r="W47" s="1070"/>
      <c r="X47" s="1070"/>
      <c r="Y47" s="1070"/>
      <c r="Z47" s="1070"/>
      <c r="AA47" s="1070"/>
      <c r="AB47" s="1070"/>
      <c r="AC47" s="1070"/>
      <c r="AD47" s="1070"/>
      <c r="AE47" s="1070"/>
      <c r="AF47" s="1070"/>
      <c r="AG47" s="1070"/>
      <c r="AH47" s="1070"/>
      <c r="AI47" s="1070"/>
      <c r="AJ47" s="1070"/>
      <c r="AK47" s="1070"/>
      <c r="AL47" s="1070"/>
      <c r="AM47" s="1070"/>
      <c r="AN47" s="1070"/>
      <c r="AO47" s="1070"/>
      <c r="AP47" s="1070"/>
      <c r="AQ47" s="1070"/>
      <c r="AR47" s="1070"/>
      <c r="AS47" s="1070"/>
      <c r="AT47" s="1070"/>
      <c r="AU47" s="1070"/>
      <c r="AV47" s="1070"/>
    </row>
    <row r="48" spans="1:48" x14ac:dyDescent="0.3">
      <c r="A48" s="1070"/>
      <c r="B48" s="1149" t="s">
        <v>1251</v>
      </c>
      <c r="C48" s="1132"/>
      <c r="D48" s="3158" t="s">
        <v>770</v>
      </c>
      <c r="E48" s="3159"/>
      <c r="F48" s="1148">
        <f t="shared" ref="F48:F49" si="0">RIGHT(D48,2)*1</f>
        <v>18</v>
      </c>
      <c r="G48" s="1070"/>
      <c r="H48" s="1070"/>
      <c r="I48" s="1070"/>
      <c r="J48" s="1070"/>
      <c r="K48" s="1070"/>
      <c r="L48" s="1070"/>
      <c r="M48" s="1070"/>
      <c r="N48" s="1070"/>
      <c r="O48" s="1070"/>
      <c r="P48" s="1070"/>
      <c r="Q48" s="1070"/>
      <c r="R48" s="1070"/>
      <c r="S48" s="1076"/>
      <c r="T48" s="1070"/>
      <c r="AU48" s="1070"/>
      <c r="AV48" s="1070"/>
    </row>
    <row r="49" spans="1:48" x14ac:dyDescent="0.3">
      <c r="A49" s="1070"/>
      <c r="B49" s="1150" t="s">
        <v>1252</v>
      </c>
      <c r="C49" s="1114"/>
      <c r="D49" s="3160" t="s">
        <v>1229</v>
      </c>
      <c r="E49" s="3161"/>
      <c r="F49" s="1148" t="e">
        <f t="shared" si="0"/>
        <v>#VALUE!</v>
      </c>
      <c r="G49" s="1070"/>
      <c r="H49" s="1070"/>
      <c r="I49" s="1070"/>
      <c r="J49" s="1070"/>
      <c r="K49" s="1070"/>
      <c r="L49" s="1070"/>
      <c r="M49" s="1070"/>
      <c r="N49" s="1070"/>
      <c r="O49" s="1070"/>
      <c r="P49" s="1070"/>
      <c r="Q49" s="1070"/>
      <c r="R49" s="1070"/>
      <c r="S49" s="1076"/>
      <c r="T49" s="1070"/>
      <c r="AU49" s="1070"/>
      <c r="AV49" s="1070"/>
    </row>
    <row r="50" spans="1:48" x14ac:dyDescent="0.3">
      <c r="A50" s="1070"/>
      <c r="B50" s="1116"/>
      <c r="C50" s="1116"/>
      <c r="D50" s="1070"/>
      <c r="E50" s="1070"/>
      <c r="F50" s="1148"/>
      <c r="G50" s="1070"/>
      <c r="H50" s="1070"/>
      <c r="I50" s="1070"/>
      <c r="J50" s="1070"/>
      <c r="K50" s="1070"/>
      <c r="L50" s="1070"/>
      <c r="M50" s="1070"/>
      <c r="N50" s="1070"/>
      <c r="O50" s="1070"/>
      <c r="P50" s="1070"/>
      <c r="Q50" s="1070"/>
      <c r="R50" s="1070"/>
      <c r="S50" s="1076"/>
      <c r="T50" s="1070"/>
      <c r="V50" s="1070"/>
      <c r="W50" s="1070"/>
      <c r="X50" s="1070"/>
      <c r="Y50" s="1070"/>
      <c r="Z50" s="1070"/>
      <c r="AA50" s="1070"/>
      <c r="AB50" s="1070"/>
      <c r="AC50" s="1070"/>
      <c r="AD50" s="1070"/>
      <c r="AE50" s="1070"/>
      <c r="AF50" s="1070"/>
      <c r="AG50" s="1070"/>
      <c r="AH50" s="1070"/>
      <c r="AI50" s="1070"/>
      <c r="AJ50" s="1070"/>
      <c r="AK50" s="1070"/>
      <c r="AL50" s="1070"/>
      <c r="AM50" s="1070"/>
      <c r="AN50" s="1070"/>
      <c r="AO50" s="1070"/>
      <c r="AP50" s="1070"/>
      <c r="AQ50" s="1070"/>
      <c r="AR50" s="1070"/>
      <c r="AS50" s="1070"/>
      <c r="AU50" s="1070"/>
      <c r="AV50" s="1070"/>
    </row>
    <row r="51" spans="1:48" x14ac:dyDescent="0.3">
      <c r="A51" s="1070"/>
      <c r="B51" s="1151" t="s">
        <v>1253</v>
      </c>
      <c r="C51" s="1152"/>
      <c r="D51" s="3138" t="s">
        <v>1254</v>
      </c>
      <c r="E51" s="3140"/>
      <c r="F51" s="1148"/>
      <c r="G51" s="1070"/>
      <c r="H51" s="1070"/>
      <c r="I51" s="1070"/>
      <c r="J51" s="1070"/>
      <c r="K51" s="1070"/>
      <c r="L51" s="1070"/>
      <c r="M51" s="1070"/>
      <c r="N51" s="1070"/>
      <c r="O51" s="1070"/>
      <c r="P51" s="1070"/>
      <c r="Q51" s="1070"/>
      <c r="R51" s="1070"/>
      <c r="S51" s="1076"/>
      <c r="T51" s="1082"/>
      <c r="U51" s="1153" t="s">
        <v>1255</v>
      </c>
      <c r="V51" s="1070"/>
      <c r="W51" s="1070"/>
      <c r="X51" s="1070"/>
      <c r="Y51" s="1070"/>
      <c r="Z51" s="1070"/>
      <c r="AA51" s="1070"/>
      <c r="AB51" s="1070"/>
      <c r="AC51" s="1070"/>
      <c r="AD51" s="1070"/>
      <c r="AE51" s="1070"/>
      <c r="AF51" s="1070"/>
      <c r="AG51" s="1070"/>
      <c r="AH51" s="1070"/>
      <c r="AI51" s="1070"/>
      <c r="AJ51" s="1070"/>
      <c r="AK51" s="1070"/>
      <c r="AL51" s="1070"/>
      <c r="AM51" s="1070"/>
      <c r="AN51" s="1070"/>
      <c r="AO51" s="1070"/>
      <c r="AP51" s="1070"/>
      <c r="AQ51" s="1070"/>
      <c r="AR51" s="1070"/>
      <c r="AS51" s="1070"/>
      <c r="AU51" s="1082"/>
      <c r="AV51" s="1070"/>
    </row>
    <row r="52" spans="1:48" x14ac:dyDescent="0.3">
      <c r="A52" s="1070"/>
      <c r="B52" s="1154" t="s">
        <v>1256</v>
      </c>
      <c r="C52" s="1152"/>
      <c r="D52" s="1155" t="s">
        <v>1229</v>
      </c>
      <c r="E52" s="1122" t="s">
        <v>1229</v>
      </c>
      <c r="F52" s="1148"/>
      <c r="G52" s="1070"/>
      <c r="H52" s="1070"/>
      <c r="I52" s="1070"/>
      <c r="J52" s="1070"/>
      <c r="K52" s="1070"/>
      <c r="L52" s="1070"/>
      <c r="M52" s="1070"/>
      <c r="N52" s="1070"/>
      <c r="O52" s="1070"/>
      <c r="P52" s="1070"/>
      <c r="Q52" s="1070"/>
      <c r="R52" s="1070"/>
      <c r="S52" s="1076"/>
      <c r="T52" s="1082"/>
      <c r="U52" s="1156" t="s">
        <v>1257</v>
      </c>
      <c r="V52" s="1070"/>
      <c r="W52" s="1070"/>
      <c r="X52" s="1070"/>
      <c r="Y52" s="1070"/>
      <c r="Z52" s="1070"/>
      <c r="AA52" s="1070"/>
      <c r="AB52" s="1070"/>
      <c r="AC52" s="1070"/>
      <c r="AD52" s="1070"/>
      <c r="AE52" s="1070"/>
      <c r="AF52" s="1070"/>
      <c r="AG52" s="1070"/>
      <c r="AH52" s="1070"/>
      <c r="AI52" s="1070"/>
      <c r="AJ52" s="1070"/>
      <c r="AK52" s="1070"/>
      <c r="AL52" s="1070"/>
      <c r="AM52" s="1070"/>
      <c r="AN52" s="1070"/>
      <c r="AO52" s="1070"/>
      <c r="AP52" s="1070"/>
      <c r="AQ52" s="1070"/>
      <c r="AR52" s="1070"/>
      <c r="AS52" s="1070"/>
      <c r="AU52" s="1082"/>
      <c r="AV52" s="1070"/>
    </row>
    <row r="53" spans="1:48" x14ac:dyDescent="0.3">
      <c r="A53" s="1070"/>
      <c r="B53" s="1070"/>
      <c r="C53" s="1070"/>
      <c r="D53" s="1070"/>
      <c r="E53" s="1070"/>
      <c r="F53" s="1157"/>
      <c r="G53" s="1157"/>
      <c r="H53" s="1070"/>
      <c r="I53" s="1070"/>
      <c r="J53" s="1070"/>
      <c r="K53" s="1070"/>
      <c r="L53" s="1070"/>
      <c r="M53" s="1070"/>
      <c r="N53" s="1070"/>
      <c r="O53" s="1070"/>
      <c r="P53" s="1070"/>
      <c r="Q53" s="1070"/>
      <c r="R53" s="1070"/>
      <c r="S53" s="1076"/>
      <c r="T53" s="1082"/>
      <c r="U53" s="1070"/>
      <c r="V53" s="1070"/>
      <c r="W53" s="1070"/>
      <c r="X53" s="1070"/>
      <c r="Y53" s="1070"/>
      <c r="Z53" s="1070"/>
      <c r="AA53" s="1070"/>
      <c r="AB53" s="1070"/>
      <c r="AC53" s="1070"/>
      <c r="AD53" s="1070"/>
      <c r="AE53" s="1070"/>
      <c r="AF53" s="1070"/>
      <c r="AG53" s="1070"/>
      <c r="AH53" s="1070"/>
      <c r="AI53" s="1070"/>
      <c r="AJ53" s="1070"/>
      <c r="AK53" s="1070"/>
      <c r="AL53" s="1070"/>
      <c r="AM53" s="1070"/>
      <c r="AN53" s="1070"/>
      <c r="AO53" s="1070"/>
      <c r="AP53" s="1070"/>
      <c r="AQ53" s="1070"/>
      <c r="AR53" s="1070"/>
      <c r="AS53" s="1070"/>
      <c r="AU53" s="1082"/>
      <c r="AV53" s="1070"/>
    </row>
    <row r="54" spans="1:48" x14ac:dyDescent="0.3">
      <c r="A54" s="1070"/>
      <c r="B54" s="1143" t="s">
        <v>1258</v>
      </c>
      <c r="C54" s="1144"/>
      <c r="D54" s="1145"/>
      <c r="E54" s="1146"/>
      <c r="F54" s="1157"/>
      <c r="G54" s="1157"/>
      <c r="H54" s="1070"/>
      <c r="I54" s="1070"/>
      <c r="J54" s="1158"/>
      <c r="K54" s="1082"/>
      <c r="L54" s="1082"/>
      <c r="M54" s="1070"/>
      <c r="N54" s="1070"/>
      <c r="O54" s="1070"/>
      <c r="P54" s="1070"/>
      <c r="Q54" s="1070"/>
      <c r="R54" s="1070"/>
      <c r="S54" s="1076"/>
      <c r="T54" s="1082"/>
      <c r="U54" s="1143" t="s">
        <v>1259</v>
      </c>
      <c r="V54" s="3174" t="s">
        <v>1260</v>
      </c>
      <c r="W54" s="3175"/>
      <c r="X54" s="3175"/>
      <c r="Y54" s="3176"/>
      <c r="Z54" s="1070"/>
      <c r="AA54" s="3174" t="s">
        <v>1260</v>
      </c>
      <c r="AB54" s="3175"/>
      <c r="AC54" s="3175"/>
      <c r="AD54" s="3176"/>
      <c r="AE54" s="1070"/>
      <c r="AF54" s="3174" t="s">
        <v>1260</v>
      </c>
      <c r="AG54" s="3175"/>
      <c r="AH54" s="3175"/>
      <c r="AI54" s="3176"/>
      <c r="AJ54" s="1070"/>
      <c r="AK54" s="3174" t="s">
        <v>1260</v>
      </c>
      <c r="AL54" s="3175"/>
      <c r="AM54" s="3175"/>
      <c r="AN54" s="3176"/>
      <c r="AO54" s="1070"/>
      <c r="AP54" s="3174" t="s">
        <v>1260</v>
      </c>
      <c r="AQ54" s="3175"/>
      <c r="AR54" s="3175"/>
      <c r="AS54" s="3176"/>
      <c r="AU54" s="1082"/>
      <c r="AV54" s="1070"/>
    </row>
    <row r="55" spans="1:48" x14ac:dyDescent="0.3">
      <c r="A55" s="1070"/>
      <c r="B55" s="1147" t="s">
        <v>1261</v>
      </c>
      <c r="C55" s="1159"/>
      <c r="D55" s="3177" t="s">
        <v>1229</v>
      </c>
      <c r="E55" s="3178"/>
      <c r="F55" s="1070"/>
      <c r="G55" s="1157"/>
      <c r="H55" s="1070"/>
      <c r="I55" s="1070"/>
      <c r="J55" s="1160" t="s">
        <v>1262</v>
      </c>
      <c r="K55" s="1161"/>
      <c r="L55" s="1162"/>
      <c r="M55" s="1070"/>
      <c r="N55" s="1070"/>
      <c r="O55" s="1070"/>
      <c r="P55" s="1070"/>
      <c r="Q55" s="1070"/>
      <c r="R55" s="1070"/>
      <c r="S55" s="1076"/>
      <c r="T55" s="1082"/>
      <c r="U55" s="1163" t="s">
        <v>1261</v>
      </c>
      <c r="V55" s="3179" t="s">
        <v>1229</v>
      </c>
      <c r="W55" s="3179"/>
      <c r="X55" s="3179"/>
      <c r="Y55" s="3180"/>
      <c r="Z55" s="1070"/>
      <c r="AA55" s="3181" t="s">
        <v>1229</v>
      </c>
      <c r="AB55" s="3179"/>
      <c r="AC55" s="3179"/>
      <c r="AD55" s="3180"/>
      <c r="AE55" s="1070"/>
      <c r="AF55" s="3181" t="s">
        <v>1229</v>
      </c>
      <c r="AG55" s="3179"/>
      <c r="AH55" s="3179"/>
      <c r="AI55" s="3180"/>
      <c r="AJ55" s="1070"/>
      <c r="AK55" s="3181" t="s">
        <v>1229</v>
      </c>
      <c r="AL55" s="3179"/>
      <c r="AM55" s="3179"/>
      <c r="AN55" s="3180"/>
      <c r="AO55" s="1070"/>
      <c r="AP55" s="3181" t="s">
        <v>1229</v>
      </c>
      <c r="AQ55" s="3179"/>
      <c r="AR55" s="3179"/>
      <c r="AS55" s="3180"/>
      <c r="AU55" s="1082"/>
      <c r="AV55" s="1070"/>
    </row>
    <row r="56" spans="1:48" x14ac:dyDescent="0.3">
      <c r="A56" s="1070"/>
      <c r="B56" s="1164" t="s">
        <v>1263</v>
      </c>
      <c r="C56" s="1143"/>
      <c r="D56" s="3182" t="s">
        <v>49</v>
      </c>
      <c r="E56" s="3183"/>
      <c r="F56" s="3184" t="s">
        <v>1264</v>
      </c>
      <c r="G56" s="3185"/>
      <c r="H56" s="3186"/>
      <c r="I56" s="1070"/>
      <c r="J56" s="1165" t="s">
        <v>49</v>
      </c>
      <c r="K56" s="1144"/>
      <c r="L56" s="1165" t="s">
        <v>1265</v>
      </c>
      <c r="M56" s="1070"/>
      <c r="N56" s="1070"/>
      <c r="O56" s="1070"/>
      <c r="P56" s="1070"/>
      <c r="Q56" s="1070"/>
      <c r="R56" s="1070"/>
      <c r="S56" s="1076"/>
      <c r="T56" s="1082"/>
      <c r="U56" s="1166" t="s">
        <v>1266</v>
      </c>
      <c r="V56" s="3187" t="s">
        <v>49</v>
      </c>
      <c r="W56" s="3183"/>
      <c r="X56" s="3182" t="s">
        <v>1264</v>
      </c>
      <c r="Y56" s="3183"/>
      <c r="Z56" s="1070"/>
      <c r="AA56" s="3182" t="s">
        <v>49</v>
      </c>
      <c r="AB56" s="3183"/>
      <c r="AC56" s="3182" t="s">
        <v>1264</v>
      </c>
      <c r="AD56" s="3183"/>
      <c r="AE56" s="1070"/>
      <c r="AF56" s="3182" t="s">
        <v>49</v>
      </c>
      <c r="AG56" s="3183"/>
      <c r="AH56" s="3182" t="s">
        <v>1264</v>
      </c>
      <c r="AI56" s="3183"/>
      <c r="AJ56" s="1070"/>
      <c r="AK56" s="3182" t="s">
        <v>49</v>
      </c>
      <c r="AL56" s="3183"/>
      <c r="AM56" s="3182" t="s">
        <v>1264</v>
      </c>
      <c r="AN56" s="3183"/>
      <c r="AO56" s="1070"/>
      <c r="AP56" s="3182" t="s">
        <v>49</v>
      </c>
      <c r="AQ56" s="3183"/>
      <c r="AR56" s="3182" t="s">
        <v>1264</v>
      </c>
      <c r="AS56" s="3183"/>
      <c r="AU56" s="1082"/>
      <c r="AV56" s="1070"/>
    </row>
    <row r="57" spans="1:48" x14ac:dyDescent="0.3">
      <c r="A57" s="1070"/>
      <c r="B57" s="1167" t="s">
        <v>1267</v>
      </c>
      <c r="C57" s="1163"/>
      <c r="D57" s="1168" t="s">
        <v>1229</v>
      </c>
      <c r="E57" s="1169" t="s">
        <v>1229</v>
      </c>
      <c r="F57" s="1168" t="s">
        <v>1229</v>
      </c>
      <c r="G57" s="1170">
        <v>16</v>
      </c>
      <c r="H57" s="1169" t="s">
        <v>1229</v>
      </c>
      <c r="I57" s="1070"/>
      <c r="J57" s="1171" t="str">
        <f>"FY"&amp;IF(OR(D57="Oct",D57="Nov",D57="Dec"),E57+1,E57)</f>
        <v>FYN/A</v>
      </c>
      <c r="K57" s="1171"/>
      <c r="L57" s="1171" t="str">
        <f>"FY"&amp;IF(OR(F57="Oct",F57="Nov",F57="Dec"),H57+1,H57)</f>
        <v>FYN/A</v>
      </c>
      <c r="M57" s="1070"/>
      <c r="N57" s="1070"/>
      <c r="O57" s="1070"/>
      <c r="P57" s="1070"/>
      <c r="Q57" s="1070"/>
      <c r="R57" s="1070"/>
      <c r="S57" s="1076"/>
      <c r="T57" s="1082"/>
      <c r="U57" s="1166"/>
      <c r="V57" s="1172"/>
      <c r="W57" s="1173"/>
      <c r="X57" s="1172"/>
      <c r="Y57" s="1173"/>
      <c r="Z57" s="1070"/>
      <c r="AA57" s="1174"/>
      <c r="AB57" s="1175"/>
      <c r="AC57" s="1172"/>
      <c r="AD57" s="1173"/>
      <c r="AE57" s="1070"/>
      <c r="AF57" s="1174"/>
      <c r="AG57" s="1175"/>
      <c r="AH57" s="1172"/>
      <c r="AI57" s="1173"/>
      <c r="AJ57" s="1070"/>
      <c r="AK57" s="1174"/>
      <c r="AL57" s="1175"/>
      <c r="AM57" s="1172"/>
      <c r="AN57" s="1173"/>
      <c r="AO57" s="1070"/>
      <c r="AP57" s="1174"/>
      <c r="AQ57" s="1175"/>
      <c r="AR57" s="1172"/>
      <c r="AS57" s="1173"/>
      <c r="AU57" s="1082"/>
      <c r="AV57" s="1070"/>
    </row>
    <row r="58" spans="1:48" x14ac:dyDescent="0.3">
      <c r="A58" s="1070"/>
      <c r="B58" s="1149" t="s">
        <v>756</v>
      </c>
      <c r="C58" s="1132"/>
      <c r="D58" s="1176" t="s">
        <v>1229</v>
      </c>
      <c r="E58" s="1169" t="s">
        <v>1229</v>
      </c>
      <c r="F58" s="1176" t="s">
        <v>1229</v>
      </c>
      <c r="G58" s="1170">
        <v>16</v>
      </c>
      <c r="H58" s="1169" t="s">
        <v>1229</v>
      </c>
      <c r="I58" s="1070"/>
      <c r="J58" s="1177" t="str">
        <f>"FY"&amp;IF(OR(D58="Oct",D58="Nov",D58="Dec"),E58+1,E58)</f>
        <v>FYN/A</v>
      </c>
      <c r="K58" s="1177"/>
      <c r="L58" s="1177" t="str">
        <f>"FY"&amp;IF(OR(F58="Oct",F58="Nov",F58="Dec"),H58+1,H58)</f>
        <v>FYN/A</v>
      </c>
      <c r="M58" s="1070"/>
      <c r="N58" s="1070"/>
      <c r="O58" s="1070"/>
      <c r="P58" s="1070"/>
      <c r="Q58" s="1070"/>
      <c r="R58" s="1070"/>
      <c r="S58" s="1076"/>
      <c r="T58" s="1082"/>
      <c r="U58" s="1166" t="s">
        <v>756</v>
      </c>
      <c r="V58" s="1176" t="s">
        <v>1229</v>
      </c>
      <c r="W58" s="1169" t="s">
        <v>1229</v>
      </c>
      <c r="X58" s="1176" t="s">
        <v>1229</v>
      </c>
      <c r="Y58" s="1169" t="s">
        <v>1229</v>
      </c>
      <c r="Z58" s="1070"/>
      <c r="AA58" s="1176" t="s">
        <v>1229</v>
      </c>
      <c r="AB58" s="1169" t="s">
        <v>1229</v>
      </c>
      <c r="AC58" s="1176" t="s">
        <v>1229</v>
      </c>
      <c r="AD58" s="1169" t="s">
        <v>1229</v>
      </c>
      <c r="AE58" s="1070"/>
      <c r="AF58" s="1176" t="s">
        <v>1229</v>
      </c>
      <c r="AG58" s="1169" t="s">
        <v>1229</v>
      </c>
      <c r="AH58" s="1176" t="s">
        <v>1229</v>
      </c>
      <c r="AI58" s="1169" t="s">
        <v>1229</v>
      </c>
      <c r="AJ58" s="1070"/>
      <c r="AK58" s="1176" t="s">
        <v>1229</v>
      </c>
      <c r="AL58" s="1169" t="s">
        <v>1229</v>
      </c>
      <c r="AM58" s="1176" t="s">
        <v>1229</v>
      </c>
      <c r="AN58" s="1169" t="s">
        <v>1229</v>
      </c>
      <c r="AO58" s="1070"/>
      <c r="AP58" s="1176" t="s">
        <v>1229</v>
      </c>
      <c r="AQ58" s="1169" t="s">
        <v>1229</v>
      </c>
      <c r="AR58" s="1176" t="s">
        <v>1229</v>
      </c>
      <c r="AS58" s="1169" t="s">
        <v>1229</v>
      </c>
      <c r="AU58" s="1082"/>
      <c r="AV58" s="1070"/>
    </row>
    <row r="59" spans="1:48" x14ac:dyDescent="0.3">
      <c r="A59" s="1070"/>
      <c r="B59" s="1149" t="s">
        <v>757</v>
      </c>
      <c r="C59" s="1132"/>
      <c r="D59" s="1178" t="s">
        <v>1229</v>
      </c>
      <c r="E59" s="1179" t="s">
        <v>1229</v>
      </c>
      <c r="F59" s="1178" t="s">
        <v>1229</v>
      </c>
      <c r="G59" s="1180">
        <v>16</v>
      </c>
      <c r="H59" s="1179" t="s">
        <v>1229</v>
      </c>
      <c r="I59" s="1070"/>
      <c r="J59" s="1181" t="str">
        <f>"FY"&amp;IF(OR(D59="Oct",D59="Nov",D59="Dec"),E59+1,E59)</f>
        <v>FYN/A</v>
      </c>
      <c r="K59" s="1177"/>
      <c r="L59" s="1181" t="str">
        <f>"FY"&amp;IF(OR(F59="Oct",F59="Nov",F59="Dec"),H59+1,H59)</f>
        <v>FYN/A</v>
      </c>
      <c r="M59" s="1070"/>
      <c r="N59" s="1148" t="e">
        <f>RIGHT(J59,2)*1</f>
        <v>#VALUE!</v>
      </c>
      <c r="O59" s="1070"/>
      <c r="P59" s="1070"/>
      <c r="Q59" s="1070"/>
      <c r="R59" s="1070"/>
      <c r="S59" s="1076"/>
      <c r="T59" s="1082"/>
      <c r="U59" s="1166" t="s">
        <v>757</v>
      </c>
      <c r="V59" s="1178" t="s">
        <v>1229</v>
      </c>
      <c r="W59" s="1179" t="s">
        <v>1229</v>
      </c>
      <c r="X59" s="1178" t="s">
        <v>1229</v>
      </c>
      <c r="Y59" s="1179" t="s">
        <v>1229</v>
      </c>
      <c r="Z59" s="1070"/>
      <c r="AA59" s="1178" t="s">
        <v>1229</v>
      </c>
      <c r="AB59" s="1179" t="s">
        <v>1229</v>
      </c>
      <c r="AC59" s="1178" t="s">
        <v>1229</v>
      </c>
      <c r="AD59" s="1179" t="s">
        <v>1229</v>
      </c>
      <c r="AE59" s="1070"/>
      <c r="AF59" s="1178" t="s">
        <v>1229</v>
      </c>
      <c r="AG59" s="1179" t="s">
        <v>1229</v>
      </c>
      <c r="AH59" s="1178" t="s">
        <v>1229</v>
      </c>
      <c r="AI59" s="1179" t="s">
        <v>1229</v>
      </c>
      <c r="AJ59" s="1070"/>
      <c r="AK59" s="1178" t="s">
        <v>1229</v>
      </c>
      <c r="AL59" s="1179" t="s">
        <v>1229</v>
      </c>
      <c r="AM59" s="1178" t="s">
        <v>1229</v>
      </c>
      <c r="AN59" s="1179" t="s">
        <v>1229</v>
      </c>
      <c r="AO59" s="1070"/>
      <c r="AP59" s="1178" t="s">
        <v>1229</v>
      </c>
      <c r="AQ59" s="1179" t="s">
        <v>1229</v>
      </c>
      <c r="AR59" s="1178" t="s">
        <v>1229</v>
      </c>
      <c r="AS59" s="1179" t="s">
        <v>1229</v>
      </c>
      <c r="AU59" s="1082"/>
      <c r="AV59" s="1070"/>
    </row>
    <row r="60" spans="1:48" x14ac:dyDescent="0.3">
      <c r="A60" s="1070"/>
      <c r="B60" s="1149"/>
      <c r="C60" s="1132"/>
      <c r="D60" s="3187" t="s">
        <v>49</v>
      </c>
      <c r="E60" s="3183"/>
      <c r="F60" s="1160" t="str">
        <f>Comp&amp;" Commit"</f>
        <v>Def Exit Commit</v>
      </c>
      <c r="G60" s="1182"/>
      <c r="H60" s="1183"/>
      <c r="I60" s="1070"/>
      <c r="J60" s="1181"/>
      <c r="K60" s="1177"/>
      <c r="L60" s="1181"/>
      <c r="M60" s="1070"/>
      <c r="O60" s="1070"/>
      <c r="P60" s="1070"/>
      <c r="Q60" s="1070"/>
      <c r="R60" s="1070"/>
      <c r="S60" s="1076"/>
      <c r="T60" s="1082"/>
      <c r="U60" s="1166"/>
      <c r="V60" s="3187" t="s">
        <v>49</v>
      </c>
      <c r="W60" s="3183"/>
      <c r="X60" s="3188" t="str">
        <f>Comp&amp;" Commit"</f>
        <v>Def Exit Commit</v>
      </c>
      <c r="Y60" s="3189"/>
      <c r="Z60" s="1070"/>
      <c r="AA60" s="3182" t="s">
        <v>49</v>
      </c>
      <c r="AB60" s="3183"/>
      <c r="AC60" s="3188" t="str">
        <f>Comp&amp;" Commit"</f>
        <v>Def Exit Commit</v>
      </c>
      <c r="AD60" s="3189"/>
      <c r="AE60" s="1070"/>
      <c r="AF60" s="3182" t="s">
        <v>49</v>
      </c>
      <c r="AG60" s="3183"/>
      <c r="AH60" s="3188" t="str">
        <f>Comp&amp;" Commit"</f>
        <v>Def Exit Commit</v>
      </c>
      <c r="AI60" s="3189"/>
      <c r="AJ60" s="1070"/>
      <c r="AK60" s="3182" t="s">
        <v>49</v>
      </c>
      <c r="AL60" s="3183"/>
      <c r="AM60" s="3188" t="str">
        <f>Comp&amp;" Commit"</f>
        <v>Def Exit Commit</v>
      </c>
      <c r="AN60" s="3189"/>
      <c r="AO60" s="1070"/>
      <c r="AP60" s="3182" t="s">
        <v>49</v>
      </c>
      <c r="AQ60" s="3183"/>
      <c r="AR60" s="3188" t="str">
        <f>Comp&amp;" Commit"</f>
        <v>Def Exit Commit</v>
      </c>
      <c r="AS60" s="3189"/>
      <c r="AU60" s="1082"/>
      <c r="AV60" s="1070"/>
    </row>
    <row r="61" spans="1:48" x14ac:dyDescent="0.3">
      <c r="A61" s="1070"/>
      <c r="B61" s="1149" t="s">
        <v>758</v>
      </c>
      <c r="C61" s="1132"/>
      <c r="D61" s="1168" t="s">
        <v>1229</v>
      </c>
      <c r="E61" s="1169" t="s">
        <v>1229</v>
      </c>
      <c r="F61" s="1176" t="s">
        <v>1229</v>
      </c>
      <c r="G61" s="1170">
        <v>16</v>
      </c>
      <c r="H61" s="1169" t="s">
        <v>1229</v>
      </c>
      <c r="I61" s="1070"/>
      <c r="J61" s="1171" t="str">
        <f>"FY"&amp;IF(OR(D61="Oct",D61="Nov",D61="Dec"),E61+1,E61)</f>
        <v>FYN/A</v>
      </c>
      <c r="K61" s="1177"/>
      <c r="L61" s="1171" t="str">
        <f>"FY"&amp;IF(OR(F61="Oct",F61="Nov",F61="Dec"),H61+1,H61)</f>
        <v>FYN/A</v>
      </c>
      <c r="M61" s="1070"/>
      <c r="N61" s="1070"/>
      <c r="O61" s="1070"/>
      <c r="P61" s="1070"/>
      <c r="Q61" s="1070"/>
      <c r="R61" s="1070"/>
      <c r="S61" s="1076"/>
      <c r="T61" s="1082"/>
      <c r="U61" s="1166" t="s">
        <v>758</v>
      </c>
      <c r="V61" s="1168" t="s">
        <v>1229</v>
      </c>
      <c r="W61" s="1169" t="s">
        <v>1229</v>
      </c>
      <c r="X61" s="1168" t="s">
        <v>1229</v>
      </c>
      <c r="Y61" s="1169" t="s">
        <v>1229</v>
      </c>
      <c r="Z61" s="1070"/>
      <c r="AA61" s="1168" t="s">
        <v>1229</v>
      </c>
      <c r="AB61" s="1169" t="s">
        <v>1229</v>
      </c>
      <c r="AC61" s="1168" t="s">
        <v>1229</v>
      </c>
      <c r="AD61" s="1169" t="s">
        <v>1229</v>
      </c>
      <c r="AE61" s="1070"/>
      <c r="AF61" s="1168" t="s">
        <v>1229</v>
      </c>
      <c r="AG61" s="1169" t="s">
        <v>1229</v>
      </c>
      <c r="AH61" s="1168" t="s">
        <v>1229</v>
      </c>
      <c r="AI61" s="1169" t="s">
        <v>1229</v>
      </c>
      <c r="AJ61" s="1070"/>
      <c r="AK61" s="1168" t="s">
        <v>1229</v>
      </c>
      <c r="AL61" s="1169" t="s">
        <v>1229</v>
      </c>
      <c r="AM61" s="1168" t="s">
        <v>1229</v>
      </c>
      <c r="AN61" s="1169" t="s">
        <v>1229</v>
      </c>
      <c r="AO61" s="1070"/>
      <c r="AP61" s="1168" t="s">
        <v>1229</v>
      </c>
      <c r="AQ61" s="1169" t="s">
        <v>1229</v>
      </c>
      <c r="AR61" s="1168" t="s">
        <v>1229</v>
      </c>
      <c r="AS61" s="1169" t="s">
        <v>1229</v>
      </c>
      <c r="AU61" s="1082"/>
      <c r="AV61" s="1070"/>
    </row>
    <row r="62" spans="1:48" x14ac:dyDescent="0.3">
      <c r="A62" s="1070"/>
      <c r="B62" s="1149" t="s">
        <v>759</v>
      </c>
      <c r="C62" s="1132"/>
      <c r="D62" s="1176" t="s">
        <v>1229</v>
      </c>
      <c r="E62" s="1169" t="s">
        <v>1229</v>
      </c>
      <c r="F62" s="1176" t="s">
        <v>1229</v>
      </c>
      <c r="G62" s="1170">
        <v>16</v>
      </c>
      <c r="H62" s="1169" t="s">
        <v>1229</v>
      </c>
      <c r="I62" s="1070"/>
      <c r="J62" s="1177" t="str">
        <f>"FY"&amp;IF(OR(D62="Oct",D62="Nov",D62="Dec"),E62+1,E62)</f>
        <v>FYN/A</v>
      </c>
      <c r="K62" s="1177"/>
      <c r="L62" s="1177" t="str">
        <f>"FY"&amp;IF(OR(F62="Oct",F62="Nov",F62="Dec"),H62+1,H62)</f>
        <v>FYN/A</v>
      </c>
      <c r="M62" s="1070"/>
      <c r="N62" s="1070"/>
      <c r="O62" s="1070"/>
      <c r="P62" s="1070"/>
      <c r="Q62" s="1070"/>
      <c r="R62" s="1070"/>
      <c r="S62" s="1076"/>
      <c r="T62" s="1082"/>
      <c r="U62" s="1166" t="s">
        <v>759</v>
      </c>
      <c r="V62" s="1176" t="s">
        <v>1229</v>
      </c>
      <c r="W62" s="1169" t="s">
        <v>1229</v>
      </c>
      <c r="X62" s="1176" t="s">
        <v>1229</v>
      </c>
      <c r="Y62" s="1169" t="s">
        <v>1229</v>
      </c>
      <c r="Z62" s="1070"/>
      <c r="AA62" s="1176" t="s">
        <v>1229</v>
      </c>
      <c r="AB62" s="1169" t="s">
        <v>1229</v>
      </c>
      <c r="AC62" s="1176" t="s">
        <v>1229</v>
      </c>
      <c r="AD62" s="1169" t="s">
        <v>1229</v>
      </c>
      <c r="AE62" s="1070"/>
      <c r="AF62" s="1176" t="s">
        <v>1229</v>
      </c>
      <c r="AG62" s="1169" t="s">
        <v>1229</v>
      </c>
      <c r="AH62" s="1176" t="s">
        <v>1229</v>
      </c>
      <c r="AI62" s="1169" t="s">
        <v>1229</v>
      </c>
      <c r="AJ62" s="1070"/>
      <c r="AK62" s="1176" t="s">
        <v>1229</v>
      </c>
      <c r="AL62" s="1169" t="s">
        <v>1229</v>
      </c>
      <c r="AM62" s="1176" t="s">
        <v>1229</v>
      </c>
      <c r="AN62" s="1169" t="s">
        <v>1229</v>
      </c>
      <c r="AO62" s="1070"/>
      <c r="AP62" s="1176" t="s">
        <v>1229</v>
      </c>
      <c r="AQ62" s="1169" t="s">
        <v>1229</v>
      </c>
      <c r="AR62" s="1176" t="s">
        <v>1229</v>
      </c>
      <c r="AS62" s="1169" t="s">
        <v>1229</v>
      </c>
      <c r="AU62" s="1082"/>
      <c r="AV62" s="1070"/>
    </row>
    <row r="63" spans="1:48" x14ac:dyDescent="0.3">
      <c r="A63" s="1070"/>
      <c r="B63" s="1184" t="s">
        <v>1268</v>
      </c>
      <c r="C63" s="1136"/>
      <c r="D63" s="1178" t="s">
        <v>1229</v>
      </c>
      <c r="E63" s="1179" t="s">
        <v>1229</v>
      </c>
      <c r="F63" s="1178" t="s">
        <v>1229</v>
      </c>
      <c r="G63" s="1180"/>
      <c r="H63" s="1179" t="s">
        <v>1229</v>
      </c>
      <c r="I63" s="1070"/>
      <c r="J63" s="1181" t="str">
        <f>"FY"&amp;IF(OR(D63="Oct",D63="Nov",D63="Dec"),E63+1,E63)</f>
        <v>FYN/A</v>
      </c>
      <c r="K63" s="1181"/>
      <c r="L63" s="1181" t="str">
        <f>"FY"&amp;IF(OR(F63="Oct",F63="Nov",F63="Dec"),H63+1,H63)</f>
        <v>FYN/A</v>
      </c>
      <c r="M63" s="1070"/>
      <c r="N63" s="1148" t="e">
        <f>RIGHT(J63,2)*1</f>
        <v>#VALUE!</v>
      </c>
      <c r="O63" s="1148" t="e">
        <f>RIGHT(L63,2)*1</f>
        <v>#VALUE!</v>
      </c>
      <c r="P63" s="1070"/>
      <c r="Q63" s="1070"/>
      <c r="R63" s="1070"/>
      <c r="S63" s="1076"/>
      <c r="T63" s="1082"/>
      <c r="U63" s="1185" t="s">
        <v>1268</v>
      </c>
      <c r="V63" s="1178" t="s">
        <v>1229</v>
      </c>
      <c r="W63" s="1179" t="s">
        <v>1229</v>
      </c>
      <c r="X63" s="1178" t="s">
        <v>1229</v>
      </c>
      <c r="Y63" s="1179" t="s">
        <v>1229</v>
      </c>
      <c r="Z63" s="1070"/>
      <c r="AA63" s="1178" t="s">
        <v>1229</v>
      </c>
      <c r="AB63" s="1179" t="s">
        <v>1229</v>
      </c>
      <c r="AC63" s="1178" t="s">
        <v>1229</v>
      </c>
      <c r="AD63" s="1179" t="s">
        <v>1229</v>
      </c>
      <c r="AE63" s="1070"/>
      <c r="AF63" s="1178" t="s">
        <v>1229</v>
      </c>
      <c r="AG63" s="1179" t="s">
        <v>1229</v>
      </c>
      <c r="AH63" s="1178" t="s">
        <v>1229</v>
      </c>
      <c r="AI63" s="1179" t="s">
        <v>1229</v>
      </c>
      <c r="AJ63" s="1070"/>
      <c r="AK63" s="1178" t="s">
        <v>1229</v>
      </c>
      <c r="AL63" s="1179" t="s">
        <v>1229</v>
      </c>
      <c r="AM63" s="1178" t="s">
        <v>1229</v>
      </c>
      <c r="AN63" s="1179" t="s">
        <v>1229</v>
      </c>
      <c r="AO63" s="1070"/>
      <c r="AP63" s="1178" t="s">
        <v>1229</v>
      </c>
      <c r="AQ63" s="1179" t="s">
        <v>1229</v>
      </c>
      <c r="AR63" s="1178" t="s">
        <v>1229</v>
      </c>
      <c r="AS63" s="1179" t="s">
        <v>1229</v>
      </c>
      <c r="AT63" s="1082"/>
      <c r="AU63" s="1082"/>
      <c r="AV63" s="1070"/>
    </row>
    <row r="64" spans="1:48" x14ac:dyDescent="0.3">
      <c r="A64" s="1070"/>
      <c r="B64" s="1070"/>
      <c r="C64" s="1070"/>
      <c r="D64" s="1070"/>
      <c r="E64" s="1070"/>
      <c r="F64" s="1070"/>
      <c r="G64" s="1157"/>
      <c r="H64" s="1070"/>
      <c r="I64" s="1070"/>
      <c r="J64" s="1070"/>
      <c r="K64" s="1070"/>
      <c r="L64" s="1070"/>
      <c r="M64" s="1070"/>
      <c r="N64" s="1070"/>
      <c r="O64" s="1070"/>
      <c r="P64" s="1070"/>
      <c r="Q64" s="1070"/>
      <c r="R64" s="1070"/>
      <c r="S64" s="1076"/>
      <c r="T64" s="1070"/>
      <c r="U64" s="1164" t="str">
        <f>"Revenue Rep (DefExit 10 or 15yrs)"</f>
        <v>Revenue Rep (DefExit 10 or 15yrs)</v>
      </c>
      <c r="V64" s="1127"/>
      <c r="W64" s="1146"/>
      <c r="X64" s="3190">
        <v>0</v>
      </c>
      <c r="Y64" s="3191"/>
      <c r="Z64" s="1070"/>
      <c r="AA64" s="1159"/>
      <c r="AB64" s="1186"/>
      <c r="AC64" s="3190">
        <v>0</v>
      </c>
      <c r="AD64" s="3191"/>
      <c r="AE64" s="1070"/>
      <c r="AF64" s="1159"/>
      <c r="AG64" s="1186"/>
      <c r="AH64" s="3190">
        <v>0</v>
      </c>
      <c r="AI64" s="3191"/>
      <c r="AJ64" s="1070"/>
      <c r="AK64" s="1159"/>
      <c r="AL64" s="1186"/>
      <c r="AM64" s="3190">
        <v>0</v>
      </c>
      <c r="AN64" s="3191"/>
      <c r="AO64" s="1070"/>
      <c r="AP64" s="1159"/>
      <c r="AQ64" s="1186"/>
      <c r="AR64" s="3190">
        <v>0</v>
      </c>
      <c r="AS64" s="3191"/>
      <c r="AT64" s="1070"/>
      <c r="AU64" s="1070"/>
      <c r="AV64" s="1070"/>
    </row>
    <row r="65" spans="1:48" x14ac:dyDescent="0.3">
      <c r="A65" s="1070"/>
      <c r="B65" s="1143" t="s">
        <v>1269</v>
      </c>
      <c r="C65" s="1144"/>
      <c r="D65" s="1145"/>
      <c r="E65" s="1146"/>
      <c r="F65" s="1157"/>
      <c r="G65" s="1157"/>
      <c r="H65" s="1070"/>
      <c r="I65" s="1070"/>
      <c r="J65" s="1070"/>
      <c r="K65" s="1070"/>
      <c r="L65" s="1070"/>
      <c r="M65" s="1070"/>
      <c r="N65" s="1070"/>
      <c r="O65" s="1070"/>
      <c r="P65" s="1070"/>
      <c r="Q65" s="1070"/>
      <c r="R65" s="1070"/>
      <c r="S65" s="1076"/>
      <c r="T65" s="1070"/>
      <c r="U65" s="1070"/>
      <c r="V65" s="1070"/>
      <c r="W65" s="1070"/>
      <c r="X65" s="1070"/>
      <c r="Y65" s="1070"/>
      <c r="Z65" s="1070"/>
      <c r="AA65" s="1070"/>
      <c r="AB65" s="1070"/>
      <c r="AC65" s="1070"/>
      <c r="AD65" s="1070"/>
      <c r="AE65" s="1070"/>
      <c r="AF65" s="1070"/>
      <c r="AG65" s="1070"/>
      <c r="AH65" s="1070"/>
      <c r="AI65" s="1070"/>
      <c r="AJ65" s="1070"/>
      <c r="AK65" s="1070"/>
      <c r="AL65" s="1070"/>
      <c r="AM65" s="1070"/>
      <c r="AN65" s="1070"/>
      <c r="AO65" s="1070"/>
      <c r="AP65" s="1070"/>
      <c r="AQ65" s="1070"/>
      <c r="AR65" s="1070"/>
      <c r="AS65" s="1070"/>
      <c r="AT65" s="1070"/>
      <c r="AU65" s="1070"/>
      <c r="AV65" s="1070"/>
    </row>
    <row r="66" spans="1:48" x14ac:dyDescent="0.3">
      <c r="A66" s="1070"/>
      <c r="B66" s="1128" t="s">
        <v>1270</v>
      </c>
      <c r="C66" s="1128"/>
      <c r="D66" s="3192">
        <v>0.28000000000000003</v>
      </c>
      <c r="E66" s="3157"/>
      <c r="F66" s="1187">
        <f>D66</f>
        <v>0.28000000000000003</v>
      </c>
      <c r="G66" s="1157"/>
      <c r="H66" s="1070"/>
      <c r="I66" s="1070"/>
      <c r="J66" s="1070"/>
      <c r="K66" s="1070"/>
      <c r="L66" s="1070"/>
      <c r="M66" s="1070"/>
      <c r="N66" s="1070"/>
      <c r="O66" s="1070"/>
      <c r="P66" s="1070"/>
      <c r="Q66" s="1070"/>
      <c r="R66" s="1070"/>
      <c r="S66" s="1076"/>
      <c r="T66" s="1082"/>
      <c r="U66" s="1082"/>
      <c r="V66" s="1082"/>
      <c r="W66" s="1082"/>
      <c r="X66" s="1082"/>
      <c r="Y66" s="1082"/>
      <c r="Z66" s="1082"/>
      <c r="AA66" s="1070"/>
      <c r="AB66" s="1070"/>
      <c r="AC66" s="1070"/>
      <c r="AD66" s="1070"/>
      <c r="AE66" s="1070"/>
      <c r="AF66" s="1070"/>
      <c r="AG66" s="1070"/>
      <c r="AH66" s="1070"/>
      <c r="AI66" s="1070"/>
      <c r="AJ66" s="1070"/>
      <c r="AK66" s="1070"/>
      <c r="AL66" s="1070"/>
      <c r="AM66" s="1070"/>
      <c r="AN66" s="1070"/>
      <c r="AO66" s="1070"/>
      <c r="AP66" s="1070"/>
      <c r="AQ66" s="1070"/>
      <c r="AR66" s="1070"/>
      <c r="AS66" s="1070"/>
      <c r="AT66" s="1070"/>
      <c r="AU66" s="1070"/>
      <c r="AV66" s="1070"/>
    </row>
    <row r="67" spans="1:48" x14ac:dyDescent="0.3">
      <c r="A67" s="1070"/>
      <c r="B67" s="1188" t="str">
        <f>"Tax Rate @ "&amp;Comp&amp;" Scenario (if different)"</f>
        <v>Tax Rate @ Def Exit Scenario (if different)</v>
      </c>
      <c r="C67" s="1188"/>
      <c r="D67" s="3193">
        <f>D66</f>
        <v>0.28000000000000003</v>
      </c>
      <c r="E67" s="3194"/>
      <c r="F67" s="1189">
        <f>D67</f>
        <v>0.28000000000000003</v>
      </c>
      <c r="G67" s="1157"/>
      <c r="H67" s="1070"/>
      <c r="I67" s="1070"/>
      <c r="J67" s="1070"/>
      <c r="K67" s="1070"/>
      <c r="L67" s="1070"/>
      <c r="M67" s="1070"/>
      <c r="N67" s="1070"/>
      <c r="O67" s="1070"/>
      <c r="P67" s="1070"/>
      <c r="Q67" s="1070"/>
      <c r="R67" s="1070"/>
      <c r="S67" s="1076"/>
      <c r="T67" s="1082"/>
      <c r="Z67" s="1082"/>
      <c r="AA67" s="1070"/>
      <c r="AB67" s="1070"/>
      <c r="AC67" s="1070"/>
      <c r="AD67" s="1070"/>
      <c r="AE67" s="1070"/>
      <c r="AF67" s="1070"/>
      <c r="AG67" s="1070"/>
      <c r="AH67" s="1070"/>
      <c r="AI67" s="1070"/>
      <c r="AJ67" s="1070"/>
      <c r="AK67" s="1070"/>
      <c r="AL67" s="1070"/>
      <c r="AM67" s="1070"/>
      <c r="AN67" s="1070"/>
      <c r="AO67" s="1070"/>
      <c r="AP67" s="1070"/>
      <c r="AQ67" s="1070"/>
      <c r="AR67" s="1070"/>
      <c r="AS67" s="1070"/>
      <c r="AT67" s="1070"/>
      <c r="AU67" s="1070"/>
      <c r="AV67" s="1070"/>
    </row>
    <row r="68" spans="1:48" x14ac:dyDescent="0.3">
      <c r="A68" s="1070"/>
      <c r="B68" s="1132" t="s">
        <v>1271</v>
      </c>
      <c r="C68" s="1132"/>
      <c r="D68" s="3195">
        <v>0.15</v>
      </c>
      <c r="E68" s="3196"/>
      <c r="F68" s="1190">
        <f>D68</f>
        <v>0.15</v>
      </c>
      <c r="G68" s="1191">
        <f>F68*100</f>
        <v>15</v>
      </c>
      <c r="H68" s="1070"/>
      <c r="I68" s="1070"/>
      <c r="J68" s="1070"/>
      <c r="K68" s="1070"/>
      <c r="L68" s="1070"/>
      <c r="M68" s="1070"/>
      <c r="N68" s="1070"/>
      <c r="O68" s="1070"/>
      <c r="P68" s="1070"/>
      <c r="Q68" s="1070"/>
      <c r="R68" s="1070"/>
      <c r="S68" s="1076"/>
      <c r="T68" s="1082"/>
      <c r="U68" s="3197" t="s">
        <v>1272</v>
      </c>
      <c r="V68" s="3198"/>
      <c r="W68" s="3198"/>
      <c r="X68" s="3198"/>
      <c r="Y68" s="3199"/>
      <c r="Z68" s="1082"/>
      <c r="AA68" s="1070"/>
      <c r="AB68" s="1070"/>
      <c r="AC68" s="1070"/>
      <c r="AD68" s="1070"/>
      <c r="AE68" s="1070"/>
      <c r="AF68" s="1070"/>
      <c r="AG68" s="1070"/>
      <c r="AH68" s="1070"/>
      <c r="AI68" s="1070"/>
      <c r="AJ68" s="1070"/>
      <c r="AK68" s="1070"/>
      <c r="AL68" s="1070"/>
      <c r="AM68" s="1070"/>
      <c r="AN68" s="1070"/>
      <c r="AO68" s="1070"/>
      <c r="AP68" s="1070"/>
      <c r="AQ68" s="1070"/>
      <c r="AR68" s="1070"/>
      <c r="AS68" s="1070"/>
      <c r="AT68" s="1070"/>
      <c r="AU68" s="1070"/>
      <c r="AV68" s="1070"/>
    </row>
    <row r="69" spans="1:48" x14ac:dyDescent="0.3">
      <c r="A69" s="1070"/>
      <c r="B69" s="1192" t="str">
        <f>"Disc (Hurdle) Rate @ "&amp;Comp&amp;" Scenario (if different)"</f>
        <v>Disc (Hurdle) Rate @ Def Exit Scenario (if different)</v>
      </c>
      <c r="C69" s="1132"/>
      <c r="D69" s="3200">
        <f>D68</f>
        <v>0.15</v>
      </c>
      <c r="E69" s="3201"/>
      <c r="F69" s="1189">
        <f>D69</f>
        <v>0.15</v>
      </c>
      <c r="G69" s="1191"/>
      <c r="H69" s="1070"/>
      <c r="I69" s="1070"/>
      <c r="J69" s="1070"/>
      <c r="K69" s="1070"/>
      <c r="L69" s="1070"/>
      <c r="M69" s="1070"/>
      <c r="N69" s="1070"/>
      <c r="O69" s="1070"/>
      <c r="P69" s="1070"/>
      <c r="Q69" s="1070"/>
      <c r="R69" s="1070"/>
      <c r="S69" s="1076"/>
      <c r="T69" s="1082"/>
      <c r="U69" s="1149"/>
      <c r="V69" s="3202" t="s">
        <v>1273</v>
      </c>
      <c r="W69" s="3202"/>
      <c r="X69" s="3202"/>
      <c r="Y69" s="3203"/>
      <c r="Z69" s="1082"/>
      <c r="AA69" s="1070"/>
      <c r="AB69" s="1070"/>
      <c r="AC69" s="1070"/>
      <c r="AD69" s="1070"/>
      <c r="AE69" s="1070"/>
      <c r="AF69" s="1070"/>
      <c r="AG69" s="1070"/>
      <c r="AH69" s="1070"/>
      <c r="AI69" s="1070"/>
      <c r="AJ69" s="1070"/>
      <c r="AK69" s="1070"/>
      <c r="AL69" s="1070"/>
      <c r="AM69" s="1070"/>
      <c r="AN69" s="1070"/>
      <c r="AO69" s="1070"/>
      <c r="AP69" s="1070"/>
      <c r="AQ69" s="1070"/>
      <c r="AR69" s="1070"/>
      <c r="AS69" s="1070"/>
      <c r="AT69" s="1070"/>
      <c r="AU69" s="1070"/>
      <c r="AV69" s="1070"/>
    </row>
    <row r="70" spans="1:48" x14ac:dyDescent="0.3">
      <c r="A70" s="1070"/>
      <c r="B70" s="1188" t="s">
        <v>447</v>
      </c>
      <c r="C70" s="1132"/>
      <c r="D70" s="3193" t="s">
        <v>1229</v>
      </c>
      <c r="E70" s="3194"/>
      <c r="F70" s="1187"/>
      <c r="G70" s="1191"/>
      <c r="H70" s="1070"/>
      <c r="I70" s="1070"/>
      <c r="J70" s="1070"/>
      <c r="K70" s="1070"/>
      <c r="L70" s="1070"/>
      <c r="M70" s="1070"/>
      <c r="N70" s="1070"/>
      <c r="O70" s="1070"/>
      <c r="P70" s="1070"/>
      <c r="Q70" s="1070"/>
      <c r="R70" s="1070"/>
      <c r="S70" s="1076"/>
      <c r="T70" s="1082"/>
      <c r="U70" s="1149"/>
      <c r="V70" s="3205" t="s">
        <v>1274</v>
      </c>
      <c r="W70" s="3205"/>
      <c r="X70" s="3205" t="str">
        <f>Comp&amp;" Commit"</f>
        <v>Def Exit Commit</v>
      </c>
      <c r="Y70" s="3206"/>
      <c r="Z70" s="1082"/>
      <c r="AA70" s="1070"/>
      <c r="AB70" s="1070"/>
      <c r="AC70" s="1070"/>
      <c r="AD70" s="1070"/>
      <c r="AE70" s="1070"/>
      <c r="AF70" s="1070"/>
      <c r="AG70" s="1070"/>
      <c r="AH70" s="1070"/>
      <c r="AI70" s="1070"/>
      <c r="AJ70" s="1070"/>
      <c r="AK70" s="1070"/>
      <c r="AL70" s="1070"/>
      <c r="AM70" s="1070"/>
      <c r="AN70" s="1070"/>
      <c r="AO70" s="1070"/>
      <c r="AP70" s="1070"/>
      <c r="AQ70" s="1070"/>
      <c r="AR70" s="1070"/>
      <c r="AS70" s="1070"/>
      <c r="AT70" s="1070"/>
      <c r="AU70" s="1070"/>
      <c r="AV70" s="1070"/>
    </row>
    <row r="71" spans="1:48" x14ac:dyDescent="0.3">
      <c r="A71" s="1070"/>
      <c r="B71" s="1188" t="s">
        <v>715</v>
      </c>
      <c r="C71" s="1132"/>
      <c r="D71" s="3193" t="s">
        <v>1229</v>
      </c>
      <c r="E71" s="3194"/>
      <c r="F71" s="1187"/>
      <c r="G71" s="1191"/>
      <c r="H71" s="1070"/>
      <c r="I71" s="1070"/>
      <c r="J71" s="1070"/>
      <c r="K71" s="1070"/>
      <c r="L71" s="1070"/>
      <c r="M71" s="1070"/>
      <c r="N71" s="1070"/>
      <c r="O71" s="1070"/>
      <c r="P71" s="1070"/>
      <c r="Q71" s="1070"/>
      <c r="R71" s="1070"/>
      <c r="S71" s="1076"/>
      <c r="T71" s="1082"/>
      <c r="U71" s="1193" t="s">
        <v>6</v>
      </c>
      <c r="V71" s="1168" t="s">
        <v>1229</v>
      </c>
      <c r="W71" s="1194" t="s">
        <v>1229</v>
      </c>
      <c r="X71" s="1168" t="s">
        <v>1229</v>
      </c>
      <c r="Y71" s="1194" t="s">
        <v>1229</v>
      </c>
      <c r="Z71" s="1082"/>
      <c r="AA71" s="1070"/>
      <c r="AB71" s="1070"/>
      <c r="AC71" s="1070"/>
      <c r="AD71" s="1070"/>
      <c r="AE71" s="1070"/>
      <c r="AF71" s="1070"/>
      <c r="AG71" s="1070"/>
      <c r="AH71" s="1070"/>
      <c r="AI71" s="1070"/>
      <c r="AJ71" s="1070"/>
      <c r="AK71" s="1070"/>
      <c r="AL71" s="1070"/>
      <c r="AM71" s="1070"/>
      <c r="AN71" s="1070"/>
      <c r="AO71" s="1070"/>
      <c r="AP71" s="1070"/>
      <c r="AQ71" s="1070"/>
      <c r="AR71" s="1070"/>
      <c r="AS71" s="1070"/>
      <c r="AT71" s="1070"/>
      <c r="AU71" s="1070"/>
      <c r="AV71" s="1070"/>
    </row>
    <row r="72" spans="1:48" x14ac:dyDescent="0.3">
      <c r="A72" s="1070"/>
      <c r="B72" s="1132" t="s">
        <v>1275</v>
      </c>
      <c r="C72" s="1132"/>
      <c r="D72" s="3193">
        <v>0.08</v>
      </c>
      <c r="E72" s="3159"/>
      <c r="F72" s="1187">
        <f>D72</f>
        <v>0.08</v>
      </c>
      <c r="G72" s="1191"/>
      <c r="H72" s="1070"/>
      <c r="I72" s="1070"/>
      <c r="J72" s="1070"/>
      <c r="K72" s="1070"/>
      <c r="L72" s="1070"/>
      <c r="M72" s="1070"/>
      <c r="N72" s="1070"/>
      <c r="O72" s="1070"/>
      <c r="P72" s="1070"/>
      <c r="Q72" s="1070"/>
      <c r="R72" s="1070"/>
      <c r="S72" s="1076"/>
      <c r="T72" s="1082"/>
      <c r="U72" s="1193" t="s">
        <v>1276</v>
      </c>
      <c r="V72" s="1176" t="s">
        <v>1229</v>
      </c>
      <c r="W72" s="1169" t="s">
        <v>1229</v>
      </c>
      <c r="X72" s="1176" t="s">
        <v>1229</v>
      </c>
      <c r="Y72" s="1169" t="s">
        <v>1229</v>
      </c>
      <c r="Z72" s="1082"/>
      <c r="AA72" s="1070"/>
      <c r="AB72" s="1070"/>
      <c r="AC72" s="1070"/>
      <c r="AD72" s="1070"/>
      <c r="AE72" s="1070"/>
      <c r="AF72" s="1070"/>
      <c r="AG72" s="1070"/>
      <c r="AH72" s="1070"/>
      <c r="AI72" s="1070"/>
      <c r="AJ72" s="1070"/>
      <c r="AK72" s="1070"/>
      <c r="AL72" s="1070"/>
      <c r="AM72" s="1070"/>
      <c r="AN72" s="1070"/>
      <c r="AO72" s="1070"/>
      <c r="AP72" s="1070"/>
      <c r="AQ72" s="1070"/>
      <c r="AR72" s="1070"/>
      <c r="AS72" s="1070"/>
      <c r="AT72" s="1070"/>
      <c r="AU72" s="1070"/>
      <c r="AV72" s="1070"/>
    </row>
    <row r="73" spans="1:48" x14ac:dyDescent="0.3">
      <c r="A73" s="1070"/>
      <c r="B73" s="1132" t="s">
        <v>1277</v>
      </c>
      <c r="C73" s="1132"/>
      <c r="D73" s="3211">
        <v>0.125</v>
      </c>
      <c r="E73" s="3212"/>
      <c r="F73" s="1187">
        <f>D73</f>
        <v>0.125</v>
      </c>
      <c r="G73" s="1191"/>
      <c r="H73" s="1070"/>
      <c r="I73" s="1070"/>
      <c r="J73" s="1070"/>
      <c r="K73" s="1070"/>
      <c r="L73" s="1070"/>
      <c r="M73" s="1070"/>
      <c r="N73" s="1070"/>
      <c r="O73" s="1070"/>
      <c r="P73" s="1070"/>
      <c r="Q73" s="1070"/>
      <c r="R73" s="1070"/>
      <c r="S73" s="1076"/>
      <c r="T73" s="1082"/>
      <c r="U73" s="1193" t="s">
        <v>1278</v>
      </c>
      <c r="V73" s="1176" t="s">
        <v>1229</v>
      </c>
      <c r="W73" s="1169" t="s">
        <v>1229</v>
      </c>
      <c r="X73" s="1176" t="s">
        <v>1229</v>
      </c>
      <c r="Y73" s="1169" t="s">
        <v>1229</v>
      </c>
      <c r="Z73" s="1082"/>
      <c r="AA73" s="1070"/>
      <c r="AB73" s="1070"/>
      <c r="AC73" s="1070"/>
      <c r="AD73" s="1070"/>
      <c r="AE73" s="1070"/>
      <c r="AF73" s="1070"/>
      <c r="AG73" s="1070"/>
      <c r="AH73" s="1070"/>
      <c r="AI73" s="1070"/>
      <c r="AJ73" s="1070"/>
      <c r="AK73" s="1070"/>
      <c r="AL73" s="1070"/>
      <c r="AM73" s="1070"/>
      <c r="AN73" s="1070"/>
      <c r="AO73" s="1070"/>
      <c r="AP73" s="1070"/>
      <c r="AQ73" s="1070"/>
      <c r="AR73" s="1070"/>
      <c r="AS73" s="1070"/>
      <c r="AT73" s="1070"/>
      <c r="AU73" s="1070"/>
      <c r="AV73" s="1070"/>
    </row>
    <row r="74" spans="1:48" x14ac:dyDescent="0.3">
      <c r="A74" s="1070"/>
      <c r="B74" s="1132" t="s">
        <v>1279</v>
      </c>
      <c r="C74" s="1132"/>
      <c r="D74" s="3193">
        <v>0.02</v>
      </c>
      <c r="E74" s="3159"/>
      <c r="F74" s="1148">
        <f>D74</f>
        <v>0.02</v>
      </c>
      <c r="G74" s="1070"/>
      <c r="H74" s="1070"/>
      <c r="I74" s="1070"/>
      <c r="J74" s="3162" t="s">
        <v>1280</v>
      </c>
      <c r="K74" s="3163"/>
      <c r="L74" s="3164"/>
      <c r="M74" s="1070"/>
      <c r="N74" s="1070"/>
      <c r="O74" s="1070"/>
      <c r="P74" s="1070"/>
      <c r="Q74" s="1070"/>
      <c r="R74" s="1070"/>
      <c r="S74" s="1076"/>
      <c r="T74" s="1082"/>
      <c r="U74" s="1193" t="s">
        <v>1281</v>
      </c>
      <c r="V74" s="1176" t="s">
        <v>1229</v>
      </c>
      <c r="W74" s="1169" t="s">
        <v>1229</v>
      </c>
      <c r="X74" s="1176" t="s">
        <v>1229</v>
      </c>
      <c r="Y74" s="1169" t="s">
        <v>1229</v>
      </c>
      <c r="Z74" s="1082"/>
      <c r="AA74" s="1070"/>
      <c r="AB74" s="1070"/>
      <c r="AC74" s="1070"/>
      <c r="AD74" s="1070"/>
      <c r="AE74" s="1070"/>
      <c r="AF74" s="1070"/>
      <c r="AG74" s="1070"/>
      <c r="AH74" s="1070"/>
      <c r="AI74" s="1070"/>
      <c r="AJ74" s="1070"/>
      <c r="AK74" s="1070"/>
      <c r="AL74" s="1070"/>
      <c r="AM74" s="1070"/>
      <c r="AN74" s="1070"/>
      <c r="AO74" s="1070"/>
      <c r="AP74" s="1070"/>
      <c r="AQ74" s="1070"/>
      <c r="AR74" s="1070"/>
      <c r="AS74" s="1070"/>
      <c r="AT74" s="1070"/>
      <c r="AU74" s="1070"/>
      <c r="AV74" s="1070"/>
    </row>
    <row r="75" spans="1:48" x14ac:dyDescent="0.3">
      <c r="A75" s="1070"/>
      <c r="B75" s="1195" t="s">
        <v>1282</v>
      </c>
      <c r="C75" s="1132"/>
      <c r="D75" s="1196"/>
      <c r="E75" s="1197"/>
      <c r="F75" s="1148"/>
      <c r="G75" s="1070"/>
      <c r="H75" s="1070"/>
      <c r="I75" s="1070"/>
      <c r="J75" s="3204" t="s">
        <v>1283</v>
      </c>
      <c r="K75" s="3205"/>
      <c r="L75" s="3206"/>
      <c r="M75" s="1070"/>
      <c r="N75" s="1070"/>
      <c r="O75" s="1070"/>
      <c r="P75" s="1070"/>
      <c r="Q75" s="1070"/>
      <c r="R75" s="1070"/>
      <c r="S75" s="1076"/>
      <c r="T75" s="1082"/>
      <c r="U75" s="1193" t="s">
        <v>1284</v>
      </c>
      <c r="V75" s="1176" t="s">
        <v>1229</v>
      </c>
      <c r="W75" s="1169" t="s">
        <v>1229</v>
      </c>
      <c r="X75" s="1176" t="s">
        <v>1229</v>
      </c>
      <c r="Y75" s="1169" t="s">
        <v>1229</v>
      </c>
      <c r="Z75" s="1082"/>
      <c r="AA75" s="1070"/>
      <c r="AB75" s="1070"/>
      <c r="AC75" s="1070"/>
      <c r="AD75" s="1070"/>
      <c r="AE75" s="1070"/>
      <c r="AF75" s="1070"/>
      <c r="AG75" s="1070"/>
      <c r="AH75" s="1070"/>
      <c r="AI75" s="1070"/>
      <c r="AJ75" s="1070"/>
      <c r="AK75" s="1070"/>
      <c r="AL75" s="1070"/>
      <c r="AM75" s="1070"/>
      <c r="AN75" s="1070"/>
      <c r="AO75" s="1070"/>
      <c r="AP75" s="1070"/>
      <c r="AQ75" s="1070"/>
      <c r="AR75" s="1070"/>
      <c r="AS75" s="1070"/>
      <c r="AT75" s="1070"/>
      <c r="AU75" s="1070"/>
      <c r="AV75" s="1070"/>
    </row>
    <row r="76" spans="1:48" x14ac:dyDescent="0.3">
      <c r="A76" s="1070"/>
      <c r="B76" s="1132" t="s">
        <v>1285</v>
      </c>
      <c r="C76" s="1132"/>
      <c r="D76" s="3207">
        <v>55</v>
      </c>
      <c r="E76" s="3208"/>
      <c r="F76" s="1148"/>
      <c r="G76" s="1070"/>
      <c r="H76" s="1070"/>
      <c r="I76" s="1070"/>
      <c r="J76" s="1147" t="s">
        <v>1286</v>
      </c>
      <c r="K76" s="1159"/>
      <c r="L76" s="1198">
        <f>FT_PPD_DD!K103</f>
        <v>51.121086239421437</v>
      </c>
      <c r="M76" s="1070"/>
      <c r="N76" s="1070"/>
      <c r="O76" s="1105"/>
      <c r="P76" s="1070"/>
      <c r="Q76" s="1070"/>
      <c r="R76" s="1070"/>
      <c r="S76" s="1076"/>
      <c r="T76" s="1082"/>
      <c r="U76" s="1193" t="s">
        <v>1011</v>
      </c>
      <c r="V76" s="1176" t="s">
        <v>1229</v>
      </c>
      <c r="W76" s="1169" t="s">
        <v>1229</v>
      </c>
      <c r="X76" s="1176" t="s">
        <v>1229</v>
      </c>
      <c r="Y76" s="1169" t="s">
        <v>1229</v>
      </c>
      <c r="Z76" s="1082"/>
      <c r="AA76" s="1070"/>
      <c r="AB76" s="1070"/>
      <c r="AC76" s="1070"/>
      <c r="AD76" s="1070"/>
      <c r="AE76" s="1070"/>
      <c r="AF76" s="1070"/>
      <c r="AG76" s="1070"/>
      <c r="AH76" s="1070"/>
      <c r="AI76" s="1070"/>
      <c r="AJ76" s="1070"/>
      <c r="AK76" s="1070"/>
      <c r="AL76" s="1070"/>
      <c r="AM76" s="1070"/>
      <c r="AN76" s="1070"/>
      <c r="AO76" s="1070"/>
      <c r="AP76" s="1070"/>
      <c r="AQ76" s="1070"/>
      <c r="AR76" s="1070"/>
      <c r="AS76" s="1070"/>
      <c r="AT76" s="1070"/>
      <c r="AU76" s="1070"/>
      <c r="AV76" s="1070"/>
    </row>
    <row r="77" spans="1:48" x14ac:dyDescent="0.3">
      <c r="A77" s="1070"/>
      <c r="B77" s="1132" t="s">
        <v>1287</v>
      </c>
      <c r="C77" s="1132"/>
      <c r="D77" s="3207">
        <v>55</v>
      </c>
      <c r="E77" s="3208"/>
      <c r="F77" s="1148"/>
      <c r="G77" s="1070"/>
      <c r="H77" s="1070"/>
      <c r="I77" s="1070"/>
      <c r="J77" s="1149" t="s">
        <v>1288</v>
      </c>
      <c r="K77" s="1142"/>
      <c r="L77" s="1199">
        <f>FT_PPD_DD!L103</f>
        <v>44.655346634763646</v>
      </c>
      <c r="M77" s="1070"/>
      <c r="N77" s="1070"/>
      <c r="O77" s="1105"/>
      <c r="P77" s="1070"/>
      <c r="Q77" s="1070"/>
      <c r="R77" s="1070"/>
      <c r="S77" s="1076"/>
      <c r="T77" s="1082"/>
      <c r="U77" s="1200" t="s">
        <v>8</v>
      </c>
      <c r="V77" s="1178" t="s">
        <v>1229</v>
      </c>
      <c r="W77" s="1179" t="s">
        <v>1229</v>
      </c>
      <c r="X77" s="1178" t="s">
        <v>1229</v>
      </c>
      <c r="Y77" s="1179" t="s">
        <v>1229</v>
      </c>
      <c r="Z77" s="1082"/>
      <c r="AA77" s="1070"/>
      <c r="AB77" s="1070"/>
      <c r="AC77" s="1070"/>
      <c r="AD77" s="1070"/>
      <c r="AE77" s="1070"/>
      <c r="AF77" s="1070"/>
      <c r="AG77" s="1070"/>
      <c r="AH77" s="1070"/>
      <c r="AI77" s="1070"/>
      <c r="AJ77" s="1070"/>
      <c r="AK77" s="1070"/>
      <c r="AL77" s="1070"/>
      <c r="AM77" s="1070"/>
      <c r="AN77" s="1070"/>
      <c r="AO77" s="1070"/>
      <c r="AP77" s="1070"/>
      <c r="AQ77" s="1070"/>
      <c r="AR77" s="1070"/>
      <c r="AS77" s="1070"/>
      <c r="AT77" s="1070"/>
      <c r="AU77" s="1070"/>
      <c r="AV77" s="1070"/>
    </row>
    <row r="78" spans="1:48" x14ac:dyDescent="0.3">
      <c r="A78" s="1070"/>
      <c r="B78" s="1136" t="s">
        <v>1289</v>
      </c>
      <c r="C78" s="1136"/>
      <c r="D78" s="3209">
        <v>100</v>
      </c>
      <c r="E78" s="3210"/>
      <c r="F78" s="1148"/>
      <c r="G78" s="1070"/>
      <c r="H78" s="1070"/>
      <c r="I78" s="1070"/>
      <c r="J78" s="1184" t="s">
        <v>1290</v>
      </c>
      <c r="K78" s="1201"/>
      <c r="L78" s="1202">
        <f>FT_PPD_DD!O103</f>
        <v>117.22235250920993</v>
      </c>
      <c r="M78" s="1070"/>
      <c r="N78" s="1070"/>
      <c r="O78" s="1070"/>
      <c r="P78" s="1070"/>
      <c r="Q78" s="1070"/>
      <c r="R78" s="1070"/>
      <c r="S78" s="1076"/>
      <c r="T78" s="1070"/>
      <c r="U78" s="1070"/>
      <c r="V78" s="1070"/>
      <c r="W78" s="1070"/>
      <c r="X78" s="1070"/>
      <c r="Y78" s="1070"/>
      <c r="Z78" s="1070"/>
      <c r="AA78" s="1070"/>
      <c r="AB78" s="1070"/>
      <c r="AC78" s="1070"/>
      <c r="AD78" s="1070"/>
      <c r="AE78" s="1070"/>
      <c r="AF78" s="1070"/>
      <c r="AG78" s="1070"/>
      <c r="AH78" s="1070"/>
      <c r="AI78" s="1070"/>
      <c r="AJ78" s="1070"/>
      <c r="AK78" s="1070"/>
      <c r="AL78" s="1070"/>
      <c r="AM78" s="1070"/>
      <c r="AN78" s="1070"/>
      <c r="AO78" s="1070"/>
      <c r="AP78" s="1070"/>
      <c r="AQ78" s="1070"/>
      <c r="AR78" s="1070"/>
      <c r="AS78" s="1070"/>
      <c r="AT78" s="1070"/>
      <c r="AU78" s="1070"/>
      <c r="AV78" s="1070"/>
    </row>
    <row r="79" spans="1:48" x14ac:dyDescent="0.3">
      <c r="A79" s="1070"/>
      <c r="B79" s="1070"/>
      <c r="C79" s="1070"/>
      <c r="D79" s="1070"/>
      <c r="E79" s="1070"/>
      <c r="F79" s="1070"/>
      <c r="G79" s="1070"/>
      <c r="H79" s="1070"/>
      <c r="I79" s="1070"/>
      <c r="J79" s="1070"/>
      <c r="K79" s="1070"/>
      <c r="L79" s="1070"/>
      <c r="M79" s="1070"/>
      <c r="N79" s="1070"/>
      <c r="O79" s="1070"/>
      <c r="P79" s="1070"/>
      <c r="Q79" s="1070"/>
      <c r="R79" s="1070"/>
      <c r="S79" s="1076"/>
      <c r="T79" s="1070"/>
      <c r="Z79" s="1070"/>
      <c r="AA79" s="1070"/>
      <c r="AB79" s="1070"/>
      <c r="AC79" s="1070"/>
      <c r="AD79" s="1070"/>
      <c r="AE79" s="1070"/>
      <c r="AF79" s="1070"/>
      <c r="AG79" s="1070"/>
      <c r="AH79" s="1070"/>
      <c r="AI79" s="1070"/>
      <c r="AJ79" s="1070"/>
      <c r="AK79" s="1070"/>
      <c r="AL79" s="1070"/>
      <c r="AM79" s="1070"/>
      <c r="AN79" s="1070"/>
      <c r="AO79" s="1070"/>
      <c r="AP79" s="1070"/>
      <c r="AQ79" s="1070"/>
      <c r="AR79" s="1070"/>
      <c r="AS79" s="1070"/>
      <c r="AT79" s="1070"/>
      <c r="AU79" s="1070"/>
      <c r="AV79" s="1070"/>
    </row>
    <row r="80" spans="1:48" x14ac:dyDescent="0.3">
      <c r="A80" s="1070"/>
      <c r="B80" s="1164" t="s">
        <v>1291</v>
      </c>
      <c r="C80" s="1144"/>
      <c r="D80" s="1145"/>
      <c r="E80" s="1146"/>
      <c r="F80" s="1070"/>
      <c r="G80" s="1070"/>
      <c r="H80" s="1070"/>
      <c r="I80" s="1070"/>
      <c r="J80" s="1070"/>
      <c r="K80" s="1070"/>
      <c r="L80" s="1070"/>
      <c r="M80" s="1070"/>
      <c r="N80" s="1070"/>
      <c r="O80" s="1070"/>
      <c r="P80" s="1070"/>
      <c r="Q80" s="1070"/>
      <c r="R80" s="1070"/>
      <c r="S80" s="1076"/>
      <c r="T80" s="1070"/>
      <c r="Z80" s="1070"/>
      <c r="AA80" s="1070"/>
      <c r="AB80" s="1070"/>
      <c r="AC80" s="1070"/>
      <c r="AD80" s="1070"/>
      <c r="AE80" s="1070"/>
      <c r="AF80" s="1070"/>
      <c r="AG80" s="1070"/>
      <c r="AH80" s="1070"/>
      <c r="AI80" s="1070"/>
      <c r="AJ80" s="1070"/>
      <c r="AK80" s="1070"/>
      <c r="AL80" s="1070"/>
      <c r="AM80" s="1070"/>
      <c r="AN80" s="1070"/>
      <c r="AO80" s="1070"/>
      <c r="AP80" s="1070"/>
      <c r="AQ80" s="1070"/>
      <c r="AR80" s="1070"/>
      <c r="AS80" s="1070"/>
      <c r="AT80" s="1070"/>
      <c r="AU80" s="1070"/>
      <c r="AV80" s="1070"/>
    </row>
    <row r="81" spans="1:48" x14ac:dyDescent="0.3">
      <c r="A81" s="1070"/>
      <c r="B81" s="1203" t="s">
        <v>1292</v>
      </c>
      <c r="C81" s="1204"/>
      <c r="D81" s="1205"/>
      <c r="E81" s="1206"/>
      <c r="F81" s="1070"/>
      <c r="G81" s="1070"/>
      <c r="H81" s="1070"/>
      <c r="I81" s="1070"/>
      <c r="J81" s="1070"/>
      <c r="K81" s="1070"/>
      <c r="L81" s="1070"/>
      <c r="M81" s="1070"/>
      <c r="N81" s="1070"/>
      <c r="O81" s="1070"/>
      <c r="P81" s="1070"/>
      <c r="Q81" s="1070"/>
      <c r="R81" s="1070"/>
      <c r="S81" s="1076"/>
      <c r="T81" s="1070"/>
      <c r="Z81" s="1070"/>
      <c r="AA81" s="1070"/>
      <c r="AB81" s="1070"/>
      <c r="AC81" s="1070"/>
      <c r="AD81" s="1070"/>
      <c r="AE81" s="1070"/>
      <c r="AF81" s="1070"/>
      <c r="AG81" s="1070"/>
      <c r="AH81" s="1070"/>
      <c r="AI81" s="1070"/>
      <c r="AJ81" s="1070"/>
      <c r="AK81" s="1070"/>
      <c r="AL81" s="1070"/>
      <c r="AM81" s="1070"/>
      <c r="AN81" s="1070"/>
      <c r="AO81" s="1070"/>
      <c r="AP81" s="1070"/>
      <c r="AQ81" s="1070"/>
      <c r="AR81" s="1070"/>
      <c r="AS81" s="1070"/>
      <c r="AT81" s="1070"/>
      <c r="AU81" s="1070"/>
      <c r="AV81" s="1070"/>
    </row>
    <row r="82" spans="1:48" x14ac:dyDescent="0.3">
      <c r="A82" s="1070"/>
      <c r="B82" s="1207" t="str">
        <f>FT_PPD_DD!P39</f>
        <v>Quadrant</v>
      </c>
      <c r="C82" s="1128"/>
      <c r="D82" s="3228" t="e">
        <f>VLOOKUP($B$81,PPD_DD_2!$L$46:$W$103,7,0)</f>
        <v>#N/A</v>
      </c>
      <c r="E82" s="3229"/>
      <c r="F82" s="1148" t="e">
        <f t="shared" ref="F82:F88" si="1">D82</f>
        <v>#N/A</v>
      </c>
      <c r="G82" s="1070"/>
      <c r="H82" s="1070"/>
      <c r="I82" s="1070"/>
      <c r="J82" s="1070"/>
      <c r="K82" s="1070"/>
      <c r="L82" s="1070"/>
      <c r="M82" s="1070"/>
      <c r="N82" s="1070"/>
      <c r="O82" s="1070"/>
      <c r="P82" s="1070"/>
      <c r="Q82" s="1070"/>
      <c r="R82" s="1070"/>
      <c r="S82" s="1076"/>
      <c r="T82" s="1070"/>
      <c r="Z82" s="1070"/>
      <c r="AA82" s="1070"/>
      <c r="AB82" s="1070"/>
      <c r="AC82" s="1070"/>
      <c r="AD82" s="1070"/>
      <c r="AE82" s="1070"/>
      <c r="AF82" s="1070"/>
      <c r="AG82" s="1070"/>
      <c r="AH82" s="1070"/>
      <c r="AI82" s="1070"/>
      <c r="AJ82" s="1070"/>
      <c r="AK82" s="1070"/>
      <c r="AL82" s="1070"/>
      <c r="AM82" s="1070"/>
      <c r="AN82" s="1070"/>
      <c r="AO82" s="1070"/>
      <c r="AP82" s="1070"/>
      <c r="AQ82" s="1070"/>
      <c r="AR82" s="1070"/>
      <c r="AS82" s="1070"/>
      <c r="AT82" s="1070"/>
      <c r="AU82" s="1070"/>
      <c r="AV82" s="1070"/>
    </row>
    <row r="83" spans="1:48" x14ac:dyDescent="0.3">
      <c r="A83" s="1070"/>
      <c r="B83" s="1207" t="str">
        <f>FT_PPD_DD!Q39</f>
        <v>SMS FY17 Rev ($ M)</v>
      </c>
      <c r="C83" s="1132"/>
      <c r="D83" s="3230" t="e">
        <f>VLOOKUP($B$81,PPD_DD_2!$L$46:$W$103,8,0)</f>
        <v>#N/A</v>
      </c>
      <c r="E83" s="3231"/>
      <c r="F83" s="1148" t="e">
        <f t="shared" si="1"/>
        <v>#N/A</v>
      </c>
      <c r="G83" s="1070"/>
      <c r="H83" s="1070"/>
      <c r="I83" s="1070"/>
      <c r="J83" s="1070"/>
      <c r="K83" s="1070"/>
      <c r="L83" s="1070"/>
      <c r="M83" s="1070"/>
      <c r="N83" s="1070"/>
      <c r="O83" s="1070"/>
      <c r="P83" s="1070"/>
      <c r="Q83" s="1070"/>
      <c r="R83" s="1070"/>
      <c r="S83" s="1076"/>
      <c r="T83" s="1070"/>
      <c r="Z83" s="1070"/>
      <c r="AA83" s="1070"/>
      <c r="AB83" s="1070"/>
      <c r="AC83" s="1070"/>
      <c r="AD83" s="1070"/>
      <c r="AE83" s="1070"/>
      <c r="AF83" s="1070"/>
      <c r="AG83" s="1070"/>
      <c r="AH83" s="1070"/>
      <c r="AI83" s="1070"/>
      <c r="AJ83" s="1070"/>
      <c r="AK83" s="1070"/>
      <c r="AL83" s="1070"/>
      <c r="AM83" s="1070"/>
      <c r="AN83" s="1070"/>
      <c r="AO83" s="1070"/>
      <c r="AP83" s="1070"/>
      <c r="AQ83" s="1070"/>
      <c r="AR83" s="1070"/>
      <c r="AS83" s="1070"/>
      <c r="AT83" s="1070"/>
      <c r="AU83" s="1070"/>
      <c r="AV83" s="1070"/>
    </row>
    <row r="84" spans="1:48" x14ac:dyDescent="0.3">
      <c r="A84" s="1070"/>
      <c r="B84" s="1207" t="str">
        <f>FT_PPD_DD!T39</f>
        <v>FY17 Share</v>
      </c>
      <c r="C84" s="1132"/>
      <c r="D84" s="3232" t="e">
        <f>VLOOKUP($B$81,PPD_DD_2!$L$46:$W$103,11,0)</f>
        <v>#N/A</v>
      </c>
      <c r="E84" s="3233"/>
      <c r="F84" s="1148" t="e">
        <f t="shared" si="1"/>
        <v>#N/A</v>
      </c>
      <c r="G84" s="1070"/>
      <c r="H84" s="1070"/>
      <c r="I84" s="1070"/>
      <c r="J84" s="1070"/>
      <c r="K84" s="1070"/>
      <c r="L84" s="1070"/>
      <c r="M84" s="1070"/>
      <c r="N84" s="1070"/>
      <c r="O84" s="1070"/>
      <c r="P84" s="1070"/>
      <c r="Q84" s="1070"/>
      <c r="R84" s="1070"/>
      <c r="S84" s="1076"/>
      <c r="T84" s="1070"/>
      <c r="Z84" s="1070"/>
      <c r="AA84" s="1070"/>
      <c r="AB84" s="1070"/>
      <c r="AC84" s="1070"/>
      <c r="AD84" s="1070"/>
      <c r="AE84" s="1070"/>
      <c r="AF84" s="1070"/>
      <c r="AG84" s="1070"/>
      <c r="AH84" s="1070"/>
      <c r="AI84" s="1070"/>
      <c r="AJ84" s="1070"/>
      <c r="AK84" s="1070"/>
      <c r="AL84" s="1070"/>
      <c r="AM84" s="1070"/>
      <c r="AN84" s="1070"/>
      <c r="AO84" s="1070"/>
      <c r="AP84" s="1070"/>
      <c r="AQ84" s="1070"/>
      <c r="AR84" s="1070"/>
      <c r="AS84" s="1070"/>
      <c r="AT84" s="1070"/>
      <c r="AU84" s="1070"/>
      <c r="AV84" s="1070"/>
    </row>
    <row r="85" spans="1:48" x14ac:dyDescent="0.3">
      <c r="A85" s="1070"/>
      <c r="B85" s="1207" t="str">
        <f>FT_PPD_DD!R39</f>
        <v>Size Address. FY 17 WW Mkt ($ M)</v>
      </c>
      <c r="C85" s="1132"/>
      <c r="D85" s="3230" t="e">
        <f>VLOOKUP($B$81,PPD_DD_2!$L$46:$W$103,9,0)</f>
        <v>#N/A</v>
      </c>
      <c r="E85" s="3231"/>
      <c r="F85" s="1148" t="e">
        <f t="shared" si="1"/>
        <v>#N/A</v>
      </c>
      <c r="G85" s="1070"/>
      <c r="H85" s="1070"/>
      <c r="I85" s="1070"/>
      <c r="J85" s="1070"/>
      <c r="K85" s="1070"/>
      <c r="L85" s="1070"/>
      <c r="M85" s="1070"/>
      <c r="N85" s="1070"/>
      <c r="O85" s="1070"/>
      <c r="P85" s="1070"/>
      <c r="Q85" s="1070"/>
      <c r="R85" s="1070"/>
      <c r="S85" s="1076"/>
      <c r="T85" s="1070"/>
      <c r="Z85" s="1070"/>
      <c r="AA85" s="1070"/>
      <c r="AB85" s="1070"/>
      <c r="AC85" s="1070"/>
      <c r="AD85" s="1070"/>
      <c r="AE85" s="1070"/>
      <c r="AF85" s="1070"/>
      <c r="AG85" s="1070"/>
      <c r="AH85" s="1070"/>
      <c r="AI85" s="1070"/>
      <c r="AJ85" s="1070"/>
      <c r="AK85" s="1070"/>
      <c r="AL85" s="1070"/>
      <c r="AM85" s="1070"/>
      <c r="AN85" s="1070"/>
      <c r="AO85" s="1070"/>
      <c r="AP85" s="1070"/>
      <c r="AQ85" s="1070"/>
      <c r="AR85" s="1070"/>
      <c r="AS85" s="1070"/>
      <c r="AT85" s="1070"/>
      <c r="AU85" s="1070"/>
      <c r="AV85" s="1070"/>
    </row>
    <row r="86" spans="1:48" x14ac:dyDescent="0.3">
      <c r="A86" s="1070"/>
      <c r="B86" s="1208" t="str">
        <f>FT_PPD_DD!S39</f>
        <v>Address. FY17-FY22 WW Mkt gwth (%)</v>
      </c>
      <c r="C86" s="1132"/>
      <c r="D86" s="3232" t="e">
        <f>VLOOKUP($B$81,PPD_DD_2!$L$46:$W$103,10,0)</f>
        <v>#N/A</v>
      </c>
      <c r="E86" s="3233"/>
      <c r="F86" s="1148" t="e">
        <f t="shared" si="1"/>
        <v>#N/A</v>
      </c>
      <c r="G86" s="1070"/>
      <c r="H86" s="1070"/>
      <c r="I86" s="1070"/>
      <c r="J86" s="1070"/>
      <c r="K86" s="1070"/>
      <c r="L86" s="1070"/>
      <c r="M86" s="1070"/>
      <c r="N86" s="1070"/>
      <c r="O86" s="1070"/>
      <c r="P86" s="1070"/>
      <c r="Q86" s="1070"/>
      <c r="R86" s="1070"/>
      <c r="S86" s="1076"/>
      <c r="T86" s="1070"/>
      <c r="Z86" s="1070"/>
      <c r="AA86" s="1070"/>
      <c r="AB86" s="1070"/>
      <c r="AC86" s="1070"/>
      <c r="AD86" s="1070"/>
      <c r="AE86" s="1070"/>
      <c r="AF86" s="1070"/>
      <c r="AG86" s="1070"/>
      <c r="AH86" s="1070"/>
      <c r="AI86" s="1070"/>
      <c r="AJ86" s="1070"/>
      <c r="AK86" s="1070"/>
      <c r="AL86" s="1070"/>
      <c r="AM86" s="1070"/>
      <c r="AN86" s="1070"/>
      <c r="AO86" s="1070"/>
      <c r="AP86" s="1070"/>
      <c r="AQ86" s="1070"/>
      <c r="AR86" s="1070"/>
      <c r="AS86" s="1070"/>
      <c r="AT86" s="1070"/>
      <c r="AU86" s="1070"/>
      <c r="AV86" s="1070"/>
    </row>
    <row r="87" spans="1:48" x14ac:dyDescent="0.3">
      <c r="A87" s="1070"/>
      <c r="B87" s="1150" t="str">
        <f>FT_PPD_DD!U39</f>
        <v>FY22 Std Gross Margin (%)</v>
      </c>
      <c r="C87" s="1136"/>
      <c r="D87" s="3234" t="e">
        <f>VLOOKUP($B$81,PPD_DD_2!$L$46:$W$103,12,0)</f>
        <v>#N/A</v>
      </c>
      <c r="E87" s="3235"/>
      <c r="F87" s="1148" t="e">
        <f t="shared" si="1"/>
        <v>#N/A</v>
      </c>
      <c r="G87" s="1070"/>
      <c r="H87" s="1070"/>
      <c r="I87" s="1070"/>
      <c r="J87" s="1070"/>
      <c r="K87" s="1070"/>
      <c r="L87" s="1070"/>
      <c r="M87" s="1070"/>
      <c r="N87" s="1070"/>
      <c r="O87" s="1070"/>
      <c r="P87" s="1070"/>
      <c r="Q87" s="1070"/>
      <c r="R87" s="1070"/>
      <c r="S87" s="1076"/>
      <c r="T87" s="1070"/>
      <c r="Z87" s="1070"/>
      <c r="AA87" s="1070"/>
      <c r="AB87" s="1070"/>
      <c r="AC87" s="1070"/>
      <c r="AD87" s="1070"/>
      <c r="AE87" s="1070"/>
      <c r="AF87" s="1070"/>
      <c r="AG87" s="1070"/>
      <c r="AH87" s="1070"/>
      <c r="AI87" s="1070"/>
      <c r="AJ87" s="1070"/>
      <c r="AK87" s="1070"/>
      <c r="AL87" s="1070"/>
      <c r="AM87" s="1070"/>
      <c r="AN87" s="1070"/>
      <c r="AO87" s="1070"/>
      <c r="AP87" s="1070"/>
      <c r="AQ87" s="1070"/>
      <c r="AR87" s="1070"/>
      <c r="AS87" s="1070"/>
      <c r="AT87" s="1070"/>
      <c r="AU87" s="1070"/>
      <c r="AV87" s="1070"/>
    </row>
    <row r="88" spans="1:48" x14ac:dyDescent="0.3">
      <c r="A88" s="1070"/>
      <c r="B88" s="1152" t="str">
        <f>FT_PPD_DD!B90</f>
        <v>Technology Innovation Quadrant</v>
      </c>
      <c r="C88" s="1144"/>
      <c r="D88" s="3190" t="s">
        <v>1229</v>
      </c>
      <c r="E88" s="3191"/>
      <c r="F88" s="1209" t="str">
        <f t="shared" si="1"/>
        <v>N/A</v>
      </c>
      <c r="G88" s="1070"/>
      <c r="H88" s="1070"/>
      <c r="I88" s="1070"/>
      <c r="J88" s="1070"/>
      <c r="K88" s="1070"/>
      <c r="L88" s="1070"/>
      <c r="M88" s="1070"/>
      <c r="N88" s="1070"/>
      <c r="O88" s="1070"/>
      <c r="P88" s="1070"/>
      <c r="Q88" s="1070"/>
      <c r="R88" s="1070"/>
      <c r="S88" s="1076"/>
      <c r="T88" s="1070"/>
      <c r="Z88" s="1070"/>
      <c r="AA88" s="1070"/>
      <c r="AB88" s="1070"/>
      <c r="AC88" s="1070"/>
      <c r="AD88" s="1070"/>
      <c r="AE88" s="1070"/>
      <c r="AF88" s="1070"/>
      <c r="AG88" s="1070"/>
      <c r="AH88" s="1070"/>
      <c r="AI88" s="1070"/>
      <c r="AJ88" s="1070"/>
      <c r="AK88" s="1070"/>
      <c r="AL88" s="1070"/>
      <c r="AM88" s="1070"/>
      <c r="AN88" s="1070"/>
      <c r="AO88" s="1070"/>
      <c r="AP88" s="1070"/>
      <c r="AQ88" s="1070"/>
      <c r="AR88" s="1070"/>
      <c r="AS88" s="1070"/>
      <c r="AT88" s="1070"/>
      <c r="AU88" s="1070"/>
      <c r="AV88" s="1070"/>
    </row>
    <row r="89" spans="1:48" x14ac:dyDescent="0.3">
      <c r="A89" s="1070"/>
      <c r="B89" s="1152" t="s">
        <v>1293</v>
      </c>
      <c r="C89" s="1144"/>
      <c r="D89" s="1210" t="e">
        <f>VLOOKUP(D82,PPD_DD_2!$V$106:$W$109,2,0)+VLOOKUP(D88,PPD_DD_2!$V$112:$W$115,2,0)</f>
        <v>#N/A</v>
      </c>
      <c r="E89" s="1211" t="e">
        <f>D89</f>
        <v>#N/A</v>
      </c>
      <c r="F89" s="1209"/>
      <c r="G89" s="1070"/>
      <c r="H89" s="1070"/>
      <c r="I89" s="1070"/>
      <c r="J89" s="1070"/>
      <c r="K89" s="1070"/>
      <c r="L89" s="1070"/>
      <c r="M89" s="1070"/>
      <c r="N89" s="1070"/>
      <c r="O89" s="1070"/>
      <c r="P89" s="1070"/>
      <c r="Q89" s="1070"/>
      <c r="R89" s="1070"/>
      <c r="S89" s="1076"/>
      <c r="T89" s="1070"/>
      <c r="Z89" s="1070"/>
      <c r="AA89" s="1070"/>
      <c r="AB89" s="1070"/>
      <c r="AC89" s="1070"/>
      <c r="AD89" s="1070"/>
      <c r="AE89" s="1070"/>
      <c r="AF89" s="1070"/>
      <c r="AG89" s="1070"/>
      <c r="AH89" s="1070"/>
      <c r="AI89" s="1070"/>
      <c r="AJ89" s="1070"/>
      <c r="AK89" s="1070"/>
      <c r="AL89" s="1070"/>
      <c r="AM89" s="1070"/>
      <c r="AN89" s="1070"/>
      <c r="AO89" s="1070"/>
      <c r="AP89" s="1070"/>
      <c r="AQ89" s="1070"/>
      <c r="AR89" s="1070"/>
      <c r="AS89" s="1070"/>
      <c r="AT89" s="1070"/>
      <c r="AU89" s="1070"/>
      <c r="AV89" s="1070"/>
    </row>
    <row r="90" spans="1:48" x14ac:dyDescent="0.3">
      <c r="A90" s="1070"/>
      <c r="B90" s="1116"/>
      <c r="C90" s="1142"/>
      <c r="D90" s="1212"/>
      <c r="E90" s="1212"/>
      <c r="F90" s="1148"/>
      <c r="G90" s="1070"/>
      <c r="H90" s="1070"/>
      <c r="I90" s="1070"/>
      <c r="J90" s="1070"/>
      <c r="K90" s="1070"/>
      <c r="L90" s="1070"/>
      <c r="M90" s="1070"/>
      <c r="N90" s="1070"/>
      <c r="O90" s="1070"/>
      <c r="P90" s="1070"/>
      <c r="Q90" s="1070"/>
      <c r="R90" s="1070"/>
      <c r="S90" s="1076"/>
      <c r="T90" s="1070"/>
      <c r="U90" s="1070"/>
      <c r="V90" s="1070"/>
      <c r="W90" s="1070"/>
      <c r="X90" s="1070"/>
      <c r="Y90" s="1070"/>
      <c r="Z90" s="1070"/>
      <c r="AA90" s="1070"/>
      <c r="AB90" s="1070"/>
      <c r="AC90" s="1070"/>
      <c r="AD90" s="1070"/>
      <c r="AE90" s="1070"/>
      <c r="AF90" s="1070"/>
      <c r="AG90" s="1070"/>
      <c r="AH90" s="1070"/>
      <c r="AI90" s="1070"/>
      <c r="AJ90" s="1070"/>
      <c r="AK90" s="1070"/>
      <c r="AL90" s="1070"/>
      <c r="AM90" s="1070"/>
      <c r="AN90" s="1070"/>
      <c r="AO90" s="1070"/>
      <c r="AP90" s="1070"/>
      <c r="AQ90" s="1070"/>
      <c r="AR90" s="1070"/>
      <c r="AS90" s="1070"/>
      <c r="AT90" s="1070"/>
      <c r="AU90" s="1070"/>
      <c r="AV90" s="1070"/>
    </row>
    <row r="91" spans="1:48" x14ac:dyDescent="0.3">
      <c r="A91" s="1070"/>
      <c r="B91" s="1151" t="s">
        <v>1294</v>
      </c>
      <c r="C91" s="1144"/>
      <c r="D91" s="1213"/>
      <c r="E91" s="1214"/>
      <c r="F91" s="1148"/>
      <c r="G91" s="1070"/>
      <c r="H91" s="1070"/>
      <c r="I91" s="1070"/>
      <c r="J91" s="1070"/>
      <c r="K91" s="1070"/>
      <c r="L91" s="1070"/>
      <c r="M91" s="1070"/>
      <c r="N91" s="1070"/>
      <c r="O91" s="1070"/>
      <c r="P91" s="1070"/>
      <c r="Q91" s="1070"/>
      <c r="R91" s="1070"/>
      <c r="S91" s="1076"/>
      <c r="T91" s="1070"/>
      <c r="U91" s="1070"/>
      <c r="V91" s="1070"/>
      <c r="W91" s="1070"/>
      <c r="X91" s="1070"/>
      <c r="Y91" s="1070"/>
      <c r="Z91" s="1070"/>
      <c r="AA91" s="1070"/>
      <c r="AB91" s="1070"/>
      <c r="AC91" s="1070"/>
      <c r="AD91" s="1070"/>
      <c r="AE91" s="1070"/>
      <c r="AF91" s="1070"/>
      <c r="AG91" s="1070"/>
      <c r="AH91" s="1070"/>
      <c r="AI91" s="1070"/>
      <c r="AJ91" s="1070"/>
      <c r="AK91" s="1070"/>
      <c r="AL91" s="1070"/>
      <c r="AM91" s="1070"/>
      <c r="AN91" s="1070"/>
      <c r="AO91" s="1070"/>
      <c r="AP91" s="1070"/>
      <c r="AQ91" s="1070"/>
      <c r="AR91" s="1070"/>
      <c r="AS91" s="1070"/>
      <c r="AT91" s="1070"/>
      <c r="AU91" s="1070"/>
      <c r="AV91" s="1070"/>
    </row>
    <row r="92" spans="1:48" x14ac:dyDescent="0.3">
      <c r="A92" s="1070"/>
      <c r="B92" s="1128" t="s">
        <v>1295</v>
      </c>
      <c r="C92" s="1128"/>
      <c r="D92" s="3213"/>
      <c r="E92" s="3214"/>
      <c r="F92" s="1209">
        <f>D92</f>
        <v>0</v>
      </c>
      <c r="G92" s="1070"/>
      <c r="H92" s="1070"/>
      <c r="I92" s="1070"/>
      <c r="J92" s="1070"/>
      <c r="K92" s="1070"/>
      <c r="L92" s="1070"/>
      <c r="M92" s="1070"/>
      <c r="N92" s="1070"/>
      <c r="O92" s="1070"/>
      <c r="P92" s="1070"/>
      <c r="Q92" s="1070"/>
      <c r="R92" s="1070"/>
      <c r="S92" s="1076"/>
      <c r="T92" s="1070"/>
      <c r="U92" s="1070"/>
      <c r="V92" s="1070"/>
      <c r="W92" s="1070"/>
      <c r="X92" s="1070"/>
      <c r="Y92" s="1070"/>
      <c r="Z92" s="1070"/>
      <c r="AA92" s="1070"/>
      <c r="AB92" s="1070"/>
      <c r="AC92" s="1070"/>
      <c r="AD92" s="1070"/>
      <c r="AE92" s="1070"/>
      <c r="AF92" s="1070"/>
      <c r="AG92" s="1070"/>
      <c r="AH92" s="1070"/>
      <c r="AI92" s="1070"/>
      <c r="AJ92" s="1070"/>
      <c r="AK92" s="1070"/>
      <c r="AL92" s="1070"/>
      <c r="AM92" s="1070"/>
      <c r="AN92" s="1070"/>
      <c r="AO92" s="1070"/>
      <c r="AP92" s="1070"/>
      <c r="AQ92" s="1070"/>
      <c r="AR92" s="1070"/>
      <c r="AS92" s="1070"/>
      <c r="AT92" s="1070"/>
      <c r="AU92" s="1070"/>
      <c r="AV92" s="1070"/>
    </row>
    <row r="93" spans="1:48" x14ac:dyDescent="0.3">
      <c r="A93" s="1070"/>
      <c r="B93" s="1132" t="s">
        <v>1296</v>
      </c>
      <c r="C93" s="1132"/>
      <c r="D93" s="3215"/>
      <c r="E93" s="3216"/>
      <c r="F93" s="1209">
        <f>D93</f>
        <v>0</v>
      </c>
      <c r="G93" s="1070"/>
      <c r="H93" s="1070"/>
      <c r="I93" s="1070"/>
      <c r="J93" s="1070"/>
      <c r="K93" s="1070"/>
      <c r="L93" s="1070"/>
      <c r="M93" s="1070"/>
      <c r="N93" s="1070"/>
      <c r="O93" s="1070"/>
      <c r="P93" s="1070"/>
      <c r="Q93" s="1070"/>
      <c r="R93" s="1070"/>
      <c r="S93" s="1076"/>
      <c r="T93" s="1070"/>
      <c r="U93" s="1070"/>
      <c r="V93" s="1070"/>
      <c r="W93" s="1070"/>
      <c r="X93" s="1070"/>
      <c r="Y93" s="1070"/>
      <c r="Z93" s="1070"/>
      <c r="AA93" s="1070"/>
      <c r="AB93" s="1070"/>
      <c r="AC93" s="1070"/>
      <c r="AD93" s="1070"/>
      <c r="AE93" s="1070"/>
      <c r="AF93" s="1070"/>
      <c r="AG93" s="1070"/>
      <c r="AH93" s="1070"/>
      <c r="AI93" s="1070"/>
      <c r="AJ93" s="1070"/>
      <c r="AK93" s="1070"/>
      <c r="AL93" s="1070"/>
      <c r="AM93" s="1070"/>
      <c r="AN93" s="1070"/>
      <c r="AO93" s="1070"/>
      <c r="AP93" s="1070"/>
      <c r="AQ93" s="1070"/>
      <c r="AR93" s="1070"/>
      <c r="AS93" s="1070"/>
      <c r="AT93" s="1070"/>
      <c r="AU93" s="1070"/>
      <c r="AV93" s="1070"/>
    </row>
    <row r="94" spans="1:48" x14ac:dyDescent="0.3">
      <c r="A94" s="1070"/>
      <c r="B94" s="1136" t="s">
        <v>1297</v>
      </c>
      <c r="C94" s="1136"/>
      <c r="D94" s="3217"/>
      <c r="E94" s="3218"/>
      <c r="F94" s="1209">
        <f>D94</f>
        <v>0</v>
      </c>
      <c r="G94" s="1070"/>
      <c r="H94" s="1070"/>
      <c r="I94" s="1070"/>
      <c r="J94" s="1070"/>
      <c r="K94" s="1070"/>
      <c r="L94" s="1070"/>
      <c r="M94" s="1070"/>
      <c r="N94" s="1070"/>
      <c r="O94" s="1070"/>
      <c r="P94" s="1070"/>
      <c r="Q94" s="1070"/>
      <c r="R94" s="1070"/>
      <c r="S94" s="1076"/>
      <c r="T94" s="1070"/>
      <c r="U94" s="1070"/>
      <c r="V94" s="1070"/>
      <c r="W94" s="1070"/>
      <c r="X94" s="1070"/>
      <c r="Y94" s="1070"/>
      <c r="Z94" s="1070"/>
      <c r="AA94" s="1070"/>
      <c r="AB94" s="1070"/>
      <c r="AC94" s="1070"/>
      <c r="AD94" s="1070"/>
      <c r="AE94" s="1070"/>
      <c r="AF94" s="1070"/>
      <c r="AG94" s="1070"/>
      <c r="AH94" s="1070"/>
      <c r="AI94" s="1070"/>
      <c r="AJ94" s="1070"/>
      <c r="AK94" s="1070"/>
      <c r="AL94" s="1070"/>
      <c r="AM94" s="1070"/>
      <c r="AN94" s="1070"/>
      <c r="AO94" s="1070"/>
      <c r="AP94" s="1070"/>
      <c r="AQ94" s="1070"/>
      <c r="AR94" s="1070"/>
      <c r="AS94" s="1070"/>
      <c r="AT94" s="1070"/>
      <c r="AU94" s="1070"/>
      <c r="AV94" s="1070"/>
    </row>
    <row r="95" spans="1:48" x14ac:dyDescent="0.3">
      <c r="A95" s="1070"/>
      <c r="B95" s="1142"/>
      <c r="C95" s="1142"/>
      <c r="D95" s="1070"/>
      <c r="E95" s="1070"/>
      <c r="F95" s="1209"/>
      <c r="G95" s="1070"/>
      <c r="H95" s="1070"/>
      <c r="I95" s="1070"/>
      <c r="J95" s="1070"/>
      <c r="K95" s="1070"/>
      <c r="L95" s="1070"/>
      <c r="M95" s="1070"/>
      <c r="N95" s="1070"/>
      <c r="O95" s="1070"/>
      <c r="P95" s="1070"/>
      <c r="Q95" s="1070"/>
      <c r="R95" s="1070"/>
      <c r="S95" s="1076"/>
      <c r="T95" s="1070"/>
      <c r="U95" s="1070"/>
      <c r="V95" s="1070"/>
      <c r="W95" s="1070"/>
      <c r="X95" s="1070"/>
      <c r="Y95" s="1070"/>
      <c r="Z95" s="1070"/>
      <c r="AA95" s="1070"/>
      <c r="AB95" s="1070"/>
      <c r="AC95" s="1070"/>
      <c r="AD95" s="1070"/>
      <c r="AE95" s="1070"/>
      <c r="AF95" s="1070"/>
      <c r="AG95" s="1070"/>
      <c r="AH95" s="1070"/>
      <c r="AI95" s="1070"/>
      <c r="AJ95" s="1070"/>
      <c r="AK95" s="1070"/>
      <c r="AL95" s="1070"/>
      <c r="AM95" s="1070"/>
      <c r="AN95" s="1070"/>
      <c r="AO95" s="1070"/>
      <c r="AP95" s="1070"/>
      <c r="AQ95" s="1070"/>
      <c r="AR95" s="1070"/>
      <c r="AS95" s="1070"/>
      <c r="AT95" s="1070"/>
      <c r="AU95" s="1070"/>
      <c r="AV95" s="1070"/>
    </row>
    <row r="96" spans="1:48" x14ac:dyDescent="0.3">
      <c r="A96" s="1070"/>
      <c r="B96" s="1151" t="s">
        <v>1298</v>
      </c>
      <c r="C96" s="1152"/>
      <c r="D96" s="1215"/>
      <c r="E96" s="1216"/>
      <c r="F96" s="1209"/>
      <c r="G96" s="1070"/>
      <c r="H96" s="1070"/>
      <c r="I96" s="1070"/>
      <c r="J96" s="1070"/>
      <c r="K96" s="1070"/>
      <c r="L96" s="1070"/>
      <c r="M96" s="1070"/>
      <c r="N96" s="1070"/>
      <c r="O96" s="1070"/>
      <c r="P96" s="1070"/>
      <c r="Q96" s="1070"/>
      <c r="R96" s="1070"/>
      <c r="S96" s="1076"/>
      <c r="T96" s="1070"/>
      <c r="U96" s="1070"/>
      <c r="V96" s="1070"/>
      <c r="W96" s="1070"/>
      <c r="X96" s="1070"/>
      <c r="Y96" s="1070"/>
      <c r="Z96" s="1070"/>
      <c r="AA96" s="1070"/>
      <c r="AB96" s="1070"/>
      <c r="AC96" s="1070"/>
      <c r="AD96" s="1070"/>
      <c r="AE96" s="1070"/>
      <c r="AF96" s="1070"/>
      <c r="AG96" s="1070"/>
      <c r="AH96" s="1070"/>
      <c r="AI96" s="1070"/>
      <c r="AJ96" s="1070"/>
      <c r="AK96" s="1070"/>
      <c r="AL96" s="1070"/>
      <c r="AM96" s="1070"/>
      <c r="AN96" s="1070"/>
      <c r="AO96" s="1070"/>
      <c r="AP96" s="1070"/>
      <c r="AQ96" s="1070"/>
      <c r="AR96" s="1070"/>
      <c r="AS96" s="1070"/>
      <c r="AT96" s="1070"/>
      <c r="AU96" s="1070"/>
      <c r="AV96" s="1070"/>
    </row>
    <row r="97" spans="1:48" x14ac:dyDescent="0.3">
      <c r="A97" s="1070"/>
      <c r="B97" s="1217" t="s">
        <v>1299</v>
      </c>
      <c r="C97" s="1218"/>
      <c r="D97" s="1219" t="s">
        <v>1300</v>
      </c>
      <c r="E97" s="1220" t="s">
        <v>682</v>
      </c>
      <c r="F97" s="1209"/>
      <c r="G97" s="1070"/>
      <c r="H97" s="1070"/>
      <c r="I97" s="1070"/>
      <c r="J97" s="1070"/>
      <c r="K97" s="1070"/>
      <c r="L97" s="1070"/>
      <c r="M97" s="1070"/>
      <c r="N97" s="1070"/>
      <c r="O97" s="1070"/>
      <c r="P97" s="1070"/>
      <c r="Q97" s="1070"/>
      <c r="R97" s="1070"/>
      <c r="S97" s="1076"/>
      <c r="T97" s="1070"/>
      <c r="U97" s="1070"/>
      <c r="V97" s="1070"/>
      <c r="W97" s="1070"/>
      <c r="X97" s="1070"/>
      <c r="Y97" s="1070"/>
      <c r="Z97" s="1070"/>
      <c r="AA97" s="1070"/>
      <c r="AB97" s="1070"/>
      <c r="AC97" s="1070"/>
      <c r="AD97" s="1070"/>
      <c r="AE97" s="1070"/>
      <c r="AF97" s="1070"/>
      <c r="AG97" s="1070"/>
      <c r="AH97" s="1070"/>
      <c r="AI97" s="1070"/>
      <c r="AJ97" s="1070"/>
      <c r="AK97" s="1070"/>
      <c r="AL97" s="1070"/>
      <c r="AM97" s="1070"/>
      <c r="AN97" s="1070"/>
      <c r="AO97" s="1070"/>
      <c r="AP97" s="1070"/>
      <c r="AQ97" s="1070"/>
      <c r="AR97" s="1070"/>
      <c r="AS97" s="1070"/>
      <c r="AT97" s="1070"/>
      <c r="AU97" s="1070"/>
      <c r="AV97" s="1070"/>
    </row>
    <row r="98" spans="1:48" x14ac:dyDescent="0.3">
      <c r="A98" s="1070"/>
      <c r="B98" s="1221" t="s">
        <v>1301</v>
      </c>
      <c r="C98" s="1222"/>
      <c r="D98" s="1223"/>
      <c r="E98" s="1224"/>
      <c r="F98" s="1209"/>
      <c r="G98" s="1070"/>
      <c r="H98" s="1070"/>
      <c r="I98" s="1070"/>
      <c r="P98" s="1070"/>
      <c r="Q98" s="1070"/>
      <c r="R98" s="1070"/>
      <c r="S98" s="1076"/>
      <c r="T98" s="1070"/>
      <c r="U98" s="1070"/>
      <c r="V98" s="1070"/>
      <c r="W98" s="1070"/>
      <c r="X98" s="1070"/>
      <c r="Y98" s="1070"/>
      <c r="Z98" s="1070"/>
      <c r="AA98" s="1070"/>
      <c r="AB98" s="1070"/>
      <c r="AC98" s="1070"/>
      <c r="AD98" s="1070"/>
      <c r="AE98" s="1070"/>
      <c r="AF98" s="1070"/>
      <c r="AG98" s="1070"/>
      <c r="AH98" s="1070"/>
      <c r="AI98" s="1070"/>
      <c r="AJ98" s="1070"/>
      <c r="AK98" s="1070"/>
      <c r="AL98" s="1070"/>
      <c r="AM98" s="1070"/>
      <c r="AN98" s="1070"/>
      <c r="AO98" s="1070"/>
      <c r="AP98" s="1070"/>
      <c r="AQ98" s="1070"/>
      <c r="AR98" s="1070"/>
      <c r="AS98" s="1070"/>
      <c r="AT98" s="1070"/>
      <c r="AU98" s="1070"/>
      <c r="AV98" s="1070"/>
    </row>
    <row r="99" spans="1:48" x14ac:dyDescent="0.3">
      <c r="A99" s="1070"/>
      <c r="B99" s="1225" t="s">
        <v>1302</v>
      </c>
      <c r="C99" s="1226"/>
      <c r="D99" s="1227" t="s">
        <v>1229</v>
      </c>
      <c r="E99" s="1228" t="s">
        <v>1229</v>
      </c>
      <c r="F99" s="1209"/>
      <c r="G99" s="1070"/>
      <c r="H99" s="1070"/>
      <c r="I99" s="1070"/>
      <c r="P99" s="1070"/>
      <c r="Q99" s="1070"/>
      <c r="R99" s="1070"/>
      <c r="S99" s="1076"/>
      <c r="T99" s="1070"/>
      <c r="U99" s="1070"/>
      <c r="V99" s="1070"/>
      <c r="W99" s="1070"/>
      <c r="X99" s="1070"/>
      <c r="Y99" s="1070"/>
      <c r="Z99" s="1070"/>
      <c r="AA99" s="1070"/>
      <c r="AB99" s="1070"/>
      <c r="AC99" s="1070"/>
      <c r="AD99" s="1070"/>
      <c r="AE99" s="1070"/>
      <c r="AF99" s="1070"/>
      <c r="AG99" s="1070"/>
      <c r="AH99" s="1070"/>
      <c r="AI99" s="1070"/>
      <c r="AJ99" s="1070"/>
      <c r="AK99" s="1070"/>
      <c r="AL99" s="1070"/>
      <c r="AM99" s="1070"/>
      <c r="AN99" s="1070"/>
      <c r="AO99" s="1070"/>
      <c r="AP99" s="1070"/>
      <c r="AQ99" s="1070"/>
      <c r="AR99" s="1070"/>
      <c r="AS99" s="1070"/>
      <c r="AT99" s="1070"/>
      <c r="AU99" s="1070"/>
      <c r="AV99" s="1070"/>
    </row>
    <row r="100" spans="1:48" x14ac:dyDescent="0.3">
      <c r="A100" s="1070"/>
      <c r="B100" s="1221" t="s">
        <v>730</v>
      </c>
      <c r="C100" s="1222"/>
      <c r="D100" s="1229"/>
      <c r="E100" s="1230"/>
      <c r="F100" s="1209"/>
      <c r="G100" s="1070"/>
      <c r="H100" s="1070"/>
      <c r="I100" s="1070"/>
      <c r="P100" s="1070"/>
      <c r="Q100" s="1070"/>
      <c r="R100" s="1070"/>
      <c r="S100" s="1076"/>
      <c r="T100" s="1070"/>
      <c r="U100" s="1070"/>
      <c r="V100" s="1070"/>
      <c r="W100" s="1070"/>
      <c r="X100" s="1070"/>
      <c r="Y100" s="1070"/>
      <c r="Z100" s="1070"/>
      <c r="AA100" s="1070"/>
      <c r="AB100" s="1070"/>
      <c r="AC100" s="1070"/>
      <c r="AD100" s="1070"/>
      <c r="AE100" s="1070"/>
      <c r="AF100" s="1070"/>
      <c r="AG100" s="1070"/>
      <c r="AH100" s="1070"/>
      <c r="AI100" s="1070"/>
      <c r="AJ100" s="1070"/>
      <c r="AK100" s="1070"/>
      <c r="AL100" s="1070"/>
      <c r="AM100" s="1070"/>
      <c r="AN100" s="1070"/>
      <c r="AO100" s="1070"/>
      <c r="AP100" s="1070"/>
      <c r="AQ100" s="1070"/>
      <c r="AR100" s="1070"/>
      <c r="AS100" s="1070"/>
      <c r="AT100" s="1070"/>
      <c r="AU100" s="1070"/>
      <c r="AV100" s="1070"/>
    </row>
    <row r="101" spans="1:48" x14ac:dyDescent="0.3">
      <c r="A101" s="1070"/>
      <c r="B101" s="1225" t="s">
        <v>1303</v>
      </c>
      <c r="C101" s="1226"/>
      <c r="D101" s="1227" t="s">
        <v>1229</v>
      </c>
      <c r="E101" s="1228" t="s">
        <v>1229</v>
      </c>
      <c r="F101" s="1209"/>
      <c r="G101" s="1070"/>
      <c r="H101" s="1070"/>
      <c r="I101" s="1070"/>
      <c r="P101" s="1070"/>
      <c r="Q101" s="1070"/>
      <c r="R101" s="1070"/>
      <c r="S101" s="1076"/>
      <c r="T101" s="1070"/>
      <c r="U101" s="1070"/>
      <c r="V101" s="1070"/>
      <c r="W101" s="1070"/>
      <c r="X101" s="1070"/>
      <c r="Y101" s="1070"/>
      <c r="Z101" s="1070"/>
      <c r="AA101" s="1070"/>
      <c r="AB101" s="1070"/>
      <c r="AC101" s="1070"/>
      <c r="AD101" s="1070"/>
      <c r="AE101" s="1070"/>
      <c r="AF101" s="1070"/>
      <c r="AG101" s="1070"/>
      <c r="AH101" s="1070"/>
      <c r="AI101" s="1070"/>
      <c r="AJ101" s="1070"/>
      <c r="AK101" s="1070"/>
      <c r="AL101" s="1070"/>
      <c r="AM101" s="1070"/>
      <c r="AN101" s="1070"/>
      <c r="AO101" s="1070"/>
      <c r="AP101" s="1070"/>
      <c r="AQ101" s="1070"/>
      <c r="AR101" s="1070"/>
      <c r="AS101" s="1070"/>
      <c r="AT101" s="1070"/>
      <c r="AU101" s="1070"/>
      <c r="AV101" s="1070"/>
    </row>
    <row r="102" spans="1:48" x14ac:dyDescent="0.3">
      <c r="A102" s="1070"/>
      <c r="B102" s="1221" t="s">
        <v>446</v>
      </c>
      <c r="C102" s="1222"/>
      <c r="D102" s="1229"/>
      <c r="E102" s="1230"/>
      <c r="F102" s="1209"/>
      <c r="G102" s="1070"/>
      <c r="H102" s="1070"/>
      <c r="I102" s="1070"/>
      <c r="P102" s="1070"/>
      <c r="Q102" s="1070"/>
      <c r="R102" s="1070"/>
      <c r="S102" s="1076"/>
      <c r="T102" s="1070"/>
      <c r="U102" s="1070"/>
      <c r="V102" s="1070"/>
      <c r="W102" s="1070"/>
      <c r="X102" s="1070"/>
      <c r="Y102" s="1070"/>
      <c r="Z102" s="1070"/>
      <c r="AA102" s="1070"/>
      <c r="AB102" s="1070"/>
      <c r="AC102" s="1070"/>
      <c r="AD102" s="1070"/>
      <c r="AE102" s="1070"/>
      <c r="AF102" s="1070"/>
      <c r="AG102" s="1070"/>
      <c r="AH102" s="1070"/>
      <c r="AI102" s="1070"/>
      <c r="AJ102" s="1070"/>
      <c r="AK102" s="1070"/>
      <c r="AL102" s="1070"/>
      <c r="AM102" s="1070"/>
      <c r="AN102" s="1070"/>
      <c r="AO102" s="1070"/>
      <c r="AP102" s="1070"/>
      <c r="AQ102" s="1070"/>
      <c r="AR102" s="1070"/>
      <c r="AS102" s="1070"/>
      <c r="AT102" s="1070"/>
      <c r="AU102" s="1070"/>
      <c r="AV102" s="1070"/>
    </row>
    <row r="103" spans="1:48" x14ac:dyDescent="0.3">
      <c r="A103" s="1070"/>
      <c r="B103" s="1225" t="s">
        <v>1304</v>
      </c>
      <c r="C103" s="1226"/>
      <c r="D103" s="1227" t="s">
        <v>1229</v>
      </c>
      <c r="E103" s="1228" t="s">
        <v>1229</v>
      </c>
      <c r="F103" s="1209"/>
      <c r="G103" s="1070"/>
      <c r="H103" s="1070"/>
      <c r="I103" s="1070"/>
      <c r="P103" s="1070"/>
      <c r="Q103" s="1070"/>
      <c r="R103" s="1070"/>
      <c r="S103" s="1076"/>
      <c r="T103" s="1070"/>
      <c r="U103" s="1070"/>
      <c r="V103" s="1070"/>
      <c r="W103" s="1070"/>
      <c r="X103" s="1070"/>
      <c r="Y103" s="1070"/>
      <c r="Z103" s="1070"/>
      <c r="AA103" s="1070"/>
      <c r="AB103" s="1070"/>
      <c r="AC103" s="1070"/>
      <c r="AD103" s="1070"/>
      <c r="AE103" s="1070"/>
      <c r="AF103" s="1070"/>
      <c r="AG103" s="1070"/>
      <c r="AH103" s="1070"/>
      <c r="AI103" s="1070"/>
      <c r="AJ103" s="1070"/>
      <c r="AK103" s="1070"/>
      <c r="AL103" s="1070"/>
      <c r="AM103" s="1070"/>
      <c r="AN103" s="1070"/>
      <c r="AO103" s="1070"/>
      <c r="AP103" s="1070"/>
      <c r="AQ103" s="1070"/>
      <c r="AR103" s="1070"/>
      <c r="AS103" s="1070"/>
      <c r="AT103" s="1070"/>
      <c r="AU103" s="1070"/>
      <c r="AV103" s="1070"/>
    </row>
    <row r="104" spans="1:48" x14ac:dyDescent="0.3">
      <c r="A104" s="1070"/>
      <c r="B104" s="1221" t="s">
        <v>1305</v>
      </c>
      <c r="C104" s="1222"/>
      <c r="D104" s="1229"/>
      <c r="E104" s="1230"/>
      <c r="F104" s="1209"/>
      <c r="G104" s="1070"/>
      <c r="H104" s="1070"/>
      <c r="I104" s="1070"/>
      <c r="P104" s="1070"/>
      <c r="Q104" s="1070"/>
      <c r="R104" s="1070"/>
      <c r="S104" s="1076"/>
      <c r="T104" s="1070"/>
      <c r="U104" s="1070"/>
      <c r="V104" s="1070"/>
      <c r="W104" s="1070"/>
      <c r="X104" s="1070"/>
      <c r="Y104" s="1070"/>
      <c r="Z104" s="1070"/>
      <c r="AA104" s="1070"/>
      <c r="AB104" s="1070"/>
      <c r="AC104" s="1070"/>
      <c r="AD104" s="1070"/>
      <c r="AE104" s="1070"/>
      <c r="AF104" s="1070"/>
      <c r="AG104" s="1070"/>
      <c r="AH104" s="1070"/>
      <c r="AI104" s="1070"/>
      <c r="AJ104" s="1070"/>
      <c r="AK104" s="1070"/>
      <c r="AL104" s="1070"/>
      <c r="AM104" s="1070"/>
      <c r="AN104" s="1070"/>
      <c r="AO104" s="1070"/>
      <c r="AP104" s="1070"/>
      <c r="AQ104" s="1070"/>
      <c r="AR104" s="1070"/>
      <c r="AS104" s="1070"/>
      <c r="AT104" s="1070"/>
      <c r="AU104" s="1070"/>
      <c r="AV104" s="1070"/>
    </row>
    <row r="105" spans="1:48" x14ac:dyDescent="0.3">
      <c r="A105" s="1070"/>
      <c r="B105" s="1231" t="s">
        <v>1306</v>
      </c>
      <c r="C105" s="1232"/>
      <c r="D105" s="1233" t="s">
        <v>1229</v>
      </c>
      <c r="E105" s="1179" t="s">
        <v>1229</v>
      </c>
      <c r="F105" s="1209"/>
      <c r="G105" s="1070"/>
      <c r="H105" s="1070"/>
      <c r="I105" s="1070"/>
      <c r="P105" s="1070"/>
      <c r="Q105" s="1070"/>
      <c r="R105" s="1070"/>
      <c r="S105" s="1076"/>
      <c r="T105" s="1070"/>
      <c r="U105" s="1070"/>
      <c r="V105" s="1070"/>
      <c r="W105" s="1070"/>
      <c r="X105" s="1070"/>
      <c r="Y105" s="1070"/>
      <c r="Z105" s="1070"/>
      <c r="AA105" s="1070"/>
      <c r="AB105" s="1070"/>
      <c r="AC105" s="1070"/>
      <c r="AD105" s="1070"/>
      <c r="AE105" s="1070"/>
      <c r="AF105" s="1070"/>
      <c r="AG105" s="1070"/>
      <c r="AH105" s="1070"/>
      <c r="AI105" s="1070"/>
      <c r="AJ105" s="1070"/>
      <c r="AK105" s="1070"/>
      <c r="AL105" s="1070"/>
      <c r="AM105" s="1070"/>
      <c r="AN105" s="1070"/>
      <c r="AO105" s="1070"/>
      <c r="AP105" s="1070"/>
      <c r="AQ105" s="1070"/>
      <c r="AR105" s="1070"/>
      <c r="AS105" s="1070"/>
      <c r="AT105" s="1070"/>
      <c r="AU105" s="1070"/>
      <c r="AV105" s="1070"/>
    </row>
    <row r="106" spans="1:48" x14ac:dyDescent="0.3">
      <c r="A106" s="1070"/>
      <c r="B106" s="1070"/>
      <c r="C106" s="1070"/>
      <c r="D106" s="1070"/>
      <c r="E106" s="1070"/>
      <c r="F106" s="1209"/>
      <c r="G106" s="1070"/>
      <c r="H106" s="1070"/>
      <c r="I106" s="1070"/>
      <c r="J106" s="1142"/>
      <c r="K106" s="1142"/>
      <c r="L106" s="1142"/>
      <c r="M106" s="1142"/>
      <c r="N106" s="1142"/>
      <c r="O106" s="1142"/>
      <c r="P106" s="1070"/>
      <c r="Q106" s="1070"/>
      <c r="R106" s="1070"/>
      <c r="S106" s="1076"/>
      <c r="T106" s="1070"/>
      <c r="U106" s="1070"/>
      <c r="V106" s="1070"/>
      <c r="W106" s="1070"/>
      <c r="X106" s="1070"/>
      <c r="Y106" s="1070"/>
      <c r="Z106" s="1070"/>
      <c r="AA106" s="1070"/>
      <c r="AB106" s="1070"/>
      <c r="AC106" s="1070"/>
      <c r="AD106" s="1070"/>
      <c r="AE106" s="1070"/>
      <c r="AF106" s="1070"/>
      <c r="AG106" s="1070"/>
      <c r="AH106" s="1070"/>
      <c r="AI106" s="1070"/>
      <c r="AJ106" s="1070"/>
      <c r="AK106" s="1070"/>
      <c r="AL106" s="1070"/>
      <c r="AM106" s="1070"/>
      <c r="AN106" s="1070"/>
      <c r="AO106" s="1070"/>
      <c r="AP106" s="1070"/>
      <c r="AQ106" s="1070"/>
      <c r="AR106" s="1070"/>
      <c r="AS106" s="1070"/>
      <c r="AT106" s="1070"/>
      <c r="AU106" s="1070"/>
      <c r="AV106" s="1070"/>
    </row>
    <row r="107" spans="1:48" x14ac:dyDescent="0.3">
      <c r="A107" s="1070"/>
      <c r="B107" s="3144" t="s">
        <v>1307</v>
      </c>
      <c r="C107" s="3145"/>
      <c r="D107" s="3145"/>
      <c r="E107" s="3145"/>
      <c r="F107" s="3145"/>
      <c r="G107" s="3145"/>
      <c r="H107" s="3145"/>
      <c r="I107" s="3145"/>
      <c r="J107" s="3145"/>
      <c r="K107" s="3145"/>
      <c r="L107" s="3145"/>
      <c r="M107" s="3145"/>
      <c r="N107" s="3145"/>
      <c r="O107" s="3145"/>
      <c r="P107" s="3145"/>
      <c r="Q107" s="3146"/>
      <c r="R107" s="1070"/>
      <c r="S107" s="1076"/>
      <c r="T107" s="1070"/>
      <c r="U107" s="1070"/>
      <c r="V107" s="1070"/>
      <c r="W107" s="1070"/>
      <c r="X107" s="1070"/>
      <c r="Y107" s="1070"/>
      <c r="Z107" s="1070"/>
      <c r="AA107" s="1070"/>
      <c r="AB107" s="1070"/>
      <c r="AC107" s="1070"/>
      <c r="AD107" s="1070"/>
      <c r="AE107" s="1070"/>
      <c r="AF107" s="1070"/>
      <c r="AG107" s="1070"/>
      <c r="AH107" s="1070"/>
      <c r="AI107" s="1070"/>
      <c r="AJ107" s="1070"/>
      <c r="AK107" s="1070"/>
      <c r="AL107" s="1070"/>
      <c r="AM107" s="1070"/>
      <c r="AN107" s="1070"/>
      <c r="AO107" s="1070"/>
      <c r="AP107" s="1070"/>
      <c r="AQ107" s="1070"/>
      <c r="AR107" s="1070"/>
      <c r="AS107" s="1070"/>
      <c r="AT107" s="1070"/>
      <c r="AU107" s="1070"/>
      <c r="AV107" s="1070"/>
    </row>
    <row r="108" spans="1:48" ht="15" customHeight="1" x14ac:dyDescent="0.3">
      <c r="A108" s="1070"/>
      <c r="B108" s="3219" t="s">
        <v>1308</v>
      </c>
      <c r="C108" s="3220"/>
      <c r="D108" s="3220"/>
      <c r="E108" s="3220"/>
      <c r="F108" s="3220"/>
      <c r="G108" s="3220"/>
      <c r="H108" s="3220"/>
      <c r="I108" s="3220"/>
      <c r="J108" s="3220"/>
      <c r="K108" s="3220"/>
      <c r="L108" s="3220"/>
      <c r="M108" s="3220"/>
      <c r="N108" s="3220"/>
      <c r="O108" s="3220"/>
      <c r="P108" s="3220"/>
      <c r="Q108" s="3221"/>
      <c r="R108" s="1070"/>
      <c r="S108" s="1076"/>
      <c r="T108" s="1070"/>
      <c r="U108" s="1070"/>
      <c r="V108" s="1070"/>
      <c r="W108" s="1070"/>
      <c r="X108" s="1070"/>
      <c r="Y108" s="1070"/>
      <c r="Z108" s="1070"/>
      <c r="AA108" s="1070"/>
      <c r="AB108" s="1070"/>
      <c r="AC108" s="1070"/>
      <c r="AD108" s="1070"/>
      <c r="AE108" s="1070"/>
      <c r="AF108" s="1070"/>
      <c r="AG108" s="1070"/>
      <c r="AH108" s="1070"/>
      <c r="AI108" s="1070"/>
      <c r="AJ108" s="1070"/>
      <c r="AK108" s="1070"/>
      <c r="AL108" s="1070"/>
      <c r="AM108" s="1070"/>
      <c r="AN108" s="1070"/>
      <c r="AO108" s="1070"/>
      <c r="AP108" s="1070"/>
      <c r="AQ108" s="1070"/>
      <c r="AR108" s="1070"/>
      <c r="AS108" s="1070"/>
      <c r="AT108" s="1070"/>
      <c r="AU108" s="1070"/>
      <c r="AV108" s="1070"/>
    </row>
    <row r="109" spans="1:48" ht="15" customHeight="1" x14ac:dyDescent="0.3">
      <c r="A109" s="1070"/>
      <c r="B109" s="3222"/>
      <c r="C109" s="3223"/>
      <c r="D109" s="3223"/>
      <c r="E109" s="3223"/>
      <c r="F109" s="3223"/>
      <c r="G109" s="3223"/>
      <c r="H109" s="3223"/>
      <c r="I109" s="3223"/>
      <c r="J109" s="3223"/>
      <c r="K109" s="3223"/>
      <c r="L109" s="3223"/>
      <c r="M109" s="3223"/>
      <c r="N109" s="3223"/>
      <c r="O109" s="3223"/>
      <c r="P109" s="3223"/>
      <c r="Q109" s="3224"/>
      <c r="R109" s="1070"/>
      <c r="S109" s="1076"/>
      <c r="T109" s="1070"/>
      <c r="U109" s="1070"/>
      <c r="V109" s="1070"/>
      <c r="W109" s="1070"/>
      <c r="X109" s="1070"/>
      <c r="Y109" s="1070"/>
      <c r="Z109" s="1070"/>
      <c r="AA109" s="1070"/>
      <c r="AB109" s="1070"/>
      <c r="AC109" s="1070"/>
      <c r="AD109" s="1070"/>
      <c r="AE109" s="1070"/>
      <c r="AF109" s="1070"/>
      <c r="AG109" s="1070"/>
      <c r="AH109" s="1070"/>
      <c r="AI109" s="1070"/>
      <c r="AJ109" s="1070"/>
      <c r="AK109" s="1070"/>
      <c r="AL109" s="1070"/>
      <c r="AM109" s="1070"/>
      <c r="AN109" s="1070"/>
      <c r="AO109" s="1070"/>
      <c r="AP109" s="1070"/>
      <c r="AQ109" s="1070"/>
      <c r="AR109" s="1070"/>
      <c r="AS109" s="1070"/>
      <c r="AT109" s="1070"/>
      <c r="AU109" s="1070"/>
      <c r="AV109" s="1070"/>
    </row>
    <row r="110" spans="1:48" ht="15" customHeight="1" x14ac:dyDescent="0.3">
      <c r="A110" s="1070"/>
      <c r="B110" s="3222"/>
      <c r="C110" s="3223"/>
      <c r="D110" s="3223"/>
      <c r="E110" s="3223"/>
      <c r="F110" s="3223"/>
      <c r="G110" s="3223"/>
      <c r="H110" s="3223"/>
      <c r="I110" s="3223"/>
      <c r="J110" s="3223"/>
      <c r="K110" s="3223"/>
      <c r="L110" s="3223"/>
      <c r="M110" s="3223"/>
      <c r="N110" s="3223"/>
      <c r="O110" s="3223"/>
      <c r="P110" s="3223"/>
      <c r="Q110" s="3224"/>
      <c r="R110" s="1070"/>
      <c r="S110" s="1076"/>
      <c r="T110" s="1070"/>
      <c r="U110" s="1070"/>
      <c r="V110" s="1070"/>
      <c r="W110" s="1070"/>
      <c r="X110" s="1070"/>
      <c r="Y110" s="1070"/>
      <c r="Z110" s="1070"/>
      <c r="AA110" s="1070"/>
      <c r="AB110" s="1070"/>
      <c r="AC110" s="1070"/>
      <c r="AD110" s="1070"/>
      <c r="AE110" s="1070"/>
      <c r="AF110" s="1070"/>
      <c r="AG110" s="1070"/>
      <c r="AH110" s="1070"/>
      <c r="AI110" s="1070"/>
      <c r="AJ110" s="1070"/>
      <c r="AK110" s="1070"/>
      <c r="AL110" s="1070"/>
      <c r="AM110" s="1070"/>
      <c r="AN110" s="1070"/>
      <c r="AO110" s="1070"/>
      <c r="AP110" s="1070"/>
      <c r="AQ110" s="1070"/>
      <c r="AR110" s="1070"/>
      <c r="AS110" s="1070"/>
      <c r="AT110" s="1070"/>
      <c r="AU110" s="1070"/>
      <c r="AV110" s="1070"/>
    </row>
    <row r="111" spans="1:48" ht="15" customHeight="1" x14ac:dyDescent="0.3">
      <c r="A111" s="1070"/>
      <c r="B111" s="3222"/>
      <c r="C111" s="3223"/>
      <c r="D111" s="3223"/>
      <c r="E111" s="3223"/>
      <c r="F111" s="3223"/>
      <c r="G111" s="3223"/>
      <c r="H111" s="3223"/>
      <c r="I111" s="3223"/>
      <c r="J111" s="3223"/>
      <c r="K111" s="3223"/>
      <c r="L111" s="3223"/>
      <c r="M111" s="3223"/>
      <c r="N111" s="3223"/>
      <c r="O111" s="3223"/>
      <c r="P111" s="3223"/>
      <c r="Q111" s="3224"/>
      <c r="R111" s="1070"/>
      <c r="S111" s="1076"/>
      <c r="T111" s="1070"/>
      <c r="U111" s="1070"/>
      <c r="V111" s="1070"/>
      <c r="W111" s="1070"/>
      <c r="X111" s="1070"/>
      <c r="Y111" s="1070"/>
      <c r="Z111" s="1070"/>
      <c r="AA111" s="1070"/>
      <c r="AB111" s="1070"/>
      <c r="AC111" s="1070"/>
      <c r="AD111" s="1070"/>
      <c r="AE111" s="1070"/>
      <c r="AF111" s="1070"/>
      <c r="AG111" s="1070"/>
      <c r="AH111" s="1070"/>
      <c r="AI111" s="1070"/>
      <c r="AJ111" s="1070"/>
      <c r="AK111" s="1070"/>
      <c r="AL111" s="1070"/>
      <c r="AM111" s="1070"/>
      <c r="AN111" s="1070"/>
      <c r="AO111" s="1070"/>
      <c r="AP111" s="1070"/>
      <c r="AQ111" s="1070"/>
      <c r="AR111" s="1070"/>
      <c r="AS111" s="1070"/>
      <c r="AT111" s="1070"/>
      <c r="AU111" s="1070"/>
      <c r="AV111" s="1070"/>
    </row>
    <row r="112" spans="1:48" ht="15" customHeight="1" x14ac:dyDescent="0.3">
      <c r="A112" s="1070"/>
      <c r="B112" s="3222"/>
      <c r="C112" s="3223"/>
      <c r="D112" s="3223"/>
      <c r="E112" s="3223"/>
      <c r="F112" s="3223"/>
      <c r="G112" s="3223"/>
      <c r="H112" s="3223"/>
      <c r="I112" s="3223"/>
      <c r="J112" s="3223"/>
      <c r="K112" s="3223"/>
      <c r="L112" s="3223"/>
      <c r="M112" s="3223"/>
      <c r="N112" s="3223"/>
      <c r="O112" s="3223"/>
      <c r="P112" s="3223"/>
      <c r="Q112" s="3224"/>
      <c r="R112" s="1070"/>
      <c r="S112" s="1076"/>
      <c r="T112" s="1070"/>
      <c r="U112" s="1070"/>
      <c r="V112" s="1070"/>
      <c r="W112" s="1070"/>
      <c r="X112" s="1070"/>
      <c r="Y112" s="1070"/>
      <c r="Z112" s="1070"/>
      <c r="AA112" s="1070"/>
      <c r="AB112" s="1070"/>
      <c r="AC112" s="1070"/>
      <c r="AD112" s="1070"/>
      <c r="AE112" s="1070"/>
      <c r="AF112" s="1070"/>
      <c r="AG112" s="1070"/>
      <c r="AH112" s="1070"/>
      <c r="AI112" s="1070"/>
      <c r="AJ112" s="1070"/>
      <c r="AK112" s="1070"/>
      <c r="AL112" s="1070"/>
      <c r="AM112" s="1070"/>
      <c r="AN112" s="1070"/>
      <c r="AO112" s="1070"/>
      <c r="AP112" s="1070"/>
      <c r="AQ112" s="1070"/>
      <c r="AR112" s="1070"/>
      <c r="AS112" s="1070"/>
      <c r="AT112" s="1070"/>
      <c r="AU112" s="1070"/>
      <c r="AV112" s="1070"/>
    </row>
    <row r="113" spans="1:48" ht="15" customHeight="1" x14ac:dyDescent="0.3">
      <c r="A113" s="1070"/>
      <c r="B113" s="3222"/>
      <c r="C113" s="3223"/>
      <c r="D113" s="3223"/>
      <c r="E113" s="3223"/>
      <c r="F113" s="3223"/>
      <c r="G113" s="3223"/>
      <c r="H113" s="3223"/>
      <c r="I113" s="3223"/>
      <c r="J113" s="3223"/>
      <c r="K113" s="3223"/>
      <c r="L113" s="3223"/>
      <c r="M113" s="3223"/>
      <c r="N113" s="3223"/>
      <c r="O113" s="3223"/>
      <c r="P113" s="3223"/>
      <c r="Q113" s="3224"/>
      <c r="R113" s="1070"/>
      <c r="S113" s="1076"/>
      <c r="T113" s="1070"/>
      <c r="U113" s="1070"/>
      <c r="V113" s="1070"/>
      <c r="W113" s="1070"/>
      <c r="X113" s="1070"/>
      <c r="Y113" s="1070"/>
      <c r="Z113" s="1070"/>
      <c r="AA113" s="1070"/>
      <c r="AB113" s="1070"/>
      <c r="AC113" s="1070"/>
      <c r="AD113" s="1070"/>
      <c r="AE113" s="1070"/>
      <c r="AF113" s="1070"/>
      <c r="AG113" s="1070"/>
      <c r="AH113" s="1070"/>
      <c r="AI113" s="1070"/>
      <c r="AJ113" s="1070"/>
      <c r="AK113" s="1070"/>
      <c r="AL113" s="1070"/>
      <c r="AM113" s="1070"/>
      <c r="AN113" s="1070"/>
      <c r="AO113" s="1070"/>
      <c r="AP113" s="1070"/>
      <c r="AQ113" s="1070"/>
      <c r="AR113" s="1070"/>
      <c r="AS113" s="1070"/>
      <c r="AT113" s="1070"/>
      <c r="AU113" s="1070"/>
      <c r="AV113" s="1070"/>
    </row>
    <row r="114" spans="1:48" ht="15" customHeight="1" x14ac:dyDescent="0.3">
      <c r="A114" s="1070"/>
      <c r="B114" s="3222"/>
      <c r="C114" s="3223"/>
      <c r="D114" s="3223"/>
      <c r="E114" s="3223"/>
      <c r="F114" s="3223"/>
      <c r="G114" s="3223"/>
      <c r="H114" s="3223"/>
      <c r="I114" s="3223"/>
      <c r="J114" s="3223"/>
      <c r="K114" s="3223"/>
      <c r="L114" s="3223"/>
      <c r="M114" s="3223"/>
      <c r="N114" s="3223"/>
      <c r="O114" s="3223"/>
      <c r="P114" s="3223"/>
      <c r="Q114" s="3224"/>
      <c r="R114" s="1070"/>
      <c r="S114" s="1076"/>
      <c r="T114" s="1070"/>
      <c r="U114" s="1070"/>
      <c r="V114" s="1070"/>
      <c r="W114" s="1070"/>
      <c r="X114" s="1070"/>
      <c r="Y114" s="1070"/>
      <c r="Z114" s="1070"/>
      <c r="AA114" s="1070"/>
      <c r="AB114" s="1070"/>
      <c r="AC114" s="1070"/>
      <c r="AD114" s="1070"/>
      <c r="AE114" s="1070"/>
      <c r="AF114" s="1070"/>
      <c r="AG114" s="1070"/>
      <c r="AH114" s="1070"/>
      <c r="AI114" s="1070"/>
      <c r="AJ114" s="1070"/>
      <c r="AK114" s="1070"/>
      <c r="AL114" s="1070"/>
      <c r="AM114" s="1070"/>
      <c r="AN114" s="1070"/>
      <c r="AO114" s="1070"/>
      <c r="AP114" s="1070"/>
      <c r="AQ114" s="1070"/>
      <c r="AR114" s="1070"/>
      <c r="AS114" s="1070"/>
      <c r="AT114" s="1070"/>
      <c r="AU114" s="1070"/>
      <c r="AV114" s="1070"/>
    </row>
    <row r="115" spans="1:48" ht="15" customHeight="1" x14ac:dyDescent="0.3">
      <c r="A115" s="1070"/>
      <c r="B115" s="3225"/>
      <c r="C115" s="3226"/>
      <c r="D115" s="3226"/>
      <c r="E115" s="3226"/>
      <c r="F115" s="3226"/>
      <c r="G115" s="3226"/>
      <c r="H115" s="3226"/>
      <c r="I115" s="3226"/>
      <c r="J115" s="3226"/>
      <c r="K115" s="3226"/>
      <c r="L115" s="3226"/>
      <c r="M115" s="3226"/>
      <c r="N115" s="3226"/>
      <c r="O115" s="3226"/>
      <c r="P115" s="3226"/>
      <c r="Q115" s="3227"/>
      <c r="R115" s="1070"/>
      <c r="S115" s="1076"/>
    </row>
    <row r="116" spans="1:48" x14ac:dyDescent="0.3">
      <c r="A116" s="1070"/>
      <c r="B116" s="1070"/>
      <c r="C116" s="1070"/>
      <c r="D116" s="1070"/>
      <c r="E116" s="1070"/>
      <c r="F116" s="3237"/>
      <c r="G116" s="3237"/>
      <c r="H116" s="3237"/>
      <c r="I116" s="1070"/>
      <c r="J116" s="1070"/>
      <c r="K116" s="1070"/>
      <c r="L116" s="1070"/>
      <c r="M116" s="1070"/>
      <c r="N116" s="1070"/>
      <c r="O116" s="1070"/>
      <c r="P116" s="1070"/>
      <c r="Q116" s="1070"/>
      <c r="R116" s="1070"/>
    </row>
    <row r="117" spans="1:48" x14ac:dyDescent="0.3">
      <c r="F117" s="3236"/>
      <c r="G117" s="3236"/>
      <c r="H117" s="3236"/>
      <c r="I117" s="1070"/>
      <c r="J117" s="1070"/>
      <c r="K117" s="1070"/>
      <c r="L117" s="1070"/>
      <c r="M117" s="1070"/>
      <c r="N117" s="1070"/>
      <c r="O117" s="1070"/>
      <c r="P117" s="1070"/>
      <c r="Q117" s="1070"/>
      <c r="R117" s="1070"/>
    </row>
    <row r="118" spans="1:48" x14ac:dyDescent="0.3">
      <c r="F118" s="3236"/>
      <c r="G118" s="3236"/>
      <c r="H118" s="3236"/>
      <c r="I118" s="1070"/>
      <c r="J118" s="1070"/>
      <c r="K118" s="1070"/>
      <c r="L118" s="1070"/>
      <c r="M118" s="1070"/>
      <c r="N118" s="1070"/>
      <c r="O118" s="1070"/>
      <c r="P118" s="1070"/>
      <c r="Q118" s="1070"/>
      <c r="R118" s="1070"/>
    </row>
    <row r="119" spans="1:48" x14ac:dyDescent="0.3">
      <c r="F119" s="3236"/>
      <c r="G119" s="3236"/>
      <c r="H119" s="3236"/>
      <c r="I119" s="1070"/>
      <c r="J119" s="1070"/>
      <c r="K119" s="1070"/>
      <c r="L119" s="1070"/>
      <c r="M119" s="1070"/>
      <c r="N119" s="1070"/>
      <c r="O119" s="1070"/>
      <c r="P119" s="1070"/>
      <c r="Q119" s="1070"/>
      <c r="R119" s="1070"/>
    </row>
    <row r="120" spans="1:48" x14ac:dyDescent="0.3">
      <c r="F120" s="3236"/>
      <c r="G120" s="3236"/>
      <c r="H120" s="3236"/>
      <c r="I120" s="1070"/>
      <c r="J120" s="1070"/>
      <c r="K120" s="1070"/>
      <c r="L120" s="1070"/>
      <c r="M120" s="1070"/>
      <c r="N120" s="1070"/>
      <c r="O120" s="1070"/>
      <c r="P120" s="1070"/>
      <c r="Q120" s="1070"/>
      <c r="R120" s="1070"/>
    </row>
    <row r="121" spans="1:48" x14ac:dyDescent="0.3">
      <c r="F121" s="3236"/>
      <c r="G121" s="3236"/>
      <c r="H121" s="3236"/>
      <c r="I121" s="1070"/>
      <c r="J121" s="1070"/>
      <c r="K121" s="1070"/>
      <c r="L121" s="1070"/>
      <c r="M121" s="1070"/>
      <c r="N121" s="1070"/>
      <c r="O121" s="1070"/>
      <c r="P121" s="1070"/>
      <c r="Q121" s="1070"/>
      <c r="R121" s="1070"/>
    </row>
    <row r="122" spans="1:48" x14ac:dyDescent="0.3">
      <c r="F122" s="3236"/>
      <c r="G122" s="3236"/>
      <c r="H122" s="3236"/>
      <c r="I122" s="1070"/>
      <c r="J122" s="1070"/>
      <c r="K122" s="1070"/>
      <c r="L122" s="1070"/>
      <c r="M122" s="1070"/>
      <c r="N122" s="1070"/>
      <c r="O122" s="1070"/>
      <c r="P122" s="1070"/>
      <c r="Q122" s="1070"/>
      <c r="R122" s="1070"/>
    </row>
    <row r="123" spans="1:48" x14ac:dyDescent="0.3">
      <c r="F123" s="3236"/>
      <c r="G123" s="3236"/>
      <c r="H123" s="3236"/>
      <c r="I123" s="1070"/>
      <c r="J123" s="1070"/>
      <c r="K123" s="1070"/>
      <c r="L123" s="1070"/>
      <c r="M123" s="1070"/>
      <c r="N123" s="1070"/>
      <c r="O123" s="1070"/>
      <c r="P123" s="1070"/>
      <c r="Q123" s="1070"/>
      <c r="R123" s="1070"/>
    </row>
    <row r="124" spans="1:48" x14ac:dyDescent="0.3">
      <c r="F124" s="3236"/>
      <c r="G124" s="3236"/>
      <c r="H124" s="3236"/>
      <c r="I124" s="1070"/>
      <c r="J124" s="1070"/>
      <c r="K124" s="1070"/>
      <c r="L124" s="1070"/>
      <c r="M124" s="1070"/>
      <c r="N124" s="1070"/>
      <c r="O124" s="1070"/>
      <c r="P124" s="1070"/>
      <c r="Q124" s="1070"/>
      <c r="R124" s="1070"/>
    </row>
    <row r="125" spans="1:48" x14ac:dyDescent="0.3">
      <c r="F125" s="3236"/>
      <c r="G125" s="3236"/>
      <c r="H125" s="3236"/>
      <c r="I125" s="1070"/>
      <c r="J125" s="1070"/>
      <c r="K125" s="1070"/>
      <c r="L125" s="1070"/>
      <c r="M125" s="1070"/>
      <c r="N125" s="1070"/>
      <c r="O125" s="1070"/>
      <c r="P125" s="1070"/>
      <c r="Q125" s="1070"/>
      <c r="R125" s="1070"/>
    </row>
    <row r="126" spans="1:48" x14ac:dyDescent="0.3">
      <c r="F126" s="3236"/>
      <c r="G126" s="3236"/>
      <c r="H126" s="3236"/>
      <c r="I126" s="1070"/>
      <c r="J126" s="1070"/>
      <c r="K126" s="1070"/>
      <c r="L126" s="1070"/>
      <c r="M126" s="1070"/>
      <c r="N126" s="1070"/>
      <c r="O126" s="1070"/>
      <c r="P126" s="1070"/>
      <c r="Q126" s="1070"/>
      <c r="R126" s="1070"/>
    </row>
    <row r="127" spans="1:48" x14ac:dyDescent="0.3">
      <c r="F127" s="3236"/>
      <c r="G127" s="3236"/>
      <c r="H127" s="3236"/>
      <c r="I127" s="1070"/>
      <c r="J127" s="1070"/>
      <c r="K127" s="1070"/>
      <c r="L127" s="1070"/>
      <c r="M127" s="1070"/>
      <c r="N127" s="1070"/>
      <c r="O127" s="1070"/>
      <c r="P127" s="1070"/>
      <c r="Q127" s="1070"/>
      <c r="R127" s="1070"/>
    </row>
    <row r="128" spans="1:48" x14ac:dyDescent="0.3">
      <c r="F128" s="3236"/>
      <c r="G128" s="3236"/>
      <c r="H128" s="3236"/>
      <c r="I128" s="1070"/>
      <c r="J128" s="1070"/>
      <c r="K128" s="1070"/>
      <c r="L128" s="1070"/>
      <c r="M128" s="1070"/>
      <c r="N128" s="1070"/>
      <c r="O128" s="1070"/>
      <c r="P128" s="1070"/>
      <c r="Q128" s="1070"/>
      <c r="R128" s="1070"/>
    </row>
    <row r="129" spans="1:18" x14ac:dyDescent="0.3">
      <c r="F129" s="3236"/>
      <c r="G129" s="3236"/>
      <c r="H129" s="3236"/>
      <c r="I129" s="1070"/>
      <c r="J129" s="1070"/>
      <c r="K129" s="1070"/>
      <c r="L129" s="1070"/>
      <c r="M129" s="1070"/>
      <c r="N129" s="1070"/>
      <c r="O129" s="1070"/>
      <c r="P129" s="1070"/>
      <c r="Q129" s="1070"/>
      <c r="R129" s="1070"/>
    </row>
    <row r="130" spans="1:18" x14ac:dyDescent="0.3">
      <c r="F130" s="3236"/>
      <c r="G130" s="3236"/>
      <c r="H130" s="3236"/>
      <c r="I130" s="1070"/>
      <c r="J130" s="1070"/>
      <c r="K130" s="1070"/>
      <c r="L130" s="1070"/>
      <c r="M130" s="1070"/>
      <c r="N130" s="1070"/>
      <c r="O130" s="1070"/>
      <c r="P130" s="1070"/>
      <c r="Q130" s="1070"/>
      <c r="R130" s="1070"/>
    </row>
    <row r="131" spans="1:18" x14ac:dyDescent="0.3">
      <c r="F131" s="3236"/>
      <c r="G131" s="3236"/>
      <c r="H131" s="3236"/>
      <c r="I131" s="1070"/>
      <c r="J131" s="1070"/>
      <c r="K131" s="1070"/>
      <c r="L131" s="1070"/>
      <c r="M131" s="1070"/>
      <c r="N131" s="1070"/>
      <c r="O131" s="1070"/>
      <c r="P131" s="1070"/>
      <c r="Q131" s="1070"/>
      <c r="R131" s="1070"/>
    </row>
    <row r="132" spans="1:18" x14ac:dyDescent="0.3">
      <c r="F132" s="3236"/>
      <c r="G132" s="3236"/>
      <c r="H132" s="3236"/>
      <c r="I132" s="1070"/>
      <c r="J132" s="1070"/>
      <c r="K132" s="1070"/>
      <c r="L132" s="1070"/>
      <c r="M132" s="1070"/>
      <c r="N132" s="1070"/>
      <c r="O132" s="1070"/>
      <c r="P132" s="1070"/>
      <c r="Q132" s="1070"/>
      <c r="R132" s="1070"/>
    </row>
    <row r="133" spans="1:18" x14ac:dyDescent="0.3">
      <c r="F133" s="3236"/>
      <c r="G133" s="3236"/>
      <c r="H133" s="3236"/>
      <c r="I133" s="1070"/>
      <c r="J133" s="1070"/>
      <c r="K133" s="1070"/>
      <c r="L133" s="1070"/>
      <c r="M133" s="1070"/>
      <c r="N133" s="1070"/>
      <c r="O133" s="1070"/>
      <c r="P133" s="1070"/>
      <c r="Q133" s="1070"/>
      <c r="R133" s="1070"/>
    </row>
    <row r="134" spans="1:18" x14ac:dyDescent="0.3">
      <c r="F134" s="3236"/>
      <c r="G134" s="3236"/>
      <c r="H134" s="3236"/>
      <c r="I134" s="1070"/>
      <c r="J134" s="1070"/>
      <c r="K134" s="1070"/>
      <c r="L134" s="1070"/>
      <c r="M134" s="1070"/>
      <c r="N134" s="1070"/>
      <c r="O134" s="1070"/>
      <c r="P134" s="1070"/>
      <c r="Q134" s="1070"/>
      <c r="R134" s="1070"/>
    </row>
    <row r="135" spans="1:18" x14ac:dyDescent="0.3">
      <c r="F135" s="3236"/>
      <c r="G135" s="3236"/>
      <c r="H135" s="3236"/>
      <c r="I135" s="1070"/>
      <c r="J135" s="1070"/>
      <c r="K135" s="1070"/>
      <c r="L135" s="1070"/>
      <c r="M135" s="1070"/>
      <c r="N135" s="1070"/>
      <c r="O135" s="1070"/>
      <c r="P135" s="1070"/>
      <c r="Q135" s="1070"/>
      <c r="R135" s="1070"/>
    </row>
    <row r="136" spans="1:18" x14ac:dyDescent="0.3">
      <c r="F136" s="3236"/>
      <c r="G136" s="3236"/>
      <c r="H136" s="3236"/>
      <c r="I136" s="1070"/>
      <c r="J136" s="1070"/>
      <c r="K136" s="1070"/>
      <c r="L136" s="1070"/>
      <c r="M136" s="1070"/>
      <c r="N136" s="1070"/>
      <c r="O136" s="1070"/>
      <c r="P136" s="1070"/>
      <c r="Q136" s="1070"/>
      <c r="R136" s="1070"/>
    </row>
    <row r="137" spans="1:18" x14ac:dyDescent="0.3">
      <c r="F137" s="3236"/>
      <c r="G137" s="3236"/>
      <c r="H137" s="3236"/>
      <c r="I137" s="1070"/>
      <c r="J137" s="1070"/>
      <c r="K137" s="1070"/>
      <c r="L137" s="1070"/>
      <c r="M137" s="1070"/>
      <c r="N137" s="1070"/>
      <c r="O137" s="1070"/>
      <c r="P137" s="1070"/>
      <c r="Q137" s="1070"/>
      <c r="R137" s="1070"/>
    </row>
    <row r="138" spans="1:18" x14ac:dyDescent="0.3">
      <c r="F138" s="3236"/>
      <c r="G138" s="3236"/>
      <c r="H138" s="3236"/>
      <c r="I138" s="1070"/>
      <c r="J138" s="1070"/>
      <c r="K138" s="1070"/>
      <c r="L138" s="1070"/>
      <c r="M138" s="1070"/>
      <c r="N138" s="1070"/>
      <c r="O138" s="1070"/>
      <c r="P138" s="1070"/>
      <c r="Q138" s="1070"/>
      <c r="R138" s="1070"/>
    </row>
    <row r="139" spans="1:18" x14ac:dyDescent="0.3">
      <c r="F139" s="3236"/>
      <c r="G139" s="3236"/>
      <c r="H139" s="3236"/>
      <c r="I139" s="1070"/>
      <c r="J139" s="1070"/>
      <c r="K139" s="1070"/>
      <c r="L139" s="1070"/>
      <c r="M139" s="1070"/>
      <c r="N139" s="1070"/>
      <c r="O139" s="1070"/>
      <c r="P139" s="1070"/>
      <c r="Q139" s="1070"/>
      <c r="R139" s="1070"/>
    </row>
    <row r="140" spans="1:18" x14ac:dyDescent="0.3">
      <c r="F140" s="3236"/>
      <c r="G140" s="3236"/>
      <c r="H140" s="3236"/>
      <c r="I140" s="1070"/>
      <c r="J140" s="1070"/>
      <c r="K140" s="1070"/>
      <c r="L140" s="1070"/>
      <c r="M140" s="1070"/>
      <c r="N140" s="1070"/>
      <c r="O140" s="1070"/>
      <c r="P140" s="1070"/>
      <c r="Q140" s="1070"/>
      <c r="R140" s="1070"/>
    </row>
    <row r="141" spans="1:18" x14ac:dyDescent="0.3">
      <c r="A141" s="1070"/>
      <c r="B141" s="1070"/>
      <c r="C141" s="1070"/>
      <c r="D141" s="1070"/>
      <c r="E141" s="1070"/>
      <c r="F141" s="1070"/>
      <c r="G141" s="1070"/>
      <c r="H141" s="1070"/>
      <c r="I141" s="1070"/>
      <c r="J141" s="1070"/>
      <c r="K141" s="1070"/>
      <c r="L141" s="1070"/>
      <c r="M141" s="1070"/>
      <c r="N141" s="1070"/>
      <c r="O141" s="1070"/>
      <c r="P141" s="1070"/>
      <c r="Q141" s="1070"/>
      <c r="R141" s="1070"/>
    </row>
    <row r="142" spans="1:18" x14ac:dyDescent="0.3">
      <c r="F142" s="3236"/>
      <c r="G142" s="3236"/>
      <c r="H142" s="3236"/>
    </row>
    <row r="233" spans="7:53" x14ac:dyDescent="0.3">
      <c r="AY233" s="1234" t="s">
        <v>1268</v>
      </c>
      <c r="AZ233" s="1234"/>
      <c r="BA233" s="1234"/>
    </row>
    <row r="238" spans="7:53" x14ac:dyDescent="0.3">
      <c r="G238" s="1235"/>
      <c r="H238" s="1235"/>
      <c r="I238" s="1235"/>
      <c r="J238" s="1235"/>
      <c r="K238" s="1235"/>
    </row>
    <row r="288" spans="9:9" x14ac:dyDescent="0.3">
      <c r="I288" s="1071">
        <f>IF($L$262=1,SUM(G247)/SUM(G246),IF($L$262=2,SUM(G247:H247)/SUM(G246:H246),IF($L$262=3,SUM(G247:I247)/SUM(G246:I246),IF($L$262=4,SUM(G247:J247)/SUM(G246:J246),IF($L$262=5,SUM(G247:K247)/SUM(G246:K246),IF($L$262=6,SUM(G247:L247)/SUM(G246:L246),IF($L$262=7,SUM(G247:M247)/SUM(G246:M246),IF($L$262=8,SUM(G247:N247)/SUM(G246:N246),IF($L$262=9,SUM(G247:O247)/SUM(G246:O246),IF($L$262=10,SUM(G247:P247)/SUM(G246:P246),IF($L$262=11,SUM(G247:Q247)/SUM(G246:Q246),IF($L$262=12,SUM(G247:R247)/SUM(G246:R246),IF($L$262=13,SUM(G245:S245)/SUM(G244:S244),IF($L$262=14,SUM(G245:T245)/SUM(G244:T244),IF($L$262=15,SUM(G245:U245)/SUM(G244:U244),IF($L$262=16,SUM(G245:V245)/SUM(G244:V244),IF($L$262=17,SUM(G245:W245)/SUM(G244:W244),0)))))))))))))))))</f>
        <v>0</v>
      </c>
    </row>
    <row r="611" spans="5:8" x14ac:dyDescent="0.3">
      <c r="E611" s="1071" t="s">
        <v>756</v>
      </c>
      <c r="H611" s="1071" t="s">
        <v>26</v>
      </c>
    </row>
    <row r="612" spans="5:8" x14ac:dyDescent="0.3">
      <c r="E612" s="1071" t="s">
        <v>757</v>
      </c>
      <c r="H612" s="1071" t="s">
        <v>25</v>
      </c>
    </row>
    <row r="613" spans="5:8" x14ac:dyDescent="0.3">
      <c r="E613" s="1071" t="s">
        <v>758</v>
      </c>
      <c r="H613" s="1071" t="s">
        <v>24</v>
      </c>
    </row>
    <row r="614" spans="5:8" x14ac:dyDescent="0.3">
      <c r="E614" s="1071" t="s">
        <v>759</v>
      </c>
    </row>
    <row r="615" spans="5:8" x14ac:dyDescent="0.3">
      <c r="E615" s="1071" t="s">
        <v>1268</v>
      </c>
    </row>
  </sheetData>
  <sheetProtection algorithmName="SHA-512" hashValue="gMkpwrntPTHTc1ftjp2bujgslvsDoEQyKaWfFO0Au6oOEZUQtzTx33qlrmPRYRVzobhWEYnm6gUe9FFU6+6MtQ==" saltValue="VSvMbnLXBtdih/NJz18tpw==" spinCount="100000" sheet="1" scenarios="1" formatCells="0" formatColumns="0" formatRows="0" pivotTables="0"/>
  <mergeCells count="113">
    <mergeCell ref="F140:H140"/>
    <mergeCell ref="F142:H142"/>
    <mergeCell ref="F134:H134"/>
    <mergeCell ref="F135:H135"/>
    <mergeCell ref="F136:H136"/>
    <mergeCell ref="F137:H137"/>
    <mergeCell ref="F138:H138"/>
    <mergeCell ref="F139:H139"/>
    <mergeCell ref="F128:H128"/>
    <mergeCell ref="F129:H129"/>
    <mergeCell ref="F130:H130"/>
    <mergeCell ref="F131:H131"/>
    <mergeCell ref="F132:H132"/>
    <mergeCell ref="F133:H133"/>
    <mergeCell ref="F122:H122"/>
    <mergeCell ref="F123:H123"/>
    <mergeCell ref="F124:H124"/>
    <mergeCell ref="F125:H125"/>
    <mergeCell ref="F126:H126"/>
    <mergeCell ref="F127:H127"/>
    <mergeCell ref="F116:H116"/>
    <mergeCell ref="F117:H117"/>
    <mergeCell ref="F118:H118"/>
    <mergeCell ref="F119:H119"/>
    <mergeCell ref="F120:H120"/>
    <mergeCell ref="F121:H121"/>
    <mergeCell ref="D88:E88"/>
    <mergeCell ref="D92:E92"/>
    <mergeCell ref="D93:E93"/>
    <mergeCell ref="D94:E94"/>
    <mergeCell ref="B107:Q107"/>
    <mergeCell ref="B108:Q115"/>
    <mergeCell ref="D82:E82"/>
    <mergeCell ref="D83:E83"/>
    <mergeCell ref="D84:E84"/>
    <mergeCell ref="D85:E85"/>
    <mergeCell ref="D86:E86"/>
    <mergeCell ref="D87:E87"/>
    <mergeCell ref="D74:E74"/>
    <mergeCell ref="J74:L74"/>
    <mergeCell ref="J75:L75"/>
    <mergeCell ref="D76:E76"/>
    <mergeCell ref="D77:E77"/>
    <mergeCell ref="D78:E78"/>
    <mergeCell ref="D70:E70"/>
    <mergeCell ref="V70:W70"/>
    <mergeCell ref="X70:Y70"/>
    <mergeCell ref="D71:E71"/>
    <mergeCell ref="D72:E72"/>
    <mergeCell ref="D73:E73"/>
    <mergeCell ref="D66:E66"/>
    <mergeCell ref="D67:E67"/>
    <mergeCell ref="D68:E68"/>
    <mergeCell ref="U68:Y68"/>
    <mergeCell ref="D69:E69"/>
    <mergeCell ref="V69:Y69"/>
    <mergeCell ref="AK60:AL60"/>
    <mergeCell ref="AM60:AN60"/>
    <mergeCell ref="AP60:AQ60"/>
    <mergeCell ref="D60:E60"/>
    <mergeCell ref="V60:W60"/>
    <mergeCell ref="AR60:AS60"/>
    <mergeCell ref="X64:Y64"/>
    <mergeCell ref="AC64:AD64"/>
    <mergeCell ref="AH64:AI64"/>
    <mergeCell ref="AM64:AN64"/>
    <mergeCell ref="AR64:AS64"/>
    <mergeCell ref="AM56:AN56"/>
    <mergeCell ref="AP56:AQ56"/>
    <mergeCell ref="AR56:AS56"/>
    <mergeCell ref="X60:Y60"/>
    <mergeCell ref="AA60:AB60"/>
    <mergeCell ref="AC60:AD60"/>
    <mergeCell ref="AF60:AG60"/>
    <mergeCell ref="AH60:AI60"/>
    <mergeCell ref="D56:E56"/>
    <mergeCell ref="F56:H56"/>
    <mergeCell ref="V56:W56"/>
    <mergeCell ref="X56:Y56"/>
    <mergeCell ref="AA56:AB56"/>
    <mergeCell ref="AC56:AD56"/>
    <mergeCell ref="AF56:AG56"/>
    <mergeCell ref="AH56:AI56"/>
    <mergeCell ref="AK56:AL56"/>
    <mergeCell ref="V54:Y54"/>
    <mergeCell ref="AA54:AD54"/>
    <mergeCell ref="AF54:AI54"/>
    <mergeCell ref="AK54:AN54"/>
    <mergeCell ref="AP54:AS54"/>
    <mergeCell ref="D55:E55"/>
    <mergeCell ref="V55:Y55"/>
    <mergeCell ref="AA55:AD55"/>
    <mergeCell ref="AF55:AI55"/>
    <mergeCell ref="AK55:AN55"/>
    <mergeCell ref="AP55:AS55"/>
    <mergeCell ref="D48:E48"/>
    <mergeCell ref="D49:E49"/>
    <mergeCell ref="D51:E51"/>
    <mergeCell ref="D31:P31"/>
    <mergeCell ref="D32:P32"/>
    <mergeCell ref="D33:P33"/>
    <mergeCell ref="D34:P34"/>
    <mergeCell ref="D35:P35"/>
    <mergeCell ref="D36:P36"/>
    <mergeCell ref="D4:F4"/>
    <mergeCell ref="D5:F5"/>
    <mergeCell ref="D10:P10"/>
    <mergeCell ref="D11:P11"/>
    <mergeCell ref="D12:F12"/>
    <mergeCell ref="B14:B29"/>
    <mergeCell ref="B38:E38"/>
    <mergeCell ref="B39:E44"/>
    <mergeCell ref="D47:E47"/>
  </mergeCells>
  <conditionalFormatting sqref="E89">
    <cfRule type="cellIs" dxfId="254" priority="1" operator="greaterThan">
      <formula>$D$69</formula>
    </cfRule>
    <cfRule type="cellIs" dxfId="253" priority="2" operator="lessThanOrEqual">
      <formula>$D$69</formula>
    </cfRule>
  </conditionalFormatting>
  <dataValidations count="2">
    <dataValidation type="list" allowBlank="1" showInputMessage="1" showErrorMessage="1" sqref="E54 G61:G63 G57:G59 E65" xr:uid="{00000000-0002-0000-0100-000000000000}">
      <formula1>$C$13:$C$61</formula1>
    </dataValidation>
    <dataValidation type="list" allowBlank="1" showInputMessage="1" showErrorMessage="1" sqref="D65" xr:uid="{00000000-0002-0000-0100-000001000000}">
      <formula1>$B$13:$B$49</formula1>
    </dataValidation>
  </dataValidations>
  <pageMargins left="0.25" right="0.25" top="0.75" bottom="0.75" header="0.3" footer="0.3"/>
  <pageSetup scale="26" fitToHeight="0" orientation="portrait" r:id="rId1"/>
  <legacyDrawing r:id="rId2"/>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100-000002000000}">
          <x14:formula1>
            <xm:f>PPD_DD_2!$I$117:$I$118</xm:f>
          </x14:formula1>
          <xm:sqref>D12</xm:sqref>
        </x14:dataValidation>
        <x14:dataValidation type="list" allowBlank="1" showInputMessage="1" showErrorMessage="1" xr:uid="{00000000-0002-0000-0100-000003000000}">
          <x14:formula1>
            <xm:f>PPD_DD_2!$F$46:$F$66</xm:f>
          </x14:formula1>
          <xm:sqref>D47:E49</xm:sqref>
        </x14:dataValidation>
        <x14:dataValidation type="list" allowBlank="1" showInputMessage="1" showErrorMessage="1" xr:uid="{00000000-0002-0000-0100-000004000000}">
          <x14:formula1>
            <xm:f>PPD_DD_2!$F$104:$F$117</xm:f>
          </x14:formula1>
          <xm:sqref>D5:F5</xm:sqref>
        </x14:dataValidation>
        <x14:dataValidation type="list" allowBlank="1" showInputMessage="1" showErrorMessage="1" xr:uid="{00000000-0002-0000-0100-000005000000}">
          <x14:formula1>
            <xm:f>PPD_DD_2!$D$104:$D$108</xm:f>
          </x14:formula1>
          <xm:sqref>D4:F4</xm:sqref>
        </x14:dataValidation>
        <x14:dataValidation type="list" allowBlank="1" showInputMessage="1" showErrorMessage="1" xr:uid="{00000000-0002-0000-0100-000006000000}">
          <x14:formula1>
            <xm:f>PPD_DD_2!$G$46:$G$51</xm:f>
          </x14:formula1>
          <xm:sqref>D55:E55 V55:Y55 AA55:AD55 AK55:AN55 AF55:AI55 AP55:AS55</xm:sqref>
        </x14:dataValidation>
        <x14:dataValidation type="list" allowBlank="1" showInputMessage="1" showErrorMessage="1" xr:uid="{00000000-0002-0000-0100-000007000000}">
          <x14:formula1>
            <xm:f>PPD_DD_2!$D$97:$D$101</xm:f>
          </x14:formula1>
          <xm:sqref>D88:E88</xm:sqref>
        </x14:dataValidation>
        <x14:dataValidation type="list" allowBlank="1" showInputMessage="1" showErrorMessage="1" xr:uid="{00000000-0002-0000-0100-000008000000}">
          <x14:formula1>
            <xm:f>PPD_DD_2!$D$87:$D$90</xm:f>
          </x14:formula1>
          <xm:sqref>D70:E71</xm:sqref>
        </x14:dataValidation>
        <x14:dataValidation type="list" allowBlank="1" showInputMessage="1" showErrorMessage="1" xr:uid="{00000000-0002-0000-0100-000009000000}">
          <x14:formula1>
            <xm:f>PPD_DD_2!$G$59:$G$90</xm:f>
          </x14:formula1>
          <xm:sqref>E7:E8</xm:sqref>
        </x14:dataValidation>
        <x14:dataValidation type="list" allowBlank="1" showInputMessage="1" showErrorMessage="1" xr:uid="{00000000-0002-0000-0100-00000A000000}">
          <x14:formula1>
            <xm:f>PPD_DD_2!$I$111:$I$115</xm:f>
          </x14:formula1>
          <xm:sqref>D51:E51</xm:sqref>
        </x14:dataValidation>
        <x14:dataValidation type="list" errorStyle="information" allowBlank="1" showInputMessage="1" showErrorMessage="1" xr:uid="{00000000-0002-0000-0100-00000B000000}">
          <x14:formula1>
            <xm:f>PPD_DD_2!$L$45:$L$103</xm:f>
          </x14:formula1>
          <xm:sqref>B81</xm:sqref>
        </x14:dataValidation>
        <x14:dataValidation type="list" allowBlank="1" showInputMessage="1" showErrorMessage="1" xr:uid="{00000000-0002-0000-0100-00000C000000}">
          <x14:formula1>
            <xm:f>FT_PPD_DD!$D$99:$D$108</xm:f>
          </x14:formula1>
          <xm:sqref>D6</xm:sqref>
        </x14:dataValidation>
        <x14:dataValidation type="list" allowBlank="1" showInputMessage="1" showErrorMessage="1" xr:uid="{00000000-0002-0000-0100-00000D000000}">
          <x14:formula1>
            <xm:f>PPD_DD_2!$D$68:$D$80</xm:f>
          </x14:formula1>
          <xm:sqref>D105 D99 D101 D103 X71:X77 D57:D59 D61:D63 F61:F63 F57:F59 V58:V59 V61:V63 X58:X59 AA58:AA59 AC58:AC59 AF58:AF59 AH58:AH59 AK58:AK59 AM58:AM59 AP58:AP59 AR58:AR59 AA61:AA63 X61:X63 AC61:AC63 AF61:AF63 AH61:AH63 AK61:AK63 AM61:AM63 AP61:AP63 AR61:AR63 V71:V77 D7:D8 D52</xm:sqref>
        </x14:dataValidation>
        <x14:dataValidation type="list" allowBlank="1" showInputMessage="1" showErrorMessage="1" xr:uid="{00000000-0002-0000-0100-00000E000000}">
          <x14:formula1>
            <xm:f>FT_PPD_DD!$B$40:$B$52</xm:f>
          </x14:formula1>
          <xm:sqref>D54</xm:sqref>
        </x14:dataValidation>
        <x14:dataValidation type="list" allowBlank="1" showInputMessage="1" showErrorMessage="1" xr:uid="{00000000-0002-0000-0100-00000F000000}">
          <x14:formula1>
            <xm:f>PPD_DD_2!$E$46:$E$66</xm:f>
          </x14:formula1>
          <xm:sqref>AS61:AS63 E57:E59 E61:E63 H57:H59 H61:H63 E99 E101 E103 Y71:Y77 W58:W59 W71:W77 W61:W63 AS58:AS59 Y58:Y59 AB58:AB59 Y61:Y63 AB61:AB63 AD58:AD59 AG58:AG59 AD61:AD63 AG61:AG63 AI58:AI59 AL58:AL59 AI61:AI63 AL61:AL63 AN58:AN59 AQ58:AQ59 AN61:AN63 AQ61:AQ63 E52 E105 F7:F8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sheetPr>
  <dimension ref="A1:CM286"/>
  <sheetViews>
    <sheetView showGridLines="0" topLeftCell="A41" zoomScale="80" zoomScaleNormal="80" workbookViewId="0">
      <selection activeCell="G51" sqref="G51"/>
    </sheetView>
  </sheetViews>
  <sheetFormatPr defaultColWidth="9.109375" defaultRowHeight="14.4" outlineLevelRow="1" x14ac:dyDescent="0.3"/>
  <cols>
    <col min="1" max="1" width="3.6640625" style="1071" customWidth="1"/>
    <col min="2" max="2" width="13" style="1071" customWidth="1"/>
    <col min="3" max="3" width="9.109375" style="1071"/>
    <col min="4" max="5" width="5.6640625" style="1071" customWidth="1"/>
    <col min="6" max="6" width="11.109375" style="1071" customWidth="1"/>
    <col min="7" max="35" width="11.44140625" style="1071" customWidth="1"/>
    <col min="36" max="36" width="15.5546875" style="1071" customWidth="1"/>
    <col min="37" max="38" width="9.109375" style="1071"/>
    <col min="39" max="39" width="13.88671875" style="1071" customWidth="1"/>
    <col min="40" max="41" width="9.109375" style="1071"/>
    <col min="42" max="71" width="11" style="1071" customWidth="1"/>
    <col min="72" max="72" width="11.6640625" style="1071" customWidth="1"/>
    <col min="73" max="74" width="11.44140625" style="1071" customWidth="1"/>
    <col min="75" max="75" width="14.44140625" style="1071" customWidth="1"/>
    <col min="76" max="76" width="11.33203125" style="1071" bestFit="1" customWidth="1"/>
    <col min="77" max="81" width="9.109375" style="1071"/>
    <col min="82" max="83" width="10.5546875" style="1071" customWidth="1"/>
    <col min="84" max="86" width="9.109375" style="1071"/>
    <col min="87" max="88" width="10.6640625" style="1071" customWidth="1"/>
    <col min="89" max="16384" width="9.109375" style="1071"/>
  </cols>
  <sheetData>
    <row r="1" spans="1:76" s="1236" customFormat="1" x14ac:dyDescent="0.3">
      <c r="A1" s="1082"/>
      <c r="B1" s="1080"/>
      <c r="C1" s="1082"/>
      <c r="D1" s="1082"/>
      <c r="E1" s="1082"/>
      <c r="F1" s="1082"/>
      <c r="G1" s="1082"/>
      <c r="H1" s="1082"/>
      <c r="I1" s="1082"/>
      <c r="J1" s="1082"/>
      <c r="K1" s="1082"/>
      <c r="L1" s="1082"/>
      <c r="M1" s="1082"/>
      <c r="N1" s="1082"/>
      <c r="O1" s="1082"/>
      <c r="P1" s="1082"/>
      <c r="Q1" s="1082"/>
      <c r="R1" s="1082"/>
      <c r="S1" s="1082"/>
      <c r="T1" s="1082"/>
      <c r="U1" s="1082"/>
      <c r="V1" s="1082"/>
      <c r="W1" s="1082"/>
      <c r="X1" s="1082"/>
      <c r="Y1" s="1082"/>
      <c r="Z1" s="1082"/>
      <c r="AA1" s="1082"/>
      <c r="AB1" s="1082"/>
      <c r="AC1" s="1082"/>
      <c r="AD1" s="1082"/>
      <c r="AE1" s="1082"/>
      <c r="AF1" s="1082"/>
      <c r="AG1" s="1082"/>
      <c r="AH1" s="1082"/>
      <c r="AI1" s="1082"/>
      <c r="AJ1" s="1082"/>
      <c r="AK1" s="1082"/>
      <c r="AL1" s="1082"/>
      <c r="AM1" s="1082"/>
      <c r="AN1" s="1082"/>
      <c r="AO1" s="1082"/>
      <c r="AP1" s="1082"/>
      <c r="AQ1" s="1082"/>
      <c r="AR1" s="1082"/>
      <c r="AS1" s="1082"/>
      <c r="AT1" s="1082"/>
      <c r="AU1" s="1082"/>
      <c r="AV1" s="1082"/>
      <c r="AW1" s="1082"/>
      <c r="AX1" s="1082"/>
      <c r="AY1" s="1082"/>
      <c r="AZ1" s="1082"/>
      <c r="BA1" s="1082"/>
      <c r="BB1" s="1082"/>
      <c r="BC1" s="1082"/>
      <c r="BD1" s="1082"/>
      <c r="BE1" s="1082"/>
      <c r="BF1" s="1082"/>
      <c r="BG1" s="1082"/>
      <c r="BH1" s="1082"/>
      <c r="BI1" s="1082"/>
      <c r="BJ1" s="1082"/>
      <c r="BK1" s="1082"/>
      <c r="BL1" s="1082"/>
      <c r="BM1" s="1082"/>
      <c r="BN1" s="1082"/>
      <c r="BO1" s="1082"/>
      <c r="BP1" s="1082"/>
      <c r="BQ1" s="1082"/>
      <c r="BR1" s="1082"/>
      <c r="BS1" s="1082"/>
      <c r="BT1" s="1082"/>
      <c r="BU1" s="1082"/>
      <c r="BV1" s="1082"/>
      <c r="BW1" s="1082"/>
      <c r="BX1" s="1082"/>
    </row>
    <row r="2" spans="1:76" s="1236" customFormat="1" x14ac:dyDescent="0.3">
      <c r="A2" s="1082"/>
      <c r="B2" s="1080" t="s">
        <v>1309</v>
      </c>
      <c r="C2" s="1082"/>
      <c r="D2" s="1082"/>
      <c r="E2" s="1082"/>
      <c r="F2" s="1082"/>
      <c r="G2" s="1082"/>
      <c r="H2" s="1082"/>
      <c r="I2" s="1082"/>
      <c r="J2" s="1082"/>
      <c r="K2" s="1082"/>
      <c r="L2" s="1082"/>
      <c r="M2" s="1082"/>
      <c r="N2" s="1082"/>
      <c r="O2" s="1082"/>
      <c r="P2" s="1082"/>
      <c r="Q2" s="1082"/>
      <c r="R2" s="1082"/>
      <c r="S2" s="1082"/>
      <c r="T2" s="1082"/>
      <c r="U2" s="1082"/>
      <c r="V2" s="1082"/>
      <c r="W2" s="1082"/>
      <c r="X2" s="1082"/>
      <c r="Y2" s="1082"/>
      <c r="Z2" s="1082"/>
      <c r="AA2" s="1082"/>
      <c r="AB2" s="1082"/>
      <c r="AC2" s="1082"/>
      <c r="AD2" s="1082"/>
      <c r="AE2" s="1082"/>
      <c r="AF2" s="1082"/>
      <c r="AG2" s="1082"/>
      <c r="AH2" s="1082"/>
      <c r="AI2" s="1082"/>
      <c r="AJ2" s="1082"/>
      <c r="AK2" s="1082"/>
      <c r="AL2" s="1082"/>
      <c r="AM2" s="1082"/>
      <c r="AN2" s="1082"/>
      <c r="AO2" s="1082"/>
      <c r="AP2" s="1082"/>
      <c r="AQ2" s="1082"/>
      <c r="AR2" s="1082"/>
      <c r="AS2" s="1082"/>
      <c r="AT2" s="1082"/>
      <c r="AU2" s="1082"/>
      <c r="AV2" s="1082"/>
      <c r="AW2" s="1082"/>
      <c r="AX2" s="1082"/>
      <c r="AY2" s="1082"/>
      <c r="AZ2" s="1082"/>
      <c r="BA2" s="1082"/>
      <c r="BB2" s="1082"/>
      <c r="BC2" s="1082"/>
      <c r="BD2" s="1082"/>
      <c r="BE2" s="1082"/>
      <c r="BF2" s="1082"/>
      <c r="BG2" s="1082"/>
      <c r="BH2" s="1082"/>
      <c r="BI2" s="1082"/>
      <c r="BJ2" s="1082"/>
      <c r="BK2" s="1082"/>
      <c r="BL2" s="1082"/>
      <c r="BM2" s="1082"/>
      <c r="BN2" s="1082"/>
      <c r="BO2" s="1082"/>
      <c r="BP2" s="1082"/>
      <c r="BQ2" s="1082"/>
      <c r="BR2" s="1082"/>
      <c r="BS2" s="1082"/>
      <c r="BT2" s="1082"/>
      <c r="BU2" s="1082"/>
      <c r="BV2" s="1082"/>
      <c r="BW2" s="1082"/>
      <c r="BX2" s="1082"/>
    </row>
    <row r="3" spans="1:76" s="1236" customFormat="1" x14ac:dyDescent="0.3">
      <c r="A3" s="1082"/>
      <c r="B3" s="1237"/>
      <c r="C3" s="1082"/>
      <c r="D3" s="1082"/>
      <c r="E3" s="1082"/>
      <c r="F3" s="1082"/>
      <c r="G3" s="1082"/>
      <c r="H3" s="1082"/>
      <c r="I3" s="1082"/>
      <c r="J3" s="1082"/>
      <c r="K3" s="1082"/>
      <c r="L3" s="1082"/>
      <c r="M3" s="1082"/>
      <c r="N3" s="1082"/>
      <c r="O3" s="1082"/>
      <c r="P3" s="1082"/>
      <c r="Q3" s="1082"/>
      <c r="R3" s="1082"/>
      <c r="S3" s="1082"/>
      <c r="T3" s="1082"/>
      <c r="U3" s="1082"/>
      <c r="V3" s="1082"/>
      <c r="W3" s="1082"/>
      <c r="X3" s="1082"/>
      <c r="Y3" s="1082"/>
      <c r="Z3" s="1082"/>
      <c r="AA3" s="1082"/>
      <c r="AB3" s="1082"/>
      <c r="AC3" s="1082"/>
      <c r="AD3" s="1082"/>
      <c r="AE3" s="1082"/>
      <c r="AF3" s="1082"/>
      <c r="AG3" s="1082"/>
      <c r="AH3" s="1082"/>
      <c r="AI3" s="1082"/>
      <c r="AJ3" s="1082"/>
      <c r="AK3" s="1082"/>
      <c r="AL3" s="1082"/>
      <c r="AM3" s="1082"/>
      <c r="AN3" s="1082"/>
      <c r="AO3" s="1082"/>
      <c r="AP3" s="1082"/>
      <c r="AQ3" s="1082"/>
      <c r="AR3" s="1082"/>
      <c r="AS3" s="1082"/>
      <c r="AT3" s="1082"/>
      <c r="AU3" s="1082"/>
      <c r="AV3" s="1082"/>
      <c r="AW3" s="1082"/>
      <c r="AX3" s="1082"/>
      <c r="AY3" s="1082"/>
      <c r="AZ3" s="1082"/>
      <c r="BA3" s="1082"/>
      <c r="BB3" s="1082"/>
      <c r="BC3" s="1082"/>
      <c r="BD3" s="1082"/>
      <c r="BE3" s="1082"/>
      <c r="BF3" s="1082"/>
      <c r="BG3" s="1082"/>
      <c r="BH3" s="1082"/>
      <c r="BI3" s="1082"/>
      <c r="BJ3" s="1082"/>
      <c r="BK3" s="1082"/>
      <c r="BL3" s="1082"/>
      <c r="BM3" s="1082"/>
      <c r="BN3" s="1082"/>
      <c r="BO3" s="1082"/>
      <c r="BP3" s="1082"/>
      <c r="BQ3" s="1082"/>
      <c r="BR3" s="1082"/>
      <c r="BS3" s="1082"/>
      <c r="BT3" s="1082"/>
      <c r="BU3" s="1082"/>
      <c r="BV3" s="1082"/>
      <c r="BW3" s="1082"/>
      <c r="BX3" s="1082"/>
    </row>
    <row r="4" spans="1:76" s="1236" customFormat="1" x14ac:dyDescent="0.3">
      <c r="A4" s="1082"/>
      <c r="B4" s="1237" t="s">
        <v>1310</v>
      </c>
      <c r="C4" s="1082"/>
      <c r="D4" s="1082"/>
      <c r="E4" s="1082"/>
      <c r="F4" s="1082"/>
      <c r="G4" s="1082"/>
      <c r="H4" s="1082"/>
      <c r="I4" s="1082"/>
      <c r="J4" s="1082"/>
      <c r="K4" s="1082"/>
      <c r="L4" s="1082"/>
      <c r="M4" s="1082"/>
      <c r="N4" s="1082"/>
      <c r="O4" s="1082"/>
      <c r="P4" s="1082"/>
      <c r="Q4" s="1082"/>
      <c r="R4" s="1082"/>
      <c r="S4" s="1082"/>
      <c r="T4" s="1082"/>
      <c r="U4" s="1082"/>
      <c r="V4" s="1082"/>
      <c r="W4" s="1082"/>
      <c r="X4" s="1082"/>
      <c r="Y4" s="1082"/>
      <c r="Z4" s="1082"/>
      <c r="AA4" s="1082"/>
      <c r="AB4" s="1082"/>
      <c r="AC4" s="1082"/>
      <c r="AD4" s="1082"/>
      <c r="AE4" s="1082"/>
      <c r="AF4" s="1082"/>
      <c r="AG4" s="1082"/>
      <c r="AH4" s="1082"/>
      <c r="AI4" s="1082"/>
      <c r="AJ4" s="1082"/>
      <c r="AK4" s="1082"/>
      <c r="AL4" s="1082"/>
      <c r="AM4" s="1082"/>
      <c r="AN4" s="1082"/>
      <c r="AO4" s="1082"/>
      <c r="AP4" s="1082"/>
      <c r="AQ4" s="1082"/>
      <c r="AR4" s="1082"/>
      <c r="AS4" s="1082"/>
      <c r="AT4" s="1082"/>
      <c r="AU4" s="1082"/>
      <c r="AV4" s="1082"/>
      <c r="AW4" s="1082"/>
      <c r="AX4" s="1082"/>
      <c r="AY4" s="1082"/>
      <c r="AZ4" s="1082"/>
      <c r="BA4" s="1082"/>
      <c r="BB4" s="1082"/>
      <c r="BC4" s="1082"/>
      <c r="BD4" s="1082"/>
      <c r="BE4" s="1082"/>
      <c r="BF4" s="1082"/>
      <c r="BG4" s="1082"/>
      <c r="BH4" s="1082"/>
      <c r="BI4" s="1082"/>
      <c r="BJ4" s="1082"/>
      <c r="BK4" s="1082"/>
      <c r="BL4" s="1082"/>
      <c r="BM4" s="1082"/>
      <c r="BN4" s="1082"/>
      <c r="BO4" s="1082"/>
      <c r="BP4" s="1082"/>
      <c r="BQ4" s="1082"/>
      <c r="BR4" s="1082"/>
      <c r="BS4" s="1082"/>
      <c r="BT4" s="1082"/>
      <c r="BU4" s="1082"/>
      <c r="BV4" s="1082"/>
      <c r="BW4" s="1082"/>
      <c r="BX4" s="1082"/>
    </row>
    <row r="5" spans="1:76" s="1236" customFormat="1" ht="15" thickBot="1" x14ac:dyDescent="0.35">
      <c r="A5" s="1082"/>
      <c r="B5" s="1237"/>
      <c r="C5" s="1082"/>
      <c r="D5" s="1082"/>
      <c r="E5" s="1082"/>
      <c r="F5" s="1082"/>
      <c r="G5" s="1082"/>
      <c r="H5" s="1082"/>
      <c r="I5" s="1082"/>
      <c r="J5" s="1082"/>
      <c r="K5" s="1082"/>
      <c r="L5" s="1082"/>
      <c r="M5" s="1082"/>
      <c r="N5" s="1082"/>
      <c r="O5" s="1082"/>
      <c r="P5" s="1082"/>
      <c r="Q5" s="1082"/>
      <c r="R5" s="1082"/>
      <c r="S5" s="1082"/>
      <c r="T5" s="1082"/>
      <c r="U5" s="1082"/>
      <c r="V5" s="1082"/>
      <c r="W5" s="1082"/>
      <c r="X5" s="1082"/>
      <c r="Y5" s="1082"/>
      <c r="Z5" s="1082"/>
      <c r="AA5" s="1082"/>
      <c r="AB5" s="1082"/>
      <c r="AC5" s="1082"/>
      <c r="AD5" s="1082"/>
      <c r="AE5" s="1082"/>
      <c r="AF5" s="1082"/>
      <c r="AG5" s="1082"/>
      <c r="AH5" s="1082"/>
      <c r="AI5" s="1082"/>
      <c r="AJ5" s="1082"/>
      <c r="AK5" s="1082"/>
      <c r="AL5" s="1082"/>
      <c r="AM5" s="1082"/>
      <c r="AN5" s="1082"/>
      <c r="AO5" s="1082"/>
      <c r="AP5" s="1082"/>
      <c r="AQ5" s="1082"/>
      <c r="AR5" s="1082"/>
      <c r="AS5" s="1082"/>
      <c r="AT5" s="1082"/>
      <c r="AU5" s="1082"/>
      <c r="AV5" s="1082"/>
      <c r="AW5" s="1082"/>
      <c r="AX5" s="1082"/>
      <c r="AY5" s="1082"/>
      <c r="AZ5" s="1082"/>
      <c r="BA5" s="1082"/>
      <c r="BB5" s="1082"/>
      <c r="BC5" s="1082"/>
      <c r="BD5" s="1082"/>
      <c r="BE5" s="1082"/>
      <c r="BF5" s="1082"/>
      <c r="BG5" s="1082"/>
      <c r="BH5" s="1082"/>
      <c r="BI5" s="1082"/>
      <c r="BJ5" s="1082"/>
      <c r="BK5" s="1082"/>
      <c r="BL5" s="1082"/>
      <c r="BM5" s="1082"/>
      <c r="BN5" s="1082"/>
      <c r="BO5" s="1082"/>
      <c r="BP5" s="1082"/>
      <c r="BQ5" s="1082"/>
      <c r="BR5" s="1082"/>
      <c r="BS5" s="1082"/>
      <c r="BT5" s="1082"/>
      <c r="BU5" s="1082"/>
      <c r="BV5" s="1082"/>
      <c r="BW5" s="1082"/>
      <c r="BX5" s="1082"/>
    </row>
    <row r="6" spans="1:76" ht="18.600000000000001" thickBot="1" x14ac:dyDescent="0.4">
      <c r="A6" s="1070"/>
      <c r="B6" s="3238" t="s">
        <v>1311</v>
      </c>
      <c r="C6" s="3239"/>
      <c r="D6" s="3239"/>
      <c r="E6" s="3239"/>
      <c r="F6" s="3239"/>
      <c r="G6" s="3239"/>
      <c r="H6" s="3239"/>
      <c r="I6" s="3239"/>
      <c r="J6" s="3239"/>
      <c r="K6" s="3239"/>
      <c r="L6" s="3239"/>
      <c r="M6" s="3239"/>
      <c r="N6" s="3239"/>
      <c r="O6" s="3239"/>
      <c r="P6" s="3239"/>
      <c r="Q6" s="3239"/>
      <c r="R6" s="3239"/>
      <c r="S6" s="3239"/>
      <c r="T6" s="3239"/>
      <c r="U6" s="3239"/>
      <c r="V6" s="3239"/>
      <c r="W6" s="3239"/>
      <c r="X6" s="3239"/>
      <c r="Y6" s="3239"/>
      <c r="Z6" s="3239"/>
      <c r="AA6" s="3239"/>
      <c r="AB6" s="3239"/>
      <c r="AC6" s="3239"/>
      <c r="AD6" s="3239"/>
      <c r="AE6" s="3239"/>
      <c r="AF6" s="3239"/>
      <c r="AG6" s="3239"/>
      <c r="AH6" s="3239"/>
      <c r="AI6" s="3239"/>
      <c r="AJ6" s="3239"/>
      <c r="AK6" s="3239"/>
      <c r="AL6" s="3239"/>
      <c r="AM6" s="3240"/>
      <c r="AN6" s="1070"/>
      <c r="AO6" s="1070"/>
      <c r="AP6" s="3238" t="s">
        <v>1312</v>
      </c>
      <c r="AQ6" s="3239"/>
      <c r="AR6" s="3239"/>
      <c r="AS6" s="3239"/>
      <c r="AT6" s="3239"/>
      <c r="AU6" s="3239"/>
      <c r="AV6" s="3239"/>
      <c r="AW6" s="3239"/>
      <c r="AX6" s="3239"/>
      <c r="AY6" s="3239"/>
      <c r="AZ6" s="3239"/>
      <c r="BA6" s="3239"/>
      <c r="BB6" s="3239"/>
      <c r="BC6" s="3239"/>
      <c r="BD6" s="3239"/>
      <c r="BE6" s="3239"/>
      <c r="BF6" s="3239"/>
      <c r="BG6" s="3239"/>
      <c r="BH6" s="3239"/>
      <c r="BI6" s="3239"/>
      <c r="BJ6" s="3239"/>
      <c r="BK6" s="3239"/>
      <c r="BL6" s="3239"/>
      <c r="BM6" s="3239"/>
      <c r="BN6" s="3239"/>
      <c r="BO6" s="3239"/>
      <c r="BP6" s="3239"/>
      <c r="BQ6" s="3239"/>
      <c r="BR6" s="3239"/>
      <c r="BS6" s="3239"/>
      <c r="BT6" s="3239"/>
      <c r="BU6" s="3239"/>
      <c r="BV6" s="3239"/>
      <c r="BW6" s="3240"/>
      <c r="BX6" s="1070"/>
    </row>
    <row r="7" spans="1:76" x14ac:dyDescent="0.3">
      <c r="A7" s="1070"/>
      <c r="B7" s="1070"/>
      <c r="C7" s="1070"/>
      <c r="D7" s="1070"/>
      <c r="E7" s="1070"/>
      <c r="F7" s="1070"/>
      <c r="G7" s="1070"/>
      <c r="H7" s="1070"/>
      <c r="I7" s="1070"/>
      <c r="J7" s="1070"/>
      <c r="K7" s="1070"/>
      <c r="L7" s="1070"/>
      <c r="M7" s="1070"/>
      <c r="N7" s="1070"/>
      <c r="O7" s="1070"/>
      <c r="P7" s="1070"/>
      <c r="Q7" s="1070"/>
      <c r="R7" s="1070"/>
      <c r="S7" s="1070"/>
      <c r="T7" s="1070"/>
      <c r="U7" s="1070"/>
      <c r="V7" s="1070"/>
      <c r="W7" s="1070"/>
      <c r="X7" s="1070"/>
      <c r="Y7" s="1070"/>
      <c r="Z7" s="1070"/>
      <c r="AA7" s="1070"/>
      <c r="AB7" s="1070"/>
      <c r="AC7" s="1070"/>
      <c r="AD7" s="1070"/>
      <c r="AE7" s="1070"/>
      <c r="AF7" s="1070"/>
      <c r="AG7" s="1070"/>
      <c r="AH7" s="1070"/>
      <c r="AI7" s="1070"/>
      <c r="AJ7" s="1070"/>
      <c r="AK7" s="1070"/>
      <c r="AL7" s="1070"/>
      <c r="AM7" s="1070"/>
      <c r="AN7" s="1070"/>
      <c r="AO7" s="1070"/>
      <c r="AP7" s="1070"/>
      <c r="AQ7" s="1070"/>
      <c r="AR7" s="1070"/>
      <c r="AS7" s="1070"/>
      <c r="AT7" s="1070"/>
      <c r="AU7" s="1070"/>
      <c r="AV7" s="1070"/>
      <c r="AW7" s="1070"/>
      <c r="AX7" s="1070"/>
      <c r="AY7" s="1070"/>
      <c r="AZ7" s="1070"/>
      <c r="BA7" s="1070"/>
      <c r="BB7" s="1070"/>
      <c r="BC7" s="1070"/>
      <c r="BD7" s="1070"/>
      <c r="BE7" s="1070"/>
      <c r="BF7" s="1070"/>
      <c r="BG7" s="1070"/>
      <c r="BH7" s="1070"/>
      <c r="BI7" s="1070"/>
      <c r="BJ7" s="1070"/>
      <c r="BK7" s="1070"/>
      <c r="BL7" s="1070"/>
      <c r="BM7" s="1070"/>
      <c r="BN7" s="1070"/>
      <c r="BO7" s="1070"/>
      <c r="BP7" s="1070"/>
      <c r="BQ7" s="1070"/>
      <c r="BR7" s="1070"/>
      <c r="BS7" s="1070"/>
      <c r="BT7" s="1070"/>
      <c r="BU7" s="1070"/>
      <c r="BV7" s="1070"/>
      <c r="BW7" s="1070"/>
      <c r="BX7" s="1070"/>
    </row>
    <row r="8" spans="1:76" ht="18" x14ac:dyDescent="0.3">
      <c r="A8" s="1070"/>
      <c r="B8" s="1070"/>
      <c r="C8" s="1070"/>
      <c r="D8" s="1070"/>
      <c r="E8" s="1070"/>
      <c r="F8" s="1070"/>
      <c r="G8" s="1070"/>
      <c r="H8" s="1070"/>
      <c r="I8" s="1070"/>
      <c r="J8" s="1070"/>
      <c r="K8" s="1070"/>
      <c r="L8" s="1070"/>
      <c r="M8" s="1070"/>
      <c r="N8" s="1070"/>
      <c r="O8" s="1070"/>
      <c r="P8" s="1070"/>
      <c r="Q8" s="1070"/>
      <c r="R8" s="1070"/>
      <c r="S8" s="1070"/>
      <c r="T8" s="1070"/>
      <c r="U8" s="1070"/>
      <c r="V8" s="1070"/>
      <c r="W8" s="1070"/>
      <c r="X8" s="1070"/>
      <c r="Y8" s="1070"/>
      <c r="Z8" s="1070"/>
      <c r="AA8" s="1070"/>
      <c r="AB8" s="1070"/>
      <c r="AC8" s="1070"/>
      <c r="AD8" s="1070"/>
      <c r="AE8" s="1070"/>
      <c r="AF8" s="1070"/>
      <c r="AG8" s="1070"/>
      <c r="AH8" s="1070"/>
      <c r="AI8" s="1070"/>
      <c r="AJ8" s="3241" t="s">
        <v>1313</v>
      </c>
      <c r="AK8" s="3242"/>
      <c r="AL8" s="1238"/>
      <c r="AM8" s="1239" t="s">
        <v>1314</v>
      </c>
      <c r="AN8" s="1070"/>
      <c r="AO8" s="1070"/>
      <c r="AP8" s="1070"/>
      <c r="AQ8" s="1070"/>
      <c r="AR8" s="1070"/>
      <c r="AS8" s="1070"/>
      <c r="AT8" s="1070"/>
      <c r="AU8" s="1070"/>
      <c r="AV8" s="1070"/>
      <c r="AW8" s="1070"/>
      <c r="AX8" s="1070"/>
      <c r="AY8" s="1070"/>
      <c r="AZ8" s="1070"/>
      <c r="BA8" s="1070"/>
      <c r="BB8" s="1070"/>
      <c r="BC8" s="1070"/>
      <c r="BD8" s="1070"/>
      <c r="BE8" s="1070"/>
      <c r="BF8" s="1070"/>
      <c r="BG8" s="1070"/>
      <c r="BH8" s="1070"/>
      <c r="BI8" s="1070"/>
      <c r="BJ8" s="1070"/>
      <c r="BK8" s="1070"/>
      <c r="BL8" s="1070"/>
      <c r="BM8" s="1070"/>
      <c r="BN8" s="1070"/>
      <c r="BO8" s="1070"/>
      <c r="BP8" s="1070"/>
      <c r="BQ8" s="1070"/>
      <c r="BR8" s="1070"/>
      <c r="BS8" s="1070"/>
      <c r="BT8" s="1082"/>
      <c r="BU8" s="1082"/>
      <c r="BV8" s="1082"/>
      <c r="BW8" s="1082"/>
      <c r="BX8" s="1070"/>
    </row>
    <row r="9" spans="1:76" ht="17.25" customHeight="1" x14ac:dyDescent="0.3">
      <c r="A9" s="1082"/>
      <c r="B9" s="1240"/>
      <c r="C9" s="1241"/>
      <c r="D9" s="1241"/>
      <c r="E9" s="1241"/>
      <c r="F9" s="1242" t="s">
        <v>739</v>
      </c>
      <c r="G9" s="1243" t="str">
        <f>Calc!G125</f>
        <v>FY18</v>
      </c>
      <c r="H9" s="1243" t="str">
        <f>Calc!H125</f>
        <v>FY19</v>
      </c>
      <c r="I9" s="1243" t="str">
        <f>Calc!I125</f>
        <v>FY20</v>
      </c>
      <c r="J9" s="1243" t="str">
        <f>Calc!J125</f>
        <v>FY21</v>
      </c>
      <c r="K9" s="1244" t="str">
        <f>Calc!K125</f>
        <v>FY22</v>
      </c>
      <c r="L9" s="1244" t="str">
        <f>Calc!L125</f>
        <v>FY23</v>
      </c>
      <c r="M9" s="1244" t="str">
        <f>Calc!M125</f>
        <v>FY24</v>
      </c>
      <c r="N9" s="1244" t="str">
        <f>Calc!N125</f>
        <v>FY25</v>
      </c>
      <c r="O9" s="1244" t="str">
        <f>Calc!O125</f>
        <v>FY26</v>
      </c>
      <c r="P9" s="1244" t="str">
        <f>Calc!P125</f>
        <v>FY27</v>
      </c>
      <c r="Q9" s="1244" t="str">
        <f>Calc!Q125</f>
        <v>FY28</v>
      </c>
      <c r="R9" s="1244" t="str">
        <f>Calc!R125</f>
        <v>FY29</v>
      </c>
      <c r="S9" s="1244" t="str">
        <f>Calc!S125</f>
        <v>FY30</v>
      </c>
      <c r="T9" s="1244" t="str">
        <f>Calc!T125</f>
        <v>FY31</v>
      </c>
      <c r="U9" s="1244" t="str">
        <f>Calc!U125</f>
        <v>FY32</v>
      </c>
      <c r="V9" s="1244" t="str">
        <f>Calc!V125</f>
        <v>FY33</v>
      </c>
      <c r="W9" s="1244" t="str">
        <f>Calc!W125</f>
        <v>FY34</v>
      </c>
      <c r="X9" s="1244" t="str">
        <f>Calc!X125</f>
        <v>FY35</v>
      </c>
      <c r="Y9" s="1244" t="str">
        <f>Calc!Y125</f>
        <v>FY36</v>
      </c>
      <c r="Z9" s="1244" t="str">
        <f>Calc!Z125</f>
        <v>FY37</v>
      </c>
      <c r="AA9" s="1244" t="str">
        <f>Calc!AA125</f>
        <v>FY38</v>
      </c>
      <c r="AB9" s="1244" t="str">
        <f>Calc!AB125</f>
        <v>FY39</v>
      </c>
      <c r="AC9" s="1244" t="str">
        <f>Calc!AC125</f>
        <v>FY40</v>
      </c>
      <c r="AD9" s="1244" t="str">
        <f>Calc!AD125</f>
        <v>FY41</v>
      </c>
      <c r="AE9" s="1244" t="str">
        <f>Calc!AE125</f>
        <v>FY42</v>
      </c>
      <c r="AF9" s="1244" t="str">
        <f>Calc!AF125</f>
        <v>FY43</v>
      </c>
      <c r="AG9" s="1244" t="str">
        <f>Calc!AG125</f>
        <v>FY44</v>
      </c>
      <c r="AH9" s="1244" t="str">
        <f>Calc!AH125</f>
        <v>FY45</v>
      </c>
      <c r="AI9" s="1244" t="str">
        <f>Calc!AI125</f>
        <v>FY46</v>
      </c>
      <c r="AJ9" s="1239" t="str">
        <f>Calc!AJ9</f>
        <v>FY18-27</v>
      </c>
      <c r="AK9" s="1245" t="s">
        <v>1315</v>
      </c>
      <c r="AL9" s="1238"/>
      <c r="AM9" s="1239" t="str">
        <f>Calc!AM9</f>
        <v>FY18-32</v>
      </c>
      <c r="AN9" s="1070"/>
      <c r="AO9" s="1070"/>
      <c r="AP9" s="1242" t="s">
        <v>739</v>
      </c>
      <c r="AQ9" s="1243" t="str">
        <f t="shared" ref="AQ9:BS9" si="0">G9</f>
        <v>FY18</v>
      </c>
      <c r="AR9" s="1243" t="str">
        <f t="shared" si="0"/>
        <v>FY19</v>
      </c>
      <c r="AS9" s="1243" t="str">
        <f t="shared" si="0"/>
        <v>FY20</v>
      </c>
      <c r="AT9" s="1243" t="str">
        <f t="shared" si="0"/>
        <v>FY21</v>
      </c>
      <c r="AU9" s="1244" t="str">
        <f t="shared" si="0"/>
        <v>FY22</v>
      </c>
      <c r="AV9" s="1244" t="str">
        <f t="shared" si="0"/>
        <v>FY23</v>
      </c>
      <c r="AW9" s="1244" t="str">
        <f t="shared" si="0"/>
        <v>FY24</v>
      </c>
      <c r="AX9" s="1244" t="str">
        <f t="shared" si="0"/>
        <v>FY25</v>
      </c>
      <c r="AY9" s="1244" t="str">
        <f t="shared" si="0"/>
        <v>FY26</v>
      </c>
      <c r="AZ9" s="1244" t="str">
        <f t="shared" si="0"/>
        <v>FY27</v>
      </c>
      <c r="BA9" s="1244" t="str">
        <f t="shared" si="0"/>
        <v>FY28</v>
      </c>
      <c r="BB9" s="1244" t="str">
        <f t="shared" si="0"/>
        <v>FY29</v>
      </c>
      <c r="BC9" s="1244" t="str">
        <f t="shared" si="0"/>
        <v>FY30</v>
      </c>
      <c r="BD9" s="1244" t="str">
        <f t="shared" si="0"/>
        <v>FY31</v>
      </c>
      <c r="BE9" s="1244" t="str">
        <f t="shared" si="0"/>
        <v>FY32</v>
      </c>
      <c r="BF9" s="1244" t="str">
        <f t="shared" si="0"/>
        <v>FY33</v>
      </c>
      <c r="BG9" s="1244" t="str">
        <f t="shared" si="0"/>
        <v>FY34</v>
      </c>
      <c r="BH9" s="1244" t="str">
        <f t="shared" si="0"/>
        <v>FY35</v>
      </c>
      <c r="BI9" s="1244" t="str">
        <f t="shared" si="0"/>
        <v>FY36</v>
      </c>
      <c r="BJ9" s="1244" t="str">
        <f t="shared" si="0"/>
        <v>FY37</v>
      </c>
      <c r="BK9" s="1244" t="str">
        <f t="shared" si="0"/>
        <v>FY38</v>
      </c>
      <c r="BL9" s="1244" t="str">
        <f t="shared" si="0"/>
        <v>FY39</v>
      </c>
      <c r="BM9" s="1244" t="str">
        <f t="shared" si="0"/>
        <v>FY40</v>
      </c>
      <c r="BN9" s="1244" t="str">
        <f t="shared" si="0"/>
        <v>FY41</v>
      </c>
      <c r="BO9" s="1244" t="str">
        <f t="shared" si="0"/>
        <v>FY42</v>
      </c>
      <c r="BP9" s="1244" t="str">
        <f t="shared" si="0"/>
        <v>FY43</v>
      </c>
      <c r="BQ9" s="1244" t="str">
        <f t="shared" si="0"/>
        <v>FY44</v>
      </c>
      <c r="BR9" s="1244" t="str">
        <f t="shared" si="0"/>
        <v>FY45</v>
      </c>
      <c r="BS9" s="1244" t="str">
        <f t="shared" si="0"/>
        <v>FY46</v>
      </c>
      <c r="BT9" s="1246" t="s">
        <v>1316</v>
      </c>
      <c r="BU9" s="1247" t="s">
        <v>1315</v>
      </c>
      <c r="BV9" s="1248"/>
      <c r="BW9" s="1246" t="s">
        <v>1316</v>
      </c>
      <c r="BX9" s="1070"/>
    </row>
    <row r="10" spans="1:76" x14ac:dyDescent="0.3">
      <c r="A10" s="1082"/>
      <c r="B10" s="1149"/>
      <c r="C10" s="1142"/>
      <c r="D10" s="1142"/>
      <c r="E10" s="1142"/>
      <c r="F10" s="1145"/>
      <c r="G10" s="1127"/>
      <c r="H10" s="1127"/>
      <c r="I10" s="1127"/>
      <c r="J10" s="1127"/>
      <c r="K10" s="1127"/>
      <c r="L10" s="1127"/>
      <c r="M10" s="1127"/>
      <c r="N10" s="1127"/>
      <c r="O10" s="1249"/>
      <c r="P10" s="1249"/>
      <c r="Q10" s="1249"/>
      <c r="R10" s="1249"/>
      <c r="S10" s="1249"/>
      <c r="T10" s="1249"/>
      <c r="U10" s="1249"/>
      <c r="V10" s="1249"/>
      <c r="W10" s="1249"/>
      <c r="X10" s="1249"/>
      <c r="Y10" s="1249"/>
      <c r="Z10" s="1249"/>
      <c r="AA10" s="1249"/>
      <c r="AB10" s="1249"/>
      <c r="AC10" s="1249"/>
      <c r="AD10" s="1249"/>
      <c r="AE10" s="1249"/>
      <c r="AF10" s="1249"/>
      <c r="AG10" s="1249"/>
      <c r="AH10" s="1249"/>
      <c r="AI10" s="1249"/>
      <c r="AJ10" s="1250"/>
      <c r="AK10" s="1249"/>
      <c r="AL10" s="1070"/>
      <c r="AM10" s="1070"/>
      <c r="AN10" s="1070"/>
      <c r="AO10" s="1070"/>
      <c r="AP10" s="1145"/>
      <c r="AQ10" s="1127"/>
      <c r="AR10" s="1127"/>
      <c r="AS10" s="1127"/>
      <c r="AT10" s="1127"/>
      <c r="AU10" s="1127"/>
      <c r="AV10" s="1127"/>
      <c r="AW10" s="1127"/>
      <c r="AX10" s="1127"/>
      <c r="AY10" s="1249"/>
      <c r="AZ10" s="1249"/>
      <c r="BA10" s="1249"/>
      <c r="BB10" s="1249"/>
      <c r="BC10" s="1249"/>
      <c r="BD10" s="1249"/>
      <c r="BE10" s="1249"/>
      <c r="BF10" s="1249"/>
      <c r="BG10" s="1249"/>
      <c r="BH10" s="1249"/>
      <c r="BI10" s="1249"/>
      <c r="BJ10" s="1249"/>
      <c r="BK10" s="1249"/>
      <c r="BL10" s="1249"/>
      <c r="BM10" s="1249"/>
      <c r="BN10" s="1249"/>
      <c r="BO10" s="1249"/>
      <c r="BP10" s="1249"/>
      <c r="BQ10" s="1249"/>
      <c r="BR10" s="1249"/>
      <c r="BS10" s="1249"/>
      <c r="BT10" s="1251"/>
      <c r="BU10" s="1252"/>
      <c r="BX10" s="1070"/>
    </row>
    <row r="11" spans="1:76" ht="18" x14ac:dyDescent="0.3">
      <c r="A11" s="1082"/>
      <c r="B11" s="1253" t="s">
        <v>784</v>
      </c>
      <c r="C11" s="1254"/>
      <c r="D11" s="1254"/>
      <c r="E11" s="1255"/>
      <c r="F11" s="1256">
        <f>Calc!F127</f>
        <v>0</v>
      </c>
      <c r="G11" s="1257">
        <f>Calc!G127</f>
        <v>0</v>
      </c>
      <c r="H11" s="1257">
        <f>Calc!H127</f>
        <v>0</v>
      </c>
      <c r="I11" s="1257">
        <f>Calc!I127</f>
        <v>0</v>
      </c>
      <c r="J11" s="1257">
        <f>Calc!J127</f>
        <v>0</v>
      </c>
      <c r="K11" s="1257">
        <f>Calc!K127</f>
        <v>0</v>
      </c>
      <c r="L11" s="1257">
        <f>Calc!L127</f>
        <v>16667.203805107201</v>
      </c>
      <c r="M11" s="1257">
        <f>Calc!M127</f>
        <v>38568.729451259293</v>
      </c>
      <c r="N11" s="1257">
        <f>Calc!N127</f>
        <v>73523.96947665418</v>
      </c>
      <c r="O11" s="1257">
        <f>Calc!O127</f>
        <v>110318.99500952553</v>
      </c>
      <c r="P11" s="1257">
        <f>Calc!P127</f>
        <v>137341.05381475933</v>
      </c>
      <c r="Q11" s="1257">
        <f>Calc!Q127</f>
        <v>152865.10012769504</v>
      </c>
      <c r="R11" s="1257">
        <f>Calc!R127</f>
        <v>165744.56703901547</v>
      </c>
      <c r="S11" s="1257">
        <f>Calc!S127</f>
        <v>190189.87253450209</v>
      </c>
      <c r="T11" s="1257">
        <f>Calc!T127</f>
        <v>198826.88370596603</v>
      </c>
      <c r="U11" s="1257">
        <f>Calc!U127</f>
        <v>239308.03722850067</v>
      </c>
      <c r="V11" s="1257">
        <f>Calc!V127</f>
        <v>268535.02227712964</v>
      </c>
      <c r="W11" s="1257">
        <f>Calc!W127</f>
        <v>308703.14307628642</v>
      </c>
      <c r="X11" s="1257">
        <f>Calc!X127</f>
        <v>252787.09082071079</v>
      </c>
      <c r="Y11" s="1257">
        <f>Calc!Y127</f>
        <v>0</v>
      </c>
      <c r="Z11" s="1257">
        <f>Calc!Z127</f>
        <v>0</v>
      </c>
      <c r="AA11" s="1257">
        <f>Calc!AA127</f>
        <v>0</v>
      </c>
      <c r="AB11" s="1257">
        <f>Calc!AB127</f>
        <v>0</v>
      </c>
      <c r="AC11" s="1257">
        <f>Calc!AC127</f>
        <v>0</v>
      </c>
      <c r="AD11" s="1257">
        <f>Calc!AD127</f>
        <v>0</v>
      </c>
      <c r="AE11" s="1257">
        <f>Calc!AE127</f>
        <v>0</v>
      </c>
      <c r="AF11" s="1257">
        <f>Calc!AF127</f>
        <v>0</v>
      </c>
      <c r="AG11" s="1257">
        <f>Calc!AG127</f>
        <v>0</v>
      </c>
      <c r="AH11" s="1257">
        <f>Calc!AH127</f>
        <v>0</v>
      </c>
      <c r="AI11" s="1257">
        <f>Calc!AI127</f>
        <v>0</v>
      </c>
      <c r="AJ11" s="1258">
        <f>Calc!AJ127</f>
        <v>376419.95155730553</v>
      </c>
      <c r="AK11" s="1259"/>
      <c r="AL11" s="1260"/>
      <c r="AM11" s="1256">
        <f>Calc!AM127</f>
        <v>1323354.4121929849</v>
      </c>
      <c r="AN11" s="1070"/>
      <c r="AO11" s="1070"/>
      <c r="AP11" s="1261"/>
      <c r="AQ11" s="1262"/>
      <c r="AR11" s="1262"/>
      <c r="AS11" s="1262"/>
      <c r="AT11" s="1262"/>
      <c r="AU11" s="1262"/>
      <c r="AV11" s="1262"/>
      <c r="AW11" s="1262"/>
      <c r="AX11" s="1262"/>
      <c r="AY11" s="1262"/>
      <c r="AZ11" s="1262"/>
      <c r="BA11" s="1262"/>
      <c r="BB11" s="1262"/>
      <c r="BC11" s="1262"/>
      <c r="BD11" s="1262"/>
      <c r="BE11" s="1262"/>
      <c r="BF11" s="1262"/>
      <c r="BG11" s="1262"/>
      <c r="BH11" s="1262"/>
      <c r="BI11" s="1262"/>
      <c r="BJ11" s="1262"/>
      <c r="BK11" s="1262"/>
      <c r="BL11" s="1262"/>
      <c r="BM11" s="1262"/>
      <c r="BN11" s="1262"/>
      <c r="BO11" s="1262"/>
      <c r="BP11" s="1262"/>
      <c r="BQ11" s="1262"/>
      <c r="BR11" s="1262"/>
      <c r="BS11" s="1262"/>
      <c r="BT11" s="1263"/>
      <c r="BU11" s="1264"/>
      <c r="BV11" s="1265"/>
      <c r="BW11" s="1261"/>
      <c r="BX11" s="1070"/>
    </row>
    <row r="12" spans="1:76" ht="15.6" x14ac:dyDescent="0.3">
      <c r="A12" s="1082"/>
      <c r="B12" s="1266" t="s">
        <v>1317</v>
      </c>
      <c r="C12" s="1267"/>
      <c r="D12" s="1267"/>
      <c r="E12" s="1267"/>
      <c r="F12" s="1268"/>
      <c r="G12" s="1269">
        <f>Calc!G128</f>
        <v>0</v>
      </c>
      <c r="H12" s="1269">
        <f>Calc!H128</f>
        <v>0</v>
      </c>
      <c r="I12" s="1269">
        <f>Calc!I128</f>
        <v>0</v>
      </c>
      <c r="J12" s="1269">
        <f>Calc!J128</f>
        <v>0</v>
      </c>
      <c r="K12" s="1269">
        <f>Calc!K128</f>
        <v>0</v>
      </c>
      <c r="L12" s="1269">
        <f>Calc!L128</f>
        <v>0</v>
      </c>
      <c r="M12" s="1269">
        <f>Calc!M128</f>
        <v>1.3140491891891894</v>
      </c>
      <c r="N12" s="1269">
        <f>Calc!N128</f>
        <v>0.90631038467495006</v>
      </c>
      <c r="O12" s="1269">
        <f>Calc!O128</f>
        <v>0.50044938806731265</v>
      </c>
      <c r="P12" s="1269">
        <f>Calc!P128</f>
        <v>0.24494475138121563</v>
      </c>
      <c r="Q12" s="1269">
        <f>Calc!Q128</f>
        <v>0.11303281780460184</v>
      </c>
      <c r="R12" s="1269">
        <f>Calc!R128</f>
        <v>8.4253808754003595E-2</v>
      </c>
      <c r="S12" s="1269">
        <f>Calc!S128</f>
        <v>0.14748782377724826</v>
      </c>
      <c r="T12" s="1269">
        <f>Calc!T128</f>
        <v>4.541257142857124E-2</v>
      </c>
      <c r="U12" s="1269">
        <f>Calc!U128</f>
        <v>0.20359999999999981</v>
      </c>
      <c r="V12" s="1269">
        <f>Calc!V128</f>
        <v>0.12213123047230502</v>
      </c>
      <c r="W12" s="1269">
        <f>Calc!W128</f>
        <v>0.14958242861038459</v>
      </c>
      <c r="X12" s="1269">
        <f>Calc!X128</f>
        <v>-0.18113211190000003</v>
      </c>
      <c r="Y12" s="1269">
        <f>Calc!Y128</f>
        <v>-1</v>
      </c>
      <c r="Z12" s="1269">
        <f>Calc!Z128</f>
        <v>0</v>
      </c>
      <c r="AA12" s="1269">
        <f>Calc!AA128</f>
        <v>0</v>
      </c>
      <c r="AB12" s="1269">
        <f>Calc!AB128</f>
        <v>0</v>
      </c>
      <c r="AC12" s="1269">
        <f>Calc!AC128</f>
        <v>0</v>
      </c>
      <c r="AD12" s="1269">
        <f>Calc!AD128</f>
        <v>0</v>
      </c>
      <c r="AE12" s="1269">
        <f>Calc!AE128</f>
        <v>0</v>
      </c>
      <c r="AF12" s="1269">
        <f>Calc!AF128</f>
        <v>0</v>
      </c>
      <c r="AG12" s="1269">
        <f>Calc!AG128</f>
        <v>0</v>
      </c>
      <c r="AH12" s="1269">
        <f>Calc!AH128</f>
        <v>0</v>
      </c>
      <c r="AI12" s="1269">
        <f>Calc!AI128</f>
        <v>0</v>
      </c>
      <c r="AJ12" s="1270">
        <f>Calc!AJ128</f>
        <v>0.6942769690809576</v>
      </c>
      <c r="AK12" s="1271" t="s">
        <v>1318</v>
      </c>
      <c r="AL12" s="1272"/>
      <c r="AM12" s="1273"/>
      <c r="AN12" s="1070"/>
      <c r="AO12" s="1070"/>
      <c r="AP12" s="1274"/>
      <c r="AQ12" s="1275"/>
      <c r="AR12" s="1275"/>
      <c r="AS12" s="1275"/>
      <c r="AT12" s="1275"/>
      <c r="AU12" s="1275"/>
      <c r="AV12" s="1275"/>
      <c r="AW12" s="1275"/>
      <c r="AX12" s="1275"/>
      <c r="AY12" s="1275"/>
      <c r="AZ12" s="1275"/>
      <c r="BA12" s="1275"/>
      <c r="BB12" s="1275"/>
      <c r="BC12" s="1275"/>
      <c r="BD12" s="1275"/>
      <c r="BE12" s="1275"/>
      <c r="BF12" s="1275"/>
      <c r="BG12" s="1275"/>
      <c r="BH12" s="1275"/>
      <c r="BI12" s="1275"/>
      <c r="BJ12" s="1275"/>
      <c r="BK12" s="1275"/>
      <c r="BL12" s="1275"/>
      <c r="BM12" s="1275"/>
      <c r="BN12" s="1275"/>
      <c r="BO12" s="1275"/>
      <c r="BP12" s="1275"/>
      <c r="BQ12" s="1275"/>
      <c r="BR12" s="1275"/>
      <c r="BS12" s="1275"/>
      <c r="BT12" s="1276"/>
      <c r="BU12" s="1277"/>
      <c r="BV12" s="1278"/>
      <c r="BW12" s="1279"/>
      <c r="BX12" s="1070"/>
    </row>
    <row r="13" spans="1:76" ht="15.6" x14ac:dyDescent="0.3">
      <c r="A13" s="1082"/>
      <c r="B13" s="1266" t="s">
        <v>1319</v>
      </c>
      <c r="C13" s="1280" t="str">
        <f>Calc!C129</f>
        <v>Dollar ($)</v>
      </c>
      <c r="D13" s="1267"/>
      <c r="E13" s="1267"/>
      <c r="F13" s="1268"/>
      <c r="G13" s="1281">
        <f>Calc!G129</f>
        <v>0</v>
      </c>
      <c r="H13" s="1281">
        <f>Calc!H129</f>
        <v>0</v>
      </c>
      <c r="I13" s="1281">
        <f>Calc!I129</f>
        <v>0</v>
      </c>
      <c r="J13" s="1281">
        <f>Calc!J129</f>
        <v>0</v>
      </c>
      <c r="K13" s="1281">
        <f>Calc!K129</f>
        <v>0</v>
      </c>
      <c r="L13" s="1281">
        <f>Calc!L129</f>
        <v>0</v>
      </c>
      <c r="M13" s="1281">
        <f>Calc!M129</f>
        <v>0</v>
      </c>
      <c r="N13" s="1281">
        <f>Calc!N129</f>
        <v>0</v>
      </c>
      <c r="O13" s="1281">
        <f>Calc!O129</f>
        <v>0</v>
      </c>
      <c r="P13" s="1281">
        <f>Calc!P129</f>
        <v>0</v>
      </c>
      <c r="Q13" s="1281">
        <f>Calc!Q129</f>
        <v>0</v>
      </c>
      <c r="R13" s="1281">
        <f>Calc!R129</f>
        <v>0</v>
      </c>
      <c r="S13" s="1281">
        <f>Calc!S129</f>
        <v>0</v>
      </c>
      <c r="T13" s="1281">
        <f>Calc!T129</f>
        <v>0</v>
      </c>
      <c r="U13" s="1281">
        <f>Calc!U129</f>
        <v>0</v>
      </c>
      <c r="V13" s="1281">
        <f>Calc!V129</f>
        <v>0</v>
      </c>
      <c r="W13" s="1281">
        <f>Calc!W129</f>
        <v>0</v>
      </c>
      <c r="X13" s="1281">
        <f>Calc!X129</f>
        <v>0</v>
      </c>
      <c r="Y13" s="1281">
        <f>Calc!Y129</f>
        <v>0</v>
      </c>
      <c r="Z13" s="1281">
        <f>Calc!Z129</f>
        <v>0</v>
      </c>
      <c r="AA13" s="1281">
        <f>Calc!AA129</f>
        <v>0</v>
      </c>
      <c r="AB13" s="1281">
        <f>Calc!AB129</f>
        <v>0</v>
      </c>
      <c r="AC13" s="1281">
        <f>Calc!AC129</f>
        <v>0</v>
      </c>
      <c r="AD13" s="1281">
        <f>Calc!AD129</f>
        <v>0</v>
      </c>
      <c r="AE13" s="1281">
        <f>Calc!AE129</f>
        <v>0</v>
      </c>
      <c r="AF13" s="1281">
        <f>Calc!AF129</f>
        <v>0</v>
      </c>
      <c r="AG13" s="1281">
        <f>Calc!AG129</f>
        <v>0</v>
      </c>
      <c r="AH13" s="1281">
        <f>Calc!AH129</f>
        <v>0</v>
      </c>
      <c r="AI13" s="1281">
        <f>Calc!AI129</f>
        <v>0</v>
      </c>
      <c r="AJ13" s="1270">
        <f>Calc!AJ129</f>
        <v>0</v>
      </c>
      <c r="AK13" s="1271"/>
      <c r="AL13" s="1272"/>
      <c r="AM13" s="1273"/>
      <c r="AN13" s="1070"/>
      <c r="AO13" s="1070"/>
      <c r="AP13" s="1274"/>
      <c r="AQ13" s="1282"/>
      <c r="AR13" s="1282"/>
      <c r="AS13" s="1282"/>
      <c r="AT13" s="1282"/>
      <c r="AU13" s="1282"/>
      <c r="AV13" s="1282"/>
      <c r="AW13" s="1282"/>
      <c r="AX13" s="1282"/>
      <c r="AY13" s="1282"/>
      <c r="AZ13" s="1282"/>
      <c r="BA13" s="1282"/>
      <c r="BB13" s="1282"/>
      <c r="BC13" s="1282"/>
      <c r="BD13" s="1282"/>
      <c r="BE13" s="1282"/>
      <c r="BF13" s="1282"/>
      <c r="BG13" s="1282"/>
      <c r="BH13" s="1282"/>
      <c r="BI13" s="1282"/>
      <c r="BJ13" s="1282"/>
      <c r="BK13" s="1282"/>
      <c r="BL13" s="1282"/>
      <c r="BM13" s="1282"/>
      <c r="BN13" s="1282"/>
      <c r="BO13" s="1282"/>
      <c r="BP13" s="1282"/>
      <c r="BQ13" s="1282"/>
      <c r="BR13" s="1282"/>
      <c r="BS13" s="1282"/>
      <c r="BT13" s="1276"/>
      <c r="BU13" s="1277"/>
      <c r="BV13" s="1278"/>
      <c r="BW13" s="1279"/>
      <c r="BX13" s="1070"/>
    </row>
    <row r="14" spans="1:76" ht="18" x14ac:dyDescent="0.3">
      <c r="A14" s="1082"/>
      <c r="B14" s="1283" t="s">
        <v>1320</v>
      </c>
      <c r="C14" s="1284"/>
      <c r="D14" s="1285"/>
      <c r="E14" s="1286"/>
      <c r="F14" s="1287"/>
      <c r="G14" s="1288">
        <f>Calc!G130</f>
        <v>0</v>
      </c>
      <c r="H14" s="1288">
        <f>Calc!H130</f>
        <v>0</v>
      </c>
      <c r="I14" s="1288">
        <f>Calc!I130</f>
        <v>0</v>
      </c>
      <c r="J14" s="1288">
        <f>Calc!J130</f>
        <v>0</v>
      </c>
      <c r="K14" s="1288">
        <f>Calc!K130</f>
        <v>0</v>
      </c>
      <c r="L14" s="1288">
        <f>Calc!L130</f>
        <v>16667.203805107201</v>
      </c>
      <c r="M14" s="1288">
        <f>Calc!M130</f>
        <v>38568.729451259293</v>
      </c>
      <c r="N14" s="1288">
        <f>Calc!N130</f>
        <v>73523.96947665418</v>
      </c>
      <c r="O14" s="1288">
        <f>Calc!O130</f>
        <v>110318.99500952553</v>
      </c>
      <c r="P14" s="1288">
        <f>Calc!P130</f>
        <v>137341.05381475933</v>
      </c>
      <c r="Q14" s="1288">
        <f>Calc!Q130</f>
        <v>152865.10012769504</v>
      </c>
      <c r="R14" s="1288">
        <f>Calc!R130</f>
        <v>165744.56703901547</v>
      </c>
      <c r="S14" s="1288">
        <f>Calc!S130</f>
        <v>190189.87253450209</v>
      </c>
      <c r="T14" s="1288">
        <f>Calc!T130</f>
        <v>198826.88370596603</v>
      </c>
      <c r="U14" s="1288">
        <f>Calc!U130</f>
        <v>239308.03722850067</v>
      </c>
      <c r="V14" s="1288">
        <f>Calc!V130</f>
        <v>268535.02227712964</v>
      </c>
      <c r="W14" s="1288">
        <f>Calc!W130</f>
        <v>308703.14307628642</v>
      </c>
      <c r="X14" s="1288">
        <f>Calc!X130</f>
        <v>252787.09082071079</v>
      </c>
      <c r="Y14" s="1288">
        <f>Calc!Y130</f>
        <v>0</v>
      </c>
      <c r="Z14" s="1288">
        <f>Calc!Z130</f>
        <v>0</v>
      </c>
      <c r="AA14" s="1288">
        <f>Calc!AA130</f>
        <v>0</v>
      </c>
      <c r="AB14" s="1288">
        <f>Calc!AB130</f>
        <v>0</v>
      </c>
      <c r="AC14" s="1288">
        <f>Calc!AC130</f>
        <v>0</v>
      </c>
      <c r="AD14" s="1288">
        <f>Calc!AD130</f>
        <v>0</v>
      </c>
      <c r="AE14" s="1288">
        <f>Calc!AE130</f>
        <v>0</v>
      </c>
      <c r="AF14" s="1288">
        <f>Calc!AF130</f>
        <v>0</v>
      </c>
      <c r="AG14" s="1288">
        <f>Calc!AG130</f>
        <v>0</v>
      </c>
      <c r="AH14" s="1288">
        <f>Calc!AH130</f>
        <v>0</v>
      </c>
      <c r="AI14" s="1288">
        <f>Calc!AI130</f>
        <v>0</v>
      </c>
      <c r="AJ14" s="1289">
        <f>Calc!AJ130</f>
        <v>376419.95155730553</v>
      </c>
      <c r="AK14" s="1290"/>
      <c r="AL14" s="1272"/>
      <c r="AM14" s="1291">
        <f>Calc!AM130</f>
        <v>1323354.4121929849</v>
      </c>
      <c r="AN14" s="1070"/>
      <c r="AO14" s="1070"/>
      <c r="AP14" s="1292"/>
      <c r="AQ14" s="1293"/>
      <c r="AR14" s="1293"/>
      <c r="AS14" s="1293"/>
      <c r="AT14" s="1293"/>
      <c r="AU14" s="1293"/>
      <c r="AV14" s="1293"/>
      <c r="AW14" s="1293"/>
      <c r="AX14" s="1293"/>
      <c r="AY14" s="1293"/>
      <c r="AZ14" s="1293"/>
      <c r="BA14" s="1293"/>
      <c r="BB14" s="1293"/>
      <c r="BC14" s="1293"/>
      <c r="BD14" s="1293"/>
      <c r="BE14" s="1293"/>
      <c r="BF14" s="1293"/>
      <c r="BG14" s="1293"/>
      <c r="BH14" s="1293"/>
      <c r="BI14" s="1293"/>
      <c r="BJ14" s="1293"/>
      <c r="BK14" s="1293"/>
      <c r="BL14" s="1293"/>
      <c r="BM14" s="1293"/>
      <c r="BN14" s="1293"/>
      <c r="BO14" s="1293"/>
      <c r="BP14" s="1293"/>
      <c r="BQ14" s="1293"/>
      <c r="BR14" s="1293"/>
      <c r="BS14" s="1293"/>
      <c r="BT14" s="1294"/>
      <c r="BU14" s="1295"/>
      <c r="BV14" s="1278"/>
      <c r="BW14" s="1296"/>
      <c r="BX14" s="1070"/>
    </row>
    <row r="15" spans="1:76" ht="18" x14ac:dyDescent="0.3">
      <c r="A15" s="1082"/>
      <c r="B15" s="1297" t="s">
        <v>1321</v>
      </c>
      <c r="C15" s="1298"/>
      <c r="D15" s="1298"/>
      <c r="E15" s="1298"/>
      <c r="F15" s="1299">
        <f>Calc!F131</f>
        <v>0</v>
      </c>
      <c r="G15" s="1300">
        <f>Calc!G131</f>
        <v>0</v>
      </c>
      <c r="H15" s="1300">
        <f>Calc!H131</f>
        <v>0</v>
      </c>
      <c r="I15" s="1300">
        <f>Calc!I131</f>
        <v>0</v>
      </c>
      <c r="J15" s="1300">
        <f>Calc!J131</f>
        <v>0</v>
      </c>
      <c r="K15" s="1300">
        <f>Calc!K131</f>
        <v>0</v>
      </c>
      <c r="L15" s="1300">
        <f>Calc!L131</f>
        <v>4910.06814799104</v>
      </c>
      <c r="M15" s="1300">
        <f>Calc!M131</f>
        <v>11698.892563884183</v>
      </c>
      <c r="N15" s="1300">
        <f>Calc!N131</f>
        <v>22368.383574590458</v>
      </c>
      <c r="O15" s="1300">
        <f>Calc!O131</f>
        <v>33659.483422105237</v>
      </c>
      <c r="P15" s="1300">
        <f>Calc!P131</f>
        <v>42194.943300629529</v>
      </c>
      <c r="Q15" s="1300">
        <f>Calc!Q131</f>
        <v>47128.704363602352</v>
      </c>
      <c r="R15" s="1300">
        <f>Calc!R131</f>
        <v>53019.586338411653</v>
      </c>
      <c r="S15" s="1300">
        <f>Calc!S131</f>
        <v>59927.682727453757</v>
      </c>
      <c r="T15" s="1300">
        <f>Calc!T131</f>
        <v>64900.019454034955</v>
      </c>
      <c r="U15" s="1300">
        <f>Calc!U131</f>
        <v>73945.751130874429</v>
      </c>
      <c r="V15" s="1300">
        <f>Calc!V131</f>
        <v>86050.724936225582</v>
      </c>
      <c r="W15" s="1300">
        <f>Calc!W131</f>
        <v>99177.233202950083</v>
      </c>
      <c r="X15" s="1300">
        <f>Calc!X131</f>
        <v>0</v>
      </c>
      <c r="Y15" s="1300">
        <f>Calc!Y131</f>
        <v>0</v>
      </c>
      <c r="Z15" s="1300">
        <f>Calc!Z131</f>
        <v>0</v>
      </c>
      <c r="AA15" s="1300">
        <f>Calc!AA131</f>
        <v>0</v>
      </c>
      <c r="AB15" s="1300">
        <f>Calc!AB131</f>
        <v>0</v>
      </c>
      <c r="AC15" s="1300">
        <f>Calc!AC131</f>
        <v>0</v>
      </c>
      <c r="AD15" s="1300">
        <f>Calc!AD131</f>
        <v>0</v>
      </c>
      <c r="AE15" s="1300">
        <f>Calc!AE131</f>
        <v>0</v>
      </c>
      <c r="AF15" s="1300">
        <f>Calc!AF131</f>
        <v>0</v>
      </c>
      <c r="AG15" s="1300">
        <f>Calc!AG131</f>
        <v>0</v>
      </c>
      <c r="AH15" s="1300">
        <f>Calc!AH131</f>
        <v>0</v>
      </c>
      <c r="AI15" s="1300">
        <f>Calc!AI131</f>
        <v>0</v>
      </c>
      <c r="AJ15" s="1301">
        <f>Calc!AJ131</f>
        <v>114831.77100920046</v>
      </c>
      <c r="AK15" s="1302">
        <f>Calc!AK131</f>
        <v>0.30506292382782657</v>
      </c>
      <c r="AL15" s="1260"/>
      <c r="AM15" s="1303">
        <f>Calc!AM131</f>
        <v>413753.51502357761</v>
      </c>
      <c r="AN15" s="1070"/>
      <c r="AO15" s="1070"/>
      <c r="AP15" s="1304"/>
      <c r="AQ15" s="1305"/>
      <c r="AR15" s="1305"/>
      <c r="AS15" s="1305"/>
      <c r="AT15" s="1305"/>
      <c r="AU15" s="1305"/>
      <c r="AV15" s="1305"/>
      <c r="AW15" s="1305"/>
      <c r="AX15" s="1305"/>
      <c r="AY15" s="1305"/>
      <c r="AZ15" s="1305"/>
      <c r="BA15" s="1305"/>
      <c r="BB15" s="1305"/>
      <c r="BC15" s="1305"/>
      <c r="BD15" s="1305"/>
      <c r="BE15" s="1305"/>
      <c r="BF15" s="1305"/>
      <c r="BG15" s="1305"/>
      <c r="BH15" s="1305"/>
      <c r="BI15" s="1305"/>
      <c r="BJ15" s="1305"/>
      <c r="BK15" s="1305"/>
      <c r="BL15" s="1305"/>
      <c r="BM15" s="1305"/>
      <c r="BN15" s="1305"/>
      <c r="BO15" s="1305"/>
      <c r="BP15" s="1305"/>
      <c r="BQ15" s="1305"/>
      <c r="BR15" s="1305"/>
      <c r="BS15" s="1305"/>
      <c r="BT15" s="1306"/>
      <c r="BU15" s="1307"/>
      <c r="BV15" s="1265"/>
      <c r="BW15" s="1304"/>
      <c r="BX15" s="1070"/>
    </row>
    <row r="16" spans="1:76" ht="18" x14ac:dyDescent="0.3">
      <c r="A16" s="1082"/>
      <c r="B16" s="1297" t="s">
        <v>1322</v>
      </c>
      <c r="C16" s="1298"/>
      <c r="D16" s="1298"/>
      <c r="E16" s="1298"/>
      <c r="F16" s="1299">
        <f>Calc!F132</f>
        <v>0</v>
      </c>
      <c r="G16" s="1300">
        <f>Calc!G132</f>
        <v>0</v>
      </c>
      <c r="H16" s="1300">
        <f>Calc!H132</f>
        <v>0</v>
      </c>
      <c r="I16" s="1300">
        <f>Calc!I132</f>
        <v>0</v>
      </c>
      <c r="J16" s="1300">
        <f>Calc!J132</f>
        <v>0</v>
      </c>
      <c r="K16" s="1300">
        <f>Calc!K132</f>
        <v>0</v>
      </c>
      <c r="L16" s="1300">
        <f>Calc!L132</f>
        <v>0</v>
      </c>
      <c r="M16" s="1300">
        <f>Calc!M132</f>
        <v>0</v>
      </c>
      <c r="N16" s="1300">
        <f>Calc!N132</f>
        <v>0</v>
      </c>
      <c r="O16" s="1300">
        <f>Calc!O132</f>
        <v>0</v>
      </c>
      <c r="P16" s="1300">
        <f>Calc!P132</f>
        <v>0</v>
      </c>
      <c r="Q16" s="1300">
        <f>Calc!Q132</f>
        <v>0</v>
      </c>
      <c r="R16" s="1300">
        <f>Calc!R132</f>
        <v>0</v>
      </c>
      <c r="S16" s="1300">
        <f>Calc!S132</f>
        <v>0</v>
      </c>
      <c r="T16" s="1300">
        <f>Calc!T132</f>
        <v>0</v>
      </c>
      <c r="U16" s="1300">
        <f>Calc!U132</f>
        <v>0</v>
      </c>
      <c r="V16" s="1300">
        <f>Calc!V132</f>
        <v>0</v>
      </c>
      <c r="W16" s="1300">
        <f>Calc!W132</f>
        <v>0</v>
      </c>
      <c r="X16" s="1300">
        <f>Calc!X132</f>
        <v>0</v>
      </c>
      <c r="Y16" s="1300">
        <f>Calc!Y132</f>
        <v>0</v>
      </c>
      <c r="Z16" s="1300">
        <f>Calc!Z132</f>
        <v>0</v>
      </c>
      <c r="AA16" s="1300">
        <f>Calc!AA132</f>
        <v>0</v>
      </c>
      <c r="AB16" s="1300">
        <f>Calc!AB132</f>
        <v>0</v>
      </c>
      <c r="AC16" s="1300">
        <f>Calc!AC132</f>
        <v>0</v>
      </c>
      <c r="AD16" s="1300">
        <f>Calc!AD132</f>
        <v>0</v>
      </c>
      <c r="AE16" s="1300">
        <f>Calc!AE132</f>
        <v>0</v>
      </c>
      <c r="AF16" s="1300">
        <f>Calc!AF132</f>
        <v>0</v>
      </c>
      <c r="AG16" s="1300">
        <f>Calc!AG132</f>
        <v>0</v>
      </c>
      <c r="AH16" s="1300">
        <f>Calc!AH132</f>
        <v>0</v>
      </c>
      <c r="AI16" s="1300">
        <f>Calc!AI132</f>
        <v>0</v>
      </c>
      <c r="AJ16" s="1301">
        <f>Calc!AJ132</f>
        <v>0</v>
      </c>
      <c r="AK16" s="1302">
        <f>Calc!AK132</f>
        <v>0</v>
      </c>
      <c r="AL16" s="1260"/>
      <c r="AM16" s="1303">
        <f>Calc!AM132</f>
        <v>0</v>
      </c>
      <c r="AN16" s="1070"/>
      <c r="AO16" s="1070"/>
      <c r="AP16" s="1304"/>
      <c r="AQ16" s="1305"/>
      <c r="AR16" s="1305"/>
      <c r="AS16" s="1305"/>
      <c r="AT16" s="1305"/>
      <c r="AU16" s="1305"/>
      <c r="AV16" s="1305"/>
      <c r="AW16" s="1305"/>
      <c r="AX16" s="1305"/>
      <c r="AY16" s="1305"/>
      <c r="AZ16" s="1305"/>
      <c r="BA16" s="1305"/>
      <c r="BB16" s="1305"/>
      <c r="BC16" s="1305"/>
      <c r="BD16" s="1305"/>
      <c r="BE16" s="1305"/>
      <c r="BF16" s="1305"/>
      <c r="BG16" s="1305"/>
      <c r="BH16" s="1305"/>
      <c r="BI16" s="1305"/>
      <c r="BJ16" s="1305"/>
      <c r="BK16" s="1305"/>
      <c r="BL16" s="1305"/>
      <c r="BM16" s="1305"/>
      <c r="BN16" s="1305"/>
      <c r="BO16" s="1305"/>
      <c r="BP16" s="1305"/>
      <c r="BQ16" s="1305"/>
      <c r="BR16" s="1305"/>
      <c r="BS16" s="1305"/>
      <c r="BT16" s="1306"/>
      <c r="BU16" s="1307"/>
      <c r="BV16" s="1265"/>
      <c r="BW16" s="1304"/>
      <c r="BX16" s="1070"/>
    </row>
    <row r="17" spans="1:76" ht="18" x14ac:dyDescent="0.3">
      <c r="A17" s="1082"/>
      <c r="B17" s="1308" t="s">
        <v>286</v>
      </c>
      <c r="C17" s="1309"/>
      <c r="D17" s="1309"/>
      <c r="E17" s="1309"/>
      <c r="F17" s="1310">
        <f t="shared" ref="F17:AI17" si="1">+F11-F15-F16</f>
        <v>0</v>
      </c>
      <c r="G17" s="1311">
        <f t="shared" si="1"/>
        <v>0</v>
      </c>
      <c r="H17" s="1311">
        <f t="shared" si="1"/>
        <v>0</v>
      </c>
      <c r="I17" s="1311">
        <f t="shared" si="1"/>
        <v>0</v>
      </c>
      <c r="J17" s="1311">
        <f t="shared" si="1"/>
        <v>0</v>
      </c>
      <c r="K17" s="1311">
        <f t="shared" si="1"/>
        <v>0</v>
      </c>
      <c r="L17" s="1311">
        <f t="shared" si="1"/>
        <v>11757.135657116161</v>
      </c>
      <c r="M17" s="1311">
        <f t="shared" si="1"/>
        <v>26869.83688737511</v>
      </c>
      <c r="N17" s="1311">
        <f t="shared" si="1"/>
        <v>51155.585902063722</v>
      </c>
      <c r="O17" s="1311">
        <f t="shared" si="1"/>
        <v>76659.511587420304</v>
      </c>
      <c r="P17" s="1311">
        <f t="shared" si="1"/>
        <v>95146.110514129803</v>
      </c>
      <c r="Q17" s="1311">
        <f t="shared" si="1"/>
        <v>105736.39576409268</v>
      </c>
      <c r="R17" s="1311">
        <f t="shared" si="1"/>
        <v>112724.98070060382</v>
      </c>
      <c r="S17" s="1311">
        <f t="shared" si="1"/>
        <v>130262.18980704833</v>
      </c>
      <c r="T17" s="1311">
        <f t="shared" si="1"/>
        <v>133926.86425193108</v>
      </c>
      <c r="U17" s="1311">
        <f t="shared" si="1"/>
        <v>165362.28609762626</v>
      </c>
      <c r="V17" s="1311">
        <f t="shared" si="1"/>
        <v>182484.29734090407</v>
      </c>
      <c r="W17" s="1311">
        <f t="shared" si="1"/>
        <v>209525.90987333632</v>
      </c>
      <c r="X17" s="1311">
        <f t="shared" si="1"/>
        <v>252787.09082071079</v>
      </c>
      <c r="Y17" s="1311">
        <f t="shared" si="1"/>
        <v>0</v>
      </c>
      <c r="Z17" s="1311">
        <f t="shared" si="1"/>
        <v>0</v>
      </c>
      <c r="AA17" s="1311">
        <f t="shared" si="1"/>
        <v>0</v>
      </c>
      <c r="AB17" s="1311">
        <f t="shared" si="1"/>
        <v>0</v>
      </c>
      <c r="AC17" s="1311">
        <f t="shared" si="1"/>
        <v>0</v>
      </c>
      <c r="AD17" s="1311">
        <f t="shared" si="1"/>
        <v>0</v>
      </c>
      <c r="AE17" s="1311">
        <f t="shared" si="1"/>
        <v>0</v>
      </c>
      <c r="AF17" s="1311">
        <f t="shared" si="1"/>
        <v>0</v>
      </c>
      <c r="AG17" s="1311">
        <f t="shared" si="1"/>
        <v>0</v>
      </c>
      <c r="AH17" s="1311">
        <f t="shared" si="1"/>
        <v>0</v>
      </c>
      <c r="AI17" s="1311">
        <f t="shared" si="1"/>
        <v>0</v>
      </c>
      <c r="AJ17" s="1312">
        <f>Calc!AJ133</f>
        <v>261588.18054810507</v>
      </c>
      <c r="AK17" s="1313"/>
      <c r="AL17" s="1314"/>
      <c r="AM17" s="1310">
        <f>Calc!AM133</f>
        <v>909600.89716940734</v>
      </c>
      <c r="AN17" s="1070"/>
      <c r="AO17" s="1070"/>
      <c r="AP17" s="1315"/>
      <c r="AQ17" s="1316"/>
      <c r="AR17" s="1316"/>
      <c r="AS17" s="1316"/>
      <c r="AT17" s="1316"/>
      <c r="AU17" s="1316"/>
      <c r="AV17" s="1316"/>
      <c r="AW17" s="1316"/>
      <c r="AX17" s="1316"/>
      <c r="AY17" s="1316"/>
      <c r="AZ17" s="1316"/>
      <c r="BA17" s="1316"/>
      <c r="BB17" s="1316"/>
      <c r="BC17" s="1316"/>
      <c r="BD17" s="1316"/>
      <c r="BE17" s="1316"/>
      <c r="BF17" s="1316"/>
      <c r="BG17" s="1316"/>
      <c r="BH17" s="1316"/>
      <c r="BI17" s="1316"/>
      <c r="BJ17" s="1316"/>
      <c r="BK17" s="1316"/>
      <c r="BL17" s="1316"/>
      <c r="BM17" s="1316"/>
      <c r="BN17" s="1316"/>
      <c r="BO17" s="1316"/>
      <c r="BP17" s="1316"/>
      <c r="BQ17" s="1316"/>
      <c r="BR17" s="1316"/>
      <c r="BS17" s="1316"/>
      <c r="BT17" s="1317"/>
      <c r="BU17" s="1318"/>
      <c r="BV17" s="1319"/>
      <c r="BW17" s="1315"/>
      <c r="BX17" s="1070"/>
    </row>
    <row r="18" spans="1:76" x14ac:dyDescent="0.3">
      <c r="A18" s="1082"/>
      <c r="B18" s="1320"/>
      <c r="C18" s="1321" t="s">
        <v>1323</v>
      </c>
      <c r="D18" s="1322"/>
      <c r="E18" s="1323"/>
      <c r="F18" s="1324"/>
      <c r="G18" s="1325">
        <f>IFERROR(IF(ABS(G17/G$11)&gt;100%,0,G17/G$11),0)</f>
        <v>0</v>
      </c>
      <c r="H18" s="1325">
        <f t="shared" ref="H18:AJ18" si="2">IFERROR(IF(ABS(H17/H$11)&gt;100%,0,H17/H$11),0)</f>
        <v>0</v>
      </c>
      <c r="I18" s="1325">
        <f t="shared" si="2"/>
        <v>0</v>
      </c>
      <c r="J18" s="1325">
        <f t="shared" si="2"/>
        <v>0</v>
      </c>
      <c r="K18" s="1325">
        <f t="shared" si="2"/>
        <v>0</v>
      </c>
      <c r="L18" s="1325">
        <f t="shared" si="2"/>
        <v>0.70540540540540542</v>
      </c>
      <c r="M18" s="1325">
        <f t="shared" si="2"/>
        <v>0.69667415208301064</v>
      </c>
      <c r="N18" s="1325">
        <f t="shared" si="2"/>
        <v>0.69576746557878633</v>
      </c>
      <c r="O18" s="1325">
        <f t="shared" si="2"/>
        <v>0.694889502762431</v>
      </c>
      <c r="P18" s="1325">
        <f t="shared" si="2"/>
        <v>0.69277253866465482</v>
      </c>
      <c r="Q18" s="1325">
        <f t="shared" si="2"/>
        <v>0.69169742260179956</v>
      </c>
      <c r="R18" s="1325">
        <f t="shared" si="2"/>
        <v>0.68011267406471854</v>
      </c>
      <c r="S18" s="1325">
        <f t="shared" si="2"/>
        <v>0.68490602612616835</v>
      </c>
      <c r="T18" s="1325">
        <f t="shared" si="2"/>
        <v>0.67358529065912454</v>
      </c>
      <c r="U18" s="1325">
        <f t="shared" si="2"/>
        <v>0.69100180676226886</v>
      </c>
      <c r="V18" s="1325">
        <f t="shared" si="2"/>
        <v>0.67955492655471683</v>
      </c>
      <c r="W18" s="1325">
        <f t="shared" si="2"/>
        <v>0.67872943496904559</v>
      </c>
      <c r="X18" s="1325">
        <f t="shared" si="2"/>
        <v>1</v>
      </c>
      <c r="Y18" s="1325">
        <f t="shared" si="2"/>
        <v>0</v>
      </c>
      <c r="Z18" s="1325">
        <f t="shared" si="2"/>
        <v>0</v>
      </c>
      <c r="AA18" s="1325">
        <f t="shared" si="2"/>
        <v>0</v>
      </c>
      <c r="AB18" s="1325">
        <f t="shared" si="2"/>
        <v>0</v>
      </c>
      <c r="AC18" s="1325">
        <f t="shared" si="2"/>
        <v>0</v>
      </c>
      <c r="AD18" s="1325">
        <f t="shared" si="2"/>
        <v>0</v>
      </c>
      <c r="AE18" s="1325">
        <f t="shared" si="2"/>
        <v>0</v>
      </c>
      <c r="AF18" s="1325">
        <f t="shared" si="2"/>
        <v>0</v>
      </c>
      <c r="AG18" s="1325">
        <f t="shared" si="2"/>
        <v>0</v>
      </c>
      <c r="AH18" s="1325">
        <f t="shared" si="2"/>
        <v>0</v>
      </c>
      <c r="AI18" s="1325">
        <f t="shared" si="2"/>
        <v>0</v>
      </c>
      <c r="AJ18" s="1326">
        <f t="shared" si="2"/>
        <v>0.69493707617217348</v>
      </c>
      <c r="AK18" s="1327"/>
      <c r="AL18" s="1328"/>
      <c r="AM18" s="1329"/>
      <c r="AN18" s="1070"/>
      <c r="AO18" s="1070"/>
      <c r="AP18" s="1330"/>
      <c r="AQ18" s="1331"/>
      <c r="AR18" s="1331"/>
      <c r="AS18" s="1331"/>
      <c r="AT18" s="1331"/>
      <c r="AU18" s="1331"/>
      <c r="AV18" s="1331"/>
      <c r="AW18" s="1331"/>
      <c r="AX18" s="1331"/>
      <c r="AY18" s="1331"/>
      <c r="AZ18" s="1331"/>
      <c r="BA18" s="1331"/>
      <c r="BB18" s="1331"/>
      <c r="BC18" s="1331"/>
      <c r="BD18" s="1331"/>
      <c r="BE18" s="1331"/>
      <c r="BF18" s="1331"/>
      <c r="BG18" s="1331"/>
      <c r="BH18" s="1331"/>
      <c r="BI18" s="1331"/>
      <c r="BJ18" s="1331"/>
      <c r="BK18" s="1331"/>
      <c r="BL18" s="1331"/>
      <c r="BM18" s="1331"/>
      <c r="BN18" s="1331"/>
      <c r="BO18" s="1331"/>
      <c r="BP18" s="1331"/>
      <c r="BQ18" s="1331"/>
      <c r="BR18" s="1331"/>
      <c r="BS18" s="1331"/>
      <c r="BT18" s="1332"/>
      <c r="BU18" s="1333"/>
      <c r="BV18" s="1334"/>
      <c r="BW18" s="1335"/>
      <c r="BX18" s="1070"/>
    </row>
    <row r="19" spans="1:76" ht="18" x14ac:dyDescent="0.3">
      <c r="A19" s="1082"/>
      <c r="B19" s="1336" t="s">
        <v>1324</v>
      </c>
      <c r="C19" s="1337"/>
      <c r="D19" s="1298"/>
      <c r="E19" s="1337"/>
      <c r="F19" s="1299">
        <f>Calc!F135</f>
        <v>0</v>
      </c>
      <c r="G19" s="1300">
        <f>Calc!G135</f>
        <v>200</v>
      </c>
      <c r="H19" s="1300">
        <f>Calc!H135</f>
        <v>1000</v>
      </c>
      <c r="I19" s="1300">
        <f>Calc!I135</f>
        <v>2500</v>
      </c>
      <c r="J19" s="1300">
        <f>Calc!J135</f>
        <v>3500</v>
      </c>
      <c r="K19" s="1300">
        <f>Calc!K135</f>
        <v>4500</v>
      </c>
      <c r="L19" s="1300">
        <f>Calc!L135</f>
        <v>3300.0096684919295</v>
      </c>
      <c r="M19" s="1300">
        <f>Calc!M135</f>
        <v>3694.2371301226672</v>
      </c>
      <c r="N19" s="1300">
        <f>Calc!N135</f>
        <v>3323.4314505797752</v>
      </c>
      <c r="O19" s="1300">
        <f>Calc!O135</f>
        <v>3485.7419101714595</v>
      </c>
      <c r="P19" s="1300">
        <f>Calc!P135</f>
        <v>3972.1389686656671</v>
      </c>
      <c r="Q19" s="1300">
        <f>Calc!Q135</f>
        <v>4251.5718022985111</v>
      </c>
      <c r="R19" s="1300">
        <f>Calc!R135</f>
        <v>3983.4022067022779</v>
      </c>
      <c r="S19" s="1300">
        <f>Calc!S135</f>
        <v>4423.4177056210374</v>
      </c>
      <c r="T19" s="1300">
        <f>Calc!T135</f>
        <v>4578.8839067073877</v>
      </c>
      <c r="U19" s="1300">
        <f>Calc!U135</f>
        <v>5307.5446701130122</v>
      </c>
      <c r="V19" s="1300">
        <f>Calc!V135</f>
        <v>5833.6304009883333</v>
      </c>
      <c r="W19" s="1300">
        <f>Calc!W135</f>
        <v>6556.6565753731547</v>
      </c>
      <c r="X19" s="1300">
        <f>Calc!X135</f>
        <v>0</v>
      </c>
      <c r="Y19" s="1300">
        <f>Calc!Y135</f>
        <v>0</v>
      </c>
      <c r="Z19" s="1300">
        <f>Calc!Z135</f>
        <v>0</v>
      </c>
      <c r="AA19" s="1300">
        <f>Calc!AA135</f>
        <v>0</v>
      </c>
      <c r="AB19" s="1300">
        <f>Calc!AB135</f>
        <v>0</v>
      </c>
      <c r="AC19" s="1300">
        <f>Calc!AC135</f>
        <v>0</v>
      </c>
      <c r="AD19" s="1300">
        <f>Calc!AD135</f>
        <v>0</v>
      </c>
      <c r="AE19" s="1300">
        <f>Calc!AE135</f>
        <v>0</v>
      </c>
      <c r="AF19" s="1300">
        <f>Calc!AF135</f>
        <v>0</v>
      </c>
      <c r="AG19" s="1300">
        <f>Calc!AG135</f>
        <v>0</v>
      </c>
      <c r="AH19" s="1300">
        <f>Calc!AH135</f>
        <v>0</v>
      </c>
      <c r="AI19" s="1300">
        <f>Calc!AI135</f>
        <v>0</v>
      </c>
      <c r="AJ19" s="1301">
        <f>Calc!AJ135</f>
        <v>29475.559128031495</v>
      </c>
      <c r="AK19" s="1302">
        <f>Calc!AK135</f>
        <v>7.8304986242325111E-2</v>
      </c>
      <c r="AL19" s="1260"/>
      <c r="AM19" s="1303">
        <f>Calc!AM135</f>
        <v>52020.379419473727</v>
      </c>
      <c r="AN19" s="1070"/>
      <c r="AO19" s="1070"/>
      <c r="AP19" s="1304"/>
      <c r="AQ19" s="1305"/>
      <c r="AR19" s="1305"/>
      <c r="AS19" s="1305"/>
      <c r="AT19" s="1305"/>
      <c r="AU19" s="1305"/>
      <c r="AV19" s="1305"/>
      <c r="AW19" s="1305"/>
      <c r="AX19" s="1305"/>
      <c r="AY19" s="1305"/>
      <c r="AZ19" s="1305"/>
      <c r="BA19" s="1305"/>
      <c r="BB19" s="1305"/>
      <c r="BC19" s="1305"/>
      <c r="BD19" s="1305"/>
      <c r="BE19" s="1305"/>
      <c r="BF19" s="1305"/>
      <c r="BG19" s="1305"/>
      <c r="BH19" s="1305"/>
      <c r="BI19" s="1305"/>
      <c r="BJ19" s="1305"/>
      <c r="BK19" s="1305"/>
      <c r="BL19" s="1305"/>
      <c r="BM19" s="1305"/>
      <c r="BN19" s="1305"/>
      <c r="BO19" s="1305"/>
      <c r="BP19" s="1305"/>
      <c r="BQ19" s="1305"/>
      <c r="BR19" s="1305"/>
      <c r="BS19" s="1305"/>
      <c r="BT19" s="1306"/>
      <c r="BU19" s="1307"/>
      <c r="BV19" s="1265"/>
      <c r="BW19" s="1304"/>
      <c r="BX19" s="1070"/>
    </row>
    <row r="20" spans="1:76" ht="18" x14ac:dyDescent="0.3">
      <c r="A20" s="1082"/>
      <c r="B20" s="1336" t="s">
        <v>1325</v>
      </c>
      <c r="C20" s="1337"/>
      <c r="D20" s="1298"/>
      <c r="E20" s="1337"/>
      <c r="F20" s="1299">
        <f>Calc!F136</f>
        <v>0</v>
      </c>
      <c r="G20" s="1300">
        <f>Calc!G136</f>
        <v>4828.4206951872993</v>
      </c>
      <c r="H20" s="1300">
        <f>Calc!H136</f>
        <v>3450.6323370654059</v>
      </c>
      <c r="I20" s="1300">
        <f>Calc!I136</f>
        <v>8338.541056523256</v>
      </c>
      <c r="J20" s="1300">
        <f>Calc!J136</f>
        <v>7736.0276633552903</v>
      </c>
      <c r="K20" s="1300">
        <f>Calc!K136</f>
        <v>2362.6098811049887</v>
      </c>
      <c r="L20" s="1300">
        <f>Calc!L136</f>
        <v>1451.8026343507922</v>
      </c>
      <c r="M20" s="1300">
        <f>Calc!M136</f>
        <v>205.83868703780806</v>
      </c>
      <c r="N20" s="1300">
        <f>Calc!N136</f>
        <v>209.9554607785642</v>
      </c>
      <c r="O20" s="1300">
        <f>Calc!O136</f>
        <v>214.1545699941355</v>
      </c>
      <c r="P20" s="1300">
        <f>Calc!P136</f>
        <v>218.43766139401816</v>
      </c>
      <c r="Q20" s="1300">
        <f>Calc!Q136</f>
        <v>222.80641462189857</v>
      </c>
      <c r="R20" s="1300">
        <f>Calc!R136</f>
        <v>0</v>
      </c>
      <c r="S20" s="1300">
        <f>Calc!S136</f>
        <v>0</v>
      </c>
      <c r="T20" s="1300">
        <f>Calc!T136</f>
        <v>0</v>
      </c>
      <c r="U20" s="1300">
        <f>Calc!U136</f>
        <v>0</v>
      </c>
      <c r="V20" s="1300">
        <f>Calc!V136</f>
        <v>0</v>
      </c>
      <c r="W20" s="1300">
        <f>Calc!W136</f>
        <v>0</v>
      </c>
      <c r="X20" s="1300">
        <f>Calc!X136</f>
        <v>0</v>
      </c>
      <c r="Y20" s="1300">
        <f>Calc!Y136</f>
        <v>0</v>
      </c>
      <c r="Z20" s="1300">
        <f>Calc!Z136</f>
        <v>0</v>
      </c>
      <c r="AA20" s="1300">
        <f>Calc!AA136</f>
        <v>0</v>
      </c>
      <c r="AB20" s="1300">
        <f>Calc!AB136</f>
        <v>0</v>
      </c>
      <c r="AC20" s="1300">
        <f>Calc!AC136</f>
        <v>0</v>
      </c>
      <c r="AD20" s="1300">
        <f>Calc!AD136</f>
        <v>0</v>
      </c>
      <c r="AE20" s="1300">
        <f>Calc!AE136</f>
        <v>0</v>
      </c>
      <c r="AF20" s="1300">
        <f>Calc!AF136</f>
        <v>0</v>
      </c>
      <c r="AG20" s="1300">
        <f>Calc!AG136</f>
        <v>0</v>
      </c>
      <c r="AH20" s="1300">
        <f>Calc!AH136</f>
        <v>0</v>
      </c>
      <c r="AI20" s="1300">
        <f>Calc!AI136</f>
        <v>0</v>
      </c>
      <c r="AJ20" s="1301">
        <f>Calc!AJ136</f>
        <v>29016.420646791557</v>
      </c>
      <c r="AK20" s="1302">
        <f>Calc!AK136</f>
        <v>7.708523559058518E-2</v>
      </c>
      <c r="AL20" s="1260"/>
      <c r="AM20" s="1303">
        <f>Calc!AM136</f>
        <v>29239.227061413458</v>
      </c>
      <c r="AN20" s="1070"/>
      <c r="AO20" s="1070"/>
      <c r="AP20" s="1304"/>
      <c r="AQ20" s="1305"/>
      <c r="AR20" s="1305"/>
      <c r="AS20" s="1305"/>
      <c r="AT20" s="1305"/>
      <c r="AU20" s="1305"/>
      <c r="AV20" s="1305"/>
      <c r="AW20" s="1305"/>
      <c r="AX20" s="1305"/>
      <c r="AY20" s="1305"/>
      <c r="AZ20" s="1305"/>
      <c r="BA20" s="1305"/>
      <c r="BB20" s="1305"/>
      <c r="BC20" s="1305"/>
      <c r="BD20" s="1305"/>
      <c r="BE20" s="1305"/>
      <c r="BF20" s="1305"/>
      <c r="BG20" s="1305"/>
      <c r="BH20" s="1305"/>
      <c r="BI20" s="1305"/>
      <c r="BJ20" s="1305"/>
      <c r="BK20" s="1305"/>
      <c r="BL20" s="1305"/>
      <c r="BM20" s="1305"/>
      <c r="BN20" s="1305"/>
      <c r="BO20" s="1305"/>
      <c r="BP20" s="1305"/>
      <c r="BQ20" s="1305"/>
      <c r="BR20" s="1305"/>
      <c r="BS20" s="1305"/>
      <c r="BT20" s="1306"/>
      <c r="BU20" s="1307"/>
      <c r="BV20" s="1265"/>
      <c r="BW20" s="1304"/>
      <c r="BX20" s="1070"/>
    </row>
    <row r="21" spans="1:76" ht="18.600000000000001" thickBot="1" x14ac:dyDescent="0.35">
      <c r="A21" s="1082"/>
      <c r="B21" s="1338" t="s">
        <v>660</v>
      </c>
      <c r="C21" s="1339"/>
      <c r="D21" s="1339"/>
      <c r="E21" s="1339"/>
      <c r="F21" s="1340">
        <f t="shared" ref="F21:AI21" si="3">+F17-F19-F20</f>
        <v>0</v>
      </c>
      <c r="G21" s="1341">
        <f t="shared" si="3"/>
        <v>-5028.4206951872993</v>
      </c>
      <c r="H21" s="1341">
        <f t="shared" si="3"/>
        <v>-4450.6323370654063</v>
      </c>
      <c r="I21" s="1341">
        <f t="shared" si="3"/>
        <v>-10838.541056523256</v>
      </c>
      <c r="J21" s="1341">
        <f t="shared" si="3"/>
        <v>-11236.027663355289</v>
      </c>
      <c r="K21" s="1341">
        <f t="shared" si="3"/>
        <v>-6862.6098811049887</v>
      </c>
      <c r="L21" s="1341">
        <f t="shared" si="3"/>
        <v>7005.3233542734397</v>
      </c>
      <c r="M21" s="1341">
        <f t="shared" si="3"/>
        <v>22969.761070214634</v>
      </c>
      <c r="N21" s="1341">
        <f t="shared" si="3"/>
        <v>47622.198990705387</v>
      </c>
      <c r="O21" s="1341">
        <f t="shared" si="3"/>
        <v>72959.615107254707</v>
      </c>
      <c r="P21" s="1341">
        <f t="shared" si="3"/>
        <v>90955.53388407013</v>
      </c>
      <c r="Q21" s="1341">
        <f t="shared" si="3"/>
        <v>101262.01754717228</v>
      </c>
      <c r="R21" s="1341">
        <f t="shared" si="3"/>
        <v>108741.57849390154</v>
      </c>
      <c r="S21" s="1341">
        <f t="shared" si="3"/>
        <v>125838.7721014273</v>
      </c>
      <c r="T21" s="1341">
        <f t="shared" si="3"/>
        <v>129347.9803452237</v>
      </c>
      <c r="U21" s="1341">
        <f t="shared" si="3"/>
        <v>160054.74142751325</v>
      </c>
      <c r="V21" s="1341">
        <f t="shared" si="3"/>
        <v>176650.66693991574</v>
      </c>
      <c r="W21" s="1341">
        <f t="shared" si="3"/>
        <v>202969.25329796318</v>
      </c>
      <c r="X21" s="1341">
        <f t="shared" si="3"/>
        <v>252787.09082071079</v>
      </c>
      <c r="Y21" s="1341">
        <f t="shared" si="3"/>
        <v>0</v>
      </c>
      <c r="Z21" s="1341">
        <f t="shared" si="3"/>
        <v>0</v>
      </c>
      <c r="AA21" s="1341">
        <f t="shared" si="3"/>
        <v>0</v>
      </c>
      <c r="AB21" s="1341">
        <f t="shared" si="3"/>
        <v>0</v>
      </c>
      <c r="AC21" s="1341">
        <f t="shared" si="3"/>
        <v>0</v>
      </c>
      <c r="AD21" s="1341">
        <f t="shared" si="3"/>
        <v>0</v>
      </c>
      <c r="AE21" s="1341">
        <f t="shared" si="3"/>
        <v>0</v>
      </c>
      <c r="AF21" s="1341">
        <f t="shared" si="3"/>
        <v>0</v>
      </c>
      <c r="AG21" s="1341">
        <f t="shared" si="3"/>
        <v>0</v>
      </c>
      <c r="AH21" s="1341">
        <f t="shared" si="3"/>
        <v>0</v>
      </c>
      <c r="AI21" s="1341">
        <f t="shared" si="3"/>
        <v>0</v>
      </c>
      <c r="AJ21" s="1342">
        <f>Calc!AJ137</f>
        <v>203096.20077328203</v>
      </c>
      <c r="AK21" s="1343"/>
      <c r="AL21" s="1344"/>
      <c r="AM21" s="1340">
        <f>Calc!AM137</f>
        <v>828341.29068852018</v>
      </c>
      <c r="AN21" s="1070"/>
      <c r="AO21" s="1070"/>
      <c r="AP21" s="1345"/>
      <c r="AQ21" s="1346"/>
      <c r="AR21" s="1346"/>
      <c r="AS21" s="1346"/>
      <c r="AT21" s="1346"/>
      <c r="AU21" s="1346"/>
      <c r="AV21" s="1346"/>
      <c r="AW21" s="1346"/>
      <c r="AX21" s="1346"/>
      <c r="AY21" s="1346"/>
      <c r="AZ21" s="1346"/>
      <c r="BA21" s="1346"/>
      <c r="BB21" s="1346"/>
      <c r="BC21" s="1346"/>
      <c r="BD21" s="1346"/>
      <c r="BE21" s="1346"/>
      <c r="BF21" s="1346"/>
      <c r="BG21" s="1346"/>
      <c r="BH21" s="1346"/>
      <c r="BI21" s="1346"/>
      <c r="BJ21" s="1346"/>
      <c r="BK21" s="1346"/>
      <c r="BL21" s="1346"/>
      <c r="BM21" s="1346"/>
      <c r="BN21" s="1346"/>
      <c r="BO21" s="1346"/>
      <c r="BP21" s="1346"/>
      <c r="BQ21" s="1346"/>
      <c r="BR21" s="1346"/>
      <c r="BS21" s="1346"/>
      <c r="BT21" s="1347"/>
      <c r="BU21" s="1348"/>
      <c r="BV21" s="1349"/>
      <c r="BW21" s="1345"/>
      <c r="BX21" s="1070"/>
    </row>
    <row r="22" spans="1:76" ht="15" thickTop="1" x14ac:dyDescent="0.3">
      <c r="A22" s="1082"/>
      <c r="B22" s="1350"/>
      <c r="C22" s="1351" t="s">
        <v>1323</v>
      </c>
      <c r="D22" s="1352"/>
      <c r="E22" s="1353"/>
      <c r="F22" s="1354">
        <f t="shared" ref="F22:AJ22" si="4">IFERROR(IF(ABS(F21/F$11)&gt;100%,0,F21/F$11),0)</f>
        <v>0</v>
      </c>
      <c r="G22" s="1269">
        <f t="shared" si="4"/>
        <v>0</v>
      </c>
      <c r="H22" s="1269">
        <f t="shared" si="4"/>
        <v>0</v>
      </c>
      <c r="I22" s="1269">
        <f t="shared" si="4"/>
        <v>0</v>
      </c>
      <c r="J22" s="1269">
        <f t="shared" si="4"/>
        <v>0</v>
      </c>
      <c r="K22" s="1269">
        <f t="shared" si="4"/>
        <v>0</v>
      </c>
      <c r="L22" s="1269">
        <f t="shared" si="4"/>
        <v>0.42030585551049982</v>
      </c>
      <c r="M22" s="1269">
        <f t="shared" si="4"/>
        <v>0.5955539992377078</v>
      </c>
      <c r="N22" s="1269">
        <f t="shared" si="4"/>
        <v>0.64770984659399689</v>
      </c>
      <c r="O22" s="1269">
        <f t="shared" si="4"/>
        <v>0.66135133936775792</v>
      </c>
      <c r="P22" s="1269">
        <f t="shared" si="4"/>
        <v>0.66226034647111187</v>
      </c>
      <c r="Q22" s="1269">
        <f t="shared" si="4"/>
        <v>0.66242731311845271</v>
      </c>
      <c r="R22" s="1269">
        <f t="shared" si="4"/>
        <v>0.65607929379853702</v>
      </c>
      <c r="S22" s="1269">
        <f t="shared" si="4"/>
        <v>0.661648122607575</v>
      </c>
      <c r="T22" s="1269">
        <f t="shared" si="4"/>
        <v>0.65055578971156236</v>
      </c>
      <c r="U22" s="1269">
        <f t="shared" si="4"/>
        <v>0.66882309211657076</v>
      </c>
      <c r="V22" s="1269">
        <f t="shared" si="4"/>
        <v>0.65783101750359874</v>
      </c>
      <c r="W22" s="1269">
        <f t="shared" si="4"/>
        <v>0.65749007695657191</v>
      </c>
      <c r="X22" s="1269">
        <f t="shared" si="4"/>
        <v>1</v>
      </c>
      <c r="Y22" s="1269">
        <f t="shared" si="4"/>
        <v>0</v>
      </c>
      <c r="Z22" s="1269">
        <f t="shared" si="4"/>
        <v>0</v>
      </c>
      <c r="AA22" s="1269">
        <f t="shared" si="4"/>
        <v>0</v>
      </c>
      <c r="AB22" s="1269">
        <f t="shared" si="4"/>
        <v>0</v>
      </c>
      <c r="AC22" s="1269">
        <f t="shared" si="4"/>
        <v>0</v>
      </c>
      <c r="AD22" s="1269">
        <f t="shared" si="4"/>
        <v>0</v>
      </c>
      <c r="AE22" s="1269">
        <f t="shared" si="4"/>
        <v>0</v>
      </c>
      <c r="AF22" s="1269">
        <f t="shared" si="4"/>
        <v>0</v>
      </c>
      <c r="AG22" s="1269">
        <f t="shared" si="4"/>
        <v>0</v>
      </c>
      <c r="AH22" s="1269">
        <f t="shared" si="4"/>
        <v>0</v>
      </c>
      <c r="AI22" s="1269">
        <f t="shared" si="4"/>
        <v>0</v>
      </c>
      <c r="AJ22" s="1270">
        <f t="shared" si="4"/>
        <v>0.53954685433926319</v>
      </c>
      <c r="AK22" s="1355"/>
      <c r="AL22" s="1356"/>
      <c r="AM22" s="1273"/>
      <c r="AN22" s="1070"/>
      <c r="AO22" s="1070"/>
      <c r="AP22" s="1357"/>
      <c r="AQ22" s="1275"/>
      <c r="AR22" s="1275"/>
      <c r="AS22" s="1275"/>
      <c r="AT22" s="1275"/>
      <c r="AU22" s="1275"/>
      <c r="AV22" s="1275"/>
      <c r="AW22" s="1275"/>
      <c r="AX22" s="1275"/>
      <c r="AY22" s="1275"/>
      <c r="AZ22" s="1275"/>
      <c r="BA22" s="1275"/>
      <c r="BB22" s="1275"/>
      <c r="BC22" s="1275"/>
      <c r="BD22" s="1275"/>
      <c r="BE22" s="1275"/>
      <c r="BF22" s="1275"/>
      <c r="BG22" s="1275"/>
      <c r="BH22" s="1275"/>
      <c r="BI22" s="1275"/>
      <c r="BJ22" s="1275"/>
      <c r="BK22" s="1275"/>
      <c r="BL22" s="1275"/>
      <c r="BM22" s="1275"/>
      <c r="BN22" s="1275"/>
      <c r="BO22" s="1275"/>
      <c r="BP22" s="1275"/>
      <c r="BQ22" s="1275"/>
      <c r="BR22" s="1275"/>
      <c r="BS22" s="1275"/>
      <c r="BT22" s="1276"/>
      <c r="BU22" s="1358"/>
      <c r="BV22" s="1359"/>
      <c r="BW22" s="1279"/>
      <c r="BX22" s="1070"/>
    </row>
    <row r="23" spans="1:76" ht="18" x14ac:dyDescent="0.3">
      <c r="A23" s="1082"/>
      <c r="B23" s="1336" t="s">
        <v>1326</v>
      </c>
      <c r="C23" s="1351"/>
      <c r="D23" s="1352"/>
      <c r="E23" s="1353"/>
      <c r="F23" s="1299">
        <f>Calc!F139</f>
        <v>0</v>
      </c>
      <c r="G23" s="1300">
        <f>Calc!G139</f>
        <v>0</v>
      </c>
      <c r="H23" s="1300">
        <f>Calc!H139</f>
        <v>0</v>
      </c>
      <c r="I23" s="1300">
        <f>Calc!I139</f>
        <v>0</v>
      </c>
      <c r="J23" s="1300">
        <f>Calc!J139</f>
        <v>0</v>
      </c>
      <c r="K23" s="1300">
        <f>Calc!K139</f>
        <v>0</v>
      </c>
      <c r="L23" s="1300">
        <f>Calc!L139</f>
        <v>933.33333333333337</v>
      </c>
      <c r="M23" s="1300">
        <f>Calc!M139</f>
        <v>933.33333333333337</v>
      </c>
      <c r="N23" s="1300">
        <f>Calc!N139</f>
        <v>933.33333333333337</v>
      </c>
      <c r="O23" s="1300">
        <f>Calc!O139</f>
        <v>933.33333333333337</v>
      </c>
      <c r="P23" s="1300">
        <f>Calc!P139</f>
        <v>933.33333333333337</v>
      </c>
      <c r="Q23" s="1300">
        <f>Calc!Q139</f>
        <v>933.33333333333337</v>
      </c>
      <c r="R23" s="1300">
        <f>Calc!R139</f>
        <v>933.33333333333337</v>
      </c>
      <c r="S23" s="1300">
        <f>Calc!S139</f>
        <v>933.33333333333337</v>
      </c>
      <c r="T23" s="1300">
        <f>Calc!T139</f>
        <v>933.33333333333337</v>
      </c>
      <c r="U23" s="1300">
        <f>Calc!U139</f>
        <v>933.33333333333337</v>
      </c>
      <c r="V23" s="1300">
        <f>Calc!V139</f>
        <v>933.33333333333337</v>
      </c>
      <c r="W23" s="1300">
        <f>Calc!W139</f>
        <v>933.33333333333337</v>
      </c>
      <c r="X23" s="1300">
        <f>Calc!X139</f>
        <v>933.33333333333337</v>
      </c>
      <c r="Y23" s="1300">
        <f>Calc!Y139</f>
        <v>933.33333333333337</v>
      </c>
      <c r="Z23" s="1300">
        <f>Calc!Z139</f>
        <v>933.33333333333337</v>
      </c>
      <c r="AA23" s="1300">
        <f>Calc!AA139</f>
        <v>0</v>
      </c>
      <c r="AB23" s="1300">
        <f>Calc!AB139</f>
        <v>0</v>
      </c>
      <c r="AC23" s="1300">
        <f>Calc!AC139</f>
        <v>0</v>
      </c>
      <c r="AD23" s="1300">
        <f>Calc!AD139</f>
        <v>0</v>
      </c>
      <c r="AE23" s="1300">
        <f>Calc!AE139</f>
        <v>0</v>
      </c>
      <c r="AF23" s="1300">
        <f>Calc!AF139</f>
        <v>0</v>
      </c>
      <c r="AG23" s="1300">
        <f>Calc!AG139</f>
        <v>0</v>
      </c>
      <c r="AH23" s="1300">
        <f>Calc!AH139</f>
        <v>0</v>
      </c>
      <c r="AI23" s="1300">
        <f>Calc!AI139</f>
        <v>0</v>
      </c>
      <c r="AJ23" s="1301">
        <f>Calc!AJ139</f>
        <v>4666.666666666667</v>
      </c>
      <c r="AK23" s="1355" t="s">
        <v>3</v>
      </c>
      <c r="AL23" s="1328"/>
      <c r="AM23" s="1303">
        <f>Calc!AM139</f>
        <v>9333.3333333333339</v>
      </c>
      <c r="AN23" s="1070"/>
      <c r="AO23" s="1070"/>
      <c r="AP23" s="1304"/>
      <c r="AQ23" s="1305"/>
      <c r="AR23" s="1305"/>
      <c r="AS23" s="1305"/>
      <c r="AT23" s="1305"/>
      <c r="AU23" s="1305"/>
      <c r="AV23" s="1305"/>
      <c r="AW23" s="1305"/>
      <c r="AX23" s="1305"/>
      <c r="AY23" s="1305"/>
      <c r="AZ23" s="1305"/>
      <c r="BA23" s="1305"/>
      <c r="BB23" s="1305"/>
      <c r="BC23" s="1305"/>
      <c r="BD23" s="1305"/>
      <c r="BE23" s="1305"/>
      <c r="BF23" s="1305"/>
      <c r="BG23" s="1305"/>
      <c r="BH23" s="1305"/>
      <c r="BI23" s="1305"/>
      <c r="BJ23" s="1305"/>
      <c r="BK23" s="1305"/>
      <c r="BL23" s="1305"/>
      <c r="BM23" s="1305"/>
      <c r="BN23" s="1305"/>
      <c r="BO23" s="1305"/>
      <c r="BP23" s="1305"/>
      <c r="BQ23" s="1305"/>
      <c r="BR23" s="1305"/>
      <c r="BS23" s="1305"/>
      <c r="BT23" s="1306"/>
      <c r="BU23" s="1358"/>
      <c r="BV23" s="1334"/>
      <c r="BW23" s="1304"/>
      <c r="BX23" s="1070"/>
    </row>
    <row r="24" spans="1:76" ht="18" x14ac:dyDescent="0.3">
      <c r="A24" s="1082"/>
      <c r="B24" s="1336" t="s">
        <v>1327</v>
      </c>
      <c r="C24" s="1360"/>
      <c r="D24" s="1361"/>
      <c r="E24" s="1360"/>
      <c r="F24" s="1299">
        <f>Calc!F140</f>
        <v>0</v>
      </c>
      <c r="G24" s="1300">
        <f>Calc!G140</f>
        <v>-1407.9577946524439</v>
      </c>
      <c r="H24" s="1300">
        <f>Calc!H140</f>
        <v>-1246.1770543783139</v>
      </c>
      <c r="I24" s="1300">
        <f>Calc!I140</f>
        <v>-3034.7914958265119</v>
      </c>
      <c r="J24" s="1300">
        <f>Calc!J140</f>
        <v>-3146.0877457394813</v>
      </c>
      <c r="K24" s="1300">
        <f>Calc!K140</f>
        <v>-1921.5307667093971</v>
      </c>
      <c r="L24" s="1300">
        <f>Calc!L140</f>
        <v>1700.15720586323</v>
      </c>
      <c r="M24" s="1300">
        <f>Calc!M140</f>
        <v>6170.1997663267648</v>
      </c>
      <c r="N24" s="1300">
        <f>Calc!N140</f>
        <v>13072.882384064176</v>
      </c>
      <c r="O24" s="1300">
        <f>Calc!O140</f>
        <v>20167.358896697988</v>
      </c>
      <c r="P24" s="1300">
        <f>Calc!P140</f>
        <v>25206.216154206308</v>
      </c>
      <c r="Q24" s="1300">
        <f>Calc!Q140</f>
        <v>28092.031579874907</v>
      </c>
      <c r="R24" s="1300">
        <f>Calc!R140</f>
        <v>30186.308644959103</v>
      </c>
      <c r="S24" s="1300">
        <f>Calc!S140</f>
        <v>34973.522855066316</v>
      </c>
      <c r="T24" s="1300">
        <f>Calc!T140</f>
        <v>35956.101163329309</v>
      </c>
      <c r="U24" s="1300">
        <f>Calc!U140</f>
        <v>44553.994266370377</v>
      </c>
      <c r="V24" s="1300">
        <f>Calc!V140</f>
        <v>49200.853409843075</v>
      </c>
      <c r="W24" s="1300">
        <f>Calc!W140</f>
        <v>56570.057590096359</v>
      </c>
      <c r="X24" s="1300">
        <f>Calc!X140</f>
        <v>70519.05209646569</v>
      </c>
      <c r="Y24" s="1300">
        <f>Calc!Y140</f>
        <v>-261.33333333333337</v>
      </c>
      <c r="Z24" s="1300">
        <f>Calc!Z140</f>
        <v>-261.33333333333337</v>
      </c>
      <c r="AA24" s="1300">
        <f>Calc!AA140</f>
        <v>0</v>
      </c>
      <c r="AB24" s="1300">
        <f>Calc!AB140</f>
        <v>0</v>
      </c>
      <c r="AC24" s="1300">
        <f>Calc!AC140</f>
        <v>0</v>
      </c>
      <c r="AD24" s="1300">
        <f>Calc!AD140</f>
        <v>0</v>
      </c>
      <c r="AE24" s="1300">
        <f>Calc!AE140</f>
        <v>0</v>
      </c>
      <c r="AF24" s="1300">
        <f>Calc!AF140</f>
        <v>0</v>
      </c>
      <c r="AG24" s="1300">
        <f>Calc!AG140</f>
        <v>0</v>
      </c>
      <c r="AH24" s="1300">
        <f>Calc!AH140</f>
        <v>0</v>
      </c>
      <c r="AI24" s="1300">
        <f>Calc!AI140</f>
        <v>0</v>
      </c>
      <c r="AJ24" s="1301">
        <f>Calc!AJ140</f>
        <v>55560.269549852324</v>
      </c>
      <c r="AK24" s="1302">
        <f>Calc!AK140</f>
        <v>0.273566267307357</v>
      </c>
      <c r="AL24" s="1260"/>
      <c r="AM24" s="1303">
        <f>Calc!AM140</f>
        <v>229322.22805945235</v>
      </c>
      <c r="AN24" s="1070"/>
      <c r="AO24" s="1070"/>
      <c r="AP24" s="1304"/>
      <c r="AQ24" s="1305"/>
      <c r="AR24" s="1305"/>
      <c r="AS24" s="1305"/>
      <c r="AT24" s="1305"/>
      <c r="AU24" s="1305"/>
      <c r="AV24" s="1305"/>
      <c r="AW24" s="1305"/>
      <c r="AX24" s="1305"/>
      <c r="AY24" s="1305"/>
      <c r="AZ24" s="1305"/>
      <c r="BA24" s="1305"/>
      <c r="BB24" s="1305"/>
      <c r="BC24" s="1305"/>
      <c r="BD24" s="1305"/>
      <c r="BE24" s="1305"/>
      <c r="BF24" s="1305"/>
      <c r="BG24" s="1305"/>
      <c r="BH24" s="1305"/>
      <c r="BI24" s="1305"/>
      <c r="BJ24" s="1305"/>
      <c r="BK24" s="1305"/>
      <c r="BL24" s="1305"/>
      <c r="BM24" s="1305"/>
      <c r="BN24" s="1305"/>
      <c r="BO24" s="1305"/>
      <c r="BP24" s="1305"/>
      <c r="BQ24" s="1305"/>
      <c r="BR24" s="1305"/>
      <c r="BS24" s="1305"/>
      <c r="BT24" s="1306"/>
      <c r="BU24" s="1307"/>
      <c r="BV24" s="1265"/>
      <c r="BW24" s="1304"/>
      <c r="BX24" s="1070"/>
    </row>
    <row r="25" spans="1:76" ht="18" x14ac:dyDescent="0.3">
      <c r="A25" s="1082"/>
      <c r="B25" s="1308" t="s">
        <v>674</v>
      </c>
      <c r="C25" s="1362"/>
      <c r="D25" s="1362"/>
      <c r="E25" s="1362"/>
      <c r="F25" s="1310">
        <f t="shared" ref="F25:AI25" si="5">F21-F23-F24</f>
        <v>0</v>
      </c>
      <c r="G25" s="1311">
        <f t="shared" si="5"/>
        <v>-3620.4629005348552</v>
      </c>
      <c r="H25" s="1311">
        <f t="shared" si="5"/>
        <v>-3204.4552826870922</v>
      </c>
      <c r="I25" s="1311">
        <f t="shared" si="5"/>
        <v>-7803.7495606967441</v>
      </c>
      <c r="J25" s="1311">
        <f t="shared" si="5"/>
        <v>-8089.9399176158076</v>
      </c>
      <c r="K25" s="1311">
        <f t="shared" si="5"/>
        <v>-4941.0791143955921</v>
      </c>
      <c r="L25" s="1311">
        <f t="shared" si="5"/>
        <v>4371.8328150768766</v>
      </c>
      <c r="M25" s="1311">
        <f t="shared" si="5"/>
        <v>15866.227970554537</v>
      </c>
      <c r="N25" s="1311">
        <f t="shared" si="5"/>
        <v>33615.983273307873</v>
      </c>
      <c r="O25" s="1311">
        <f t="shared" si="5"/>
        <v>51858.922877223391</v>
      </c>
      <c r="P25" s="1311">
        <f t="shared" si="5"/>
        <v>64815.98439653049</v>
      </c>
      <c r="Q25" s="1311">
        <f t="shared" si="5"/>
        <v>72236.65263396404</v>
      </c>
      <c r="R25" s="1311">
        <f t="shared" si="5"/>
        <v>77621.936515609108</v>
      </c>
      <c r="S25" s="1311">
        <f t="shared" si="5"/>
        <v>89931.915913027653</v>
      </c>
      <c r="T25" s="1311">
        <f t="shared" si="5"/>
        <v>92458.545848561058</v>
      </c>
      <c r="U25" s="1311">
        <f t="shared" si="5"/>
        <v>114567.41382780953</v>
      </c>
      <c r="V25" s="1311">
        <f t="shared" si="5"/>
        <v>126516.48019673931</v>
      </c>
      <c r="W25" s="1311">
        <f t="shared" si="5"/>
        <v>145465.86237453349</v>
      </c>
      <c r="X25" s="1311">
        <f t="shared" si="5"/>
        <v>181334.70539091175</v>
      </c>
      <c r="Y25" s="1311">
        <f t="shared" si="5"/>
        <v>-672</v>
      </c>
      <c r="Z25" s="1311">
        <f t="shared" si="5"/>
        <v>-672</v>
      </c>
      <c r="AA25" s="1311">
        <f t="shared" si="5"/>
        <v>0</v>
      </c>
      <c r="AB25" s="1311">
        <f t="shared" si="5"/>
        <v>0</v>
      </c>
      <c r="AC25" s="1311">
        <f t="shared" si="5"/>
        <v>0</v>
      </c>
      <c r="AD25" s="1311">
        <f t="shared" si="5"/>
        <v>0</v>
      </c>
      <c r="AE25" s="1311">
        <f t="shared" si="5"/>
        <v>0</v>
      </c>
      <c r="AF25" s="1311">
        <f t="shared" si="5"/>
        <v>0</v>
      </c>
      <c r="AG25" s="1311">
        <f t="shared" si="5"/>
        <v>0</v>
      </c>
      <c r="AH25" s="1311">
        <f t="shared" si="5"/>
        <v>0</v>
      </c>
      <c r="AI25" s="1311">
        <f t="shared" si="5"/>
        <v>0</v>
      </c>
      <c r="AJ25" s="1312">
        <f>Calc!AJ141</f>
        <v>142869.26455676305</v>
      </c>
      <c r="AK25" s="1313"/>
      <c r="AL25" s="1260"/>
      <c r="AM25" s="1310">
        <f>Calc!AM141</f>
        <v>589685.72929573443</v>
      </c>
      <c r="AN25" s="1070"/>
      <c r="AO25" s="1070"/>
      <c r="AP25" s="1315"/>
      <c r="AQ25" s="1316"/>
      <c r="AR25" s="1316"/>
      <c r="AS25" s="1316"/>
      <c r="AT25" s="1316"/>
      <c r="AU25" s="1316"/>
      <c r="AV25" s="1316"/>
      <c r="AW25" s="1316"/>
      <c r="AX25" s="1316"/>
      <c r="AY25" s="1316"/>
      <c r="AZ25" s="1316"/>
      <c r="BA25" s="1316"/>
      <c r="BB25" s="1316"/>
      <c r="BC25" s="1316"/>
      <c r="BD25" s="1316"/>
      <c r="BE25" s="1316"/>
      <c r="BF25" s="1316"/>
      <c r="BG25" s="1316"/>
      <c r="BH25" s="1316"/>
      <c r="BI25" s="1316"/>
      <c r="BJ25" s="1316"/>
      <c r="BK25" s="1316"/>
      <c r="BL25" s="1316"/>
      <c r="BM25" s="1316"/>
      <c r="BN25" s="1316"/>
      <c r="BO25" s="1316"/>
      <c r="BP25" s="1316"/>
      <c r="BQ25" s="1316"/>
      <c r="BR25" s="1316"/>
      <c r="BS25" s="1316"/>
      <c r="BT25" s="1317"/>
      <c r="BU25" s="1318"/>
      <c r="BV25" s="1265"/>
      <c r="BW25" s="1315"/>
      <c r="BX25" s="1070"/>
    </row>
    <row r="26" spans="1:76" ht="15.6" x14ac:dyDescent="0.3">
      <c r="A26" s="1082"/>
      <c r="B26" s="1363"/>
      <c r="C26" s="1321" t="s">
        <v>1323</v>
      </c>
      <c r="D26" s="1322"/>
      <c r="E26" s="1364"/>
      <c r="F26" s="1365"/>
      <c r="G26" s="1269">
        <f t="shared" ref="G26:AJ26" si="6">IFERROR(IF(ABS(G25/G$11)&gt;100%,0,G25/G$11),0)</f>
        <v>0</v>
      </c>
      <c r="H26" s="1325">
        <f t="shared" si="6"/>
        <v>0</v>
      </c>
      <c r="I26" s="1325">
        <f t="shared" si="6"/>
        <v>0</v>
      </c>
      <c r="J26" s="1325">
        <f t="shared" si="6"/>
        <v>0</v>
      </c>
      <c r="K26" s="1325">
        <f t="shared" si="6"/>
        <v>0</v>
      </c>
      <c r="L26" s="1325">
        <f t="shared" si="6"/>
        <v>0.26230151537099761</v>
      </c>
      <c r="M26" s="1325">
        <f t="shared" si="6"/>
        <v>0.41137543798546089</v>
      </c>
      <c r="N26" s="1325">
        <f t="shared" si="6"/>
        <v>0.45721121305864537</v>
      </c>
      <c r="O26" s="1325">
        <f t="shared" si="6"/>
        <v>0.47008153829488397</v>
      </c>
      <c r="P26" s="1325">
        <f t="shared" si="6"/>
        <v>0.47193452064196301</v>
      </c>
      <c r="Q26" s="1325">
        <f t="shared" si="6"/>
        <v>0.47255163260692951</v>
      </c>
      <c r="R26" s="1325">
        <f t="shared" si="6"/>
        <v>0.46832265999607264</v>
      </c>
      <c r="S26" s="1325">
        <f t="shared" si="6"/>
        <v>0.47285333711295918</v>
      </c>
      <c r="T26" s="1325">
        <f t="shared" si="6"/>
        <v>0.46502034395556308</v>
      </c>
      <c r="U26" s="1325">
        <f t="shared" si="6"/>
        <v>0.47874453008202178</v>
      </c>
      <c r="V26" s="1325">
        <f t="shared" si="6"/>
        <v>0.47113586572023963</v>
      </c>
      <c r="W26" s="1325">
        <f t="shared" si="6"/>
        <v>0.47121600682434939</v>
      </c>
      <c r="X26" s="1325">
        <f t="shared" si="6"/>
        <v>0.71734163640311588</v>
      </c>
      <c r="Y26" s="1325">
        <f t="shared" si="6"/>
        <v>0</v>
      </c>
      <c r="Z26" s="1325">
        <f t="shared" si="6"/>
        <v>0</v>
      </c>
      <c r="AA26" s="1325">
        <f t="shared" si="6"/>
        <v>0</v>
      </c>
      <c r="AB26" s="1325">
        <f t="shared" si="6"/>
        <v>0</v>
      </c>
      <c r="AC26" s="1325">
        <f t="shared" si="6"/>
        <v>0</v>
      </c>
      <c r="AD26" s="1325">
        <f t="shared" si="6"/>
        <v>0</v>
      </c>
      <c r="AE26" s="1325">
        <f t="shared" si="6"/>
        <v>0</v>
      </c>
      <c r="AF26" s="1325">
        <f t="shared" si="6"/>
        <v>0</v>
      </c>
      <c r="AG26" s="1325">
        <f t="shared" si="6"/>
        <v>0</v>
      </c>
      <c r="AH26" s="1325">
        <f t="shared" si="6"/>
        <v>0</v>
      </c>
      <c r="AI26" s="1325">
        <f t="shared" si="6"/>
        <v>0</v>
      </c>
      <c r="AJ26" s="1326">
        <f t="shared" si="6"/>
        <v>0.37954753451747597</v>
      </c>
      <c r="AK26" s="1366"/>
      <c r="AL26" s="1344"/>
      <c r="AM26" s="1329"/>
      <c r="AN26" s="1070"/>
      <c r="AO26" s="1070"/>
      <c r="AP26" s="1367"/>
      <c r="AQ26" s="1331"/>
      <c r="AR26" s="1331"/>
      <c r="AS26" s="1331"/>
      <c r="AT26" s="1331"/>
      <c r="AU26" s="1331"/>
      <c r="AV26" s="1331"/>
      <c r="AW26" s="1331"/>
      <c r="AX26" s="1331"/>
      <c r="AY26" s="1331"/>
      <c r="AZ26" s="1331"/>
      <c r="BA26" s="1331"/>
      <c r="BB26" s="1331"/>
      <c r="BC26" s="1331"/>
      <c r="BD26" s="1331"/>
      <c r="BE26" s="1331"/>
      <c r="BF26" s="1331"/>
      <c r="BG26" s="1331"/>
      <c r="BH26" s="1331"/>
      <c r="BI26" s="1331"/>
      <c r="BJ26" s="1331"/>
      <c r="BK26" s="1331"/>
      <c r="BL26" s="1331"/>
      <c r="BM26" s="1331"/>
      <c r="BN26" s="1331"/>
      <c r="BO26" s="1331"/>
      <c r="BP26" s="1331"/>
      <c r="BQ26" s="1331"/>
      <c r="BR26" s="1331"/>
      <c r="BS26" s="1331"/>
      <c r="BT26" s="1332"/>
      <c r="BU26" s="1368"/>
      <c r="BV26" s="1349"/>
      <c r="BW26" s="1335"/>
      <c r="BX26" s="1070"/>
    </row>
    <row r="27" spans="1:76" ht="18" x14ac:dyDescent="0.3">
      <c r="A27" s="1082"/>
      <c r="B27" s="1336" t="s">
        <v>1328</v>
      </c>
      <c r="C27" s="1337"/>
      <c r="D27" s="1298"/>
      <c r="E27" s="1337"/>
      <c r="F27" s="1299">
        <f>Calc!F143</f>
        <v>0</v>
      </c>
      <c r="G27" s="1300">
        <f>Calc!G143</f>
        <v>0</v>
      </c>
      <c r="H27" s="1300">
        <f>Calc!H143</f>
        <v>0</v>
      </c>
      <c r="I27" s="1300">
        <f>Calc!I143</f>
        <v>0</v>
      </c>
      <c r="J27" s="1300">
        <f>Calc!J143</f>
        <v>0</v>
      </c>
      <c r="K27" s="1300">
        <f>Calc!K143</f>
        <v>0</v>
      </c>
      <c r="L27" s="1300">
        <f>Calc!L143</f>
        <v>13066.666666666666</v>
      </c>
      <c r="M27" s="1300">
        <f>Calc!M143</f>
        <v>-933.33333333333337</v>
      </c>
      <c r="N27" s="1300">
        <f>Calc!N143</f>
        <v>-933.33333333333337</v>
      </c>
      <c r="O27" s="1300">
        <f>Calc!O143</f>
        <v>-933.33333333333337</v>
      </c>
      <c r="P27" s="1300">
        <f>Calc!P143</f>
        <v>-933.33333333333337</v>
      </c>
      <c r="Q27" s="1300">
        <f>Calc!Q143</f>
        <v>-933.33333333333337</v>
      </c>
      <c r="R27" s="1300">
        <f>Calc!R143</f>
        <v>-933.33333333333337</v>
      </c>
      <c r="S27" s="1300">
        <f>Calc!S143</f>
        <v>-933.33333333333337</v>
      </c>
      <c r="T27" s="1300">
        <f>Calc!T143</f>
        <v>-933.33333333333337</v>
      </c>
      <c r="U27" s="1300">
        <f>Calc!U143</f>
        <v>-933.33333333333337</v>
      </c>
      <c r="V27" s="1300">
        <f>Calc!V143</f>
        <v>-933.33333333333337</v>
      </c>
      <c r="W27" s="1300">
        <f>Calc!W143</f>
        <v>-933.33333333333337</v>
      </c>
      <c r="X27" s="1300">
        <f>Calc!X143</f>
        <v>-933.33333333333337</v>
      </c>
      <c r="Y27" s="1300">
        <f>Calc!Y143</f>
        <v>-933.33333333333337</v>
      </c>
      <c r="Z27" s="1300">
        <f>Calc!Z143</f>
        <v>-933.33333333333337</v>
      </c>
      <c r="AA27" s="1300">
        <f>Calc!AA143</f>
        <v>0</v>
      </c>
      <c r="AB27" s="1300">
        <f>Calc!AB143</f>
        <v>0</v>
      </c>
      <c r="AC27" s="1300">
        <f>Calc!AC143</f>
        <v>0</v>
      </c>
      <c r="AD27" s="1300">
        <f>Calc!AD143</f>
        <v>0</v>
      </c>
      <c r="AE27" s="1300">
        <f>Calc!AE143</f>
        <v>0</v>
      </c>
      <c r="AF27" s="1300">
        <f>Calc!AF143</f>
        <v>0</v>
      </c>
      <c r="AG27" s="1300">
        <f>Calc!AG143</f>
        <v>0</v>
      </c>
      <c r="AH27" s="1300">
        <f>Calc!AH143</f>
        <v>0</v>
      </c>
      <c r="AI27" s="1300">
        <f>Calc!AI143</f>
        <v>0</v>
      </c>
      <c r="AJ27" s="1301">
        <f>Calc!AJ143</f>
        <v>9333.3333333333303</v>
      </c>
      <c r="AK27" s="1302">
        <f>Calc!AK143</f>
        <v>2.4795001685537488E-2</v>
      </c>
      <c r="AL27" s="1260"/>
      <c r="AM27" s="1303">
        <f>Calc!AM143</f>
        <v>4666.6666666666633</v>
      </c>
      <c r="AN27" s="1070"/>
      <c r="AO27" s="1070"/>
      <c r="AP27" s="1304"/>
      <c r="AQ27" s="1305"/>
      <c r="AR27" s="1305"/>
      <c r="AS27" s="1305"/>
      <c r="AT27" s="1305"/>
      <c r="AU27" s="1305"/>
      <c r="AV27" s="1305"/>
      <c r="AW27" s="1305"/>
      <c r="AX27" s="1305"/>
      <c r="AY27" s="1305"/>
      <c r="AZ27" s="1305"/>
      <c r="BA27" s="1305"/>
      <c r="BB27" s="1305"/>
      <c r="BC27" s="1305"/>
      <c r="BD27" s="1305"/>
      <c r="BE27" s="1305"/>
      <c r="BF27" s="1305"/>
      <c r="BG27" s="1305"/>
      <c r="BH27" s="1305"/>
      <c r="BI27" s="1305"/>
      <c r="BJ27" s="1305"/>
      <c r="BK27" s="1305"/>
      <c r="BL27" s="1305"/>
      <c r="BM27" s="1305"/>
      <c r="BN27" s="1305"/>
      <c r="BO27" s="1305"/>
      <c r="BP27" s="1305"/>
      <c r="BQ27" s="1305"/>
      <c r="BR27" s="1305"/>
      <c r="BS27" s="1305"/>
      <c r="BT27" s="1306"/>
      <c r="BU27" s="1307"/>
      <c r="BV27" s="1265"/>
      <c r="BW27" s="1304"/>
      <c r="BX27" s="1070"/>
    </row>
    <row r="28" spans="1:76" ht="18" x14ac:dyDescent="0.3">
      <c r="A28" s="1082"/>
      <c r="B28" s="1336" t="s">
        <v>1329</v>
      </c>
      <c r="C28" s="1337"/>
      <c r="D28" s="1298"/>
      <c r="E28" s="1337"/>
      <c r="F28" s="1299">
        <f>Calc!F144</f>
        <v>0</v>
      </c>
      <c r="G28" s="1300">
        <f>Calc!G144</f>
        <v>0</v>
      </c>
      <c r="H28" s="1300">
        <f>Calc!H144</f>
        <v>0</v>
      </c>
      <c r="I28" s="1300">
        <f>Calc!I144</f>
        <v>0</v>
      </c>
      <c r="J28" s="1300">
        <f>Calc!J144</f>
        <v>0</v>
      </c>
      <c r="K28" s="1300">
        <f>Calc!K144</f>
        <v>0</v>
      </c>
      <c r="L28" s="1300">
        <f>Calc!L144</f>
        <v>3160.13687761248</v>
      </c>
      <c r="M28" s="1300">
        <f>Calc!M144</f>
        <v>4194.6694701487686</v>
      </c>
      <c r="N28" s="1300">
        <f>Calc!N144</f>
        <v>6674.0702691069473</v>
      </c>
      <c r="O28" s="1300">
        <f>Calc!O144</f>
        <v>7032.8497151280262</v>
      </c>
      <c r="P28" s="1300">
        <f>Calc!P144</f>
        <v>5195.3025800595897</v>
      </c>
      <c r="Q28" s="1300">
        <f>Calc!Q144</f>
        <v>2988.4494306812239</v>
      </c>
      <c r="R28" s="1300">
        <f>Calc!R144</f>
        <v>2704.0565805251163</v>
      </c>
      <c r="S28" s="1300">
        <f>Calc!S144</f>
        <v>4598.2114993296118</v>
      </c>
      <c r="T28" s="1300">
        <f>Calc!T144</f>
        <v>1941.0854642407503</v>
      </c>
      <c r="U28" s="1300">
        <f>Calc!U144</f>
        <v>7315.3371366588362</v>
      </c>
      <c r="V28" s="1300">
        <f>Calc!V144</f>
        <v>5978.3555525427637</v>
      </c>
      <c r="W28" s="1300">
        <f>Calc!W144</f>
        <v>7777.6097665450779</v>
      </c>
      <c r="X28" s="1300">
        <f>Calc!X144</f>
        <v>-20939.884356081711</v>
      </c>
      <c r="Y28" s="1300">
        <f>Calc!Y144</f>
        <v>-38620.249986497482</v>
      </c>
      <c r="Z28" s="1300">
        <f>Calc!Z144</f>
        <v>0</v>
      </c>
      <c r="AA28" s="1300">
        <f>Calc!AA144</f>
        <v>0</v>
      </c>
      <c r="AB28" s="1300">
        <f>Calc!AB144</f>
        <v>0</v>
      </c>
      <c r="AC28" s="1300">
        <f>Calc!AC144</f>
        <v>0</v>
      </c>
      <c r="AD28" s="1300">
        <f>Calc!AD144</f>
        <v>0</v>
      </c>
      <c r="AE28" s="1300">
        <f>Calc!AE144</f>
        <v>0</v>
      </c>
      <c r="AF28" s="1300">
        <f>Calc!AF144</f>
        <v>0</v>
      </c>
      <c r="AG28" s="1300">
        <f>Calc!AG144</f>
        <v>0</v>
      </c>
      <c r="AH28" s="1300">
        <f>Calc!AH144</f>
        <v>0</v>
      </c>
      <c r="AI28" s="1300">
        <f>Calc!AI144</f>
        <v>0</v>
      </c>
      <c r="AJ28" s="1301">
        <f>Calc!AJ144</f>
        <v>26257.028912055812</v>
      </c>
      <c r="AK28" s="1302">
        <f>Calc!AK144</f>
        <v>6.9754615299817566E-2</v>
      </c>
      <c r="AL28" s="1260"/>
      <c r="AM28" s="1303">
        <f>Calc!AM144</f>
        <v>45804.169023491355</v>
      </c>
      <c r="AN28" s="1070"/>
      <c r="AO28" s="1070"/>
      <c r="AP28" s="1304"/>
      <c r="AQ28" s="1305"/>
      <c r="AR28" s="1305"/>
      <c r="AS28" s="1305"/>
      <c r="AT28" s="1305"/>
      <c r="AU28" s="1305"/>
      <c r="AV28" s="1305"/>
      <c r="AW28" s="1305"/>
      <c r="AX28" s="1305"/>
      <c r="AY28" s="1305"/>
      <c r="AZ28" s="1305"/>
      <c r="BA28" s="1305"/>
      <c r="BB28" s="1305"/>
      <c r="BC28" s="1305"/>
      <c r="BD28" s="1305"/>
      <c r="BE28" s="1305"/>
      <c r="BF28" s="1305"/>
      <c r="BG28" s="1305"/>
      <c r="BH28" s="1305"/>
      <c r="BI28" s="1305"/>
      <c r="BJ28" s="1305"/>
      <c r="BK28" s="1305"/>
      <c r="BL28" s="1305"/>
      <c r="BM28" s="1305"/>
      <c r="BN28" s="1305"/>
      <c r="BO28" s="1305"/>
      <c r="BP28" s="1305"/>
      <c r="BQ28" s="1305"/>
      <c r="BR28" s="1305"/>
      <c r="BS28" s="1305"/>
      <c r="BT28" s="1306"/>
      <c r="BU28" s="1307"/>
      <c r="BV28" s="1265"/>
      <c r="BW28" s="1304"/>
      <c r="BX28" s="1070"/>
    </row>
    <row r="29" spans="1:76" ht="18" x14ac:dyDescent="0.3">
      <c r="A29" s="1082"/>
      <c r="B29" s="1369" t="s">
        <v>1330</v>
      </c>
      <c r="C29" s="1298"/>
      <c r="D29" s="1298"/>
      <c r="E29" s="1298"/>
      <c r="F29" s="1370">
        <f t="shared" ref="F29" si="7">F25+F16-F27-F28</f>
        <v>0</v>
      </c>
      <c r="G29" s="1371">
        <f>G25+G16-G27-G28</f>
        <v>-3620.4629005348552</v>
      </c>
      <c r="H29" s="1371">
        <f t="shared" ref="H29:AI29" si="8">H25+H16-H27-H28</f>
        <v>-3204.4552826870922</v>
      </c>
      <c r="I29" s="1371">
        <f t="shared" si="8"/>
        <v>-7803.7495606967441</v>
      </c>
      <c r="J29" s="1371">
        <f t="shared" si="8"/>
        <v>-8089.9399176158076</v>
      </c>
      <c r="K29" s="1371">
        <f t="shared" si="8"/>
        <v>-4941.0791143955921</v>
      </c>
      <c r="L29" s="1371">
        <f t="shared" si="8"/>
        <v>-11854.970729202269</v>
      </c>
      <c r="M29" s="1371">
        <f t="shared" si="8"/>
        <v>12604.891833739101</v>
      </c>
      <c r="N29" s="1371">
        <f t="shared" si="8"/>
        <v>27875.246337534263</v>
      </c>
      <c r="O29" s="1371">
        <f t="shared" si="8"/>
        <v>45759.406495428702</v>
      </c>
      <c r="P29" s="1371">
        <f t="shared" si="8"/>
        <v>60554.015149804225</v>
      </c>
      <c r="Q29" s="1371">
        <f t="shared" si="8"/>
        <v>70181.536536616142</v>
      </c>
      <c r="R29" s="1371">
        <f t="shared" si="8"/>
        <v>75851.213268417327</v>
      </c>
      <c r="S29" s="1371">
        <f t="shared" si="8"/>
        <v>86267.037747031369</v>
      </c>
      <c r="T29" s="1371">
        <f t="shared" si="8"/>
        <v>91450.793717653636</v>
      </c>
      <c r="U29" s="1371">
        <f t="shared" si="8"/>
        <v>108185.41002448402</v>
      </c>
      <c r="V29" s="1371">
        <f t="shared" si="8"/>
        <v>121471.45797752988</v>
      </c>
      <c r="W29" s="1371">
        <f t="shared" si="8"/>
        <v>138621.58594132177</v>
      </c>
      <c r="X29" s="1371">
        <f t="shared" si="8"/>
        <v>203207.92308032681</v>
      </c>
      <c r="Y29" s="1371">
        <f t="shared" si="8"/>
        <v>38881.583319830817</v>
      </c>
      <c r="Z29" s="1371">
        <f t="shared" si="8"/>
        <v>261.33333333333337</v>
      </c>
      <c r="AA29" s="1371">
        <f t="shared" si="8"/>
        <v>0</v>
      </c>
      <c r="AB29" s="1371">
        <f t="shared" si="8"/>
        <v>0</v>
      </c>
      <c r="AC29" s="1371">
        <f t="shared" si="8"/>
        <v>0</v>
      </c>
      <c r="AD29" s="1371">
        <f t="shared" si="8"/>
        <v>0</v>
      </c>
      <c r="AE29" s="1371">
        <f t="shared" si="8"/>
        <v>0</v>
      </c>
      <c r="AF29" s="1371">
        <f t="shared" si="8"/>
        <v>0</v>
      </c>
      <c r="AG29" s="1371">
        <f t="shared" si="8"/>
        <v>0</v>
      </c>
      <c r="AH29" s="1371">
        <f t="shared" si="8"/>
        <v>0</v>
      </c>
      <c r="AI29" s="1371">
        <f t="shared" si="8"/>
        <v>0</v>
      </c>
      <c r="AJ29" s="1372">
        <f>Calc!AJ145</f>
        <v>107278.90231137389</v>
      </c>
      <c r="AK29" s="1373"/>
      <c r="AL29" s="1260"/>
      <c r="AM29" s="1370">
        <f>Calc!AM145</f>
        <v>539214.89360557648</v>
      </c>
      <c r="AN29" s="1070"/>
      <c r="AO29" s="1070"/>
      <c r="AP29" s="1374"/>
      <c r="AQ29" s="1375"/>
      <c r="AR29" s="1375"/>
      <c r="AS29" s="1375"/>
      <c r="AT29" s="1375"/>
      <c r="AU29" s="1375"/>
      <c r="AV29" s="1375"/>
      <c r="AW29" s="1375"/>
      <c r="AX29" s="1375"/>
      <c r="AY29" s="1375"/>
      <c r="AZ29" s="1375"/>
      <c r="BA29" s="1375"/>
      <c r="BB29" s="1375"/>
      <c r="BC29" s="1375"/>
      <c r="BD29" s="1375"/>
      <c r="BE29" s="1375"/>
      <c r="BF29" s="1375"/>
      <c r="BG29" s="1375"/>
      <c r="BH29" s="1375"/>
      <c r="BI29" s="1375"/>
      <c r="BJ29" s="1375"/>
      <c r="BK29" s="1375"/>
      <c r="BL29" s="1375"/>
      <c r="BM29" s="1375"/>
      <c r="BN29" s="1375"/>
      <c r="BO29" s="1375"/>
      <c r="BP29" s="1375"/>
      <c r="BQ29" s="1375"/>
      <c r="BR29" s="1375"/>
      <c r="BS29" s="1375"/>
      <c r="BT29" s="1376"/>
      <c r="BU29" s="1377"/>
      <c r="BV29" s="1265"/>
      <c r="BW29" s="1374"/>
      <c r="BX29" s="1070"/>
    </row>
    <row r="30" spans="1:76" ht="18.600000000000001" thickBot="1" x14ac:dyDescent="0.35">
      <c r="A30" s="1082"/>
      <c r="B30" s="1369"/>
      <c r="C30" s="1351" t="s">
        <v>1323</v>
      </c>
      <c r="D30" s="1298"/>
      <c r="E30" s="1298"/>
      <c r="F30" s="1378"/>
      <c r="G30" s="1379">
        <f t="shared" ref="G30:AJ30" si="9">IFERROR(IF(ABS(G29/G$11)&gt;100%,0,G29/G$11),0)</f>
        <v>0</v>
      </c>
      <c r="H30" s="1379">
        <f t="shared" si="9"/>
        <v>0</v>
      </c>
      <c r="I30" s="1379">
        <f t="shared" si="9"/>
        <v>0</v>
      </c>
      <c r="J30" s="1379">
        <f t="shared" si="9"/>
        <v>0</v>
      </c>
      <c r="K30" s="1379">
        <f t="shared" si="9"/>
        <v>0</v>
      </c>
      <c r="L30" s="1379">
        <f t="shared" si="9"/>
        <v>-0.71127532055314779</v>
      </c>
      <c r="M30" s="1379">
        <f t="shared" si="9"/>
        <v>0.32681636167632538</v>
      </c>
      <c r="N30" s="1379">
        <f t="shared" si="9"/>
        <v>0.37913141164644815</v>
      </c>
      <c r="O30" s="1379">
        <f t="shared" si="9"/>
        <v>0.41479172731294001</v>
      </c>
      <c r="P30" s="1379">
        <f t="shared" si="9"/>
        <v>0.44090250852070278</v>
      </c>
      <c r="Q30" s="1379">
        <f t="shared" si="9"/>
        <v>0.45910764771023843</v>
      </c>
      <c r="R30" s="1379">
        <f t="shared" si="9"/>
        <v>0.45763921329959684</v>
      </c>
      <c r="S30" s="1379">
        <f t="shared" si="9"/>
        <v>0.45358376130875094</v>
      </c>
      <c r="T30" s="1379">
        <f t="shared" si="9"/>
        <v>0.4599518536582563</v>
      </c>
      <c r="U30" s="1379">
        <f t="shared" si="9"/>
        <v>0.45207595732016453</v>
      </c>
      <c r="V30" s="1379">
        <f t="shared" si="9"/>
        <v>0.4523486618150338</v>
      </c>
      <c r="W30" s="1379">
        <f t="shared" si="9"/>
        <v>0.44904494512083976</v>
      </c>
      <c r="X30" s="1379">
        <f t="shared" si="9"/>
        <v>0.80386985909993325</v>
      </c>
      <c r="Y30" s="1379">
        <f t="shared" si="9"/>
        <v>0</v>
      </c>
      <c r="Z30" s="1379">
        <f t="shared" si="9"/>
        <v>0</v>
      </c>
      <c r="AA30" s="1379">
        <f t="shared" si="9"/>
        <v>0</v>
      </c>
      <c r="AB30" s="1379">
        <f t="shared" si="9"/>
        <v>0</v>
      </c>
      <c r="AC30" s="1379">
        <f t="shared" si="9"/>
        <v>0</v>
      </c>
      <c r="AD30" s="1379">
        <f t="shared" si="9"/>
        <v>0</v>
      </c>
      <c r="AE30" s="1379">
        <f t="shared" si="9"/>
        <v>0</v>
      </c>
      <c r="AF30" s="1379">
        <f t="shared" si="9"/>
        <v>0</v>
      </c>
      <c r="AG30" s="1379">
        <f t="shared" si="9"/>
        <v>0</v>
      </c>
      <c r="AH30" s="1379">
        <f t="shared" si="9"/>
        <v>0</v>
      </c>
      <c r="AI30" s="1379">
        <f t="shared" si="9"/>
        <v>0</v>
      </c>
      <c r="AJ30" s="1270">
        <f t="shared" si="9"/>
        <v>0.28499791753212089</v>
      </c>
      <c r="AK30" s="1373"/>
      <c r="AL30" s="1272"/>
      <c r="AM30" s="1380"/>
      <c r="AN30" s="1070"/>
      <c r="AO30" s="1070"/>
      <c r="AP30" s="1381"/>
      <c r="AQ30" s="1275"/>
      <c r="AR30" s="1275"/>
      <c r="AS30" s="1275"/>
      <c r="AT30" s="1275"/>
      <c r="AU30" s="1275"/>
      <c r="AV30" s="1275"/>
      <c r="AW30" s="1275"/>
      <c r="AX30" s="1275"/>
      <c r="AY30" s="1275"/>
      <c r="AZ30" s="1275"/>
      <c r="BA30" s="1275"/>
      <c r="BB30" s="1275"/>
      <c r="BC30" s="1275"/>
      <c r="BD30" s="1275"/>
      <c r="BE30" s="1275"/>
      <c r="BF30" s="1275"/>
      <c r="BG30" s="1275"/>
      <c r="BH30" s="1275"/>
      <c r="BI30" s="1275"/>
      <c r="BJ30" s="1275"/>
      <c r="BK30" s="1275"/>
      <c r="BL30" s="1275"/>
      <c r="BM30" s="1275"/>
      <c r="BN30" s="1275"/>
      <c r="BO30" s="1275"/>
      <c r="BP30" s="1275"/>
      <c r="BQ30" s="1275"/>
      <c r="BR30" s="1275"/>
      <c r="BS30" s="1275"/>
      <c r="BT30" s="1276"/>
      <c r="BU30" s="1377"/>
      <c r="BV30" s="1278"/>
      <c r="BW30" s="1279"/>
      <c r="BX30" s="1070"/>
    </row>
    <row r="31" spans="1:76" ht="19.2" thickTop="1" thickBot="1" x14ac:dyDescent="0.35">
      <c r="A31" s="1082"/>
      <c r="B31" s="1382" t="str">
        <f>"Discounted FCF to Current FY (FY"&amp;CurrentFY&amp;")*"</f>
        <v>Discounted FCF to Current FY (FY18)*</v>
      </c>
      <c r="C31" s="1383"/>
      <c r="D31" s="1384"/>
      <c r="E31" s="1384"/>
      <c r="F31" s="1385"/>
      <c r="G31" s="1386">
        <f>Calc!G147</f>
        <v>-3620.4629005348552</v>
      </c>
      <c r="H31" s="1386">
        <f>Calc!H147</f>
        <v>-2786.4828545105152</v>
      </c>
      <c r="I31" s="1386">
        <f>Calc!I147</f>
        <v>-5900.7558114909225</v>
      </c>
      <c r="J31" s="1386">
        <f>Calc!J147</f>
        <v>-5319.2668152318965</v>
      </c>
      <c r="K31" s="1386">
        <f>Calc!K147</f>
        <v>-2825.0780203876307</v>
      </c>
      <c r="L31" s="1386">
        <f>Calc!L147</f>
        <v>-5894.0156442015705</v>
      </c>
      <c r="M31" s="1386">
        <f>Calc!M147</f>
        <v>5449.4425832056359</v>
      </c>
      <c r="N31" s="1386">
        <f>Calc!N147</f>
        <v>10479.337595259662</v>
      </c>
      <c r="O31" s="1386">
        <f>Calc!O147</f>
        <v>14958.831153503485</v>
      </c>
      <c r="P31" s="1386">
        <f>Calc!P147</f>
        <v>17213.230405198876</v>
      </c>
      <c r="Q31" s="1386">
        <f>Calc!Q147</f>
        <v>17347.802483984455</v>
      </c>
      <c r="R31" s="1386">
        <f>Calc!R147</f>
        <v>16303.704226731053</v>
      </c>
      <c r="S31" s="1386">
        <f>Calc!S147</f>
        <v>16123.926180343185</v>
      </c>
      <c r="T31" s="1386">
        <f>Calc!T147</f>
        <v>14863.310640065485</v>
      </c>
      <c r="U31" s="1386">
        <f>Calc!U147</f>
        <v>15289.698812440292</v>
      </c>
      <c r="V31" s="1386">
        <f>Calc!V147</f>
        <v>14928.1722952902</v>
      </c>
      <c r="W31" s="1386">
        <f>Calc!W147</f>
        <v>14813.763863135699</v>
      </c>
      <c r="X31" s="1386">
        <f>Calc!X147</f>
        <v>18883.276443555682</v>
      </c>
      <c r="Y31" s="1386">
        <f>Calc!Y147</f>
        <v>3141.8309631357006</v>
      </c>
      <c r="Z31" s="1386">
        <f>Calc!Z147</f>
        <v>18.362670497600924</v>
      </c>
      <c r="AA31" s="1386">
        <f>Calc!AA147</f>
        <v>0</v>
      </c>
      <c r="AB31" s="1386">
        <f>Calc!AB147</f>
        <v>0</v>
      </c>
      <c r="AC31" s="1386">
        <f>Calc!AC147</f>
        <v>0</v>
      </c>
      <c r="AD31" s="1386">
        <f>Calc!AD147</f>
        <v>0</v>
      </c>
      <c r="AE31" s="1386">
        <f>Calc!AE147</f>
        <v>0</v>
      </c>
      <c r="AF31" s="1386">
        <f>Calc!AF147</f>
        <v>0</v>
      </c>
      <c r="AG31" s="1386">
        <f>Calc!AG147</f>
        <v>0</v>
      </c>
      <c r="AH31" s="1386">
        <f>Calc!AH147</f>
        <v>0</v>
      </c>
      <c r="AI31" s="1386">
        <f>Calc!AI147</f>
        <v>0</v>
      </c>
      <c r="AJ31" s="1387">
        <f>Calc!AJ147</f>
        <v>21754.779690810272</v>
      </c>
      <c r="AK31" s="1388"/>
      <c r="AL31" s="1272"/>
      <c r="AM31" s="1389">
        <f>Calc!AM147</f>
        <v>101683.22203437475</v>
      </c>
      <c r="AN31" s="1070"/>
      <c r="AO31" s="1070"/>
      <c r="AP31" s="1390"/>
      <c r="AQ31" s="1391"/>
      <c r="AR31" s="1391"/>
      <c r="AS31" s="1391"/>
      <c r="AT31" s="1391"/>
      <c r="AU31" s="1391"/>
      <c r="AV31" s="1391"/>
      <c r="AW31" s="1391"/>
      <c r="AX31" s="1391"/>
      <c r="AY31" s="1391"/>
      <c r="AZ31" s="1391"/>
      <c r="BA31" s="1391"/>
      <c r="BB31" s="1391"/>
      <c r="BC31" s="1391"/>
      <c r="BD31" s="1391"/>
      <c r="BE31" s="1391"/>
      <c r="BF31" s="1391"/>
      <c r="BG31" s="1391"/>
      <c r="BH31" s="1391"/>
      <c r="BI31" s="1391"/>
      <c r="BJ31" s="1391"/>
      <c r="BK31" s="1391"/>
      <c r="BL31" s="1391"/>
      <c r="BM31" s="1391"/>
      <c r="BN31" s="1391"/>
      <c r="BO31" s="1391"/>
      <c r="BP31" s="1391"/>
      <c r="BQ31" s="1391"/>
      <c r="BR31" s="1391"/>
      <c r="BS31" s="1391"/>
      <c r="BT31" s="1392"/>
      <c r="BU31" s="1393"/>
      <c r="BV31" s="1349"/>
      <c r="BW31" s="1394"/>
      <c r="BX31" s="1070"/>
    </row>
    <row r="32" spans="1:76" ht="18.600000000000001" thickTop="1" x14ac:dyDescent="0.3">
      <c r="A32" s="1082"/>
      <c r="B32" s="1395" t="s">
        <v>1331</v>
      </c>
      <c r="C32" s="1396"/>
      <c r="D32" s="1298"/>
      <c r="E32" s="1298"/>
      <c r="F32" s="1397"/>
      <c r="G32" s="1269"/>
      <c r="H32" s="1379"/>
      <c r="I32" s="1379"/>
      <c r="J32" s="1379"/>
      <c r="K32" s="1379"/>
      <c r="L32" s="1379"/>
      <c r="M32" s="1379"/>
      <c r="N32" s="1379"/>
      <c r="O32" s="1379"/>
      <c r="P32" s="1379"/>
      <c r="Q32" s="1379"/>
      <c r="R32" s="1379"/>
      <c r="S32" s="1379"/>
      <c r="T32" s="1379"/>
      <c r="U32" s="1379"/>
      <c r="V32" s="1379"/>
      <c r="W32" s="1379"/>
      <c r="X32" s="1379"/>
      <c r="Y32" s="1379"/>
      <c r="Z32" s="1379"/>
      <c r="AA32" s="1379"/>
      <c r="AB32" s="1379"/>
      <c r="AC32" s="1379"/>
      <c r="AD32" s="1379"/>
      <c r="AE32" s="1379"/>
      <c r="AF32" s="1379"/>
      <c r="AG32" s="1379"/>
      <c r="AH32" s="1379"/>
      <c r="AI32" s="1379"/>
      <c r="AJ32" s="1269"/>
      <c r="AK32" s="1398"/>
      <c r="AL32" s="1272"/>
      <c r="AM32" s="1269"/>
      <c r="AN32" s="1070"/>
      <c r="AO32" s="1070"/>
      <c r="AP32" s="1397"/>
      <c r="AQ32" s="1379"/>
      <c r="AR32" s="1379"/>
      <c r="AS32" s="1379"/>
      <c r="AT32" s="1379"/>
      <c r="AU32" s="1379"/>
      <c r="AV32" s="1379"/>
      <c r="AW32" s="1379"/>
      <c r="AX32" s="1379"/>
      <c r="AY32" s="1379"/>
      <c r="AZ32" s="1379"/>
      <c r="BA32" s="1379"/>
      <c r="BB32" s="1379"/>
      <c r="BC32" s="1379"/>
      <c r="BD32" s="1379"/>
      <c r="BE32" s="1379"/>
      <c r="BF32" s="1379"/>
      <c r="BG32" s="1379"/>
      <c r="BH32" s="1379"/>
      <c r="BI32" s="1379"/>
      <c r="BJ32" s="1379"/>
      <c r="BK32" s="1379"/>
      <c r="BL32" s="1379"/>
      <c r="BM32" s="1379"/>
      <c r="BN32" s="1379"/>
      <c r="BO32" s="1379"/>
      <c r="BP32" s="1379"/>
      <c r="BQ32" s="1379"/>
      <c r="BR32" s="1379"/>
      <c r="BS32" s="1379"/>
      <c r="BT32" s="1269"/>
      <c r="BU32" s="1398"/>
      <c r="BV32" s="1272"/>
      <c r="BW32" s="1269"/>
      <c r="BX32" s="1070"/>
    </row>
    <row r="33" spans="1:76" x14ac:dyDescent="0.3">
      <c r="A33" s="1070"/>
      <c r="B33" s="1070"/>
      <c r="C33" s="1070"/>
      <c r="D33" s="1070"/>
      <c r="E33" s="1070"/>
      <c r="F33" s="1070"/>
      <c r="G33" s="1070"/>
      <c r="H33" s="1070"/>
      <c r="I33" s="1070"/>
      <c r="J33" s="1070"/>
      <c r="K33" s="1070"/>
      <c r="L33" s="1070"/>
      <c r="M33" s="1070"/>
      <c r="N33" s="1070"/>
      <c r="O33" s="1070"/>
      <c r="P33" s="1070"/>
      <c r="Q33" s="1070"/>
      <c r="R33" s="1070"/>
      <c r="S33" s="1070"/>
      <c r="T33" s="1070"/>
      <c r="U33" s="1070"/>
      <c r="V33" s="1070"/>
      <c r="W33" s="1070"/>
      <c r="X33" s="1070"/>
      <c r="Y33" s="1070"/>
      <c r="Z33" s="1070"/>
      <c r="AA33" s="1070"/>
      <c r="AB33" s="1070"/>
      <c r="AC33" s="1070"/>
      <c r="AD33" s="1070"/>
      <c r="AE33" s="1070"/>
      <c r="AF33" s="1070"/>
      <c r="AG33" s="1070"/>
      <c r="AH33" s="1070"/>
      <c r="AI33" s="1070"/>
      <c r="AJ33" s="1070"/>
      <c r="AK33" s="1070"/>
      <c r="AL33" s="1070"/>
      <c r="AM33" s="1070"/>
      <c r="AN33" s="1070"/>
      <c r="AO33" s="1070"/>
      <c r="AP33" s="1070"/>
      <c r="AQ33" s="1070"/>
      <c r="AR33" s="1070"/>
      <c r="AS33" s="1070"/>
      <c r="AT33" s="1070"/>
      <c r="AU33" s="1070"/>
      <c r="AV33" s="1070"/>
      <c r="AW33" s="1070"/>
      <c r="AX33" s="1070"/>
      <c r="AY33" s="1070"/>
      <c r="AZ33" s="1070"/>
      <c r="BA33" s="1070"/>
      <c r="BB33" s="1070"/>
      <c r="BC33" s="1070"/>
      <c r="BD33" s="1070"/>
      <c r="BE33" s="1070"/>
      <c r="BF33" s="1070"/>
      <c r="BG33" s="1070"/>
      <c r="BH33" s="1070"/>
      <c r="BI33" s="1070"/>
      <c r="BJ33" s="1070"/>
      <c r="BK33" s="1070"/>
      <c r="BL33" s="1399" t="s">
        <v>1332</v>
      </c>
      <c r="BM33" s="1159"/>
      <c r="BN33" s="1159"/>
      <c r="BO33" s="1400" t="s">
        <v>1229</v>
      </c>
      <c r="BP33" s="1401" t="s">
        <v>797</v>
      </c>
      <c r="BQ33" s="1148" t="e">
        <f>RIGHT(BO33,2)*1</f>
        <v>#VALUE!</v>
      </c>
      <c r="BR33" s="1070"/>
      <c r="BS33" s="1070"/>
      <c r="BT33" s="1070"/>
      <c r="BU33" s="1070"/>
      <c r="BV33" s="1070"/>
      <c r="BW33" s="1070"/>
      <c r="BX33" s="1070"/>
    </row>
    <row r="34" spans="1:76" ht="15" customHeight="1" x14ac:dyDescent="0.3">
      <c r="A34" s="1070"/>
      <c r="B34" s="1070"/>
      <c r="C34" s="1070"/>
      <c r="D34" s="1070"/>
      <c r="E34" s="1070"/>
      <c r="F34" s="1070"/>
      <c r="G34" s="1070"/>
      <c r="H34" s="1070"/>
      <c r="I34" s="1070"/>
      <c r="J34" s="1070"/>
      <c r="K34" s="1070"/>
      <c r="L34" s="1070"/>
      <c r="M34" s="1070"/>
      <c r="N34" s="1070"/>
      <c r="O34" s="1070"/>
      <c r="P34" s="1070"/>
      <c r="Q34" s="3243" t="s">
        <v>1313</v>
      </c>
      <c r="R34" s="3243"/>
      <c r="S34" s="3244"/>
      <c r="T34" s="1070"/>
      <c r="U34" s="3243" t="s">
        <v>1314</v>
      </c>
      <c r="V34" s="3243"/>
      <c r="W34" s="3244"/>
      <c r="X34" s="1070"/>
      <c r="Y34" s="1070"/>
      <c r="Z34" s="1070"/>
      <c r="AA34" s="1070"/>
      <c r="AB34" s="1070"/>
      <c r="AC34" s="1070"/>
      <c r="AD34" s="1070"/>
      <c r="AE34" s="1070"/>
      <c r="AF34" s="1070"/>
      <c r="AG34" s="1070"/>
      <c r="AH34" s="1070"/>
      <c r="AI34" s="1070"/>
      <c r="AJ34" s="1070"/>
      <c r="AK34" s="1070"/>
      <c r="AL34" s="1070"/>
      <c r="AM34" s="1070"/>
      <c r="AN34" s="1070"/>
      <c r="AO34" s="1070"/>
      <c r="AP34" s="1070"/>
      <c r="AQ34" s="1070"/>
      <c r="AR34" s="1070"/>
      <c r="AS34" s="1070"/>
      <c r="AT34" s="1070"/>
      <c r="AU34" s="1070"/>
      <c r="AV34" s="1070"/>
      <c r="AW34" s="1070"/>
      <c r="AX34" s="1070"/>
      <c r="AY34" s="1070"/>
      <c r="AZ34" s="1070"/>
      <c r="BA34" s="3245" t="s">
        <v>1313</v>
      </c>
      <c r="BB34" s="3245"/>
      <c r="BC34" s="3245"/>
      <c r="BD34" s="3245"/>
      <c r="BE34" s="3245"/>
      <c r="BF34" s="3246" t="s">
        <v>1314</v>
      </c>
      <c r="BG34" s="3245"/>
      <c r="BH34" s="3245"/>
      <c r="BI34" s="3245"/>
      <c r="BJ34" s="3245"/>
      <c r="BK34" s="1070"/>
      <c r="BL34" s="1200" t="s">
        <v>1333</v>
      </c>
      <c r="BM34" s="1201"/>
      <c r="BN34" s="1201"/>
      <c r="BO34" s="1402"/>
      <c r="BP34" s="1070"/>
      <c r="BQ34" s="1070"/>
      <c r="BR34" s="1070"/>
      <c r="BS34" s="1070"/>
      <c r="BT34" s="1070"/>
      <c r="BU34" s="1070"/>
      <c r="BV34" s="1070"/>
      <c r="BW34" s="1070"/>
      <c r="BX34" s="1070"/>
    </row>
    <row r="35" spans="1:76" ht="28.8" x14ac:dyDescent="0.3">
      <c r="A35" s="1070"/>
      <c r="B35" s="1070"/>
      <c r="C35" s="1070"/>
      <c r="D35" s="1070"/>
      <c r="E35" s="1070"/>
      <c r="F35" s="1070"/>
      <c r="G35" s="1070"/>
      <c r="H35" s="1403" t="s">
        <v>1334</v>
      </c>
      <c r="I35" s="1404"/>
      <c r="J35" s="1404"/>
      <c r="K35" s="1405"/>
      <c r="L35" s="1406"/>
      <c r="M35" s="1070"/>
      <c r="N35" s="1070"/>
      <c r="O35" s="1070"/>
      <c r="P35" s="1070"/>
      <c r="Q35" s="1407" t="str">
        <f>Comp&amp;" Act/Proj"</f>
        <v>Def Exit Act/Proj</v>
      </c>
      <c r="R35" s="1408" t="s">
        <v>1335</v>
      </c>
      <c r="S35" s="1408" t="s">
        <v>1336</v>
      </c>
      <c r="T35" s="1070"/>
      <c r="U35" s="1407" t="str">
        <f>Comp&amp;" Act/Proj"</f>
        <v>Def Exit Act/Proj</v>
      </c>
      <c r="V35" s="1408" t="s">
        <v>1335</v>
      </c>
      <c r="W35" s="1408" t="s">
        <v>1336</v>
      </c>
      <c r="X35" s="1070"/>
      <c r="Y35" s="1082"/>
      <c r="Z35" s="1082"/>
      <c r="AA35" s="1082"/>
      <c r="AB35" s="1082"/>
      <c r="AC35" s="1082"/>
      <c r="AD35" s="1082"/>
      <c r="AE35" s="1070"/>
      <c r="AF35" s="1070"/>
      <c r="AG35" s="1070"/>
      <c r="AH35" s="1070"/>
      <c r="AI35" s="1070"/>
      <c r="AJ35" s="1070"/>
      <c r="AK35" s="1070"/>
      <c r="AL35" s="1070"/>
      <c r="AM35" s="1070"/>
      <c r="AN35" s="1070"/>
      <c r="AO35" s="1070"/>
      <c r="AP35" s="1070"/>
      <c r="AQ35" s="1070"/>
      <c r="AR35" s="1403" t="s">
        <v>1337</v>
      </c>
      <c r="AS35" s="1404"/>
      <c r="AT35" s="1404"/>
      <c r="AU35" s="1405"/>
      <c r="AV35" s="1406"/>
      <c r="AW35" s="1070"/>
      <c r="AX35" s="1070"/>
      <c r="AY35" s="1070"/>
      <c r="AZ35" s="1070"/>
      <c r="BA35" s="1409" t="s">
        <v>1338</v>
      </c>
      <c r="BB35" s="1410" t="str">
        <f>Comp&amp;" Commit"</f>
        <v>Def Exit Commit</v>
      </c>
      <c r="BC35" s="1410" t="str">
        <f>Comp&amp;" Act/Proj"</f>
        <v>Def Exit Act/Proj</v>
      </c>
      <c r="BD35" s="1410" t="s">
        <v>1335</v>
      </c>
      <c r="BE35" s="1410" t="s">
        <v>1336</v>
      </c>
      <c r="BF35" s="1409" t="s">
        <v>1338</v>
      </c>
      <c r="BG35" s="1410" t="str">
        <f>Comp&amp;" Commit"</f>
        <v>Def Exit Commit</v>
      </c>
      <c r="BH35" s="1410" t="str">
        <f>Comp&amp;" Act/Proj"</f>
        <v>Def Exit Act/Proj</v>
      </c>
      <c r="BI35" s="1410" t="s">
        <v>1335</v>
      </c>
      <c r="BJ35" s="1410" t="s">
        <v>1336</v>
      </c>
      <c r="BK35" s="1070"/>
      <c r="BL35" s="1070"/>
      <c r="BM35" s="1070"/>
      <c r="BN35" s="1411" t="s">
        <v>1339</v>
      </c>
      <c r="BO35" s="1074"/>
      <c r="BP35" s="1082"/>
      <c r="BQ35" s="1082"/>
      <c r="BR35" s="1082"/>
      <c r="BS35" s="1082"/>
      <c r="BT35" s="1070"/>
      <c r="BU35" s="1070"/>
      <c r="BV35" s="1070"/>
      <c r="BW35" s="1070"/>
      <c r="BX35" s="1070"/>
    </row>
    <row r="36" spans="1:76" x14ac:dyDescent="0.3">
      <c r="A36" s="1070"/>
      <c r="B36" s="1070"/>
      <c r="C36" s="1070"/>
      <c r="D36" s="1070"/>
      <c r="E36" s="1070"/>
      <c r="F36" s="1070"/>
      <c r="G36" s="1070"/>
      <c r="H36" s="1217" t="s">
        <v>1299</v>
      </c>
      <c r="I36" s="1218"/>
      <c r="J36" s="1218"/>
      <c r="K36" s="1218"/>
      <c r="L36" s="1412"/>
      <c r="M36" s="1070"/>
      <c r="N36" s="1070"/>
      <c r="O36" s="1070"/>
      <c r="P36" s="1070"/>
      <c r="Q36" s="1413" t="e">
        <f>"FY "&amp;DefExitFY&amp;"-"&amp;DefExitFY+9</f>
        <v>#VALUE!</v>
      </c>
      <c r="R36" s="1408" t="str">
        <f>"FY "&amp;CurrentFY&amp;"-"&amp;CurrentFY+9</f>
        <v>FY 18-27</v>
      </c>
      <c r="S36" s="1408" t="e">
        <f>"FY "&amp;ASRFY&amp;"-"&amp;ASRFY+9</f>
        <v>#VALUE!</v>
      </c>
      <c r="T36" s="1070"/>
      <c r="U36" s="1413" t="e">
        <f>"FY "&amp;DefExitFY&amp;"-"&amp;DefExitFY+14</f>
        <v>#VALUE!</v>
      </c>
      <c r="V36" s="1408" t="str">
        <f>"FY "&amp;CurrentFY&amp;"-"&amp;CurrentFY+14</f>
        <v>FY 18-32</v>
      </c>
      <c r="W36" s="1408" t="e">
        <f>"FY "&amp;ASRFY&amp;"-"&amp;ASRFY+14</f>
        <v>#VALUE!</v>
      </c>
      <c r="X36" s="1070"/>
      <c r="Y36" s="1082"/>
      <c r="Z36" s="1070"/>
      <c r="AA36" s="1164" t="s">
        <v>1340</v>
      </c>
      <c r="AB36" s="1143"/>
      <c r="AC36" s="1414"/>
      <c r="AD36" s="1415"/>
      <c r="AE36" s="1070"/>
      <c r="AF36" s="1070"/>
      <c r="AG36" s="1070"/>
      <c r="AH36" s="1070"/>
      <c r="AI36" s="1070"/>
      <c r="AJ36" s="1070"/>
      <c r="AK36" s="1070"/>
      <c r="AL36" s="1070"/>
      <c r="AM36" s="1070"/>
      <c r="AN36" s="1070"/>
      <c r="AO36" s="1070"/>
      <c r="AP36" s="1070"/>
      <c r="AQ36" s="1070"/>
      <c r="AR36" s="1217" t="s">
        <v>1341</v>
      </c>
      <c r="AS36" s="1218"/>
      <c r="AT36" s="1218"/>
      <c r="AU36" s="1218"/>
      <c r="AV36" s="1412"/>
      <c r="AW36" s="1070"/>
      <c r="AX36" s="1070"/>
      <c r="AY36" s="1070"/>
      <c r="AZ36" s="1070"/>
      <c r="BA36" s="1416"/>
      <c r="BB36" s="1416"/>
      <c r="BC36" s="1417" t="s">
        <v>1342</v>
      </c>
      <c r="BD36" s="1417" t="s">
        <v>1342</v>
      </c>
      <c r="BE36" s="1417" t="s">
        <v>1342</v>
      </c>
      <c r="BF36" s="1416"/>
      <c r="BG36" s="1416"/>
      <c r="BH36" s="1417" t="s">
        <v>1342</v>
      </c>
      <c r="BI36" s="1417" t="s">
        <v>1342</v>
      </c>
      <c r="BJ36" s="1417" t="s">
        <v>1342</v>
      </c>
      <c r="BK36" s="1070"/>
      <c r="BL36" s="1164" t="s">
        <v>1343</v>
      </c>
      <c r="BM36" s="1143"/>
      <c r="BN36" s="1418" t="s">
        <v>1300</v>
      </c>
      <c r="BO36" s="1419" t="s">
        <v>682</v>
      </c>
      <c r="BP36" s="1070"/>
      <c r="BQ36" s="1070"/>
      <c r="BR36" s="1070"/>
      <c r="BS36" s="1070"/>
      <c r="BT36" s="1070"/>
      <c r="BU36" s="1070"/>
      <c r="BV36" s="1070"/>
      <c r="BW36" s="1070"/>
      <c r="BX36" s="1070"/>
    </row>
    <row r="37" spans="1:76" x14ac:dyDescent="0.3">
      <c r="A37" s="1070"/>
      <c r="B37" s="1070"/>
      <c r="C37" s="1070"/>
      <c r="D37" s="1070"/>
      <c r="E37" s="1070"/>
      <c r="F37" s="1070"/>
      <c r="G37" s="1070"/>
      <c r="H37" s="1221" t="s">
        <v>1301</v>
      </c>
      <c r="I37" s="1222"/>
      <c r="J37" s="1222"/>
      <c r="K37" s="1420" t="s">
        <v>1344</v>
      </c>
      <c r="L37" s="1421" t="s">
        <v>1345</v>
      </c>
      <c r="M37" s="1070"/>
      <c r="N37" s="1070"/>
      <c r="O37" s="1422" t="s">
        <v>794</v>
      </c>
      <c r="P37" s="1412"/>
      <c r="Q37" s="1423" t="e">
        <f>Calc!H176</f>
        <v>#VALUE!</v>
      </c>
      <c r="R37" s="1423">
        <f>Calc!I176</f>
        <v>0.2026446052778943</v>
      </c>
      <c r="S37" s="1423" t="str">
        <f>Calc!J176</f>
        <v>NA</v>
      </c>
      <c r="T37" s="1070"/>
      <c r="U37" s="1423" t="e">
        <f>Calc!M176</f>
        <v>#VALUE!</v>
      </c>
      <c r="V37" s="1423">
        <f>Calc!N176</f>
        <v>0.26443581159256935</v>
      </c>
      <c r="W37" s="1423" t="str">
        <f>Calc!O176</f>
        <v>NA</v>
      </c>
      <c r="X37" s="1070"/>
      <c r="Y37" s="1082"/>
      <c r="Z37" s="1070"/>
      <c r="AA37" s="1147" t="s">
        <v>756</v>
      </c>
      <c r="AB37" s="1186"/>
      <c r="AC37" s="1424" t="str">
        <f>Input!D58</f>
        <v>N/A</v>
      </c>
      <c r="AD37" s="1425" t="str">
        <f>Input!E58</f>
        <v>N/A</v>
      </c>
      <c r="AE37" s="1070"/>
      <c r="AF37" s="1070"/>
      <c r="AG37" s="1070"/>
      <c r="AH37" s="1070"/>
      <c r="AI37" s="1070"/>
      <c r="AJ37" s="1070"/>
      <c r="AK37" s="1070"/>
      <c r="AL37" s="1070"/>
      <c r="AM37" s="1070"/>
      <c r="AN37" s="1070"/>
      <c r="AO37" s="1070"/>
      <c r="AP37" s="1070"/>
      <c r="AQ37" s="1070"/>
      <c r="AR37" s="1221" t="s">
        <v>1301</v>
      </c>
      <c r="AS37" s="1222"/>
      <c r="AT37" s="1222"/>
      <c r="AU37" s="1420" t="s">
        <v>1344</v>
      </c>
      <c r="AV37" s="1421" t="s">
        <v>1345</v>
      </c>
      <c r="AW37" s="1070"/>
      <c r="AX37" s="1070"/>
      <c r="AY37" s="1422" t="s">
        <v>794</v>
      </c>
      <c r="AZ37" s="1412"/>
      <c r="BA37" s="1426"/>
      <c r="BB37" s="1427"/>
      <c r="BC37" s="1428"/>
      <c r="BD37" s="1428"/>
      <c r="BE37" s="1428"/>
      <c r="BF37" s="1426"/>
      <c r="BG37" s="1427"/>
      <c r="BH37" s="1428"/>
      <c r="BI37" s="1428"/>
      <c r="BJ37" s="1428"/>
      <c r="BK37" s="1070"/>
      <c r="BL37" s="1147" t="s">
        <v>756</v>
      </c>
      <c r="BM37" s="1186"/>
      <c r="BN37" s="1429" t="s">
        <v>1229</v>
      </c>
      <c r="BO37" s="1430" t="s">
        <v>1229</v>
      </c>
      <c r="BP37" s="1070"/>
      <c r="BQ37" s="1070"/>
      <c r="BR37" s="1070"/>
      <c r="BS37" s="1070"/>
      <c r="BT37" s="1070"/>
      <c r="BU37" s="1070"/>
      <c r="BV37" s="1070"/>
      <c r="BW37" s="1070"/>
      <c r="BX37" s="1070"/>
    </row>
    <row r="38" spans="1:76" x14ac:dyDescent="0.3">
      <c r="A38" s="1070"/>
      <c r="B38" s="1070"/>
      <c r="C38" s="1070"/>
      <c r="D38" s="1070"/>
      <c r="E38" s="1070"/>
      <c r="F38" s="1070"/>
      <c r="G38" s="1070"/>
      <c r="H38" s="1431" t="str">
        <f>Input!B99</f>
        <v>AA</v>
      </c>
      <c r="I38" s="1226"/>
      <c r="J38" s="1226"/>
      <c r="K38" s="1432" t="str">
        <f>Input!D99</f>
        <v>N/A</v>
      </c>
      <c r="L38" s="1433" t="str">
        <f>Input!E99</f>
        <v>N/A</v>
      </c>
      <c r="M38" s="1070"/>
      <c r="N38" s="1070"/>
      <c r="O38" s="1434" t="s">
        <v>725</v>
      </c>
      <c r="P38" s="1435"/>
      <c r="Q38" s="1436" t="e">
        <f>Calc!H177</f>
        <v>#VALUE!</v>
      </c>
      <c r="R38" s="1436">
        <f>Calc!I177</f>
        <v>21754.779690810261</v>
      </c>
      <c r="S38" s="1436" t="str">
        <f>Calc!J177</f>
        <v>NA</v>
      </c>
      <c r="T38" s="1070"/>
      <c r="U38" s="1436" t="e">
        <f>Calc!M177</f>
        <v>#VALUE!</v>
      </c>
      <c r="V38" s="1436">
        <f>Calc!N177</f>
        <v>101683.22203437473</v>
      </c>
      <c r="W38" s="1436" t="str">
        <f>Calc!O177</f>
        <v>NA</v>
      </c>
      <c r="X38" s="1070"/>
      <c r="Y38" s="1082"/>
      <c r="Z38" s="1070"/>
      <c r="AA38" s="1149" t="s">
        <v>757</v>
      </c>
      <c r="AB38" s="1437"/>
      <c r="AC38" s="1438" t="str">
        <f>Input!D59</f>
        <v>N/A</v>
      </c>
      <c r="AD38" s="1439" t="str">
        <f>Input!E59</f>
        <v>N/A</v>
      </c>
      <c r="AE38" s="1070"/>
      <c r="AF38" s="1070"/>
      <c r="AG38" s="1070"/>
      <c r="AH38" s="1070"/>
      <c r="AI38" s="1070"/>
      <c r="AJ38" s="1070"/>
      <c r="AK38" s="1070"/>
      <c r="AL38" s="1070"/>
      <c r="AM38" s="1070"/>
      <c r="AN38" s="1070"/>
      <c r="AO38" s="1070"/>
      <c r="AP38" s="1070"/>
      <c r="AQ38" s="1070"/>
      <c r="AR38" s="1440"/>
      <c r="AS38" s="1441"/>
      <c r="AT38" s="1441"/>
      <c r="AU38" s="1442"/>
      <c r="AV38" s="1443"/>
      <c r="AW38" s="1070"/>
      <c r="AX38" s="1070"/>
      <c r="AY38" s="1434" t="s">
        <v>725</v>
      </c>
      <c r="AZ38" s="1435"/>
      <c r="BA38" s="1444"/>
      <c r="BB38" s="1445"/>
      <c r="BC38" s="1446"/>
      <c r="BD38" s="1446"/>
      <c r="BE38" s="1446"/>
      <c r="BF38" s="1444"/>
      <c r="BG38" s="1445"/>
      <c r="BH38" s="1446"/>
      <c r="BI38" s="1446"/>
      <c r="BJ38" s="1446"/>
      <c r="BK38" s="1070"/>
      <c r="BL38" s="1149" t="s">
        <v>757</v>
      </c>
      <c r="BM38" s="1437"/>
      <c r="BN38" s="1447" t="s">
        <v>1229</v>
      </c>
      <c r="BO38" s="1448" t="s">
        <v>1229</v>
      </c>
      <c r="BP38" s="1070"/>
      <c r="BQ38" s="1070"/>
      <c r="BR38" s="1070"/>
      <c r="BS38" s="1070"/>
      <c r="BT38" s="1070"/>
      <c r="BU38" s="1070"/>
      <c r="BV38" s="1070"/>
      <c r="BW38" s="1070"/>
      <c r="BX38" s="1070"/>
    </row>
    <row r="39" spans="1:76" x14ac:dyDescent="0.3">
      <c r="A39" s="1070"/>
      <c r="B39" s="1070"/>
      <c r="C39" s="1070"/>
      <c r="D39" s="1070"/>
      <c r="E39" s="1070"/>
      <c r="F39" s="1070"/>
      <c r="G39" s="1070"/>
      <c r="H39" s="1221" t="s">
        <v>730</v>
      </c>
      <c r="I39" s="1222"/>
      <c r="J39" s="1222"/>
      <c r="K39" s="1222"/>
      <c r="L39" s="1230"/>
      <c r="M39" s="1070"/>
      <c r="N39" s="1070"/>
      <c r="O39" s="1070"/>
      <c r="P39" s="1070"/>
      <c r="Q39" s="1082"/>
      <c r="R39" s="1070"/>
      <c r="S39" s="1070"/>
      <c r="T39" s="1070"/>
      <c r="U39" s="1082"/>
      <c r="V39" s="1070"/>
      <c r="W39" s="1070"/>
      <c r="X39" s="1070"/>
      <c r="Y39" s="1082"/>
      <c r="Z39" s="1070"/>
      <c r="AA39" s="1149"/>
      <c r="AB39" s="1437"/>
      <c r="AC39" s="1449"/>
      <c r="AD39" s="1450"/>
      <c r="AE39" s="1070"/>
      <c r="AF39" s="1070"/>
      <c r="AG39" s="1070"/>
      <c r="AH39" s="1070"/>
      <c r="AI39" s="1070"/>
      <c r="AJ39" s="1070"/>
      <c r="AK39" s="1070"/>
      <c r="AL39" s="1070"/>
      <c r="AM39" s="1070"/>
      <c r="AN39" s="1070"/>
      <c r="AO39" s="1070"/>
      <c r="AP39" s="1070"/>
      <c r="AQ39" s="1070"/>
      <c r="AR39" s="1221" t="s">
        <v>730</v>
      </c>
      <c r="AS39" s="1222"/>
      <c r="AT39" s="1222"/>
      <c r="AU39" s="1222"/>
      <c r="AV39" s="1230"/>
      <c r="AW39" s="1070"/>
      <c r="AX39" s="1070"/>
      <c r="AY39" s="1070"/>
      <c r="AZ39" s="1070"/>
      <c r="BA39" s="1070"/>
      <c r="BB39" s="1070"/>
      <c r="BC39" s="1070"/>
      <c r="BD39" s="1070"/>
      <c r="BE39" s="1070"/>
      <c r="BF39" s="1070"/>
      <c r="BG39" s="1070"/>
      <c r="BH39" s="1070"/>
      <c r="BI39" s="1082"/>
      <c r="BJ39" s="1070"/>
      <c r="BK39" s="1070"/>
      <c r="BL39" s="1149"/>
      <c r="BM39" s="1437"/>
      <c r="BN39" s="1414" t="s">
        <v>1346</v>
      </c>
      <c r="BO39" s="1415"/>
      <c r="BP39" s="1070"/>
      <c r="BQ39" s="1070"/>
      <c r="BR39" s="1070"/>
      <c r="BS39" s="1070"/>
      <c r="BT39" s="1070"/>
      <c r="BU39" s="1070"/>
      <c r="BV39" s="1070"/>
      <c r="BW39" s="1070"/>
      <c r="BX39" s="1070"/>
    </row>
    <row r="40" spans="1:76" x14ac:dyDescent="0.3">
      <c r="A40" s="1070"/>
      <c r="B40" s="1070"/>
      <c r="C40" s="1070"/>
      <c r="D40" s="1070"/>
      <c r="E40" s="1070"/>
      <c r="F40" s="1070"/>
      <c r="G40" s="1070"/>
      <c r="H40" s="1431" t="str">
        <f>Input!B101</f>
        <v>BB</v>
      </c>
      <c r="I40" s="1226"/>
      <c r="J40" s="1226"/>
      <c r="K40" s="1432" t="str">
        <f>Input!D101</f>
        <v>N/A</v>
      </c>
      <c r="L40" s="1433" t="str">
        <f>Input!E101</f>
        <v>N/A</v>
      </c>
      <c r="M40" s="1070"/>
      <c r="N40" s="1070"/>
      <c r="O40" s="1077" t="s">
        <v>1347</v>
      </c>
      <c r="P40" s="1070"/>
      <c r="Q40" s="1070"/>
      <c r="R40" s="1070"/>
      <c r="S40" s="1070"/>
      <c r="T40" s="1070"/>
      <c r="U40" s="1070"/>
      <c r="V40" s="1070"/>
      <c r="W40" s="1070"/>
      <c r="X40" s="1070"/>
      <c r="Y40" s="1082"/>
      <c r="Z40" s="1070"/>
      <c r="AA40" s="1149" t="s">
        <v>758</v>
      </c>
      <c r="AB40" s="1437"/>
      <c r="AC40" s="1424" t="str">
        <f>Input!D61</f>
        <v>N/A</v>
      </c>
      <c r="AD40" s="1425" t="str">
        <f>Input!E61</f>
        <v>N/A</v>
      </c>
      <c r="AE40" s="1070"/>
      <c r="AF40" s="1070"/>
      <c r="AG40" s="1070"/>
      <c r="AH40" s="1070"/>
      <c r="AI40" s="1070"/>
      <c r="AJ40" s="1070"/>
      <c r="AK40" s="1070"/>
      <c r="AL40" s="1070"/>
      <c r="AM40" s="1070"/>
      <c r="AN40" s="1070"/>
      <c r="AO40" s="1070"/>
      <c r="AP40" s="1070"/>
      <c r="AQ40" s="1070"/>
      <c r="AR40" s="1440"/>
      <c r="AS40" s="1441"/>
      <c r="AT40" s="1441"/>
      <c r="AU40" s="1442"/>
      <c r="AV40" s="1443"/>
      <c r="AW40" s="1070"/>
      <c r="AX40" s="1070"/>
      <c r="AY40" s="1077" t="s">
        <v>1347</v>
      </c>
      <c r="AZ40" s="1070"/>
      <c r="BA40" s="1070"/>
      <c r="BB40" s="1070"/>
      <c r="BC40" s="1070"/>
      <c r="BD40" s="1070"/>
      <c r="BE40" s="1070"/>
      <c r="BF40" s="1070"/>
      <c r="BG40" s="1070"/>
      <c r="BH40" s="1070"/>
      <c r="BI40" s="1082"/>
      <c r="BJ40" s="1070"/>
      <c r="BK40" s="1070"/>
      <c r="BL40" s="1149" t="s">
        <v>758</v>
      </c>
      <c r="BM40" s="1437"/>
      <c r="BN40" s="1451" t="s">
        <v>1229</v>
      </c>
      <c r="BO40" s="1430" t="s">
        <v>1229</v>
      </c>
      <c r="BP40" s="1070"/>
      <c r="BQ40" s="1070"/>
      <c r="BR40" s="1070"/>
      <c r="BS40" s="1070"/>
      <c r="BT40" s="1070"/>
      <c r="BU40" s="1070"/>
      <c r="BV40" s="1070"/>
      <c r="BW40" s="1070"/>
      <c r="BX40" s="1070"/>
    </row>
    <row r="41" spans="1:76" x14ac:dyDescent="0.3">
      <c r="A41" s="1070"/>
      <c r="B41" s="1070"/>
      <c r="C41" s="1070"/>
      <c r="D41" s="1070"/>
      <c r="E41" s="1070"/>
      <c r="F41" s="1070"/>
      <c r="G41" s="1070"/>
      <c r="H41" s="1221" t="s">
        <v>446</v>
      </c>
      <c r="I41" s="1222"/>
      <c r="J41" s="1222"/>
      <c r="K41" s="1222"/>
      <c r="L41" s="1230"/>
      <c r="M41" s="1070"/>
      <c r="N41" s="1070"/>
      <c r="O41" s="1452" t="s">
        <v>1348</v>
      </c>
      <c r="P41" s="1453"/>
      <c r="Q41" s="1454" t="e">
        <f>Calc!H185</f>
        <v>#VALUE!</v>
      </c>
      <c r="R41" s="1455">
        <f>Calc!I185</f>
        <v>0.39797793228123157</v>
      </c>
      <c r="S41" s="1455" t="str">
        <f>Calc!J185</f>
        <v>NA</v>
      </c>
      <c r="T41" s="1070"/>
      <c r="U41" s="1070"/>
      <c r="V41" s="1070"/>
      <c r="W41" s="1070"/>
      <c r="X41" s="1070"/>
      <c r="Y41" s="1082"/>
      <c r="Z41" s="1070"/>
      <c r="AA41" s="1149" t="s">
        <v>759</v>
      </c>
      <c r="AB41" s="1437"/>
      <c r="AC41" s="1424" t="str">
        <f>Input!D62</f>
        <v>N/A</v>
      </c>
      <c r="AD41" s="1425" t="str">
        <f>Input!E62</f>
        <v>N/A</v>
      </c>
      <c r="AE41" s="1070"/>
      <c r="AF41" s="1070"/>
      <c r="AG41" s="1070"/>
      <c r="AH41" s="1070"/>
      <c r="AI41" s="1070"/>
      <c r="AJ41" s="1070"/>
      <c r="AK41" s="1070"/>
      <c r="AL41" s="1070"/>
      <c r="AM41" s="1070"/>
      <c r="AN41" s="1070"/>
      <c r="AO41" s="1070"/>
      <c r="AP41" s="1070"/>
      <c r="AQ41" s="1070"/>
      <c r="AR41" s="1221" t="s">
        <v>446</v>
      </c>
      <c r="AS41" s="1222"/>
      <c r="AT41" s="1222"/>
      <c r="AU41" s="1222"/>
      <c r="AV41" s="1230"/>
      <c r="AW41" s="1070"/>
      <c r="AX41" s="1070"/>
      <c r="AY41" s="1452" t="s">
        <v>1348</v>
      </c>
      <c r="AZ41" s="1453"/>
      <c r="BA41" s="1426"/>
      <c r="BB41" s="1427"/>
      <c r="BC41" s="1456"/>
      <c r="BD41" s="1457"/>
      <c r="BE41" s="1457"/>
      <c r="BF41" s="1070"/>
      <c r="BG41" s="1070"/>
      <c r="BH41" s="1070"/>
      <c r="BI41" s="1082"/>
      <c r="BJ41" s="1070"/>
      <c r="BK41" s="1070"/>
      <c r="BL41" s="1149" t="s">
        <v>759</v>
      </c>
      <c r="BM41" s="1437"/>
      <c r="BN41" s="1429" t="s">
        <v>1229</v>
      </c>
      <c r="BO41" s="1430" t="s">
        <v>1229</v>
      </c>
      <c r="BP41" s="1070"/>
      <c r="BQ41" s="1070"/>
      <c r="BR41" s="1070"/>
      <c r="BS41" s="1070"/>
      <c r="BT41" s="1070"/>
      <c r="BU41" s="1070"/>
      <c r="BV41" s="1070"/>
      <c r="BW41" s="1070"/>
      <c r="BX41" s="1070"/>
    </row>
    <row r="42" spans="1:76" x14ac:dyDescent="0.3">
      <c r="A42" s="1070"/>
      <c r="B42" s="1070"/>
      <c r="C42" s="1070"/>
      <c r="D42" s="1070"/>
      <c r="E42" s="1070"/>
      <c r="F42" s="1070"/>
      <c r="G42" s="1070"/>
      <c r="H42" s="1431" t="str">
        <f>Input!B103</f>
        <v>CC</v>
      </c>
      <c r="I42" s="1226"/>
      <c r="J42" s="1226"/>
      <c r="K42" s="1432" t="str">
        <f>Input!D103</f>
        <v>N/A</v>
      </c>
      <c r="L42" s="1433" t="str">
        <f>Input!E103</f>
        <v>N/A</v>
      </c>
      <c r="M42" s="1070"/>
      <c r="N42" s="1070"/>
      <c r="O42" s="1434" t="s">
        <v>1349</v>
      </c>
      <c r="P42" s="1435"/>
      <c r="Q42" s="1458" t="e">
        <f>Calc!H186</f>
        <v>#VALUE!</v>
      </c>
      <c r="R42" s="1458">
        <f>Calc!I186</f>
        <v>156812.43363929371</v>
      </c>
      <c r="S42" s="1458" t="str">
        <f>Calc!J186</f>
        <v>NA</v>
      </c>
      <c r="T42" s="1070"/>
      <c r="U42" s="1070"/>
      <c r="V42" s="1070"/>
      <c r="W42" s="1070"/>
      <c r="X42" s="1070"/>
      <c r="Y42" s="1082"/>
      <c r="Z42" s="1070"/>
      <c r="AA42" s="1184" t="s">
        <v>1268</v>
      </c>
      <c r="AB42" s="1459"/>
      <c r="AC42" s="1438" t="str">
        <f>Input!D63</f>
        <v>N/A</v>
      </c>
      <c r="AD42" s="1439" t="str">
        <f>Input!E63</f>
        <v>N/A</v>
      </c>
      <c r="AE42" s="1070"/>
      <c r="AF42" s="1070"/>
      <c r="AG42" s="1070"/>
      <c r="AH42" s="1070"/>
      <c r="AI42" s="1070"/>
      <c r="AJ42" s="1070"/>
      <c r="AK42" s="1070"/>
      <c r="AL42" s="1070"/>
      <c r="AM42" s="1070"/>
      <c r="AN42" s="1070"/>
      <c r="AO42" s="1070"/>
      <c r="AP42" s="1070"/>
      <c r="AQ42" s="1070"/>
      <c r="AR42" s="1440"/>
      <c r="AS42" s="1441"/>
      <c r="AT42" s="1441"/>
      <c r="AU42" s="1442"/>
      <c r="AV42" s="1443"/>
      <c r="AW42" s="1070"/>
      <c r="AX42" s="1070"/>
      <c r="AY42" s="1434" t="s">
        <v>1349</v>
      </c>
      <c r="AZ42" s="1435"/>
      <c r="BA42" s="1444"/>
      <c r="BB42" s="1445"/>
      <c r="BC42" s="1460"/>
      <c r="BD42" s="1461"/>
      <c r="BE42" s="1461"/>
      <c r="BF42" s="1070"/>
      <c r="BG42" s="1070"/>
      <c r="BH42" s="1070"/>
      <c r="BI42" s="1082"/>
      <c r="BJ42" s="1070"/>
      <c r="BK42" s="1070"/>
      <c r="BL42" s="1184" t="s">
        <v>1268</v>
      </c>
      <c r="BM42" s="1459"/>
      <c r="BN42" s="1447" t="s">
        <v>1229</v>
      </c>
      <c r="BO42" s="1448" t="s">
        <v>1229</v>
      </c>
      <c r="BP42" s="1148" t="str">
        <f>IF(OR(BN42="Oct",BN42="Nov",BN42="Dec"),BO42+1,BO42)</f>
        <v>N/A</v>
      </c>
      <c r="BQ42" s="1070"/>
      <c r="BR42" s="1070"/>
      <c r="BS42" s="1070"/>
      <c r="BT42" s="1070"/>
      <c r="BU42" s="1070"/>
      <c r="BV42" s="1070"/>
      <c r="BW42" s="1070"/>
      <c r="BX42" s="1070"/>
    </row>
    <row r="43" spans="1:76" x14ac:dyDescent="0.3">
      <c r="A43" s="1070"/>
      <c r="B43" s="1070"/>
      <c r="C43" s="1070"/>
      <c r="D43" s="1070"/>
      <c r="E43" s="1070"/>
      <c r="F43" s="1070"/>
      <c r="G43" s="1070"/>
      <c r="H43" s="1221" t="s">
        <v>1305</v>
      </c>
      <c r="I43" s="1222"/>
      <c r="J43" s="1222"/>
      <c r="K43" s="1222"/>
      <c r="L43" s="1230"/>
      <c r="M43" s="1070"/>
      <c r="N43" s="1070"/>
      <c r="O43" s="1070"/>
      <c r="P43" s="1070"/>
      <c r="Q43" s="1082"/>
      <c r="R43" s="1070"/>
      <c r="S43" s="1070"/>
      <c r="T43" s="1070"/>
      <c r="U43" s="1070"/>
      <c r="V43" s="1070"/>
      <c r="W43" s="1070"/>
      <c r="X43" s="1070"/>
      <c r="Y43" s="1082"/>
      <c r="Z43" s="1070"/>
      <c r="AA43" s="1082"/>
      <c r="AB43" s="1082"/>
      <c r="AC43" s="1082"/>
      <c r="AD43" s="1082"/>
      <c r="AE43" s="1070"/>
      <c r="AF43" s="1070"/>
      <c r="AG43" s="1070"/>
      <c r="AH43" s="1070"/>
      <c r="AI43" s="1070"/>
      <c r="AJ43" s="1070"/>
      <c r="AK43" s="1070"/>
      <c r="AL43" s="1070"/>
      <c r="AM43" s="1070"/>
      <c r="AN43" s="1070"/>
      <c r="AO43" s="1070"/>
      <c r="AP43" s="1070"/>
      <c r="AQ43" s="1070"/>
      <c r="AR43" s="1221" t="s">
        <v>1305</v>
      </c>
      <c r="AS43" s="1222"/>
      <c r="AT43" s="1222"/>
      <c r="AU43" s="1222"/>
      <c r="AV43" s="1230"/>
      <c r="AW43" s="1070"/>
      <c r="AX43" s="1070"/>
      <c r="AY43" s="1070"/>
      <c r="AZ43" s="1070"/>
      <c r="BA43" s="1462" t="s">
        <v>1350</v>
      </c>
      <c r="BB43" s="1076"/>
      <c r="BC43" s="1070"/>
      <c r="BD43" s="1070"/>
      <c r="BE43" s="1070"/>
      <c r="BF43" s="1070"/>
      <c r="BG43" s="1070"/>
      <c r="BH43" s="1070"/>
      <c r="BI43" s="1082"/>
      <c r="BJ43" s="1082"/>
      <c r="BK43" s="1082"/>
      <c r="BL43" s="1082"/>
      <c r="BM43" s="1082"/>
      <c r="BO43" s="1070"/>
      <c r="BP43" s="1070"/>
      <c r="BQ43" s="1070"/>
      <c r="BR43" s="1070"/>
      <c r="BS43" s="1070"/>
      <c r="BT43" s="1070"/>
      <c r="BU43" s="1070"/>
      <c r="BV43" s="1070"/>
      <c r="BW43" s="1070"/>
      <c r="BX43" s="1070"/>
    </row>
    <row r="44" spans="1:76" x14ac:dyDescent="0.3">
      <c r="A44" s="1070"/>
      <c r="B44" s="1070"/>
      <c r="C44" s="1070"/>
      <c r="D44" s="1070"/>
      <c r="E44" s="1070"/>
      <c r="F44" s="1070"/>
      <c r="G44" s="1070"/>
      <c r="H44" s="1463" t="str">
        <f>Input!B105</f>
        <v>DD</v>
      </c>
      <c r="I44" s="1232"/>
      <c r="J44" s="1232"/>
      <c r="K44" s="1464" t="str">
        <f>Input!D105</f>
        <v>N/A</v>
      </c>
      <c r="L44" s="1439" t="str">
        <f>Input!E105</f>
        <v>N/A</v>
      </c>
      <c r="M44" s="1070"/>
      <c r="N44" s="1070"/>
      <c r="O44" s="1070"/>
      <c r="P44" s="1070"/>
      <c r="Q44" s="1082"/>
      <c r="R44" s="1070"/>
      <c r="S44" s="1070"/>
      <c r="T44" s="1070"/>
      <c r="U44" s="1070"/>
      <c r="V44" s="1070"/>
      <c r="W44" s="1070"/>
      <c r="X44" s="1070"/>
      <c r="Y44" s="1082"/>
      <c r="Z44" s="1070"/>
      <c r="AA44" s="1070"/>
      <c r="AB44" s="1070"/>
      <c r="AC44" s="1070"/>
      <c r="AD44" s="1070"/>
      <c r="AE44" s="1070"/>
      <c r="AF44" s="1070"/>
      <c r="AG44" s="1070"/>
      <c r="AH44" s="1070"/>
      <c r="AI44" s="1070"/>
      <c r="AJ44" s="1070"/>
      <c r="AK44" s="1070"/>
      <c r="AL44" s="1070"/>
      <c r="AM44" s="1070"/>
      <c r="AN44" s="1070"/>
      <c r="AO44" s="1070"/>
      <c r="AP44" s="1070"/>
      <c r="AQ44" s="1070"/>
      <c r="AR44" s="1465"/>
      <c r="AS44" s="1466"/>
      <c r="AT44" s="1466"/>
      <c r="AU44" s="1467"/>
      <c r="AV44" s="1448"/>
      <c r="AW44" s="1070"/>
      <c r="AX44" s="1070"/>
      <c r="AY44" s="1158"/>
      <c r="AZ44" s="1158"/>
      <c r="BA44" s="1158"/>
      <c r="BB44" s="1158"/>
      <c r="BC44" s="1158"/>
      <c r="BD44" s="1158"/>
      <c r="BE44" s="1158"/>
      <c r="BF44" s="1070"/>
      <c r="BG44" s="1070"/>
      <c r="BH44" s="1070"/>
      <c r="BI44" s="1070"/>
      <c r="BJ44" s="1070"/>
      <c r="BK44" s="1070"/>
      <c r="BL44" s="1070"/>
      <c r="BM44" s="1070"/>
      <c r="BN44" s="1070"/>
      <c r="BO44" s="1070"/>
      <c r="BP44" s="1070"/>
      <c r="BQ44" s="1070"/>
      <c r="BR44" s="1070"/>
      <c r="BS44" s="1070"/>
      <c r="BT44" s="1070"/>
      <c r="BU44" s="1070"/>
      <c r="BV44" s="1070"/>
      <c r="BW44" s="1070"/>
      <c r="BX44" s="1070"/>
    </row>
    <row r="45" spans="1:76" x14ac:dyDescent="0.3">
      <c r="A45" s="1070"/>
      <c r="B45" s="1070"/>
      <c r="C45" s="1070"/>
      <c r="D45" s="1070"/>
      <c r="E45" s="1070"/>
      <c r="F45" s="1070"/>
      <c r="G45" s="1070"/>
      <c r="H45" s="1070"/>
      <c r="I45" s="1070"/>
      <c r="J45" s="1070"/>
      <c r="K45" s="1070"/>
      <c r="L45" s="1070"/>
      <c r="M45" s="1070"/>
      <c r="N45" s="1070"/>
      <c r="O45" s="1070"/>
      <c r="P45" s="1070"/>
      <c r="Q45" s="1082"/>
      <c r="R45" s="1070"/>
      <c r="S45" s="1070"/>
      <c r="T45" s="1070"/>
      <c r="U45" s="1070"/>
      <c r="V45" s="1070"/>
      <c r="W45" s="1070"/>
      <c r="X45" s="1070"/>
      <c r="Y45" s="1082"/>
      <c r="Z45" s="1070"/>
      <c r="AA45" s="1070"/>
      <c r="AB45" s="1070"/>
      <c r="AC45" s="1070"/>
      <c r="AD45" s="1070"/>
      <c r="AE45" s="1070"/>
      <c r="AF45" s="1070"/>
      <c r="AG45" s="1070"/>
      <c r="AH45" s="1070"/>
      <c r="AI45" s="1070"/>
      <c r="AJ45" s="1070"/>
      <c r="AK45" s="1070"/>
      <c r="AL45" s="1070"/>
      <c r="AM45" s="1070"/>
      <c r="AN45" s="1070"/>
      <c r="AO45" s="1070"/>
      <c r="AP45" s="1070"/>
      <c r="AQ45" s="1070"/>
      <c r="AR45" s="1070"/>
      <c r="AS45" s="1070"/>
      <c r="AT45" s="1070"/>
      <c r="AU45" s="1070"/>
      <c r="AV45" s="1070"/>
      <c r="AW45" s="1070"/>
      <c r="AX45" s="1070"/>
      <c r="AY45" s="1070"/>
      <c r="AZ45" s="1070"/>
      <c r="BA45" s="1070"/>
      <c r="BB45" s="1070"/>
      <c r="BC45" s="1070"/>
      <c r="BD45" s="1070"/>
      <c r="BE45" s="1070"/>
      <c r="BF45" s="1070"/>
      <c r="BG45" s="1070"/>
      <c r="BH45" s="1070"/>
      <c r="BI45" s="1070"/>
      <c r="BJ45" s="1070"/>
      <c r="BK45" s="1070"/>
      <c r="BL45" s="1070"/>
      <c r="BM45" s="1070"/>
      <c r="BN45" s="1070"/>
      <c r="BO45" s="1070"/>
      <c r="BP45" s="1070"/>
      <c r="BQ45" s="1070"/>
      <c r="BR45" s="1070"/>
      <c r="BS45" s="1070"/>
      <c r="BT45" s="1070"/>
      <c r="BU45" s="1070"/>
      <c r="BV45" s="1070"/>
      <c r="BW45" s="1070"/>
      <c r="BX45" s="1070"/>
    </row>
    <row r="46" spans="1:76" x14ac:dyDescent="0.3">
      <c r="A46" s="1070"/>
      <c r="B46" s="1070"/>
      <c r="C46" s="1070"/>
      <c r="D46" s="1070"/>
      <c r="E46" s="1070"/>
      <c r="F46" s="1070"/>
      <c r="G46" s="1070"/>
      <c r="H46" s="1070"/>
      <c r="I46" s="1070"/>
      <c r="J46" s="1070"/>
      <c r="K46" s="1070"/>
      <c r="L46" s="1070"/>
      <c r="M46" s="1070"/>
      <c r="N46" s="1070"/>
      <c r="O46" s="1070"/>
      <c r="P46" s="1070"/>
      <c r="Q46" s="1070"/>
      <c r="R46" s="1070"/>
      <c r="S46" s="1070"/>
      <c r="T46" s="1070"/>
      <c r="U46" s="1070"/>
      <c r="V46" s="1070"/>
      <c r="W46" s="1070"/>
      <c r="X46" s="1070"/>
      <c r="Y46" s="1070"/>
      <c r="Z46" s="1070"/>
      <c r="AA46" s="1070"/>
      <c r="AB46" s="1070"/>
      <c r="AC46" s="1070"/>
      <c r="AD46" s="1070"/>
      <c r="AE46" s="1070"/>
      <c r="AF46" s="1070"/>
      <c r="AG46" s="1070"/>
      <c r="AH46" s="1070"/>
      <c r="AI46" s="1070"/>
      <c r="AJ46" s="1070"/>
      <c r="AK46" s="1070"/>
      <c r="AL46" s="1070"/>
      <c r="AM46" s="1070"/>
      <c r="AN46" s="1070"/>
      <c r="AO46" s="1070"/>
      <c r="AP46" s="1070"/>
      <c r="AQ46" s="1070"/>
      <c r="AR46" s="1070"/>
      <c r="AS46" s="1070"/>
      <c r="AT46" s="1070"/>
      <c r="AU46" s="1070"/>
      <c r="AV46" s="1070"/>
      <c r="AW46" s="1070"/>
      <c r="AX46" s="1070"/>
      <c r="AY46" s="1070"/>
      <c r="AZ46" s="1070"/>
      <c r="BA46" s="1070"/>
      <c r="BB46" s="1070"/>
      <c r="BC46" s="1070"/>
      <c r="BD46" s="1070"/>
      <c r="BE46" s="1070"/>
      <c r="BF46" s="1070"/>
      <c r="BG46" s="1070"/>
      <c r="BH46" s="1070"/>
      <c r="BI46" s="1070"/>
      <c r="BJ46" s="1070"/>
      <c r="BK46" s="1070"/>
      <c r="BL46" s="1070"/>
      <c r="BM46" s="1070"/>
      <c r="BN46" s="1070"/>
      <c r="BO46" s="1070"/>
      <c r="BP46" s="1070"/>
      <c r="BQ46" s="1070"/>
      <c r="BR46" s="1070"/>
      <c r="BS46" s="1070"/>
      <c r="BT46" s="1070"/>
      <c r="BU46" s="1070"/>
      <c r="BV46" s="1070"/>
      <c r="BW46" s="1070"/>
      <c r="BX46" s="1070"/>
    </row>
    <row r="47" spans="1:76" ht="15" thickBot="1" x14ac:dyDescent="0.35">
      <c r="A47" s="1070"/>
      <c r="B47" s="1070"/>
      <c r="C47" s="1070"/>
      <c r="D47" s="1070"/>
      <c r="E47" s="1070"/>
      <c r="F47" s="1070"/>
      <c r="G47" s="1070"/>
      <c r="H47" s="1070"/>
      <c r="I47" s="1070"/>
      <c r="J47" s="1070"/>
      <c r="K47" s="1070"/>
      <c r="L47" s="1070"/>
      <c r="M47" s="1070"/>
      <c r="N47" s="1070"/>
      <c r="O47" s="1070"/>
      <c r="P47" s="1070"/>
      <c r="Q47" s="1070"/>
      <c r="R47" s="1070"/>
      <c r="S47" s="1070"/>
      <c r="T47" s="1070"/>
      <c r="U47" s="1070"/>
      <c r="V47" s="1070"/>
      <c r="W47" s="1070"/>
      <c r="X47" s="1070"/>
      <c r="Y47" s="1070"/>
      <c r="Z47" s="1070"/>
      <c r="AA47" s="1070"/>
      <c r="AB47" s="1070"/>
      <c r="AC47" s="1070"/>
      <c r="AD47" s="1070"/>
      <c r="AE47" s="1070"/>
      <c r="AF47" s="1070"/>
      <c r="AG47" s="1070"/>
      <c r="AH47" s="1070"/>
      <c r="AI47" s="1070"/>
      <c r="AJ47" s="1070"/>
      <c r="AK47" s="1070"/>
      <c r="AL47" s="1070"/>
      <c r="AM47" s="1070"/>
      <c r="AN47" s="1070"/>
      <c r="AO47" s="1070"/>
      <c r="AP47" s="1070"/>
      <c r="AQ47" s="1070"/>
      <c r="AR47" s="1070"/>
      <c r="AS47" s="1070"/>
      <c r="AT47" s="1070"/>
      <c r="AU47" s="1070"/>
      <c r="AV47" s="1070"/>
      <c r="AW47" s="1070"/>
      <c r="AX47" s="1070"/>
      <c r="AY47" s="1070"/>
      <c r="AZ47" s="1070"/>
      <c r="BA47" s="1070"/>
      <c r="BB47" s="1070"/>
      <c r="BC47" s="1070"/>
      <c r="BD47" s="1070"/>
      <c r="BE47" s="1070"/>
      <c r="BF47" s="1070"/>
      <c r="BG47" s="1070"/>
      <c r="BH47" s="1070"/>
      <c r="BI47" s="1070"/>
      <c r="BJ47" s="1070"/>
      <c r="BK47" s="1070"/>
      <c r="BL47" s="1070"/>
      <c r="BM47" s="1070"/>
      <c r="BN47" s="1070"/>
      <c r="BO47" s="1070"/>
      <c r="BP47" s="1070"/>
      <c r="BQ47" s="1070"/>
      <c r="BR47" s="1070"/>
      <c r="BS47" s="1070"/>
      <c r="BT47" s="1070"/>
      <c r="BU47" s="1070"/>
      <c r="BV47" s="1070"/>
      <c r="BW47" s="1070"/>
      <c r="BX47" s="1070"/>
    </row>
    <row r="48" spans="1:76" x14ac:dyDescent="0.3">
      <c r="A48" s="1468"/>
      <c r="B48" s="1469"/>
      <c r="C48" s="1469"/>
      <c r="D48" s="1469"/>
      <c r="E48" s="1469"/>
      <c r="F48" s="1469"/>
      <c r="G48" s="1469"/>
      <c r="H48" s="1469"/>
      <c r="I48" s="1469"/>
      <c r="J48" s="1469"/>
      <c r="K48" s="1469"/>
      <c r="L48" s="1469"/>
      <c r="M48" s="1469"/>
      <c r="N48" s="1469"/>
      <c r="O48" s="1469"/>
      <c r="P48" s="1469"/>
      <c r="Q48" s="1469"/>
      <c r="R48" s="1469"/>
      <c r="S48" s="1469"/>
      <c r="T48" s="1469"/>
      <c r="U48" s="1469"/>
      <c r="V48" s="1469"/>
      <c r="W48" s="1469"/>
      <c r="X48" s="1469"/>
      <c r="Y48" s="1469"/>
      <c r="Z48" s="1469"/>
      <c r="AA48" s="1469"/>
      <c r="AB48" s="1469"/>
      <c r="AC48" s="1469"/>
      <c r="AD48" s="1469"/>
      <c r="AE48" s="1469"/>
      <c r="AF48" s="1469"/>
      <c r="AG48" s="1469"/>
      <c r="AH48" s="1469"/>
      <c r="AI48" s="1469"/>
      <c r="AJ48" s="1470"/>
      <c r="AK48" s="1469"/>
      <c r="AL48" s="1469"/>
      <c r="AM48" s="1469"/>
      <c r="AN48" s="1471"/>
      <c r="AO48" s="1469"/>
      <c r="AP48" s="1469"/>
      <c r="AQ48" s="1469"/>
      <c r="AR48" s="1469"/>
      <c r="AS48" s="1469"/>
      <c r="AT48" s="1469"/>
      <c r="AU48" s="1469"/>
      <c r="AV48" s="1469"/>
      <c r="AW48" s="1469"/>
      <c r="AX48" s="1469"/>
      <c r="AY48" s="1469"/>
      <c r="AZ48" s="1469"/>
      <c r="BA48" s="1469"/>
      <c r="BB48" s="1469"/>
      <c r="BC48" s="1469"/>
      <c r="BD48" s="1469"/>
      <c r="BE48" s="1469"/>
      <c r="BF48" s="1469"/>
      <c r="BG48" s="1469"/>
      <c r="BH48" s="1469"/>
      <c r="BI48" s="1469"/>
      <c r="BJ48" s="1469"/>
      <c r="BK48" s="1469"/>
      <c r="BL48" s="1469"/>
      <c r="BM48" s="1469"/>
      <c r="BN48" s="1469"/>
      <c r="BO48" s="1469"/>
      <c r="BP48" s="1469"/>
      <c r="BQ48" s="1469"/>
      <c r="BR48" s="1469"/>
      <c r="BS48" s="1469"/>
      <c r="BT48" s="1472"/>
      <c r="BU48" s="1473"/>
      <c r="BV48" s="1070"/>
      <c r="BW48" s="1070"/>
      <c r="BX48" s="1070"/>
    </row>
    <row r="49" spans="1:76" x14ac:dyDescent="0.3">
      <c r="A49" s="1474"/>
      <c r="B49" s="1475" t="s">
        <v>1351</v>
      </c>
      <c r="C49" s="1116"/>
      <c r="D49" s="1116"/>
      <c r="E49" s="1116"/>
      <c r="F49" s="1116"/>
      <c r="G49" s="1116"/>
      <c r="H49" s="1116"/>
      <c r="I49" s="1116"/>
      <c r="J49" s="1116"/>
      <c r="K49" s="1116"/>
      <c r="L49" s="1116"/>
      <c r="M49" s="1116"/>
      <c r="N49" s="1116"/>
      <c r="O49" s="1116"/>
      <c r="P49" s="1116"/>
      <c r="Q49" s="1116"/>
      <c r="R49" s="1116"/>
      <c r="S49" s="1116"/>
      <c r="T49" s="1116"/>
      <c r="U49" s="1116"/>
      <c r="V49" s="1116"/>
      <c r="W49" s="1116"/>
      <c r="X49" s="1116"/>
      <c r="Y49" s="1116"/>
      <c r="Z49" s="1116"/>
      <c r="AA49" s="1116"/>
      <c r="AB49" s="1116"/>
      <c r="AC49" s="1116"/>
      <c r="AD49" s="1116"/>
      <c r="AE49" s="1116"/>
      <c r="AF49" s="1116"/>
      <c r="AG49" s="1116"/>
      <c r="AH49" s="1116"/>
      <c r="AI49" s="1116"/>
      <c r="AJ49" s="1476"/>
      <c r="AK49" s="1116"/>
      <c r="AL49" s="1116"/>
      <c r="AM49" s="1116"/>
      <c r="AN49" s="1477"/>
      <c r="AO49" s="1116"/>
      <c r="AP49" s="1116"/>
      <c r="AQ49" s="1116"/>
      <c r="AR49" s="1116"/>
      <c r="AS49" s="1116"/>
      <c r="AT49" s="1116"/>
      <c r="AU49" s="1116"/>
      <c r="AV49" s="1116"/>
      <c r="AW49" s="1116"/>
      <c r="AX49" s="1116"/>
      <c r="AY49" s="1116"/>
      <c r="AZ49" s="1116"/>
      <c r="BA49" s="1116"/>
      <c r="BB49" s="1116"/>
      <c r="BC49" s="1116"/>
      <c r="BD49" s="1116"/>
      <c r="BE49" s="1116"/>
      <c r="BF49" s="1116"/>
      <c r="BG49" s="1116"/>
      <c r="BH49" s="1116"/>
      <c r="BI49" s="1116"/>
      <c r="BJ49" s="1116"/>
      <c r="BK49" s="1116"/>
      <c r="BL49" s="1116"/>
      <c r="BM49" s="1116"/>
      <c r="BN49" s="1116"/>
      <c r="BO49" s="1116"/>
      <c r="BP49" s="1116"/>
      <c r="BQ49" s="1116"/>
      <c r="BR49" s="1116"/>
      <c r="BS49" s="1116"/>
      <c r="BT49" s="1142"/>
      <c r="BU49" s="1478"/>
      <c r="BV49" s="1070"/>
      <c r="BW49" s="1070"/>
      <c r="BX49" s="1070"/>
    </row>
    <row r="50" spans="1:76" ht="18" x14ac:dyDescent="0.3">
      <c r="A50" s="1474"/>
      <c r="B50" s="1479" t="s">
        <v>1311</v>
      </c>
      <c r="C50" s="1480"/>
      <c r="D50" s="1254"/>
      <c r="E50" s="1254"/>
      <c r="F50" s="1481"/>
      <c r="G50" s="1482">
        <f>Calc!G231</f>
        <v>18</v>
      </c>
      <c r="H50" s="1483">
        <f>Calc!H231</f>
        <v>19</v>
      </c>
      <c r="I50" s="1483">
        <f>Calc!I231</f>
        <v>20</v>
      </c>
      <c r="J50" s="1483">
        <f>Calc!J231</f>
        <v>21</v>
      </c>
      <c r="K50" s="1483">
        <f>Calc!K231</f>
        <v>22</v>
      </c>
      <c r="L50" s="1483">
        <f>Calc!L231</f>
        <v>23</v>
      </c>
      <c r="M50" s="1483">
        <f>Calc!M231</f>
        <v>24</v>
      </c>
      <c r="N50" s="1483">
        <f>Calc!N231</f>
        <v>25</v>
      </c>
      <c r="O50" s="1483">
        <f>Calc!O231</f>
        <v>26</v>
      </c>
      <c r="P50" s="1483">
        <f>Calc!P231</f>
        <v>27</v>
      </c>
      <c r="Q50" s="1483">
        <f>Calc!Q231</f>
        <v>28</v>
      </c>
      <c r="R50" s="1483">
        <f>Calc!R231</f>
        <v>29</v>
      </c>
      <c r="S50" s="1483">
        <f>Calc!S231</f>
        <v>30</v>
      </c>
      <c r="T50" s="1483">
        <f>Calc!T231</f>
        <v>31</v>
      </c>
      <c r="U50" s="1483">
        <f>Calc!U231</f>
        <v>32</v>
      </c>
      <c r="V50" s="1483">
        <f>Calc!V231</f>
        <v>33</v>
      </c>
      <c r="W50" s="1483">
        <f>Calc!W231</f>
        <v>34</v>
      </c>
      <c r="X50" s="1483">
        <f>Calc!X231</f>
        <v>35</v>
      </c>
      <c r="Y50" s="1483">
        <f>Calc!Y231</f>
        <v>36</v>
      </c>
      <c r="Z50" s="1483">
        <f>Calc!Z231</f>
        <v>37</v>
      </c>
      <c r="AA50" s="1483">
        <f>Calc!AA231</f>
        <v>38</v>
      </c>
      <c r="AB50" s="1483">
        <f>Calc!AB231</f>
        <v>39</v>
      </c>
      <c r="AC50" s="1483">
        <f>Calc!AC231</f>
        <v>40</v>
      </c>
      <c r="AD50" s="1483">
        <f>Calc!AD231</f>
        <v>41</v>
      </c>
      <c r="AE50" s="1483">
        <f>Calc!AE231</f>
        <v>42</v>
      </c>
      <c r="AF50" s="1483">
        <f>Calc!AF231</f>
        <v>43</v>
      </c>
      <c r="AG50" s="1483">
        <f>Calc!AG231</f>
        <v>44</v>
      </c>
      <c r="AH50" s="1483">
        <f>Calc!AH231</f>
        <v>45</v>
      </c>
      <c r="AI50" s="1484">
        <f>Calc!AI231</f>
        <v>46</v>
      </c>
      <c r="AJ50" s="1476"/>
      <c r="AK50" s="1116"/>
      <c r="AL50" s="1116"/>
      <c r="AM50" s="1116"/>
      <c r="AN50" s="1477"/>
      <c r="AO50" s="1475" t="s">
        <v>1312</v>
      </c>
      <c r="AP50" s="1142"/>
      <c r="AQ50" s="1482">
        <f>Calc!AQ231</f>
        <v>18</v>
      </c>
      <c r="AR50" s="1483">
        <f>Calc!AR231</f>
        <v>19</v>
      </c>
      <c r="AS50" s="1483">
        <f>Calc!AS231</f>
        <v>20</v>
      </c>
      <c r="AT50" s="1483">
        <f>Calc!AT231</f>
        <v>21</v>
      </c>
      <c r="AU50" s="1483">
        <f>Calc!AU231</f>
        <v>22</v>
      </c>
      <c r="AV50" s="1483">
        <f>Calc!AV231</f>
        <v>23</v>
      </c>
      <c r="AW50" s="1483">
        <f>Calc!AW231</f>
        <v>24</v>
      </c>
      <c r="AX50" s="1483">
        <f>Calc!AX231</f>
        <v>25</v>
      </c>
      <c r="AY50" s="1483">
        <f>Calc!AY231</f>
        <v>26</v>
      </c>
      <c r="AZ50" s="1483">
        <f>Calc!AZ231</f>
        <v>27</v>
      </c>
      <c r="BA50" s="1483">
        <f>Calc!BA231</f>
        <v>28</v>
      </c>
      <c r="BB50" s="1483">
        <f>Calc!BB231</f>
        <v>29</v>
      </c>
      <c r="BC50" s="1483">
        <f>Calc!BC231</f>
        <v>30</v>
      </c>
      <c r="BD50" s="1483">
        <f>Calc!BD231</f>
        <v>31</v>
      </c>
      <c r="BE50" s="1483">
        <f>Calc!BE231</f>
        <v>32</v>
      </c>
      <c r="BF50" s="1483">
        <f>Calc!BF231</f>
        <v>33</v>
      </c>
      <c r="BG50" s="1483">
        <f>Calc!BG231</f>
        <v>34</v>
      </c>
      <c r="BH50" s="1483">
        <f>Calc!BH231</f>
        <v>35</v>
      </c>
      <c r="BI50" s="1483">
        <f>Calc!BI231</f>
        <v>36</v>
      </c>
      <c r="BJ50" s="1483">
        <f>Calc!BJ231</f>
        <v>37</v>
      </c>
      <c r="BK50" s="1483">
        <f>Calc!BK231</f>
        <v>38</v>
      </c>
      <c r="BL50" s="1483">
        <f>Calc!BL231</f>
        <v>39</v>
      </c>
      <c r="BM50" s="1483">
        <f>Calc!BM231</f>
        <v>40</v>
      </c>
      <c r="BN50" s="1483">
        <f>Calc!BN231</f>
        <v>41</v>
      </c>
      <c r="BO50" s="1483">
        <f>Calc!BO231</f>
        <v>42</v>
      </c>
      <c r="BP50" s="1483">
        <f>Calc!BP231</f>
        <v>43</v>
      </c>
      <c r="BQ50" s="1483">
        <f>Calc!BQ231</f>
        <v>44</v>
      </c>
      <c r="BR50" s="1483">
        <f>Calc!BR231</f>
        <v>45</v>
      </c>
      <c r="BS50" s="1484">
        <f>Calc!BS231</f>
        <v>46</v>
      </c>
      <c r="BT50" s="1142"/>
      <c r="BU50" s="1478"/>
      <c r="BV50" s="1070"/>
      <c r="BW50" s="1070"/>
      <c r="BX50" s="1070"/>
    </row>
    <row r="51" spans="1:76" ht="15.6" x14ac:dyDescent="0.3">
      <c r="A51" s="1474"/>
      <c r="B51" s="1207"/>
      <c r="C51" s="1116"/>
      <c r="D51" s="1116"/>
      <c r="E51" s="1116"/>
      <c r="F51" s="1116"/>
      <c r="G51" s="1485"/>
      <c r="H51" s="1486"/>
      <c r="I51" s="1486"/>
      <c r="J51" s="1486"/>
      <c r="K51" s="1486"/>
      <c r="L51" s="1486"/>
      <c r="M51" s="1486"/>
      <c r="N51" s="1486"/>
      <c r="O51" s="1486"/>
      <c r="P51" s="1486"/>
      <c r="Q51" s="1486"/>
      <c r="R51" s="1486"/>
      <c r="S51" s="1486"/>
      <c r="T51" s="1486"/>
      <c r="U51" s="1486"/>
      <c r="V51" s="1486"/>
      <c r="W51" s="1486"/>
      <c r="X51" s="1486"/>
      <c r="Y51" s="1486"/>
      <c r="Z51" s="1486"/>
      <c r="AA51" s="1486"/>
      <c r="AB51" s="1486"/>
      <c r="AC51" s="1486"/>
      <c r="AD51" s="1486"/>
      <c r="AE51" s="1486"/>
      <c r="AF51" s="1486"/>
      <c r="AG51" s="1486"/>
      <c r="AH51" s="1486"/>
      <c r="AI51" s="1487"/>
      <c r="AJ51" s="1486"/>
      <c r="AK51" s="1398"/>
      <c r="AL51" s="1488"/>
      <c r="AM51" s="1488"/>
      <c r="AN51" s="1489"/>
      <c r="AO51" s="1490" t="s">
        <v>1352</v>
      </c>
      <c r="AP51" s="1142"/>
      <c r="AQ51" s="1485"/>
      <c r="AR51" s="1486"/>
      <c r="AS51" s="1486"/>
      <c r="AT51" s="1486"/>
      <c r="AU51" s="1486"/>
      <c r="AV51" s="1486"/>
      <c r="AW51" s="1486"/>
      <c r="AX51" s="1486"/>
      <c r="AY51" s="1486"/>
      <c r="AZ51" s="1486"/>
      <c r="BA51" s="1486"/>
      <c r="BB51" s="1486"/>
      <c r="BC51" s="1486"/>
      <c r="BD51" s="1486"/>
      <c r="BE51" s="1486"/>
      <c r="BF51" s="1486"/>
      <c r="BG51" s="1486"/>
      <c r="BH51" s="1486"/>
      <c r="BI51" s="1486"/>
      <c r="BJ51" s="1486"/>
      <c r="BK51" s="1486"/>
      <c r="BL51" s="1486"/>
      <c r="BM51" s="1486"/>
      <c r="BN51" s="1486"/>
      <c r="BO51" s="1486"/>
      <c r="BP51" s="1486"/>
      <c r="BQ51" s="1486"/>
      <c r="BR51" s="1486"/>
      <c r="BS51" s="1487"/>
      <c r="BT51" s="1142"/>
      <c r="BU51" s="1478"/>
      <c r="BV51" s="1070"/>
      <c r="BW51" s="1070"/>
      <c r="BX51" s="1070"/>
    </row>
    <row r="52" spans="1:76" x14ac:dyDescent="0.3">
      <c r="A52" s="1474"/>
      <c r="B52" s="1207" t="s">
        <v>1353</v>
      </c>
      <c r="C52" s="1491"/>
      <c r="D52" s="1352"/>
      <c r="E52" s="1267"/>
      <c r="F52" s="1352"/>
      <c r="G52" s="1492">
        <f>Calc!G233</f>
        <v>-3620.4629005348552</v>
      </c>
      <c r="H52" s="1493">
        <f>Calc!H233</f>
        <v>-3204.4552826870922</v>
      </c>
      <c r="I52" s="1493">
        <f>Calc!I233</f>
        <v>-7803.7495606967441</v>
      </c>
      <c r="J52" s="1493">
        <f>Calc!J233</f>
        <v>-8089.9399176158076</v>
      </c>
      <c r="K52" s="1493">
        <f>Calc!K233</f>
        <v>-4941.0791143955921</v>
      </c>
      <c r="L52" s="1493">
        <f>Calc!L233</f>
        <v>-11854.970729202269</v>
      </c>
      <c r="M52" s="1493">
        <f>Calc!M233</f>
        <v>12604.891833739101</v>
      </c>
      <c r="N52" s="1493">
        <f>Calc!N233</f>
        <v>27875.246337534263</v>
      </c>
      <c r="O52" s="1493">
        <f>Calc!O233</f>
        <v>45759.406495428702</v>
      </c>
      <c r="P52" s="1493">
        <f>Calc!P233</f>
        <v>60554.015149804225</v>
      </c>
      <c r="Q52" s="1493">
        <f>Calc!Q233</f>
        <v>70181.536536616142</v>
      </c>
      <c r="R52" s="1493">
        <f>Calc!R233</f>
        <v>75851.213268417327</v>
      </c>
      <c r="S52" s="1493">
        <f>Calc!S233</f>
        <v>86267.037747031369</v>
      </c>
      <c r="T52" s="1493">
        <f>Calc!T233</f>
        <v>91450.793717653636</v>
      </c>
      <c r="U52" s="1493">
        <f>Calc!U233</f>
        <v>108185.41002448402</v>
      </c>
      <c r="V52" s="1493">
        <f>Calc!V233</f>
        <v>121471.45797752988</v>
      </c>
      <c r="W52" s="1493">
        <f>Calc!W233</f>
        <v>138621.58594132177</v>
      </c>
      <c r="X52" s="1493">
        <f>Calc!X233</f>
        <v>203207.92308032681</v>
      </c>
      <c r="Y52" s="1493">
        <f>Calc!Y233</f>
        <v>38881.583319830817</v>
      </c>
      <c r="Z52" s="1493">
        <f>Calc!Z233</f>
        <v>261.33333333333337</v>
      </c>
      <c r="AA52" s="1493">
        <f>Calc!AA233</f>
        <v>0</v>
      </c>
      <c r="AB52" s="1493">
        <f>Calc!AB233</f>
        <v>0</v>
      </c>
      <c r="AC52" s="1493">
        <f>Calc!AC233</f>
        <v>0</v>
      </c>
      <c r="AD52" s="1493">
        <f>Calc!AD233</f>
        <v>0</v>
      </c>
      <c r="AE52" s="1493">
        <f>Calc!AE233</f>
        <v>0</v>
      </c>
      <c r="AF52" s="1493">
        <f>Calc!AF233</f>
        <v>0</v>
      </c>
      <c r="AG52" s="1493">
        <f>Calc!AG233</f>
        <v>0</v>
      </c>
      <c r="AH52" s="1493">
        <f>Calc!AH233</f>
        <v>0</v>
      </c>
      <c r="AI52" s="1494">
        <f>Calc!AI233</f>
        <v>0</v>
      </c>
      <c r="AJ52" s="1352"/>
      <c r="AK52" s="1116"/>
      <c r="AL52" s="1116"/>
      <c r="AM52" s="1116"/>
      <c r="AN52" s="1477"/>
      <c r="AO52" s="1116"/>
      <c r="AP52" s="1142"/>
      <c r="AQ52" s="1495"/>
      <c r="AR52" s="1496"/>
      <c r="AS52" s="1496"/>
      <c r="AT52" s="1496"/>
      <c r="AU52" s="1496"/>
      <c r="AV52" s="1496"/>
      <c r="AW52" s="1496"/>
      <c r="AX52" s="1496"/>
      <c r="AY52" s="1496"/>
      <c r="AZ52" s="1496"/>
      <c r="BA52" s="1496"/>
      <c r="BB52" s="1496"/>
      <c r="BC52" s="1496"/>
      <c r="BD52" s="1496"/>
      <c r="BE52" s="1496"/>
      <c r="BF52" s="1496"/>
      <c r="BG52" s="1496"/>
      <c r="BH52" s="1496"/>
      <c r="BI52" s="1496"/>
      <c r="BJ52" s="1496"/>
      <c r="BK52" s="1496"/>
      <c r="BL52" s="1496"/>
      <c r="BM52" s="1496"/>
      <c r="BN52" s="1496"/>
      <c r="BO52" s="1496"/>
      <c r="BP52" s="1496"/>
      <c r="BQ52" s="1496"/>
      <c r="BR52" s="1496"/>
      <c r="BS52" s="1497"/>
      <c r="BT52" s="1142"/>
      <c r="BU52" s="1478"/>
      <c r="BV52" s="1070"/>
      <c r="BW52" s="1070"/>
      <c r="BX52" s="1070"/>
    </row>
    <row r="53" spans="1:76" x14ac:dyDescent="0.3">
      <c r="A53" s="1474"/>
      <c r="B53" s="1207" t="s">
        <v>1354</v>
      </c>
      <c r="C53" s="1491"/>
      <c r="D53" s="1352"/>
      <c r="E53" s="1267"/>
      <c r="F53" s="1493"/>
      <c r="G53" s="1492">
        <f>Calc!G234</f>
        <v>4828.4206951872993</v>
      </c>
      <c r="H53" s="1493">
        <f>Calc!H234</f>
        <v>3450.6323370654059</v>
      </c>
      <c r="I53" s="1493">
        <f>Calc!I234</f>
        <v>8338.541056523256</v>
      </c>
      <c r="J53" s="1493">
        <f>Calc!J234</f>
        <v>7736.0276633552903</v>
      </c>
      <c r="K53" s="1493">
        <f>Calc!K234</f>
        <v>2362.6098811049887</v>
      </c>
      <c r="L53" s="1493">
        <f>Calc!L234</f>
        <v>1451.8026343507922</v>
      </c>
      <c r="M53" s="1493">
        <f>Calc!M234</f>
        <v>205.83868703780806</v>
      </c>
      <c r="N53" s="1493">
        <f>Calc!N234</f>
        <v>209.9554607785642</v>
      </c>
      <c r="O53" s="1493">
        <f>Calc!O234</f>
        <v>214.1545699941355</v>
      </c>
      <c r="P53" s="1493">
        <f>Calc!P234</f>
        <v>218.43766139401816</v>
      </c>
      <c r="Q53" s="1493">
        <f>Calc!Q234</f>
        <v>222.80641462189857</v>
      </c>
      <c r="R53" s="1493">
        <f>Calc!R234</f>
        <v>0</v>
      </c>
      <c r="S53" s="1493">
        <f>Calc!S234</f>
        <v>0</v>
      </c>
      <c r="T53" s="1493">
        <f>Calc!T234</f>
        <v>0</v>
      </c>
      <c r="U53" s="1493">
        <f>Calc!U234</f>
        <v>0</v>
      </c>
      <c r="V53" s="1493">
        <f>Calc!V234</f>
        <v>0</v>
      </c>
      <c r="W53" s="1493">
        <f>Calc!W234</f>
        <v>0</v>
      </c>
      <c r="X53" s="1493">
        <f>Calc!X234</f>
        <v>0</v>
      </c>
      <c r="Y53" s="1493">
        <f>Calc!Y234</f>
        <v>0</v>
      </c>
      <c r="Z53" s="1493">
        <f>Calc!Z234</f>
        <v>0</v>
      </c>
      <c r="AA53" s="1493">
        <f>Calc!AA234</f>
        <v>0</v>
      </c>
      <c r="AB53" s="1493">
        <f>Calc!AB234</f>
        <v>0</v>
      </c>
      <c r="AC53" s="1493">
        <f>Calc!AC234</f>
        <v>0</v>
      </c>
      <c r="AD53" s="1493">
        <f>Calc!AD234</f>
        <v>0</v>
      </c>
      <c r="AE53" s="1493">
        <f>Calc!AE234</f>
        <v>0</v>
      </c>
      <c r="AF53" s="1493">
        <f>Calc!AF234</f>
        <v>0</v>
      </c>
      <c r="AG53" s="1493">
        <f>Calc!AG234</f>
        <v>0</v>
      </c>
      <c r="AH53" s="1493">
        <f>Calc!AH234</f>
        <v>0</v>
      </c>
      <c r="AI53" s="1494">
        <f>Calc!AI234</f>
        <v>0</v>
      </c>
      <c r="AJ53" s="1212"/>
      <c r="AK53" s="1116"/>
      <c r="AL53" s="1116"/>
      <c r="AM53" s="1116"/>
      <c r="AN53" s="1477"/>
      <c r="AO53" s="1116"/>
      <c r="AP53" s="1142"/>
      <c r="AQ53" s="1495"/>
      <c r="AR53" s="1496"/>
      <c r="AS53" s="1496"/>
      <c r="AT53" s="1496"/>
      <c r="AU53" s="1496"/>
      <c r="AV53" s="1496"/>
      <c r="AW53" s="1496"/>
      <c r="AX53" s="1496"/>
      <c r="AY53" s="1496"/>
      <c r="AZ53" s="1496"/>
      <c r="BA53" s="1496"/>
      <c r="BB53" s="1496"/>
      <c r="BC53" s="1496"/>
      <c r="BD53" s="1496"/>
      <c r="BE53" s="1496"/>
      <c r="BF53" s="1496"/>
      <c r="BG53" s="1496"/>
      <c r="BH53" s="1496"/>
      <c r="BI53" s="1496"/>
      <c r="BJ53" s="1496"/>
      <c r="BK53" s="1496"/>
      <c r="BL53" s="1496"/>
      <c r="BM53" s="1496"/>
      <c r="BN53" s="1496"/>
      <c r="BO53" s="1496"/>
      <c r="BP53" s="1496"/>
      <c r="BQ53" s="1496"/>
      <c r="BR53" s="1496"/>
      <c r="BS53" s="1497"/>
      <c r="BT53" s="1142"/>
      <c r="BU53" s="1478"/>
      <c r="BV53" s="1070"/>
      <c r="BW53" s="1070"/>
      <c r="BX53" s="1070"/>
    </row>
    <row r="54" spans="1:76" x14ac:dyDescent="0.3">
      <c r="A54" s="1474"/>
      <c r="B54" s="1207" t="s">
        <v>1355</v>
      </c>
      <c r="C54" s="1491"/>
      <c r="D54" s="1352"/>
      <c r="E54" s="1267"/>
      <c r="F54" s="1493"/>
      <c r="G54" s="1492">
        <f>Calc!G235</f>
        <v>5028.4206951872993</v>
      </c>
      <c r="H54" s="1493">
        <f>Calc!H235</f>
        <v>4450.6323370654063</v>
      </c>
      <c r="I54" s="1493">
        <f>Calc!I235</f>
        <v>10838.541056523256</v>
      </c>
      <c r="J54" s="1493">
        <f>Calc!J235</f>
        <v>11236.027663355289</v>
      </c>
      <c r="K54" s="1493">
        <f>Calc!K235</f>
        <v>6862.6098811049887</v>
      </c>
      <c r="L54" s="1493">
        <f>Calc!L235</f>
        <v>17818.478969509386</v>
      </c>
      <c r="M54" s="1493">
        <f>Calc!M235</f>
        <v>2966.7424838271418</v>
      </c>
      <c r="N54" s="1493">
        <f>Calc!N235</f>
        <v>2600.0535780250061</v>
      </c>
      <c r="O54" s="1493">
        <f>Calc!O235</f>
        <v>2766.5631468322613</v>
      </c>
      <c r="P54" s="1493">
        <f>Calc!P235</f>
        <v>3257.2432967263517</v>
      </c>
      <c r="Q54" s="1493">
        <f>Calc!Q235</f>
        <v>3541.0448835870761</v>
      </c>
      <c r="R54" s="1493">
        <f>Calc!R235</f>
        <v>3050.0688733689444</v>
      </c>
      <c r="S54" s="1493">
        <f>Calc!S235</f>
        <v>3490.0843722877039</v>
      </c>
      <c r="T54" s="1493">
        <f>Calc!T235</f>
        <v>3645.5505733740542</v>
      </c>
      <c r="U54" s="1493">
        <f>Calc!U235</f>
        <v>4374.2113367796792</v>
      </c>
      <c r="V54" s="1493">
        <f>Calc!V235</f>
        <v>4900.2970676550003</v>
      </c>
      <c r="W54" s="1493">
        <f>Calc!W235</f>
        <v>5623.3232420398217</v>
      </c>
      <c r="X54" s="1493">
        <f>Calc!X235</f>
        <v>-933.33333333333337</v>
      </c>
      <c r="Y54" s="1493">
        <f>Calc!Y235</f>
        <v>-933.33333333333337</v>
      </c>
      <c r="Z54" s="1493">
        <f>Calc!Z235</f>
        <v>-933.33333333333337</v>
      </c>
      <c r="AA54" s="1493">
        <f>Calc!AA235</f>
        <v>0</v>
      </c>
      <c r="AB54" s="1493">
        <f>Calc!AB235</f>
        <v>0</v>
      </c>
      <c r="AC54" s="1493">
        <f>Calc!AC235</f>
        <v>0</v>
      </c>
      <c r="AD54" s="1493">
        <f>Calc!AD235</f>
        <v>0</v>
      </c>
      <c r="AE54" s="1493">
        <f>Calc!AE235</f>
        <v>0</v>
      </c>
      <c r="AF54" s="1493">
        <f>Calc!AF235</f>
        <v>0</v>
      </c>
      <c r="AG54" s="1493">
        <f>Calc!AG235</f>
        <v>0</v>
      </c>
      <c r="AH54" s="1493">
        <f>Calc!AH235</f>
        <v>0</v>
      </c>
      <c r="AI54" s="1494">
        <f>Calc!AI235</f>
        <v>0</v>
      </c>
      <c r="AJ54" s="1212"/>
      <c r="AK54" s="1116"/>
      <c r="AL54" s="1116"/>
      <c r="AM54" s="1116"/>
      <c r="AN54" s="1477"/>
      <c r="AO54" s="1116"/>
      <c r="AP54" s="1142"/>
      <c r="AQ54" s="1495"/>
      <c r="AR54" s="1496"/>
      <c r="AS54" s="1496"/>
      <c r="AT54" s="1496"/>
      <c r="AU54" s="1496"/>
      <c r="AV54" s="1496"/>
      <c r="AW54" s="1496"/>
      <c r="AX54" s="1496"/>
      <c r="AY54" s="1496"/>
      <c r="AZ54" s="1496"/>
      <c r="BA54" s="1496"/>
      <c r="BB54" s="1496"/>
      <c r="BC54" s="1496"/>
      <c r="BD54" s="1496"/>
      <c r="BE54" s="1496"/>
      <c r="BF54" s="1496"/>
      <c r="BG54" s="1496"/>
      <c r="BH54" s="1496"/>
      <c r="BI54" s="1496"/>
      <c r="BJ54" s="1496"/>
      <c r="BK54" s="1496"/>
      <c r="BL54" s="1496"/>
      <c r="BM54" s="1496"/>
      <c r="BN54" s="1496"/>
      <c r="BO54" s="1496"/>
      <c r="BP54" s="1496"/>
      <c r="BQ54" s="1496"/>
      <c r="BR54" s="1496"/>
      <c r="BS54" s="1497"/>
      <c r="BT54" s="1142"/>
      <c r="BU54" s="1478"/>
      <c r="BV54" s="1070"/>
      <c r="BW54" s="1070"/>
      <c r="BX54" s="1070"/>
    </row>
    <row r="55" spans="1:76" x14ac:dyDescent="0.3">
      <c r="A55" s="1474"/>
      <c r="B55" s="1207" t="s">
        <v>1356</v>
      </c>
      <c r="C55" s="1491"/>
      <c r="D55" s="1352"/>
      <c r="E55" s="1267"/>
      <c r="F55" s="1493"/>
      <c r="G55" s="1492">
        <f>Calc!G236</f>
        <v>-5028.4206951872993</v>
      </c>
      <c r="H55" s="1493">
        <f>Calc!H236</f>
        <v>-4450.6323370654063</v>
      </c>
      <c r="I55" s="1493">
        <f>Calc!I236</f>
        <v>-10838.541056523256</v>
      </c>
      <c r="J55" s="1493">
        <f>Calc!J236</f>
        <v>-11236.027663355289</v>
      </c>
      <c r="K55" s="1493">
        <f>Calc!K236</f>
        <v>-6862.6098811049887</v>
      </c>
      <c r="L55" s="1493">
        <f>Calc!L236</f>
        <v>7005.3233542734397</v>
      </c>
      <c r="M55" s="1493">
        <f>Calc!M236</f>
        <v>22969.761070214634</v>
      </c>
      <c r="N55" s="1493">
        <f>Calc!N236</f>
        <v>47622.198990705387</v>
      </c>
      <c r="O55" s="1493">
        <f>Calc!O236</f>
        <v>72959.615107254707</v>
      </c>
      <c r="P55" s="1493">
        <f>Calc!P236</f>
        <v>90955.53388407013</v>
      </c>
      <c r="Q55" s="1493">
        <f>Calc!Q236</f>
        <v>101262.01754717228</v>
      </c>
      <c r="R55" s="1493">
        <f>Calc!R236</f>
        <v>108741.57849390154</v>
      </c>
      <c r="S55" s="1493">
        <f>Calc!S236</f>
        <v>125838.7721014273</v>
      </c>
      <c r="T55" s="1493">
        <f>Calc!T236</f>
        <v>129347.9803452237</v>
      </c>
      <c r="U55" s="1493">
        <f>Calc!U236</f>
        <v>160054.74142751325</v>
      </c>
      <c r="V55" s="1493">
        <f>Calc!V236</f>
        <v>176650.66693991574</v>
      </c>
      <c r="W55" s="1493">
        <f>Calc!W236</f>
        <v>202969.25329796318</v>
      </c>
      <c r="X55" s="1493">
        <f>Calc!X236</f>
        <v>252787.09082071079</v>
      </c>
      <c r="Y55" s="1493">
        <f>Calc!Y236</f>
        <v>0</v>
      </c>
      <c r="Z55" s="1493">
        <f>Calc!Z236</f>
        <v>0</v>
      </c>
      <c r="AA55" s="1493">
        <f>Calc!AA236</f>
        <v>0</v>
      </c>
      <c r="AB55" s="1493">
        <f>Calc!AB236</f>
        <v>0</v>
      </c>
      <c r="AC55" s="1493">
        <f>Calc!AC236</f>
        <v>0</v>
      </c>
      <c r="AD55" s="1493">
        <f>Calc!AD236</f>
        <v>0</v>
      </c>
      <c r="AE55" s="1493">
        <f>Calc!AE236</f>
        <v>0</v>
      </c>
      <c r="AF55" s="1493">
        <f>Calc!AF236</f>
        <v>0</v>
      </c>
      <c r="AG55" s="1493">
        <f>Calc!AG236</f>
        <v>0</v>
      </c>
      <c r="AH55" s="1493">
        <f>Calc!AH236</f>
        <v>0</v>
      </c>
      <c r="AI55" s="1494">
        <f>Calc!AI236</f>
        <v>0</v>
      </c>
      <c r="AJ55" s="1212"/>
      <c r="AK55" s="1116"/>
      <c r="AL55" s="1116"/>
      <c r="AM55" s="1116"/>
      <c r="AN55" s="1477"/>
      <c r="AO55" s="1116"/>
      <c r="AP55" s="1142"/>
      <c r="AQ55" s="1495"/>
      <c r="AR55" s="1496"/>
      <c r="AS55" s="1496"/>
      <c r="AT55" s="1496"/>
      <c r="AU55" s="1496"/>
      <c r="AV55" s="1496"/>
      <c r="AW55" s="1496"/>
      <c r="AX55" s="1496"/>
      <c r="AY55" s="1496"/>
      <c r="AZ55" s="1496"/>
      <c r="BA55" s="1496"/>
      <c r="BB55" s="1496"/>
      <c r="BC55" s="1496"/>
      <c r="BD55" s="1496"/>
      <c r="BE55" s="1496"/>
      <c r="BF55" s="1496"/>
      <c r="BG55" s="1496"/>
      <c r="BH55" s="1496"/>
      <c r="BI55" s="1496"/>
      <c r="BJ55" s="1496"/>
      <c r="BK55" s="1496"/>
      <c r="BL55" s="1496"/>
      <c r="BM55" s="1496"/>
      <c r="BN55" s="1496"/>
      <c r="BO55" s="1496"/>
      <c r="BP55" s="1496"/>
      <c r="BQ55" s="1496"/>
      <c r="BR55" s="1496"/>
      <c r="BS55" s="1497"/>
      <c r="BT55" s="1142"/>
      <c r="BU55" s="1478"/>
      <c r="BV55" s="1070"/>
      <c r="BW55" s="1070"/>
      <c r="BX55" s="1070"/>
    </row>
    <row r="56" spans="1:76" x14ac:dyDescent="0.3">
      <c r="A56" s="1474"/>
      <c r="B56" s="1207" t="s">
        <v>1357</v>
      </c>
      <c r="C56" s="1491"/>
      <c r="D56" s="1352"/>
      <c r="E56" s="1267"/>
      <c r="F56" s="1493"/>
      <c r="G56" s="1492">
        <f>Calc!G237</f>
        <v>0</v>
      </c>
      <c r="H56" s="1493">
        <f>Calc!H237</f>
        <v>0</v>
      </c>
      <c r="I56" s="1493">
        <f>Calc!I237</f>
        <v>0</v>
      </c>
      <c r="J56" s="1493">
        <f>Calc!J237</f>
        <v>0</v>
      </c>
      <c r="K56" s="1493">
        <f>Calc!K237</f>
        <v>0</v>
      </c>
      <c r="L56" s="1493">
        <f>Calc!L237</f>
        <v>0</v>
      </c>
      <c r="M56" s="1493">
        <f>Calc!M237</f>
        <v>0</v>
      </c>
      <c r="N56" s="1493">
        <f>Calc!N237</f>
        <v>0</v>
      </c>
      <c r="O56" s="1493">
        <f>Calc!O237</f>
        <v>0</v>
      </c>
      <c r="P56" s="1493">
        <f>Calc!P237</f>
        <v>0</v>
      </c>
      <c r="Q56" s="1493">
        <f>Calc!Q237</f>
        <v>0</v>
      </c>
      <c r="R56" s="1493">
        <f>Calc!R237</f>
        <v>0</v>
      </c>
      <c r="S56" s="1493">
        <f>Calc!S237</f>
        <v>0</v>
      </c>
      <c r="T56" s="1493">
        <f>Calc!T237</f>
        <v>0</v>
      </c>
      <c r="U56" s="1493">
        <f>Calc!U237</f>
        <v>0</v>
      </c>
      <c r="V56" s="1493">
        <f>Calc!V237</f>
        <v>0</v>
      </c>
      <c r="W56" s="1493">
        <f>Calc!W237</f>
        <v>0</v>
      </c>
      <c r="X56" s="1493">
        <f>Calc!X237</f>
        <v>0</v>
      </c>
      <c r="Y56" s="1493">
        <f>Calc!Y237</f>
        <v>0</v>
      </c>
      <c r="Z56" s="1493">
        <f>Calc!Z237</f>
        <v>0</v>
      </c>
      <c r="AA56" s="1493">
        <f>Calc!AA237</f>
        <v>0</v>
      </c>
      <c r="AB56" s="1493">
        <f>Calc!AB237</f>
        <v>0</v>
      </c>
      <c r="AC56" s="1493">
        <f>Calc!AC237</f>
        <v>0</v>
      </c>
      <c r="AD56" s="1493">
        <f>Calc!AD237</f>
        <v>0</v>
      </c>
      <c r="AE56" s="1493">
        <f>Calc!AE237</f>
        <v>0</v>
      </c>
      <c r="AF56" s="1493">
        <f>Calc!AF237</f>
        <v>0</v>
      </c>
      <c r="AG56" s="1493">
        <f>Calc!AG237</f>
        <v>0</v>
      </c>
      <c r="AH56" s="1493">
        <f>Calc!AH237</f>
        <v>0</v>
      </c>
      <c r="AI56" s="1494">
        <f>Calc!AI237</f>
        <v>0</v>
      </c>
      <c r="AJ56" s="1212"/>
      <c r="AK56" s="1116"/>
      <c r="AL56" s="1116"/>
      <c r="AM56" s="1116"/>
      <c r="AN56" s="1477"/>
      <c r="AO56" s="1116"/>
      <c r="AP56" s="1142"/>
      <c r="AQ56" s="1495"/>
      <c r="AR56" s="1496"/>
      <c r="AS56" s="1496"/>
      <c r="AT56" s="1496"/>
      <c r="AU56" s="1496"/>
      <c r="AV56" s="1496"/>
      <c r="AW56" s="1496"/>
      <c r="AX56" s="1496"/>
      <c r="AY56" s="1496"/>
      <c r="AZ56" s="1496"/>
      <c r="BA56" s="1496"/>
      <c r="BB56" s="1496"/>
      <c r="BC56" s="1496"/>
      <c r="BD56" s="1496"/>
      <c r="BE56" s="1496"/>
      <c r="BF56" s="1496"/>
      <c r="BG56" s="1496"/>
      <c r="BH56" s="1496"/>
      <c r="BI56" s="1496"/>
      <c r="BJ56" s="1496"/>
      <c r="BK56" s="1496"/>
      <c r="BL56" s="1496"/>
      <c r="BM56" s="1496"/>
      <c r="BN56" s="1496"/>
      <c r="BO56" s="1496"/>
      <c r="BP56" s="1496"/>
      <c r="BQ56" s="1496"/>
      <c r="BR56" s="1496"/>
      <c r="BS56" s="1497"/>
      <c r="BT56" s="1142"/>
      <c r="BU56" s="1478"/>
      <c r="BV56" s="1070"/>
      <c r="BW56" s="1070"/>
      <c r="BX56" s="1070"/>
    </row>
    <row r="57" spans="1:76" x14ac:dyDescent="0.3">
      <c r="A57" s="1474"/>
      <c r="B57" s="1207" t="s">
        <v>1358</v>
      </c>
      <c r="C57" s="1491"/>
      <c r="D57" s="1352"/>
      <c r="E57" s="1267"/>
      <c r="F57" s="1493"/>
      <c r="G57" s="1492">
        <f>Calc!G238</f>
        <v>-3620.4629005348552</v>
      </c>
      <c r="H57" s="1493">
        <f>Calc!H238</f>
        <v>-3204.4552826870922</v>
      </c>
      <c r="I57" s="1493">
        <f>Calc!I238</f>
        <v>-7803.7495606967441</v>
      </c>
      <c r="J57" s="1493">
        <f>Calc!J238</f>
        <v>-8089.9399176158076</v>
      </c>
      <c r="K57" s="1493">
        <f>Calc!K238</f>
        <v>-4941.0791143955921</v>
      </c>
      <c r="L57" s="1493">
        <f>Calc!L238</f>
        <v>-11854.970729202269</v>
      </c>
      <c r="M57" s="1493">
        <f>Calc!M238</f>
        <v>12604.891833739101</v>
      </c>
      <c r="N57" s="1493">
        <f>Calc!N238</f>
        <v>27875.246337534263</v>
      </c>
      <c r="O57" s="1493">
        <f>Calc!O238</f>
        <v>45759.406495428702</v>
      </c>
      <c r="P57" s="1493">
        <f>Calc!P238</f>
        <v>60554.015149804225</v>
      </c>
      <c r="Q57" s="1493">
        <f>Calc!Q238</f>
        <v>70181.536536616142</v>
      </c>
      <c r="R57" s="1493">
        <f>Calc!R238</f>
        <v>75851.213268417327</v>
      </c>
      <c r="S57" s="1493">
        <f>Calc!S238</f>
        <v>86267.037747031369</v>
      </c>
      <c r="T57" s="1493">
        <f>Calc!T238</f>
        <v>91450.793717653636</v>
      </c>
      <c r="U57" s="1493">
        <f>Calc!U238</f>
        <v>108185.41002448402</v>
      </c>
      <c r="V57" s="1493">
        <f>Calc!V238</f>
        <v>121471.45797752988</v>
      </c>
      <c r="W57" s="1493">
        <f>Calc!W238</f>
        <v>138621.58594132177</v>
      </c>
      <c r="X57" s="1493">
        <f>Calc!X238</f>
        <v>203207.92308032681</v>
      </c>
      <c r="Y57" s="1493">
        <f>Calc!Y238</f>
        <v>38881.583319830817</v>
      </c>
      <c r="Z57" s="1493">
        <f>Calc!Z238</f>
        <v>261.33333333333337</v>
      </c>
      <c r="AA57" s="1493">
        <f>Calc!AA238</f>
        <v>0</v>
      </c>
      <c r="AB57" s="1493">
        <f>Calc!AB238</f>
        <v>0</v>
      </c>
      <c r="AC57" s="1493">
        <f>Calc!AC238</f>
        <v>0</v>
      </c>
      <c r="AD57" s="1493">
        <f>Calc!AD238</f>
        <v>0</v>
      </c>
      <c r="AE57" s="1493">
        <f>Calc!AE238</f>
        <v>0</v>
      </c>
      <c r="AF57" s="1493">
        <f>Calc!AF238</f>
        <v>0</v>
      </c>
      <c r="AG57" s="1493">
        <f>Calc!AG238</f>
        <v>0</v>
      </c>
      <c r="AH57" s="1493">
        <f>Calc!AH238</f>
        <v>0</v>
      </c>
      <c r="AI57" s="1494">
        <f>Calc!AI238</f>
        <v>0</v>
      </c>
      <c r="AJ57" s="1212"/>
      <c r="AK57" s="1116"/>
      <c r="AL57" s="1116"/>
      <c r="AM57" s="1116"/>
      <c r="AN57" s="1477"/>
      <c r="AO57" s="1116"/>
      <c r="AP57" s="1142"/>
      <c r="AQ57" s="1495"/>
      <c r="AR57" s="1496"/>
      <c r="AS57" s="1496"/>
      <c r="AT57" s="1496"/>
      <c r="AU57" s="1496"/>
      <c r="AV57" s="1496"/>
      <c r="AW57" s="1496"/>
      <c r="AX57" s="1496"/>
      <c r="AY57" s="1496"/>
      <c r="AZ57" s="1496"/>
      <c r="BA57" s="1496"/>
      <c r="BB57" s="1496"/>
      <c r="BC57" s="1496"/>
      <c r="BD57" s="1496"/>
      <c r="BE57" s="1496"/>
      <c r="BF57" s="1496"/>
      <c r="BG57" s="1496"/>
      <c r="BH57" s="1496"/>
      <c r="BI57" s="1496"/>
      <c r="BJ57" s="1496"/>
      <c r="BK57" s="1496"/>
      <c r="BL57" s="1496"/>
      <c r="BM57" s="1496"/>
      <c r="BN57" s="1496"/>
      <c r="BO57" s="1496"/>
      <c r="BP57" s="1496"/>
      <c r="BQ57" s="1496"/>
      <c r="BR57" s="1496"/>
      <c r="BS57" s="1497"/>
      <c r="BT57" s="1142"/>
      <c r="BU57" s="1478"/>
      <c r="BV57" s="1070"/>
      <c r="BW57" s="1070"/>
      <c r="BX57" s="1070"/>
    </row>
    <row r="58" spans="1:76" x14ac:dyDescent="0.3">
      <c r="A58" s="1474"/>
      <c r="B58" s="1207" t="s">
        <v>1359</v>
      </c>
      <c r="C58" s="1491"/>
      <c r="D58" s="1352"/>
      <c r="E58" s="1267"/>
      <c r="F58" s="1493"/>
      <c r="G58" s="1492">
        <f>Calc!G239</f>
        <v>-28406.708911888862</v>
      </c>
      <c r="H58" s="1493">
        <f>Calc!H239</f>
        <v>-25142.649141083341</v>
      </c>
      <c r="I58" s="1493">
        <f>Calc!I239</f>
        <v>-61229.41963008215</v>
      </c>
      <c r="J58" s="1493">
        <f>Calc!J239</f>
        <v>-63474.913199754796</v>
      </c>
      <c r="K58" s="1493">
        <f>Calc!K239</f>
        <v>-38768.466897565413</v>
      </c>
      <c r="L58" s="1493">
        <f>Calc!L239</f>
        <v>-93015.924182971634</v>
      </c>
      <c r="M58" s="1493">
        <f>Calc!M239</f>
        <v>98899.920541645246</v>
      </c>
      <c r="N58" s="1493">
        <f>Calc!N239</f>
        <v>218713.47126373037</v>
      </c>
      <c r="O58" s="1493">
        <f>Calc!O239</f>
        <v>359035.34327182517</v>
      </c>
      <c r="P58" s="1493">
        <f>Calc!P239</f>
        <v>475116.11886769469</v>
      </c>
      <c r="Q58" s="1493">
        <f>Calc!Q239</f>
        <v>550655.13282575749</v>
      </c>
      <c r="R58" s="1493">
        <f>Calc!R239</f>
        <v>595140.28872142825</v>
      </c>
      <c r="S58" s="1493">
        <f>Calc!S239</f>
        <v>676864.45001516922</v>
      </c>
      <c r="T58" s="1493">
        <f>Calc!T239</f>
        <v>717536.99686159007</v>
      </c>
      <c r="U58" s="1493">
        <f>Calc!U239</f>
        <v>848839.37096133619</v>
      </c>
      <c r="V58" s="1493">
        <f>Calc!V239</f>
        <v>953083.74720831122</v>
      </c>
      <c r="W58" s="1493">
        <f>Calc!W239</f>
        <v>1087646.2896934478</v>
      </c>
      <c r="X58" s="1493">
        <f>Calc!X239</f>
        <v>1594400.6272456411</v>
      </c>
      <c r="Y58" s="1493">
        <f>Calc!Y239</f>
        <v>305070.88450944179</v>
      </c>
      <c r="Z58" s="1493">
        <f>Calc!Z239</f>
        <v>2050.461538461539</v>
      </c>
      <c r="AA58" s="1493">
        <f>Calc!AA239</f>
        <v>0</v>
      </c>
      <c r="AB58" s="1493">
        <f>Calc!AB239</f>
        <v>0</v>
      </c>
      <c r="AC58" s="1493">
        <f>Calc!AC239</f>
        <v>0</v>
      </c>
      <c r="AD58" s="1493">
        <f>Calc!AD239</f>
        <v>0</v>
      </c>
      <c r="AE58" s="1493">
        <f>Calc!AE239</f>
        <v>0</v>
      </c>
      <c r="AF58" s="1493">
        <f>Calc!AF239</f>
        <v>0</v>
      </c>
      <c r="AG58" s="1493">
        <f>Calc!AG239</f>
        <v>0</v>
      </c>
      <c r="AH58" s="1493">
        <f>Calc!AH239</f>
        <v>0</v>
      </c>
      <c r="AI58" s="1494">
        <f>Calc!AI239</f>
        <v>0</v>
      </c>
      <c r="AJ58" s="1212"/>
      <c r="AK58" s="1116"/>
      <c r="AL58" s="1116"/>
      <c r="AM58" s="1116"/>
      <c r="AN58" s="1477"/>
      <c r="AO58" s="1116"/>
      <c r="AP58" s="1142"/>
      <c r="AQ58" s="1495"/>
      <c r="AR58" s="1496"/>
      <c r="AS58" s="1496"/>
      <c r="AT58" s="1496"/>
      <c r="AU58" s="1496"/>
      <c r="AV58" s="1496"/>
      <c r="AW58" s="1496"/>
      <c r="AX58" s="1496"/>
      <c r="AY58" s="1496"/>
      <c r="AZ58" s="1496"/>
      <c r="BA58" s="1496"/>
      <c r="BB58" s="1496"/>
      <c r="BC58" s="1496"/>
      <c r="BD58" s="1496"/>
      <c r="BE58" s="1496"/>
      <c r="BF58" s="1496"/>
      <c r="BG58" s="1496"/>
      <c r="BH58" s="1496"/>
      <c r="BI58" s="1496"/>
      <c r="BJ58" s="1496"/>
      <c r="BK58" s="1496"/>
      <c r="BL58" s="1496"/>
      <c r="BM58" s="1496"/>
      <c r="BN58" s="1496"/>
      <c r="BO58" s="1496"/>
      <c r="BP58" s="1496"/>
      <c r="BQ58" s="1496"/>
      <c r="BR58" s="1496"/>
      <c r="BS58" s="1497"/>
      <c r="BT58" s="1142"/>
      <c r="BU58" s="1478"/>
      <c r="BV58" s="1070"/>
      <c r="BW58" s="1070"/>
      <c r="BX58" s="1070"/>
    </row>
    <row r="59" spans="1:76" x14ac:dyDescent="0.3">
      <c r="A59" s="1474"/>
      <c r="B59" s="1150" t="s">
        <v>1360</v>
      </c>
      <c r="C59" s="1498"/>
      <c r="D59" s="1499"/>
      <c r="E59" s="1284"/>
      <c r="F59" s="1500"/>
      <c r="G59" s="1501">
        <f>Calc!G240</f>
        <v>-32027.171812423716</v>
      </c>
      <c r="H59" s="1500">
        <f>Calc!H240</f>
        <v>-28347.104423770434</v>
      </c>
      <c r="I59" s="1500">
        <f>Calc!I240</f>
        <v>-69033.169190778892</v>
      </c>
      <c r="J59" s="1500">
        <f>Calc!J240</f>
        <v>-71564.8531173706</v>
      </c>
      <c r="K59" s="1500">
        <f>Calc!K240</f>
        <v>-43709.546011961007</v>
      </c>
      <c r="L59" s="1500">
        <f>Calc!L240</f>
        <v>-104870.8949121739</v>
      </c>
      <c r="M59" s="1500">
        <f>Calc!M240</f>
        <v>111504.81237538435</v>
      </c>
      <c r="N59" s="1500">
        <f>Calc!N240</f>
        <v>246588.71760126465</v>
      </c>
      <c r="O59" s="1500">
        <f>Calc!O240</f>
        <v>404794.74976725387</v>
      </c>
      <c r="P59" s="1500">
        <f>Calc!P240</f>
        <v>535670.13401749893</v>
      </c>
      <c r="Q59" s="1500">
        <f>Calc!Q240</f>
        <v>620836.66936237365</v>
      </c>
      <c r="R59" s="1500">
        <f>Calc!R240</f>
        <v>670991.50198984554</v>
      </c>
      <c r="S59" s="1500">
        <f>Calc!S240</f>
        <v>763131.48776220065</v>
      </c>
      <c r="T59" s="1500">
        <f>Calc!T240</f>
        <v>808987.79057924368</v>
      </c>
      <c r="U59" s="1500">
        <f>Calc!U240</f>
        <v>957024.78098582022</v>
      </c>
      <c r="V59" s="1500">
        <f>Calc!V240</f>
        <v>1074555.2051858411</v>
      </c>
      <c r="W59" s="1500">
        <f>Calc!W240</f>
        <v>1226267.8756347694</v>
      </c>
      <c r="X59" s="1500">
        <f>Calc!X240</f>
        <v>1797608.5503259678</v>
      </c>
      <c r="Y59" s="1500">
        <f>Calc!Y240</f>
        <v>343952.46782927262</v>
      </c>
      <c r="Z59" s="1500">
        <f>Calc!Z240</f>
        <v>2311.7948717948725</v>
      </c>
      <c r="AA59" s="1500">
        <f>Calc!AA240</f>
        <v>0</v>
      </c>
      <c r="AB59" s="1500">
        <f>Calc!AB240</f>
        <v>0</v>
      </c>
      <c r="AC59" s="1500">
        <f>Calc!AC240</f>
        <v>0</v>
      </c>
      <c r="AD59" s="1500">
        <f>Calc!AD240</f>
        <v>0</v>
      </c>
      <c r="AE59" s="1500">
        <f>Calc!AE240</f>
        <v>0</v>
      </c>
      <c r="AF59" s="1500">
        <f>Calc!AF240</f>
        <v>0</v>
      </c>
      <c r="AG59" s="1500">
        <f>Calc!AG240</f>
        <v>0</v>
      </c>
      <c r="AH59" s="1500">
        <f>Calc!AH240</f>
        <v>0</v>
      </c>
      <c r="AI59" s="1502">
        <f>Calc!AI240</f>
        <v>0</v>
      </c>
      <c r="AJ59" s="1212"/>
      <c r="AK59" s="1116"/>
      <c r="AL59" s="1116"/>
      <c r="AM59" s="1116"/>
      <c r="AN59" s="1477"/>
      <c r="AO59" s="1116"/>
      <c r="AP59" s="1142"/>
      <c r="AQ59" s="1503"/>
      <c r="AR59" s="1504"/>
      <c r="AS59" s="1504"/>
      <c r="AT59" s="1504"/>
      <c r="AU59" s="1504"/>
      <c r="AV59" s="1504"/>
      <c r="AW59" s="1504"/>
      <c r="AX59" s="1504"/>
      <c r="AY59" s="1504"/>
      <c r="AZ59" s="1504"/>
      <c r="BA59" s="1504"/>
      <c r="BB59" s="1504"/>
      <c r="BC59" s="1504"/>
      <c r="BD59" s="1504"/>
      <c r="BE59" s="1504"/>
      <c r="BF59" s="1504"/>
      <c r="BG59" s="1504"/>
      <c r="BH59" s="1504"/>
      <c r="BI59" s="1504"/>
      <c r="BJ59" s="1504"/>
      <c r="BK59" s="1504"/>
      <c r="BL59" s="1504"/>
      <c r="BM59" s="1504"/>
      <c r="BN59" s="1504"/>
      <c r="BO59" s="1504"/>
      <c r="BP59" s="1504"/>
      <c r="BQ59" s="1504"/>
      <c r="BR59" s="1504"/>
      <c r="BS59" s="1505"/>
      <c r="BT59" s="1142"/>
      <c r="BU59" s="1478"/>
      <c r="BV59" s="1070"/>
      <c r="BW59" s="1070"/>
      <c r="BX59" s="1070"/>
    </row>
    <row r="60" spans="1:76" ht="15" thickBot="1" x14ac:dyDescent="0.35">
      <c r="A60" s="1506"/>
      <c r="B60" s="1507"/>
      <c r="C60" s="1508"/>
      <c r="D60" s="1509"/>
      <c r="E60" s="1510"/>
      <c r="F60" s="1511"/>
      <c r="G60" s="1512"/>
      <c r="H60" s="1512"/>
      <c r="I60" s="1512"/>
      <c r="J60" s="1512"/>
      <c r="K60" s="1512"/>
      <c r="L60" s="1512"/>
      <c r="M60" s="1512"/>
      <c r="N60" s="1511"/>
      <c r="O60" s="1511"/>
      <c r="P60" s="1511"/>
      <c r="Q60" s="1511"/>
      <c r="R60" s="1511"/>
      <c r="S60" s="1511"/>
      <c r="T60" s="1511"/>
      <c r="U60" s="1511"/>
      <c r="V60" s="1511"/>
      <c r="W60" s="1511"/>
      <c r="X60" s="1511"/>
      <c r="Y60" s="1511"/>
      <c r="Z60" s="1511"/>
      <c r="AA60" s="1511"/>
      <c r="AB60" s="1511"/>
      <c r="AC60" s="1511"/>
      <c r="AD60" s="1511"/>
      <c r="AE60" s="1511"/>
      <c r="AF60" s="1511"/>
      <c r="AG60" s="1511"/>
      <c r="AH60" s="1511"/>
      <c r="AI60" s="1511"/>
      <c r="AJ60" s="1513"/>
      <c r="AK60" s="1507"/>
      <c r="AL60" s="1507"/>
      <c r="AM60" s="1507"/>
      <c r="AN60" s="1514"/>
      <c r="AO60" s="1507"/>
      <c r="AP60" s="1515"/>
      <c r="AQ60" s="1512"/>
      <c r="AR60" s="1512"/>
      <c r="AS60" s="1512"/>
      <c r="AT60" s="1512"/>
      <c r="AU60" s="1512"/>
      <c r="AV60" s="1512"/>
      <c r="AW60" s="1512"/>
      <c r="AX60" s="1511"/>
      <c r="AY60" s="1511"/>
      <c r="AZ60" s="1511"/>
      <c r="BA60" s="1511"/>
      <c r="BB60" s="1511"/>
      <c r="BC60" s="1511"/>
      <c r="BD60" s="1511"/>
      <c r="BE60" s="1511"/>
      <c r="BF60" s="1511"/>
      <c r="BG60" s="1511"/>
      <c r="BH60" s="1511"/>
      <c r="BI60" s="1511"/>
      <c r="BJ60" s="1511"/>
      <c r="BK60" s="1511"/>
      <c r="BL60" s="1511"/>
      <c r="BM60" s="1511"/>
      <c r="BN60" s="1511"/>
      <c r="BO60" s="1511"/>
      <c r="BP60" s="1511"/>
      <c r="BQ60" s="1511"/>
      <c r="BR60" s="1511"/>
      <c r="BS60" s="1511"/>
      <c r="BT60" s="1515"/>
      <c r="BU60" s="1516"/>
      <c r="BV60" s="1070"/>
      <c r="BW60" s="1070"/>
      <c r="BX60" s="1070"/>
    </row>
    <row r="61" spans="1:76" x14ac:dyDescent="0.3">
      <c r="A61" s="1082"/>
      <c r="B61" s="1082"/>
      <c r="C61" s="1082"/>
      <c r="D61" s="1070"/>
      <c r="E61" s="1070"/>
      <c r="F61" s="1070"/>
      <c r="G61" s="1070"/>
      <c r="H61" s="1070"/>
      <c r="I61" s="1070"/>
      <c r="J61" s="1070"/>
      <c r="K61" s="1070"/>
      <c r="L61" s="1070"/>
      <c r="M61" s="1070"/>
      <c r="N61" s="1070"/>
      <c r="O61" s="1070"/>
      <c r="P61" s="1070"/>
      <c r="Q61" s="1070"/>
      <c r="R61" s="1070"/>
      <c r="S61" s="1070"/>
      <c r="T61" s="1070"/>
      <c r="U61" s="1070"/>
      <c r="V61" s="1070"/>
      <c r="W61" s="1070"/>
      <c r="X61" s="1070"/>
      <c r="Y61" s="1070"/>
      <c r="Z61" s="1070"/>
      <c r="AA61" s="1070"/>
      <c r="AB61" s="1070"/>
      <c r="AC61" s="1070"/>
      <c r="AD61" s="1070"/>
      <c r="AE61" s="1070"/>
      <c r="AF61" s="1070"/>
      <c r="AG61" s="1070"/>
      <c r="AH61" s="1070"/>
      <c r="AI61" s="1070"/>
      <c r="AJ61" s="1070"/>
      <c r="AK61" s="1070"/>
      <c r="AL61" s="1070"/>
      <c r="AM61" s="1070"/>
      <c r="AN61" s="1070"/>
      <c r="AO61" s="1070"/>
      <c r="AP61" s="1070"/>
      <c r="AQ61" s="1070"/>
      <c r="AR61" s="1070"/>
      <c r="AS61" s="1070"/>
      <c r="AT61" s="1070"/>
      <c r="AU61" s="1070"/>
      <c r="AV61" s="1070"/>
      <c r="AW61" s="1070"/>
      <c r="AX61" s="1070"/>
      <c r="AY61" s="1070"/>
      <c r="AZ61" s="1070"/>
      <c r="BA61" s="1070"/>
      <c r="BB61" s="1070"/>
      <c r="BC61" s="1070"/>
      <c r="BD61" s="1070"/>
      <c r="BE61" s="1070"/>
      <c r="BF61" s="1070"/>
      <c r="BG61" s="1070"/>
      <c r="BH61" s="1070"/>
      <c r="BI61" s="1070"/>
      <c r="BJ61" s="1070"/>
      <c r="BK61" s="1070"/>
      <c r="BL61" s="1070"/>
      <c r="BM61" s="1070"/>
      <c r="BN61" s="1070"/>
      <c r="BO61" s="1070"/>
      <c r="BP61" s="1070"/>
      <c r="BQ61" s="1070"/>
      <c r="BR61" s="1070"/>
      <c r="BS61" s="1070"/>
      <c r="BT61" s="1070"/>
      <c r="BU61" s="1070"/>
      <c r="BV61" s="1070"/>
      <c r="BW61" s="1070"/>
      <c r="BX61" s="1070"/>
    </row>
    <row r="62" spans="1:76" ht="15" thickBot="1" x14ac:dyDescent="0.35">
      <c r="A62" s="1070"/>
      <c r="B62" s="1070"/>
      <c r="C62" s="1070"/>
      <c r="D62" s="1070"/>
      <c r="E62" s="1070"/>
      <c r="F62" s="1070"/>
      <c r="G62" s="1070"/>
      <c r="H62" s="1070"/>
      <c r="I62" s="1070"/>
      <c r="J62" s="1070"/>
      <c r="K62" s="1070"/>
      <c r="L62" s="1070"/>
      <c r="M62" s="1082"/>
      <c r="N62" s="1082"/>
      <c r="O62" s="1082"/>
      <c r="P62" s="1070"/>
      <c r="Q62" s="1070"/>
      <c r="R62" s="1070"/>
      <c r="S62" s="1070"/>
      <c r="T62" s="1070"/>
      <c r="U62" s="1070"/>
      <c r="V62" s="1070"/>
      <c r="W62" s="1070"/>
      <c r="X62" s="1070"/>
      <c r="Y62" s="1070"/>
      <c r="Z62" s="1070"/>
      <c r="AA62" s="1070"/>
      <c r="AB62" s="1070"/>
      <c r="AC62" s="1070"/>
      <c r="AD62" s="1070"/>
      <c r="AE62" s="1070"/>
      <c r="AF62" s="1070"/>
      <c r="AG62" s="1070"/>
      <c r="AH62" s="1070"/>
      <c r="AI62" s="1070"/>
      <c r="AJ62" s="1070"/>
      <c r="AK62" s="1070"/>
      <c r="AL62" s="1070"/>
      <c r="AM62" s="1070"/>
      <c r="AN62" s="1070"/>
      <c r="AO62" s="1070"/>
      <c r="AP62" s="1070"/>
      <c r="AQ62" s="1070"/>
      <c r="AR62" s="1070"/>
      <c r="AS62" s="1070"/>
      <c r="AT62" s="1070"/>
      <c r="AU62" s="1070"/>
      <c r="AV62" s="1070"/>
      <c r="AW62" s="1070"/>
      <c r="AX62" s="1070"/>
      <c r="AY62" s="1070"/>
      <c r="AZ62" s="1070"/>
      <c r="BA62" s="1070"/>
      <c r="BB62" s="1070"/>
      <c r="BC62" s="1070"/>
      <c r="BD62" s="1070"/>
      <c r="BE62" s="1070"/>
      <c r="BF62" s="1070"/>
      <c r="BG62" s="1070"/>
      <c r="BH62" s="1070"/>
      <c r="BI62" s="1070"/>
      <c r="BJ62" s="1070"/>
      <c r="BK62" s="1070"/>
      <c r="BL62" s="1070"/>
      <c r="BM62" s="1070"/>
      <c r="BN62" s="1070"/>
      <c r="BO62" s="1070"/>
      <c r="BP62" s="1070"/>
      <c r="BQ62" s="1070"/>
      <c r="BR62" s="1070"/>
      <c r="BS62" s="1070"/>
      <c r="BT62" s="1070"/>
      <c r="BU62" s="1070"/>
      <c r="BV62" s="1070"/>
      <c r="BW62" s="1070"/>
      <c r="BX62" s="1070"/>
    </row>
    <row r="63" spans="1:76" x14ac:dyDescent="0.3">
      <c r="A63" s="1517"/>
      <c r="B63" s="1518" t="s">
        <v>1361</v>
      </c>
      <c r="C63" s="1519"/>
      <c r="D63" s="1520"/>
      <c r="E63" s="1521"/>
      <c r="F63" s="1522"/>
      <c r="G63" s="1522"/>
      <c r="H63" s="1522"/>
      <c r="I63" s="1522"/>
      <c r="J63" s="1522"/>
      <c r="K63" s="1523"/>
      <c r="L63" s="1523"/>
      <c r="M63" s="1524"/>
      <c r="N63" s="1524"/>
      <c r="O63" s="1524"/>
      <c r="P63" s="1522"/>
      <c r="Q63" s="1522"/>
      <c r="R63" s="1522"/>
      <c r="S63" s="1522"/>
      <c r="T63" s="1522"/>
      <c r="U63" s="1522"/>
      <c r="V63" s="1522"/>
      <c r="W63" s="1522"/>
      <c r="X63" s="1522"/>
      <c r="Y63" s="1522"/>
      <c r="Z63" s="1522"/>
      <c r="AA63" s="1522"/>
      <c r="AB63" s="1522"/>
      <c r="AC63" s="1522"/>
      <c r="AD63" s="1522"/>
      <c r="AE63" s="1522"/>
      <c r="AF63" s="1522"/>
      <c r="AG63" s="1522"/>
      <c r="AH63" s="1522"/>
      <c r="AI63" s="1522"/>
      <c r="AJ63" s="1472"/>
      <c r="AK63" s="1472"/>
      <c r="AL63" s="1472"/>
      <c r="AM63" s="1472"/>
      <c r="AN63" s="1472"/>
      <c r="AO63" s="1525"/>
      <c r="AP63" s="1472"/>
      <c r="AQ63" s="1472"/>
      <c r="AR63" s="1472"/>
      <c r="AS63" s="1472"/>
      <c r="AT63" s="1472"/>
      <c r="AU63" s="1472"/>
      <c r="AV63" s="1472"/>
      <c r="AW63" s="1472"/>
      <c r="AX63" s="1472"/>
      <c r="AY63" s="1472"/>
      <c r="AZ63" s="1472"/>
      <c r="BA63" s="1472"/>
      <c r="BB63" s="1472"/>
      <c r="BC63" s="1472"/>
      <c r="BD63" s="1472"/>
      <c r="BE63" s="1472"/>
      <c r="BF63" s="1472"/>
      <c r="BG63" s="1472"/>
      <c r="BH63" s="1472"/>
      <c r="BI63" s="1472"/>
      <c r="BJ63" s="1472"/>
      <c r="BK63" s="1472"/>
      <c r="BL63" s="1472"/>
      <c r="BM63" s="1472"/>
      <c r="BN63" s="1472"/>
      <c r="BO63" s="1472"/>
      <c r="BP63" s="1472"/>
      <c r="BQ63" s="1472"/>
      <c r="BR63" s="1472"/>
      <c r="BS63" s="1472"/>
      <c r="BT63" s="1472"/>
      <c r="BU63" s="1473"/>
      <c r="BV63" s="1070"/>
      <c r="BW63" s="1526"/>
      <c r="BX63" s="1526"/>
    </row>
    <row r="64" spans="1:76" x14ac:dyDescent="0.3">
      <c r="A64" s="1527"/>
      <c r="B64" s="1142"/>
      <c r="C64" s="1142"/>
      <c r="D64" s="1352"/>
      <c r="E64" s="1528"/>
      <c r="F64" s="1529"/>
      <c r="G64" s="1070"/>
      <c r="H64" s="1070"/>
      <c r="I64" s="1070"/>
      <c r="J64" s="1530"/>
      <c r="K64" s="1530"/>
      <c r="L64" s="1530"/>
      <c r="M64" s="1531"/>
      <c r="N64" s="1532"/>
      <c r="O64" s="1531"/>
      <c r="P64" s="1529"/>
      <c r="Q64" s="1529"/>
      <c r="R64" s="1529"/>
      <c r="S64" s="1529"/>
      <c r="T64" s="1529"/>
      <c r="U64" s="1529"/>
      <c r="V64" s="1529"/>
      <c r="W64" s="1529"/>
      <c r="X64" s="1529"/>
      <c r="Y64" s="1529"/>
      <c r="Z64" s="1529"/>
      <c r="AA64" s="1529"/>
      <c r="AB64" s="1529"/>
      <c r="AC64" s="1529"/>
      <c r="AD64" s="1529"/>
      <c r="AE64" s="1529"/>
      <c r="AF64" s="1529"/>
      <c r="AG64" s="1529"/>
      <c r="AH64" s="1529"/>
      <c r="AI64" s="1529"/>
      <c r="AJ64" s="1142"/>
      <c r="AK64" s="1142"/>
      <c r="AL64" s="1142"/>
      <c r="AM64" s="1142"/>
      <c r="AN64" s="1142"/>
      <c r="AO64" s="1149"/>
      <c r="AP64" s="1142"/>
      <c r="AQ64" s="1142"/>
      <c r="AR64" s="1142"/>
      <c r="AS64" s="1142"/>
      <c r="AT64" s="1142"/>
      <c r="AU64" s="1142"/>
      <c r="AV64" s="1142"/>
      <c r="AW64" s="1142"/>
      <c r="AX64" s="1142"/>
      <c r="AY64" s="1142"/>
      <c r="AZ64" s="1142"/>
      <c r="BA64" s="1142"/>
      <c r="BB64" s="1142"/>
      <c r="BC64" s="1142"/>
      <c r="BD64" s="1142"/>
      <c r="BE64" s="1142"/>
      <c r="BF64" s="1142"/>
      <c r="BG64" s="1142"/>
      <c r="BH64" s="1142"/>
      <c r="BI64" s="1142"/>
      <c r="BJ64" s="1142"/>
      <c r="BK64" s="1142"/>
      <c r="BL64" s="1142"/>
      <c r="BM64" s="1142"/>
      <c r="BN64" s="1142"/>
      <c r="BO64" s="1142"/>
      <c r="BP64" s="1142"/>
      <c r="BQ64" s="1142"/>
      <c r="BR64" s="1142"/>
      <c r="BS64" s="1142"/>
      <c r="BT64" s="1142"/>
      <c r="BU64" s="1478"/>
      <c r="BV64" s="1070"/>
      <c r="BW64" s="1526"/>
      <c r="BX64" s="1526"/>
    </row>
    <row r="65" spans="1:88" hidden="1" outlineLevel="1" x14ac:dyDescent="0.3">
      <c r="A65" s="1527"/>
      <c r="B65" s="1479" t="s">
        <v>1362</v>
      </c>
      <c r="C65" s="1159"/>
      <c r="D65" s="1322"/>
      <c r="E65" s="1323"/>
      <c r="F65" s="1533"/>
      <c r="G65" s="1534" t="s">
        <v>1363</v>
      </c>
      <c r="H65" s="1534" t="s">
        <v>1364</v>
      </c>
      <c r="I65" s="1533"/>
      <c r="J65" s="1533"/>
      <c r="K65" s="1533"/>
      <c r="L65" s="1533"/>
      <c r="M65" s="1533"/>
      <c r="N65" s="1535"/>
      <c r="O65" s="1535"/>
      <c r="P65" s="1535"/>
      <c r="Q65" s="1535"/>
      <c r="R65" s="1535"/>
      <c r="S65" s="1535"/>
      <c r="T65" s="1535"/>
      <c r="U65" s="1535"/>
      <c r="V65" s="1535"/>
      <c r="W65" s="1535"/>
      <c r="X65" s="1535"/>
      <c r="Y65" s="1535"/>
      <c r="Z65" s="1535"/>
      <c r="AA65" s="1535"/>
      <c r="AB65" s="1535"/>
      <c r="AC65" s="1535"/>
      <c r="AD65" s="1535"/>
      <c r="AE65" s="1535"/>
      <c r="AF65" s="1535"/>
      <c r="AG65" s="1535"/>
      <c r="AH65" s="1535"/>
      <c r="AI65" s="1535"/>
      <c r="AJ65" s="1186"/>
      <c r="AK65" s="1142"/>
      <c r="AL65" s="1142"/>
      <c r="AM65" s="1142"/>
      <c r="AN65" s="1142"/>
      <c r="AO65" s="1149"/>
      <c r="AP65" s="1142"/>
      <c r="AQ65" s="1479" t="s">
        <v>1365</v>
      </c>
      <c r="AR65" s="1533"/>
      <c r="AS65" s="1533"/>
      <c r="AT65" s="1533"/>
      <c r="AU65" s="1533"/>
      <c r="AV65" s="1533"/>
      <c r="AW65" s="1533"/>
      <c r="AX65" s="1535"/>
      <c r="AY65" s="1535"/>
      <c r="AZ65" s="1535"/>
      <c r="BA65" s="1535"/>
      <c r="BB65" s="1535"/>
      <c r="BC65" s="1535"/>
      <c r="BD65" s="1535"/>
      <c r="BE65" s="1535"/>
      <c r="BF65" s="1535"/>
      <c r="BG65" s="1535"/>
      <c r="BH65" s="1535"/>
      <c r="BI65" s="1535"/>
      <c r="BJ65" s="1535"/>
      <c r="BK65" s="1535"/>
      <c r="BL65" s="1535"/>
      <c r="BM65" s="1535"/>
      <c r="BN65" s="1535"/>
      <c r="BO65" s="1535"/>
      <c r="BP65" s="1535"/>
      <c r="BQ65" s="1535"/>
      <c r="BR65" s="1535"/>
      <c r="BS65" s="1535"/>
      <c r="BT65" s="1186"/>
      <c r="BU65" s="1478"/>
      <c r="BV65" s="1070"/>
      <c r="BW65" s="1526"/>
      <c r="BX65" s="1526"/>
    </row>
    <row r="66" spans="1:88" hidden="1" outlineLevel="1" x14ac:dyDescent="0.3">
      <c r="A66" s="1527"/>
      <c r="B66" s="1149"/>
      <c r="C66" s="1536"/>
      <c r="D66" s="1352"/>
      <c r="E66" s="1528"/>
      <c r="F66" s="1537"/>
      <c r="G66" s="1538">
        <f t="shared" ref="G66:AI66" si="10">G50</f>
        <v>18</v>
      </c>
      <c r="H66" s="1539">
        <f t="shared" si="10"/>
        <v>19</v>
      </c>
      <c r="I66" s="1539">
        <f t="shared" si="10"/>
        <v>20</v>
      </c>
      <c r="J66" s="1539">
        <f t="shared" si="10"/>
        <v>21</v>
      </c>
      <c r="K66" s="1539">
        <f t="shared" si="10"/>
        <v>22</v>
      </c>
      <c r="L66" s="1539">
        <f t="shared" si="10"/>
        <v>23</v>
      </c>
      <c r="M66" s="1539">
        <f t="shared" si="10"/>
        <v>24</v>
      </c>
      <c r="N66" s="1539">
        <f t="shared" si="10"/>
        <v>25</v>
      </c>
      <c r="O66" s="1539">
        <f t="shared" si="10"/>
        <v>26</v>
      </c>
      <c r="P66" s="1539">
        <f t="shared" si="10"/>
        <v>27</v>
      </c>
      <c r="Q66" s="1539">
        <f t="shared" si="10"/>
        <v>28</v>
      </c>
      <c r="R66" s="1539">
        <f t="shared" si="10"/>
        <v>29</v>
      </c>
      <c r="S66" s="1539">
        <f t="shared" si="10"/>
        <v>30</v>
      </c>
      <c r="T66" s="1539">
        <f t="shared" si="10"/>
        <v>31</v>
      </c>
      <c r="U66" s="1539">
        <f t="shared" si="10"/>
        <v>32</v>
      </c>
      <c r="V66" s="1539">
        <f t="shared" si="10"/>
        <v>33</v>
      </c>
      <c r="W66" s="1539">
        <f t="shared" si="10"/>
        <v>34</v>
      </c>
      <c r="X66" s="1539">
        <f t="shared" si="10"/>
        <v>35</v>
      </c>
      <c r="Y66" s="1539">
        <f t="shared" si="10"/>
        <v>36</v>
      </c>
      <c r="Z66" s="1539">
        <f t="shared" si="10"/>
        <v>37</v>
      </c>
      <c r="AA66" s="1539">
        <f t="shared" si="10"/>
        <v>38</v>
      </c>
      <c r="AB66" s="1539">
        <f t="shared" si="10"/>
        <v>39</v>
      </c>
      <c r="AC66" s="1539">
        <f t="shared" si="10"/>
        <v>40</v>
      </c>
      <c r="AD66" s="1539">
        <f t="shared" si="10"/>
        <v>41</v>
      </c>
      <c r="AE66" s="1539">
        <f t="shared" si="10"/>
        <v>42</v>
      </c>
      <c r="AF66" s="1539">
        <f t="shared" si="10"/>
        <v>43</v>
      </c>
      <c r="AG66" s="1539">
        <f t="shared" si="10"/>
        <v>44</v>
      </c>
      <c r="AH66" s="1539">
        <f t="shared" si="10"/>
        <v>45</v>
      </c>
      <c r="AI66" s="1540">
        <f t="shared" si="10"/>
        <v>46</v>
      </c>
      <c r="AJ66" s="1541" t="str">
        <f>"FY"&amp;CurrentFY&amp;"-"&amp;CurrentFY+9</f>
        <v>FY18-27</v>
      </c>
      <c r="AK66" s="1142"/>
      <c r="AL66" s="1142"/>
      <c r="AM66" s="1142"/>
      <c r="AN66" s="1142"/>
      <c r="AO66" s="1149"/>
      <c r="AP66" s="1142"/>
      <c r="AQ66" s="1542">
        <f t="shared" ref="AQ66:BS66" si="11">AQ50</f>
        <v>18</v>
      </c>
      <c r="AR66" s="1539">
        <f t="shared" si="11"/>
        <v>19</v>
      </c>
      <c r="AS66" s="1539">
        <f t="shared" si="11"/>
        <v>20</v>
      </c>
      <c r="AT66" s="1539">
        <f t="shared" si="11"/>
        <v>21</v>
      </c>
      <c r="AU66" s="1539">
        <f t="shared" si="11"/>
        <v>22</v>
      </c>
      <c r="AV66" s="1539">
        <f t="shared" si="11"/>
        <v>23</v>
      </c>
      <c r="AW66" s="1539">
        <f t="shared" si="11"/>
        <v>24</v>
      </c>
      <c r="AX66" s="1539">
        <f t="shared" si="11"/>
        <v>25</v>
      </c>
      <c r="AY66" s="1539">
        <f t="shared" si="11"/>
        <v>26</v>
      </c>
      <c r="AZ66" s="1539">
        <f t="shared" si="11"/>
        <v>27</v>
      </c>
      <c r="BA66" s="1539">
        <f t="shared" si="11"/>
        <v>28</v>
      </c>
      <c r="BB66" s="1539">
        <f t="shared" si="11"/>
        <v>29</v>
      </c>
      <c r="BC66" s="1539">
        <f t="shared" si="11"/>
        <v>30</v>
      </c>
      <c r="BD66" s="1539">
        <f t="shared" si="11"/>
        <v>31</v>
      </c>
      <c r="BE66" s="1539">
        <f t="shared" si="11"/>
        <v>32</v>
      </c>
      <c r="BF66" s="1539">
        <f t="shared" si="11"/>
        <v>33</v>
      </c>
      <c r="BG66" s="1539">
        <f t="shared" si="11"/>
        <v>34</v>
      </c>
      <c r="BH66" s="1539">
        <f t="shared" si="11"/>
        <v>35</v>
      </c>
      <c r="BI66" s="1539">
        <f t="shared" si="11"/>
        <v>36</v>
      </c>
      <c r="BJ66" s="1539">
        <f t="shared" si="11"/>
        <v>37</v>
      </c>
      <c r="BK66" s="1539">
        <f t="shared" si="11"/>
        <v>38</v>
      </c>
      <c r="BL66" s="1539">
        <f t="shared" si="11"/>
        <v>39</v>
      </c>
      <c r="BM66" s="1539">
        <f t="shared" si="11"/>
        <v>40</v>
      </c>
      <c r="BN66" s="1539">
        <f t="shared" si="11"/>
        <v>41</v>
      </c>
      <c r="BO66" s="1539">
        <f t="shared" si="11"/>
        <v>42</v>
      </c>
      <c r="BP66" s="1539">
        <f t="shared" si="11"/>
        <v>43</v>
      </c>
      <c r="BQ66" s="1539">
        <f t="shared" si="11"/>
        <v>44</v>
      </c>
      <c r="BR66" s="1539">
        <f t="shared" si="11"/>
        <v>45</v>
      </c>
      <c r="BS66" s="1540">
        <f t="shared" si="11"/>
        <v>46</v>
      </c>
      <c r="BT66" s="1541" t="str">
        <f>"FY"&amp;CurrentFY&amp;"-"&amp;CurrentFY+14</f>
        <v>FY18-32</v>
      </c>
      <c r="BU66" s="1478"/>
      <c r="BV66" s="1070"/>
      <c r="BW66" s="1526"/>
      <c r="BX66" s="1526"/>
    </row>
    <row r="67" spans="1:88" hidden="1" outlineLevel="1" x14ac:dyDescent="0.3">
      <c r="A67" s="1474"/>
      <c r="B67" s="1543" t="s">
        <v>690</v>
      </c>
      <c r="C67" s="1491"/>
      <c r="D67" s="1352"/>
      <c r="E67" s="1267"/>
      <c r="F67" s="1544"/>
      <c r="G67" s="1545" t="e">
        <f t="shared" ref="G67:AI67" si="12">-IF(AND(G79=1,G80=1),(G87/(1+DiscR)^G$82)-(G88/(1+DiscR)^G$82),0)</f>
        <v>#VALUE!</v>
      </c>
      <c r="H67" s="1546" t="e">
        <f t="shared" si="12"/>
        <v>#VALUE!</v>
      </c>
      <c r="I67" s="1546" t="e">
        <f t="shared" si="12"/>
        <v>#VALUE!</v>
      </c>
      <c r="J67" s="1546" t="e">
        <f t="shared" si="12"/>
        <v>#VALUE!</v>
      </c>
      <c r="K67" s="1546" t="e">
        <f t="shared" si="12"/>
        <v>#VALUE!</v>
      </c>
      <c r="L67" s="1546" t="e">
        <f t="shared" si="12"/>
        <v>#VALUE!</v>
      </c>
      <c r="M67" s="1546" t="e">
        <f t="shared" si="12"/>
        <v>#VALUE!</v>
      </c>
      <c r="N67" s="1546" t="e">
        <f t="shared" si="12"/>
        <v>#VALUE!</v>
      </c>
      <c r="O67" s="1546" t="e">
        <f t="shared" si="12"/>
        <v>#VALUE!</v>
      </c>
      <c r="P67" s="1546" t="e">
        <f t="shared" si="12"/>
        <v>#VALUE!</v>
      </c>
      <c r="Q67" s="1546" t="e">
        <f t="shared" si="12"/>
        <v>#VALUE!</v>
      </c>
      <c r="R67" s="1546" t="e">
        <f t="shared" si="12"/>
        <v>#VALUE!</v>
      </c>
      <c r="S67" s="1546" t="e">
        <f t="shared" si="12"/>
        <v>#VALUE!</v>
      </c>
      <c r="T67" s="1546" t="e">
        <f t="shared" si="12"/>
        <v>#VALUE!</v>
      </c>
      <c r="U67" s="1546" t="e">
        <f t="shared" si="12"/>
        <v>#VALUE!</v>
      </c>
      <c r="V67" s="1546" t="e">
        <f t="shared" si="12"/>
        <v>#VALUE!</v>
      </c>
      <c r="W67" s="1546" t="e">
        <f t="shared" si="12"/>
        <v>#VALUE!</v>
      </c>
      <c r="X67" s="1546" t="e">
        <f t="shared" si="12"/>
        <v>#VALUE!</v>
      </c>
      <c r="Y67" s="1546" t="e">
        <f t="shared" si="12"/>
        <v>#VALUE!</v>
      </c>
      <c r="Z67" s="1546" t="e">
        <f t="shared" si="12"/>
        <v>#VALUE!</v>
      </c>
      <c r="AA67" s="1546" t="e">
        <f t="shared" si="12"/>
        <v>#VALUE!</v>
      </c>
      <c r="AB67" s="1546" t="e">
        <f t="shared" si="12"/>
        <v>#VALUE!</v>
      </c>
      <c r="AC67" s="1546" t="e">
        <f t="shared" si="12"/>
        <v>#VALUE!</v>
      </c>
      <c r="AD67" s="1546" t="e">
        <f t="shared" si="12"/>
        <v>#VALUE!</v>
      </c>
      <c r="AE67" s="1546" t="e">
        <f t="shared" si="12"/>
        <v>#VALUE!</v>
      </c>
      <c r="AF67" s="1546" t="e">
        <f t="shared" si="12"/>
        <v>#VALUE!</v>
      </c>
      <c r="AG67" s="1546" t="e">
        <f t="shared" si="12"/>
        <v>#VALUE!</v>
      </c>
      <c r="AH67" s="1546" t="e">
        <f t="shared" si="12"/>
        <v>#VALUE!</v>
      </c>
      <c r="AI67" s="1546" t="e">
        <f t="shared" si="12"/>
        <v>#VALUE!</v>
      </c>
      <c r="AJ67" s="1547">
        <f t="shared" ref="AJ67:AJ73" si="13">SUMIF($G$81:$AI$81,TRUE,G67:AI67)</f>
        <v>0</v>
      </c>
      <c r="AK67" s="1116"/>
      <c r="AL67" s="1116"/>
      <c r="AM67" s="1116"/>
      <c r="AN67" s="1116"/>
      <c r="AO67" s="1207"/>
      <c r="AP67" s="1116"/>
      <c r="AQ67" s="1548" t="e">
        <f t="shared" ref="AQ67:BS67" si="14">-IF(AND(G79=1,G80=1),(G87/(1+DiscR)^G$82)-(G88/(1+DiscR)^G$82),0)</f>
        <v>#VALUE!</v>
      </c>
      <c r="AR67" s="1546" t="e">
        <f t="shared" si="14"/>
        <v>#VALUE!</v>
      </c>
      <c r="AS67" s="1546" t="e">
        <f t="shared" si="14"/>
        <v>#VALUE!</v>
      </c>
      <c r="AT67" s="1546" t="e">
        <f t="shared" si="14"/>
        <v>#VALUE!</v>
      </c>
      <c r="AU67" s="1546" t="e">
        <f t="shared" si="14"/>
        <v>#VALUE!</v>
      </c>
      <c r="AV67" s="1546" t="e">
        <f t="shared" si="14"/>
        <v>#VALUE!</v>
      </c>
      <c r="AW67" s="1546" t="e">
        <f t="shared" si="14"/>
        <v>#VALUE!</v>
      </c>
      <c r="AX67" s="1546" t="e">
        <f t="shared" si="14"/>
        <v>#VALUE!</v>
      </c>
      <c r="AY67" s="1546" t="e">
        <f t="shared" si="14"/>
        <v>#VALUE!</v>
      </c>
      <c r="AZ67" s="1546" t="e">
        <f t="shared" si="14"/>
        <v>#VALUE!</v>
      </c>
      <c r="BA67" s="1546" t="e">
        <f t="shared" si="14"/>
        <v>#VALUE!</v>
      </c>
      <c r="BB67" s="1546" t="e">
        <f t="shared" si="14"/>
        <v>#VALUE!</v>
      </c>
      <c r="BC67" s="1546" t="e">
        <f t="shared" si="14"/>
        <v>#VALUE!</v>
      </c>
      <c r="BD67" s="1546" t="e">
        <f t="shared" si="14"/>
        <v>#VALUE!</v>
      </c>
      <c r="BE67" s="1546" t="e">
        <f t="shared" si="14"/>
        <v>#VALUE!</v>
      </c>
      <c r="BF67" s="1546" t="e">
        <f t="shared" si="14"/>
        <v>#VALUE!</v>
      </c>
      <c r="BG67" s="1546" t="e">
        <f t="shared" si="14"/>
        <v>#VALUE!</v>
      </c>
      <c r="BH67" s="1546" t="e">
        <f t="shared" si="14"/>
        <v>#VALUE!</v>
      </c>
      <c r="BI67" s="1546" t="e">
        <f t="shared" si="14"/>
        <v>#VALUE!</v>
      </c>
      <c r="BJ67" s="1546" t="e">
        <f t="shared" si="14"/>
        <v>#VALUE!</v>
      </c>
      <c r="BK67" s="1546" t="e">
        <f t="shared" si="14"/>
        <v>#VALUE!</v>
      </c>
      <c r="BL67" s="1546" t="e">
        <f t="shared" si="14"/>
        <v>#VALUE!</v>
      </c>
      <c r="BM67" s="1546" t="e">
        <f t="shared" si="14"/>
        <v>#VALUE!</v>
      </c>
      <c r="BN67" s="1546" t="e">
        <f t="shared" si="14"/>
        <v>#VALUE!</v>
      </c>
      <c r="BO67" s="1546" t="e">
        <f t="shared" si="14"/>
        <v>#VALUE!</v>
      </c>
      <c r="BP67" s="1546" t="e">
        <f t="shared" si="14"/>
        <v>#VALUE!</v>
      </c>
      <c r="BQ67" s="1546" t="e">
        <f t="shared" si="14"/>
        <v>#VALUE!</v>
      </c>
      <c r="BR67" s="1546" t="e">
        <f t="shared" si="14"/>
        <v>#VALUE!</v>
      </c>
      <c r="BS67" s="1546" t="e">
        <f t="shared" si="14"/>
        <v>#VALUE!</v>
      </c>
      <c r="BT67" s="1547">
        <f t="shared" ref="BT67:BT73" si="15">SUMIF($AQ$81:$BS$81,TRUE,AQ67:BS67)</f>
        <v>0</v>
      </c>
      <c r="BU67" s="1478"/>
      <c r="BV67" s="1070"/>
      <c r="BW67" s="1526"/>
      <c r="BX67" s="1526"/>
    </row>
    <row r="68" spans="1:88" hidden="1" outlineLevel="1" x14ac:dyDescent="0.3">
      <c r="A68" s="1474"/>
      <c r="B68" s="1543" t="s">
        <v>446</v>
      </c>
      <c r="C68" s="1491"/>
      <c r="D68" s="1352"/>
      <c r="E68" s="1267"/>
      <c r="F68" s="1544"/>
      <c r="G68" s="1545" t="e">
        <f t="shared" ref="G68:AI68" si="16">-IF(AND(G79=1,G80=1),(G89/(1+DiscR)^G$82)-(G90/(1+DiscR)^G$82),0)</f>
        <v>#VALUE!</v>
      </c>
      <c r="H68" s="1546" t="e">
        <f t="shared" si="16"/>
        <v>#VALUE!</v>
      </c>
      <c r="I68" s="1546" t="e">
        <f t="shared" si="16"/>
        <v>#VALUE!</v>
      </c>
      <c r="J68" s="1546" t="e">
        <f t="shared" si="16"/>
        <v>#VALUE!</v>
      </c>
      <c r="K68" s="1546" t="e">
        <f t="shared" si="16"/>
        <v>#VALUE!</v>
      </c>
      <c r="L68" s="1546" t="e">
        <f t="shared" si="16"/>
        <v>#VALUE!</v>
      </c>
      <c r="M68" s="1546" t="e">
        <f t="shared" si="16"/>
        <v>#VALUE!</v>
      </c>
      <c r="N68" s="1546" t="e">
        <f t="shared" si="16"/>
        <v>#VALUE!</v>
      </c>
      <c r="O68" s="1546" t="e">
        <f t="shared" si="16"/>
        <v>#VALUE!</v>
      </c>
      <c r="P68" s="1546" t="e">
        <f t="shared" si="16"/>
        <v>#VALUE!</v>
      </c>
      <c r="Q68" s="1546" t="e">
        <f t="shared" si="16"/>
        <v>#VALUE!</v>
      </c>
      <c r="R68" s="1546" t="e">
        <f t="shared" si="16"/>
        <v>#VALUE!</v>
      </c>
      <c r="S68" s="1546" t="e">
        <f t="shared" si="16"/>
        <v>#VALUE!</v>
      </c>
      <c r="T68" s="1546" t="e">
        <f t="shared" si="16"/>
        <v>#VALUE!</v>
      </c>
      <c r="U68" s="1546" t="e">
        <f t="shared" si="16"/>
        <v>#VALUE!</v>
      </c>
      <c r="V68" s="1546" t="e">
        <f t="shared" si="16"/>
        <v>#VALUE!</v>
      </c>
      <c r="W68" s="1546" t="e">
        <f t="shared" si="16"/>
        <v>#VALUE!</v>
      </c>
      <c r="X68" s="1546" t="e">
        <f t="shared" si="16"/>
        <v>#VALUE!</v>
      </c>
      <c r="Y68" s="1546" t="e">
        <f t="shared" si="16"/>
        <v>#VALUE!</v>
      </c>
      <c r="Z68" s="1546" t="e">
        <f t="shared" si="16"/>
        <v>#VALUE!</v>
      </c>
      <c r="AA68" s="1546" t="e">
        <f t="shared" si="16"/>
        <v>#VALUE!</v>
      </c>
      <c r="AB68" s="1546" t="e">
        <f t="shared" si="16"/>
        <v>#VALUE!</v>
      </c>
      <c r="AC68" s="1546" t="e">
        <f t="shared" si="16"/>
        <v>#VALUE!</v>
      </c>
      <c r="AD68" s="1546" t="e">
        <f t="shared" si="16"/>
        <v>#VALUE!</v>
      </c>
      <c r="AE68" s="1546" t="e">
        <f t="shared" si="16"/>
        <v>#VALUE!</v>
      </c>
      <c r="AF68" s="1546" t="e">
        <f t="shared" si="16"/>
        <v>#VALUE!</v>
      </c>
      <c r="AG68" s="1546" t="e">
        <f t="shared" si="16"/>
        <v>#VALUE!</v>
      </c>
      <c r="AH68" s="1546" t="e">
        <f t="shared" si="16"/>
        <v>#VALUE!</v>
      </c>
      <c r="AI68" s="1546" t="e">
        <f t="shared" si="16"/>
        <v>#VALUE!</v>
      </c>
      <c r="AJ68" s="1547">
        <f t="shared" si="13"/>
        <v>0</v>
      </c>
      <c r="AK68" s="1116"/>
      <c r="AL68" s="1116"/>
      <c r="AM68" s="1116"/>
      <c r="AN68" s="1116"/>
      <c r="AO68" s="1207"/>
      <c r="AP68" s="1116"/>
      <c r="AQ68" s="1548" t="e">
        <f t="shared" ref="AQ68:BS68" si="17">-IF(AND(G79=1,G80=1),(G89/(1+DiscR)^G$82)-(G90/(1+DiscR)^G$82),0)</f>
        <v>#VALUE!</v>
      </c>
      <c r="AR68" s="1546" t="e">
        <f t="shared" si="17"/>
        <v>#VALUE!</v>
      </c>
      <c r="AS68" s="1546" t="e">
        <f t="shared" si="17"/>
        <v>#VALUE!</v>
      </c>
      <c r="AT68" s="1546" t="e">
        <f t="shared" si="17"/>
        <v>#VALUE!</v>
      </c>
      <c r="AU68" s="1546" t="e">
        <f t="shared" si="17"/>
        <v>#VALUE!</v>
      </c>
      <c r="AV68" s="1546" t="e">
        <f t="shared" si="17"/>
        <v>#VALUE!</v>
      </c>
      <c r="AW68" s="1546" t="e">
        <f t="shared" si="17"/>
        <v>#VALUE!</v>
      </c>
      <c r="AX68" s="1546" t="e">
        <f t="shared" si="17"/>
        <v>#VALUE!</v>
      </c>
      <c r="AY68" s="1546" t="e">
        <f t="shared" si="17"/>
        <v>#VALUE!</v>
      </c>
      <c r="AZ68" s="1546" t="e">
        <f t="shared" si="17"/>
        <v>#VALUE!</v>
      </c>
      <c r="BA68" s="1546" t="e">
        <f t="shared" si="17"/>
        <v>#VALUE!</v>
      </c>
      <c r="BB68" s="1546" t="e">
        <f t="shared" si="17"/>
        <v>#VALUE!</v>
      </c>
      <c r="BC68" s="1546" t="e">
        <f t="shared" si="17"/>
        <v>#VALUE!</v>
      </c>
      <c r="BD68" s="1546" t="e">
        <f t="shared" si="17"/>
        <v>#VALUE!</v>
      </c>
      <c r="BE68" s="1546" t="e">
        <f t="shared" si="17"/>
        <v>#VALUE!</v>
      </c>
      <c r="BF68" s="1546" t="e">
        <f t="shared" si="17"/>
        <v>#VALUE!</v>
      </c>
      <c r="BG68" s="1546" t="e">
        <f t="shared" si="17"/>
        <v>#VALUE!</v>
      </c>
      <c r="BH68" s="1546" t="e">
        <f t="shared" si="17"/>
        <v>#VALUE!</v>
      </c>
      <c r="BI68" s="1546" t="e">
        <f t="shared" si="17"/>
        <v>#VALUE!</v>
      </c>
      <c r="BJ68" s="1546" t="e">
        <f t="shared" si="17"/>
        <v>#VALUE!</v>
      </c>
      <c r="BK68" s="1546" t="e">
        <f t="shared" si="17"/>
        <v>#VALUE!</v>
      </c>
      <c r="BL68" s="1546" t="e">
        <f t="shared" si="17"/>
        <v>#VALUE!</v>
      </c>
      <c r="BM68" s="1546" t="e">
        <f t="shared" si="17"/>
        <v>#VALUE!</v>
      </c>
      <c r="BN68" s="1546" t="e">
        <f t="shared" si="17"/>
        <v>#VALUE!</v>
      </c>
      <c r="BO68" s="1546" t="e">
        <f t="shared" si="17"/>
        <v>#VALUE!</v>
      </c>
      <c r="BP68" s="1546" t="e">
        <f t="shared" si="17"/>
        <v>#VALUE!</v>
      </c>
      <c r="BQ68" s="1546" t="e">
        <f t="shared" si="17"/>
        <v>#VALUE!</v>
      </c>
      <c r="BR68" s="1546" t="e">
        <f t="shared" si="17"/>
        <v>#VALUE!</v>
      </c>
      <c r="BS68" s="1546" t="e">
        <f t="shared" si="17"/>
        <v>#VALUE!</v>
      </c>
      <c r="BT68" s="1547">
        <f t="shared" si="15"/>
        <v>0</v>
      </c>
      <c r="BU68" s="1478"/>
      <c r="BV68" s="1070"/>
      <c r="BW68" s="1526"/>
      <c r="BX68" s="1526"/>
    </row>
    <row r="69" spans="1:88" hidden="1" outlineLevel="1" x14ac:dyDescent="0.3">
      <c r="A69" s="1474"/>
      <c r="B69" s="1543" t="s">
        <v>1366</v>
      </c>
      <c r="C69" s="1491"/>
      <c r="D69" s="1352"/>
      <c r="E69" s="1267"/>
      <c r="F69" s="1544"/>
      <c r="G69" s="1545" t="e">
        <f t="shared" ref="G69:AI69" si="18">-IF(AND(G79=1,G80=1),(G91/(1+DiscR)^G$82)-(G92/(1+DiscR)^G$82),0)</f>
        <v>#VALUE!</v>
      </c>
      <c r="H69" s="1546" t="e">
        <f t="shared" si="18"/>
        <v>#VALUE!</v>
      </c>
      <c r="I69" s="1546" t="e">
        <f t="shared" si="18"/>
        <v>#VALUE!</v>
      </c>
      <c r="J69" s="1546" t="e">
        <f t="shared" si="18"/>
        <v>#VALUE!</v>
      </c>
      <c r="K69" s="1546" t="e">
        <f t="shared" si="18"/>
        <v>#VALUE!</v>
      </c>
      <c r="L69" s="1546" t="e">
        <f t="shared" si="18"/>
        <v>#VALUE!</v>
      </c>
      <c r="M69" s="1546" t="e">
        <f t="shared" si="18"/>
        <v>#VALUE!</v>
      </c>
      <c r="N69" s="1546" t="e">
        <f t="shared" si="18"/>
        <v>#VALUE!</v>
      </c>
      <c r="O69" s="1546" t="e">
        <f t="shared" si="18"/>
        <v>#VALUE!</v>
      </c>
      <c r="P69" s="1546" t="e">
        <f t="shared" si="18"/>
        <v>#VALUE!</v>
      </c>
      <c r="Q69" s="1546" t="e">
        <f t="shared" si="18"/>
        <v>#VALUE!</v>
      </c>
      <c r="R69" s="1546" t="e">
        <f t="shared" si="18"/>
        <v>#VALUE!</v>
      </c>
      <c r="S69" s="1546" t="e">
        <f t="shared" si="18"/>
        <v>#VALUE!</v>
      </c>
      <c r="T69" s="1546" t="e">
        <f t="shared" si="18"/>
        <v>#VALUE!</v>
      </c>
      <c r="U69" s="1546" t="e">
        <f t="shared" si="18"/>
        <v>#VALUE!</v>
      </c>
      <c r="V69" s="1546" t="e">
        <f t="shared" si="18"/>
        <v>#VALUE!</v>
      </c>
      <c r="W69" s="1546" t="e">
        <f t="shared" si="18"/>
        <v>#VALUE!</v>
      </c>
      <c r="X69" s="1546" t="e">
        <f t="shared" si="18"/>
        <v>#VALUE!</v>
      </c>
      <c r="Y69" s="1546" t="e">
        <f t="shared" si="18"/>
        <v>#VALUE!</v>
      </c>
      <c r="Z69" s="1546" t="e">
        <f t="shared" si="18"/>
        <v>#VALUE!</v>
      </c>
      <c r="AA69" s="1546" t="e">
        <f t="shared" si="18"/>
        <v>#VALUE!</v>
      </c>
      <c r="AB69" s="1546" t="e">
        <f t="shared" si="18"/>
        <v>#VALUE!</v>
      </c>
      <c r="AC69" s="1546" t="e">
        <f t="shared" si="18"/>
        <v>#VALUE!</v>
      </c>
      <c r="AD69" s="1546" t="e">
        <f t="shared" si="18"/>
        <v>#VALUE!</v>
      </c>
      <c r="AE69" s="1546" t="e">
        <f t="shared" si="18"/>
        <v>#VALUE!</v>
      </c>
      <c r="AF69" s="1546" t="e">
        <f t="shared" si="18"/>
        <v>#VALUE!</v>
      </c>
      <c r="AG69" s="1546" t="e">
        <f t="shared" si="18"/>
        <v>#VALUE!</v>
      </c>
      <c r="AH69" s="1546" t="e">
        <f t="shared" si="18"/>
        <v>#VALUE!</v>
      </c>
      <c r="AI69" s="1546" t="e">
        <f t="shared" si="18"/>
        <v>#VALUE!</v>
      </c>
      <c r="AJ69" s="1547">
        <f t="shared" si="13"/>
        <v>0</v>
      </c>
      <c r="AK69" s="1116"/>
      <c r="AL69" s="1116"/>
      <c r="AM69" s="1116"/>
      <c r="AN69" s="1116"/>
      <c r="AO69" s="1207"/>
      <c r="AP69" s="1116"/>
      <c r="AQ69" s="1548" t="e">
        <f t="shared" ref="AQ69:BS69" si="19">-IF(AND(G79=1,G80=1),(G91/(1+DiscR)^G$82)-(G92/(1+DiscR)^G$82),0)</f>
        <v>#VALUE!</v>
      </c>
      <c r="AR69" s="1546" t="e">
        <f t="shared" si="19"/>
        <v>#VALUE!</v>
      </c>
      <c r="AS69" s="1546" t="e">
        <f t="shared" si="19"/>
        <v>#VALUE!</v>
      </c>
      <c r="AT69" s="1546" t="e">
        <f t="shared" si="19"/>
        <v>#VALUE!</v>
      </c>
      <c r="AU69" s="1546" t="e">
        <f t="shared" si="19"/>
        <v>#VALUE!</v>
      </c>
      <c r="AV69" s="1546" t="e">
        <f t="shared" si="19"/>
        <v>#VALUE!</v>
      </c>
      <c r="AW69" s="1546" t="e">
        <f t="shared" si="19"/>
        <v>#VALUE!</v>
      </c>
      <c r="AX69" s="1546" t="e">
        <f t="shared" si="19"/>
        <v>#VALUE!</v>
      </c>
      <c r="AY69" s="1546" t="e">
        <f t="shared" si="19"/>
        <v>#VALUE!</v>
      </c>
      <c r="AZ69" s="1546" t="e">
        <f t="shared" si="19"/>
        <v>#VALUE!</v>
      </c>
      <c r="BA69" s="1546" t="e">
        <f t="shared" si="19"/>
        <v>#VALUE!</v>
      </c>
      <c r="BB69" s="1546" t="e">
        <f t="shared" si="19"/>
        <v>#VALUE!</v>
      </c>
      <c r="BC69" s="1546" t="e">
        <f t="shared" si="19"/>
        <v>#VALUE!</v>
      </c>
      <c r="BD69" s="1546" t="e">
        <f t="shared" si="19"/>
        <v>#VALUE!</v>
      </c>
      <c r="BE69" s="1546" t="e">
        <f t="shared" si="19"/>
        <v>#VALUE!</v>
      </c>
      <c r="BF69" s="1546" t="e">
        <f t="shared" si="19"/>
        <v>#VALUE!</v>
      </c>
      <c r="BG69" s="1546" t="e">
        <f t="shared" si="19"/>
        <v>#VALUE!</v>
      </c>
      <c r="BH69" s="1546" t="e">
        <f t="shared" si="19"/>
        <v>#VALUE!</v>
      </c>
      <c r="BI69" s="1546" t="e">
        <f t="shared" si="19"/>
        <v>#VALUE!</v>
      </c>
      <c r="BJ69" s="1546" t="e">
        <f t="shared" si="19"/>
        <v>#VALUE!</v>
      </c>
      <c r="BK69" s="1546" t="e">
        <f t="shared" si="19"/>
        <v>#VALUE!</v>
      </c>
      <c r="BL69" s="1546" t="e">
        <f t="shared" si="19"/>
        <v>#VALUE!</v>
      </c>
      <c r="BM69" s="1546" t="e">
        <f t="shared" si="19"/>
        <v>#VALUE!</v>
      </c>
      <c r="BN69" s="1546" t="e">
        <f t="shared" si="19"/>
        <v>#VALUE!</v>
      </c>
      <c r="BO69" s="1546" t="e">
        <f t="shared" si="19"/>
        <v>#VALUE!</v>
      </c>
      <c r="BP69" s="1546" t="e">
        <f t="shared" si="19"/>
        <v>#VALUE!</v>
      </c>
      <c r="BQ69" s="1546" t="e">
        <f t="shared" si="19"/>
        <v>#VALUE!</v>
      </c>
      <c r="BR69" s="1546" t="e">
        <f t="shared" si="19"/>
        <v>#VALUE!</v>
      </c>
      <c r="BS69" s="1546" t="e">
        <f t="shared" si="19"/>
        <v>#VALUE!</v>
      </c>
      <c r="BT69" s="1547">
        <f t="shared" si="15"/>
        <v>0</v>
      </c>
      <c r="BU69" s="1478"/>
      <c r="BV69" s="1070"/>
      <c r="BW69" s="1526"/>
      <c r="BX69" s="1526"/>
    </row>
    <row r="70" spans="1:88" hidden="1" outlineLevel="1" x14ac:dyDescent="0.3">
      <c r="A70" s="1474"/>
      <c r="B70" s="1543" t="s">
        <v>1367</v>
      </c>
      <c r="C70" s="1491"/>
      <c r="D70" s="1352"/>
      <c r="E70" s="1267"/>
      <c r="F70" s="1493"/>
      <c r="G70" s="1545" t="e">
        <f>SUM(G67:G69)</f>
        <v>#VALUE!</v>
      </c>
      <c r="H70" s="1546" t="e">
        <f t="shared" ref="H70:AI70" si="20">SUM(H67:H69)</f>
        <v>#VALUE!</v>
      </c>
      <c r="I70" s="1546" t="e">
        <f t="shared" si="20"/>
        <v>#VALUE!</v>
      </c>
      <c r="J70" s="1546" t="e">
        <f t="shared" si="20"/>
        <v>#VALUE!</v>
      </c>
      <c r="K70" s="1546" t="e">
        <f t="shared" si="20"/>
        <v>#VALUE!</v>
      </c>
      <c r="L70" s="1546" t="e">
        <f t="shared" si="20"/>
        <v>#VALUE!</v>
      </c>
      <c r="M70" s="1546" t="e">
        <f t="shared" si="20"/>
        <v>#VALUE!</v>
      </c>
      <c r="N70" s="1546" t="e">
        <f t="shared" si="20"/>
        <v>#VALUE!</v>
      </c>
      <c r="O70" s="1546" t="e">
        <f t="shared" si="20"/>
        <v>#VALUE!</v>
      </c>
      <c r="P70" s="1546" t="e">
        <f t="shared" si="20"/>
        <v>#VALUE!</v>
      </c>
      <c r="Q70" s="1546" t="e">
        <f t="shared" si="20"/>
        <v>#VALUE!</v>
      </c>
      <c r="R70" s="1546" t="e">
        <f t="shared" si="20"/>
        <v>#VALUE!</v>
      </c>
      <c r="S70" s="1546" t="e">
        <f t="shared" si="20"/>
        <v>#VALUE!</v>
      </c>
      <c r="T70" s="1546" t="e">
        <f t="shared" si="20"/>
        <v>#VALUE!</v>
      </c>
      <c r="U70" s="1546" t="e">
        <f t="shared" si="20"/>
        <v>#VALUE!</v>
      </c>
      <c r="V70" s="1546" t="e">
        <f t="shared" si="20"/>
        <v>#VALUE!</v>
      </c>
      <c r="W70" s="1546" t="e">
        <f t="shared" si="20"/>
        <v>#VALUE!</v>
      </c>
      <c r="X70" s="1546" t="e">
        <f t="shared" si="20"/>
        <v>#VALUE!</v>
      </c>
      <c r="Y70" s="1546" t="e">
        <f t="shared" si="20"/>
        <v>#VALUE!</v>
      </c>
      <c r="Z70" s="1546" t="e">
        <f t="shared" si="20"/>
        <v>#VALUE!</v>
      </c>
      <c r="AA70" s="1546" t="e">
        <f t="shared" si="20"/>
        <v>#VALUE!</v>
      </c>
      <c r="AB70" s="1546" t="e">
        <f t="shared" si="20"/>
        <v>#VALUE!</v>
      </c>
      <c r="AC70" s="1546" t="e">
        <f t="shared" si="20"/>
        <v>#VALUE!</v>
      </c>
      <c r="AD70" s="1546" t="e">
        <f t="shared" si="20"/>
        <v>#VALUE!</v>
      </c>
      <c r="AE70" s="1546" t="e">
        <f t="shared" si="20"/>
        <v>#VALUE!</v>
      </c>
      <c r="AF70" s="1546" t="e">
        <f t="shared" si="20"/>
        <v>#VALUE!</v>
      </c>
      <c r="AG70" s="1546" t="e">
        <f t="shared" si="20"/>
        <v>#VALUE!</v>
      </c>
      <c r="AH70" s="1546" t="e">
        <f t="shared" si="20"/>
        <v>#VALUE!</v>
      </c>
      <c r="AI70" s="1546" t="e">
        <f t="shared" si="20"/>
        <v>#VALUE!</v>
      </c>
      <c r="AJ70" s="1549">
        <f t="shared" si="13"/>
        <v>0</v>
      </c>
      <c r="AK70" s="1116"/>
      <c r="AL70" s="1116"/>
      <c r="AM70" s="1116"/>
      <c r="AN70" s="1116"/>
      <c r="AO70" s="1207"/>
      <c r="AP70" s="1116"/>
      <c r="AQ70" s="1548" t="e">
        <f>SUM(AQ67:AQ69)</f>
        <v>#VALUE!</v>
      </c>
      <c r="AR70" s="1546" t="e">
        <f t="shared" ref="AR70:BS70" si="21">SUM(AR67:AR69)</f>
        <v>#VALUE!</v>
      </c>
      <c r="AS70" s="1546" t="e">
        <f t="shared" si="21"/>
        <v>#VALUE!</v>
      </c>
      <c r="AT70" s="1546" t="e">
        <f t="shared" si="21"/>
        <v>#VALUE!</v>
      </c>
      <c r="AU70" s="1546" t="e">
        <f t="shared" si="21"/>
        <v>#VALUE!</v>
      </c>
      <c r="AV70" s="1546" t="e">
        <f t="shared" si="21"/>
        <v>#VALUE!</v>
      </c>
      <c r="AW70" s="1546" t="e">
        <f t="shared" si="21"/>
        <v>#VALUE!</v>
      </c>
      <c r="AX70" s="1546" t="e">
        <f t="shared" si="21"/>
        <v>#VALUE!</v>
      </c>
      <c r="AY70" s="1546" t="e">
        <f t="shared" si="21"/>
        <v>#VALUE!</v>
      </c>
      <c r="AZ70" s="1546" t="e">
        <f t="shared" si="21"/>
        <v>#VALUE!</v>
      </c>
      <c r="BA70" s="1546" t="e">
        <f t="shared" si="21"/>
        <v>#VALUE!</v>
      </c>
      <c r="BB70" s="1546" t="e">
        <f t="shared" si="21"/>
        <v>#VALUE!</v>
      </c>
      <c r="BC70" s="1546" t="e">
        <f t="shared" si="21"/>
        <v>#VALUE!</v>
      </c>
      <c r="BD70" s="1546" t="e">
        <f t="shared" si="21"/>
        <v>#VALUE!</v>
      </c>
      <c r="BE70" s="1546" t="e">
        <f t="shared" si="21"/>
        <v>#VALUE!</v>
      </c>
      <c r="BF70" s="1546" t="e">
        <f t="shared" si="21"/>
        <v>#VALUE!</v>
      </c>
      <c r="BG70" s="1546" t="e">
        <f t="shared" si="21"/>
        <v>#VALUE!</v>
      </c>
      <c r="BH70" s="1546" t="e">
        <f t="shared" si="21"/>
        <v>#VALUE!</v>
      </c>
      <c r="BI70" s="1546" t="e">
        <f t="shared" si="21"/>
        <v>#VALUE!</v>
      </c>
      <c r="BJ70" s="1546" t="e">
        <f t="shared" si="21"/>
        <v>#VALUE!</v>
      </c>
      <c r="BK70" s="1546" t="e">
        <f t="shared" si="21"/>
        <v>#VALUE!</v>
      </c>
      <c r="BL70" s="1546" t="e">
        <f t="shared" si="21"/>
        <v>#VALUE!</v>
      </c>
      <c r="BM70" s="1546" t="e">
        <f t="shared" si="21"/>
        <v>#VALUE!</v>
      </c>
      <c r="BN70" s="1546" t="e">
        <f t="shared" si="21"/>
        <v>#VALUE!</v>
      </c>
      <c r="BO70" s="1546" t="e">
        <f t="shared" si="21"/>
        <v>#VALUE!</v>
      </c>
      <c r="BP70" s="1546" t="e">
        <f t="shared" si="21"/>
        <v>#VALUE!</v>
      </c>
      <c r="BQ70" s="1546" t="e">
        <f t="shared" si="21"/>
        <v>#VALUE!</v>
      </c>
      <c r="BR70" s="1546" t="e">
        <f t="shared" si="21"/>
        <v>#VALUE!</v>
      </c>
      <c r="BS70" s="1546" t="e">
        <f t="shared" si="21"/>
        <v>#VALUE!</v>
      </c>
      <c r="BT70" s="1549">
        <f t="shared" si="15"/>
        <v>0</v>
      </c>
      <c r="BU70" s="1550"/>
      <c r="BV70" s="1551"/>
      <c r="BW70" s="1552"/>
      <c r="BX70" s="1552"/>
      <c r="BY70" s="1236"/>
      <c r="BZ70" s="1236"/>
      <c r="CA70" s="1236"/>
    </row>
    <row r="71" spans="1:88" hidden="1" outlineLevel="1" x14ac:dyDescent="0.3">
      <c r="A71" s="1474"/>
      <c r="B71" s="1543" t="s">
        <v>1368</v>
      </c>
      <c r="C71" s="1491"/>
      <c r="D71" s="1352"/>
      <c r="E71" s="1267"/>
      <c r="F71" s="1553"/>
      <c r="G71" s="1546" t="e">
        <f t="shared" ref="G71:K71" si="22">IF($P$96="Delay",G107-G106,G116-G115)</f>
        <v>#VALUE!</v>
      </c>
      <c r="H71" s="1546" t="e">
        <f t="shared" si="22"/>
        <v>#VALUE!</v>
      </c>
      <c r="I71" s="1546" t="e">
        <f t="shared" si="22"/>
        <v>#VALUE!</v>
      </c>
      <c r="J71" s="1546" t="e">
        <f t="shared" si="22"/>
        <v>#VALUE!</v>
      </c>
      <c r="K71" s="1546" t="e">
        <f t="shared" si="22"/>
        <v>#VALUE!</v>
      </c>
      <c r="L71" s="1546" t="e">
        <f>IF($P$96="Delay",L107-L106,L116-L115)</f>
        <v>#VALUE!</v>
      </c>
      <c r="M71" s="1546" t="e">
        <f t="shared" ref="M71:AI71" si="23">IF($P$96="Delay",M107-M106,M116-M115)</f>
        <v>#VALUE!</v>
      </c>
      <c r="N71" s="1546" t="e">
        <f t="shared" si="23"/>
        <v>#VALUE!</v>
      </c>
      <c r="O71" s="1546" t="e">
        <f t="shared" si="23"/>
        <v>#VALUE!</v>
      </c>
      <c r="P71" s="1546" t="e">
        <f t="shared" si="23"/>
        <v>#VALUE!</v>
      </c>
      <c r="Q71" s="1546" t="e">
        <f t="shared" si="23"/>
        <v>#VALUE!</v>
      </c>
      <c r="R71" s="1546" t="e">
        <f t="shared" si="23"/>
        <v>#VALUE!</v>
      </c>
      <c r="S71" s="1546" t="e">
        <f t="shared" si="23"/>
        <v>#VALUE!</v>
      </c>
      <c r="T71" s="1546" t="e">
        <f t="shared" si="23"/>
        <v>#VALUE!</v>
      </c>
      <c r="U71" s="1546" t="e">
        <f t="shared" si="23"/>
        <v>#VALUE!</v>
      </c>
      <c r="V71" s="1546" t="e">
        <f t="shared" si="23"/>
        <v>#VALUE!</v>
      </c>
      <c r="W71" s="1546" t="e">
        <f t="shared" si="23"/>
        <v>#VALUE!</v>
      </c>
      <c r="X71" s="1546" t="e">
        <f t="shared" si="23"/>
        <v>#VALUE!</v>
      </c>
      <c r="Y71" s="1546" t="e">
        <f t="shared" si="23"/>
        <v>#VALUE!</v>
      </c>
      <c r="Z71" s="1546" t="e">
        <f t="shared" si="23"/>
        <v>#VALUE!</v>
      </c>
      <c r="AA71" s="1546" t="e">
        <f t="shared" si="23"/>
        <v>#VALUE!</v>
      </c>
      <c r="AB71" s="1546" t="e">
        <f t="shared" si="23"/>
        <v>#VALUE!</v>
      </c>
      <c r="AC71" s="1546" t="e">
        <f t="shared" si="23"/>
        <v>#VALUE!</v>
      </c>
      <c r="AD71" s="1546" t="e">
        <f t="shared" si="23"/>
        <v>#VALUE!</v>
      </c>
      <c r="AE71" s="1546" t="e">
        <f t="shared" si="23"/>
        <v>#VALUE!</v>
      </c>
      <c r="AF71" s="1546" t="e">
        <f t="shared" si="23"/>
        <v>#VALUE!</v>
      </c>
      <c r="AG71" s="1546" t="e">
        <f t="shared" si="23"/>
        <v>#VALUE!</v>
      </c>
      <c r="AH71" s="1546" t="e">
        <f t="shared" si="23"/>
        <v>#VALUE!</v>
      </c>
      <c r="AI71" s="1546" t="e">
        <f t="shared" si="23"/>
        <v>#VALUE!</v>
      </c>
      <c r="AJ71" s="1547">
        <f t="shared" si="13"/>
        <v>0</v>
      </c>
      <c r="AK71" s="1116"/>
      <c r="AL71" s="1116"/>
      <c r="AM71" s="1116"/>
      <c r="AN71" s="1116"/>
      <c r="AO71" s="1207"/>
      <c r="AP71" s="1116"/>
      <c r="AQ71" s="1548" t="e">
        <f>IF($AZ$96="Delay",AQ107-AQ106,AQ116-AQ115)</f>
        <v>#VALUE!</v>
      </c>
      <c r="AR71" s="1546" t="e">
        <f t="shared" ref="AR71:BS71" si="24">IF($AZ$96="Delay",AR107-AR106,AR116-AR115)</f>
        <v>#VALUE!</v>
      </c>
      <c r="AS71" s="1546" t="e">
        <f t="shared" si="24"/>
        <v>#VALUE!</v>
      </c>
      <c r="AT71" s="1546" t="e">
        <f t="shared" si="24"/>
        <v>#VALUE!</v>
      </c>
      <c r="AU71" s="1546" t="e">
        <f t="shared" si="24"/>
        <v>#VALUE!</v>
      </c>
      <c r="AV71" s="1546" t="e">
        <f t="shared" si="24"/>
        <v>#VALUE!</v>
      </c>
      <c r="AW71" s="1546" t="e">
        <f t="shared" si="24"/>
        <v>#VALUE!</v>
      </c>
      <c r="AX71" s="1546" t="e">
        <f t="shared" si="24"/>
        <v>#VALUE!</v>
      </c>
      <c r="AY71" s="1546" t="e">
        <f t="shared" si="24"/>
        <v>#VALUE!</v>
      </c>
      <c r="AZ71" s="1546" t="e">
        <f t="shared" si="24"/>
        <v>#VALUE!</v>
      </c>
      <c r="BA71" s="1546" t="e">
        <f t="shared" si="24"/>
        <v>#VALUE!</v>
      </c>
      <c r="BB71" s="1546" t="e">
        <f t="shared" si="24"/>
        <v>#VALUE!</v>
      </c>
      <c r="BC71" s="1546" t="e">
        <f t="shared" si="24"/>
        <v>#VALUE!</v>
      </c>
      <c r="BD71" s="1546" t="e">
        <f t="shared" si="24"/>
        <v>#VALUE!</v>
      </c>
      <c r="BE71" s="1546" t="e">
        <f t="shared" si="24"/>
        <v>#VALUE!</v>
      </c>
      <c r="BF71" s="1546" t="e">
        <f t="shared" si="24"/>
        <v>#VALUE!</v>
      </c>
      <c r="BG71" s="1546" t="e">
        <f t="shared" si="24"/>
        <v>#VALUE!</v>
      </c>
      <c r="BH71" s="1546" t="e">
        <f t="shared" si="24"/>
        <v>#VALUE!</v>
      </c>
      <c r="BI71" s="1546" t="e">
        <f t="shared" si="24"/>
        <v>#VALUE!</v>
      </c>
      <c r="BJ71" s="1546" t="e">
        <f t="shared" si="24"/>
        <v>#VALUE!</v>
      </c>
      <c r="BK71" s="1546" t="e">
        <f t="shared" si="24"/>
        <v>#VALUE!</v>
      </c>
      <c r="BL71" s="1546" t="e">
        <f t="shared" si="24"/>
        <v>#VALUE!</v>
      </c>
      <c r="BM71" s="1546" t="e">
        <f t="shared" si="24"/>
        <v>#VALUE!</v>
      </c>
      <c r="BN71" s="1546" t="e">
        <f t="shared" si="24"/>
        <v>#VALUE!</v>
      </c>
      <c r="BO71" s="1546" t="e">
        <f t="shared" si="24"/>
        <v>#VALUE!</v>
      </c>
      <c r="BP71" s="1546" t="e">
        <f t="shared" si="24"/>
        <v>#VALUE!</v>
      </c>
      <c r="BQ71" s="1546" t="e">
        <f t="shared" si="24"/>
        <v>#VALUE!</v>
      </c>
      <c r="BR71" s="1546" t="e">
        <f t="shared" si="24"/>
        <v>#VALUE!</v>
      </c>
      <c r="BS71" s="1546" t="e">
        <f t="shared" si="24"/>
        <v>#VALUE!</v>
      </c>
      <c r="BT71" s="1547">
        <f t="shared" si="15"/>
        <v>0</v>
      </c>
      <c r="BU71" s="1550"/>
      <c r="BV71" s="1082"/>
      <c r="BW71" s="1552"/>
      <c r="BX71" s="1552"/>
      <c r="BY71" s="1236"/>
      <c r="BZ71" s="1236"/>
      <c r="CA71" s="1236"/>
    </row>
    <row r="72" spans="1:88" hidden="1" outlineLevel="1" x14ac:dyDescent="0.3">
      <c r="A72" s="1474"/>
      <c r="B72" s="1543" t="s">
        <v>1369</v>
      </c>
      <c r="C72" s="1491"/>
      <c r="D72" s="1352"/>
      <c r="E72" s="1267"/>
      <c r="F72" s="1493"/>
      <c r="G72" s="1545" t="e">
        <f t="shared" ref="G72:AI72" si="25">(G121/(1+DiscR)^G$82)-(G122/(1+DiscR)^G$82)-G71</f>
        <v>#VALUE!</v>
      </c>
      <c r="H72" s="1546" t="e">
        <f t="shared" si="25"/>
        <v>#VALUE!</v>
      </c>
      <c r="I72" s="1546" t="e">
        <f t="shared" si="25"/>
        <v>#VALUE!</v>
      </c>
      <c r="J72" s="1546" t="e">
        <f t="shared" si="25"/>
        <v>#VALUE!</v>
      </c>
      <c r="K72" s="1546" t="e">
        <f t="shared" si="25"/>
        <v>#VALUE!</v>
      </c>
      <c r="L72" s="1546" t="e">
        <f t="shared" si="25"/>
        <v>#VALUE!</v>
      </c>
      <c r="M72" s="1546" t="e">
        <f t="shared" si="25"/>
        <v>#VALUE!</v>
      </c>
      <c r="N72" s="1546" t="e">
        <f t="shared" si="25"/>
        <v>#VALUE!</v>
      </c>
      <c r="O72" s="1546" t="e">
        <f t="shared" si="25"/>
        <v>#VALUE!</v>
      </c>
      <c r="P72" s="1546" t="e">
        <f t="shared" si="25"/>
        <v>#VALUE!</v>
      </c>
      <c r="Q72" s="1546" t="e">
        <f t="shared" si="25"/>
        <v>#VALUE!</v>
      </c>
      <c r="R72" s="1546" t="e">
        <f t="shared" si="25"/>
        <v>#VALUE!</v>
      </c>
      <c r="S72" s="1546" t="e">
        <f t="shared" si="25"/>
        <v>#VALUE!</v>
      </c>
      <c r="T72" s="1546" t="e">
        <f t="shared" si="25"/>
        <v>#VALUE!</v>
      </c>
      <c r="U72" s="1546" t="e">
        <f t="shared" si="25"/>
        <v>#VALUE!</v>
      </c>
      <c r="V72" s="1546" t="e">
        <f t="shared" si="25"/>
        <v>#VALUE!</v>
      </c>
      <c r="W72" s="1546" t="e">
        <f t="shared" si="25"/>
        <v>#VALUE!</v>
      </c>
      <c r="X72" s="1546" t="e">
        <f t="shared" si="25"/>
        <v>#VALUE!</v>
      </c>
      <c r="Y72" s="1546" t="e">
        <f t="shared" si="25"/>
        <v>#VALUE!</v>
      </c>
      <c r="Z72" s="1546" t="e">
        <f t="shared" si="25"/>
        <v>#VALUE!</v>
      </c>
      <c r="AA72" s="1546" t="e">
        <f t="shared" si="25"/>
        <v>#VALUE!</v>
      </c>
      <c r="AB72" s="1546" t="e">
        <f t="shared" si="25"/>
        <v>#VALUE!</v>
      </c>
      <c r="AC72" s="1546" t="e">
        <f t="shared" si="25"/>
        <v>#VALUE!</v>
      </c>
      <c r="AD72" s="1546" t="e">
        <f t="shared" si="25"/>
        <v>#VALUE!</v>
      </c>
      <c r="AE72" s="1546" t="e">
        <f t="shared" si="25"/>
        <v>#VALUE!</v>
      </c>
      <c r="AF72" s="1546" t="e">
        <f t="shared" si="25"/>
        <v>#VALUE!</v>
      </c>
      <c r="AG72" s="1546" t="e">
        <f t="shared" si="25"/>
        <v>#VALUE!</v>
      </c>
      <c r="AH72" s="1546" t="e">
        <f t="shared" si="25"/>
        <v>#VALUE!</v>
      </c>
      <c r="AI72" s="1546" t="e">
        <f t="shared" si="25"/>
        <v>#VALUE!</v>
      </c>
      <c r="AJ72" s="1547">
        <f t="shared" si="13"/>
        <v>0</v>
      </c>
      <c r="AK72" s="1116"/>
      <c r="AL72" s="1116"/>
      <c r="AM72" s="1116"/>
      <c r="AN72" s="1116"/>
      <c r="AO72" s="1207"/>
      <c r="AP72" s="1116"/>
      <c r="AQ72" s="1548" t="e">
        <f t="shared" ref="AQ72:BS72" si="26">(AQ121/(1+DiscR)^AQ$82)-(AQ122/(1+DiscR)^AQ$82)-AQ71</f>
        <v>#VALUE!</v>
      </c>
      <c r="AR72" s="1546" t="e">
        <f t="shared" si="26"/>
        <v>#VALUE!</v>
      </c>
      <c r="AS72" s="1546" t="e">
        <f t="shared" si="26"/>
        <v>#VALUE!</v>
      </c>
      <c r="AT72" s="1546" t="e">
        <f t="shared" si="26"/>
        <v>#VALUE!</v>
      </c>
      <c r="AU72" s="1546" t="e">
        <f t="shared" si="26"/>
        <v>#VALUE!</v>
      </c>
      <c r="AV72" s="1546" t="e">
        <f t="shared" si="26"/>
        <v>#VALUE!</v>
      </c>
      <c r="AW72" s="1546" t="e">
        <f t="shared" si="26"/>
        <v>#VALUE!</v>
      </c>
      <c r="AX72" s="1546" t="e">
        <f t="shared" si="26"/>
        <v>#VALUE!</v>
      </c>
      <c r="AY72" s="1546" t="e">
        <f t="shared" si="26"/>
        <v>#VALUE!</v>
      </c>
      <c r="AZ72" s="1546" t="e">
        <f t="shared" si="26"/>
        <v>#VALUE!</v>
      </c>
      <c r="BA72" s="1546" t="e">
        <f t="shared" si="26"/>
        <v>#VALUE!</v>
      </c>
      <c r="BB72" s="1546" t="e">
        <f t="shared" si="26"/>
        <v>#VALUE!</v>
      </c>
      <c r="BC72" s="1546" t="e">
        <f t="shared" si="26"/>
        <v>#VALUE!</v>
      </c>
      <c r="BD72" s="1546" t="e">
        <f t="shared" si="26"/>
        <v>#VALUE!</v>
      </c>
      <c r="BE72" s="1546" t="e">
        <f t="shared" si="26"/>
        <v>#VALUE!</v>
      </c>
      <c r="BF72" s="1546" t="e">
        <f t="shared" si="26"/>
        <v>#VALUE!</v>
      </c>
      <c r="BG72" s="1546" t="e">
        <f t="shared" si="26"/>
        <v>#VALUE!</v>
      </c>
      <c r="BH72" s="1546" t="e">
        <f t="shared" si="26"/>
        <v>#VALUE!</v>
      </c>
      <c r="BI72" s="1546" t="e">
        <f t="shared" si="26"/>
        <v>#VALUE!</v>
      </c>
      <c r="BJ72" s="1546" t="e">
        <f t="shared" si="26"/>
        <v>#VALUE!</v>
      </c>
      <c r="BK72" s="1546" t="e">
        <f t="shared" si="26"/>
        <v>#VALUE!</v>
      </c>
      <c r="BL72" s="1546" t="e">
        <f t="shared" si="26"/>
        <v>#VALUE!</v>
      </c>
      <c r="BM72" s="1546" t="e">
        <f t="shared" si="26"/>
        <v>#VALUE!</v>
      </c>
      <c r="BN72" s="1546" t="e">
        <f t="shared" si="26"/>
        <v>#VALUE!</v>
      </c>
      <c r="BO72" s="1546" t="e">
        <f t="shared" si="26"/>
        <v>#VALUE!</v>
      </c>
      <c r="BP72" s="1546" t="e">
        <f t="shared" si="26"/>
        <v>#VALUE!</v>
      </c>
      <c r="BQ72" s="1546" t="e">
        <f t="shared" si="26"/>
        <v>#VALUE!</v>
      </c>
      <c r="BR72" s="1546" t="e">
        <f t="shared" si="26"/>
        <v>#VALUE!</v>
      </c>
      <c r="BS72" s="1546" t="e">
        <f t="shared" si="26"/>
        <v>#VALUE!</v>
      </c>
      <c r="BT72" s="1547">
        <f t="shared" si="15"/>
        <v>0</v>
      </c>
      <c r="BU72" s="1550"/>
      <c r="BV72" s="1082"/>
      <c r="BW72" s="1552"/>
      <c r="BX72" s="1552"/>
      <c r="BY72" s="1236"/>
      <c r="BZ72" s="1236"/>
      <c r="CA72" s="1236"/>
    </row>
    <row r="73" spans="1:88" hidden="1" outlineLevel="1" x14ac:dyDescent="0.3">
      <c r="A73" s="1474"/>
      <c r="B73" s="1543" t="s">
        <v>1370</v>
      </c>
      <c r="C73" s="1491"/>
      <c r="D73" s="1352"/>
      <c r="E73" s="1267"/>
      <c r="F73" s="1531"/>
      <c r="G73" s="1545" t="e">
        <f t="shared" ref="G73:AI73" si="27">(G125/(1+DiscR)^G$82)-(G126/(1+DiscR)^G$82)</f>
        <v>#VALUE!</v>
      </c>
      <c r="H73" s="1546" t="e">
        <f t="shared" si="27"/>
        <v>#VALUE!</v>
      </c>
      <c r="I73" s="1546" t="e">
        <f t="shared" si="27"/>
        <v>#VALUE!</v>
      </c>
      <c r="J73" s="1546" t="e">
        <f t="shared" si="27"/>
        <v>#VALUE!</v>
      </c>
      <c r="K73" s="1546" t="e">
        <f t="shared" si="27"/>
        <v>#VALUE!</v>
      </c>
      <c r="L73" s="1546" t="e">
        <f t="shared" si="27"/>
        <v>#VALUE!</v>
      </c>
      <c r="M73" s="1546" t="e">
        <f t="shared" si="27"/>
        <v>#VALUE!</v>
      </c>
      <c r="N73" s="1546" t="e">
        <f t="shared" si="27"/>
        <v>#VALUE!</v>
      </c>
      <c r="O73" s="1546" t="e">
        <f t="shared" si="27"/>
        <v>#VALUE!</v>
      </c>
      <c r="P73" s="1546" t="e">
        <f t="shared" si="27"/>
        <v>#VALUE!</v>
      </c>
      <c r="Q73" s="1546" t="e">
        <f t="shared" si="27"/>
        <v>#VALUE!</v>
      </c>
      <c r="R73" s="1546" t="e">
        <f t="shared" si="27"/>
        <v>#VALUE!</v>
      </c>
      <c r="S73" s="1546" t="e">
        <f t="shared" si="27"/>
        <v>#VALUE!</v>
      </c>
      <c r="T73" s="1546" t="e">
        <f t="shared" si="27"/>
        <v>#VALUE!</v>
      </c>
      <c r="U73" s="1546" t="e">
        <f t="shared" si="27"/>
        <v>#VALUE!</v>
      </c>
      <c r="V73" s="1546" t="e">
        <f t="shared" si="27"/>
        <v>#VALUE!</v>
      </c>
      <c r="W73" s="1546" t="e">
        <f t="shared" si="27"/>
        <v>#VALUE!</v>
      </c>
      <c r="X73" s="1546" t="e">
        <f t="shared" si="27"/>
        <v>#VALUE!</v>
      </c>
      <c r="Y73" s="1546" t="e">
        <f t="shared" si="27"/>
        <v>#VALUE!</v>
      </c>
      <c r="Z73" s="1546" t="e">
        <f t="shared" si="27"/>
        <v>#VALUE!</v>
      </c>
      <c r="AA73" s="1546" t="e">
        <f t="shared" si="27"/>
        <v>#VALUE!</v>
      </c>
      <c r="AB73" s="1546" t="e">
        <f t="shared" si="27"/>
        <v>#VALUE!</v>
      </c>
      <c r="AC73" s="1546" t="e">
        <f t="shared" si="27"/>
        <v>#VALUE!</v>
      </c>
      <c r="AD73" s="1546" t="e">
        <f t="shared" si="27"/>
        <v>#VALUE!</v>
      </c>
      <c r="AE73" s="1546" t="e">
        <f t="shared" si="27"/>
        <v>#VALUE!</v>
      </c>
      <c r="AF73" s="1546" t="e">
        <f t="shared" si="27"/>
        <v>#VALUE!</v>
      </c>
      <c r="AG73" s="1546" t="e">
        <f t="shared" si="27"/>
        <v>#VALUE!</v>
      </c>
      <c r="AH73" s="1546" t="e">
        <f t="shared" si="27"/>
        <v>#VALUE!</v>
      </c>
      <c r="AI73" s="1546" t="e">
        <f t="shared" si="27"/>
        <v>#VALUE!</v>
      </c>
      <c r="AJ73" s="1547">
        <f t="shared" si="13"/>
        <v>0</v>
      </c>
      <c r="AK73" s="1116"/>
      <c r="AL73" s="1116"/>
      <c r="AM73" s="1116"/>
      <c r="AN73" s="1116"/>
      <c r="AO73" s="1207"/>
      <c r="AP73" s="1116"/>
      <c r="AQ73" s="1548" t="e">
        <f t="shared" ref="AQ73:BS73" si="28">(AQ125/(1+DiscR)^AQ$82)-(AQ126/(1+DiscR)^AQ$82)</f>
        <v>#VALUE!</v>
      </c>
      <c r="AR73" s="1546" t="e">
        <f t="shared" si="28"/>
        <v>#VALUE!</v>
      </c>
      <c r="AS73" s="1546" t="e">
        <f t="shared" si="28"/>
        <v>#VALUE!</v>
      </c>
      <c r="AT73" s="1546" t="e">
        <f t="shared" si="28"/>
        <v>#VALUE!</v>
      </c>
      <c r="AU73" s="1546" t="e">
        <f t="shared" si="28"/>
        <v>#VALUE!</v>
      </c>
      <c r="AV73" s="1546" t="e">
        <f t="shared" si="28"/>
        <v>#VALUE!</v>
      </c>
      <c r="AW73" s="1546" t="e">
        <f t="shared" si="28"/>
        <v>#VALUE!</v>
      </c>
      <c r="AX73" s="1546" t="e">
        <f t="shared" si="28"/>
        <v>#VALUE!</v>
      </c>
      <c r="AY73" s="1546" t="e">
        <f t="shared" si="28"/>
        <v>#VALUE!</v>
      </c>
      <c r="AZ73" s="1546" t="e">
        <f t="shared" si="28"/>
        <v>#VALUE!</v>
      </c>
      <c r="BA73" s="1546" t="e">
        <f t="shared" si="28"/>
        <v>#VALUE!</v>
      </c>
      <c r="BB73" s="1546" t="e">
        <f t="shared" si="28"/>
        <v>#VALUE!</v>
      </c>
      <c r="BC73" s="1546" t="e">
        <f t="shared" si="28"/>
        <v>#VALUE!</v>
      </c>
      <c r="BD73" s="1546" t="e">
        <f t="shared" si="28"/>
        <v>#VALUE!</v>
      </c>
      <c r="BE73" s="1546" t="e">
        <f t="shared" si="28"/>
        <v>#VALUE!</v>
      </c>
      <c r="BF73" s="1546" t="e">
        <f t="shared" si="28"/>
        <v>#VALUE!</v>
      </c>
      <c r="BG73" s="1546" t="e">
        <f t="shared" si="28"/>
        <v>#VALUE!</v>
      </c>
      <c r="BH73" s="1546" t="e">
        <f t="shared" si="28"/>
        <v>#VALUE!</v>
      </c>
      <c r="BI73" s="1546" t="e">
        <f t="shared" si="28"/>
        <v>#VALUE!</v>
      </c>
      <c r="BJ73" s="1546" t="e">
        <f t="shared" si="28"/>
        <v>#VALUE!</v>
      </c>
      <c r="BK73" s="1546" t="e">
        <f t="shared" si="28"/>
        <v>#VALUE!</v>
      </c>
      <c r="BL73" s="1546" t="e">
        <f t="shared" si="28"/>
        <v>#VALUE!</v>
      </c>
      <c r="BM73" s="1546" t="e">
        <f t="shared" si="28"/>
        <v>#VALUE!</v>
      </c>
      <c r="BN73" s="1546" t="e">
        <f t="shared" si="28"/>
        <v>#VALUE!</v>
      </c>
      <c r="BO73" s="1546" t="e">
        <f t="shared" si="28"/>
        <v>#VALUE!</v>
      </c>
      <c r="BP73" s="1546" t="e">
        <f t="shared" si="28"/>
        <v>#VALUE!</v>
      </c>
      <c r="BQ73" s="1546" t="e">
        <f t="shared" si="28"/>
        <v>#VALUE!</v>
      </c>
      <c r="BR73" s="1546" t="e">
        <f t="shared" si="28"/>
        <v>#VALUE!</v>
      </c>
      <c r="BS73" s="1546" t="e">
        <f t="shared" si="28"/>
        <v>#VALUE!</v>
      </c>
      <c r="BT73" s="1547">
        <f t="shared" si="15"/>
        <v>0</v>
      </c>
      <c r="BU73" s="1554"/>
      <c r="BV73" s="1082"/>
      <c r="BW73" s="1552"/>
      <c r="BX73" s="1552"/>
      <c r="BY73" s="1236"/>
      <c r="BZ73" s="1236"/>
      <c r="CA73" s="1236"/>
    </row>
    <row r="74" spans="1:88" hidden="1" outlineLevel="1" x14ac:dyDescent="0.3">
      <c r="A74" s="1474"/>
      <c r="B74" s="1543" t="s">
        <v>1371</v>
      </c>
      <c r="C74" s="1491"/>
      <c r="D74" s="1352"/>
      <c r="E74" s="1267"/>
      <c r="F74" s="1531"/>
      <c r="G74" s="1545"/>
      <c r="H74" s="1546"/>
      <c r="I74" s="1546"/>
      <c r="J74" s="1546"/>
      <c r="K74" s="1546"/>
      <c r="L74" s="1546"/>
      <c r="M74" s="1546"/>
      <c r="N74" s="1546"/>
      <c r="O74" s="1546"/>
      <c r="P74" s="1546"/>
      <c r="Q74" s="1546"/>
      <c r="R74" s="1546"/>
      <c r="S74" s="1546"/>
      <c r="T74" s="1546"/>
      <c r="U74" s="1546"/>
      <c r="V74" s="1546"/>
      <c r="W74" s="1546"/>
      <c r="X74" s="1546"/>
      <c r="Y74" s="1546"/>
      <c r="Z74" s="1546"/>
      <c r="AA74" s="1546"/>
      <c r="AB74" s="1546"/>
      <c r="AC74" s="1546"/>
      <c r="AD74" s="1546"/>
      <c r="AE74" s="1546"/>
      <c r="AF74" s="1546"/>
      <c r="AG74" s="1546"/>
      <c r="AH74" s="1546"/>
      <c r="AI74" s="1546"/>
      <c r="AJ74" s="1549">
        <f>AJ77-AJ76</f>
        <v>-85524.122620563678</v>
      </c>
      <c r="AK74" s="1555"/>
      <c r="AL74" s="1116"/>
      <c r="AM74" s="1142"/>
      <c r="AN74" s="1116"/>
      <c r="AO74" s="1149"/>
      <c r="AP74" s="1142"/>
      <c r="AQ74" s="1548"/>
      <c r="AR74" s="1546"/>
      <c r="AS74" s="1546"/>
      <c r="AT74" s="1546"/>
      <c r="AU74" s="1546"/>
      <c r="AV74" s="1546"/>
      <c r="AW74" s="1546"/>
      <c r="AX74" s="1546"/>
      <c r="AY74" s="1546"/>
      <c r="AZ74" s="1546"/>
      <c r="BA74" s="1546"/>
      <c r="BB74" s="1546"/>
      <c r="BC74" s="1546"/>
      <c r="BD74" s="1546"/>
      <c r="BE74" s="1546"/>
      <c r="BF74" s="1546"/>
      <c r="BG74" s="1546"/>
      <c r="BH74" s="1546"/>
      <c r="BI74" s="1546"/>
      <c r="BJ74" s="1546"/>
      <c r="BK74" s="1546"/>
      <c r="BL74" s="1546"/>
      <c r="BM74" s="1546"/>
      <c r="BN74" s="1546"/>
      <c r="BO74" s="1546"/>
      <c r="BP74" s="1546"/>
      <c r="BQ74" s="1546"/>
      <c r="BR74" s="1546"/>
      <c r="BS74" s="1546"/>
      <c r="BT74" s="1549">
        <f>BT77-BT76</f>
        <v>-437531.67157120176</v>
      </c>
      <c r="BU74" s="1550"/>
      <c r="BV74" s="1082"/>
      <c r="BW74" s="1552"/>
      <c r="BX74" s="1552"/>
      <c r="BY74" s="1236"/>
      <c r="BZ74" s="1236"/>
      <c r="CA74" s="1236"/>
    </row>
    <row r="75" spans="1:88" hidden="1" outlineLevel="1" x14ac:dyDescent="0.3">
      <c r="A75" s="1474"/>
      <c r="B75" s="1543" t="s">
        <v>415</v>
      </c>
      <c r="C75" s="1491"/>
      <c r="D75" s="1352"/>
      <c r="E75" s="1267"/>
      <c r="F75" s="1493"/>
      <c r="G75" s="1545"/>
      <c r="H75" s="1556"/>
      <c r="I75" s="1556"/>
      <c r="J75" s="1556"/>
      <c r="K75" s="1556"/>
      <c r="L75" s="1556"/>
      <c r="M75" s="1556"/>
      <c r="N75" s="1556"/>
      <c r="O75" s="1556"/>
      <c r="P75" s="1556"/>
      <c r="Q75" s="1556"/>
      <c r="R75" s="1556"/>
      <c r="S75" s="1556"/>
      <c r="T75" s="1556"/>
      <c r="U75" s="1556"/>
      <c r="V75" s="1556"/>
      <c r="W75" s="1556"/>
      <c r="X75" s="1556"/>
      <c r="Y75" s="1556"/>
      <c r="Z75" s="1556"/>
      <c r="AA75" s="1556"/>
      <c r="AB75" s="1556"/>
      <c r="AC75" s="1556"/>
      <c r="AD75" s="1556"/>
      <c r="AE75" s="1556"/>
      <c r="AF75" s="1556"/>
      <c r="AG75" s="1556"/>
      <c r="AH75" s="1556"/>
      <c r="AI75" s="1556"/>
      <c r="AJ75" s="1547">
        <f>(R38-BD38)-(SUM(AJ70:AJ73)+AJ74)</f>
        <v>107278.90231137394</v>
      </c>
      <c r="AK75" s="1116"/>
      <c r="AL75" s="1116"/>
      <c r="AM75" s="1142"/>
      <c r="AN75" s="1116"/>
      <c r="AO75" s="1149"/>
      <c r="AP75" s="1142"/>
      <c r="AQ75" s="1548"/>
      <c r="AR75" s="1556"/>
      <c r="AS75" s="1556"/>
      <c r="AT75" s="1556"/>
      <c r="AU75" s="1556"/>
      <c r="AV75" s="1556"/>
      <c r="AW75" s="1556"/>
      <c r="AX75" s="1556"/>
      <c r="AY75" s="1556"/>
      <c r="AZ75" s="1556"/>
      <c r="BA75" s="1556"/>
      <c r="BB75" s="1556"/>
      <c r="BC75" s="1556"/>
      <c r="BD75" s="1556"/>
      <c r="BE75" s="1556"/>
      <c r="BF75" s="1556"/>
      <c r="BG75" s="1556"/>
      <c r="BH75" s="1556"/>
      <c r="BI75" s="1556"/>
      <c r="BJ75" s="1556"/>
      <c r="BK75" s="1556"/>
      <c r="BL75" s="1556"/>
      <c r="BM75" s="1556"/>
      <c r="BN75" s="1556"/>
      <c r="BO75" s="1556"/>
      <c r="BP75" s="1556"/>
      <c r="BQ75" s="1556"/>
      <c r="BR75" s="1556"/>
      <c r="BS75" s="1556"/>
      <c r="BT75" s="1547">
        <f>(V38-BI38)-(SUM(BT70:BT73)+BT74)</f>
        <v>539214.89360557648</v>
      </c>
      <c r="BU75" s="1550"/>
      <c r="BV75" s="1082"/>
      <c r="BW75" s="1552"/>
      <c r="BX75" s="1552"/>
      <c r="BY75" s="1236"/>
      <c r="BZ75" s="1236"/>
      <c r="CA75" s="1236"/>
    </row>
    <row r="76" spans="1:88" hidden="1" outlineLevel="1" x14ac:dyDescent="0.3">
      <c r="A76" s="1474"/>
      <c r="B76" s="1434" t="s">
        <v>1372</v>
      </c>
      <c r="C76" s="1232"/>
      <c r="D76" s="1232"/>
      <c r="E76" s="1232"/>
      <c r="F76" s="1557"/>
      <c r="G76" s="1558"/>
      <c r="H76" s="1559"/>
      <c r="I76" s="1559"/>
      <c r="J76" s="1559"/>
      <c r="K76" s="1559"/>
      <c r="L76" s="1559"/>
      <c r="M76" s="1559"/>
      <c r="N76" s="1559"/>
      <c r="O76" s="1559"/>
      <c r="P76" s="1559"/>
      <c r="Q76" s="1559"/>
      <c r="R76" s="1559"/>
      <c r="S76" s="1559"/>
      <c r="T76" s="1559"/>
      <c r="U76" s="1559"/>
      <c r="V76" s="1559"/>
      <c r="W76" s="1559"/>
      <c r="X76" s="1559"/>
      <c r="Y76" s="1559"/>
      <c r="Z76" s="1559"/>
      <c r="AA76" s="1559"/>
      <c r="AB76" s="1559"/>
      <c r="AC76" s="1559"/>
      <c r="AD76" s="1559"/>
      <c r="AE76" s="1559"/>
      <c r="AF76" s="1559"/>
      <c r="AG76" s="1559"/>
      <c r="AH76" s="1559"/>
      <c r="AI76" s="1559"/>
      <c r="AJ76" s="1560">
        <f>VLOOKUP(CurrentFY,$AK$83:$AM$95,2,0)</f>
        <v>107278.90231137394</v>
      </c>
      <c r="AK76" s="1116"/>
      <c r="AL76" s="1116"/>
      <c r="AM76" s="1142"/>
      <c r="AN76" s="1116"/>
      <c r="AO76" s="1149"/>
      <c r="AP76" s="1142"/>
      <c r="AQ76" s="1561"/>
      <c r="AR76" s="1559"/>
      <c r="AS76" s="1559"/>
      <c r="AT76" s="1559"/>
      <c r="AU76" s="1559"/>
      <c r="AV76" s="1559"/>
      <c r="AW76" s="1559"/>
      <c r="AX76" s="1559"/>
      <c r="AY76" s="1559"/>
      <c r="AZ76" s="1559"/>
      <c r="BA76" s="1559"/>
      <c r="BB76" s="1559"/>
      <c r="BC76" s="1559"/>
      <c r="BD76" s="1559"/>
      <c r="BE76" s="1559"/>
      <c r="BF76" s="1559"/>
      <c r="BG76" s="1559"/>
      <c r="BH76" s="1559"/>
      <c r="BI76" s="1559"/>
      <c r="BJ76" s="1559"/>
      <c r="BK76" s="1559"/>
      <c r="BL76" s="1559"/>
      <c r="BM76" s="1559"/>
      <c r="BN76" s="1559"/>
      <c r="BO76" s="1559"/>
      <c r="BP76" s="1559"/>
      <c r="BQ76" s="1559"/>
      <c r="BR76" s="1559"/>
      <c r="BS76" s="1559"/>
      <c r="BT76" s="1560">
        <f>VLOOKUP(CurrentFY,$AK$83:$AM$95,3,0)</f>
        <v>539214.89360557648</v>
      </c>
      <c r="BU76" s="1554"/>
      <c r="BV76" s="1082"/>
      <c r="BW76" s="1552"/>
      <c r="BX76" s="1562"/>
      <c r="BY76" s="1236"/>
      <c r="BZ76" s="1236"/>
      <c r="CA76" s="1236"/>
    </row>
    <row r="77" spans="1:88" hidden="1" outlineLevel="1" x14ac:dyDescent="0.3">
      <c r="A77" s="1474"/>
      <c r="B77" s="1563"/>
      <c r="C77" s="1116"/>
      <c r="D77" s="1116"/>
      <c r="E77" s="1116"/>
      <c r="F77" s="1116"/>
      <c r="G77" s="1564"/>
      <c r="H77" s="1564"/>
      <c r="I77" s="1564"/>
      <c r="J77" s="1564"/>
      <c r="K77" s="1564"/>
      <c r="L77" s="1564"/>
      <c r="M77" s="1564"/>
      <c r="N77" s="1564"/>
      <c r="O77" s="1564"/>
      <c r="P77" s="1564"/>
      <c r="Q77" s="1564"/>
      <c r="R77" s="1564"/>
      <c r="S77" s="1564"/>
      <c r="T77" s="1564"/>
      <c r="U77" s="1564"/>
      <c r="V77" s="1564"/>
      <c r="W77" s="1564"/>
      <c r="X77" s="1564"/>
      <c r="Y77" s="1564"/>
      <c r="Z77" s="1564"/>
      <c r="AA77" s="1564"/>
      <c r="AB77" s="1564"/>
      <c r="AC77" s="1564"/>
      <c r="AD77" s="1564"/>
      <c r="AE77" s="1564"/>
      <c r="AF77" s="1564"/>
      <c r="AG77" s="1564"/>
      <c r="AH77" s="1564"/>
      <c r="AI77" s="1564"/>
      <c r="AJ77" s="1560">
        <f>VLOOKUP(CurrentFY,Calc!$N$196:$P$208,2,0)</f>
        <v>21754.779690810261</v>
      </c>
      <c r="AK77" s="1142"/>
      <c r="AL77" s="1142"/>
      <c r="AM77" s="1142"/>
      <c r="AN77" s="1116"/>
      <c r="AO77" s="1149"/>
      <c r="AP77" s="1142"/>
      <c r="AQ77" s="1116"/>
      <c r="AR77" s="1116"/>
      <c r="AS77" s="1116"/>
      <c r="AT77" s="1116"/>
      <c r="AU77" s="1116"/>
      <c r="AV77" s="1116"/>
      <c r="AW77" s="1116"/>
      <c r="AX77" s="1116"/>
      <c r="AY77" s="1116"/>
      <c r="AZ77" s="1116"/>
      <c r="BA77" s="1116"/>
      <c r="BB77" s="1116"/>
      <c r="BC77" s="1116"/>
      <c r="BD77" s="1116"/>
      <c r="BE77" s="1116"/>
      <c r="BF77" s="1116"/>
      <c r="BG77" s="1116"/>
      <c r="BH77" s="1116"/>
      <c r="BI77" s="1116"/>
      <c r="BJ77" s="1116"/>
      <c r="BK77" s="1116"/>
      <c r="BL77" s="1116"/>
      <c r="BM77" s="1116"/>
      <c r="BN77" s="1116"/>
      <c r="BO77" s="1116"/>
      <c r="BP77" s="1116"/>
      <c r="BQ77" s="1116"/>
      <c r="BR77" s="1116"/>
      <c r="BS77" s="1116"/>
      <c r="BT77" s="1560">
        <f>VLOOKUP(CurrentFY,Calc!$N$196:$P$208,3,0)</f>
        <v>101683.22203437473</v>
      </c>
      <c r="BU77" s="1550"/>
      <c r="BV77" s="1082"/>
      <c r="BW77" s="1552"/>
      <c r="BX77" s="1552"/>
      <c r="BY77" s="1236"/>
      <c r="BZ77" s="1236"/>
      <c r="CA77" s="1236"/>
    </row>
    <row r="78" spans="1:88" hidden="1" outlineLevel="1" x14ac:dyDescent="0.3">
      <c r="A78" s="1474"/>
      <c r="B78" s="1479" t="s">
        <v>1373</v>
      </c>
      <c r="C78" s="1218"/>
      <c r="D78" s="1218"/>
      <c r="E78" s="1218"/>
      <c r="F78" s="1218"/>
      <c r="G78" s="1565"/>
      <c r="H78" s="1565"/>
      <c r="I78" s="1565"/>
      <c r="J78" s="1565"/>
      <c r="K78" s="1565"/>
      <c r="L78" s="1565"/>
      <c r="M78" s="1565"/>
      <c r="N78" s="1565"/>
      <c r="O78" s="1565"/>
      <c r="P78" s="1565"/>
      <c r="Q78" s="1565"/>
      <c r="R78" s="1565"/>
      <c r="S78" s="1565"/>
      <c r="T78" s="1565"/>
      <c r="U78" s="1565"/>
      <c r="V78" s="1565"/>
      <c r="W78" s="1565"/>
      <c r="X78" s="1565"/>
      <c r="Y78" s="1565"/>
      <c r="Z78" s="1565"/>
      <c r="AA78" s="1565"/>
      <c r="AB78" s="1565"/>
      <c r="AC78" s="1565"/>
      <c r="AD78" s="1565"/>
      <c r="AE78" s="1565"/>
      <c r="AF78" s="1565"/>
      <c r="AG78" s="1565"/>
      <c r="AH78" s="1565"/>
      <c r="AI78" s="1566"/>
      <c r="AJ78" s="1564"/>
      <c r="AK78" s="1070"/>
      <c r="AL78" s="1070"/>
      <c r="AM78" s="1070"/>
      <c r="AN78" s="1070"/>
      <c r="AO78" s="1567"/>
      <c r="AP78" s="1568"/>
      <c r="AQ78" s="1569" t="s">
        <v>1373</v>
      </c>
      <c r="AR78" s="1159"/>
      <c r="AS78" s="1159"/>
      <c r="AT78" s="1159"/>
      <c r="AU78" s="1159"/>
      <c r="AV78" s="1159"/>
      <c r="AW78" s="1159"/>
      <c r="AX78" s="1159"/>
      <c r="AY78" s="1159"/>
      <c r="AZ78" s="1159"/>
      <c r="BA78" s="1159"/>
      <c r="BB78" s="1159"/>
      <c r="BC78" s="1159"/>
      <c r="BD78" s="1159"/>
      <c r="BE78" s="1159"/>
      <c r="BF78" s="1159"/>
      <c r="BG78" s="1159"/>
      <c r="BH78" s="1159"/>
      <c r="BI78" s="1159"/>
      <c r="BJ78" s="1159"/>
      <c r="BK78" s="1159"/>
      <c r="BL78" s="1159"/>
      <c r="BM78" s="1159"/>
      <c r="BN78" s="1159"/>
      <c r="BO78" s="1159"/>
      <c r="BP78" s="1159"/>
      <c r="BQ78" s="1159"/>
      <c r="BR78" s="1159"/>
      <c r="BS78" s="1186"/>
      <c r="BT78" s="1142"/>
      <c r="BU78" s="1550"/>
      <c r="BV78" s="1082"/>
      <c r="BW78" s="1552"/>
      <c r="BX78" s="1552"/>
      <c r="BY78" s="1236"/>
      <c r="BZ78" s="1236"/>
      <c r="CA78" s="1236"/>
    </row>
    <row r="79" spans="1:88" hidden="1" outlineLevel="1" x14ac:dyDescent="0.3">
      <c r="A79" s="1474"/>
      <c r="B79" s="1207" t="s">
        <v>1374</v>
      </c>
      <c r="C79" s="1116"/>
      <c r="D79" s="1116"/>
      <c r="E79" s="1116"/>
      <c r="F79" s="1116"/>
      <c r="G79" s="1570" t="e">
        <f t="shared" ref="G79:AI79" si="29">IF(LaunchFY="NA",2,IF((LaunchFY+3)&gt;G66,1,0))</f>
        <v>#VALUE!</v>
      </c>
      <c r="H79" s="1571" t="e">
        <f t="shared" si="29"/>
        <v>#VALUE!</v>
      </c>
      <c r="I79" s="1571" t="e">
        <f t="shared" si="29"/>
        <v>#VALUE!</v>
      </c>
      <c r="J79" s="1571" t="e">
        <f t="shared" si="29"/>
        <v>#VALUE!</v>
      </c>
      <c r="K79" s="1571" t="e">
        <f t="shared" si="29"/>
        <v>#VALUE!</v>
      </c>
      <c r="L79" s="1571" t="e">
        <f t="shared" si="29"/>
        <v>#VALUE!</v>
      </c>
      <c r="M79" s="1571" t="e">
        <f t="shared" si="29"/>
        <v>#VALUE!</v>
      </c>
      <c r="N79" s="1571" t="e">
        <f t="shared" si="29"/>
        <v>#VALUE!</v>
      </c>
      <c r="O79" s="1571" t="e">
        <f t="shared" si="29"/>
        <v>#VALUE!</v>
      </c>
      <c r="P79" s="1571" t="e">
        <f t="shared" si="29"/>
        <v>#VALUE!</v>
      </c>
      <c r="Q79" s="1571" t="e">
        <f t="shared" si="29"/>
        <v>#VALUE!</v>
      </c>
      <c r="R79" s="1571" t="e">
        <f t="shared" si="29"/>
        <v>#VALUE!</v>
      </c>
      <c r="S79" s="1571" t="e">
        <f t="shared" si="29"/>
        <v>#VALUE!</v>
      </c>
      <c r="T79" s="1571" t="e">
        <f t="shared" si="29"/>
        <v>#VALUE!</v>
      </c>
      <c r="U79" s="1571" t="e">
        <f t="shared" si="29"/>
        <v>#VALUE!</v>
      </c>
      <c r="V79" s="1571" t="e">
        <f t="shared" si="29"/>
        <v>#VALUE!</v>
      </c>
      <c r="W79" s="1571" t="e">
        <f t="shared" si="29"/>
        <v>#VALUE!</v>
      </c>
      <c r="X79" s="1571" t="e">
        <f t="shared" si="29"/>
        <v>#VALUE!</v>
      </c>
      <c r="Y79" s="1571" t="e">
        <f t="shared" si="29"/>
        <v>#VALUE!</v>
      </c>
      <c r="Z79" s="1571" t="e">
        <f t="shared" si="29"/>
        <v>#VALUE!</v>
      </c>
      <c r="AA79" s="1571" t="e">
        <f t="shared" si="29"/>
        <v>#VALUE!</v>
      </c>
      <c r="AB79" s="1571" t="e">
        <f t="shared" si="29"/>
        <v>#VALUE!</v>
      </c>
      <c r="AC79" s="1571" t="e">
        <f t="shared" si="29"/>
        <v>#VALUE!</v>
      </c>
      <c r="AD79" s="1571" t="e">
        <f t="shared" si="29"/>
        <v>#VALUE!</v>
      </c>
      <c r="AE79" s="1571" t="e">
        <f t="shared" si="29"/>
        <v>#VALUE!</v>
      </c>
      <c r="AF79" s="1571" t="e">
        <f t="shared" si="29"/>
        <v>#VALUE!</v>
      </c>
      <c r="AG79" s="1571" t="e">
        <f t="shared" si="29"/>
        <v>#VALUE!</v>
      </c>
      <c r="AH79" s="1571" t="e">
        <f t="shared" si="29"/>
        <v>#VALUE!</v>
      </c>
      <c r="AI79" s="1572" t="e">
        <f t="shared" si="29"/>
        <v>#VALUE!</v>
      </c>
      <c r="AJ79" s="1564"/>
      <c r="AK79" s="1070"/>
      <c r="AL79" s="1070"/>
      <c r="AM79" s="1070"/>
      <c r="AN79" s="1070"/>
      <c r="AO79" s="1149"/>
      <c r="AP79" s="1437"/>
      <c r="AQ79" s="1573"/>
      <c r="AR79" s="1571"/>
      <c r="AS79" s="1571"/>
      <c r="AT79" s="1571"/>
      <c r="AU79" s="1571"/>
      <c r="AV79" s="1571"/>
      <c r="AW79" s="1571"/>
      <c r="AX79" s="1571"/>
      <c r="AY79" s="1571"/>
      <c r="AZ79" s="1571"/>
      <c r="BA79" s="1571"/>
      <c r="BB79" s="1571"/>
      <c r="BC79" s="1571"/>
      <c r="BD79" s="1571"/>
      <c r="BE79" s="1571"/>
      <c r="BF79" s="1571"/>
      <c r="BG79" s="1571"/>
      <c r="BH79" s="1571"/>
      <c r="BI79" s="1571"/>
      <c r="BJ79" s="1571"/>
      <c r="BK79" s="1571"/>
      <c r="BL79" s="1571"/>
      <c r="BM79" s="1571"/>
      <c r="BN79" s="1571"/>
      <c r="BO79" s="1571"/>
      <c r="BP79" s="1571"/>
      <c r="BQ79" s="1571"/>
      <c r="BR79" s="1571"/>
      <c r="BS79" s="1572"/>
      <c r="BT79" s="1142"/>
      <c r="BU79" s="1550"/>
      <c r="BV79" s="1082"/>
      <c r="BW79" s="1552"/>
      <c r="BX79" s="1552"/>
      <c r="BY79" s="1236"/>
      <c r="BZ79" s="1236"/>
      <c r="CA79" s="1236"/>
    </row>
    <row r="80" spans="1:88" hidden="1" outlineLevel="1" x14ac:dyDescent="0.3">
      <c r="A80" s="1474"/>
      <c r="B80" s="1207" t="s">
        <v>1375</v>
      </c>
      <c r="C80" s="1116"/>
      <c r="D80" s="1116"/>
      <c r="E80" s="1116"/>
      <c r="F80" s="1116"/>
      <c r="G80" s="1574" t="e">
        <f>IF(CurrentFYPriorSub="NA",2,IF(Calc!G288&gt;=CurrentFYPriorSub,1,0))</f>
        <v>#VALUE!</v>
      </c>
      <c r="H80" s="1556" t="e">
        <f>IF(CurrentFYPriorSub="NA",2,IF(Calc!H288&gt;=CurrentFYPriorSub,1,0))</f>
        <v>#VALUE!</v>
      </c>
      <c r="I80" s="1556" t="e">
        <f>IF(CurrentFYPriorSub="NA",2,IF(Calc!I288&gt;=CurrentFYPriorSub,1,0))</f>
        <v>#VALUE!</v>
      </c>
      <c r="J80" s="1556" t="e">
        <f>IF(CurrentFYPriorSub="NA",2,IF(Calc!J288&gt;=CurrentFYPriorSub,1,0))</f>
        <v>#VALUE!</v>
      </c>
      <c r="K80" s="1556" t="e">
        <f>IF(CurrentFYPriorSub="NA",2,IF(Calc!K288&gt;=CurrentFYPriorSub,1,0))</f>
        <v>#VALUE!</v>
      </c>
      <c r="L80" s="1556" t="e">
        <f>IF(CurrentFYPriorSub="NA",2,IF(Calc!L288&gt;=CurrentFYPriorSub,1,0))</f>
        <v>#VALUE!</v>
      </c>
      <c r="M80" s="1556" t="e">
        <f>IF(CurrentFYPriorSub="NA",2,IF(Calc!M288&gt;=CurrentFYPriorSub,1,0))</f>
        <v>#VALUE!</v>
      </c>
      <c r="N80" s="1556" t="e">
        <f>IF(CurrentFYPriorSub="NA",2,IF(Calc!N288&gt;=CurrentFYPriorSub,1,0))</f>
        <v>#VALUE!</v>
      </c>
      <c r="O80" s="1556" t="e">
        <f>IF(CurrentFYPriorSub="NA",2,IF(Calc!O288&gt;=CurrentFYPriorSub,1,0))</f>
        <v>#VALUE!</v>
      </c>
      <c r="P80" s="1556" t="e">
        <f>IF(CurrentFYPriorSub="NA",2,IF(Calc!P288&gt;=CurrentFYPriorSub,1,0))</f>
        <v>#VALUE!</v>
      </c>
      <c r="Q80" s="1556" t="e">
        <f>IF(CurrentFYPriorSub="NA",2,IF(Calc!Q288&gt;=CurrentFYPriorSub,1,0))</f>
        <v>#VALUE!</v>
      </c>
      <c r="R80" s="1556" t="e">
        <f>IF(CurrentFYPriorSub="NA",2,IF(Calc!R288&gt;=CurrentFYPriorSub,1,0))</f>
        <v>#VALUE!</v>
      </c>
      <c r="S80" s="1556" t="e">
        <f>IF(CurrentFYPriorSub="NA",2,IF(Calc!S288&gt;=CurrentFYPriorSub,1,0))</f>
        <v>#VALUE!</v>
      </c>
      <c r="T80" s="1556" t="e">
        <f>IF(CurrentFYPriorSub="NA",2,IF(Calc!T288&gt;=CurrentFYPriorSub,1,0))</f>
        <v>#VALUE!</v>
      </c>
      <c r="U80" s="1556" t="e">
        <f>IF(CurrentFYPriorSub="NA",2,IF(Calc!U288&gt;=CurrentFYPriorSub,1,0))</f>
        <v>#VALUE!</v>
      </c>
      <c r="V80" s="1556" t="e">
        <f>IF(CurrentFYPriorSub="NA",2,IF(Calc!V288&gt;=CurrentFYPriorSub,1,0))</f>
        <v>#VALUE!</v>
      </c>
      <c r="W80" s="1556" t="e">
        <f>IF(CurrentFYPriorSub="NA",2,IF(Calc!W288&gt;=CurrentFYPriorSub,1,0))</f>
        <v>#VALUE!</v>
      </c>
      <c r="X80" s="1556" t="e">
        <f>IF(CurrentFYPriorSub="NA",2,IF(Calc!X288&gt;=CurrentFYPriorSub,1,0))</f>
        <v>#VALUE!</v>
      </c>
      <c r="Y80" s="1556" t="e">
        <f>IF(CurrentFYPriorSub="NA",2,IF(Calc!Y288&gt;=CurrentFYPriorSub,1,0))</f>
        <v>#VALUE!</v>
      </c>
      <c r="Z80" s="1556" t="e">
        <f>IF(CurrentFYPriorSub="NA",2,IF(Calc!Z288&gt;=CurrentFYPriorSub,1,0))</f>
        <v>#VALUE!</v>
      </c>
      <c r="AA80" s="1556" t="e">
        <f>IF(CurrentFYPriorSub="NA",2,IF(Calc!AA288&gt;=CurrentFYPriorSub,1,0))</f>
        <v>#VALUE!</v>
      </c>
      <c r="AB80" s="1556" t="e">
        <f>IF(CurrentFYPriorSub="NA",2,IF(Calc!AB288&gt;=CurrentFYPriorSub,1,0))</f>
        <v>#VALUE!</v>
      </c>
      <c r="AC80" s="1556" t="e">
        <f>IF(CurrentFYPriorSub="NA",2,IF(Calc!AC288&gt;=CurrentFYPriorSub,1,0))</f>
        <v>#VALUE!</v>
      </c>
      <c r="AD80" s="1556" t="e">
        <f>IF(CurrentFYPriorSub="NA",2,IF(Calc!AD288&gt;=CurrentFYPriorSub,1,0))</f>
        <v>#VALUE!</v>
      </c>
      <c r="AE80" s="1556" t="e">
        <f>IF(CurrentFYPriorSub="NA",2,IF(Calc!AE288&gt;=CurrentFYPriorSub,1,0))</f>
        <v>#VALUE!</v>
      </c>
      <c r="AF80" s="1556" t="e">
        <f>IF(CurrentFYPriorSub="NA",2,IF(Calc!AF288&gt;=CurrentFYPriorSub,1,0))</f>
        <v>#VALUE!</v>
      </c>
      <c r="AG80" s="1556" t="e">
        <f>IF(CurrentFYPriorSub="NA",2,IF(Calc!AG288&gt;=CurrentFYPriorSub,1,0))</f>
        <v>#VALUE!</v>
      </c>
      <c r="AH80" s="1556" t="e">
        <f>IF(CurrentFYPriorSub="NA",2,IF(Calc!AH288&gt;=CurrentFYPriorSub,1,0))</f>
        <v>#VALUE!</v>
      </c>
      <c r="AI80" s="1575" t="e">
        <f>IF(CurrentFYPriorSub="NA",2,IF(Calc!AI288&gt;=CurrentFYPriorSub,1,0))</f>
        <v>#VALUE!</v>
      </c>
      <c r="AJ80" s="1564"/>
      <c r="AK80" s="1576" t="s">
        <v>1376</v>
      </c>
      <c r="AL80" s="1159"/>
      <c r="AM80" s="1186"/>
      <c r="AN80" s="1070"/>
      <c r="AO80" s="1149"/>
      <c r="AP80" s="1437"/>
      <c r="AQ80" s="1577"/>
      <c r="AR80" s="1556"/>
      <c r="AS80" s="1556"/>
      <c r="AT80" s="1556"/>
      <c r="AU80" s="1556"/>
      <c r="AV80" s="1556"/>
      <c r="AW80" s="1556"/>
      <c r="AX80" s="1556"/>
      <c r="AY80" s="1556"/>
      <c r="AZ80" s="1556"/>
      <c r="BA80" s="1556"/>
      <c r="BB80" s="1556"/>
      <c r="BC80" s="1556"/>
      <c r="BD80" s="1556"/>
      <c r="BE80" s="1556"/>
      <c r="BF80" s="1556"/>
      <c r="BG80" s="1556"/>
      <c r="BH80" s="1556"/>
      <c r="BI80" s="1556"/>
      <c r="BJ80" s="1556"/>
      <c r="BK80" s="1556"/>
      <c r="BL80" s="1556"/>
      <c r="BM80" s="1556"/>
      <c r="BN80" s="1556"/>
      <c r="BO80" s="1556"/>
      <c r="BP80" s="1556"/>
      <c r="BQ80" s="1556"/>
      <c r="BR80" s="1556"/>
      <c r="BS80" s="1575"/>
      <c r="BT80" s="1142"/>
      <c r="BU80" s="1550"/>
      <c r="BV80" s="1082"/>
      <c r="BW80" s="1552"/>
      <c r="BX80" s="1552"/>
      <c r="BY80" s="1236"/>
      <c r="BZ80" s="1236"/>
      <c r="CA80" s="1236"/>
      <c r="CH80" s="1578"/>
      <c r="CI80" s="1579"/>
      <c r="CJ80" s="1579"/>
    </row>
    <row r="81" spans="1:91" hidden="1" outlineLevel="1" x14ac:dyDescent="0.3">
      <c r="A81" s="1474"/>
      <c r="B81" s="1207" t="s">
        <v>1377</v>
      </c>
      <c r="C81" s="1116"/>
      <c r="D81" s="1116"/>
      <c r="E81" s="1116"/>
      <c r="F81" s="1116"/>
      <c r="G81" s="1574" t="e">
        <f t="shared" ref="G81:AI81" si="30">AND(G66&gt;=CurrentFYPriorSub,G66&lt;=CurrentFYPriorSub+9)</f>
        <v>#VALUE!</v>
      </c>
      <c r="H81" s="1556" t="e">
        <f t="shared" si="30"/>
        <v>#VALUE!</v>
      </c>
      <c r="I81" s="1556" t="e">
        <f t="shared" si="30"/>
        <v>#VALUE!</v>
      </c>
      <c r="J81" s="1556" t="e">
        <f t="shared" si="30"/>
        <v>#VALUE!</v>
      </c>
      <c r="K81" s="1556" t="e">
        <f t="shared" si="30"/>
        <v>#VALUE!</v>
      </c>
      <c r="L81" s="1556" t="e">
        <f t="shared" si="30"/>
        <v>#VALUE!</v>
      </c>
      <c r="M81" s="1556" t="e">
        <f t="shared" si="30"/>
        <v>#VALUE!</v>
      </c>
      <c r="N81" s="1556" t="e">
        <f t="shared" si="30"/>
        <v>#VALUE!</v>
      </c>
      <c r="O81" s="1556" t="e">
        <f t="shared" si="30"/>
        <v>#VALUE!</v>
      </c>
      <c r="P81" s="1556" t="e">
        <f t="shared" si="30"/>
        <v>#VALUE!</v>
      </c>
      <c r="Q81" s="1556" t="e">
        <f t="shared" si="30"/>
        <v>#VALUE!</v>
      </c>
      <c r="R81" s="1556" t="e">
        <f t="shared" si="30"/>
        <v>#VALUE!</v>
      </c>
      <c r="S81" s="1556" t="e">
        <f t="shared" si="30"/>
        <v>#VALUE!</v>
      </c>
      <c r="T81" s="1556" t="e">
        <f t="shared" si="30"/>
        <v>#VALUE!</v>
      </c>
      <c r="U81" s="1556" t="e">
        <f t="shared" si="30"/>
        <v>#VALUE!</v>
      </c>
      <c r="V81" s="1556" t="e">
        <f t="shared" si="30"/>
        <v>#VALUE!</v>
      </c>
      <c r="W81" s="1556" t="e">
        <f t="shared" si="30"/>
        <v>#VALUE!</v>
      </c>
      <c r="X81" s="1556" t="e">
        <f t="shared" si="30"/>
        <v>#VALUE!</v>
      </c>
      <c r="Y81" s="1556" t="e">
        <f t="shared" si="30"/>
        <v>#VALUE!</v>
      </c>
      <c r="Z81" s="1556" t="e">
        <f t="shared" si="30"/>
        <v>#VALUE!</v>
      </c>
      <c r="AA81" s="1556" t="e">
        <f t="shared" si="30"/>
        <v>#VALUE!</v>
      </c>
      <c r="AB81" s="1556" t="e">
        <f t="shared" si="30"/>
        <v>#VALUE!</v>
      </c>
      <c r="AC81" s="1556" t="e">
        <f t="shared" si="30"/>
        <v>#VALUE!</v>
      </c>
      <c r="AD81" s="1556" t="e">
        <f t="shared" si="30"/>
        <v>#VALUE!</v>
      </c>
      <c r="AE81" s="1556" t="e">
        <f t="shared" si="30"/>
        <v>#VALUE!</v>
      </c>
      <c r="AF81" s="1556" t="e">
        <f t="shared" si="30"/>
        <v>#VALUE!</v>
      </c>
      <c r="AG81" s="1556" t="e">
        <f t="shared" si="30"/>
        <v>#VALUE!</v>
      </c>
      <c r="AH81" s="1556" t="e">
        <f t="shared" si="30"/>
        <v>#VALUE!</v>
      </c>
      <c r="AI81" s="1575" t="e">
        <f t="shared" si="30"/>
        <v>#VALUE!</v>
      </c>
      <c r="AJ81" s="1564"/>
      <c r="AK81" s="1580" t="s">
        <v>1378</v>
      </c>
      <c r="AL81" s="1476"/>
      <c r="AM81" s="1197"/>
      <c r="AN81" s="1070"/>
      <c r="AO81" s="1149" t="s">
        <v>1379</v>
      </c>
      <c r="AP81" s="1437"/>
      <c r="AQ81" s="1577" t="e">
        <f t="shared" ref="AQ81:BS81" si="31">AND(AQ66&gt;=CurrentFYPriorSub,AQ66&lt;=CurrentFYPriorSub+14)</f>
        <v>#VALUE!</v>
      </c>
      <c r="AR81" s="1556" t="e">
        <f t="shared" si="31"/>
        <v>#VALUE!</v>
      </c>
      <c r="AS81" s="1556" t="e">
        <f t="shared" si="31"/>
        <v>#VALUE!</v>
      </c>
      <c r="AT81" s="1556" t="e">
        <f t="shared" si="31"/>
        <v>#VALUE!</v>
      </c>
      <c r="AU81" s="1556" t="e">
        <f t="shared" si="31"/>
        <v>#VALUE!</v>
      </c>
      <c r="AV81" s="1556" t="e">
        <f t="shared" si="31"/>
        <v>#VALUE!</v>
      </c>
      <c r="AW81" s="1556" t="e">
        <f t="shared" si="31"/>
        <v>#VALUE!</v>
      </c>
      <c r="AX81" s="1556" t="e">
        <f t="shared" si="31"/>
        <v>#VALUE!</v>
      </c>
      <c r="AY81" s="1556" t="e">
        <f t="shared" si="31"/>
        <v>#VALUE!</v>
      </c>
      <c r="AZ81" s="1556" t="e">
        <f t="shared" si="31"/>
        <v>#VALUE!</v>
      </c>
      <c r="BA81" s="1556" t="e">
        <f t="shared" si="31"/>
        <v>#VALUE!</v>
      </c>
      <c r="BB81" s="1556" t="e">
        <f t="shared" si="31"/>
        <v>#VALUE!</v>
      </c>
      <c r="BC81" s="1556" t="e">
        <f t="shared" si="31"/>
        <v>#VALUE!</v>
      </c>
      <c r="BD81" s="1556" t="e">
        <f t="shared" si="31"/>
        <v>#VALUE!</v>
      </c>
      <c r="BE81" s="1556" t="e">
        <f t="shared" si="31"/>
        <v>#VALUE!</v>
      </c>
      <c r="BF81" s="1556" t="e">
        <f t="shared" si="31"/>
        <v>#VALUE!</v>
      </c>
      <c r="BG81" s="1556" t="e">
        <f t="shared" si="31"/>
        <v>#VALUE!</v>
      </c>
      <c r="BH81" s="1556" t="e">
        <f t="shared" si="31"/>
        <v>#VALUE!</v>
      </c>
      <c r="BI81" s="1556" t="e">
        <f t="shared" si="31"/>
        <v>#VALUE!</v>
      </c>
      <c r="BJ81" s="1556" t="e">
        <f t="shared" si="31"/>
        <v>#VALUE!</v>
      </c>
      <c r="BK81" s="1556" t="e">
        <f t="shared" si="31"/>
        <v>#VALUE!</v>
      </c>
      <c r="BL81" s="1556" t="e">
        <f t="shared" si="31"/>
        <v>#VALUE!</v>
      </c>
      <c r="BM81" s="1556" t="e">
        <f t="shared" si="31"/>
        <v>#VALUE!</v>
      </c>
      <c r="BN81" s="1556" t="e">
        <f t="shared" si="31"/>
        <v>#VALUE!</v>
      </c>
      <c r="BO81" s="1556" t="e">
        <f t="shared" si="31"/>
        <v>#VALUE!</v>
      </c>
      <c r="BP81" s="1556" t="e">
        <f t="shared" si="31"/>
        <v>#VALUE!</v>
      </c>
      <c r="BQ81" s="1556" t="e">
        <f t="shared" si="31"/>
        <v>#VALUE!</v>
      </c>
      <c r="BR81" s="1556" t="e">
        <f t="shared" si="31"/>
        <v>#VALUE!</v>
      </c>
      <c r="BS81" s="1575" t="e">
        <f t="shared" si="31"/>
        <v>#VALUE!</v>
      </c>
      <c r="BT81" s="1142"/>
      <c r="BU81" s="1550"/>
      <c r="BV81" s="1082"/>
      <c r="BW81" s="1552"/>
      <c r="BX81" s="1552"/>
      <c r="BY81" s="1236"/>
      <c r="BZ81" s="1236"/>
      <c r="CA81" s="1236"/>
      <c r="CH81" s="1578"/>
      <c r="CI81" s="1579"/>
      <c r="CJ81" s="1579"/>
    </row>
    <row r="82" spans="1:91" hidden="1" outlineLevel="1" x14ac:dyDescent="0.3">
      <c r="A82" s="1474"/>
      <c r="B82" s="1207" t="s">
        <v>1380</v>
      </c>
      <c r="C82" s="1116"/>
      <c r="D82" s="1116"/>
      <c r="E82" s="1116"/>
      <c r="F82" s="1116"/>
      <c r="G82" s="1581" t="e">
        <f t="shared" ref="G82:AI82" si="32">IF(G66=CurrentFYPriorSub,0,IF(G66&gt;CurrentFYPriorSub,F82+1,))</f>
        <v>#VALUE!</v>
      </c>
      <c r="H82" s="1116" t="e">
        <f t="shared" si="32"/>
        <v>#VALUE!</v>
      </c>
      <c r="I82" s="1116" t="e">
        <f t="shared" si="32"/>
        <v>#VALUE!</v>
      </c>
      <c r="J82" s="1116" t="e">
        <f t="shared" si="32"/>
        <v>#VALUE!</v>
      </c>
      <c r="K82" s="1116" t="e">
        <f t="shared" si="32"/>
        <v>#VALUE!</v>
      </c>
      <c r="L82" s="1116" t="e">
        <f t="shared" si="32"/>
        <v>#VALUE!</v>
      </c>
      <c r="M82" s="1116" t="e">
        <f t="shared" si="32"/>
        <v>#VALUE!</v>
      </c>
      <c r="N82" s="1116" t="e">
        <f t="shared" si="32"/>
        <v>#VALUE!</v>
      </c>
      <c r="O82" s="1116" t="e">
        <f t="shared" si="32"/>
        <v>#VALUE!</v>
      </c>
      <c r="P82" s="1116" t="e">
        <f t="shared" si="32"/>
        <v>#VALUE!</v>
      </c>
      <c r="Q82" s="1116" t="e">
        <f t="shared" si="32"/>
        <v>#VALUE!</v>
      </c>
      <c r="R82" s="1116" t="e">
        <f t="shared" si="32"/>
        <v>#VALUE!</v>
      </c>
      <c r="S82" s="1116" t="e">
        <f t="shared" si="32"/>
        <v>#VALUE!</v>
      </c>
      <c r="T82" s="1116" t="e">
        <f t="shared" si="32"/>
        <v>#VALUE!</v>
      </c>
      <c r="U82" s="1116" t="e">
        <f t="shared" si="32"/>
        <v>#VALUE!</v>
      </c>
      <c r="V82" s="1116" t="e">
        <f t="shared" si="32"/>
        <v>#VALUE!</v>
      </c>
      <c r="W82" s="1116" t="e">
        <f t="shared" si="32"/>
        <v>#VALUE!</v>
      </c>
      <c r="X82" s="1116" t="e">
        <f t="shared" si="32"/>
        <v>#VALUE!</v>
      </c>
      <c r="Y82" s="1116" t="e">
        <f t="shared" si="32"/>
        <v>#VALUE!</v>
      </c>
      <c r="Z82" s="1116" t="e">
        <f t="shared" si="32"/>
        <v>#VALUE!</v>
      </c>
      <c r="AA82" s="1116" t="e">
        <f t="shared" si="32"/>
        <v>#VALUE!</v>
      </c>
      <c r="AB82" s="1116" t="e">
        <f t="shared" si="32"/>
        <v>#VALUE!</v>
      </c>
      <c r="AC82" s="1116" t="e">
        <f t="shared" si="32"/>
        <v>#VALUE!</v>
      </c>
      <c r="AD82" s="1116" t="e">
        <f t="shared" si="32"/>
        <v>#VALUE!</v>
      </c>
      <c r="AE82" s="1116" t="e">
        <f t="shared" si="32"/>
        <v>#VALUE!</v>
      </c>
      <c r="AF82" s="1116" t="e">
        <f t="shared" si="32"/>
        <v>#VALUE!</v>
      </c>
      <c r="AG82" s="1116" t="e">
        <f t="shared" si="32"/>
        <v>#VALUE!</v>
      </c>
      <c r="AH82" s="1116" t="e">
        <f t="shared" si="32"/>
        <v>#VALUE!</v>
      </c>
      <c r="AI82" s="1477" t="e">
        <f t="shared" si="32"/>
        <v>#VALUE!</v>
      </c>
      <c r="AJ82" s="1564"/>
      <c r="AK82" s="1543" t="s">
        <v>1381</v>
      </c>
      <c r="AL82" s="1582">
        <v>10</v>
      </c>
      <c r="AM82" s="1583">
        <v>15</v>
      </c>
      <c r="AN82" s="1070"/>
      <c r="AO82" s="1149"/>
      <c r="AP82" s="1437"/>
      <c r="AQ82" s="1207" t="e">
        <f t="shared" ref="AQ82:BS82" si="33">IF(AQ66=CurrentFYPriorSub,0,IF(AQ66&gt;CurrentFYPriorSub,AP82+1,))</f>
        <v>#VALUE!</v>
      </c>
      <c r="AR82" s="1116" t="e">
        <f t="shared" si="33"/>
        <v>#VALUE!</v>
      </c>
      <c r="AS82" s="1116" t="e">
        <f t="shared" si="33"/>
        <v>#VALUE!</v>
      </c>
      <c r="AT82" s="1116" t="e">
        <f t="shared" si="33"/>
        <v>#VALUE!</v>
      </c>
      <c r="AU82" s="1116" t="e">
        <f t="shared" si="33"/>
        <v>#VALUE!</v>
      </c>
      <c r="AV82" s="1116" t="e">
        <f t="shared" si="33"/>
        <v>#VALUE!</v>
      </c>
      <c r="AW82" s="1116" t="e">
        <f t="shared" si="33"/>
        <v>#VALUE!</v>
      </c>
      <c r="AX82" s="1116" t="e">
        <f t="shared" si="33"/>
        <v>#VALUE!</v>
      </c>
      <c r="AY82" s="1116" t="e">
        <f t="shared" si="33"/>
        <v>#VALUE!</v>
      </c>
      <c r="AZ82" s="1116" t="e">
        <f t="shared" si="33"/>
        <v>#VALUE!</v>
      </c>
      <c r="BA82" s="1116" t="e">
        <f t="shared" si="33"/>
        <v>#VALUE!</v>
      </c>
      <c r="BB82" s="1116" t="e">
        <f t="shared" si="33"/>
        <v>#VALUE!</v>
      </c>
      <c r="BC82" s="1116" t="e">
        <f t="shared" si="33"/>
        <v>#VALUE!</v>
      </c>
      <c r="BD82" s="1116" t="e">
        <f t="shared" si="33"/>
        <v>#VALUE!</v>
      </c>
      <c r="BE82" s="1116" t="e">
        <f t="shared" si="33"/>
        <v>#VALUE!</v>
      </c>
      <c r="BF82" s="1116" t="e">
        <f t="shared" si="33"/>
        <v>#VALUE!</v>
      </c>
      <c r="BG82" s="1116" t="e">
        <f t="shared" si="33"/>
        <v>#VALUE!</v>
      </c>
      <c r="BH82" s="1116" t="e">
        <f t="shared" si="33"/>
        <v>#VALUE!</v>
      </c>
      <c r="BI82" s="1116" t="e">
        <f t="shared" si="33"/>
        <v>#VALUE!</v>
      </c>
      <c r="BJ82" s="1116" t="e">
        <f t="shared" si="33"/>
        <v>#VALUE!</v>
      </c>
      <c r="BK82" s="1116" t="e">
        <f t="shared" si="33"/>
        <v>#VALUE!</v>
      </c>
      <c r="BL82" s="1116" t="e">
        <f t="shared" si="33"/>
        <v>#VALUE!</v>
      </c>
      <c r="BM82" s="1116" t="e">
        <f t="shared" si="33"/>
        <v>#VALUE!</v>
      </c>
      <c r="BN82" s="1116" t="e">
        <f t="shared" si="33"/>
        <v>#VALUE!</v>
      </c>
      <c r="BO82" s="1116" t="e">
        <f t="shared" si="33"/>
        <v>#VALUE!</v>
      </c>
      <c r="BP82" s="1116" t="e">
        <f t="shared" si="33"/>
        <v>#VALUE!</v>
      </c>
      <c r="BQ82" s="1116" t="e">
        <f t="shared" si="33"/>
        <v>#VALUE!</v>
      </c>
      <c r="BR82" s="1116" t="e">
        <f t="shared" si="33"/>
        <v>#VALUE!</v>
      </c>
      <c r="BS82" s="1477" t="e">
        <f t="shared" si="33"/>
        <v>#VALUE!</v>
      </c>
      <c r="BT82" s="1142"/>
      <c r="BU82" s="1550"/>
      <c r="BV82" s="1082"/>
      <c r="BW82" s="1584"/>
      <c r="BX82" s="1585"/>
      <c r="BY82" s="1586"/>
      <c r="BZ82" s="1236"/>
      <c r="CA82" s="1236"/>
      <c r="CH82" s="1578"/>
      <c r="CI82" s="1579"/>
      <c r="CJ82" s="1579"/>
      <c r="CL82" s="1587"/>
      <c r="CM82" s="1587"/>
    </row>
    <row r="83" spans="1:91" hidden="1" outlineLevel="1" x14ac:dyDescent="0.3">
      <c r="A83" s="1474"/>
      <c r="B83" s="1150" t="s">
        <v>1382</v>
      </c>
      <c r="C83" s="1232"/>
      <c r="D83" s="1232"/>
      <c r="E83" s="1232"/>
      <c r="F83" s="1232"/>
      <c r="G83" s="1588" t="e">
        <f t="shared" ref="G83:AI83" si="34">IF(AND(G66&gt;=CurrentFYPriorSub,G66&lt;=CurrentFYPriorSub+9),1,0)</f>
        <v>#VALUE!</v>
      </c>
      <c r="H83" s="1232" t="e">
        <f t="shared" si="34"/>
        <v>#VALUE!</v>
      </c>
      <c r="I83" s="1232" t="e">
        <f t="shared" si="34"/>
        <v>#VALUE!</v>
      </c>
      <c r="J83" s="1232" t="e">
        <f t="shared" si="34"/>
        <v>#VALUE!</v>
      </c>
      <c r="K83" s="1232" t="e">
        <f t="shared" si="34"/>
        <v>#VALUE!</v>
      </c>
      <c r="L83" s="1232" t="e">
        <f t="shared" si="34"/>
        <v>#VALUE!</v>
      </c>
      <c r="M83" s="1232" t="e">
        <f t="shared" si="34"/>
        <v>#VALUE!</v>
      </c>
      <c r="N83" s="1232" t="e">
        <f t="shared" si="34"/>
        <v>#VALUE!</v>
      </c>
      <c r="O83" s="1232" t="e">
        <f t="shared" si="34"/>
        <v>#VALUE!</v>
      </c>
      <c r="P83" s="1232" t="e">
        <f t="shared" si="34"/>
        <v>#VALUE!</v>
      </c>
      <c r="Q83" s="1232" t="e">
        <f t="shared" si="34"/>
        <v>#VALUE!</v>
      </c>
      <c r="R83" s="1232" t="e">
        <f t="shared" si="34"/>
        <v>#VALUE!</v>
      </c>
      <c r="S83" s="1232" t="e">
        <f t="shared" si="34"/>
        <v>#VALUE!</v>
      </c>
      <c r="T83" s="1232" t="e">
        <f t="shared" si="34"/>
        <v>#VALUE!</v>
      </c>
      <c r="U83" s="1232" t="e">
        <f t="shared" si="34"/>
        <v>#VALUE!</v>
      </c>
      <c r="V83" s="1232" t="e">
        <f t="shared" si="34"/>
        <v>#VALUE!</v>
      </c>
      <c r="W83" s="1232" t="e">
        <f t="shared" si="34"/>
        <v>#VALUE!</v>
      </c>
      <c r="X83" s="1232" t="e">
        <f t="shared" si="34"/>
        <v>#VALUE!</v>
      </c>
      <c r="Y83" s="1232" t="e">
        <f t="shared" si="34"/>
        <v>#VALUE!</v>
      </c>
      <c r="Z83" s="1232" t="e">
        <f t="shared" si="34"/>
        <v>#VALUE!</v>
      </c>
      <c r="AA83" s="1232" t="e">
        <f t="shared" si="34"/>
        <v>#VALUE!</v>
      </c>
      <c r="AB83" s="1232" t="e">
        <f t="shared" si="34"/>
        <v>#VALUE!</v>
      </c>
      <c r="AC83" s="1232" t="e">
        <f t="shared" si="34"/>
        <v>#VALUE!</v>
      </c>
      <c r="AD83" s="1232" t="e">
        <f t="shared" si="34"/>
        <v>#VALUE!</v>
      </c>
      <c r="AE83" s="1232" t="e">
        <f t="shared" si="34"/>
        <v>#VALUE!</v>
      </c>
      <c r="AF83" s="1232" t="e">
        <f t="shared" si="34"/>
        <v>#VALUE!</v>
      </c>
      <c r="AG83" s="1232" t="e">
        <f t="shared" si="34"/>
        <v>#VALUE!</v>
      </c>
      <c r="AH83" s="1232" t="e">
        <f t="shared" si="34"/>
        <v>#VALUE!</v>
      </c>
      <c r="AI83" s="1435" t="e">
        <f t="shared" si="34"/>
        <v>#VALUE!</v>
      </c>
      <c r="AJ83" s="1564"/>
      <c r="AK83" s="1589">
        <f>Calc!$G$113</f>
        <v>18</v>
      </c>
      <c r="AL83" s="1590">
        <f>IF($AK83=Calc!$G$113,Calc!G233+NPV(DiscRPriorSub,(Calc!H233:O233,Calc!P238)),0)</f>
        <v>107278.90231137394</v>
      </c>
      <c r="AM83" s="1591">
        <f>IF($AK83=Calc!$G$113,Calc!G233+NPV(DiscRPriorSub,(Calc!H233:T233,Calc!U238)),0)</f>
        <v>539214.89360557648</v>
      </c>
      <c r="AN83" s="1070"/>
      <c r="AO83" s="1592" t="s">
        <v>1383</v>
      </c>
      <c r="AP83" s="1593"/>
      <c r="AQ83" s="1150" t="e">
        <f t="shared" ref="AQ83:BS83" si="35">IF(AND(G66&gt;=CurrentFYPriorSub,G66&lt;=CurrentFYPriorSub+14),1,0)</f>
        <v>#VALUE!</v>
      </c>
      <c r="AR83" s="1232" t="e">
        <f t="shared" si="35"/>
        <v>#VALUE!</v>
      </c>
      <c r="AS83" s="1232" t="e">
        <f t="shared" si="35"/>
        <v>#VALUE!</v>
      </c>
      <c r="AT83" s="1232" t="e">
        <f t="shared" si="35"/>
        <v>#VALUE!</v>
      </c>
      <c r="AU83" s="1232" t="e">
        <f t="shared" si="35"/>
        <v>#VALUE!</v>
      </c>
      <c r="AV83" s="1232" t="e">
        <f t="shared" si="35"/>
        <v>#VALUE!</v>
      </c>
      <c r="AW83" s="1232" t="e">
        <f t="shared" si="35"/>
        <v>#VALUE!</v>
      </c>
      <c r="AX83" s="1232" t="e">
        <f t="shared" si="35"/>
        <v>#VALUE!</v>
      </c>
      <c r="AY83" s="1232" t="e">
        <f t="shared" si="35"/>
        <v>#VALUE!</v>
      </c>
      <c r="AZ83" s="1232" t="e">
        <f t="shared" si="35"/>
        <v>#VALUE!</v>
      </c>
      <c r="BA83" s="1232" t="e">
        <f t="shared" si="35"/>
        <v>#VALUE!</v>
      </c>
      <c r="BB83" s="1232" t="e">
        <f t="shared" si="35"/>
        <v>#VALUE!</v>
      </c>
      <c r="BC83" s="1232" t="e">
        <f t="shared" si="35"/>
        <v>#VALUE!</v>
      </c>
      <c r="BD83" s="1232" t="e">
        <f t="shared" si="35"/>
        <v>#VALUE!</v>
      </c>
      <c r="BE83" s="1232" t="e">
        <f t="shared" si="35"/>
        <v>#VALUE!</v>
      </c>
      <c r="BF83" s="1232" t="e">
        <f t="shared" si="35"/>
        <v>#VALUE!</v>
      </c>
      <c r="BG83" s="1232" t="e">
        <f t="shared" si="35"/>
        <v>#VALUE!</v>
      </c>
      <c r="BH83" s="1232" t="e">
        <f t="shared" si="35"/>
        <v>#VALUE!</v>
      </c>
      <c r="BI83" s="1232" t="e">
        <f t="shared" si="35"/>
        <v>#VALUE!</v>
      </c>
      <c r="BJ83" s="1232" t="e">
        <f t="shared" si="35"/>
        <v>#VALUE!</v>
      </c>
      <c r="BK83" s="1232" t="e">
        <f t="shared" si="35"/>
        <v>#VALUE!</v>
      </c>
      <c r="BL83" s="1232" t="e">
        <f t="shared" si="35"/>
        <v>#VALUE!</v>
      </c>
      <c r="BM83" s="1232" t="e">
        <f t="shared" si="35"/>
        <v>#VALUE!</v>
      </c>
      <c r="BN83" s="1232" t="e">
        <f t="shared" si="35"/>
        <v>#VALUE!</v>
      </c>
      <c r="BO83" s="1232" t="e">
        <f t="shared" si="35"/>
        <v>#VALUE!</v>
      </c>
      <c r="BP83" s="1232" t="e">
        <f t="shared" si="35"/>
        <v>#VALUE!</v>
      </c>
      <c r="BQ83" s="1232" t="e">
        <f t="shared" si="35"/>
        <v>#VALUE!</v>
      </c>
      <c r="BR83" s="1232" t="e">
        <f t="shared" si="35"/>
        <v>#VALUE!</v>
      </c>
      <c r="BS83" s="1435" t="e">
        <f t="shared" si="35"/>
        <v>#VALUE!</v>
      </c>
      <c r="BT83" s="1142"/>
      <c r="BU83" s="1550"/>
      <c r="BV83" s="1082"/>
      <c r="BW83" s="1585"/>
      <c r="BX83" s="1585"/>
      <c r="BY83" s="1586"/>
      <c r="BZ83" s="1236"/>
      <c r="CA83" s="1236"/>
      <c r="CH83" s="1578"/>
      <c r="CI83" s="1579"/>
      <c r="CJ83" s="1579"/>
      <c r="CL83" s="1587"/>
      <c r="CM83" s="1587"/>
    </row>
    <row r="84" spans="1:91" hidden="1" outlineLevel="1" x14ac:dyDescent="0.3">
      <c r="A84" s="1474"/>
      <c r="B84" s="1116"/>
      <c r="C84" s="1116"/>
      <c r="D84" s="1116"/>
      <c r="E84" s="1116"/>
      <c r="F84" s="1116"/>
      <c r="G84" s="1116"/>
      <c r="H84" s="1116"/>
      <c r="I84" s="1116"/>
      <c r="J84" s="1116"/>
      <c r="K84" s="1116"/>
      <c r="L84" s="1116"/>
      <c r="M84" s="1116"/>
      <c r="N84" s="1116"/>
      <c r="O84" s="1116"/>
      <c r="P84" s="1116"/>
      <c r="Q84" s="1116"/>
      <c r="R84" s="1116"/>
      <c r="S84" s="1116"/>
      <c r="T84" s="1116"/>
      <c r="U84" s="1116"/>
      <c r="V84" s="1116"/>
      <c r="W84" s="1116"/>
      <c r="X84" s="1116"/>
      <c r="Y84" s="1116"/>
      <c r="Z84" s="1116"/>
      <c r="AA84" s="1116"/>
      <c r="AB84" s="1116"/>
      <c r="AC84" s="1116"/>
      <c r="AD84" s="1116"/>
      <c r="AE84" s="1116"/>
      <c r="AF84" s="1116"/>
      <c r="AG84" s="1116"/>
      <c r="AH84" s="1116"/>
      <c r="AI84" s="1116"/>
      <c r="AJ84" s="1564"/>
      <c r="AK84" s="1589">
        <f>AK83+1</f>
        <v>19</v>
      </c>
      <c r="AL84" s="1594">
        <f>IF($AK84=Calc!$H$113,Calc!H233+NPV(DiscRPriorSub,(Calc!I233:P233,Calc!Q238)),0)</f>
        <v>181080.90174852492</v>
      </c>
      <c r="AM84" s="1595">
        <f>IF($AK84=Calc!$H$113,Calc!H233+NPV(DiscRPriorSub,(Calc!I233:U233,Calc!V238)),0)</f>
        <v>664306.81448364118</v>
      </c>
      <c r="AN84" s="1070"/>
      <c r="AO84" s="1149"/>
      <c r="AP84" s="1142"/>
      <c r="AQ84" s="1142"/>
      <c r="AR84" s="1142"/>
      <c r="AS84" s="1142"/>
      <c r="AT84" s="1142"/>
      <c r="AU84" s="1142"/>
      <c r="AV84" s="1142"/>
      <c r="AW84" s="1142"/>
      <c r="AX84" s="1142"/>
      <c r="AY84" s="1142"/>
      <c r="AZ84" s="1142"/>
      <c r="BA84" s="1142"/>
      <c r="BB84" s="1142"/>
      <c r="BC84" s="1142"/>
      <c r="BD84" s="1142"/>
      <c r="BE84" s="1142"/>
      <c r="BF84" s="1142"/>
      <c r="BG84" s="1142"/>
      <c r="BH84" s="1142"/>
      <c r="BI84" s="1142"/>
      <c r="BJ84" s="1142"/>
      <c r="BK84" s="1142"/>
      <c r="BL84" s="1142"/>
      <c r="BM84" s="1142"/>
      <c r="BN84" s="1142"/>
      <c r="BO84" s="1142"/>
      <c r="BP84" s="1142"/>
      <c r="BQ84" s="1142"/>
      <c r="BR84" s="1142"/>
      <c r="BS84" s="1142"/>
      <c r="BT84" s="1142"/>
      <c r="BU84" s="1550"/>
      <c r="BV84" s="1082"/>
      <c r="BW84" s="1596"/>
      <c r="BX84" s="1596"/>
      <c r="BY84" s="1236"/>
      <c r="BZ84" s="1236"/>
      <c r="CA84" s="1236"/>
      <c r="CH84" s="1578"/>
      <c r="CI84" s="1579"/>
      <c r="CJ84" s="1579"/>
      <c r="CL84" s="1587"/>
      <c r="CM84" s="1587"/>
    </row>
    <row r="85" spans="1:91" hidden="1" outlineLevel="1" x14ac:dyDescent="0.3">
      <c r="A85" s="1474"/>
      <c r="B85" s="1479" t="s">
        <v>1384</v>
      </c>
      <c r="C85" s="1218"/>
      <c r="D85" s="1218"/>
      <c r="E85" s="1218"/>
      <c r="F85" s="1218"/>
      <c r="G85" s="1218"/>
      <c r="H85" s="1218"/>
      <c r="I85" s="1218"/>
      <c r="J85" s="1218"/>
      <c r="K85" s="1218"/>
      <c r="L85" s="1218"/>
      <c r="M85" s="1218"/>
      <c r="N85" s="1218"/>
      <c r="O85" s="1218"/>
      <c r="P85" s="1218"/>
      <c r="Q85" s="1218"/>
      <c r="R85" s="1218"/>
      <c r="S85" s="1218"/>
      <c r="T85" s="1218"/>
      <c r="U85" s="1218"/>
      <c r="V85" s="1218"/>
      <c r="W85" s="1218"/>
      <c r="X85" s="1218"/>
      <c r="Y85" s="1218"/>
      <c r="Z85" s="1218"/>
      <c r="AA85" s="1218"/>
      <c r="AB85" s="1218"/>
      <c r="AC85" s="1218"/>
      <c r="AD85" s="1218"/>
      <c r="AE85" s="1218"/>
      <c r="AF85" s="1218"/>
      <c r="AG85" s="1218"/>
      <c r="AH85" s="1218"/>
      <c r="AI85" s="1412"/>
      <c r="AJ85" s="1564"/>
      <c r="AK85" s="1597">
        <f t="shared" ref="AK85:AK95" si="36">AK84+1</f>
        <v>20</v>
      </c>
      <c r="AL85" s="1594">
        <f>IF($AK85=Calc!$I$113,Calc!I233+NPV(DiscRPriorSub,(Calc!J233:Q233,Calc!R238)),0)</f>
        <v>260136.57029962938</v>
      </c>
      <c r="AM85" s="1595">
        <f>IF($AK85=Calc!$I$113,Calc!I233+NPV(DiscRPriorSub,(Calc!J233:V233,Calc!W238)),0)</f>
        <v>806132.85570765007</v>
      </c>
      <c r="AN85" s="1070"/>
      <c r="AO85" s="1147"/>
      <c r="AP85" s="1159"/>
      <c r="AQ85" s="1159"/>
      <c r="AR85" s="1159"/>
      <c r="AS85" s="1159"/>
      <c r="AT85" s="1159"/>
      <c r="AU85" s="1159"/>
      <c r="AV85" s="1159"/>
      <c r="AW85" s="1159"/>
      <c r="AX85" s="1159"/>
      <c r="AY85" s="1159"/>
      <c r="AZ85" s="1159"/>
      <c r="BA85" s="1159"/>
      <c r="BB85" s="1159"/>
      <c r="BC85" s="1159"/>
      <c r="BD85" s="1159"/>
      <c r="BE85" s="1159"/>
      <c r="BF85" s="1159"/>
      <c r="BG85" s="1159"/>
      <c r="BH85" s="1159"/>
      <c r="BI85" s="1159"/>
      <c r="BJ85" s="1159"/>
      <c r="BK85" s="1159"/>
      <c r="BL85" s="1159"/>
      <c r="BM85" s="1159"/>
      <c r="BN85" s="1159"/>
      <c r="BO85" s="1159"/>
      <c r="BP85" s="1159"/>
      <c r="BQ85" s="1159"/>
      <c r="BR85" s="1159"/>
      <c r="BS85" s="1186"/>
      <c r="BT85" s="1142"/>
      <c r="BU85" s="1550"/>
      <c r="BV85" s="1082"/>
      <c r="BW85" s="1552"/>
      <c r="BX85" s="1552"/>
      <c r="BY85" s="1236"/>
      <c r="BZ85" s="1236"/>
      <c r="CA85" s="1236"/>
      <c r="CH85" s="1578"/>
      <c r="CI85" s="1579"/>
      <c r="CJ85" s="1579"/>
      <c r="CL85" s="1587"/>
      <c r="CM85" s="1587"/>
    </row>
    <row r="86" spans="1:91" hidden="1" outlineLevel="1" x14ac:dyDescent="0.3">
      <c r="A86" s="1474"/>
      <c r="B86" s="1598" t="s">
        <v>1385</v>
      </c>
      <c r="C86" s="1116"/>
      <c r="D86" s="1116"/>
      <c r="E86" s="1116"/>
      <c r="F86" s="1116"/>
      <c r="G86" s="1116"/>
      <c r="H86" s="1116"/>
      <c r="I86" s="1116"/>
      <c r="J86" s="1116"/>
      <c r="K86" s="1116"/>
      <c r="L86" s="1116"/>
      <c r="M86" s="1116"/>
      <c r="N86" s="1116"/>
      <c r="O86" s="1116"/>
      <c r="P86" s="1116"/>
      <c r="Q86" s="1116"/>
      <c r="R86" s="1116"/>
      <c r="S86" s="1116"/>
      <c r="T86" s="1116"/>
      <c r="U86" s="1116"/>
      <c r="V86" s="1116"/>
      <c r="W86" s="1116"/>
      <c r="X86" s="1116"/>
      <c r="Y86" s="1116"/>
      <c r="Z86" s="1116"/>
      <c r="AA86" s="1116"/>
      <c r="AB86" s="1116"/>
      <c r="AC86" s="1116"/>
      <c r="AD86" s="1116"/>
      <c r="AE86" s="1116"/>
      <c r="AF86" s="1116"/>
      <c r="AG86" s="1116"/>
      <c r="AH86" s="1116"/>
      <c r="AI86" s="1477"/>
      <c r="AJ86" s="1564"/>
      <c r="AK86" s="1597">
        <f t="shared" si="36"/>
        <v>21</v>
      </c>
      <c r="AL86" s="1594">
        <f>IF($AK86=Calc!$J$113,Calc!J233+NPV(DiscRPriorSub,(Calc!K233:R233,Calc!S238)),0)</f>
        <v>354207.35760735749</v>
      </c>
      <c r="AM86" s="1595">
        <f>IF($AK86=Calc!$J$113,Calc!J233+NPV(DiscRPriorSub,(Calc!K233:W233,Calc!X238)),0)</f>
        <v>1017144.5283486736</v>
      </c>
      <c r="AN86" s="1070"/>
      <c r="AO86" s="1149"/>
      <c r="AP86" s="1142"/>
      <c r="AQ86" s="1142"/>
      <c r="AR86" s="1142"/>
      <c r="AS86" s="1142"/>
      <c r="AT86" s="1142"/>
      <c r="AU86" s="1142"/>
      <c r="AV86" s="1142"/>
      <c r="AW86" s="1142"/>
      <c r="AX86" s="1142"/>
      <c r="AY86" s="1142"/>
      <c r="AZ86" s="1142"/>
      <c r="BA86" s="1142"/>
      <c r="BB86" s="1142"/>
      <c r="BC86" s="1142"/>
      <c r="BD86" s="1142"/>
      <c r="BE86" s="1142"/>
      <c r="BF86" s="1142"/>
      <c r="BG86" s="1142"/>
      <c r="BH86" s="1142"/>
      <c r="BI86" s="1142"/>
      <c r="BJ86" s="1142"/>
      <c r="BK86" s="1142"/>
      <c r="BL86" s="1142"/>
      <c r="BM86" s="1142"/>
      <c r="BN86" s="1142"/>
      <c r="BO86" s="1142"/>
      <c r="BP86" s="1142"/>
      <c r="BQ86" s="1142"/>
      <c r="BR86" s="1142"/>
      <c r="BS86" s="1437"/>
      <c r="BT86" s="1142"/>
      <c r="BU86" s="1550"/>
      <c r="BV86" s="1082"/>
      <c r="BW86" s="1596"/>
      <c r="BX86" s="1596"/>
      <c r="BY86" s="1236"/>
      <c r="BZ86" s="1236"/>
      <c r="CA86" s="1236"/>
      <c r="CH86" s="1578"/>
      <c r="CI86" s="1579"/>
      <c r="CJ86" s="1579"/>
      <c r="CL86" s="1587"/>
      <c r="CM86" s="1587"/>
    </row>
    <row r="87" spans="1:91" hidden="1" outlineLevel="1" x14ac:dyDescent="0.3">
      <c r="A87" s="1474"/>
      <c r="B87" s="1599" t="s">
        <v>690</v>
      </c>
      <c r="C87" s="1222" t="s">
        <v>1386</v>
      </c>
      <c r="D87" s="1222"/>
      <c r="E87" s="1222"/>
      <c r="F87" s="1222"/>
      <c r="G87" s="1600">
        <f t="shared" ref="G87:AI87" si="37">((G19)*(1-$BU$24))</f>
        <v>200</v>
      </c>
      <c r="H87" s="1601">
        <f t="shared" si="37"/>
        <v>1000</v>
      </c>
      <c r="I87" s="1601">
        <f t="shared" si="37"/>
        <v>2500</v>
      </c>
      <c r="J87" s="1601">
        <f t="shared" si="37"/>
        <v>3500</v>
      </c>
      <c r="K87" s="1601">
        <f t="shared" si="37"/>
        <v>4500</v>
      </c>
      <c r="L87" s="1601">
        <f t="shared" si="37"/>
        <v>3300.0096684919295</v>
      </c>
      <c r="M87" s="1601">
        <f t="shared" si="37"/>
        <v>3694.2371301226672</v>
      </c>
      <c r="N87" s="1601">
        <f t="shared" si="37"/>
        <v>3323.4314505797752</v>
      </c>
      <c r="O87" s="1601">
        <f t="shared" si="37"/>
        <v>3485.7419101714595</v>
      </c>
      <c r="P87" s="1601">
        <f t="shared" si="37"/>
        <v>3972.1389686656671</v>
      </c>
      <c r="Q87" s="1601">
        <f t="shared" si="37"/>
        <v>4251.5718022985111</v>
      </c>
      <c r="R87" s="1601">
        <f t="shared" si="37"/>
        <v>3983.4022067022779</v>
      </c>
      <c r="S87" s="1601">
        <f t="shared" si="37"/>
        <v>4423.4177056210374</v>
      </c>
      <c r="T87" s="1601">
        <f t="shared" si="37"/>
        <v>4578.8839067073877</v>
      </c>
      <c r="U87" s="1601">
        <f t="shared" si="37"/>
        <v>5307.5446701130122</v>
      </c>
      <c r="V87" s="1601">
        <f t="shared" si="37"/>
        <v>5833.6304009883333</v>
      </c>
      <c r="W87" s="1601">
        <f t="shared" si="37"/>
        <v>6556.6565753731547</v>
      </c>
      <c r="X87" s="1601">
        <f t="shared" si="37"/>
        <v>0</v>
      </c>
      <c r="Y87" s="1601">
        <f t="shared" si="37"/>
        <v>0</v>
      </c>
      <c r="Z87" s="1601">
        <f t="shared" si="37"/>
        <v>0</v>
      </c>
      <c r="AA87" s="1601">
        <f t="shared" si="37"/>
        <v>0</v>
      </c>
      <c r="AB87" s="1601">
        <f t="shared" si="37"/>
        <v>0</v>
      </c>
      <c r="AC87" s="1601">
        <f t="shared" si="37"/>
        <v>0</v>
      </c>
      <c r="AD87" s="1601">
        <f t="shared" si="37"/>
        <v>0</v>
      </c>
      <c r="AE87" s="1601">
        <f t="shared" si="37"/>
        <v>0</v>
      </c>
      <c r="AF87" s="1601">
        <f t="shared" si="37"/>
        <v>0</v>
      </c>
      <c r="AG87" s="1601">
        <f t="shared" si="37"/>
        <v>0</v>
      </c>
      <c r="AH87" s="1601">
        <f t="shared" si="37"/>
        <v>0</v>
      </c>
      <c r="AI87" s="1602">
        <f t="shared" si="37"/>
        <v>0</v>
      </c>
      <c r="AJ87" s="1564"/>
      <c r="AK87" s="1597">
        <f t="shared" si="36"/>
        <v>22</v>
      </c>
      <c r="AL87" s="1594">
        <f>IF($AK87=Calc!$K$113,Calc!K233+NPV(DiscRPriorSub,(Calc!L233:S233,Calc!T238)),0)</f>
        <v>453748.09124262695</v>
      </c>
      <c r="AM87" s="1595">
        <f>IF($AK87=Calc!$K$113,Calc!K233+NPV(DiscRPriorSub,(Calc!L233:X233,Calc!Y238)),0)</f>
        <v>1064116.0515861202</v>
      </c>
      <c r="AN87" s="1070"/>
      <c r="AO87" s="1149"/>
      <c r="AP87" s="1142"/>
      <c r="AQ87" s="1142"/>
      <c r="AR87" s="1142"/>
      <c r="AS87" s="1142"/>
      <c r="AT87" s="1142"/>
      <c r="AU87" s="1142"/>
      <c r="AV87" s="1142"/>
      <c r="AW87" s="1142"/>
      <c r="AX87" s="1142"/>
      <c r="AY87" s="1142"/>
      <c r="AZ87" s="1142"/>
      <c r="BA87" s="1142"/>
      <c r="BB87" s="1142"/>
      <c r="BC87" s="1142"/>
      <c r="BD87" s="1142"/>
      <c r="BE87" s="1142"/>
      <c r="BF87" s="1142"/>
      <c r="BG87" s="1142"/>
      <c r="BH87" s="1142"/>
      <c r="BI87" s="1142"/>
      <c r="BJ87" s="1142"/>
      <c r="BK87" s="1142"/>
      <c r="BL87" s="1142"/>
      <c r="BM87" s="1142"/>
      <c r="BN87" s="1142"/>
      <c r="BO87" s="1142"/>
      <c r="BP87" s="1142"/>
      <c r="BQ87" s="1142"/>
      <c r="BR87" s="1142"/>
      <c r="BS87" s="1437"/>
      <c r="BT87" s="1142"/>
      <c r="BU87" s="1478"/>
      <c r="BV87" s="1070"/>
      <c r="BW87" s="1526"/>
      <c r="BX87" s="1526"/>
      <c r="CH87" s="1578"/>
      <c r="CI87" s="1579"/>
      <c r="CJ87" s="1579"/>
      <c r="CL87" s="1587"/>
      <c r="CM87" s="1587"/>
    </row>
    <row r="88" spans="1:91" hidden="1" outlineLevel="1" x14ac:dyDescent="0.3">
      <c r="A88" s="1474"/>
      <c r="B88" s="1207"/>
      <c r="C88" s="1116" t="s">
        <v>1387</v>
      </c>
      <c r="D88" s="1116"/>
      <c r="E88" s="1116"/>
      <c r="F88" s="1116"/>
      <c r="G88" s="1603">
        <f t="shared" ref="G88:AI88" si="38">((AQ19)*(1-$BU$24))</f>
        <v>0</v>
      </c>
      <c r="H88" s="1604">
        <f t="shared" si="38"/>
        <v>0</v>
      </c>
      <c r="I88" s="1604">
        <f t="shared" si="38"/>
        <v>0</v>
      </c>
      <c r="J88" s="1604">
        <f t="shared" si="38"/>
        <v>0</v>
      </c>
      <c r="K88" s="1604">
        <f t="shared" si="38"/>
        <v>0</v>
      </c>
      <c r="L88" s="1604">
        <f t="shared" si="38"/>
        <v>0</v>
      </c>
      <c r="M88" s="1604">
        <f t="shared" si="38"/>
        <v>0</v>
      </c>
      <c r="N88" s="1604">
        <f t="shared" si="38"/>
        <v>0</v>
      </c>
      <c r="O88" s="1604">
        <f t="shared" si="38"/>
        <v>0</v>
      </c>
      <c r="P88" s="1604">
        <f t="shared" si="38"/>
        <v>0</v>
      </c>
      <c r="Q88" s="1604">
        <f t="shared" si="38"/>
        <v>0</v>
      </c>
      <c r="R88" s="1604">
        <f t="shared" si="38"/>
        <v>0</v>
      </c>
      <c r="S88" s="1604">
        <f t="shared" si="38"/>
        <v>0</v>
      </c>
      <c r="T88" s="1604">
        <f t="shared" si="38"/>
        <v>0</v>
      </c>
      <c r="U88" s="1604">
        <f t="shared" si="38"/>
        <v>0</v>
      </c>
      <c r="V88" s="1604">
        <f t="shared" si="38"/>
        <v>0</v>
      </c>
      <c r="W88" s="1604">
        <f t="shared" si="38"/>
        <v>0</v>
      </c>
      <c r="X88" s="1604">
        <f t="shared" si="38"/>
        <v>0</v>
      </c>
      <c r="Y88" s="1604">
        <f t="shared" si="38"/>
        <v>0</v>
      </c>
      <c r="Z88" s="1604">
        <f t="shared" si="38"/>
        <v>0</v>
      </c>
      <c r="AA88" s="1604">
        <f t="shared" si="38"/>
        <v>0</v>
      </c>
      <c r="AB88" s="1604">
        <f t="shared" si="38"/>
        <v>0</v>
      </c>
      <c r="AC88" s="1604">
        <f t="shared" si="38"/>
        <v>0</v>
      </c>
      <c r="AD88" s="1604">
        <f t="shared" si="38"/>
        <v>0</v>
      </c>
      <c r="AE88" s="1604">
        <f t="shared" si="38"/>
        <v>0</v>
      </c>
      <c r="AF88" s="1604">
        <f t="shared" si="38"/>
        <v>0</v>
      </c>
      <c r="AG88" s="1604">
        <f t="shared" si="38"/>
        <v>0</v>
      </c>
      <c r="AH88" s="1604">
        <f t="shared" si="38"/>
        <v>0</v>
      </c>
      <c r="AI88" s="1605">
        <f t="shared" si="38"/>
        <v>0</v>
      </c>
      <c r="AJ88" s="1564"/>
      <c r="AK88" s="1597">
        <f t="shared" si="36"/>
        <v>23</v>
      </c>
      <c r="AL88" s="1594">
        <f>IF($AK88=Calc!$L$113,Calc!L233+NPV(DiscRPriorSub,(Calc!M233:T233,Calc!U238)),0)</f>
        <v>566874.58038150659</v>
      </c>
      <c r="AM88" s="1595">
        <f>IF($AK88=Calc!$L$113,Calc!L233+NPV(DiscRPriorSub,(Calc!M233:Y233,Calc!Z238)),0)</f>
        <v>1069318.4640338491</v>
      </c>
      <c r="AN88" s="1070"/>
      <c r="AO88" s="1149"/>
      <c r="AP88" s="1142"/>
      <c r="AQ88" s="1142"/>
      <c r="AR88" s="1142"/>
      <c r="AS88" s="1142"/>
      <c r="AT88" s="1142"/>
      <c r="AU88" s="1142"/>
      <c r="AV88" s="1142"/>
      <c r="AW88" s="1142"/>
      <c r="AX88" s="1142"/>
      <c r="AY88" s="1142"/>
      <c r="AZ88" s="1142"/>
      <c r="BA88" s="1142"/>
      <c r="BB88" s="1142"/>
      <c r="BC88" s="1142"/>
      <c r="BD88" s="1142"/>
      <c r="BE88" s="1142"/>
      <c r="BF88" s="1142"/>
      <c r="BG88" s="1142"/>
      <c r="BH88" s="1142"/>
      <c r="BI88" s="1142"/>
      <c r="BJ88" s="1142"/>
      <c r="BK88" s="1142"/>
      <c r="BL88" s="1142"/>
      <c r="BM88" s="1142"/>
      <c r="BN88" s="1142"/>
      <c r="BO88" s="1142"/>
      <c r="BP88" s="1142"/>
      <c r="BQ88" s="1142"/>
      <c r="BR88" s="1142"/>
      <c r="BS88" s="1437"/>
      <c r="BT88" s="1142"/>
      <c r="BU88" s="1478"/>
      <c r="BV88" s="1070"/>
      <c r="BW88" s="1526"/>
      <c r="BX88" s="1526"/>
      <c r="CH88" s="1578"/>
      <c r="CI88" s="1579"/>
      <c r="CJ88" s="1579"/>
      <c r="CL88" s="1587"/>
      <c r="CM88" s="1587"/>
    </row>
    <row r="89" spans="1:91" hidden="1" outlineLevel="1" x14ac:dyDescent="0.3">
      <c r="A89" s="1474"/>
      <c r="B89" s="1207" t="s">
        <v>446</v>
      </c>
      <c r="C89" s="1116" t="s">
        <v>1386</v>
      </c>
      <c r="D89" s="1116"/>
      <c r="E89" s="1116"/>
      <c r="F89" s="1116"/>
      <c r="G89" s="1603">
        <f t="shared" ref="G89:AI89" si="39">((G20)*(1-$BU$24))</f>
        <v>4828.4206951872993</v>
      </c>
      <c r="H89" s="1604">
        <f t="shared" si="39"/>
        <v>3450.6323370654059</v>
      </c>
      <c r="I89" s="1604">
        <f t="shared" si="39"/>
        <v>8338.541056523256</v>
      </c>
      <c r="J89" s="1604">
        <f t="shared" si="39"/>
        <v>7736.0276633552903</v>
      </c>
      <c r="K89" s="1604">
        <f t="shared" si="39"/>
        <v>2362.6098811049887</v>
      </c>
      <c r="L89" s="1604">
        <f t="shared" si="39"/>
        <v>1451.8026343507922</v>
      </c>
      <c r="M89" s="1604">
        <f t="shared" si="39"/>
        <v>205.83868703780806</v>
      </c>
      <c r="N89" s="1604">
        <f t="shared" si="39"/>
        <v>209.9554607785642</v>
      </c>
      <c r="O89" s="1604">
        <f t="shared" si="39"/>
        <v>214.1545699941355</v>
      </c>
      <c r="P89" s="1604">
        <f t="shared" si="39"/>
        <v>218.43766139401816</v>
      </c>
      <c r="Q89" s="1604">
        <f t="shared" si="39"/>
        <v>222.80641462189857</v>
      </c>
      <c r="R89" s="1604">
        <f t="shared" si="39"/>
        <v>0</v>
      </c>
      <c r="S89" s="1604">
        <f t="shared" si="39"/>
        <v>0</v>
      </c>
      <c r="T89" s="1604">
        <f t="shared" si="39"/>
        <v>0</v>
      </c>
      <c r="U89" s="1604">
        <f t="shared" si="39"/>
        <v>0</v>
      </c>
      <c r="V89" s="1604">
        <f t="shared" si="39"/>
        <v>0</v>
      </c>
      <c r="W89" s="1604">
        <f t="shared" si="39"/>
        <v>0</v>
      </c>
      <c r="X89" s="1604">
        <f t="shared" si="39"/>
        <v>0</v>
      </c>
      <c r="Y89" s="1604">
        <f t="shared" si="39"/>
        <v>0</v>
      </c>
      <c r="Z89" s="1604">
        <f t="shared" si="39"/>
        <v>0</v>
      </c>
      <c r="AA89" s="1604">
        <f t="shared" si="39"/>
        <v>0</v>
      </c>
      <c r="AB89" s="1604">
        <f t="shared" si="39"/>
        <v>0</v>
      </c>
      <c r="AC89" s="1604">
        <f t="shared" si="39"/>
        <v>0</v>
      </c>
      <c r="AD89" s="1604">
        <f t="shared" si="39"/>
        <v>0</v>
      </c>
      <c r="AE89" s="1604">
        <f t="shared" si="39"/>
        <v>0</v>
      </c>
      <c r="AF89" s="1604">
        <f t="shared" si="39"/>
        <v>0</v>
      </c>
      <c r="AG89" s="1604">
        <f t="shared" si="39"/>
        <v>0</v>
      </c>
      <c r="AH89" s="1604">
        <f t="shared" si="39"/>
        <v>0</v>
      </c>
      <c r="AI89" s="1605">
        <f t="shared" si="39"/>
        <v>0</v>
      </c>
      <c r="AJ89" s="1564"/>
      <c r="AK89" s="1597">
        <f t="shared" si="36"/>
        <v>24</v>
      </c>
      <c r="AL89" s="1594">
        <f>IF($AK89=Calc!$M$113,Calc!M233+NPV(DiscRPriorSub,(Calc!N233:U233,Calc!V238)),0)</f>
        <v>700201.0090882387</v>
      </c>
      <c r="AM89" s="1595">
        <f>IF($AK89=Calc!$M$113,Calc!M233+NPV(DiscRPriorSub,(Calc!N233:Z233,Calc!AA238)),0)</f>
        <v>1081173.4347630513</v>
      </c>
      <c r="AN89" s="1070"/>
      <c r="AO89" s="1149"/>
      <c r="AP89" s="1142"/>
      <c r="AQ89" s="1142"/>
      <c r="AR89" s="1142"/>
      <c r="AS89" s="1142"/>
      <c r="AT89" s="1142"/>
      <c r="AU89" s="1142"/>
      <c r="AV89" s="1142"/>
      <c r="AW89" s="1142"/>
      <c r="AX89" s="1142"/>
      <c r="AY89" s="1142"/>
      <c r="AZ89" s="1142"/>
      <c r="BA89" s="1142"/>
      <c r="BB89" s="1142"/>
      <c r="BC89" s="1142"/>
      <c r="BD89" s="1142"/>
      <c r="BE89" s="1142"/>
      <c r="BF89" s="1142"/>
      <c r="BG89" s="1142"/>
      <c r="BH89" s="1142"/>
      <c r="BI89" s="1142"/>
      <c r="BJ89" s="1142"/>
      <c r="BK89" s="1142"/>
      <c r="BL89" s="1142"/>
      <c r="BM89" s="1142"/>
      <c r="BN89" s="1142"/>
      <c r="BO89" s="1142"/>
      <c r="BP89" s="1142"/>
      <c r="BQ89" s="1142"/>
      <c r="BR89" s="1142"/>
      <c r="BS89" s="1437"/>
      <c r="BT89" s="1142"/>
      <c r="BU89" s="1478"/>
      <c r="BV89" s="1070"/>
      <c r="BW89" s="1526"/>
      <c r="BX89" s="1526"/>
      <c r="CH89" s="1578"/>
      <c r="CI89" s="1579"/>
      <c r="CJ89" s="1579"/>
      <c r="CL89" s="1587"/>
      <c r="CM89" s="1587"/>
    </row>
    <row r="90" spans="1:91" hidden="1" outlineLevel="1" x14ac:dyDescent="0.3">
      <c r="A90" s="1474"/>
      <c r="B90" s="1207"/>
      <c r="C90" s="1116" t="s">
        <v>1387</v>
      </c>
      <c r="D90" s="1116"/>
      <c r="E90" s="1116"/>
      <c r="F90" s="1116"/>
      <c r="G90" s="1603">
        <f t="shared" ref="G90:AI90" si="40">((AQ20)*(1-$BU$24))</f>
        <v>0</v>
      </c>
      <c r="H90" s="1604">
        <f t="shared" si="40"/>
        <v>0</v>
      </c>
      <c r="I90" s="1604">
        <f t="shared" si="40"/>
        <v>0</v>
      </c>
      <c r="J90" s="1604">
        <f t="shared" si="40"/>
        <v>0</v>
      </c>
      <c r="K90" s="1604">
        <f t="shared" si="40"/>
        <v>0</v>
      </c>
      <c r="L90" s="1604">
        <f t="shared" si="40"/>
        <v>0</v>
      </c>
      <c r="M90" s="1604">
        <f t="shared" si="40"/>
        <v>0</v>
      </c>
      <c r="N90" s="1604">
        <f t="shared" si="40"/>
        <v>0</v>
      </c>
      <c r="O90" s="1604">
        <f t="shared" si="40"/>
        <v>0</v>
      </c>
      <c r="P90" s="1604">
        <f t="shared" si="40"/>
        <v>0</v>
      </c>
      <c r="Q90" s="1604">
        <f t="shared" si="40"/>
        <v>0</v>
      </c>
      <c r="R90" s="1604">
        <f t="shared" si="40"/>
        <v>0</v>
      </c>
      <c r="S90" s="1604">
        <f t="shared" si="40"/>
        <v>0</v>
      </c>
      <c r="T90" s="1604">
        <f t="shared" si="40"/>
        <v>0</v>
      </c>
      <c r="U90" s="1604">
        <f t="shared" si="40"/>
        <v>0</v>
      </c>
      <c r="V90" s="1604">
        <f t="shared" si="40"/>
        <v>0</v>
      </c>
      <c r="W90" s="1604">
        <f t="shared" si="40"/>
        <v>0</v>
      </c>
      <c r="X90" s="1604">
        <f t="shared" si="40"/>
        <v>0</v>
      </c>
      <c r="Y90" s="1604">
        <f t="shared" si="40"/>
        <v>0</v>
      </c>
      <c r="Z90" s="1604">
        <f t="shared" si="40"/>
        <v>0</v>
      </c>
      <c r="AA90" s="1604">
        <f t="shared" si="40"/>
        <v>0</v>
      </c>
      <c r="AB90" s="1604">
        <f t="shared" si="40"/>
        <v>0</v>
      </c>
      <c r="AC90" s="1604">
        <f t="shared" si="40"/>
        <v>0</v>
      </c>
      <c r="AD90" s="1604">
        <f t="shared" si="40"/>
        <v>0</v>
      </c>
      <c r="AE90" s="1604">
        <f t="shared" si="40"/>
        <v>0</v>
      </c>
      <c r="AF90" s="1604">
        <f t="shared" si="40"/>
        <v>0</v>
      </c>
      <c r="AG90" s="1604">
        <f t="shared" si="40"/>
        <v>0</v>
      </c>
      <c r="AH90" s="1604">
        <f t="shared" si="40"/>
        <v>0</v>
      </c>
      <c r="AI90" s="1605">
        <f t="shared" si="40"/>
        <v>0</v>
      </c>
      <c r="AJ90" s="1564"/>
      <c r="AK90" s="1597">
        <f t="shared" si="36"/>
        <v>25</v>
      </c>
      <c r="AL90" s="1594">
        <f>IF($AK90=Calc!$N$113,Calc!N233+NPV(DiscRPriorSub,(Calc!O233:V233,Calc!W238)),0)</f>
        <v>826217.70319582138</v>
      </c>
      <c r="AM90" s="1595">
        <f>IF($AK90=Calc!$N$113,Calc!N233+NPV(DiscRPriorSub,(Calc!O233:AA233,Calc!AB238)),0)</f>
        <v>1068568.5429293122</v>
      </c>
      <c r="AN90" s="1070"/>
      <c r="AO90" s="1149"/>
      <c r="AP90" s="1142"/>
      <c r="AQ90" s="1142"/>
      <c r="AR90" s="1142"/>
      <c r="AS90" s="1142"/>
      <c r="AT90" s="1142"/>
      <c r="AU90" s="1142"/>
      <c r="AV90" s="1142"/>
      <c r="AW90" s="1142"/>
      <c r="AX90" s="1142"/>
      <c r="AY90" s="1142"/>
      <c r="AZ90" s="1142"/>
      <c r="BA90" s="1142"/>
      <c r="BB90" s="1142"/>
      <c r="BC90" s="1142"/>
      <c r="BD90" s="1142"/>
      <c r="BE90" s="1142"/>
      <c r="BF90" s="1142"/>
      <c r="BG90" s="1142"/>
      <c r="BH90" s="1142"/>
      <c r="BI90" s="1142"/>
      <c r="BJ90" s="1142"/>
      <c r="BK90" s="1142"/>
      <c r="BL90" s="1142"/>
      <c r="BM90" s="1142"/>
      <c r="BN90" s="1142"/>
      <c r="BO90" s="1142"/>
      <c r="BP90" s="1142"/>
      <c r="BQ90" s="1142"/>
      <c r="BR90" s="1142"/>
      <c r="BS90" s="1437"/>
      <c r="BT90" s="1142"/>
      <c r="BU90" s="1478"/>
      <c r="BV90" s="1070"/>
      <c r="BW90" s="1526"/>
      <c r="BX90" s="1526"/>
      <c r="CH90" s="1578"/>
      <c r="CI90" s="1579"/>
      <c r="CJ90" s="1579"/>
      <c r="CL90" s="1587"/>
      <c r="CM90" s="1587"/>
    </row>
    <row r="91" spans="1:91" hidden="1" outlineLevel="1" x14ac:dyDescent="0.3">
      <c r="A91" s="1474"/>
      <c r="B91" s="1207" t="s">
        <v>1366</v>
      </c>
      <c r="C91" s="1116" t="s">
        <v>1386</v>
      </c>
      <c r="D91" s="1116"/>
      <c r="E91" s="1116"/>
      <c r="F91" s="1116"/>
      <c r="G91" s="1603">
        <f t="shared" ref="G91:AI91" si="41">G27</f>
        <v>0</v>
      </c>
      <c r="H91" s="1604">
        <f t="shared" si="41"/>
        <v>0</v>
      </c>
      <c r="I91" s="1604">
        <f t="shared" si="41"/>
        <v>0</v>
      </c>
      <c r="J91" s="1604">
        <f t="shared" si="41"/>
        <v>0</v>
      </c>
      <c r="K91" s="1604">
        <f t="shared" si="41"/>
        <v>0</v>
      </c>
      <c r="L91" s="1604">
        <f t="shared" si="41"/>
        <v>13066.666666666666</v>
      </c>
      <c r="M91" s="1604">
        <f t="shared" si="41"/>
        <v>-933.33333333333337</v>
      </c>
      <c r="N91" s="1604">
        <f t="shared" si="41"/>
        <v>-933.33333333333337</v>
      </c>
      <c r="O91" s="1604">
        <f t="shared" si="41"/>
        <v>-933.33333333333337</v>
      </c>
      <c r="P91" s="1604">
        <f t="shared" si="41"/>
        <v>-933.33333333333337</v>
      </c>
      <c r="Q91" s="1604">
        <f t="shared" si="41"/>
        <v>-933.33333333333337</v>
      </c>
      <c r="R91" s="1604">
        <f t="shared" si="41"/>
        <v>-933.33333333333337</v>
      </c>
      <c r="S91" s="1604">
        <f t="shared" si="41"/>
        <v>-933.33333333333337</v>
      </c>
      <c r="T91" s="1604">
        <f t="shared" si="41"/>
        <v>-933.33333333333337</v>
      </c>
      <c r="U91" s="1604">
        <f t="shared" si="41"/>
        <v>-933.33333333333337</v>
      </c>
      <c r="V91" s="1604">
        <f t="shared" si="41"/>
        <v>-933.33333333333337</v>
      </c>
      <c r="W91" s="1604">
        <f t="shared" si="41"/>
        <v>-933.33333333333337</v>
      </c>
      <c r="X91" s="1604">
        <f t="shared" si="41"/>
        <v>-933.33333333333337</v>
      </c>
      <c r="Y91" s="1604">
        <f t="shared" si="41"/>
        <v>-933.33333333333337</v>
      </c>
      <c r="Z91" s="1604">
        <f t="shared" si="41"/>
        <v>-933.33333333333337</v>
      </c>
      <c r="AA91" s="1604">
        <f t="shared" si="41"/>
        <v>0</v>
      </c>
      <c r="AB91" s="1604">
        <f t="shared" si="41"/>
        <v>0</v>
      </c>
      <c r="AC91" s="1604">
        <f t="shared" si="41"/>
        <v>0</v>
      </c>
      <c r="AD91" s="1604">
        <f t="shared" si="41"/>
        <v>0</v>
      </c>
      <c r="AE91" s="1604">
        <f t="shared" si="41"/>
        <v>0</v>
      </c>
      <c r="AF91" s="1604">
        <f t="shared" si="41"/>
        <v>0</v>
      </c>
      <c r="AG91" s="1604">
        <f t="shared" si="41"/>
        <v>0</v>
      </c>
      <c r="AH91" s="1604">
        <f t="shared" si="41"/>
        <v>0</v>
      </c>
      <c r="AI91" s="1605">
        <f t="shared" si="41"/>
        <v>0</v>
      </c>
      <c r="AJ91" s="1564"/>
      <c r="AK91" s="1597">
        <f t="shared" si="36"/>
        <v>26</v>
      </c>
      <c r="AL91" s="1594">
        <f>IF($AK91=Calc!$O$113,Calc!O233+NPV(DiscRPriorSub,(Calc!P233:W233,Calc!X238)),0)</f>
        <v>1001550.3799386139</v>
      </c>
      <c r="AM91" s="1595">
        <f>IF($AK91=Calc!$O$113,Calc!O233+NPV(DiscRPriorSub,(Calc!P233:AB233,Calc!AC238)),0)</f>
        <v>1040693.2965917781</v>
      </c>
      <c r="AN91" s="1070"/>
      <c r="AO91" s="1149"/>
      <c r="AP91" s="1142"/>
      <c r="AQ91" s="1142"/>
      <c r="AR91" s="1142"/>
      <c r="AS91" s="1142"/>
      <c r="AT91" s="1142"/>
      <c r="AU91" s="1142"/>
      <c r="AV91" s="1142"/>
      <c r="AW91" s="1142"/>
      <c r="AX91" s="1142"/>
      <c r="AY91" s="1142"/>
      <c r="AZ91" s="1142"/>
      <c r="BA91" s="1142"/>
      <c r="BB91" s="1142"/>
      <c r="BC91" s="1142"/>
      <c r="BD91" s="1142"/>
      <c r="BE91" s="1142"/>
      <c r="BF91" s="1142"/>
      <c r="BG91" s="1142"/>
      <c r="BH91" s="1142"/>
      <c r="BI91" s="1142"/>
      <c r="BJ91" s="1142"/>
      <c r="BK91" s="1142"/>
      <c r="BL91" s="1142"/>
      <c r="BM91" s="1142"/>
      <c r="BN91" s="1142"/>
      <c r="BO91" s="1142"/>
      <c r="BP91" s="1142"/>
      <c r="BQ91" s="1142"/>
      <c r="BR91" s="1142"/>
      <c r="BS91" s="1437"/>
      <c r="BT91" s="1142"/>
      <c r="BU91" s="1478"/>
      <c r="BV91" s="1070"/>
      <c r="BW91" s="1526"/>
      <c r="BX91" s="1526"/>
      <c r="CH91" s="1578"/>
      <c r="CI91" s="1579"/>
      <c r="CJ91" s="1579"/>
      <c r="CL91" s="1587"/>
      <c r="CM91" s="1587"/>
    </row>
    <row r="92" spans="1:91" hidden="1" outlineLevel="1" x14ac:dyDescent="0.3">
      <c r="A92" s="1474"/>
      <c r="B92" s="1606"/>
      <c r="C92" s="1226" t="s">
        <v>1387</v>
      </c>
      <c r="D92" s="1226"/>
      <c r="E92" s="1226"/>
      <c r="F92" s="1226"/>
      <c r="G92" s="1607">
        <f t="shared" ref="G92:AI92" si="42">AQ27</f>
        <v>0</v>
      </c>
      <c r="H92" s="1608">
        <f t="shared" si="42"/>
        <v>0</v>
      </c>
      <c r="I92" s="1608">
        <f t="shared" si="42"/>
        <v>0</v>
      </c>
      <c r="J92" s="1608">
        <f t="shared" si="42"/>
        <v>0</v>
      </c>
      <c r="K92" s="1608">
        <f t="shared" si="42"/>
        <v>0</v>
      </c>
      <c r="L92" s="1608">
        <f t="shared" si="42"/>
        <v>0</v>
      </c>
      <c r="M92" s="1608">
        <f t="shared" si="42"/>
        <v>0</v>
      </c>
      <c r="N92" s="1608">
        <f t="shared" si="42"/>
        <v>0</v>
      </c>
      <c r="O92" s="1608">
        <f t="shared" si="42"/>
        <v>0</v>
      </c>
      <c r="P92" s="1608">
        <f t="shared" si="42"/>
        <v>0</v>
      </c>
      <c r="Q92" s="1608">
        <f t="shared" si="42"/>
        <v>0</v>
      </c>
      <c r="R92" s="1608">
        <f t="shared" si="42"/>
        <v>0</v>
      </c>
      <c r="S92" s="1608">
        <f t="shared" si="42"/>
        <v>0</v>
      </c>
      <c r="T92" s="1608">
        <f t="shared" si="42"/>
        <v>0</v>
      </c>
      <c r="U92" s="1608">
        <f t="shared" si="42"/>
        <v>0</v>
      </c>
      <c r="V92" s="1608">
        <f t="shared" si="42"/>
        <v>0</v>
      </c>
      <c r="W92" s="1608">
        <f t="shared" si="42"/>
        <v>0</v>
      </c>
      <c r="X92" s="1608">
        <f t="shared" si="42"/>
        <v>0</v>
      </c>
      <c r="Y92" s="1608">
        <f t="shared" si="42"/>
        <v>0</v>
      </c>
      <c r="Z92" s="1608">
        <f t="shared" si="42"/>
        <v>0</v>
      </c>
      <c r="AA92" s="1608">
        <f t="shared" si="42"/>
        <v>0</v>
      </c>
      <c r="AB92" s="1608">
        <f t="shared" si="42"/>
        <v>0</v>
      </c>
      <c r="AC92" s="1608">
        <f t="shared" si="42"/>
        <v>0</v>
      </c>
      <c r="AD92" s="1608">
        <f t="shared" si="42"/>
        <v>0</v>
      </c>
      <c r="AE92" s="1608">
        <f t="shared" si="42"/>
        <v>0</v>
      </c>
      <c r="AF92" s="1608">
        <f t="shared" si="42"/>
        <v>0</v>
      </c>
      <c r="AG92" s="1608">
        <f t="shared" si="42"/>
        <v>0</v>
      </c>
      <c r="AH92" s="1608">
        <f t="shared" si="42"/>
        <v>0</v>
      </c>
      <c r="AI92" s="1609">
        <f t="shared" si="42"/>
        <v>0</v>
      </c>
      <c r="AJ92" s="1564"/>
      <c r="AK92" s="1597">
        <f t="shared" si="36"/>
        <v>27</v>
      </c>
      <c r="AL92" s="1594">
        <f>IF($AK92=Calc!$P$113,Calc!P233+NPV(DiscRPriorSub,(Calc!Q233:X233,Calc!Y238)),0)</f>
        <v>994672.55676301592</v>
      </c>
      <c r="AM92" s="1595">
        <f>IF($AK92=Calc!$P$113,Calc!P233+NPV(DiscRPriorSub,(Calc!Q233:AC233,Calc!AD238)),0)</f>
        <v>994933.89009634929</v>
      </c>
      <c r="AN92" s="1070"/>
      <c r="AO92" s="1207"/>
      <c r="AP92" s="1116"/>
      <c r="AQ92" s="1116"/>
      <c r="AR92" s="1116"/>
      <c r="AS92" s="1116"/>
      <c r="AT92" s="1116"/>
      <c r="AU92" s="1116"/>
      <c r="AV92" s="1116"/>
      <c r="AW92" s="1116"/>
      <c r="AX92" s="1116"/>
      <c r="AY92" s="1116"/>
      <c r="AZ92" s="1116"/>
      <c r="BA92" s="1116"/>
      <c r="BB92" s="1116"/>
      <c r="BC92" s="1116"/>
      <c r="BD92" s="1116"/>
      <c r="BE92" s="1116"/>
      <c r="BF92" s="1116"/>
      <c r="BG92" s="1116"/>
      <c r="BH92" s="1116"/>
      <c r="BI92" s="1116"/>
      <c r="BJ92" s="1116"/>
      <c r="BK92" s="1116"/>
      <c r="BL92" s="1116"/>
      <c r="BM92" s="1116"/>
      <c r="BN92" s="1116"/>
      <c r="BO92" s="1116"/>
      <c r="BP92" s="1116"/>
      <c r="BQ92" s="1116"/>
      <c r="BR92" s="1116"/>
      <c r="BS92" s="1477"/>
      <c r="BT92" s="1142"/>
      <c r="BU92" s="1478"/>
      <c r="BV92" s="1070"/>
      <c r="BW92" s="1526"/>
      <c r="BX92" s="1526"/>
      <c r="CH92" s="1578"/>
      <c r="CI92" s="1579"/>
      <c r="CJ92" s="1579"/>
      <c r="CL92" s="1587"/>
      <c r="CM92" s="1587"/>
    </row>
    <row r="93" spans="1:91" hidden="1" outlineLevel="1" x14ac:dyDescent="0.3">
      <c r="A93" s="1474"/>
      <c r="B93" s="1598"/>
      <c r="C93" s="1116"/>
      <c r="D93" s="1116"/>
      <c r="E93" s="1116"/>
      <c r="F93" s="1116"/>
      <c r="G93" s="1116"/>
      <c r="H93" s="1116"/>
      <c r="I93" s="1116"/>
      <c r="J93" s="1116"/>
      <c r="K93" s="1116"/>
      <c r="L93" s="1116"/>
      <c r="M93" s="1116"/>
      <c r="N93" s="1116"/>
      <c r="O93" s="1116"/>
      <c r="P93" s="1116"/>
      <c r="Q93" s="1116"/>
      <c r="R93" s="1116"/>
      <c r="S93" s="1116"/>
      <c r="T93" s="1116"/>
      <c r="U93" s="1116"/>
      <c r="V93" s="1116"/>
      <c r="W93" s="1116"/>
      <c r="X93" s="1116"/>
      <c r="Y93" s="1116"/>
      <c r="Z93" s="1116"/>
      <c r="AA93" s="1116"/>
      <c r="AB93" s="1116"/>
      <c r="AC93" s="1116"/>
      <c r="AD93" s="1116"/>
      <c r="AE93" s="1116"/>
      <c r="AF93" s="1116"/>
      <c r="AG93" s="1116"/>
      <c r="AH93" s="1116"/>
      <c r="AI93" s="1477"/>
      <c r="AJ93" s="1564"/>
      <c r="AK93" s="1597">
        <f t="shared" si="36"/>
        <v>28</v>
      </c>
      <c r="AL93" s="1594">
        <f>IF($AK93=Calc!$Q$113,Calc!Q233+NPV(DiscRPriorSub,(Calc!R233:Y233,Calc!Z238)),0)</f>
        <v>934379.87494654523</v>
      </c>
      <c r="AM93" s="1595">
        <f>IF($AK93=Calc!$Q$113,Calc!Q233+NPV(DiscRPriorSub,(Calc!R233:AD233,Calc!AE238)),0)</f>
        <v>934379.87494654523</v>
      </c>
      <c r="AN93" s="1070"/>
      <c r="AO93" s="1207"/>
      <c r="AP93" s="1116"/>
      <c r="AQ93" s="1116"/>
      <c r="AR93" s="1116"/>
      <c r="AS93" s="1116"/>
      <c r="AT93" s="1116"/>
      <c r="AU93" s="1116"/>
      <c r="AV93" s="1116"/>
      <c r="AW93" s="1116"/>
      <c r="AX93" s="1116"/>
      <c r="AY93" s="1116"/>
      <c r="AZ93" s="1116"/>
      <c r="BA93" s="1116"/>
      <c r="BB93" s="1116"/>
      <c r="BC93" s="1116"/>
      <c r="BD93" s="1116"/>
      <c r="BE93" s="1116"/>
      <c r="BF93" s="1116"/>
      <c r="BG93" s="1116"/>
      <c r="BH93" s="1116"/>
      <c r="BI93" s="1116"/>
      <c r="BJ93" s="1116"/>
      <c r="BK93" s="1116"/>
      <c r="BL93" s="1116"/>
      <c r="BM93" s="1116"/>
      <c r="BN93" s="1116"/>
      <c r="BO93" s="1116"/>
      <c r="BP93" s="1116"/>
      <c r="BQ93" s="1116"/>
      <c r="BR93" s="1116"/>
      <c r="BS93" s="1477"/>
      <c r="BT93" s="1142"/>
      <c r="BU93" s="1478"/>
      <c r="BV93" s="1070"/>
      <c r="BW93" s="1526"/>
      <c r="BX93" s="1526"/>
      <c r="CH93" s="1578"/>
      <c r="CI93" s="1579"/>
      <c r="CJ93" s="1579"/>
      <c r="CL93" s="1587"/>
      <c r="CM93" s="1587"/>
    </row>
    <row r="94" spans="1:91" hidden="1" outlineLevel="1" x14ac:dyDescent="0.3">
      <c r="A94" s="1474"/>
      <c r="B94" s="1598" t="s">
        <v>1388</v>
      </c>
      <c r="C94" s="1116"/>
      <c r="D94" s="1116"/>
      <c r="E94" s="1116"/>
      <c r="F94" s="1116"/>
      <c r="G94" s="1116"/>
      <c r="H94" s="1116"/>
      <c r="I94" s="1116"/>
      <c r="J94" s="1116"/>
      <c r="K94" s="1116"/>
      <c r="L94" s="1116"/>
      <c r="M94" s="1116"/>
      <c r="N94" s="1116"/>
      <c r="O94" s="1610"/>
      <c r="P94" s="1116"/>
      <c r="Q94" s="1116"/>
      <c r="R94" s="1116"/>
      <c r="S94" s="1116"/>
      <c r="T94" s="1116"/>
      <c r="U94" s="1116"/>
      <c r="V94" s="1116"/>
      <c r="W94" s="1116"/>
      <c r="X94" s="1116"/>
      <c r="Y94" s="1116"/>
      <c r="Z94" s="1116"/>
      <c r="AA94" s="1116"/>
      <c r="AB94" s="1116"/>
      <c r="AC94" s="1116"/>
      <c r="AD94" s="1116"/>
      <c r="AE94" s="1116"/>
      <c r="AF94" s="1116"/>
      <c r="AG94" s="1116"/>
      <c r="AH94" s="1116"/>
      <c r="AI94" s="1477"/>
      <c r="AJ94" s="1564"/>
      <c r="AK94" s="1597">
        <f t="shared" si="36"/>
        <v>29</v>
      </c>
      <c r="AL94" s="1594">
        <f>IF($AK94=Calc!$R$113,Calc!R233+NPV(DiscRPriorSub,(Calc!S233:Z233,Calc!AA238)),0)</f>
        <v>864198.33840992895</v>
      </c>
      <c r="AM94" s="1595">
        <f>IF($AK94=Calc!$R$113,Calc!R233+NPV(DiscRPriorSub,(Calc!S233:AE233,Calc!AF238)),0)</f>
        <v>864198.33840992895</v>
      </c>
      <c r="AN94" s="1116"/>
      <c r="AO94" s="1598" t="s">
        <v>1389</v>
      </c>
      <c r="AP94" s="1116"/>
      <c r="AQ94" s="1116"/>
      <c r="AR94" s="1116"/>
      <c r="AS94" s="1116"/>
      <c r="AT94" s="1116"/>
      <c r="AU94" s="1116"/>
      <c r="AV94" s="1116"/>
      <c r="AW94" s="1116"/>
      <c r="AX94" s="1116"/>
      <c r="AY94" s="1116"/>
      <c r="AZ94" s="1116"/>
      <c r="BA94" s="1116"/>
      <c r="BB94" s="1116"/>
      <c r="BC94" s="1116"/>
      <c r="BD94" s="1116"/>
      <c r="BE94" s="1116"/>
      <c r="BF94" s="1116"/>
      <c r="BG94" s="1116"/>
      <c r="BH94" s="1116"/>
      <c r="BI94" s="1116"/>
      <c r="BJ94" s="1116"/>
      <c r="BK94" s="1116"/>
      <c r="BL94" s="1116"/>
      <c r="BM94" s="1116"/>
      <c r="BN94" s="1116"/>
      <c r="BO94" s="1116"/>
      <c r="BP94" s="1116"/>
      <c r="BQ94" s="1116"/>
      <c r="BR94" s="1116"/>
      <c r="BS94" s="1477"/>
      <c r="BT94" s="1142"/>
      <c r="BU94" s="1478"/>
      <c r="BV94" s="1070"/>
      <c r="BW94" s="1526"/>
      <c r="BX94" s="1526"/>
      <c r="CH94" s="1578"/>
      <c r="CI94" s="1579"/>
      <c r="CJ94" s="1579"/>
      <c r="CL94" s="1587"/>
      <c r="CM94" s="1587"/>
    </row>
    <row r="95" spans="1:91" hidden="1" outlineLevel="1" x14ac:dyDescent="0.3">
      <c r="A95" s="1474"/>
      <c r="B95" s="1207"/>
      <c r="C95" s="1116"/>
      <c r="D95" s="1116"/>
      <c r="E95" s="1116"/>
      <c r="F95" s="1116"/>
      <c r="G95" s="1611" t="s">
        <v>1390</v>
      </c>
      <c r="H95" s="1611" t="s">
        <v>1391</v>
      </c>
      <c r="I95" s="1611"/>
      <c r="J95" s="1611" t="s">
        <v>1392</v>
      </c>
      <c r="K95" s="1611" t="s">
        <v>1393</v>
      </c>
      <c r="L95" s="1611" t="s">
        <v>1394</v>
      </c>
      <c r="M95" s="1116"/>
      <c r="N95" s="1116"/>
      <c r="O95" s="1229" t="s">
        <v>1392</v>
      </c>
      <c r="P95" s="1612"/>
      <c r="Q95" s="1116"/>
      <c r="R95" s="1116"/>
      <c r="S95" s="1116"/>
      <c r="T95" s="1116"/>
      <c r="U95" s="1116"/>
      <c r="V95" s="1116"/>
      <c r="W95" s="1116"/>
      <c r="X95" s="1116"/>
      <c r="Y95" s="1116"/>
      <c r="Z95" s="1116"/>
      <c r="AA95" s="1116"/>
      <c r="AB95" s="1116"/>
      <c r="AC95" s="1116"/>
      <c r="AD95" s="1116"/>
      <c r="AE95" s="1116"/>
      <c r="AF95" s="1116"/>
      <c r="AG95" s="1116"/>
      <c r="AH95" s="1116"/>
      <c r="AI95" s="1477"/>
      <c r="AJ95" s="1564"/>
      <c r="AK95" s="1613">
        <f t="shared" si="36"/>
        <v>30</v>
      </c>
      <c r="AL95" s="1614">
        <f>IF($AK95=Calc!$S$113,Calc!S233+NPV(DiscRPriorSub,(Calc!T233:AA233,Calc!AB238)),0)</f>
        <v>788347.12514151167</v>
      </c>
      <c r="AM95" s="1615">
        <f>IF($AK95=Calc!$S$113,Calc!S233+NPV(DiscRPriorSub,(Calc!T233:AF233,Calc!AG238)),0)</f>
        <v>788347.12514151167</v>
      </c>
      <c r="AN95" s="1116"/>
      <c r="AO95" s="1207"/>
      <c r="AP95" s="1116"/>
      <c r="AQ95" s="1611" t="s">
        <v>1390</v>
      </c>
      <c r="AR95" s="1611" t="s">
        <v>1391</v>
      </c>
      <c r="AS95" s="1611"/>
      <c r="AT95" s="1611" t="s">
        <v>1392</v>
      </c>
      <c r="AU95" s="1611" t="s">
        <v>1393</v>
      </c>
      <c r="AV95" s="1611" t="s">
        <v>1394</v>
      </c>
      <c r="AW95" s="1116"/>
      <c r="AX95" s="1116"/>
      <c r="AY95" s="1229" t="s">
        <v>1392</v>
      </c>
      <c r="AZ95" s="1612"/>
      <c r="BA95" s="1116"/>
      <c r="BB95" s="1116"/>
      <c r="BC95" s="1116"/>
      <c r="BD95" s="1116"/>
      <c r="BE95" s="1116"/>
      <c r="BF95" s="1116"/>
      <c r="BG95" s="1116"/>
      <c r="BH95" s="1116"/>
      <c r="BI95" s="1116"/>
      <c r="BJ95" s="1116"/>
      <c r="BK95" s="1116"/>
      <c r="BL95" s="1116"/>
      <c r="BM95" s="1116"/>
      <c r="BN95" s="1116"/>
      <c r="BO95" s="1116"/>
      <c r="BP95" s="1116"/>
      <c r="BQ95" s="1116"/>
      <c r="BR95" s="1116"/>
      <c r="BS95" s="1477"/>
      <c r="BT95" s="1142"/>
      <c r="BU95" s="1478"/>
      <c r="BV95" s="1070"/>
      <c r="BW95" s="1526"/>
      <c r="BX95" s="1526"/>
      <c r="CH95" s="1578"/>
      <c r="CI95" s="1579"/>
      <c r="CJ95" s="1579"/>
    </row>
    <row r="96" spans="1:91" hidden="1" outlineLevel="1" x14ac:dyDescent="0.3">
      <c r="A96" s="1474"/>
      <c r="B96" s="1207"/>
      <c r="C96" s="1229" t="s">
        <v>1395</v>
      </c>
      <c r="D96" s="1222"/>
      <c r="E96" s="1222"/>
      <c r="F96" s="1612"/>
      <c r="G96" s="1616" t="str">
        <f>IFERROR(IF(Input!$D$63="Feb",DATE("20"&amp;Input!$E$63,VLOOKUP(Input!$D$63,FT_PPD_DD!$Y$84:$Z$97,2,0),28),DATE("20"&amp;Input!$E$63,VLOOKUP(Input!$D$63,FT_PPD_DD!$Y$84:$Z$97,2,0),30)),"No")</f>
        <v>No</v>
      </c>
      <c r="H96" s="1617" t="str">
        <f>IFERROR(IF(BN42="Feb",DATE("20"&amp;BO42,VLOOKUP(BN42,FT_PPD_DD!$Y$84:$Z$97,2,0),28),DATE("20"&amp;BO42,VLOOKUP(BN42,FT_PPD_DD!$Y$84:$Z$97,2,0),30)),"No")</f>
        <v>No</v>
      </c>
      <c r="I96" s="1618"/>
      <c r="J96" s="1619" t="e">
        <f>ABS(ROUND((G96-H96)/365,2))</f>
        <v>#VALUE!</v>
      </c>
      <c r="K96" s="1620" t="e">
        <f>ROUNDDOWN(J96,0)</f>
        <v>#VALUE!</v>
      </c>
      <c r="L96" s="1620" t="e">
        <f>J96-ROUNDDOWN(J96,0)</f>
        <v>#VALUE!</v>
      </c>
      <c r="M96" s="1621"/>
      <c r="N96" s="1116"/>
      <c r="O96" s="1622" t="e">
        <f>ROUND((G96-H96)/365,2)</f>
        <v>#VALUE!</v>
      </c>
      <c r="P96" s="1623" t="e">
        <f>IF(O96&gt;=0,"Delay","Earlier")</f>
        <v>#VALUE!</v>
      </c>
      <c r="Q96" s="1116"/>
      <c r="R96" s="1116"/>
      <c r="S96" s="1116"/>
      <c r="T96" s="1116"/>
      <c r="U96" s="1116"/>
      <c r="V96" s="1116"/>
      <c r="W96" s="1116"/>
      <c r="X96" s="1116"/>
      <c r="Y96" s="1116"/>
      <c r="Z96" s="1116"/>
      <c r="AA96" s="1116"/>
      <c r="AB96" s="1116"/>
      <c r="AC96" s="1116"/>
      <c r="AD96" s="1116"/>
      <c r="AE96" s="1116"/>
      <c r="AF96" s="1116"/>
      <c r="AG96" s="1116"/>
      <c r="AH96" s="1116"/>
      <c r="AI96" s="1477"/>
      <c r="AJ96" s="1564"/>
      <c r="AK96" s="1142"/>
      <c r="AL96" s="1142"/>
      <c r="AM96" s="1142"/>
      <c r="AN96" s="1116"/>
      <c r="AO96" s="1207"/>
      <c r="AP96" s="1116"/>
      <c r="AQ96" s="1617" t="str">
        <f>IFERROR(IF(Input!$D$63="Feb",DATE("20"&amp;Input!$E$63,VLOOKUP(Input!$D$63,FT_PPD_DD!$Y$84:$Z$97,2,0),28),DATE("20"&amp;Input!$E$63,VLOOKUP(Input!$D$63,FT_PPD_DD!$Y$84:$Z$97,2,0),30)),"No")</f>
        <v>No</v>
      </c>
      <c r="AR96" s="1617" t="str">
        <f>IFERROR(IF(BN42="Feb",DATE("20"&amp;BO42,VLOOKUP(BN42,FT_PPD_DD!$Y$84:$Z$97,2,0),28),DATE("20"&amp;BO42,VLOOKUP(BN42,FT_PPD_DD!$Y$84:$Z$97,2,0),30)),"No")</f>
        <v>No</v>
      </c>
      <c r="AS96" s="1618"/>
      <c r="AT96" s="1619" t="e">
        <f>ABS(ROUND((AQ96-AR96)/365,2))</f>
        <v>#VALUE!</v>
      </c>
      <c r="AU96" s="1620" t="e">
        <f>ROUNDDOWN(AT96,0)</f>
        <v>#VALUE!</v>
      </c>
      <c r="AV96" s="1620" t="e">
        <f>AT96-ROUNDDOWN(AT96,0)</f>
        <v>#VALUE!</v>
      </c>
      <c r="AW96" s="1621"/>
      <c r="AX96" s="1116"/>
      <c r="AY96" s="1622" t="e">
        <f>ROUND((AQ96-AR96)/365,2)</f>
        <v>#VALUE!</v>
      </c>
      <c r="AZ96" s="1623" t="e">
        <f>IF(AY96&gt;=0,"Delay","Earlier")</f>
        <v>#VALUE!</v>
      </c>
      <c r="BA96" s="1116"/>
      <c r="BB96" s="1116"/>
      <c r="BC96" s="1116"/>
      <c r="BD96" s="1116"/>
      <c r="BE96" s="1116"/>
      <c r="BF96" s="1116"/>
      <c r="BG96" s="1116"/>
      <c r="BH96" s="1116"/>
      <c r="BI96" s="1116"/>
      <c r="BJ96" s="1116"/>
      <c r="BK96" s="1116"/>
      <c r="BL96" s="1116"/>
      <c r="BM96" s="1116"/>
      <c r="BN96" s="1116"/>
      <c r="BO96" s="1116"/>
      <c r="BP96" s="1116"/>
      <c r="BQ96" s="1116"/>
      <c r="BR96" s="1116"/>
      <c r="BS96" s="1477"/>
      <c r="BT96" s="1142"/>
      <c r="BU96" s="1478"/>
      <c r="BV96" s="1070"/>
      <c r="BW96" s="1526"/>
      <c r="BX96" s="1526"/>
    </row>
    <row r="97" spans="1:76" hidden="1" outlineLevel="1" x14ac:dyDescent="0.3">
      <c r="A97" s="1474"/>
      <c r="B97" s="1207"/>
      <c r="C97" s="1581" t="s">
        <v>1396</v>
      </c>
      <c r="D97" s="1116"/>
      <c r="E97" s="1116"/>
      <c r="F97" s="1624"/>
      <c r="G97" s="1601" t="e">
        <f t="shared" ref="G97:AI97" si="43">IF(G83=1,IF(LaunchFYPriorSub&lt;=AQ66,IF(AQ66=CurrentFYPriorSub+9,AQ57,AQ52),0),0)</f>
        <v>#VALUE!</v>
      </c>
      <c r="H97" s="1601" t="e">
        <f t="shared" si="43"/>
        <v>#VALUE!</v>
      </c>
      <c r="I97" s="1601" t="e">
        <f t="shared" si="43"/>
        <v>#VALUE!</v>
      </c>
      <c r="J97" s="1601" t="e">
        <f t="shared" si="43"/>
        <v>#VALUE!</v>
      </c>
      <c r="K97" s="1601" t="e">
        <f t="shared" si="43"/>
        <v>#VALUE!</v>
      </c>
      <c r="L97" s="1601" t="e">
        <f t="shared" si="43"/>
        <v>#VALUE!</v>
      </c>
      <c r="M97" s="1601" t="e">
        <f t="shared" si="43"/>
        <v>#VALUE!</v>
      </c>
      <c r="N97" s="1601" t="e">
        <f t="shared" si="43"/>
        <v>#VALUE!</v>
      </c>
      <c r="O97" s="1601" t="e">
        <f t="shared" si="43"/>
        <v>#VALUE!</v>
      </c>
      <c r="P97" s="1601" t="e">
        <f t="shared" si="43"/>
        <v>#VALUE!</v>
      </c>
      <c r="Q97" s="1601" t="e">
        <f t="shared" si="43"/>
        <v>#VALUE!</v>
      </c>
      <c r="R97" s="1601" t="e">
        <f t="shared" si="43"/>
        <v>#VALUE!</v>
      </c>
      <c r="S97" s="1601" t="e">
        <f t="shared" si="43"/>
        <v>#VALUE!</v>
      </c>
      <c r="T97" s="1601" t="e">
        <f t="shared" si="43"/>
        <v>#VALUE!</v>
      </c>
      <c r="U97" s="1601" t="e">
        <f t="shared" si="43"/>
        <v>#VALUE!</v>
      </c>
      <c r="V97" s="1601" t="e">
        <f t="shared" si="43"/>
        <v>#VALUE!</v>
      </c>
      <c r="W97" s="1601" t="e">
        <f t="shared" si="43"/>
        <v>#VALUE!</v>
      </c>
      <c r="X97" s="1601" t="e">
        <f t="shared" si="43"/>
        <v>#VALUE!</v>
      </c>
      <c r="Y97" s="1601" t="e">
        <f t="shared" si="43"/>
        <v>#VALUE!</v>
      </c>
      <c r="Z97" s="1601" t="e">
        <f t="shared" si="43"/>
        <v>#VALUE!</v>
      </c>
      <c r="AA97" s="1601" t="e">
        <f t="shared" si="43"/>
        <v>#VALUE!</v>
      </c>
      <c r="AB97" s="1601" t="e">
        <f t="shared" si="43"/>
        <v>#VALUE!</v>
      </c>
      <c r="AC97" s="1601" t="e">
        <f t="shared" si="43"/>
        <v>#VALUE!</v>
      </c>
      <c r="AD97" s="1601" t="e">
        <f t="shared" si="43"/>
        <v>#VALUE!</v>
      </c>
      <c r="AE97" s="1601" t="e">
        <f t="shared" si="43"/>
        <v>#VALUE!</v>
      </c>
      <c r="AF97" s="1601" t="e">
        <f t="shared" si="43"/>
        <v>#VALUE!</v>
      </c>
      <c r="AG97" s="1601" t="e">
        <f t="shared" si="43"/>
        <v>#VALUE!</v>
      </c>
      <c r="AH97" s="1601" t="e">
        <f t="shared" si="43"/>
        <v>#VALUE!</v>
      </c>
      <c r="AI97" s="1602" t="e">
        <f t="shared" si="43"/>
        <v>#VALUE!</v>
      </c>
      <c r="AJ97" s="1564"/>
      <c r="AK97" s="1142"/>
      <c r="AL97" s="1142"/>
      <c r="AM97" s="1142"/>
      <c r="AN97" s="1116"/>
      <c r="AO97" s="1207"/>
      <c r="AP97" s="1624"/>
      <c r="AQ97" s="1601" t="e">
        <f t="shared" ref="AQ97:BS97" si="44">IF(AQ83=1,IF(LaunchFYPriorSub&lt;=AQ66,IF(AQ66=CurrentFYPriorSub+14,AQ57,AQ52),0),0)</f>
        <v>#VALUE!</v>
      </c>
      <c r="AR97" s="1601" t="e">
        <f t="shared" si="44"/>
        <v>#VALUE!</v>
      </c>
      <c r="AS97" s="1601" t="e">
        <f t="shared" si="44"/>
        <v>#VALUE!</v>
      </c>
      <c r="AT97" s="1601" t="e">
        <f t="shared" si="44"/>
        <v>#VALUE!</v>
      </c>
      <c r="AU97" s="1601" t="e">
        <f t="shared" si="44"/>
        <v>#VALUE!</v>
      </c>
      <c r="AV97" s="1601" t="e">
        <f t="shared" si="44"/>
        <v>#VALUE!</v>
      </c>
      <c r="AW97" s="1601" t="e">
        <f t="shared" si="44"/>
        <v>#VALUE!</v>
      </c>
      <c r="AX97" s="1601" t="e">
        <f t="shared" si="44"/>
        <v>#VALUE!</v>
      </c>
      <c r="AY97" s="1601" t="e">
        <f t="shared" si="44"/>
        <v>#VALUE!</v>
      </c>
      <c r="AZ97" s="1601" t="e">
        <f t="shared" si="44"/>
        <v>#VALUE!</v>
      </c>
      <c r="BA97" s="1601" t="e">
        <f t="shared" si="44"/>
        <v>#VALUE!</v>
      </c>
      <c r="BB97" s="1601" t="e">
        <f t="shared" si="44"/>
        <v>#VALUE!</v>
      </c>
      <c r="BC97" s="1601" t="e">
        <f t="shared" si="44"/>
        <v>#VALUE!</v>
      </c>
      <c r="BD97" s="1601" t="e">
        <f t="shared" si="44"/>
        <v>#VALUE!</v>
      </c>
      <c r="BE97" s="1601" t="e">
        <f t="shared" si="44"/>
        <v>#VALUE!</v>
      </c>
      <c r="BF97" s="1601" t="e">
        <f t="shared" si="44"/>
        <v>#VALUE!</v>
      </c>
      <c r="BG97" s="1601" t="e">
        <f t="shared" si="44"/>
        <v>#VALUE!</v>
      </c>
      <c r="BH97" s="1601" t="e">
        <f t="shared" si="44"/>
        <v>#VALUE!</v>
      </c>
      <c r="BI97" s="1601" t="e">
        <f t="shared" si="44"/>
        <v>#VALUE!</v>
      </c>
      <c r="BJ97" s="1601" t="e">
        <f t="shared" si="44"/>
        <v>#VALUE!</v>
      </c>
      <c r="BK97" s="1601" t="e">
        <f t="shared" si="44"/>
        <v>#VALUE!</v>
      </c>
      <c r="BL97" s="1601" t="e">
        <f t="shared" si="44"/>
        <v>#VALUE!</v>
      </c>
      <c r="BM97" s="1601" t="e">
        <f t="shared" si="44"/>
        <v>#VALUE!</v>
      </c>
      <c r="BN97" s="1601" t="e">
        <f t="shared" si="44"/>
        <v>#VALUE!</v>
      </c>
      <c r="BO97" s="1601" t="e">
        <f t="shared" si="44"/>
        <v>#VALUE!</v>
      </c>
      <c r="BP97" s="1601" t="e">
        <f t="shared" si="44"/>
        <v>#VALUE!</v>
      </c>
      <c r="BQ97" s="1601" t="e">
        <f t="shared" si="44"/>
        <v>#VALUE!</v>
      </c>
      <c r="BR97" s="1601" t="e">
        <f t="shared" si="44"/>
        <v>#VALUE!</v>
      </c>
      <c r="BS97" s="1602" t="e">
        <f t="shared" si="44"/>
        <v>#VALUE!</v>
      </c>
      <c r="BT97" s="1142"/>
      <c r="BU97" s="1478"/>
      <c r="BV97" s="1070"/>
      <c r="BW97" s="1526"/>
      <c r="BX97" s="1526"/>
    </row>
    <row r="98" spans="1:76" hidden="1" outlineLevel="1" x14ac:dyDescent="0.3">
      <c r="A98" s="1474"/>
      <c r="B98" s="1207"/>
      <c r="C98" s="1625" t="s">
        <v>1397</v>
      </c>
      <c r="D98" s="1226"/>
      <c r="E98" s="1226"/>
      <c r="F98" s="1623"/>
      <c r="G98" s="1608" t="e">
        <f t="shared" ref="G98:J98" si="45">$L$96*G97</f>
        <v>#VALUE!</v>
      </c>
      <c r="H98" s="1608" t="e">
        <f t="shared" si="45"/>
        <v>#VALUE!</v>
      </c>
      <c r="I98" s="1608" t="e">
        <f t="shared" si="45"/>
        <v>#VALUE!</v>
      </c>
      <c r="J98" s="1608" t="e">
        <f t="shared" si="45"/>
        <v>#VALUE!</v>
      </c>
      <c r="K98" s="1608" t="e">
        <f>$L$96*K97</f>
        <v>#VALUE!</v>
      </c>
      <c r="L98" s="1608" t="e">
        <f t="shared" ref="L98:AI98" si="46">$L$96*L97</f>
        <v>#VALUE!</v>
      </c>
      <c r="M98" s="1608" t="e">
        <f t="shared" si="46"/>
        <v>#VALUE!</v>
      </c>
      <c r="N98" s="1608" t="e">
        <f t="shared" si="46"/>
        <v>#VALUE!</v>
      </c>
      <c r="O98" s="1608" t="e">
        <f t="shared" si="46"/>
        <v>#VALUE!</v>
      </c>
      <c r="P98" s="1608" t="e">
        <f t="shared" si="46"/>
        <v>#VALUE!</v>
      </c>
      <c r="Q98" s="1608" t="e">
        <f t="shared" si="46"/>
        <v>#VALUE!</v>
      </c>
      <c r="R98" s="1608" t="e">
        <f t="shared" si="46"/>
        <v>#VALUE!</v>
      </c>
      <c r="S98" s="1608" t="e">
        <f t="shared" si="46"/>
        <v>#VALUE!</v>
      </c>
      <c r="T98" s="1608" t="e">
        <f t="shared" si="46"/>
        <v>#VALUE!</v>
      </c>
      <c r="U98" s="1608" t="e">
        <f t="shared" si="46"/>
        <v>#VALUE!</v>
      </c>
      <c r="V98" s="1608" t="e">
        <f t="shared" si="46"/>
        <v>#VALUE!</v>
      </c>
      <c r="W98" s="1608" t="e">
        <f t="shared" si="46"/>
        <v>#VALUE!</v>
      </c>
      <c r="X98" s="1608" t="e">
        <f t="shared" si="46"/>
        <v>#VALUE!</v>
      </c>
      <c r="Y98" s="1608" t="e">
        <f t="shared" si="46"/>
        <v>#VALUE!</v>
      </c>
      <c r="Z98" s="1608" t="e">
        <f t="shared" si="46"/>
        <v>#VALUE!</v>
      </c>
      <c r="AA98" s="1608" t="e">
        <f t="shared" si="46"/>
        <v>#VALUE!</v>
      </c>
      <c r="AB98" s="1608" t="e">
        <f t="shared" si="46"/>
        <v>#VALUE!</v>
      </c>
      <c r="AC98" s="1608" t="e">
        <f t="shared" si="46"/>
        <v>#VALUE!</v>
      </c>
      <c r="AD98" s="1608" t="e">
        <f t="shared" si="46"/>
        <v>#VALUE!</v>
      </c>
      <c r="AE98" s="1608" t="e">
        <f t="shared" si="46"/>
        <v>#VALUE!</v>
      </c>
      <c r="AF98" s="1608" t="e">
        <f t="shared" si="46"/>
        <v>#VALUE!</v>
      </c>
      <c r="AG98" s="1608" t="e">
        <f t="shared" si="46"/>
        <v>#VALUE!</v>
      </c>
      <c r="AH98" s="1608" t="e">
        <f t="shared" si="46"/>
        <v>#VALUE!</v>
      </c>
      <c r="AI98" s="1609" t="e">
        <f t="shared" si="46"/>
        <v>#VALUE!</v>
      </c>
      <c r="AJ98" s="1564"/>
      <c r="AK98" s="1142"/>
      <c r="AL98" s="1142"/>
      <c r="AM98" s="1142"/>
      <c r="AN98" s="1116"/>
      <c r="AO98" s="1207"/>
      <c r="AP98" s="1116"/>
      <c r="AQ98" s="1607" t="e">
        <f>$AV$96*AQ97</f>
        <v>#VALUE!</v>
      </c>
      <c r="AR98" s="1608" t="e">
        <f t="shared" ref="AR98:BS98" si="47">$AV$96*AR97</f>
        <v>#VALUE!</v>
      </c>
      <c r="AS98" s="1608" t="e">
        <f t="shared" si="47"/>
        <v>#VALUE!</v>
      </c>
      <c r="AT98" s="1608" t="e">
        <f t="shared" si="47"/>
        <v>#VALUE!</v>
      </c>
      <c r="AU98" s="1608" t="e">
        <f t="shared" si="47"/>
        <v>#VALUE!</v>
      </c>
      <c r="AV98" s="1608" t="e">
        <f t="shared" si="47"/>
        <v>#VALUE!</v>
      </c>
      <c r="AW98" s="1608" t="e">
        <f t="shared" si="47"/>
        <v>#VALUE!</v>
      </c>
      <c r="AX98" s="1608" t="e">
        <f t="shared" si="47"/>
        <v>#VALUE!</v>
      </c>
      <c r="AY98" s="1608" t="e">
        <f t="shared" si="47"/>
        <v>#VALUE!</v>
      </c>
      <c r="AZ98" s="1608" t="e">
        <f t="shared" si="47"/>
        <v>#VALUE!</v>
      </c>
      <c r="BA98" s="1608" t="e">
        <f t="shared" si="47"/>
        <v>#VALUE!</v>
      </c>
      <c r="BB98" s="1608" t="e">
        <f t="shared" si="47"/>
        <v>#VALUE!</v>
      </c>
      <c r="BC98" s="1608" t="e">
        <f t="shared" si="47"/>
        <v>#VALUE!</v>
      </c>
      <c r="BD98" s="1608" t="e">
        <f t="shared" si="47"/>
        <v>#VALUE!</v>
      </c>
      <c r="BE98" s="1608" t="e">
        <f t="shared" si="47"/>
        <v>#VALUE!</v>
      </c>
      <c r="BF98" s="1608" t="e">
        <f t="shared" si="47"/>
        <v>#VALUE!</v>
      </c>
      <c r="BG98" s="1608" t="e">
        <f t="shared" si="47"/>
        <v>#VALUE!</v>
      </c>
      <c r="BH98" s="1608" t="e">
        <f t="shared" si="47"/>
        <v>#VALUE!</v>
      </c>
      <c r="BI98" s="1608" t="e">
        <f t="shared" si="47"/>
        <v>#VALUE!</v>
      </c>
      <c r="BJ98" s="1608" t="e">
        <f t="shared" si="47"/>
        <v>#VALUE!</v>
      </c>
      <c r="BK98" s="1608" t="e">
        <f t="shared" si="47"/>
        <v>#VALUE!</v>
      </c>
      <c r="BL98" s="1608" t="e">
        <f t="shared" si="47"/>
        <v>#VALUE!</v>
      </c>
      <c r="BM98" s="1608" t="e">
        <f t="shared" si="47"/>
        <v>#VALUE!</v>
      </c>
      <c r="BN98" s="1608" t="e">
        <f t="shared" si="47"/>
        <v>#VALUE!</v>
      </c>
      <c r="BO98" s="1608" t="e">
        <f t="shared" si="47"/>
        <v>#VALUE!</v>
      </c>
      <c r="BP98" s="1608" t="e">
        <f t="shared" si="47"/>
        <v>#VALUE!</v>
      </c>
      <c r="BQ98" s="1608" t="e">
        <f t="shared" si="47"/>
        <v>#VALUE!</v>
      </c>
      <c r="BR98" s="1608" t="e">
        <f t="shared" si="47"/>
        <v>#VALUE!</v>
      </c>
      <c r="BS98" s="1609" t="e">
        <f t="shared" si="47"/>
        <v>#VALUE!</v>
      </c>
      <c r="BT98" s="1142"/>
      <c r="BU98" s="1478"/>
      <c r="BV98" s="1070"/>
      <c r="BW98" s="1526"/>
      <c r="BX98" s="1526"/>
    </row>
    <row r="99" spans="1:76" hidden="1" outlineLevel="1" x14ac:dyDescent="0.3">
      <c r="A99" s="1474"/>
      <c r="B99" s="1207"/>
      <c r="C99" s="1116"/>
      <c r="D99" s="1116"/>
      <c r="E99" s="1116"/>
      <c r="F99" s="1116"/>
      <c r="G99" s="1116"/>
      <c r="H99" s="1116"/>
      <c r="I99" s="1116"/>
      <c r="J99" s="1116"/>
      <c r="K99" s="1116"/>
      <c r="L99" s="1116"/>
      <c r="M99" s="1116"/>
      <c r="N99" s="1116"/>
      <c r="O99" s="1116"/>
      <c r="P99" s="1116"/>
      <c r="Q99" s="1116"/>
      <c r="R99" s="1116"/>
      <c r="S99" s="1116"/>
      <c r="T99" s="1116"/>
      <c r="U99" s="1116"/>
      <c r="V99" s="1116"/>
      <c r="W99" s="1116"/>
      <c r="X99" s="1116"/>
      <c r="Y99" s="1116"/>
      <c r="Z99" s="1116"/>
      <c r="AA99" s="1116"/>
      <c r="AB99" s="1116"/>
      <c r="AC99" s="1116"/>
      <c r="AD99" s="1116"/>
      <c r="AE99" s="1116"/>
      <c r="AF99" s="1116"/>
      <c r="AG99" s="1116"/>
      <c r="AH99" s="1116"/>
      <c r="AI99" s="1477"/>
      <c r="AJ99" s="1564"/>
      <c r="AK99" s="1142"/>
      <c r="AL99" s="1142"/>
      <c r="AM99" s="1142"/>
      <c r="AN99" s="1116"/>
      <c r="AO99" s="1207"/>
      <c r="AP99" s="1116"/>
      <c r="AQ99" s="1116"/>
      <c r="AR99" s="1116"/>
      <c r="AS99" s="1116"/>
      <c r="AT99" s="1116"/>
      <c r="AU99" s="1116"/>
      <c r="AV99" s="1116"/>
      <c r="AW99" s="1116"/>
      <c r="AX99" s="1116"/>
      <c r="AY99" s="1116"/>
      <c r="AZ99" s="1116"/>
      <c r="BA99" s="1116"/>
      <c r="BB99" s="1116"/>
      <c r="BC99" s="1116"/>
      <c r="BD99" s="1116"/>
      <c r="BE99" s="1116"/>
      <c r="BF99" s="1116"/>
      <c r="BG99" s="1116"/>
      <c r="BH99" s="1116"/>
      <c r="BI99" s="1116"/>
      <c r="BJ99" s="1116"/>
      <c r="BK99" s="1116"/>
      <c r="BL99" s="1116"/>
      <c r="BM99" s="1116"/>
      <c r="BN99" s="1116"/>
      <c r="BO99" s="1116"/>
      <c r="BP99" s="1116"/>
      <c r="BQ99" s="1116"/>
      <c r="BR99" s="1116"/>
      <c r="BS99" s="1477"/>
      <c r="BT99" s="1142"/>
      <c r="BU99" s="1478"/>
      <c r="BV99" s="1070"/>
      <c r="BW99" s="1526"/>
      <c r="BX99" s="1526"/>
    </row>
    <row r="100" spans="1:76" hidden="1" outlineLevel="1" x14ac:dyDescent="0.3">
      <c r="A100" s="1474"/>
      <c r="B100" s="1598"/>
      <c r="C100" s="1626" t="s">
        <v>1398</v>
      </c>
      <c r="D100" s="1229"/>
      <c r="E100" s="1612"/>
      <c r="F100" s="1626" t="s">
        <v>1398</v>
      </c>
      <c r="G100" s="1627" t="s">
        <v>1399</v>
      </c>
      <c r="H100" s="1628"/>
      <c r="I100" s="1628"/>
      <c r="J100" s="1628"/>
      <c r="K100" s="1628"/>
      <c r="L100" s="1629"/>
      <c r="M100" s="1629"/>
      <c r="N100" s="1629"/>
      <c r="O100" s="1629"/>
      <c r="P100" s="1629"/>
      <c r="Q100" s="1629"/>
      <c r="R100" s="1628"/>
      <c r="S100" s="1628"/>
      <c r="T100" s="1628"/>
      <c r="U100" s="1628"/>
      <c r="V100" s="1628"/>
      <c r="W100" s="1628"/>
      <c r="X100" s="1628"/>
      <c r="Y100" s="1628"/>
      <c r="Z100" s="1628"/>
      <c r="AA100" s="1628"/>
      <c r="AB100" s="1628"/>
      <c r="AC100" s="1628"/>
      <c r="AD100" s="1628"/>
      <c r="AE100" s="1628"/>
      <c r="AF100" s="1628"/>
      <c r="AG100" s="1628"/>
      <c r="AH100" s="1628"/>
      <c r="AI100" s="1630"/>
      <c r="AJ100" s="1564"/>
      <c r="AK100" s="1142"/>
      <c r="AL100" s="1142"/>
      <c r="AM100" s="1142"/>
      <c r="AN100" s="1116"/>
      <c r="AO100" s="1207"/>
      <c r="AP100" s="1626" t="s">
        <v>1398</v>
      </c>
      <c r="AQ100" s="1627" t="s">
        <v>1399</v>
      </c>
      <c r="AR100" s="1628"/>
      <c r="AS100" s="1628"/>
      <c r="AT100" s="1628"/>
      <c r="AU100" s="1628"/>
      <c r="AV100" s="1629"/>
      <c r="AW100" s="1629"/>
      <c r="AX100" s="1629"/>
      <c r="AY100" s="1629"/>
      <c r="AZ100" s="1629"/>
      <c r="BA100" s="1629"/>
      <c r="BB100" s="1628"/>
      <c r="BC100" s="1628"/>
      <c r="BD100" s="1628"/>
      <c r="BE100" s="1628"/>
      <c r="BF100" s="1628"/>
      <c r="BG100" s="1628"/>
      <c r="BH100" s="1628"/>
      <c r="BI100" s="1628"/>
      <c r="BJ100" s="1628"/>
      <c r="BK100" s="1628"/>
      <c r="BL100" s="1628"/>
      <c r="BM100" s="1628"/>
      <c r="BN100" s="1628"/>
      <c r="BO100" s="1628"/>
      <c r="BP100" s="1628"/>
      <c r="BQ100" s="1628"/>
      <c r="BR100" s="1628"/>
      <c r="BS100" s="1630"/>
      <c r="BT100" s="1142"/>
      <c r="BU100" s="1478"/>
      <c r="BV100" s="1070"/>
      <c r="BW100" s="1526"/>
      <c r="BX100" s="1526"/>
    </row>
    <row r="101" spans="1:76" hidden="1" outlineLevel="1" x14ac:dyDescent="0.3">
      <c r="A101" s="1474"/>
      <c r="B101" s="1598"/>
      <c r="C101" s="1631" t="s">
        <v>1400</v>
      </c>
      <c r="D101" s="1581"/>
      <c r="E101" s="1624"/>
      <c r="F101" s="1632">
        <v>0</v>
      </c>
      <c r="G101" s="1633" t="e">
        <f>IF(G97=0,0,G$97-G$98+F$98)</f>
        <v>#VALUE!</v>
      </c>
      <c r="H101" s="1634" t="e">
        <f t="shared" ref="H101:AI101" si="48">IF(H97=0,0,H$97-H$98+G98)</f>
        <v>#VALUE!</v>
      </c>
      <c r="I101" s="1634" t="e">
        <f t="shared" si="48"/>
        <v>#VALUE!</v>
      </c>
      <c r="J101" s="1634" t="e">
        <f t="shared" si="48"/>
        <v>#VALUE!</v>
      </c>
      <c r="K101" s="1634" t="e">
        <f t="shared" si="48"/>
        <v>#VALUE!</v>
      </c>
      <c r="L101" s="1634" t="e">
        <f t="shared" si="48"/>
        <v>#VALUE!</v>
      </c>
      <c r="M101" s="1634" t="e">
        <f t="shared" si="48"/>
        <v>#VALUE!</v>
      </c>
      <c r="N101" s="1634" t="e">
        <f t="shared" si="48"/>
        <v>#VALUE!</v>
      </c>
      <c r="O101" s="1634" t="e">
        <f t="shared" si="48"/>
        <v>#VALUE!</v>
      </c>
      <c r="P101" s="1634" t="e">
        <f t="shared" si="48"/>
        <v>#VALUE!</v>
      </c>
      <c r="Q101" s="1634" t="e">
        <f t="shared" si="48"/>
        <v>#VALUE!</v>
      </c>
      <c r="R101" s="1634" t="e">
        <f t="shared" si="48"/>
        <v>#VALUE!</v>
      </c>
      <c r="S101" s="1634" t="e">
        <f t="shared" si="48"/>
        <v>#VALUE!</v>
      </c>
      <c r="T101" s="1634" t="e">
        <f t="shared" si="48"/>
        <v>#VALUE!</v>
      </c>
      <c r="U101" s="1634" t="e">
        <f t="shared" si="48"/>
        <v>#VALUE!</v>
      </c>
      <c r="V101" s="1634" t="e">
        <f t="shared" si="48"/>
        <v>#VALUE!</v>
      </c>
      <c r="W101" s="1634" t="e">
        <f t="shared" si="48"/>
        <v>#VALUE!</v>
      </c>
      <c r="X101" s="1634" t="e">
        <f t="shared" si="48"/>
        <v>#VALUE!</v>
      </c>
      <c r="Y101" s="1634" t="e">
        <f t="shared" si="48"/>
        <v>#VALUE!</v>
      </c>
      <c r="Z101" s="1634" t="e">
        <f t="shared" si="48"/>
        <v>#VALUE!</v>
      </c>
      <c r="AA101" s="1634" t="e">
        <f t="shared" si="48"/>
        <v>#VALUE!</v>
      </c>
      <c r="AB101" s="1634" t="e">
        <f t="shared" si="48"/>
        <v>#VALUE!</v>
      </c>
      <c r="AC101" s="1634" t="e">
        <f t="shared" si="48"/>
        <v>#VALUE!</v>
      </c>
      <c r="AD101" s="1634" t="e">
        <f t="shared" si="48"/>
        <v>#VALUE!</v>
      </c>
      <c r="AE101" s="1634" t="e">
        <f t="shared" si="48"/>
        <v>#VALUE!</v>
      </c>
      <c r="AF101" s="1634" t="e">
        <f t="shared" si="48"/>
        <v>#VALUE!</v>
      </c>
      <c r="AG101" s="1634" t="e">
        <f t="shared" si="48"/>
        <v>#VALUE!</v>
      </c>
      <c r="AH101" s="1634" t="e">
        <f t="shared" si="48"/>
        <v>#VALUE!</v>
      </c>
      <c r="AI101" s="1635" t="e">
        <f t="shared" si="48"/>
        <v>#VALUE!</v>
      </c>
      <c r="AJ101" s="1564"/>
      <c r="AK101" s="1142"/>
      <c r="AL101" s="1142"/>
      <c r="AM101" s="1142"/>
      <c r="AN101" s="1116"/>
      <c r="AO101" s="1207"/>
      <c r="AP101" s="1632">
        <v>0</v>
      </c>
      <c r="AQ101" s="1633" t="e">
        <f>IF(AQ97=0,0,AQ$97-AQ$98+#REF!)</f>
        <v>#VALUE!</v>
      </c>
      <c r="AR101" s="1634" t="e">
        <f t="shared" ref="AR101:BS101" si="49">IF(AR97=0,0,AR$97-AR$98+AQ98)</f>
        <v>#VALUE!</v>
      </c>
      <c r="AS101" s="1634" t="e">
        <f t="shared" si="49"/>
        <v>#VALUE!</v>
      </c>
      <c r="AT101" s="1634" t="e">
        <f t="shared" si="49"/>
        <v>#VALUE!</v>
      </c>
      <c r="AU101" s="1634" t="e">
        <f t="shared" si="49"/>
        <v>#VALUE!</v>
      </c>
      <c r="AV101" s="1634" t="e">
        <f t="shared" si="49"/>
        <v>#VALUE!</v>
      </c>
      <c r="AW101" s="1634" t="e">
        <f t="shared" si="49"/>
        <v>#VALUE!</v>
      </c>
      <c r="AX101" s="1634" t="e">
        <f t="shared" si="49"/>
        <v>#VALUE!</v>
      </c>
      <c r="AY101" s="1634" t="e">
        <f t="shared" si="49"/>
        <v>#VALUE!</v>
      </c>
      <c r="AZ101" s="1634" t="e">
        <f t="shared" si="49"/>
        <v>#VALUE!</v>
      </c>
      <c r="BA101" s="1634" t="e">
        <f t="shared" si="49"/>
        <v>#VALUE!</v>
      </c>
      <c r="BB101" s="1634" t="e">
        <f t="shared" si="49"/>
        <v>#VALUE!</v>
      </c>
      <c r="BC101" s="1634" t="e">
        <f t="shared" si="49"/>
        <v>#VALUE!</v>
      </c>
      <c r="BD101" s="1634" t="e">
        <f t="shared" si="49"/>
        <v>#VALUE!</v>
      </c>
      <c r="BE101" s="1634" t="e">
        <f t="shared" si="49"/>
        <v>#VALUE!</v>
      </c>
      <c r="BF101" s="1634" t="e">
        <f t="shared" si="49"/>
        <v>#VALUE!</v>
      </c>
      <c r="BG101" s="1634" t="e">
        <f t="shared" si="49"/>
        <v>#VALUE!</v>
      </c>
      <c r="BH101" s="1634" t="e">
        <f t="shared" si="49"/>
        <v>#VALUE!</v>
      </c>
      <c r="BI101" s="1634" t="e">
        <f t="shared" si="49"/>
        <v>#VALUE!</v>
      </c>
      <c r="BJ101" s="1634" t="e">
        <f t="shared" si="49"/>
        <v>#VALUE!</v>
      </c>
      <c r="BK101" s="1634" t="e">
        <f t="shared" si="49"/>
        <v>#VALUE!</v>
      </c>
      <c r="BL101" s="1634" t="e">
        <f t="shared" si="49"/>
        <v>#VALUE!</v>
      </c>
      <c r="BM101" s="1634" t="e">
        <f t="shared" si="49"/>
        <v>#VALUE!</v>
      </c>
      <c r="BN101" s="1634" t="e">
        <f t="shared" si="49"/>
        <v>#VALUE!</v>
      </c>
      <c r="BO101" s="1634" t="e">
        <f t="shared" si="49"/>
        <v>#VALUE!</v>
      </c>
      <c r="BP101" s="1634" t="e">
        <f t="shared" si="49"/>
        <v>#VALUE!</v>
      </c>
      <c r="BQ101" s="1634" t="e">
        <f t="shared" si="49"/>
        <v>#VALUE!</v>
      </c>
      <c r="BR101" s="1634" t="e">
        <f t="shared" si="49"/>
        <v>#VALUE!</v>
      </c>
      <c r="BS101" s="1635" t="e">
        <f t="shared" si="49"/>
        <v>#VALUE!</v>
      </c>
      <c r="BT101" s="1142"/>
      <c r="BU101" s="1478"/>
      <c r="BV101" s="1070"/>
      <c r="BW101" s="1526"/>
      <c r="BX101" s="1526"/>
    </row>
    <row r="102" spans="1:76" hidden="1" outlineLevel="1" x14ac:dyDescent="0.3">
      <c r="A102" s="1474"/>
      <c r="B102" s="1598"/>
      <c r="C102" s="1636" t="s">
        <v>1401</v>
      </c>
      <c r="D102" s="1581"/>
      <c r="E102" s="1624"/>
      <c r="F102" s="1637">
        <v>1</v>
      </c>
      <c r="G102" s="1610" t="e">
        <f>IF(G$97=0,0,IF($J$96=1,0,0))</f>
        <v>#VALUE!</v>
      </c>
      <c r="H102" s="1610" t="e">
        <f>IF(H$97=0,0,IF($J$96=1,G$97,G$97-G$98))</f>
        <v>#VALUE!</v>
      </c>
      <c r="I102" s="1610" t="e">
        <f t="shared" ref="I102:AI102" si="50">IF(I$97=0,0,IF($J$96=1,H$97,H$97-H$98+G$98))</f>
        <v>#VALUE!</v>
      </c>
      <c r="J102" s="1610" t="e">
        <f t="shared" si="50"/>
        <v>#VALUE!</v>
      </c>
      <c r="K102" s="1610" t="e">
        <f t="shared" si="50"/>
        <v>#VALUE!</v>
      </c>
      <c r="L102" s="1610" t="e">
        <f t="shared" si="50"/>
        <v>#VALUE!</v>
      </c>
      <c r="M102" s="1610" t="e">
        <f t="shared" si="50"/>
        <v>#VALUE!</v>
      </c>
      <c r="N102" s="1610" t="e">
        <f t="shared" si="50"/>
        <v>#VALUE!</v>
      </c>
      <c r="O102" s="1610" t="e">
        <f t="shared" si="50"/>
        <v>#VALUE!</v>
      </c>
      <c r="P102" s="1610" t="e">
        <f t="shared" si="50"/>
        <v>#VALUE!</v>
      </c>
      <c r="Q102" s="1610" t="e">
        <f t="shared" si="50"/>
        <v>#VALUE!</v>
      </c>
      <c r="R102" s="1610" t="e">
        <f t="shared" si="50"/>
        <v>#VALUE!</v>
      </c>
      <c r="S102" s="1610" t="e">
        <f t="shared" si="50"/>
        <v>#VALUE!</v>
      </c>
      <c r="T102" s="1610" t="e">
        <f t="shared" si="50"/>
        <v>#VALUE!</v>
      </c>
      <c r="U102" s="1610" t="e">
        <f t="shared" si="50"/>
        <v>#VALUE!</v>
      </c>
      <c r="V102" s="1610" t="e">
        <f t="shared" si="50"/>
        <v>#VALUE!</v>
      </c>
      <c r="W102" s="1610" t="e">
        <f t="shared" si="50"/>
        <v>#VALUE!</v>
      </c>
      <c r="X102" s="1610" t="e">
        <f t="shared" si="50"/>
        <v>#VALUE!</v>
      </c>
      <c r="Y102" s="1610" t="e">
        <f t="shared" si="50"/>
        <v>#VALUE!</v>
      </c>
      <c r="Z102" s="1610" t="e">
        <f t="shared" si="50"/>
        <v>#VALUE!</v>
      </c>
      <c r="AA102" s="1610" t="e">
        <f t="shared" si="50"/>
        <v>#VALUE!</v>
      </c>
      <c r="AB102" s="1610" t="e">
        <f t="shared" si="50"/>
        <v>#VALUE!</v>
      </c>
      <c r="AC102" s="1610" t="e">
        <f t="shared" si="50"/>
        <v>#VALUE!</v>
      </c>
      <c r="AD102" s="1610" t="e">
        <f t="shared" si="50"/>
        <v>#VALUE!</v>
      </c>
      <c r="AE102" s="1610" t="e">
        <f t="shared" si="50"/>
        <v>#VALUE!</v>
      </c>
      <c r="AF102" s="1610" t="e">
        <f t="shared" si="50"/>
        <v>#VALUE!</v>
      </c>
      <c r="AG102" s="1610" t="e">
        <f t="shared" si="50"/>
        <v>#VALUE!</v>
      </c>
      <c r="AH102" s="1610" t="e">
        <f t="shared" si="50"/>
        <v>#VALUE!</v>
      </c>
      <c r="AI102" s="1638" t="e">
        <f t="shared" si="50"/>
        <v>#VALUE!</v>
      </c>
      <c r="AJ102" s="1564"/>
      <c r="AK102" s="1142"/>
      <c r="AL102" s="1142"/>
      <c r="AM102" s="1142"/>
      <c r="AN102" s="1116"/>
      <c r="AO102" s="1207"/>
      <c r="AP102" s="1637">
        <v>1</v>
      </c>
      <c r="AQ102" s="1610" t="e">
        <f>IF(AQ$97=0,0,IF($AT$96=1,0,0))</f>
        <v>#VALUE!</v>
      </c>
      <c r="AR102" s="1610" t="e">
        <f>IF(AR$97=0,0,IF($AT$96=1,AQ$97,AQ$97-AQ$98))</f>
        <v>#VALUE!</v>
      </c>
      <c r="AS102" s="1610" t="e">
        <f t="shared" ref="AS102:BS102" si="51">IF(AS$97=0,0,IF($AT$96=1,AR$97,AR$97-AR$98+AQ$98))</f>
        <v>#VALUE!</v>
      </c>
      <c r="AT102" s="1610" t="e">
        <f t="shared" si="51"/>
        <v>#VALUE!</v>
      </c>
      <c r="AU102" s="1610" t="e">
        <f t="shared" si="51"/>
        <v>#VALUE!</v>
      </c>
      <c r="AV102" s="1610" t="e">
        <f t="shared" si="51"/>
        <v>#VALUE!</v>
      </c>
      <c r="AW102" s="1610" t="e">
        <f t="shared" si="51"/>
        <v>#VALUE!</v>
      </c>
      <c r="AX102" s="1610" t="e">
        <f t="shared" si="51"/>
        <v>#VALUE!</v>
      </c>
      <c r="AY102" s="1610" t="e">
        <f t="shared" si="51"/>
        <v>#VALUE!</v>
      </c>
      <c r="AZ102" s="1610" t="e">
        <f t="shared" si="51"/>
        <v>#VALUE!</v>
      </c>
      <c r="BA102" s="1610" t="e">
        <f t="shared" si="51"/>
        <v>#VALUE!</v>
      </c>
      <c r="BB102" s="1610" t="e">
        <f t="shared" si="51"/>
        <v>#VALUE!</v>
      </c>
      <c r="BC102" s="1610" t="e">
        <f t="shared" si="51"/>
        <v>#VALUE!</v>
      </c>
      <c r="BD102" s="1610" t="e">
        <f t="shared" si="51"/>
        <v>#VALUE!</v>
      </c>
      <c r="BE102" s="1610" t="e">
        <f t="shared" si="51"/>
        <v>#VALUE!</v>
      </c>
      <c r="BF102" s="1610" t="e">
        <f t="shared" si="51"/>
        <v>#VALUE!</v>
      </c>
      <c r="BG102" s="1610" t="e">
        <f t="shared" si="51"/>
        <v>#VALUE!</v>
      </c>
      <c r="BH102" s="1610" t="e">
        <f t="shared" si="51"/>
        <v>#VALUE!</v>
      </c>
      <c r="BI102" s="1610" t="e">
        <f t="shared" si="51"/>
        <v>#VALUE!</v>
      </c>
      <c r="BJ102" s="1610" t="e">
        <f t="shared" si="51"/>
        <v>#VALUE!</v>
      </c>
      <c r="BK102" s="1610" t="e">
        <f t="shared" si="51"/>
        <v>#VALUE!</v>
      </c>
      <c r="BL102" s="1610" t="e">
        <f t="shared" si="51"/>
        <v>#VALUE!</v>
      </c>
      <c r="BM102" s="1610" t="e">
        <f t="shared" si="51"/>
        <v>#VALUE!</v>
      </c>
      <c r="BN102" s="1610" t="e">
        <f t="shared" si="51"/>
        <v>#VALUE!</v>
      </c>
      <c r="BO102" s="1610" t="e">
        <f t="shared" si="51"/>
        <v>#VALUE!</v>
      </c>
      <c r="BP102" s="1610" t="e">
        <f t="shared" si="51"/>
        <v>#VALUE!</v>
      </c>
      <c r="BQ102" s="1610" t="e">
        <f t="shared" si="51"/>
        <v>#VALUE!</v>
      </c>
      <c r="BR102" s="1610" t="e">
        <f t="shared" si="51"/>
        <v>#VALUE!</v>
      </c>
      <c r="BS102" s="1638" t="e">
        <f t="shared" si="51"/>
        <v>#VALUE!</v>
      </c>
      <c r="BT102" s="1142"/>
      <c r="BU102" s="1478"/>
      <c r="BV102" s="1070"/>
      <c r="BW102" s="1526"/>
      <c r="BX102" s="1526"/>
    </row>
    <row r="103" spans="1:76" hidden="1" outlineLevel="1" x14ac:dyDescent="0.3">
      <c r="A103" s="1474"/>
      <c r="B103" s="1598"/>
      <c r="C103" s="1636" t="s">
        <v>1402</v>
      </c>
      <c r="D103" s="1581"/>
      <c r="E103" s="1624"/>
      <c r="F103" s="1637">
        <v>2</v>
      </c>
      <c r="G103" s="1610" t="e">
        <f>IF(G$97=0,0,IF($J$96=2,0,0))</f>
        <v>#VALUE!</v>
      </c>
      <c r="H103" s="1610" t="e">
        <f>IF(H$97=0,0,IF($J$96=2,0,0))</f>
        <v>#VALUE!</v>
      </c>
      <c r="I103" s="1610" t="e">
        <f>IF(I$97=0,0,IF($J$96=2,G$97,G$97-G$98))</f>
        <v>#VALUE!</v>
      </c>
      <c r="J103" s="1610" t="e">
        <f t="shared" ref="J103:AI103" si="52">IF(J$97=0,0,IF($J$96=2,H$97,H$97-H$98+G$98))</f>
        <v>#VALUE!</v>
      </c>
      <c r="K103" s="1610" t="e">
        <f t="shared" si="52"/>
        <v>#VALUE!</v>
      </c>
      <c r="L103" s="1610" t="e">
        <f t="shared" si="52"/>
        <v>#VALUE!</v>
      </c>
      <c r="M103" s="1610" t="e">
        <f t="shared" si="52"/>
        <v>#VALUE!</v>
      </c>
      <c r="N103" s="1610" t="e">
        <f t="shared" si="52"/>
        <v>#VALUE!</v>
      </c>
      <c r="O103" s="1610" t="e">
        <f t="shared" si="52"/>
        <v>#VALUE!</v>
      </c>
      <c r="P103" s="1610" t="e">
        <f t="shared" si="52"/>
        <v>#VALUE!</v>
      </c>
      <c r="Q103" s="1610" t="e">
        <f t="shared" si="52"/>
        <v>#VALUE!</v>
      </c>
      <c r="R103" s="1610" t="e">
        <f t="shared" si="52"/>
        <v>#VALUE!</v>
      </c>
      <c r="S103" s="1610" t="e">
        <f t="shared" si="52"/>
        <v>#VALUE!</v>
      </c>
      <c r="T103" s="1610" t="e">
        <f t="shared" si="52"/>
        <v>#VALUE!</v>
      </c>
      <c r="U103" s="1610" t="e">
        <f t="shared" si="52"/>
        <v>#VALUE!</v>
      </c>
      <c r="V103" s="1610" t="e">
        <f t="shared" si="52"/>
        <v>#VALUE!</v>
      </c>
      <c r="W103" s="1610" t="e">
        <f t="shared" si="52"/>
        <v>#VALUE!</v>
      </c>
      <c r="X103" s="1610" t="e">
        <f t="shared" si="52"/>
        <v>#VALUE!</v>
      </c>
      <c r="Y103" s="1610" t="e">
        <f t="shared" si="52"/>
        <v>#VALUE!</v>
      </c>
      <c r="Z103" s="1610" t="e">
        <f t="shared" si="52"/>
        <v>#VALUE!</v>
      </c>
      <c r="AA103" s="1610" t="e">
        <f t="shared" si="52"/>
        <v>#VALUE!</v>
      </c>
      <c r="AB103" s="1610" t="e">
        <f t="shared" si="52"/>
        <v>#VALUE!</v>
      </c>
      <c r="AC103" s="1610" t="e">
        <f t="shared" si="52"/>
        <v>#VALUE!</v>
      </c>
      <c r="AD103" s="1610" t="e">
        <f t="shared" si="52"/>
        <v>#VALUE!</v>
      </c>
      <c r="AE103" s="1610" t="e">
        <f t="shared" si="52"/>
        <v>#VALUE!</v>
      </c>
      <c r="AF103" s="1610" t="e">
        <f t="shared" si="52"/>
        <v>#VALUE!</v>
      </c>
      <c r="AG103" s="1610" t="e">
        <f t="shared" si="52"/>
        <v>#VALUE!</v>
      </c>
      <c r="AH103" s="1610" t="e">
        <f t="shared" si="52"/>
        <v>#VALUE!</v>
      </c>
      <c r="AI103" s="1638" t="e">
        <f t="shared" si="52"/>
        <v>#VALUE!</v>
      </c>
      <c r="AJ103" s="1564"/>
      <c r="AK103" s="1142"/>
      <c r="AL103" s="1142"/>
      <c r="AM103" s="1142"/>
      <c r="AN103" s="1116"/>
      <c r="AO103" s="1207"/>
      <c r="AP103" s="1637">
        <v>2</v>
      </c>
      <c r="AQ103" s="1610" t="e">
        <f>IF(AQ$97=0,0,IF($AT$96=2,0,0))</f>
        <v>#VALUE!</v>
      </c>
      <c r="AR103" s="1610" t="e">
        <f>IF(AR$97=0,0,IF($AT$96=2,0,0))</f>
        <v>#VALUE!</v>
      </c>
      <c r="AS103" s="1610" t="e">
        <f>IF(AS$97=0,0,IF($AT$96=2,AQ$97,AQ$97-AQ$98))</f>
        <v>#VALUE!</v>
      </c>
      <c r="AT103" s="1610" t="e">
        <f t="shared" ref="AT103:BS103" si="53">IF(AT$97=0,0,IF($AT$96=2,AR$97,AR$97-AR$98+AQ$98))</f>
        <v>#VALUE!</v>
      </c>
      <c r="AU103" s="1610" t="e">
        <f t="shared" si="53"/>
        <v>#VALUE!</v>
      </c>
      <c r="AV103" s="1610" t="e">
        <f t="shared" si="53"/>
        <v>#VALUE!</v>
      </c>
      <c r="AW103" s="1610" t="e">
        <f t="shared" si="53"/>
        <v>#VALUE!</v>
      </c>
      <c r="AX103" s="1610" t="e">
        <f t="shared" si="53"/>
        <v>#VALUE!</v>
      </c>
      <c r="AY103" s="1610" t="e">
        <f t="shared" si="53"/>
        <v>#VALUE!</v>
      </c>
      <c r="AZ103" s="1610" t="e">
        <f t="shared" si="53"/>
        <v>#VALUE!</v>
      </c>
      <c r="BA103" s="1610" t="e">
        <f t="shared" si="53"/>
        <v>#VALUE!</v>
      </c>
      <c r="BB103" s="1610" t="e">
        <f t="shared" si="53"/>
        <v>#VALUE!</v>
      </c>
      <c r="BC103" s="1610" t="e">
        <f t="shared" si="53"/>
        <v>#VALUE!</v>
      </c>
      <c r="BD103" s="1610" t="e">
        <f t="shared" si="53"/>
        <v>#VALUE!</v>
      </c>
      <c r="BE103" s="1610" t="e">
        <f t="shared" si="53"/>
        <v>#VALUE!</v>
      </c>
      <c r="BF103" s="1610" t="e">
        <f t="shared" si="53"/>
        <v>#VALUE!</v>
      </c>
      <c r="BG103" s="1610" t="e">
        <f t="shared" si="53"/>
        <v>#VALUE!</v>
      </c>
      <c r="BH103" s="1610" t="e">
        <f t="shared" si="53"/>
        <v>#VALUE!</v>
      </c>
      <c r="BI103" s="1610" t="e">
        <f t="shared" si="53"/>
        <v>#VALUE!</v>
      </c>
      <c r="BJ103" s="1610" t="e">
        <f t="shared" si="53"/>
        <v>#VALUE!</v>
      </c>
      <c r="BK103" s="1610" t="e">
        <f t="shared" si="53"/>
        <v>#VALUE!</v>
      </c>
      <c r="BL103" s="1610" t="e">
        <f t="shared" si="53"/>
        <v>#VALUE!</v>
      </c>
      <c r="BM103" s="1610" t="e">
        <f t="shared" si="53"/>
        <v>#VALUE!</v>
      </c>
      <c r="BN103" s="1610" t="e">
        <f t="shared" si="53"/>
        <v>#VALUE!</v>
      </c>
      <c r="BO103" s="1610" t="e">
        <f t="shared" si="53"/>
        <v>#VALUE!</v>
      </c>
      <c r="BP103" s="1610" t="e">
        <f t="shared" si="53"/>
        <v>#VALUE!</v>
      </c>
      <c r="BQ103" s="1610" t="e">
        <f t="shared" si="53"/>
        <v>#VALUE!</v>
      </c>
      <c r="BR103" s="1610" t="e">
        <f t="shared" si="53"/>
        <v>#VALUE!</v>
      </c>
      <c r="BS103" s="1638" t="e">
        <f t="shared" si="53"/>
        <v>#VALUE!</v>
      </c>
      <c r="BT103" s="1142"/>
      <c r="BU103" s="1478"/>
      <c r="BV103" s="1070"/>
      <c r="BW103" s="1526"/>
      <c r="BX103" s="1526"/>
    </row>
    <row r="104" spans="1:76" hidden="1" outlineLevel="1" x14ac:dyDescent="0.3">
      <c r="A104" s="1474"/>
      <c r="B104" s="1598"/>
      <c r="C104" s="1636" t="s">
        <v>1403</v>
      </c>
      <c r="D104" s="1581"/>
      <c r="E104" s="1624"/>
      <c r="F104" s="1637">
        <v>3</v>
      </c>
      <c r="G104" s="1610" t="e">
        <f>IF(G$97=0,0,IF($J$96=3,0,0))</f>
        <v>#VALUE!</v>
      </c>
      <c r="H104" s="1610" t="e">
        <f>IF(H$97=0,0,IF($J$96=3,0,0))</f>
        <v>#VALUE!</v>
      </c>
      <c r="I104" s="1610" t="e">
        <f>IF(I$97=0,0,IF($J$96=3,0,0))</f>
        <v>#VALUE!</v>
      </c>
      <c r="J104" s="1610" t="e">
        <f>IF(J$97=0,0,IF($J$96=3,G$97,G$97-G$98))</f>
        <v>#VALUE!</v>
      </c>
      <c r="K104" s="1610" t="e">
        <f t="shared" ref="K104:AI104" si="54">IF(K$97=0,0,IF($J$96=3,H$97,H$97-H$98+G$98))</f>
        <v>#VALUE!</v>
      </c>
      <c r="L104" s="1610" t="e">
        <f t="shared" si="54"/>
        <v>#VALUE!</v>
      </c>
      <c r="M104" s="1610" t="e">
        <f t="shared" si="54"/>
        <v>#VALUE!</v>
      </c>
      <c r="N104" s="1610" t="e">
        <f t="shared" si="54"/>
        <v>#VALUE!</v>
      </c>
      <c r="O104" s="1610" t="e">
        <f t="shared" si="54"/>
        <v>#VALUE!</v>
      </c>
      <c r="P104" s="1610" t="e">
        <f t="shared" si="54"/>
        <v>#VALUE!</v>
      </c>
      <c r="Q104" s="1610" t="e">
        <f t="shared" si="54"/>
        <v>#VALUE!</v>
      </c>
      <c r="R104" s="1610" t="e">
        <f t="shared" si="54"/>
        <v>#VALUE!</v>
      </c>
      <c r="S104" s="1610" t="e">
        <f t="shared" si="54"/>
        <v>#VALUE!</v>
      </c>
      <c r="T104" s="1610" t="e">
        <f t="shared" si="54"/>
        <v>#VALUE!</v>
      </c>
      <c r="U104" s="1610" t="e">
        <f t="shared" si="54"/>
        <v>#VALUE!</v>
      </c>
      <c r="V104" s="1610" t="e">
        <f t="shared" si="54"/>
        <v>#VALUE!</v>
      </c>
      <c r="W104" s="1610" t="e">
        <f t="shared" si="54"/>
        <v>#VALUE!</v>
      </c>
      <c r="X104" s="1610" t="e">
        <f t="shared" si="54"/>
        <v>#VALUE!</v>
      </c>
      <c r="Y104" s="1610" t="e">
        <f t="shared" si="54"/>
        <v>#VALUE!</v>
      </c>
      <c r="Z104" s="1610" t="e">
        <f t="shared" si="54"/>
        <v>#VALUE!</v>
      </c>
      <c r="AA104" s="1610" t="e">
        <f t="shared" si="54"/>
        <v>#VALUE!</v>
      </c>
      <c r="AB104" s="1610" t="e">
        <f t="shared" si="54"/>
        <v>#VALUE!</v>
      </c>
      <c r="AC104" s="1610" t="e">
        <f t="shared" si="54"/>
        <v>#VALUE!</v>
      </c>
      <c r="AD104" s="1610" t="e">
        <f t="shared" si="54"/>
        <v>#VALUE!</v>
      </c>
      <c r="AE104" s="1610" t="e">
        <f t="shared" si="54"/>
        <v>#VALUE!</v>
      </c>
      <c r="AF104" s="1610" t="e">
        <f t="shared" si="54"/>
        <v>#VALUE!</v>
      </c>
      <c r="AG104" s="1610" t="e">
        <f t="shared" si="54"/>
        <v>#VALUE!</v>
      </c>
      <c r="AH104" s="1610" t="e">
        <f t="shared" si="54"/>
        <v>#VALUE!</v>
      </c>
      <c r="AI104" s="1638" t="e">
        <f t="shared" si="54"/>
        <v>#VALUE!</v>
      </c>
      <c r="AJ104" s="1564"/>
      <c r="AK104" s="1142"/>
      <c r="AL104" s="1142"/>
      <c r="AM104" s="1142"/>
      <c r="AN104" s="1116"/>
      <c r="AO104" s="1207"/>
      <c r="AP104" s="1637">
        <v>3</v>
      </c>
      <c r="AQ104" s="1610" t="e">
        <f>IF(AQ$97=0,0,IF($AT$96=3,0,0))</f>
        <v>#VALUE!</v>
      </c>
      <c r="AR104" s="1610" t="e">
        <f>IF(AR$97=0,0,IF($AT$96=3,0,0))</f>
        <v>#VALUE!</v>
      </c>
      <c r="AS104" s="1610" t="e">
        <f>IF(AS$97=0,0,IF($AT$96=3,0,0))</f>
        <v>#VALUE!</v>
      </c>
      <c r="AT104" s="1610" t="e">
        <f>IF(AT$97=0,0,IF($AT$96=3,AQ$97,AQ$97-AQ$98))</f>
        <v>#VALUE!</v>
      </c>
      <c r="AU104" s="1610" t="e">
        <f t="shared" ref="AU104:BS104" si="55">IF(AU$97=0,0,IF($AT$96=3,AR$97,AR$97-AR$98+AQ$98))</f>
        <v>#VALUE!</v>
      </c>
      <c r="AV104" s="1610" t="e">
        <f t="shared" si="55"/>
        <v>#VALUE!</v>
      </c>
      <c r="AW104" s="1610" t="e">
        <f t="shared" si="55"/>
        <v>#VALUE!</v>
      </c>
      <c r="AX104" s="1610" t="e">
        <f t="shared" si="55"/>
        <v>#VALUE!</v>
      </c>
      <c r="AY104" s="1610" t="e">
        <f t="shared" si="55"/>
        <v>#VALUE!</v>
      </c>
      <c r="AZ104" s="1610" t="e">
        <f t="shared" si="55"/>
        <v>#VALUE!</v>
      </c>
      <c r="BA104" s="1610" t="e">
        <f t="shared" si="55"/>
        <v>#VALUE!</v>
      </c>
      <c r="BB104" s="1610" t="e">
        <f t="shared" si="55"/>
        <v>#VALUE!</v>
      </c>
      <c r="BC104" s="1610" t="e">
        <f t="shared" si="55"/>
        <v>#VALUE!</v>
      </c>
      <c r="BD104" s="1610" t="e">
        <f t="shared" si="55"/>
        <v>#VALUE!</v>
      </c>
      <c r="BE104" s="1610" t="e">
        <f t="shared" si="55"/>
        <v>#VALUE!</v>
      </c>
      <c r="BF104" s="1610" t="e">
        <f t="shared" si="55"/>
        <v>#VALUE!</v>
      </c>
      <c r="BG104" s="1610" t="e">
        <f t="shared" si="55"/>
        <v>#VALUE!</v>
      </c>
      <c r="BH104" s="1610" t="e">
        <f t="shared" si="55"/>
        <v>#VALUE!</v>
      </c>
      <c r="BI104" s="1610" t="e">
        <f t="shared" si="55"/>
        <v>#VALUE!</v>
      </c>
      <c r="BJ104" s="1610" t="e">
        <f t="shared" si="55"/>
        <v>#VALUE!</v>
      </c>
      <c r="BK104" s="1610" t="e">
        <f t="shared" si="55"/>
        <v>#VALUE!</v>
      </c>
      <c r="BL104" s="1610" t="e">
        <f t="shared" si="55"/>
        <v>#VALUE!</v>
      </c>
      <c r="BM104" s="1610" t="e">
        <f t="shared" si="55"/>
        <v>#VALUE!</v>
      </c>
      <c r="BN104" s="1610" t="e">
        <f t="shared" si="55"/>
        <v>#VALUE!</v>
      </c>
      <c r="BO104" s="1610" t="e">
        <f t="shared" si="55"/>
        <v>#VALUE!</v>
      </c>
      <c r="BP104" s="1610" t="e">
        <f t="shared" si="55"/>
        <v>#VALUE!</v>
      </c>
      <c r="BQ104" s="1610" t="e">
        <f t="shared" si="55"/>
        <v>#VALUE!</v>
      </c>
      <c r="BR104" s="1610" t="e">
        <f t="shared" si="55"/>
        <v>#VALUE!</v>
      </c>
      <c r="BS104" s="1638" t="e">
        <f t="shared" si="55"/>
        <v>#VALUE!</v>
      </c>
      <c r="BT104" s="1142"/>
      <c r="BU104" s="1478"/>
      <c r="BV104" s="1070"/>
      <c r="BW104" s="1526"/>
      <c r="BX104" s="1526"/>
    </row>
    <row r="105" spans="1:76" hidden="1" outlineLevel="1" x14ac:dyDescent="0.3">
      <c r="A105" s="1474"/>
      <c r="B105" s="1598"/>
      <c r="C105" s="1639" t="s">
        <v>1404</v>
      </c>
      <c r="D105" s="1625"/>
      <c r="E105" s="1623"/>
      <c r="F105" s="1640">
        <v>4</v>
      </c>
      <c r="G105" s="1641" t="e">
        <f t="shared" ref="G105:I105" si="56">IF(G$97=0,0,IF($J$96=4,0,0))</f>
        <v>#VALUE!</v>
      </c>
      <c r="H105" s="1641" t="e">
        <f t="shared" si="56"/>
        <v>#VALUE!</v>
      </c>
      <c r="I105" s="1641" t="e">
        <f t="shared" si="56"/>
        <v>#VALUE!</v>
      </c>
      <c r="J105" s="1641" t="e">
        <f>IF(J$97=0,0,IF($J$96=4,0,0))</f>
        <v>#VALUE!</v>
      </c>
      <c r="K105" s="1641" t="e">
        <f>IF(K$97=0,0,IF($J$96=4,G$97,G$97-G$98))</f>
        <v>#VALUE!</v>
      </c>
      <c r="L105" s="1641" t="e">
        <f t="shared" ref="L105:AI105" si="57">IF(L$97=0,0,IF($J$96=4,H$97,H$97-H$98+G$98))</f>
        <v>#VALUE!</v>
      </c>
      <c r="M105" s="1641" t="e">
        <f t="shared" si="57"/>
        <v>#VALUE!</v>
      </c>
      <c r="N105" s="1641" t="e">
        <f t="shared" si="57"/>
        <v>#VALUE!</v>
      </c>
      <c r="O105" s="1641" t="e">
        <f t="shared" si="57"/>
        <v>#VALUE!</v>
      </c>
      <c r="P105" s="1641" t="e">
        <f t="shared" si="57"/>
        <v>#VALUE!</v>
      </c>
      <c r="Q105" s="1641" t="e">
        <f t="shared" si="57"/>
        <v>#VALUE!</v>
      </c>
      <c r="R105" s="1641" t="e">
        <f t="shared" si="57"/>
        <v>#VALUE!</v>
      </c>
      <c r="S105" s="1641" t="e">
        <f t="shared" si="57"/>
        <v>#VALUE!</v>
      </c>
      <c r="T105" s="1641" t="e">
        <f t="shared" si="57"/>
        <v>#VALUE!</v>
      </c>
      <c r="U105" s="1641" t="e">
        <f t="shared" si="57"/>
        <v>#VALUE!</v>
      </c>
      <c r="V105" s="1641" t="e">
        <f t="shared" si="57"/>
        <v>#VALUE!</v>
      </c>
      <c r="W105" s="1641" t="e">
        <f t="shared" si="57"/>
        <v>#VALUE!</v>
      </c>
      <c r="X105" s="1641" t="e">
        <f t="shared" si="57"/>
        <v>#VALUE!</v>
      </c>
      <c r="Y105" s="1641" t="e">
        <f t="shared" si="57"/>
        <v>#VALUE!</v>
      </c>
      <c r="Z105" s="1641" t="e">
        <f t="shared" si="57"/>
        <v>#VALUE!</v>
      </c>
      <c r="AA105" s="1641" t="e">
        <f t="shared" si="57"/>
        <v>#VALUE!</v>
      </c>
      <c r="AB105" s="1641" t="e">
        <f t="shared" si="57"/>
        <v>#VALUE!</v>
      </c>
      <c r="AC105" s="1641" t="e">
        <f t="shared" si="57"/>
        <v>#VALUE!</v>
      </c>
      <c r="AD105" s="1641" t="e">
        <f t="shared" si="57"/>
        <v>#VALUE!</v>
      </c>
      <c r="AE105" s="1641" t="e">
        <f t="shared" si="57"/>
        <v>#VALUE!</v>
      </c>
      <c r="AF105" s="1641" t="e">
        <f t="shared" si="57"/>
        <v>#VALUE!</v>
      </c>
      <c r="AG105" s="1641" t="e">
        <f t="shared" si="57"/>
        <v>#VALUE!</v>
      </c>
      <c r="AH105" s="1641" t="e">
        <f t="shared" si="57"/>
        <v>#VALUE!</v>
      </c>
      <c r="AI105" s="1642" t="e">
        <f t="shared" si="57"/>
        <v>#VALUE!</v>
      </c>
      <c r="AJ105" s="1564"/>
      <c r="AK105" s="1142"/>
      <c r="AL105" s="1142"/>
      <c r="AM105" s="1142"/>
      <c r="AN105" s="1116"/>
      <c r="AO105" s="1207"/>
      <c r="AP105" s="1640">
        <v>4</v>
      </c>
      <c r="AQ105" s="1641" t="e">
        <f>IF(AQ$97=0,0,IF($AT$96=4,0,0))</f>
        <v>#VALUE!</v>
      </c>
      <c r="AR105" s="1641" t="e">
        <f>IF(AR$97=0,0,IF($AT$96=4,0,0))</f>
        <v>#VALUE!</v>
      </c>
      <c r="AS105" s="1641" t="e">
        <f>IF(AS$97=0,0,IF($AT$96=4,0,0))</f>
        <v>#VALUE!</v>
      </c>
      <c r="AT105" s="1641" t="e">
        <f>IF(AT$97=0,0,IF($AT$96=4,0,0))</f>
        <v>#VALUE!</v>
      </c>
      <c r="AU105" s="1641" t="e">
        <f>IF(AU$97=0,0,IF($AT$96=4,AQ$97,AQ$97-AQ$98))</f>
        <v>#VALUE!</v>
      </c>
      <c r="AV105" s="1641" t="e">
        <f t="shared" ref="AV105:BS105" si="58">IF(AV$97=0,0,IF($AT$96=4,AR$97,AR$97-AR$98+AQ$98))</f>
        <v>#VALUE!</v>
      </c>
      <c r="AW105" s="1641" t="e">
        <f t="shared" si="58"/>
        <v>#VALUE!</v>
      </c>
      <c r="AX105" s="1641" t="e">
        <f t="shared" si="58"/>
        <v>#VALUE!</v>
      </c>
      <c r="AY105" s="1641" t="e">
        <f t="shared" si="58"/>
        <v>#VALUE!</v>
      </c>
      <c r="AZ105" s="1641" t="e">
        <f t="shared" si="58"/>
        <v>#VALUE!</v>
      </c>
      <c r="BA105" s="1641" t="e">
        <f t="shared" si="58"/>
        <v>#VALUE!</v>
      </c>
      <c r="BB105" s="1641" t="e">
        <f t="shared" si="58"/>
        <v>#VALUE!</v>
      </c>
      <c r="BC105" s="1641" t="e">
        <f t="shared" si="58"/>
        <v>#VALUE!</v>
      </c>
      <c r="BD105" s="1641" t="e">
        <f t="shared" si="58"/>
        <v>#VALUE!</v>
      </c>
      <c r="BE105" s="1641" t="e">
        <f t="shared" si="58"/>
        <v>#VALUE!</v>
      </c>
      <c r="BF105" s="1641" t="e">
        <f t="shared" si="58"/>
        <v>#VALUE!</v>
      </c>
      <c r="BG105" s="1641" t="e">
        <f t="shared" si="58"/>
        <v>#VALUE!</v>
      </c>
      <c r="BH105" s="1641" t="e">
        <f t="shared" si="58"/>
        <v>#VALUE!</v>
      </c>
      <c r="BI105" s="1641" t="e">
        <f t="shared" si="58"/>
        <v>#VALUE!</v>
      </c>
      <c r="BJ105" s="1641" t="e">
        <f t="shared" si="58"/>
        <v>#VALUE!</v>
      </c>
      <c r="BK105" s="1641" t="e">
        <f t="shared" si="58"/>
        <v>#VALUE!</v>
      </c>
      <c r="BL105" s="1641" t="e">
        <f t="shared" si="58"/>
        <v>#VALUE!</v>
      </c>
      <c r="BM105" s="1641" t="e">
        <f t="shared" si="58"/>
        <v>#VALUE!</v>
      </c>
      <c r="BN105" s="1641" t="e">
        <f t="shared" si="58"/>
        <v>#VALUE!</v>
      </c>
      <c r="BO105" s="1641" t="e">
        <f t="shared" si="58"/>
        <v>#VALUE!</v>
      </c>
      <c r="BP105" s="1641" t="e">
        <f t="shared" si="58"/>
        <v>#VALUE!</v>
      </c>
      <c r="BQ105" s="1641" t="e">
        <f t="shared" si="58"/>
        <v>#VALUE!</v>
      </c>
      <c r="BR105" s="1641" t="e">
        <f t="shared" si="58"/>
        <v>#VALUE!</v>
      </c>
      <c r="BS105" s="1642" t="e">
        <f t="shared" si="58"/>
        <v>#VALUE!</v>
      </c>
      <c r="BT105" s="1142"/>
      <c r="BU105" s="1478"/>
      <c r="BV105" s="1070"/>
      <c r="BW105" s="1526"/>
      <c r="BX105" s="1526"/>
    </row>
    <row r="106" spans="1:76" hidden="1" outlineLevel="1" x14ac:dyDescent="0.3">
      <c r="A106" s="1474"/>
      <c r="B106" s="1598"/>
      <c r="C106" s="1643" t="s">
        <v>1405</v>
      </c>
      <c r="D106" s="1222"/>
      <c r="E106" s="1222"/>
      <c r="F106" s="1644"/>
      <c r="G106" s="1633" t="e">
        <f>IF(G82="x",0,G97/(1+DiscR)^G82)</f>
        <v>#VALUE!</v>
      </c>
      <c r="H106" s="1634" t="e">
        <f t="shared" ref="H106:AI106" si="59">H97/(1+DiscR)^H82</f>
        <v>#VALUE!</v>
      </c>
      <c r="I106" s="1634" t="e">
        <f t="shared" si="59"/>
        <v>#VALUE!</v>
      </c>
      <c r="J106" s="1634" t="e">
        <f t="shared" si="59"/>
        <v>#VALUE!</v>
      </c>
      <c r="K106" s="1634" t="e">
        <f t="shared" si="59"/>
        <v>#VALUE!</v>
      </c>
      <c r="L106" s="1634" t="e">
        <f t="shared" si="59"/>
        <v>#VALUE!</v>
      </c>
      <c r="M106" s="1634" t="e">
        <f t="shared" si="59"/>
        <v>#VALUE!</v>
      </c>
      <c r="N106" s="1634" t="e">
        <f t="shared" si="59"/>
        <v>#VALUE!</v>
      </c>
      <c r="O106" s="1634" t="e">
        <f t="shared" si="59"/>
        <v>#VALUE!</v>
      </c>
      <c r="P106" s="1634" t="e">
        <f t="shared" si="59"/>
        <v>#VALUE!</v>
      </c>
      <c r="Q106" s="1634" t="e">
        <f t="shared" si="59"/>
        <v>#VALUE!</v>
      </c>
      <c r="R106" s="1634" t="e">
        <f t="shared" si="59"/>
        <v>#VALUE!</v>
      </c>
      <c r="S106" s="1634" t="e">
        <f t="shared" si="59"/>
        <v>#VALUE!</v>
      </c>
      <c r="T106" s="1634" t="e">
        <f t="shared" si="59"/>
        <v>#VALUE!</v>
      </c>
      <c r="U106" s="1634" t="e">
        <f t="shared" si="59"/>
        <v>#VALUE!</v>
      </c>
      <c r="V106" s="1634" t="e">
        <f t="shared" si="59"/>
        <v>#VALUE!</v>
      </c>
      <c r="W106" s="1634" t="e">
        <f t="shared" si="59"/>
        <v>#VALUE!</v>
      </c>
      <c r="X106" s="1634" t="e">
        <f t="shared" si="59"/>
        <v>#VALUE!</v>
      </c>
      <c r="Y106" s="1634" t="e">
        <f t="shared" si="59"/>
        <v>#VALUE!</v>
      </c>
      <c r="Z106" s="1634" t="e">
        <f t="shared" si="59"/>
        <v>#VALUE!</v>
      </c>
      <c r="AA106" s="1634" t="e">
        <f t="shared" si="59"/>
        <v>#VALUE!</v>
      </c>
      <c r="AB106" s="1634" t="e">
        <f t="shared" si="59"/>
        <v>#VALUE!</v>
      </c>
      <c r="AC106" s="1634" t="e">
        <f t="shared" si="59"/>
        <v>#VALUE!</v>
      </c>
      <c r="AD106" s="1634" t="e">
        <f t="shared" si="59"/>
        <v>#VALUE!</v>
      </c>
      <c r="AE106" s="1634" t="e">
        <f t="shared" si="59"/>
        <v>#VALUE!</v>
      </c>
      <c r="AF106" s="1634" t="e">
        <f t="shared" si="59"/>
        <v>#VALUE!</v>
      </c>
      <c r="AG106" s="1634" t="e">
        <f t="shared" si="59"/>
        <v>#VALUE!</v>
      </c>
      <c r="AH106" s="1634" t="e">
        <f t="shared" si="59"/>
        <v>#VALUE!</v>
      </c>
      <c r="AI106" s="1635" t="e">
        <f t="shared" si="59"/>
        <v>#VALUE!</v>
      </c>
      <c r="AJ106" s="1564"/>
      <c r="AK106" s="1142"/>
      <c r="AL106" s="1142"/>
      <c r="AM106" s="1142"/>
      <c r="AN106" s="1116"/>
      <c r="AO106" s="1207"/>
      <c r="AP106" s="1644"/>
      <c r="AQ106" s="1633" t="e">
        <f>IF(AQ82="x",0,AQ97/(1+DiscR)^AQ82)</f>
        <v>#VALUE!</v>
      </c>
      <c r="AR106" s="1634" t="e">
        <f t="shared" ref="AR106:BS106" si="60">AR97/(1+DiscR)^AR82</f>
        <v>#VALUE!</v>
      </c>
      <c r="AS106" s="1634" t="e">
        <f t="shared" si="60"/>
        <v>#VALUE!</v>
      </c>
      <c r="AT106" s="1634" t="e">
        <f t="shared" si="60"/>
        <v>#VALUE!</v>
      </c>
      <c r="AU106" s="1634" t="e">
        <f t="shared" si="60"/>
        <v>#VALUE!</v>
      </c>
      <c r="AV106" s="1634" t="e">
        <f t="shared" si="60"/>
        <v>#VALUE!</v>
      </c>
      <c r="AW106" s="1634" t="e">
        <f t="shared" si="60"/>
        <v>#VALUE!</v>
      </c>
      <c r="AX106" s="1634" t="e">
        <f t="shared" si="60"/>
        <v>#VALUE!</v>
      </c>
      <c r="AY106" s="1634" t="e">
        <f t="shared" si="60"/>
        <v>#VALUE!</v>
      </c>
      <c r="AZ106" s="1634" t="e">
        <f t="shared" si="60"/>
        <v>#VALUE!</v>
      </c>
      <c r="BA106" s="1634" t="e">
        <f t="shared" si="60"/>
        <v>#VALUE!</v>
      </c>
      <c r="BB106" s="1634" t="e">
        <f t="shared" si="60"/>
        <v>#VALUE!</v>
      </c>
      <c r="BC106" s="1634" t="e">
        <f t="shared" si="60"/>
        <v>#VALUE!</v>
      </c>
      <c r="BD106" s="1634" t="e">
        <f t="shared" si="60"/>
        <v>#VALUE!</v>
      </c>
      <c r="BE106" s="1634" t="e">
        <f t="shared" si="60"/>
        <v>#VALUE!</v>
      </c>
      <c r="BF106" s="1634" t="e">
        <f t="shared" si="60"/>
        <v>#VALUE!</v>
      </c>
      <c r="BG106" s="1634" t="e">
        <f t="shared" si="60"/>
        <v>#VALUE!</v>
      </c>
      <c r="BH106" s="1634" t="e">
        <f t="shared" si="60"/>
        <v>#VALUE!</v>
      </c>
      <c r="BI106" s="1634" t="e">
        <f t="shared" si="60"/>
        <v>#VALUE!</v>
      </c>
      <c r="BJ106" s="1634" t="e">
        <f t="shared" si="60"/>
        <v>#VALUE!</v>
      </c>
      <c r="BK106" s="1634" t="e">
        <f t="shared" si="60"/>
        <v>#VALUE!</v>
      </c>
      <c r="BL106" s="1634" t="e">
        <f t="shared" si="60"/>
        <v>#VALUE!</v>
      </c>
      <c r="BM106" s="1634" t="e">
        <f t="shared" si="60"/>
        <v>#VALUE!</v>
      </c>
      <c r="BN106" s="1634" t="e">
        <f t="shared" si="60"/>
        <v>#VALUE!</v>
      </c>
      <c r="BO106" s="1634" t="e">
        <f t="shared" si="60"/>
        <v>#VALUE!</v>
      </c>
      <c r="BP106" s="1634" t="e">
        <f t="shared" si="60"/>
        <v>#VALUE!</v>
      </c>
      <c r="BQ106" s="1634" t="e">
        <f t="shared" si="60"/>
        <v>#VALUE!</v>
      </c>
      <c r="BR106" s="1634" t="e">
        <f t="shared" si="60"/>
        <v>#VALUE!</v>
      </c>
      <c r="BS106" s="1635" t="e">
        <f t="shared" si="60"/>
        <v>#VALUE!</v>
      </c>
      <c r="BT106" s="1142"/>
      <c r="BU106" s="1478"/>
      <c r="BV106" s="1070"/>
      <c r="BW106" s="1526"/>
      <c r="BX106" s="1526"/>
    </row>
    <row r="107" spans="1:76" hidden="1" outlineLevel="1" x14ac:dyDescent="0.3">
      <c r="A107" s="1474"/>
      <c r="B107" s="1598"/>
      <c r="C107" s="1645" t="s">
        <v>1406</v>
      </c>
      <c r="D107" s="1226"/>
      <c r="E107" s="1226"/>
      <c r="F107" s="1646"/>
      <c r="G107" s="1647" t="e">
        <f>VLOOKUP(ABS($K$96),$F$101:$AI$105,2,0)/(1+DiscR)^G82</f>
        <v>#VALUE!</v>
      </c>
      <c r="H107" s="1641" t="e">
        <f>VLOOKUP(ABS($K$96),$F$101:$AI$105,3,0)/(1+DiscR)^H82</f>
        <v>#VALUE!</v>
      </c>
      <c r="I107" s="1641" t="e">
        <f>VLOOKUP(ABS($K$96),$F$101:$AI$105,4,0)/(1+DiscR)^I82</f>
        <v>#VALUE!</v>
      </c>
      <c r="J107" s="1641" t="e">
        <f>VLOOKUP(ABS($K$96),$F$101:$AI$105,5,0)/(1+DiscR)^J82</f>
        <v>#VALUE!</v>
      </c>
      <c r="K107" s="1641" t="e">
        <f>VLOOKUP(ABS($K$96),$F$101:$AI$105,6,0)/(1+DiscR)^K82</f>
        <v>#VALUE!</v>
      </c>
      <c r="L107" s="1641" t="e">
        <f>VLOOKUP(ABS($K$96),$F$101:$AI$105,7,0)/(1+DiscR)^L82</f>
        <v>#VALUE!</v>
      </c>
      <c r="M107" s="1641" t="e">
        <f>VLOOKUP(ABS($K$96),$F$101:$AI$105,8,0)/(1+DiscR)^M82</f>
        <v>#VALUE!</v>
      </c>
      <c r="N107" s="1641" t="e">
        <f>VLOOKUP(ABS($K$96),$F$101:$AI$105,9,0)/(1+DiscR)^N82</f>
        <v>#VALUE!</v>
      </c>
      <c r="O107" s="1641" t="e">
        <f>VLOOKUP(ABS($K$96),$F$101:$AI$105,10,0)/(1+DiscR)^O82</f>
        <v>#VALUE!</v>
      </c>
      <c r="P107" s="1641" t="e">
        <f>VLOOKUP(ABS($K$96),$F$101:$AI$105,11,0)/(1+DiscR)^P82</f>
        <v>#VALUE!</v>
      </c>
      <c r="Q107" s="1641" t="e">
        <f>VLOOKUP(ABS($K$96),$F$101:$AI$105,12,0)/(1+DiscR)^Q82</f>
        <v>#VALUE!</v>
      </c>
      <c r="R107" s="1641" t="e">
        <f>VLOOKUP(ABS($K$96),$F$101:$AI$105,13,0)/(1+DiscR)^R82</f>
        <v>#VALUE!</v>
      </c>
      <c r="S107" s="1641" t="e">
        <f>VLOOKUP(ABS($K$96),$F$101:$AI$105,14,0)/(1+DiscR)^S82</f>
        <v>#VALUE!</v>
      </c>
      <c r="T107" s="1641" t="e">
        <f>VLOOKUP(ABS($K$96),$F$101:$AI$105,15,0)/(1+DiscR)^T82</f>
        <v>#VALUE!</v>
      </c>
      <c r="U107" s="1641" t="e">
        <f>VLOOKUP(ABS($K$96),$F$101:$AI$105,16,0)/(1+DiscR)^U82</f>
        <v>#VALUE!</v>
      </c>
      <c r="V107" s="1641" t="e">
        <f>VLOOKUP(ABS($K$96),$F$101:$AI$105,17,0)/(1+DiscR)^V82</f>
        <v>#VALUE!</v>
      </c>
      <c r="W107" s="1641" t="e">
        <f>VLOOKUP(ABS($K$96),$F$101:$AI$105,18,0)/(1+DiscR)^W82</f>
        <v>#VALUE!</v>
      </c>
      <c r="X107" s="1641" t="e">
        <f>VLOOKUP(ABS($K$96),$F$101:$AI$105,19,0)/(1+DiscR)^X82</f>
        <v>#VALUE!</v>
      </c>
      <c r="Y107" s="1641" t="e">
        <f>VLOOKUP(ABS($K$96),$F$101:$AI$105,20,0)/(1+DiscR)^Y82</f>
        <v>#VALUE!</v>
      </c>
      <c r="Z107" s="1641" t="e">
        <f>VLOOKUP(ABS($K$96),$F$101:$AI$105,21,0)/(1+DiscR)^Z82</f>
        <v>#VALUE!</v>
      </c>
      <c r="AA107" s="1641" t="e">
        <f>VLOOKUP(ABS($K$96),$F$101:$AI$105,22,0)/(1+DiscR)^AA82</f>
        <v>#VALUE!</v>
      </c>
      <c r="AB107" s="1641" t="e">
        <f>VLOOKUP(ABS($K$96),$F$101:$AI$105,23,0)/(1+DiscR)^AB82</f>
        <v>#VALUE!</v>
      </c>
      <c r="AC107" s="1641" t="e">
        <f>VLOOKUP(ABS($K$96),$F$101:$AI$105,24,0)/(1+DiscR)^AC82</f>
        <v>#VALUE!</v>
      </c>
      <c r="AD107" s="1641" t="e">
        <f>VLOOKUP(ABS($K$96),$F$101:$AI$105,25,0)/(1+DiscR)^AD82</f>
        <v>#VALUE!</v>
      </c>
      <c r="AE107" s="1641" t="e">
        <f>VLOOKUP(ABS($K$96),$F$101:$AI$105,26,0)/(1+DiscR)^AE82</f>
        <v>#VALUE!</v>
      </c>
      <c r="AF107" s="1641" t="e">
        <f>VLOOKUP(ABS($K$96),$F$101:$AI$105,27,0)/(1+DiscR)^AF82</f>
        <v>#VALUE!</v>
      </c>
      <c r="AG107" s="1641" t="e">
        <f>VLOOKUP(ABS($K$96),$F$101:$AI$105,28,0)/(1+DiscR)^AG82</f>
        <v>#VALUE!</v>
      </c>
      <c r="AH107" s="1641" t="e">
        <f>VLOOKUP(ABS($K$96),$F$101:$AI$105,29,0)/(1+DiscR)^AH82</f>
        <v>#VALUE!</v>
      </c>
      <c r="AI107" s="1642" t="e">
        <f>VLOOKUP(ABS($K$96),$F$101:$AI$105,30,0)/(1+DiscR)^AI82</f>
        <v>#VALUE!</v>
      </c>
      <c r="AJ107" s="1564"/>
      <c r="AK107" s="1142"/>
      <c r="AL107" s="1142"/>
      <c r="AM107" s="1142"/>
      <c r="AN107" s="1116"/>
      <c r="AO107" s="1207"/>
      <c r="AP107" s="1648"/>
      <c r="AQ107" s="1647" t="e">
        <f>VLOOKUP(ABS($AU$96),$AP$101:$BS$105,2,0)/(1+DiscR)^AQ82</f>
        <v>#VALUE!</v>
      </c>
      <c r="AR107" s="1641" t="e">
        <f>VLOOKUP(ABS($AU$96),$AP$101:$BS$105,3,0)/(1+DiscR)^AR82</f>
        <v>#VALUE!</v>
      </c>
      <c r="AS107" s="1641" t="e">
        <f>VLOOKUP(ABS($AU$96),$AP$101:$BS$105,4,0)/(1+DiscR)^AS82</f>
        <v>#VALUE!</v>
      </c>
      <c r="AT107" s="1641" t="e">
        <f>VLOOKUP(ABS($AU$96),$AP$101:$BS$105,5,0)/(1+DiscR)^AT82</f>
        <v>#VALUE!</v>
      </c>
      <c r="AU107" s="1641" t="e">
        <f>VLOOKUP(ABS($AU$96),$AP$101:$BS$105,6,0)/(1+DiscR)^AU82</f>
        <v>#VALUE!</v>
      </c>
      <c r="AV107" s="1641" t="e">
        <f>VLOOKUP(ABS($AU$96),$AP$101:$BS$105,7,0)/(1+DiscR)^AV82</f>
        <v>#VALUE!</v>
      </c>
      <c r="AW107" s="1641" t="e">
        <f>VLOOKUP(ABS($AU$96),$AP$101:$BS$105,8,0)/(1+DiscR)^AW82</f>
        <v>#VALUE!</v>
      </c>
      <c r="AX107" s="1641" t="e">
        <f>VLOOKUP(ABS($AU$96),$AP$101:$BS$105,9,0)/(1+DiscR)^AX82</f>
        <v>#VALUE!</v>
      </c>
      <c r="AY107" s="1641" t="e">
        <f>VLOOKUP(ABS($AU$96),$AP$101:$BS$105,10,0)/(1+DiscR)^AY82</f>
        <v>#VALUE!</v>
      </c>
      <c r="AZ107" s="1641" t="e">
        <f>VLOOKUP(ABS($AU$96),$AP$101:$BS$105,11,0)/(1+DiscR)^AZ82</f>
        <v>#VALUE!</v>
      </c>
      <c r="BA107" s="1641" t="e">
        <f>VLOOKUP(ABS($AU$96),$AP$101:$BS$105,12,0)/(1+DiscR)^BA82</f>
        <v>#VALUE!</v>
      </c>
      <c r="BB107" s="1641" t="e">
        <f>VLOOKUP(ABS($AU$96),$AP$101:$BS$105,13,0)/(1+DiscR)^BB82</f>
        <v>#VALUE!</v>
      </c>
      <c r="BC107" s="1641" t="e">
        <f>VLOOKUP(ABS($AU$96),$AP$101:$BS$105,14,0)/(1+DiscR)^BC82</f>
        <v>#VALUE!</v>
      </c>
      <c r="BD107" s="1641" t="e">
        <f>VLOOKUP(ABS($AU$96),$AP$101:$BS$105,15,0)/(1+DiscR)^BD82</f>
        <v>#VALUE!</v>
      </c>
      <c r="BE107" s="1641" t="e">
        <f>VLOOKUP(ABS($AU$96),$AP$101:$BS$105,16,0)/(1+DiscR)^BE82</f>
        <v>#VALUE!</v>
      </c>
      <c r="BF107" s="1641" t="e">
        <f>VLOOKUP(ABS($AU$96),$AP$101:$BS$105,17,0)/(1+DiscR)^BF82</f>
        <v>#VALUE!</v>
      </c>
      <c r="BG107" s="1641" t="e">
        <f>VLOOKUP(ABS($AU$96),$AP$101:$BS$105,18,0)/(1+DiscR)^BG82</f>
        <v>#VALUE!</v>
      </c>
      <c r="BH107" s="1641" t="e">
        <f>VLOOKUP(ABS($AU$96),$AP$101:$BS$105,19,0)/(1+DiscR)^BH82</f>
        <v>#VALUE!</v>
      </c>
      <c r="BI107" s="1641" t="e">
        <f>VLOOKUP(ABS($AU$96),$AP$101:$BS$105,20,0)/(1+DiscR)^BI82</f>
        <v>#VALUE!</v>
      </c>
      <c r="BJ107" s="1641" t="e">
        <f>VLOOKUP(ABS($AU$96),$AP$101:$BS$105,21,0)/(1+DiscR)^BJ82</f>
        <v>#VALUE!</v>
      </c>
      <c r="BK107" s="1641" t="e">
        <f>VLOOKUP(ABS($AU$96),$AP$101:$BS$105,22,0)/(1+DiscR)^BK82</f>
        <v>#VALUE!</v>
      </c>
      <c r="BL107" s="1641" t="e">
        <f>VLOOKUP(ABS($AU$96),$AP$101:$BS$105,23,0)/(1+DiscR)^BL82</f>
        <v>#VALUE!</v>
      </c>
      <c r="BM107" s="1641" t="e">
        <f>VLOOKUP(ABS($AU$96),$AP$101:$BS$105,24,0)/(1+DiscR)^BM82</f>
        <v>#VALUE!</v>
      </c>
      <c r="BN107" s="1641" t="e">
        <f>VLOOKUP(ABS($AU$96),$AP$101:$BS$105,25,0)/(1+DiscR)^BN82</f>
        <v>#VALUE!</v>
      </c>
      <c r="BO107" s="1641" t="e">
        <f>VLOOKUP(ABS($AU$96),$AP$101:$BS$105,26,0)/(1+DiscR)^BO82</f>
        <v>#VALUE!</v>
      </c>
      <c r="BP107" s="1641" t="e">
        <f>VLOOKUP(ABS($AU$96),$AP$101:$BS$105,27,0)/(1+DiscR)^BP82</f>
        <v>#VALUE!</v>
      </c>
      <c r="BQ107" s="1641" t="e">
        <f>VLOOKUP(ABS($AU$96),$AP$101:$BS$105,28,0)/(1+DiscR)^BQ82</f>
        <v>#VALUE!</v>
      </c>
      <c r="BR107" s="1641" t="e">
        <f>VLOOKUP(ABS($AU$96),$AP$101:$BS$105,29,0)/(1+DiscR)^BR82</f>
        <v>#VALUE!</v>
      </c>
      <c r="BS107" s="1642" t="e">
        <f>VLOOKUP(ABS($AU$96),$AP$101:$BS$105,30,0)/(1+DiscR)^BS82</f>
        <v>#VALUE!</v>
      </c>
      <c r="BT107" s="1142"/>
      <c r="BU107" s="1478"/>
      <c r="BV107" s="1070"/>
      <c r="BW107" s="1526"/>
      <c r="BX107" s="1526"/>
    </row>
    <row r="108" spans="1:76" hidden="1" outlineLevel="1" x14ac:dyDescent="0.3">
      <c r="A108" s="1474"/>
      <c r="B108" s="1598"/>
      <c r="C108" s="1555"/>
      <c r="D108" s="1116"/>
      <c r="E108" s="1116"/>
      <c r="F108" s="1476"/>
      <c r="G108" s="1610"/>
      <c r="H108" s="1610"/>
      <c r="I108" s="1610"/>
      <c r="J108" s="1610"/>
      <c r="K108" s="1610"/>
      <c r="L108" s="1610"/>
      <c r="M108" s="1610"/>
      <c r="N108" s="1610"/>
      <c r="O108" s="1610"/>
      <c r="P108" s="1610"/>
      <c r="Q108" s="1610"/>
      <c r="R108" s="1610"/>
      <c r="S108" s="1610"/>
      <c r="T108" s="1610"/>
      <c r="U108" s="1610"/>
      <c r="V108" s="1610"/>
      <c r="W108" s="1610"/>
      <c r="X108" s="1610"/>
      <c r="Y108" s="1610"/>
      <c r="Z108" s="1610"/>
      <c r="AA108" s="1610"/>
      <c r="AB108" s="1610"/>
      <c r="AC108" s="1610"/>
      <c r="AD108" s="1610"/>
      <c r="AE108" s="1610"/>
      <c r="AF108" s="1610"/>
      <c r="AG108" s="1610"/>
      <c r="AH108" s="1610"/>
      <c r="AI108" s="1638"/>
      <c r="AJ108" s="1564"/>
      <c r="AK108" s="1142"/>
      <c r="AL108" s="1142"/>
      <c r="AM108" s="1142"/>
      <c r="AN108" s="1116"/>
      <c r="AO108" s="1207"/>
      <c r="AP108" s="1476"/>
      <c r="AQ108" s="1610"/>
      <c r="AR108" s="1610"/>
      <c r="AS108" s="1610"/>
      <c r="AT108" s="1610"/>
      <c r="AU108" s="1610"/>
      <c r="AV108" s="1610"/>
      <c r="AW108" s="1610"/>
      <c r="AX108" s="1610"/>
      <c r="AY108" s="1610"/>
      <c r="AZ108" s="1610"/>
      <c r="BA108" s="1610"/>
      <c r="BB108" s="1610"/>
      <c r="BC108" s="1610"/>
      <c r="BD108" s="1610"/>
      <c r="BE108" s="1610"/>
      <c r="BF108" s="1610"/>
      <c r="BG108" s="1610"/>
      <c r="BH108" s="1610"/>
      <c r="BI108" s="1610"/>
      <c r="BJ108" s="1610"/>
      <c r="BK108" s="1610"/>
      <c r="BL108" s="1610"/>
      <c r="BM108" s="1610"/>
      <c r="BN108" s="1610"/>
      <c r="BO108" s="1610"/>
      <c r="BP108" s="1610"/>
      <c r="BQ108" s="1610"/>
      <c r="BR108" s="1610"/>
      <c r="BS108" s="1638"/>
      <c r="BT108" s="1142"/>
      <c r="BU108" s="1478"/>
      <c r="BV108" s="1070"/>
      <c r="BW108" s="1526"/>
      <c r="BX108" s="1526"/>
    </row>
    <row r="109" spans="1:76" hidden="1" outlineLevel="1" x14ac:dyDescent="0.3">
      <c r="A109" s="1474"/>
      <c r="B109" s="1598"/>
      <c r="C109" s="1626" t="s">
        <v>1407</v>
      </c>
      <c r="D109" s="1229"/>
      <c r="E109" s="1612"/>
      <c r="F109" s="1626" t="s">
        <v>1408</v>
      </c>
      <c r="G109" s="1627" t="s">
        <v>1399</v>
      </c>
      <c r="H109" s="1628"/>
      <c r="I109" s="1628"/>
      <c r="J109" s="1628"/>
      <c r="K109" s="1628"/>
      <c r="L109" s="1629"/>
      <c r="M109" s="1629"/>
      <c r="N109" s="1629"/>
      <c r="O109" s="1629"/>
      <c r="P109" s="1629"/>
      <c r="Q109" s="1629"/>
      <c r="R109" s="1628"/>
      <c r="S109" s="1628"/>
      <c r="T109" s="1628"/>
      <c r="U109" s="1628"/>
      <c r="V109" s="1628"/>
      <c r="W109" s="1628"/>
      <c r="X109" s="1628"/>
      <c r="Y109" s="1628"/>
      <c r="Z109" s="1628"/>
      <c r="AA109" s="1628"/>
      <c r="AB109" s="1628"/>
      <c r="AC109" s="1628"/>
      <c r="AD109" s="1628"/>
      <c r="AE109" s="1628"/>
      <c r="AF109" s="1628"/>
      <c r="AG109" s="1628"/>
      <c r="AH109" s="1628"/>
      <c r="AI109" s="1630"/>
      <c r="AJ109" s="1564"/>
      <c r="AK109" s="1142"/>
      <c r="AL109" s="1142"/>
      <c r="AM109" s="1142"/>
      <c r="AN109" s="1116"/>
      <c r="AO109" s="1207"/>
      <c r="AP109" s="1626" t="s">
        <v>1408</v>
      </c>
      <c r="AQ109" s="1627" t="s">
        <v>1399</v>
      </c>
      <c r="AR109" s="1628"/>
      <c r="AS109" s="1628"/>
      <c r="AT109" s="1628"/>
      <c r="AU109" s="1628"/>
      <c r="AV109" s="1629"/>
      <c r="AW109" s="1629"/>
      <c r="AX109" s="1629"/>
      <c r="AY109" s="1629"/>
      <c r="AZ109" s="1629"/>
      <c r="BA109" s="1629"/>
      <c r="BB109" s="1628"/>
      <c r="BC109" s="1628"/>
      <c r="BD109" s="1628"/>
      <c r="BE109" s="1628"/>
      <c r="BF109" s="1628"/>
      <c r="BG109" s="1628"/>
      <c r="BH109" s="1628"/>
      <c r="BI109" s="1628"/>
      <c r="BJ109" s="1628"/>
      <c r="BK109" s="1628"/>
      <c r="BL109" s="1628"/>
      <c r="BM109" s="1628"/>
      <c r="BN109" s="1628"/>
      <c r="BO109" s="1628"/>
      <c r="BP109" s="1628"/>
      <c r="BQ109" s="1628"/>
      <c r="BR109" s="1628"/>
      <c r="BS109" s="1630"/>
      <c r="BT109" s="1142"/>
      <c r="BU109" s="1478"/>
      <c r="BV109" s="1070"/>
      <c r="BW109" s="1526"/>
      <c r="BX109" s="1526"/>
    </row>
    <row r="110" spans="1:76" hidden="1" outlineLevel="1" x14ac:dyDescent="0.3">
      <c r="A110" s="1474"/>
      <c r="B110" s="1598"/>
      <c r="C110" s="1631" t="s">
        <v>1400</v>
      </c>
      <c r="D110" s="1581"/>
      <c r="E110" s="1624"/>
      <c r="F110" s="1632">
        <v>0</v>
      </c>
      <c r="G110" s="1610" t="e">
        <f t="shared" ref="G110:J110" si="61">IF(G97=0,0,G$97-G$98+H98)</f>
        <v>#VALUE!</v>
      </c>
      <c r="H110" s="1610" t="e">
        <f t="shared" si="61"/>
        <v>#VALUE!</v>
      </c>
      <c r="I110" s="1610" t="e">
        <f t="shared" si="61"/>
        <v>#VALUE!</v>
      </c>
      <c r="J110" s="1610" t="e">
        <f t="shared" si="61"/>
        <v>#VALUE!</v>
      </c>
      <c r="K110" s="1610" t="e">
        <f>IF(K97=0,0,K$97-K$98+L98)</f>
        <v>#VALUE!</v>
      </c>
      <c r="L110" s="1610" t="e">
        <f t="shared" ref="L110:AI110" si="62">IF(L97=0,0,L$97-L$98+M98)</f>
        <v>#VALUE!</v>
      </c>
      <c r="M110" s="1610" t="e">
        <f t="shared" si="62"/>
        <v>#VALUE!</v>
      </c>
      <c r="N110" s="1610" t="e">
        <f t="shared" si="62"/>
        <v>#VALUE!</v>
      </c>
      <c r="O110" s="1610" t="e">
        <f t="shared" si="62"/>
        <v>#VALUE!</v>
      </c>
      <c r="P110" s="1610" t="e">
        <f t="shared" si="62"/>
        <v>#VALUE!</v>
      </c>
      <c r="Q110" s="1610" t="e">
        <f t="shared" si="62"/>
        <v>#VALUE!</v>
      </c>
      <c r="R110" s="1610" t="e">
        <f t="shared" si="62"/>
        <v>#VALUE!</v>
      </c>
      <c r="S110" s="1610" t="e">
        <f t="shared" si="62"/>
        <v>#VALUE!</v>
      </c>
      <c r="T110" s="1610" t="e">
        <f t="shared" si="62"/>
        <v>#VALUE!</v>
      </c>
      <c r="U110" s="1610" t="e">
        <f t="shared" si="62"/>
        <v>#VALUE!</v>
      </c>
      <c r="V110" s="1610" t="e">
        <f t="shared" si="62"/>
        <v>#VALUE!</v>
      </c>
      <c r="W110" s="1610" t="e">
        <f t="shared" si="62"/>
        <v>#VALUE!</v>
      </c>
      <c r="X110" s="1610" t="e">
        <f t="shared" si="62"/>
        <v>#VALUE!</v>
      </c>
      <c r="Y110" s="1610" t="e">
        <f t="shared" si="62"/>
        <v>#VALUE!</v>
      </c>
      <c r="Z110" s="1610" t="e">
        <f t="shared" si="62"/>
        <v>#VALUE!</v>
      </c>
      <c r="AA110" s="1610" t="e">
        <f t="shared" si="62"/>
        <v>#VALUE!</v>
      </c>
      <c r="AB110" s="1610" t="e">
        <f t="shared" si="62"/>
        <v>#VALUE!</v>
      </c>
      <c r="AC110" s="1610" t="e">
        <f t="shared" si="62"/>
        <v>#VALUE!</v>
      </c>
      <c r="AD110" s="1610" t="e">
        <f t="shared" si="62"/>
        <v>#VALUE!</v>
      </c>
      <c r="AE110" s="1610" t="e">
        <f t="shared" si="62"/>
        <v>#VALUE!</v>
      </c>
      <c r="AF110" s="1610" t="e">
        <f t="shared" si="62"/>
        <v>#VALUE!</v>
      </c>
      <c r="AG110" s="1610" t="e">
        <f t="shared" si="62"/>
        <v>#VALUE!</v>
      </c>
      <c r="AH110" s="1610" t="e">
        <f t="shared" si="62"/>
        <v>#VALUE!</v>
      </c>
      <c r="AI110" s="1638" t="e">
        <f t="shared" si="62"/>
        <v>#VALUE!</v>
      </c>
      <c r="AJ110" s="1564"/>
      <c r="AK110" s="1142"/>
      <c r="AL110" s="1142"/>
      <c r="AM110" s="1142"/>
      <c r="AN110" s="1116"/>
      <c r="AO110" s="1207"/>
      <c r="AP110" s="1632">
        <v>0</v>
      </c>
      <c r="AQ110" s="1610" t="e">
        <f t="shared" ref="AQ110:AT110" si="63">IF(AQ97=0,0,AQ$97-AQ$98+AR98)</f>
        <v>#VALUE!</v>
      </c>
      <c r="AR110" s="1610" t="e">
        <f t="shared" si="63"/>
        <v>#VALUE!</v>
      </c>
      <c r="AS110" s="1610" t="e">
        <f t="shared" si="63"/>
        <v>#VALUE!</v>
      </c>
      <c r="AT110" s="1610" t="e">
        <f t="shared" si="63"/>
        <v>#VALUE!</v>
      </c>
      <c r="AU110" s="1610" t="e">
        <f>IF(AU97=0,0,AU$97-AU$98+AV98)</f>
        <v>#VALUE!</v>
      </c>
      <c r="AV110" s="1610" t="e">
        <f t="shared" ref="AV110:BS110" si="64">IF(AV97=0,0,AV$97-AV$98+AW98)</f>
        <v>#VALUE!</v>
      </c>
      <c r="AW110" s="1610" t="e">
        <f t="shared" si="64"/>
        <v>#VALUE!</v>
      </c>
      <c r="AX110" s="1610" t="e">
        <f t="shared" si="64"/>
        <v>#VALUE!</v>
      </c>
      <c r="AY110" s="1610" t="e">
        <f t="shared" si="64"/>
        <v>#VALUE!</v>
      </c>
      <c r="AZ110" s="1610" t="e">
        <f t="shared" si="64"/>
        <v>#VALUE!</v>
      </c>
      <c r="BA110" s="1610" t="e">
        <f t="shared" si="64"/>
        <v>#VALUE!</v>
      </c>
      <c r="BB110" s="1610" t="e">
        <f t="shared" si="64"/>
        <v>#VALUE!</v>
      </c>
      <c r="BC110" s="1610" t="e">
        <f t="shared" si="64"/>
        <v>#VALUE!</v>
      </c>
      <c r="BD110" s="1610" t="e">
        <f t="shared" si="64"/>
        <v>#VALUE!</v>
      </c>
      <c r="BE110" s="1610" t="e">
        <f t="shared" si="64"/>
        <v>#VALUE!</v>
      </c>
      <c r="BF110" s="1610" t="e">
        <f t="shared" si="64"/>
        <v>#VALUE!</v>
      </c>
      <c r="BG110" s="1610" t="e">
        <f t="shared" si="64"/>
        <v>#VALUE!</v>
      </c>
      <c r="BH110" s="1610" t="e">
        <f t="shared" si="64"/>
        <v>#VALUE!</v>
      </c>
      <c r="BI110" s="1610" t="e">
        <f t="shared" si="64"/>
        <v>#VALUE!</v>
      </c>
      <c r="BJ110" s="1610" t="e">
        <f t="shared" si="64"/>
        <v>#VALUE!</v>
      </c>
      <c r="BK110" s="1610" t="e">
        <f t="shared" si="64"/>
        <v>#VALUE!</v>
      </c>
      <c r="BL110" s="1610" t="e">
        <f t="shared" si="64"/>
        <v>#VALUE!</v>
      </c>
      <c r="BM110" s="1610" t="e">
        <f t="shared" si="64"/>
        <v>#VALUE!</v>
      </c>
      <c r="BN110" s="1610" t="e">
        <f t="shared" si="64"/>
        <v>#VALUE!</v>
      </c>
      <c r="BO110" s="1610" t="e">
        <f t="shared" si="64"/>
        <v>#VALUE!</v>
      </c>
      <c r="BP110" s="1610" t="e">
        <f t="shared" si="64"/>
        <v>#VALUE!</v>
      </c>
      <c r="BQ110" s="1610" t="e">
        <f t="shared" si="64"/>
        <v>#VALUE!</v>
      </c>
      <c r="BR110" s="1610" t="e">
        <f t="shared" si="64"/>
        <v>#VALUE!</v>
      </c>
      <c r="BS110" s="1635" t="e">
        <f t="shared" si="64"/>
        <v>#VALUE!</v>
      </c>
      <c r="BT110" s="1142"/>
      <c r="BU110" s="1478"/>
      <c r="BV110" s="1070"/>
      <c r="BW110" s="1526"/>
      <c r="BX110" s="1526"/>
    </row>
    <row r="111" spans="1:76" hidden="1" outlineLevel="1" x14ac:dyDescent="0.3">
      <c r="A111" s="1474"/>
      <c r="B111" s="1598"/>
      <c r="C111" s="1636" t="s">
        <v>1401</v>
      </c>
      <c r="D111" s="1581"/>
      <c r="E111" s="1624"/>
      <c r="F111" s="1637">
        <v>1</v>
      </c>
      <c r="G111" s="1610" t="e">
        <f t="shared" ref="G111:J111" si="65">IF(G$97=0,0,IF($J$96=1,H$97,H$97-H$98+I$98))</f>
        <v>#VALUE!</v>
      </c>
      <c r="H111" s="1610" t="e">
        <f t="shared" si="65"/>
        <v>#VALUE!</v>
      </c>
      <c r="I111" s="1610" t="e">
        <f t="shared" si="65"/>
        <v>#VALUE!</v>
      </c>
      <c r="J111" s="1610" t="e">
        <f t="shared" si="65"/>
        <v>#VALUE!</v>
      </c>
      <c r="K111" s="1610" t="e">
        <f>IF(K$97=0,0,IF($J$96=1,L$97,L$97-L$98+M$98))</f>
        <v>#VALUE!</v>
      </c>
      <c r="L111" s="1610" t="e">
        <f t="shared" ref="L111:W111" si="66">IF(L$97=0,0,IF($J$96=1,M$97,M$97-M$98+N$98))</f>
        <v>#VALUE!</v>
      </c>
      <c r="M111" s="1610" t="e">
        <f t="shared" si="66"/>
        <v>#VALUE!</v>
      </c>
      <c r="N111" s="1610" t="e">
        <f t="shared" si="66"/>
        <v>#VALUE!</v>
      </c>
      <c r="O111" s="1610" t="e">
        <f t="shared" si="66"/>
        <v>#VALUE!</v>
      </c>
      <c r="P111" s="1610" t="e">
        <f t="shared" si="66"/>
        <v>#VALUE!</v>
      </c>
      <c r="Q111" s="1610" t="e">
        <f t="shared" si="66"/>
        <v>#VALUE!</v>
      </c>
      <c r="R111" s="1610" t="e">
        <f t="shared" si="66"/>
        <v>#VALUE!</v>
      </c>
      <c r="S111" s="1610" t="e">
        <f t="shared" si="66"/>
        <v>#VALUE!</v>
      </c>
      <c r="T111" s="1610" t="e">
        <f t="shared" si="66"/>
        <v>#VALUE!</v>
      </c>
      <c r="U111" s="1610" t="e">
        <f t="shared" si="66"/>
        <v>#VALUE!</v>
      </c>
      <c r="V111" s="1610" t="e">
        <f t="shared" si="66"/>
        <v>#VALUE!</v>
      </c>
      <c r="W111" s="1610" t="e">
        <f t="shared" si="66"/>
        <v>#VALUE!</v>
      </c>
      <c r="X111" s="1610" t="e">
        <f>IF(X$97=0,0,IF($J$96=1,Y$97,Y$97-Y$98+AJ$98))</f>
        <v>#VALUE!</v>
      </c>
      <c r="Y111" s="1610" t="e">
        <f t="shared" ref="Y111:AI111" si="67">IF(Y$97=0,0,IF($J$96=1,Z$97,Z$97-Z$98+AK$98))</f>
        <v>#VALUE!</v>
      </c>
      <c r="Z111" s="1610" t="e">
        <f t="shared" si="67"/>
        <v>#VALUE!</v>
      </c>
      <c r="AA111" s="1610" t="e">
        <f t="shared" si="67"/>
        <v>#VALUE!</v>
      </c>
      <c r="AB111" s="1610" t="e">
        <f t="shared" si="67"/>
        <v>#VALUE!</v>
      </c>
      <c r="AC111" s="1610" t="e">
        <f t="shared" si="67"/>
        <v>#VALUE!</v>
      </c>
      <c r="AD111" s="1610" t="e">
        <f t="shared" si="67"/>
        <v>#VALUE!</v>
      </c>
      <c r="AE111" s="1610" t="e">
        <f t="shared" si="67"/>
        <v>#VALUE!</v>
      </c>
      <c r="AF111" s="1610" t="e">
        <f t="shared" si="67"/>
        <v>#VALUE!</v>
      </c>
      <c r="AG111" s="1610" t="e">
        <f t="shared" si="67"/>
        <v>#VALUE!</v>
      </c>
      <c r="AH111" s="1610" t="e">
        <f t="shared" si="67"/>
        <v>#VALUE!</v>
      </c>
      <c r="AI111" s="1638" t="e">
        <f t="shared" si="67"/>
        <v>#VALUE!</v>
      </c>
      <c r="AJ111" s="1564"/>
      <c r="AK111" s="1142"/>
      <c r="AL111" s="1142"/>
      <c r="AM111" s="1142"/>
      <c r="AN111" s="1116"/>
      <c r="AO111" s="1207"/>
      <c r="AP111" s="1637">
        <v>1</v>
      </c>
      <c r="AQ111" s="1610" t="e">
        <f t="shared" ref="AQ111:BG111" si="68">IF(AQ$97=0,0,IF($AT$96=1,AR$97,AR$97-AR$98+AS$98))</f>
        <v>#VALUE!</v>
      </c>
      <c r="AR111" s="1610" t="e">
        <f t="shared" si="68"/>
        <v>#VALUE!</v>
      </c>
      <c r="AS111" s="1610" t="e">
        <f t="shared" si="68"/>
        <v>#VALUE!</v>
      </c>
      <c r="AT111" s="1610" t="e">
        <f t="shared" si="68"/>
        <v>#VALUE!</v>
      </c>
      <c r="AU111" s="1610" t="e">
        <f t="shared" si="68"/>
        <v>#VALUE!</v>
      </c>
      <c r="AV111" s="1610" t="e">
        <f t="shared" si="68"/>
        <v>#VALUE!</v>
      </c>
      <c r="AW111" s="1610" t="e">
        <f t="shared" si="68"/>
        <v>#VALUE!</v>
      </c>
      <c r="AX111" s="1610" t="e">
        <f t="shared" si="68"/>
        <v>#VALUE!</v>
      </c>
      <c r="AY111" s="1610" t="e">
        <f t="shared" si="68"/>
        <v>#VALUE!</v>
      </c>
      <c r="AZ111" s="1610" t="e">
        <f t="shared" si="68"/>
        <v>#VALUE!</v>
      </c>
      <c r="BA111" s="1610" t="e">
        <f t="shared" si="68"/>
        <v>#VALUE!</v>
      </c>
      <c r="BB111" s="1610" t="e">
        <f t="shared" si="68"/>
        <v>#VALUE!</v>
      </c>
      <c r="BC111" s="1610" t="e">
        <f t="shared" si="68"/>
        <v>#VALUE!</v>
      </c>
      <c r="BD111" s="1610" t="e">
        <f t="shared" si="68"/>
        <v>#VALUE!</v>
      </c>
      <c r="BE111" s="1610" t="e">
        <f t="shared" si="68"/>
        <v>#VALUE!</v>
      </c>
      <c r="BF111" s="1610" t="e">
        <f t="shared" si="68"/>
        <v>#VALUE!</v>
      </c>
      <c r="BG111" s="1610" t="e">
        <f t="shared" si="68"/>
        <v>#VALUE!</v>
      </c>
      <c r="BH111" s="1610" t="e">
        <f t="shared" ref="BH111:BS111" si="69">IF(BH$97=0,0,IF($AT$96=1,BI$97,BI$97-BI$98+BT$98))</f>
        <v>#VALUE!</v>
      </c>
      <c r="BI111" s="1610" t="e">
        <f t="shared" si="69"/>
        <v>#VALUE!</v>
      </c>
      <c r="BJ111" s="1610" t="e">
        <f t="shared" si="69"/>
        <v>#VALUE!</v>
      </c>
      <c r="BK111" s="1610" t="e">
        <f t="shared" si="69"/>
        <v>#VALUE!</v>
      </c>
      <c r="BL111" s="1610" t="e">
        <f t="shared" si="69"/>
        <v>#VALUE!</v>
      </c>
      <c r="BM111" s="1610" t="e">
        <f t="shared" si="69"/>
        <v>#VALUE!</v>
      </c>
      <c r="BN111" s="1610" t="e">
        <f t="shared" si="69"/>
        <v>#VALUE!</v>
      </c>
      <c r="BO111" s="1610" t="e">
        <f t="shared" si="69"/>
        <v>#VALUE!</v>
      </c>
      <c r="BP111" s="1610" t="e">
        <f t="shared" si="69"/>
        <v>#VALUE!</v>
      </c>
      <c r="BQ111" s="1610" t="e">
        <f t="shared" si="69"/>
        <v>#VALUE!</v>
      </c>
      <c r="BR111" s="1610" t="e">
        <f t="shared" si="69"/>
        <v>#VALUE!</v>
      </c>
      <c r="BS111" s="1638" t="e">
        <f t="shared" si="69"/>
        <v>#VALUE!</v>
      </c>
      <c r="BT111" s="1142"/>
      <c r="BU111" s="1478"/>
      <c r="BV111" s="1070"/>
      <c r="BW111" s="1526"/>
      <c r="BX111" s="1526"/>
    </row>
    <row r="112" spans="1:76" hidden="1" outlineLevel="1" x14ac:dyDescent="0.3">
      <c r="A112" s="1474"/>
      <c r="B112" s="1598"/>
      <c r="C112" s="1636" t="s">
        <v>1402</v>
      </c>
      <c r="D112" s="1581"/>
      <c r="E112" s="1624"/>
      <c r="F112" s="1637">
        <v>2</v>
      </c>
      <c r="G112" s="1610" t="e">
        <f t="shared" ref="G112:V112" si="70">IF(G$97=0,0,IF($J$96=2,I$97,I$97-I$98+J$98))</f>
        <v>#VALUE!</v>
      </c>
      <c r="H112" s="1610" t="e">
        <f t="shared" si="70"/>
        <v>#VALUE!</v>
      </c>
      <c r="I112" s="1610" t="e">
        <f t="shared" si="70"/>
        <v>#VALUE!</v>
      </c>
      <c r="J112" s="1610" t="e">
        <f t="shared" si="70"/>
        <v>#VALUE!</v>
      </c>
      <c r="K112" s="1610" t="e">
        <f t="shared" si="70"/>
        <v>#VALUE!</v>
      </c>
      <c r="L112" s="1610" t="e">
        <f t="shared" si="70"/>
        <v>#VALUE!</v>
      </c>
      <c r="M112" s="1610" t="e">
        <f t="shared" si="70"/>
        <v>#VALUE!</v>
      </c>
      <c r="N112" s="1610" t="e">
        <f t="shared" si="70"/>
        <v>#VALUE!</v>
      </c>
      <c r="O112" s="1610" t="e">
        <f t="shared" si="70"/>
        <v>#VALUE!</v>
      </c>
      <c r="P112" s="1610" t="e">
        <f t="shared" si="70"/>
        <v>#VALUE!</v>
      </c>
      <c r="Q112" s="1610" t="e">
        <f t="shared" si="70"/>
        <v>#VALUE!</v>
      </c>
      <c r="R112" s="1610" t="e">
        <f t="shared" si="70"/>
        <v>#VALUE!</v>
      </c>
      <c r="S112" s="1610" t="e">
        <f t="shared" si="70"/>
        <v>#VALUE!</v>
      </c>
      <c r="T112" s="1610" t="e">
        <f t="shared" si="70"/>
        <v>#VALUE!</v>
      </c>
      <c r="U112" s="1610" t="e">
        <f t="shared" si="70"/>
        <v>#VALUE!</v>
      </c>
      <c r="V112" s="1610" t="e">
        <f t="shared" si="70"/>
        <v>#VALUE!</v>
      </c>
      <c r="W112" s="1610" t="e">
        <f>IF(W$97=0,0,IF($J$96=2,Y$97,Y$97-Y$98+AJ$98))</f>
        <v>#VALUE!</v>
      </c>
      <c r="X112" s="1610" t="e">
        <f t="shared" ref="X112:AI112" si="71">IF(X$97=0,0,IF($J$96=2,AJ$97,AJ$97-AJ$98+AK$98))</f>
        <v>#VALUE!</v>
      </c>
      <c r="Y112" s="1610" t="e">
        <f t="shared" si="71"/>
        <v>#VALUE!</v>
      </c>
      <c r="Z112" s="1610" t="e">
        <f t="shared" si="71"/>
        <v>#VALUE!</v>
      </c>
      <c r="AA112" s="1610" t="e">
        <f t="shared" si="71"/>
        <v>#VALUE!</v>
      </c>
      <c r="AB112" s="1610" t="e">
        <f t="shared" si="71"/>
        <v>#VALUE!</v>
      </c>
      <c r="AC112" s="1610" t="e">
        <f t="shared" si="71"/>
        <v>#VALUE!</v>
      </c>
      <c r="AD112" s="1610" t="e">
        <f t="shared" si="71"/>
        <v>#VALUE!</v>
      </c>
      <c r="AE112" s="1610" t="e">
        <f t="shared" si="71"/>
        <v>#VALUE!</v>
      </c>
      <c r="AF112" s="1610" t="e">
        <f t="shared" si="71"/>
        <v>#VALUE!</v>
      </c>
      <c r="AG112" s="1610" t="e">
        <f t="shared" si="71"/>
        <v>#VALUE!</v>
      </c>
      <c r="AH112" s="1610" t="e">
        <f t="shared" si="71"/>
        <v>#VALUE!</v>
      </c>
      <c r="AI112" s="1638" t="e">
        <f t="shared" si="71"/>
        <v>#VALUE!</v>
      </c>
      <c r="AJ112" s="1564"/>
      <c r="AK112" s="1142"/>
      <c r="AL112" s="1142"/>
      <c r="AM112" s="1142"/>
      <c r="AN112" s="1116"/>
      <c r="AO112" s="1207"/>
      <c r="AP112" s="1637">
        <v>2</v>
      </c>
      <c r="AQ112" s="1610" t="e">
        <f t="shared" ref="AQ112:BF112" si="72">IF(AQ$97=0,0,IF($AT$96=2,AS$97,AS$97-AS$98+AT$98))</f>
        <v>#VALUE!</v>
      </c>
      <c r="AR112" s="1610" t="e">
        <f t="shared" si="72"/>
        <v>#VALUE!</v>
      </c>
      <c r="AS112" s="1610" t="e">
        <f t="shared" si="72"/>
        <v>#VALUE!</v>
      </c>
      <c r="AT112" s="1610" t="e">
        <f t="shared" si="72"/>
        <v>#VALUE!</v>
      </c>
      <c r="AU112" s="1610" t="e">
        <f t="shared" si="72"/>
        <v>#VALUE!</v>
      </c>
      <c r="AV112" s="1610" t="e">
        <f t="shared" si="72"/>
        <v>#VALUE!</v>
      </c>
      <c r="AW112" s="1610" t="e">
        <f t="shared" si="72"/>
        <v>#VALUE!</v>
      </c>
      <c r="AX112" s="1610" t="e">
        <f t="shared" si="72"/>
        <v>#VALUE!</v>
      </c>
      <c r="AY112" s="1610" t="e">
        <f t="shared" si="72"/>
        <v>#VALUE!</v>
      </c>
      <c r="AZ112" s="1610" t="e">
        <f t="shared" si="72"/>
        <v>#VALUE!</v>
      </c>
      <c r="BA112" s="1610" t="e">
        <f t="shared" si="72"/>
        <v>#VALUE!</v>
      </c>
      <c r="BB112" s="1610" t="e">
        <f t="shared" si="72"/>
        <v>#VALUE!</v>
      </c>
      <c r="BC112" s="1610" t="e">
        <f t="shared" si="72"/>
        <v>#VALUE!</v>
      </c>
      <c r="BD112" s="1610" t="e">
        <f t="shared" si="72"/>
        <v>#VALUE!</v>
      </c>
      <c r="BE112" s="1610" t="e">
        <f t="shared" si="72"/>
        <v>#VALUE!</v>
      </c>
      <c r="BF112" s="1610" t="e">
        <f t="shared" si="72"/>
        <v>#VALUE!</v>
      </c>
      <c r="BG112" s="1610" t="e">
        <f>IF(BG$97=0,0,IF($AT$96=2,BI$97,BI$97-BI$98+BT$98))</f>
        <v>#VALUE!</v>
      </c>
      <c r="BH112" s="1610" t="e">
        <f t="shared" ref="BH112:BS112" si="73">IF(BH$97=0,0,IF($AT$96=2,BT$97,BT$97-BT$98+BU$98))</f>
        <v>#VALUE!</v>
      </c>
      <c r="BI112" s="1610" t="e">
        <f t="shared" si="73"/>
        <v>#VALUE!</v>
      </c>
      <c r="BJ112" s="1610" t="e">
        <f t="shared" si="73"/>
        <v>#VALUE!</v>
      </c>
      <c r="BK112" s="1610" t="e">
        <f t="shared" si="73"/>
        <v>#VALUE!</v>
      </c>
      <c r="BL112" s="1610" t="e">
        <f t="shared" si="73"/>
        <v>#VALUE!</v>
      </c>
      <c r="BM112" s="1610" t="e">
        <f t="shared" si="73"/>
        <v>#VALUE!</v>
      </c>
      <c r="BN112" s="1610" t="e">
        <f t="shared" si="73"/>
        <v>#VALUE!</v>
      </c>
      <c r="BO112" s="1610" t="e">
        <f t="shared" si="73"/>
        <v>#VALUE!</v>
      </c>
      <c r="BP112" s="1610" t="e">
        <f t="shared" si="73"/>
        <v>#VALUE!</v>
      </c>
      <c r="BQ112" s="1610" t="e">
        <f t="shared" si="73"/>
        <v>#VALUE!</v>
      </c>
      <c r="BR112" s="1610" t="e">
        <f t="shared" si="73"/>
        <v>#VALUE!</v>
      </c>
      <c r="BS112" s="1638" t="e">
        <f t="shared" si="73"/>
        <v>#VALUE!</v>
      </c>
      <c r="BT112" s="1142"/>
      <c r="BU112" s="1478"/>
      <c r="BV112" s="1070"/>
      <c r="BW112" s="1526"/>
      <c r="BX112" s="1526"/>
    </row>
    <row r="113" spans="1:76" hidden="1" outlineLevel="1" x14ac:dyDescent="0.3">
      <c r="A113" s="1474"/>
      <c r="B113" s="1598"/>
      <c r="C113" s="1636" t="s">
        <v>1403</v>
      </c>
      <c r="D113" s="1581"/>
      <c r="E113" s="1624"/>
      <c r="F113" s="1637">
        <v>3</v>
      </c>
      <c r="G113" s="1610" t="e">
        <f t="shared" ref="G113:U113" si="74">IF(G$97=0,0,IF($J$96=3,J$97,J$97-J$98+K$98))</f>
        <v>#VALUE!</v>
      </c>
      <c r="H113" s="1610" t="e">
        <f t="shared" si="74"/>
        <v>#VALUE!</v>
      </c>
      <c r="I113" s="1610" t="e">
        <f t="shared" si="74"/>
        <v>#VALUE!</v>
      </c>
      <c r="J113" s="1610" t="e">
        <f t="shared" si="74"/>
        <v>#VALUE!</v>
      </c>
      <c r="K113" s="1610" t="e">
        <f t="shared" si="74"/>
        <v>#VALUE!</v>
      </c>
      <c r="L113" s="1610" t="e">
        <f t="shared" si="74"/>
        <v>#VALUE!</v>
      </c>
      <c r="M113" s="1610" t="e">
        <f t="shared" si="74"/>
        <v>#VALUE!</v>
      </c>
      <c r="N113" s="1610" t="e">
        <f t="shared" si="74"/>
        <v>#VALUE!</v>
      </c>
      <c r="O113" s="1610" t="e">
        <f t="shared" si="74"/>
        <v>#VALUE!</v>
      </c>
      <c r="P113" s="1610" t="e">
        <f t="shared" si="74"/>
        <v>#VALUE!</v>
      </c>
      <c r="Q113" s="1610" t="e">
        <f t="shared" si="74"/>
        <v>#VALUE!</v>
      </c>
      <c r="R113" s="1610" t="e">
        <f t="shared" si="74"/>
        <v>#VALUE!</v>
      </c>
      <c r="S113" s="1610" t="e">
        <f t="shared" si="74"/>
        <v>#VALUE!</v>
      </c>
      <c r="T113" s="1610" t="e">
        <f t="shared" si="74"/>
        <v>#VALUE!</v>
      </c>
      <c r="U113" s="1610" t="e">
        <f t="shared" si="74"/>
        <v>#VALUE!</v>
      </c>
      <c r="V113" s="1610" t="e">
        <f>IF(V$97=0,0,IF($J$96=3,Y$97,Y$97-Y$98+AJ$98))</f>
        <v>#VALUE!</v>
      </c>
      <c r="W113" s="1610" t="e">
        <f t="shared" ref="W113:AI113" si="75">IF(W$97=0,0,IF($J$96=3,AJ$97,AJ$97-AJ$98+AK$98))</f>
        <v>#VALUE!</v>
      </c>
      <c r="X113" s="1610" t="e">
        <f t="shared" si="75"/>
        <v>#VALUE!</v>
      </c>
      <c r="Y113" s="1610" t="e">
        <f t="shared" si="75"/>
        <v>#VALUE!</v>
      </c>
      <c r="Z113" s="1610" t="e">
        <f t="shared" si="75"/>
        <v>#VALUE!</v>
      </c>
      <c r="AA113" s="1610" t="e">
        <f t="shared" si="75"/>
        <v>#VALUE!</v>
      </c>
      <c r="AB113" s="1610" t="e">
        <f t="shared" si="75"/>
        <v>#VALUE!</v>
      </c>
      <c r="AC113" s="1610" t="e">
        <f t="shared" si="75"/>
        <v>#VALUE!</v>
      </c>
      <c r="AD113" s="1610" t="e">
        <f t="shared" si="75"/>
        <v>#VALUE!</v>
      </c>
      <c r="AE113" s="1610" t="e">
        <f t="shared" si="75"/>
        <v>#VALUE!</v>
      </c>
      <c r="AF113" s="1610" t="e">
        <f t="shared" si="75"/>
        <v>#VALUE!</v>
      </c>
      <c r="AG113" s="1610" t="e">
        <f t="shared" si="75"/>
        <v>#VALUE!</v>
      </c>
      <c r="AH113" s="1610" t="e">
        <f t="shared" si="75"/>
        <v>#VALUE!</v>
      </c>
      <c r="AI113" s="1638" t="e">
        <f t="shared" si="75"/>
        <v>#VALUE!</v>
      </c>
      <c r="AJ113" s="1564"/>
      <c r="AK113" s="1142"/>
      <c r="AL113" s="1142"/>
      <c r="AM113" s="1142"/>
      <c r="AN113" s="1116"/>
      <c r="AO113" s="1207"/>
      <c r="AP113" s="1637">
        <v>3</v>
      </c>
      <c r="AQ113" s="1610" t="e">
        <f t="shared" ref="AQ113:BE113" si="76">IF(AQ$97=0,0,IF($AT$96=3,AT$97,AT$97-AT$98+AU$98))</f>
        <v>#VALUE!</v>
      </c>
      <c r="AR113" s="1610" t="e">
        <f t="shared" si="76"/>
        <v>#VALUE!</v>
      </c>
      <c r="AS113" s="1610" t="e">
        <f t="shared" si="76"/>
        <v>#VALUE!</v>
      </c>
      <c r="AT113" s="1610" t="e">
        <f t="shared" si="76"/>
        <v>#VALUE!</v>
      </c>
      <c r="AU113" s="1610" t="e">
        <f t="shared" si="76"/>
        <v>#VALUE!</v>
      </c>
      <c r="AV113" s="1610" t="e">
        <f t="shared" si="76"/>
        <v>#VALUE!</v>
      </c>
      <c r="AW113" s="1610" t="e">
        <f t="shared" si="76"/>
        <v>#VALUE!</v>
      </c>
      <c r="AX113" s="1610" t="e">
        <f t="shared" si="76"/>
        <v>#VALUE!</v>
      </c>
      <c r="AY113" s="1610" t="e">
        <f t="shared" si="76"/>
        <v>#VALUE!</v>
      </c>
      <c r="AZ113" s="1610" t="e">
        <f t="shared" si="76"/>
        <v>#VALUE!</v>
      </c>
      <c r="BA113" s="1610" t="e">
        <f t="shared" si="76"/>
        <v>#VALUE!</v>
      </c>
      <c r="BB113" s="1610" t="e">
        <f t="shared" si="76"/>
        <v>#VALUE!</v>
      </c>
      <c r="BC113" s="1610" t="e">
        <f t="shared" si="76"/>
        <v>#VALUE!</v>
      </c>
      <c r="BD113" s="1610" t="e">
        <f t="shared" si="76"/>
        <v>#VALUE!</v>
      </c>
      <c r="BE113" s="1610" t="e">
        <f t="shared" si="76"/>
        <v>#VALUE!</v>
      </c>
      <c r="BF113" s="1610" t="e">
        <f>IF(BF$97=0,0,IF($AT$96=3,BI$97,BI$97-BI$98+BT$98))</f>
        <v>#VALUE!</v>
      </c>
      <c r="BG113" s="1610" t="e">
        <f t="shared" ref="BG113:BS113" si="77">IF(BG$97=0,0,IF($AT$96=3,BT$97,BT$97-BT$98+BU$98))</f>
        <v>#VALUE!</v>
      </c>
      <c r="BH113" s="1610" t="e">
        <f t="shared" si="77"/>
        <v>#VALUE!</v>
      </c>
      <c r="BI113" s="1610" t="e">
        <f t="shared" si="77"/>
        <v>#VALUE!</v>
      </c>
      <c r="BJ113" s="1610" t="e">
        <f t="shared" si="77"/>
        <v>#VALUE!</v>
      </c>
      <c r="BK113" s="1610" t="e">
        <f t="shared" si="77"/>
        <v>#VALUE!</v>
      </c>
      <c r="BL113" s="1610" t="e">
        <f t="shared" si="77"/>
        <v>#VALUE!</v>
      </c>
      <c r="BM113" s="1610" t="e">
        <f t="shared" si="77"/>
        <v>#VALUE!</v>
      </c>
      <c r="BN113" s="1610" t="e">
        <f t="shared" si="77"/>
        <v>#VALUE!</v>
      </c>
      <c r="BO113" s="1610" t="e">
        <f t="shared" si="77"/>
        <v>#VALUE!</v>
      </c>
      <c r="BP113" s="1610" t="e">
        <f t="shared" si="77"/>
        <v>#VALUE!</v>
      </c>
      <c r="BQ113" s="1610" t="e">
        <f t="shared" si="77"/>
        <v>#VALUE!</v>
      </c>
      <c r="BR113" s="1610" t="e">
        <f t="shared" si="77"/>
        <v>#VALUE!</v>
      </c>
      <c r="BS113" s="1638" t="e">
        <f t="shared" si="77"/>
        <v>#VALUE!</v>
      </c>
      <c r="BT113" s="1142"/>
      <c r="BU113" s="1478"/>
      <c r="BV113" s="1070"/>
      <c r="BW113" s="1526"/>
      <c r="BX113" s="1526"/>
    </row>
    <row r="114" spans="1:76" hidden="1" outlineLevel="1" x14ac:dyDescent="0.3">
      <c r="A114" s="1474"/>
      <c r="B114" s="1598"/>
      <c r="C114" s="1639" t="s">
        <v>1404</v>
      </c>
      <c r="D114" s="1625"/>
      <c r="E114" s="1623"/>
      <c r="F114" s="1640">
        <v>4</v>
      </c>
      <c r="G114" s="1610" t="e">
        <f t="shared" ref="G114:T114" si="78">IF(G$97=0,0,IF($J$96=4,K$97,K$97-K$98+L$98))</f>
        <v>#VALUE!</v>
      </c>
      <c r="H114" s="1610" t="e">
        <f t="shared" si="78"/>
        <v>#VALUE!</v>
      </c>
      <c r="I114" s="1610" t="e">
        <f t="shared" si="78"/>
        <v>#VALUE!</v>
      </c>
      <c r="J114" s="1610" t="e">
        <f t="shared" si="78"/>
        <v>#VALUE!</v>
      </c>
      <c r="K114" s="1610" t="e">
        <f t="shared" si="78"/>
        <v>#VALUE!</v>
      </c>
      <c r="L114" s="1610" t="e">
        <f t="shared" si="78"/>
        <v>#VALUE!</v>
      </c>
      <c r="M114" s="1610" t="e">
        <f t="shared" si="78"/>
        <v>#VALUE!</v>
      </c>
      <c r="N114" s="1610" t="e">
        <f t="shared" si="78"/>
        <v>#VALUE!</v>
      </c>
      <c r="O114" s="1610" t="e">
        <f t="shared" si="78"/>
        <v>#VALUE!</v>
      </c>
      <c r="P114" s="1610" t="e">
        <f t="shared" si="78"/>
        <v>#VALUE!</v>
      </c>
      <c r="Q114" s="1610" t="e">
        <f t="shared" si="78"/>
        <v>#VALUE!</v>
      </c>
      <c r="R114" s="1610" t="e">
        <f t="shared" si="78"/>
        <v>#VALUE!</v>
      </c>
      <c r="S114" s="1610" t="e">
        <f t="shared" si="78"/>
        <v>#VALUE!</v>
      </c>
      <c r="T114" s="1610" t="e">
        <f t="shared" si="78"/>
        <v>#VALUE!</v>
      </c>
      <c r="U114" s="1610" t="e">
        <f>IF(U$97=0,0,IF($J$96=4,Y$97,Y$97-Y$98+AJ$98))</f>
        <v>#VALUE!</v>
      </c>
      <c r="V114" s="1610" t="e">
        <f t="shared" ref="V114:AI114" si="79">IF(V$97=0,0,IF($J$96=4,AJ$97,AJ$97-AJ$98+AK$98))</f>
        <v>#VALUE!</v>
      </c>
      <c r="W114" s="1610" t="e">
        <f t="shared" si="79"/>
        <v>#VALUE!</v>
      </c>
      <c r="X114" s="1610" t="e">
        <f t="shared" si="79"/>
        <v>#VALUE!</v>
      </c>
      <c r="Y114" s="1610" t="e">
        <f t="shared" si="79"/>
        <v>#VALUE!</v>
      </c>
      <c r="Z114" s="1610" t="e">
        <f t="shared" si="79"/>
        <v>#VALUE!</v>
      </c>
      <c r="AA114" s="1610" t="e">
        <f t="shared" si="79"/>
        <v>#VALUE!</v>
      </c>
      <c r="AB114" s="1610" t="e">
        <f t="shared" si="79"/>
        <v>#VALUE!</v>
      </c>
      <c r="AC114" s="1610" t="e">
        <f t="shared" si="79"/>
        <v>#VALUE!</v>
      </c>
      <c r="AD114" s="1610" t="e">
        <f t="shared" si="79"/>
        <v>#VALUE!</v>
      </c>
      <c r="AE114" s="1610" t="e">
        <f t="shared" si="79"/>
        <v>#VALUE!</v>
      </c>
      <c r="AF114" s="1610" t="e">
        <f t="shared" si="79"/>
        <v>#VALUE!</v>
      </c>
      <c r="AG114" s="1610" t="e">
        <f t="shared" si="79"/>
        <v>#VALUE!</v>
      </c>
      <c r="AH114" s="1610" t="e">
        <f t="shared" si="79"/>
        <v>#VALUE!</v>
      </c>
      <c r="AI114" s="1638" t="e">
        <f t="shared" si="79"/>
        <v>#VALUE!</v>
      </c>
      <c r="AJ114" s="1564"/>
      <c r="AK114" s="1142"/>
      <c r="AL114" s="1142"/>
      <c r="AM114" s="1142"/>
      <c r="AN114" s="1116"/>
      <c r="AO114" s="1207"/>
      <c r="AP114" s="1640">
        <v>4</v>
      </c>
      <c r="AQ114" s="1610" t="e">
        <f t="shared" ref="AQ114:BD114" si="80">IF(AQ$97=0,0,IF($AT$96=4,AU$97,AU$97-AU$98+AV$98))</f>
        <v>#VALUE!</v>
      </c>
      <c r="AR114" s="1610" t="e">
        <f t="shared" si="80"/>
        <v>#VALUE!</v>
      </c>
      <c r="AS114" s="1610" t="e">
        <f t="shared" si="80"/>
        <v>#VALUE!</v>
      </c>
      <c r="AT114" s="1610" t="e">
        <f t="shared" si="80"/>
        <v>#VALUE!</v>
      </c>
      <c r="AU114" s="1610" t="e">
        <f t="shared" si="80"/>
        <v>#VALUE!</v>
      </c>
      <c r="AV114" s="1610" t="e">
        <f t="shared" si="80"/>
        <v>#VALUE!</v>
      </c>
      <c r="AW114" s="1610" t="e">
        <f t="shared" si="80"/>
        <v>#VALUE!</v>
      </c>
      <c r="AX114" s="1610" t="e">
        <f t="shared" si="80"/>
        <v>#VALUE!</v>
      </c>
      <c r="AY114" s="1610" t="e">
        <f t="shared" si="80"/>
        <v>#VALUE!</v>
      </c>
      <c r="AZ114" s="1610" t="e">
        <f t="shared" si="80"/>
        <v>#VALUE!</v>
      </c>
      <c r="BA114" s="1610" t="e">
        <f t="shared" si="80"/>
        <v>#VALUE!</v>
      </c>
      <c r="BB114" s="1610" t="e">
        <f t="shared" si="80"/>
        <v>#VALUE!</v>
      </c>
      <c r="BC114" s="1610" t="e">
        <f t="shared" si="80"/>
        <v>#VALUE!</v>
      </c>
      <c r="BD114" s="1610" t="e">
        <f t="shared" si="80"/>
        <v>#VALUE!</v>
      </c>
      <c r="BE114" s="1610" t="e">
        <f>IF(BE$97=0,0,IF($AT$96=4,BI$97,BI$97-BI$98+BT$98))</f>
        <v>#VALUE!</v>
      </c>
      <c r="BF114" s="1610" t="e">
        <f t="shared" ref="BF114:BS114" si="81">IF(BF$97=0,0,IF($AT$96=4,BT$97,BT$97-BT$98+BU$98))</f>
        <v>#VALUE!</v>
      </c>
      <c r="BG114" s="1610" t="e">
        <f t="shared" si="81"/>
        <v>#VALUE!</v>
      </c>
      <c r="BH114" s="1610" t="e">
        <f t="shared" si="81"/>
        <v>#VALUE!</v>
      </c>
      <c r="BI114" s="1610" t="e">
        <f t="shared" si="81"/>
        <v>#VALUE!</v>
      </c>
      <c r="BJ114" s="1610" t="e">
        <f t="shared" si="81"/>
        <v>#VALUE!</v>
      </c>
      <c r="BK114" s="1610" t="e">
        <f t="shared" si="81"/>
        <v>#VALUE!</v>
      </c>
      <c r="BL114" s="1610" t="e">
        <f t="shared" si="81"/>
        <v>#VALUE!</v>
      </c>
      <c r="BM114" s="1610" t="e">
        <f t="shared" si="81"/>
        <v>#VALUE!</v>
      </c>
      <c r="BN114" s="1610" t="e">
        <f t="shared" si="81"/>
        <v>#VALUE!</v>
      </c>
      <c r="BO114" s="1610" t="e">
        <f t="shared" si="81"/>
        <v>#VALUE!</v>
      </c>
      <c r="BP114" s="1610" t="e">
        <f t="shared" si="81"/>
        <v>#VALUE!</v>
      </c>
      <c r="BQ114" s="1610" t="e">
        <f t="shared" si="81"/>
        <v>#VALUE!</v>
      </c>
      <c r="BR114" s="1610" t="e">
        <f t="shared" si="81"/>
        <v>#VALUE!</v>
      </c>
      <c r="BS114" s="1638" t="e">
        <f t="shared" si="81"/>
        <v>#VALUE!</v>
      </c>
      <c r="BT114" s="1142"/>
      <c r="BU114" s="1478"/>
      <c r="BV114" s="1070"/>
      <c r="BW114" s="1526"/>
      <c r="BX114" s="1526"/>
    </row>
    <row r="115" spans="1:76" hidden="1" outlineLevel="1" x14ac:dyDescent="0.3">
      <c r="A115" s="1474"/>
      <c r="B115" s="1598"/>
      <c r="C115" s="1643" t="s">
        <v>1405</v>
      </c>
      <c r="D115" s="1116"/>
      <c r="E115" s="1116"/>
      <c r="F115" s="1644"/>
      <c r="G115" s="1634" t="e">
        <f t="shared" ref="G115:AI115" si="82">G97/(1+DiscR)^G82</f>
        <v>#VALUE!</v>
      </c>
      <c r="H115" s="1634" t="e">
        <f t="shared" si="82"/>
        <v>#VALUE!</v>
      </c>
      <c r="I115" s="1634" t="e">
        <f t="shared" si="82"/>
        <v>#VALUE!</v>
      </c>
      <c r="J115" s="1634" t="e">
        <f t="shared" si="82"/>
        <v>#VALUE!</v>
      </c>
      <c r="K115" s="1634" t="e">
        <f t="shared" si="82"/>
        <v>#VALUE!</v>
      </c>
      <c r="L115" s="1634" t="e">
        <f t="shared" si="82"/>
        <v>#VALUE!</v>
      </c>
      <c r="M115" s="1634" t="e">
        <f t="shared" si="82"/>
        <v>#VALUE!</v>
      </c>
      <c r="N115" s="1634" t="e">
        <f t="shared" si="82"/>
        <v>#VALUE!</v>
      </c>
      <c r="O115" s="1634" t="e">
        <f t="shared" si="82"/>
        <v>#VALUE!</v>
      </c>
      <c r="P115" s="1634" t="e">
        <f t="shared" si="82"/>
        <v>#VALUE!</v>
      </c>
      <c r="Q115" s="1634" t="e">
        <f t="shared" si="82"/>
        <v>#VALUE!</v>
      </c>
      <c r="R115" s="1634" t="e">
        <f t="shared" si="82"/>
        <v>#VALUE!</v>
      </c>
      <c r="S115" s="1634" t="e">
        <f t="shared" si="82"/>
        <v>#VALUE!</v>
      </c>
      <c r="T115" s="1634" t="e">
        <f t="shared" si="82"/>
        <v>#VALUE!</v>
      </c>
      <c r="U115" s="1634" t="e">
        <f t="shared" si="82"/>
        <v>#VALUE!</v>
      </c>
      <c r="V115" s="1634" t="e">
        <f t="shared" si="82"/>
        <v>#VALUE!</v>
      </c>
      <c r="W115" s="1634" t="e">
        <f t="shared" si="82"/>
        <v>#VALUE!</v>
      </c>
      <c r="X115" s="1634" t="e">
        <f t="shared" si="82"/>
        <v>#VALUE!</v>
      </c>
      <c r="Y115" s="1634" t="e">
        <f t="shared" si="82"/>
        <v>#VALUE!</v>
      </c>
      <c r="Z115" s="1634" t="e">
        <f t="shared" si="82"/>
        <v>#VALUE!</v>
      </c>
      <c r="AA115" s="1634" t="e">
        <f t="shared" si="82"/>
        <v>#VALUE!</v>
      </c>
      <c r="AB115" s="1634" t="e">
        <f t="shared" si="82"/>
        <v>#VALUE!</v>
      </c>
      <c r="AC115" s="1634" t="e">
        <f t="shared" si="82"/>
        <v>#VALUE!</v>
      </c>
      <c r="AD115" s="1634" t="e">
        <f t="shared" si="82"/>
        <v>#VALUE!</v>
      </c>
      <c r="AE115" s="1634" t="e">
        <f t="shared" si="82"/>
        <v>#VALUE!</v>
      </c>
      <c r="AF115" s="1634" t="e">
        <f t="shared" si="82"/>
        <v>#VALUE!</v>
      </c>
      <c r="AG115" s="1634" t="e">
        <f t="shared" si="82"/>
        <v>#VALUE!</v>
      </c>
      <c r="AH115" s="1634" t="e">
        <f t="shared" si="82"/>
        <v>#VALUE!</v>
      </c>
      <c r="AI115" s="1635" t="e">
        <f t="shared" si="82"/>
        <v>#VALUE!</v>
      </c>
      <c r="AJ115" s="1564"/>
      <c r="AK115" s="1142"/>
      <c r="AL115" s="1142"/>
      <c r="AM115" s="1142"/>
      <c r="AN115" s="1116"/>
      <c r="AO115" s="1207"/>
      <c r="AP115" s="1644"/>
      <c r="AQ115" s="1634" t="e">
        <f t="shared" ref="AQ115:BS115" si="83">AQ97/(1+DiscR)^AQ82</f>
        <v>#VALUE!</v>
      </c>
      <c r="AR115" s="1634" t="e">
        <f t="shared" si="83"/>
        <v>#VALUE!</v>
      </c>
      <c r="AS115" s="1634" t="e">
        <f t="shared" si="83"/>
        <v>#VALUE!</v>
      </c>
      <c r="AT115" s="1634" t="e">
        <f t="shared" si="83"/>
        <v>#VALUE!</v>
      </c>
      <c r="AU115" s="1634" t="e">
        <f t="shared" si="83"/>
        <v>#VALUE!</v>
      </c>
      <c r="AV115" s="1634" t="e">
        <f t="shared" si="83"/>
        <v>#VALUE!</v>
      </c>
      <c r="AW115" s="1634" t="e">
        <f t="shared" si="83"/>
        <v>#VALUE!</v>
      </c>
      <c r="AX115" s="1634" t="e">
        <f t="shared" si="83"/>
        <v>#VALUE!</v>
      </c>
      <c r="AY115" s="1634" t="e">
        <f t="shared" si="83"/>
        <v>#VALUE!</v>
      </c>
      <c r="AZ115" s="1634" t="e">
        <f t="shared" si="83"/>
        <v>#VALUE!</v>
      </c>
      <c r="BA115" s="1634" t="e">
        <f t="shared" si="83"/>
        <v>#VALUE!</v>
      </c>
      <c r="BB115" s="1634" t="e">
        <f t="shared" si="83"/>
        <v>#VALUE!</v>
      </c>
      <c r="BC115" s="1634" t="e">
        <f t="shared" si="83"/>
        <v>#VALUE!</v>
      </c>
      <c r="BD115" s="1634" t="e">
        <f t="shared" si="83"/>
        <v>#VALUE!</v>
      </c>
      <c r="BE115" s="1634" t="e">
        <f t="shared" si="83"/>
        <v>#VALUE!</v>
      </c>
      <c r="BF115" s="1634" t="e">
        <f t="shared" si="83"/>
        <v>#VALUE!</v>
      </c>
      <c r="BG115" s="1634" t="e">
        <f t="shared" si="83"/>
        <v>#VALUE!</v>
      </c>
      <c r="BH115" s="1634" t="e">
        <f t="shared" si="83"/>
        <v>#VALUE!</v>
      </c>
      <c r="BI115" s="1634" t="e">
        <f t="shared" si="83"/>
        <v>#VALUE!</v>
      </c>
      <c r="BJ115" s="1634" t="e">
        <f t="shared" si="83"/>
        <v>#VALUE!</v>
      </c>
      <c r="BK115" s="1634" t="e">
        <f t="shared" si="83"/>
        <v>#VALUE!</v>
      </c>
      <c r="BL115" s="1634" t="e">
        <f t="shared" si="83"/>
        <v>#VALUE!</v>
      </c>
      <c r="BM115" s="1634" t="e">
        <f t="shared" si="83"/>
        <v>#VALUE!</v>
      </c>
      <c r="BN115" s="1634" t="e">
        <f t="shared" si="83"/>
        <v>#VALUE!</v>
      </c>
      <c r="BO115" s="1634" t="e">
        <f t="shared" si="83"/>
        <v>#VALUE!</v>
      </c>
      <c r="BP115" s="1634" t="e">
        <f t="shared" si="83"/>
        <v>#VALUE!</v>
      </c>
      <c r="BQ115" s="1634" t="e">
        <f t="shared" si="83"/>
        <v>#VALUE!</v>
      </c>
      <c r="BR115" s="1634" t="e">
        <f t="shared" si="83"/>
        <v>#VALUE!</v>
      </c>
      <c r="BS115" s="1635" t="e">
        <f t="shared" si="83"/>
        <v>#VALUE!</v>
      </c>
      <c r="BT115" s="1142"/>
      <c r="BU115" s="1478"/>
      <c r="BV115" s="1070"/>
      <c r="BW115" s="1526"/>
      <c r="BX115" s="1526"/>
    </row>
    <row r="116" spans="1:76" hidden="1" outlineLevel="1" x14ac:dyDescent="0.3">
      <c r="A116" s="1474"/>
      <c r="B116" s="1598"/>
      <c r="C116" s="1645" t="s">
        <v>1406</v>
      </c>
      <c r="D116" s="1226"/>
      <c r="E116" s="1226"/>
      <c r="F116" s="1646"/>
      <c r="G116" s="1641" t="e">
        <f>VLOOKUP(ABS($K$96),$F$110:$AI$114,2,0)/(1+DiscR)^G82</f>
        <v>#VALUE!</v>
      </c>
      <c r="H116" s="1641" t="e">
        <f>VLOOKUP(ABS($K$96),$F$110:$AI$114,3,0)/(1+DiscR)^H82</f>
        <v>#VALUE!</v>
      </c>
      <c r="I116" s="1641" t="e">
        <f>VLOOKUP(ABS($K$96),$F$110:$AI$114,4,0)/(1+DiscR)^I82</f>
        <v>#VALUE!</v>
      </c>
      <c r="J116" s="1641" t="e">
        <f>VLOOKUP(ABS($K$96),$F$110:$AI$114,5,0)/(1+DiscR)^J82</f>
        <v>#VALUE!</v>
      </c>
      <c r="K116" s="1641" t="e">
        <f>VLOOKUP(ABS($K$96),$F$110:$AI$114,6,0)/(1+DiscR)^K82</f>
        <v>#VALUE!</v>
      </c>
      <c r="L116" s="1641" t="e">
        <f>VLOOKUP(ABS($K$96),$F$110:$AI$114,7,0)/(1+DiscR)^L82</f>
        <v>#VALUE!</v>
      </c>
      <c r="M116" s="1641" t="e">
        <f>VLOOKUP(ABS($K$96),$F$110:$AI$114,8,0)/(1+DiscR)^M82</f>
        <v>#VALUE!</v>
      </c>
      <c r="N116" s="1641" t="e">
        <f>VLOOKUP(ABS($K$96),$F$110:$AI$114,9,0)/(1+DiscR)^N82</f>
        <v>#VALUE!</v>
      </c>
      <c r="O116" s="1641" t="e">
        <f>VLOOKUP(ABS($K$96),$F$110:$AI$114,10,0)/(1+DiscR)^O82</f>
        <v>#VALUE!</v>
      </c>
      <c r="P116" s="1641" t="e">
        <f>VLOOKUP(ABS($K$96),$F$110:$AI$114,11,0)/(1+DiscR)^P82</f>
        <v>#VALUE!</v>
      </c>
      <c r="Q116" s="1641" t="e">
        <f>VLOOKUP(ABS($K$96),$F$110:$AI$114,12,0)/(1+DiscR)^Q82</f>
        <v>#VALUE!</v>
      </c>
      <c r="R116" s="1641" t="e">
        <f>VLOOKUP(ABS($K$96),$F$110:$AI$114,13,0)/(1+DiscR)^R82</f>
        <v>#VALUE!</v>
      </c>
      <c r="S116" s="1641" t="e">
        <f>VLOOKUP(ABS($K$96),$F$110:$AI$114,14,0)/(1+DiscR)^S82</f>
        <v>#VALUE!</v>
      </c>
      <c r="T116" s="1641" t="e">
        <f>VLOOKUP(ABS($K$96),$F$110:$AI$114,15,0)/(1+DiscR)^T82</f>
        <v>#VALUE!</v>
      </c>
      <c r="U116" s="1641" t="e">
        <f>VLOOKUP(ABS($K$96),$F$110:$AI$114,16,0)/(1+DiscR)^U82</f>
        <v>#VALUE!</v>
      </c>
      <c r="V116" s="1641" t="e">
        <f>VLOOKUP(ABS($K$96),$F$110:$AI$114,17,0)/(1+DiscR)^V82</f>
        <v>#VALUE!</v>
      </c>
      <c r="W116" s="1641" t="e">
        <f>VLOOKUP(ABS($K$96),$F$110:$AI$114,18,0)/(1+DiscR)^W82</f>
        <v>#VALUE!</v>
      </c>
      <c r="X116" s="1641" t="e">
        <f>VLOOKUP(ABS($K$96),$F$110:$AI$114,19,0)/(1+DiscR)^X82</f>
        <v>#VALUE!</v>
      </c>
      <c r="Y116" s="1641" t="e">
        <f>VLOOKUP(ABS($K$96),$F$110:$AI$114,20,0)/(1+DiscR)^Y82</f>
        <v>#VALUE!</v>
      </c>
      <c r="Z116" s="1641" t="e">
        <f>VLOOKUP(ABS($K$96),$F$110:$AI$114,21,0)/(1+DiscR)^Z82</f>
        <v>#VALUE!</v>
      </c>
      <c r="AA116" s="1641" t="e">
        <f>VLOOKUP(ABS($K$96),$F$110:$AI$114,22,0)/(1+DiscR)^AA82</f>
        <v>#VALUE!</v>
      </c>
      <c r="AB116" s="1641" t="e">
        <f>VLOOKUP(ABS($K$96),$F$110:$AI$114,23,0)/(1+DiscR)^AB82</f>
        <v>#VALUE!</v>
      </c>
      <c r="AC116" s="1641" t="e">
        <f>VLOOKUP(ABS($K$96),$F$110:$AI$114,24,0)/(1+DiscR)^AC82</f>
        <v>#VALUE!</v>
      </c>
      <c r="AD116" s="1641" t="e">
        <f>VLOOKUP(ABS($K$96),$F$110:$AI$114,25,0)/(1+DiscR)^AD82</f>
        <v>#VALUE!</v>
      </c>
      <c r="AE116" s="1641" t="e">
        <f>VLOOKUP(ABS($K$96),$F$110:$AI$114,26,0)/(1+DiscR)^AE82</f>
        <v>#VALUE!</v>
      </c>
      <c r="AF116" s="1641" t="e">
        <f>VLOOKUP(ABS($K$96),$F$110:$AI$114,27,0)/(1+DiscR)^AF82</f>
        <v>#VALUE!</v>
      </c>
      <c r="AG116" s="1641" t="e">
        <f>VLOOKUP(ABS($K$96),$F$110:$AI$114,28,0)/(1+DiscR)^AG82</f>
        <v>#VALUE!</v>
      </c>
      <c r="AH116" s="1641" t="e">
        <f>VLOOKUP(ABS($K$96),$F$110:$AI$114,29,0)/(1+DiscR)^AH82</f>
        <v>#VALUE!</v>
      </c>
      <c r="AI116" s="1642" t="e">
        <f>VLOOKUP(ABS($K$96),$F$110:$AI$114,30,0)/(1+DiscR)^AI82</f>
        <v>#VALUE!</v>
      </c>
      <c r="AJ116" s="1564"/>
      <c r="AK116" s="1142"/>
      <c r="AL116" s="1142"/>
      <c r="AM116" s="1142"/>
      <c r="AN116" s="1116"/>
      <c r="AO116" s="1207"/>
      <c r="AP116" s="1648"/>
      <c r="AQ116" s="1647" t="e">
        <f>VLOOKUP(ABS($AU$96),$AP$110:$BS$114,2,0)/(1+DiscR)^AQ82</f>
        <v>#VALUE!</v>
      </c>
      <c r="AR116" s="1641" t="e">
        <f>VLOOKUP(ABS($AU$96),$AP$110:$BS$114,3,0)/(1+DiscR)^AR82</f>
        <v>#VALUE!</v>
      </c>
      <c r="AS116" s="1641" t="e">
        <f>VLOOKUP(ABS($AU$96),$AP$110:$BS$114,4,0)/(1+DiscR)^AS82</f>
        <v>#VALUE!</v>
      </c>
      <c r="AT116" s="1641" t="e">
        <f>VLOOKUP(ABS($AU$96),$AP$110:$BS$114,5,0)/(1+DiscR)^AT82</f>
        <v>#VALUE!</v>
      </c>
      <c r="AU116" s="1641" t="e">
        <f>VLOOKUP(ABS($AU$96),$AP$110:$BS$114,6,0)/(1+DiscR)^AU82</f>
        <v>#VALUE!</v>
      </c>
      <c r="AV116" s="1641" t="e">
        <f>VLOOKUP(ABS($AU$96),$AP$110:$BS$114,7,0)/(1+DiscR)^AV82</f>
        <v>#VALUE!</v>
      </c>
      <c r="AW116" s="1641" t="e">
        <f>VLOOKUP(ABS($AU$96),$AP$110:$BS$114,8,0)/(1+DiscR)^AW82</f>
        <v>#VALUE!</v>
      </c>
      <c r="AX116" s="1641" t="e">
        <f>VLOOKUP(ABS($AU$96),$AP$110:$BS$114,9,0)/(1+DiscR)^AX82</f>
        <v>#VALUE!</v>
      </c>
      <c r="AY116" s="1641" t="e">
        <f>VLOOKUP(ABS($AU$96),$AP$110:$BS$114,10,0)/(1+DiscR)^AY82</f>
        <v>#VALUE!</v>
      </c>
      <c r="AZ116" s="1641" t="e">
        <f>VLOOKUP(ABS($AU$96),$AP$110:$BS$114,11,0)/(1+DiscR)^AZ82</f>
        <v>#VALUE!</v>
      </c>
      <c r="BA116" s="1641" t="e">
        <f>VLOOKUP(ABS($AU$96),$AP$110:$BS$114,12,0)/(1+DiscR)^BA82</f>
        <v>#VALUE!</v>
      </c>
      <c r="BB116" s="1641" t="e">
        <f>VLOOKUP(ABS($AU$96),$AP$110:$BS$114,13,0)/(1+DiscR)^BB82</f>
        <v>#VALUE!</v>
      </c>
      <c r="BC116" s="1641" t="e">
        <f>VLOOKUP(ABS($AU$96),$AP$110:$BS$114,14,0)/(1+DiscR)^BC82</f>
        <v>#VALUE!</v>
      </c>
      <c r="BD116" s="1641" t="e">
        <f>VLOOKUP(ABS($AU$96),$AP$110:$BS$114,15,0)/(1+DiscR)^BD82</f>
        <v>#VALUE!</v>
      </c>
      <c r="BE116" s="1641" t="e">
        <f>VLOOKUP(ABS($AU$96),$AP$110:$BS$114,16,0)/(1+DiscR)^BE82</f>
        <v>#VALUE!</v>
      </c>
      <c r="BF116" s="1641" t="e">
        <f>VLOOKUP(ABS($AU$96),$AP$110:$BS$114,17,0)/(1+DiscR)^BF82</f>
        <v>#VALUE!</v>
      </c>
      <c r="BG116" s="1641" t="e">
        <f>VLOOKUP(ABS($AU$96),$AP$110:$BS$114,18,0)/(1+DiscR)^BG82</f>
        <v>#VALUE!</v>
      </c>
      <c r="BH116" s="1641" t="e">
        <f>VLOOKUP(ABS($AU$96),$AP$110:$BS$114,19,0)/(1+DiscR)^BH82</f>
        <v>#VALUE!</v>
      </c>
      <c r="BI116" s="1641" t="e">
        <f>VLOOKUP(ABS($AU$96),$AP$110:$BS$114,20,0)/(1+DiscR)^BI82</f>
        <v>#VALUE!</v>
      </c>
      <c r="BJ116" s="1641" t="e">
        <f>VLOOKUP(ABS($AU$96),$AP$110:$BS$114,21,0)/(1+DiscR)^BJ82</f>
        <v>#VALUE!</v>
      </c>
      <c r="BK116" s="1641" t="e">
        <f>VLOOKUP(ABS($AU$96),$AP$110:$BS$114,22,0)/(1+DiscR)^BK82</f>
        <v>#VALUE!</v>
      </c>
      <c r="BL116" s="1641" t="e">
        <f>VLOOKUP(ABS($AU$96),$AP$110:$BS$114,23,0)/(1+DiscR)^BL82</f>
        <v>#VALUE!</v>
      </c>
      <c r="BM116" s="1641" t="e">
        <f>VLOOKUP(ABS($AU$96),$AP$110:$BS$114,24,0)/(1+DiscR)^BM82</f>
        <v>#VALUE!</v>
      </c>
      <c r="BN116" s="1641" t="e">
        <f>VLOOKUP(ABS($AU$96),$AP$110:$BS$114,25,0)/(1+DiscR)^BN82</f>
        <v>#VALUE!</v>
      </c>
      <c r="BO116" s="1641" t="e">
        <f>VLOOKUP(ABS($AU$96),$AP$110:$BS$114,26,0)/(1+DiscR)^BO82</f>
        <v>#VALUE!</v>
      </c>
      <c r="BP116" s="1641" t="e">
        <f>VLOOKUP(ABS($AU$96),$AP$110:$BS$114,27,0)/(1+DiscR)^BP82</f>
        <v>#VALUE!</v>
      </c>
      <c r="BQ116" s="1641" t="e">
        <f>VLOOKUP(ABS($AU$96),$AP$110:$BS$114,28,0)/(1+DiscR)^BQ82</f>
        <v>#VALUE!</v>
      </c>
      <c r="BR116" s="1641" t="e">
        <f>VLOOKUP(ABS($AU$96),$AP$110:$BS$114,29,0)/(1+DiscR)^BR82</f>
        <v>#VALUE!</v>
      </c>
      <c r="BS116" s="1642" t="e">
        <f>VLOOKUP(ABS($AU$96),$AP$110:$BS$114,30,0)/(1+DiscR)^BS82</f>
        <v>#VALUE!</v>
      </c>
      <c r="BT116" s="1142"/>
      <c r="BU116" s="1478"/>
      <c r="BV116" s="1070"/>
      <c r="BW116" s="1526"/>
      <c r="BX116" s="1526"/>
    </row>
    <row r="117" spans="1:76" hidden="1" outlineLevel="1" x14ac:dyDescent="0.3">
      <c r="A117" s="1474"/>
      <c r="B117" s="1207"/>
      <c r="C117" s="1116"/>
      <c r="D117" s="1116"/>
      <c r="E117" s="1116"/>
      <c r="F117" s="1116"/>
      <c r="G117" s="1116"/>
      <c r="H117" s="1116"/>
      <c r="I117" s="1116"/>
      <c r="J117" s="1116"/>
      <c r="K117" s="1116"/>
      <c r="L117" s="1116"/>
      <c r="M117" s="1116"/>
      <c r="N117" s="1116"/>
      <c r="O117" s="1116"/>
      <c r="P117" s="1116"/>
      <c r="Q117" s="1116"/>
      <c r="R117" s="1116"/>
      <c r="S117" s="1116"/>
      <c r="T117" s="1116"/>
      <c r="U117" s="1116"/>
      <c r="V117" s="1116"/>
      <c r="W117" s="1116"/>
      <c r="X117" s="1116"/>
      <c r="Y117" s="1116"/>
      <c r="Z117" s="1116"/>
      <c r="AA117" s="1116"/>
      <c r="AB117" s="1116"/>
      <c r="AC117" s="1116"/>
      <c r="AD117" s="1116"/>
      <c r="AE117" s="1116"/>
      <c r="AF117" s="1116"/>
      <c r="AG117" s="1116"/>
      <c r="AH117" s="1116"/>
      <c r="AI117" s="1477"/>
      <c r="AJ117" s="1564"/>
      <c r="AK117" s="1142"/>
      <c r="AL117" s="1142"/>
      <c r="AM117" s="1142"/>
      <c r="AN117" s="1116"/>
      <c r="AO117" s="1207"/>
      <c r="AP117" s="1116"/>
      <c r="AQ117" s="1116"/>
      <c r="AR117" s="1116"/>
      <c r="AS117" s="1116"/>
      <c r="AT117" s="1116"/>
      <c r="AU117" s="1116"/>
      <c r="AV117" s="1116"/>
      <c r="AW117" s="1116"/>
      <c r="AX117" s="1116"/>
      <c r="AY117" s="1116"/>
      <c r="AZ117" s="1116"/>
      <c r="BA117" s="1116"/>
      <c r="BB117" s="1116"/>
      <c r="BC117" s="1116"/>
      <c r="BD117" s="1116"/>
      <c r="BE117" s="1116"/>
      <c r="BF117" s="1116"/>
      <c r="BG117" s="1116"/>
      <c r="BH117" s="1116"/>
      <c r="BI117" s="1116"/>
      <c r="BJ117" s="1116"/>
      <c r="BK117" s="1116"/>
      <c r="BL117" s="1116"/>
      <c r="BM117" s="1116"/>
      <c r="BN117" s="1116"/>
      <c r="BO117" s="1116"/>
      <c r="BP117" s="1116"/>
      <c r="BQ117" s="1116"/>
      <c r="BR117" s="1116"/>
      <c r="BS117" s="1477"/>
      <c r="BT117" s="1142"/>
      <c r="BU117" s="1478"/>
      <c r="BV117" s="1070"/>
      <c r="BW117" s="1526"/>
      <c r="BX117" s="1526"/>
    </row>
    <row r="118" spans="1:76" hidden="1" outlineLevel="1" x14ac:dyDescent="0.3">
      <c r="A118" s="1474"/>
      <c r="B118" s="1599"/>
      <c r="C118" s="1222"/>
      <c r="D118" s="1222"/>
      <c r="E118" s="1222"/>
      <c r="F118" s="1222"/>
      <c r="G118" s="1222"/>
      <c r="H118" s="1222"/>
      <c r="I118" s="1222"/>
      <c r="J118" s="1222"/>
      <c r="K118" s="1222"/>
      <c r="L118" s="1222"/>
      <c r="M118" s="1222"/>
      <c r="N118" s="1222"/>
      <c r="O118" s="1222"/>
      <c r="P118" s="1222"/>
      <c r="Q118" s="1222"/>
      <c r="R118" s="1222"/>
      <c r="S118" s="1222"/>
      <c r="T118" s="1222"/>
      <c r="U118" s="1222"/>
      <c r="V118" s="1222"/>
      <c r="W118" s="1222"/>
      <c r="X118" s="1222"/>
      <c r="Y118" s="1222"/>
      <c r="Z118" s="1222"/>
      <c r="AA118" s="1222"/>
      <c r="AB118" s="1222"/>
      <c r="AC118" s="1222"/>
      <c r="AD118" s="1222"/>
      <c r="AE118" s="1222"/>
      <c r="AF118" s="1222"/>
      <c r="AG118" s="1222"/>
      <c r="AH118" s="1222"/>
      <c r="AI118" s="1230"/>
      <c r="AJ118" s="1564"/>
      <c r="AK118" s="1142"/>
      <c r="AL118" s="1142"/>
      <c r="AM118" s="1142"/>
      <c r="AN118" s="1116"/>
      <c r="AO118" s="1599"/>
      <c r="AP118" s="1222"/>
      <c r="AQ118" s="1222"/>
      <c r="AR118" s="1222"/>
      <c r="AS118" s="1222"/>
      <c r="AT118" s="1222"/>
      <c r="AU118" s="1222"/>
      <c r="AV118" s="1222"/>
      <c r="AW118" s="1222"/>
      <c r="AX118" s="1222"/>
      <c r="AY118" s="1222"/>
      <c r="AZ118" s="1222"/>
      <c r="BA118" s="1222"/>
      <c r="BB118" s="1222"/>
      <c r="BC118" s="1222"/>
      <c r="BD118" s="1222"/>
      <c r="BE118" s="1222"/>
      <c r="BF118" s="1222"/>
      <c r="BG118" s="1222"/>
      <c r="BH118" s="1222"/>
      <c r="BI118" s="1222"/>
      <c r="BJ118" s="1222"/>
      <c r="BK118" s="1222"/>
      <c r="BL118" s="1222"/>
      <c r="BM118" s="1222"/>
      <c r="BN118" s="1222"/>
      <c r="BO118" s="1222"/>
      <c r="BP118" s="1222"/>
      <c r="BQ118" s="1222"/>
      <c r="BR118" s="1222"/>
      <c r="BS118" s="1230"/>
      <c r="BT118" s="1142"/>
      <c r="BU118" s="1478"/>
      <c r="BV118" s="1070"/>
      <c r="BW118" s="1526"/>
      <c r="BX118" s="1526"/>
    </row>
    <row r="119" spans="1:76" hidden="1" outlineLevel="1" x14ac:dyDescent="0.3">
      <c r="A119" s="1474"/>
      <c r="B119" s="1598" t="s">
        <v>1369</v>
      </c>
      <c r="C119" s="1116"/>
      <c r="D119" s="1116"/>
      <c r="E119" s="1116"/>
      <c r="F119" s="1116"/>
      <c r="G119" s="1116"/>
      <c r="H119" s="1116"/>
      <c r="I119" s="1116"/>
      <c r="J119" s="1116"/>
      <c r="K119" s="1116"/>
      <c r="L119" s="1116"/>
      <c r="M119" s="1116"/>
      <c r="N119" s="1116"/>
      <c r="O119" s="1116"/>
      <c r="P119" s="1116"/>
      <c r="Q119" s="1116"/>
      <c r="R119" s="1116"/>
      <c r="S119" s="1116"/>
      <c r="T119" s="1116"/>
      <c r="U119" s="1116"/>
      <c r="V119" s="1116"/>
      <c r="W119" s="1116"/>
      <c r="X119" s="1116"/>
      <c r="Y119" s="1116"/>
      <c r="Z119" s="1116"/>
      <c r="AA119" s="1116"/>
      <c r="AB119" s="1116"/>
      <c r="AC119" s="1116"/>
      <c r="AD119" s="1116"/>
      <c r="AE119" s="1116"/>
      <c r="AF119" s="1116"/>
      <c r="AG119" s="1116"/>
      <c r="AH119" s="1116"/>
      <c r="AI119" s="1477"/>
      <c r="AJ119" s="1564"/>
      <c r="AK119" s="1142"/>
      <c r="AL119" s="1142"/>
      <c r="AM119" s="1142"/>
      <c r="AN119" s="1116"/>
      <c r="AO119" s="1598" t="s">
        <v>1369</v>
      </c>
      <c r="AP119" s="1116"/>
      <c r="AQ119" s="1475"/>
      <c r="AR119" s="1116"/>
      <c r="AS119" s="1116"/>
      <c r="AT119" s="1116"/>
      <c r="AU119" s="1116"/>
      <c r="AV119" s="1116"/>
      <c r="AW119" s="1116"/>
      <c r="AX119" s="1116"/>
      <c r="AY119" s="1116"/>
      <c r="AZ119" s="1116"/>
      <c r="BA119" s="1116"/>
      <c r="BB119" s="1116"/>
      <c r="BC119" s="1116"/>
      <c r="BD119" s="1116"/>
      <c r="BE119" s="1116"/>
      <c r="BF119" s="1116"/>
      <c r="BG119" s="1116"/>
      <c r="BH119" s="1116"/>
      <c r="BI119" s="1116"/>
      <c r="BJ119" s="1116"/>
      <c r="BK119" s="1116"/>
      <c r="BL119" s="1116"/>
      <c r="BM119" s="1116"/>
      <c r="BN119" s="1116"/>
      <c r="BO119" s="1116"/>
      <c r="BP119" s="1116"/>
      <c r="BQ119" s="1116"/>
      <c r="BR119" s="1116"/>
      <c r="BS119" s="1477"/>
      <c r="BT119" s="1142"/>
      <c r="BU119" s="1478"/>
      <c r="BV119" s="1070"/>
      <c r="BW119" s="1526"/>
      <c r="BX119" s="1526"/>
    </row>
    <row r="120" spans="1:76" hidden="1" outlineLevel="1" x14ac:dyDescent="0.3">
      <c r="A120" s="1474"/>
      <c r="B120" s="1207"/>
      <c r="C120" s="1116" t="s">
        <v>1409</v>
      </c>
      <c r="D120" s="1116"/>
      <c r="E120" s="1116"/>
      <c r="F120" s="1116"/>
      <c r="G120" s="1229" t="s">
        <v>1390</v>
      </c>
      <c r="H120" s="1222"/>
      <c r="I120" s="1649" t="e">
        <f>SUMIF(G83:AI83,1,G15:AI15)/SUMIF(G83:AI83,1,G11:AI11)</f>
        <v>#DIV/0!</v>
      </c>
      <c r="J120" s="1116"/>
      <c r="K120" s="1229" t="s">
        <v>1391</v>
      </c>
      <c r="L120" s="1649" t="e">
        <f>SUMIF(G83:AI83,1,AQ15:BS15)/SUMIF(G83:AI83,1,AQ11:BS11)</f>
        <v>#DIV/0!</v>
      </c>
      <c r="M120" s="1116"/>
      <c r="N120" s="1116"/>
      <c r="O120" s="1116"/>
      <c r="P120" s="1116"/>
      <c r="Q120" s="1116"/>
      <c r="R120" s="1116"/>
      <c r="S120" s="1116"/>
      <c r="T120" s="1116"/>
      <c r="U120" s="1116"/>
      <c r="V120" s="1116"/>
      <c r="W120" s="1116"/>
      <c r="X120" s="1116"/>
      <c r="Y120" s="1116"/>
      <c r="Z120" s="1116"/>
      <c r="AA120" s="1116"/>
      <c r="AB120" s="1116"/>
      <c r="AC120" s="1116"/>
      <c r="AD120" s="1116"/>
      <c r="AE120" s="1116"/>
      <c r="AF120" s="1116"/>
      <c r="AG120" s="1116"/>
      <c r="AH120" s="1116"/>
      <c r="AI120" s="1477"/>
      <c r="AJ120" s="1564"/>
      <c r="AK120" s="1142"/>
      <c r="AL120" s="1142"/>
      <c r="AM120" s="1142"/>
      <c r="AN120" s="1116"/>
      <c r="AO120" s="1207" t="s">
        <v>1409</v>
      </c>
      <c r="AP120" s="1116"/>
      <c r="AQ120" s="1229" t="s">
        <v>1410</v>
      </c>
      <c r="AR120" s="1222"/>
      <c r="AS120" s="1650" t="e">
        <f>SUMIF(AQ83:BS83,1,G15:AI15)/SUMIF(AQ83:BS83,1,G11:AI11)</f>
        <v>#DIV/0!</v>
      </c>
      <c r="AT120" s="1618"/>
      <c r="AU120" s="1222" t="s">
        <v>1411</v>
      </c>
      <c r="AV120" s="1651" t="e">
        <f>SUMIF(AQ83:BS83,1,AQ15:BS15)/SUMIF(AQ83:BS83,1,AQ11:BS11)</f>
        <v>#DIV/0!</v>
      </c>
      <c r="AW120" s="1116"/>
      <c r="AX120" s="1116"/>
      <c r="AY120" s="1116"/>
      <c r="AZ120" s="1116"/>
      <c r="BA120" s="1116"/>
      <c r="BB120" s="1116"/>
      <c r="BC120" s="1116"/>
      <c r="BD120" s="1116"/>
      <c r="BE120" s="1116"/>
      <c r="BF120" s="1116"/>
      <c r="BG120" s="1116"/>
      <c r="BH120" s="1116"/>
      <c r="BI120" s="1116"/>
      <c r="BJ120" s="1116"/>
      <c r="BK120" s="1116"/>
      <c r="BL120" s="1116"/>
      <c r="BM120" s="1116"/>
      <c r="BN120" s="1116"/>
      <c r="BO120" s="1116"/>
      <c r="BP120" s="1116"/>
      <c r="BQ120" s="1116"/>
      <c r="BR120" s="1116"/>
      <c r="BS120" s="1477"/>
      <c r="BT120" s="1142"/>
      <c r="BU120" s="1478"/>
      <c r="BV120" s="1070"/>
      <c r="BW120" s="1526"/>
      <c r="BX120" s="1526"/>
    </row>
    <row r="121" spans="1:76" hidden="1" outlineLevel="1" x14ac:dyDescent="0.3">
      <c r="A121" s="1474"/>
      <c r="B121" s="1207"/>
      <c r="C121" s="1116" t="s">
        <v>1311</v>
      </c>
      <c r="D121" s="1116"/>
      <c r="E121" s="1116"/>
      <c r="F121" s="1116"/>
      <c r="G121" s="1600" t="e">
        <f t="shared" ref="G121:AI121" si="84">IF(G$83=1,G$11*(1-$L$120)*(1-$BU$24),0)</f>
        <v>#VALUE!</v>
      </c>
      <c r="H121" s="1601" t="e">
        <f t="shared" si="84"/>
        <v>#VALUE!</v>
      </c>
      <c r="I121" s="1601" t="e">
        <f t="shared" si="84"/>
        <v>#VALUE!</v>
      </c>
      <c r="J121" s="1601" t="e">
        <f t="shared" si="84"/>
        <v>#VALUE!</v>
      </c>
      <c r="K121" s="1601" t="e">
        <f t="shared" si="84"/>
        <v>#VALUE!</v>
      </c>
      <c r="L121" s="1601" t="e">
        <f t="shared" si="84"/>
        <v>#VALUE!</v>
      </c>
      <c r="M121" s="1601" t="e">
        <f t="shared" si="84"/>
        <v>#VALUE!</v>
      </c>
      <c r="N121" s="1601" t="e">
        <f t="shared" si="84"/>
        <v>#VALUE!</v>
      </c>
      <c r="O121" s="1601" t="e">
        <f t="shared" si="84"/>
        <v>#VALUE!</v>
      </c>
      <c r="P121" s="1601" t="e">
        <f t="shared" si="84"/>
        <v>#VALUE!</v>
      </c>
      <c r="Q121" s="1601" t="e">
        <f t="shared" si="84"/>
        <v>#VALUE!</v>
      </c>
      <c r="R121" s="1601" t="e">
        <f t="shared" si="84"/>
        <v>#VALUE!</v>
      </c>
      <c r="S121" s="1601" t="e">
        <f t="shared" si="84"/>
        <v>#VALUE!</v>
      </c>
      <c r="T121" s="1601" t="e">
        <f t="shared" si="84"/>
        <v>#VALUE!</v>
      </c>
      <c r="U121" s="1601" t="e">
        <f t="shared" si="84"/>
        <v>#VALUE!</v>
      </c>
      <c r="V121" s="1601" t="e">
        <f t="shared" si="84"/>
        <v>#VALUE!</v>
      </c>
      <c r="W121" s="1601" t="e">
        <f t="shared" si="84"/>
        <v>#VALUE!</v>
      </c>
      <c r="X121" s="1601" t="e">
        <f t="shared" si="84"/>
        <v>#VALUE!</v>
      </c>
      <c r="Y121" s="1601" t="e">
        <f t="shared" si="84"/>
        <v>#VALUE!</v>
      </c>
      <c r="Z121" s="1601" t="e">
        <f t="shared" si="84"/>
        <v>#VALUE!</v>
      </c>
      <c r="AA121" s="1601" t="e">
        <f t="shared" si="84"/>
        <v>#VALUE!</v>
      </c>
      <c r="AB121" s="1601" t="e">
        <f t="shared" si="84"/>
        <v>#VALUE!</v>
      </c>
      <c r="AC121" s="1601" t="e">
        <f t="shared" si="84"/>
        <v>#VALUE!</v>
      </c>
      <c r="AD121" s="1601" t="e">
        <f t="shared" si="84"/>
        <v>#VALUE!</v>
      </c>
      <c r="AE121" s="1601" t="e">
        <f t="shared" si="84"/>
        <v>#VALUE!</v>
      </c>
      <c r="AF121" s="1601" t="e">
        <f t="shared" si="84"/>
        <v>#VALUE!</v>
      </c>
      <c r="AG121" s="1601" t="e">
        <f t="shared" si="84"/>
        <v>#VALUE!</v>
      </c>
      <c r="AH121" s="1601" t="e">
        <f t="shared" si="84"/>
        <v>#VALUE!</v>
      </c>
      <c r="AI121" s="1602" t="e">
        <f t="shared" si="84"/>
        <v>#VALUE!</v>
      </c>
      <c r="AJ121" s="1564"/>
      <c r="AK121" s="1142"/>
      <c r="AL121" s="1142"/>
      <c r="AM121" s="1142"/>
      <c r="AN121" s="1116"/>
      <c r="AO121" s="1207" t="s">
        <v>1311</v>
      </c>
      <c r="AP121" s="1116"/>
      <c r="AQ121" s="1600" t="e">
        <f t="shared" ref="AQ121:BS121" si="85">IF(AQ$83=1,G$11*(1-$AV$120)*(1-$BU$24),0)</f>
        <v>#VALUE!</v>
      </c>
      <c r="AR121" s="1601" t="e">
        <f t="shared" si="85"/>
        <v>#VALUE!</v>
      </c>
      <c r="AS121" s="1601" t="e">
        <f t="shared" si="85"/>
        <v>#VALUE!</v>
      </c>
      <c r="AT121" s="1601" t="e">
        <f t="shared" si="85"/>
        <v>#VALUE!</v>
      </c>
      <c r="AU121" s="1601" t="e">
        <f t="shared" si="85"/>
        <v>#VALUE!</v>
      </c>
      <c r="AV121" s="1601" t="e">
        <f t="shared" si="85"/>
        <v>#VALUE!</v>
      </c>
      <c r="AW121" s="1601" t="e">
        <f t="shared" si="85"/>
        <v>#VALUE!</v>
      </c>
      <c r="AX121" s="1601" t="e">
        <f t="shared" si="85"/>
        <v>#VALUE!</v>
      </c>
      <c r="AY121" s="1601" t="e">
        <f t="shared" si="85"/>
        <v>#VALUE!</v>
      </c>
      <c r="AZ121" s="1601" t="e">
        <f t="shared" si="85"/>
        <v>#VALUE!</v>
      </c>
      <c r="BA121" s="1601" t="e">
        <f t="shared" si="85"/>
        <v>#VALUE!</v>
      </c>
      <c r="BB121" s="1601" t="e">
        <f t="shared" si="85"/>
        <v>#VALUE!</v>
      </c>
      <c r="BC121" s="1601" t="e">
        <f t="shared" si="85"/>
        <v>#VALUE!</v>
      </c>
      <c r="BD121" s="1601" t="e">
        <f t="shared" si="85"/>
        <v>#VALUE!</v>
      </c>
      <c r="BE121" s="1601" t="e">
        <f t="shared" si="85"/>
        <v>#VALUE!</v>
      </c>
      <c r="BF121" s="1601" t="e">
        <f t="shared" si="85"/>
        <v>#VALUE!</v>
      </c>
      <c r="BG121" s="1601" t="e">
        <f t="shared" si="85"/>
        <v>#VALUE!</v>
      </c>
      <c r="BH121" s="1601" t="e">
        <f t="shared" si="85"/>
        <v>#VALUE!</v>
      </c>
      <c r="BI121" s="1601" t="e">
        <f t="shared" si="85"/>
        <v>#VALUE!</v>
      </c>
      <c r="BJ121" s="1601" t="e">
        <f t="shared" si="85"/>
        <v>#VALUE!</v>
      </c>
      <c r="BK121" s="1601" t="e">
        <f t="shared" si="85"/>
        <v>#VALUE!</v>
      </c>
      <c r="BL121" s="1601" t="e">
        <f t="shared" si="85"/>
        <v>#VALUE!</v>
      </c>
      <c r="BM121" s="1601" t="e">
        <f t="shared" si="85"/>
        <v>#VALUE!</v>
      </c>
      <c r="BN121" s="1601" t="e">
        <f t="shared" si="85"/>
        <v>#VALUE!</v>
      </c>
      <c r="BO121" s="1601" t="e">
        <f t="shared" si="85"/>
        <v>#VALUE!</v>
      </c>
      <c r="BP121" s="1601" t="e">
        <f t="shared" si="85"/>
        <v>#VALUE!</v>
      </c>
      <c r="BQ121" s="1601" t="e">
        <f t="shared" si="85"/>
        <v>#VALUE!</v>
      </c>
      <c r="BR121" s="1601" t="e">
        <f t="shared" si="85"/>
        <v>#VALUE!</v>
      </c>
      <c r="BS121" s="1602" t="e">
        <f t="shared" si="85"/>
        <v>#VALUE!</v>
      </c>
      <c r="BT121" s="1142"/>
      <c r="BU121" s="1478"/>
      <c r="BV121" s="1070"/>
      <c r="BW121" s="1526"/>
      <c r="BX121" s="1526"/>
    </row>
    <row r="122" spans="1:76" hidden="1" outlineLevel="1" x14ac:dyDescent="0.3">
      <c r="A122" s="1474"/>
      <c r="B122" s="1606"/>
      <c r="C122" s="1226" t="s">
        <v>1312</v>
      </c>
      <c r="D122" s="1226"/>
      <c r="E122" s="1226"/>
      <c r="F122" s="1226"/>
      <c r="G122" s="1607" t="e">
        <f t="shared" ref="G122:AI122" si="86">IF(G$83=1,AQ$11*(1-$L$120)*(1-$BU$24),0)</f>
        <v>#VALUE!</v>
      </c>
      <c r="H122" s="1608" t="e">
        <f t="shared" si="86"/>
        <v>#VALUE!</v>
      </c>
      <c r="I122" s="1608" t="e">
        <f t="shared" si="86"/>
        <v>#VALUE!</v>
      </c>
      <c r="J122" s="1608" t="e">
        <f t="shared" si="86"/>
        <v>#VALUE!</v>
      </c>
      <c r="K122" s="1608" t="e">
        <f t="shared" si="86"/>
        <v>#VALUE!</v>
      </c>
      <c r="L122" s="1608" t="e">
        <f t="shared" si="86"/>
        <v>#VALUE!</v>
      </c>
      <c r="M122" s="1608" t="e">
        <f t="shared" si="86"/>
        <v>#VALUE!</v>
      </c>
      <c r="N122" s="1608" t="e">
        <f t="shared" si="86"/>
        <v>#VALUE!</v>
      </c>
      <c r="O122" s="1608" t="e">
        <f t="shared" si="86"/>
        <v>#VALUE!</v>
      </c>
      <c r="P122" s="1608" t="e">
        <f t="shared" si="86"/>
        <v>#VALUE!</v>
      </c>
      <c r="Q122" s="1608" t="e">
        <f t="shared" si="86"/>
        <v>#VALUE!</v>
      </c>
      <c r="R122" s="1608" t="e">
        <f t="shared" si="86"/>
        <v>#VALUE!</v>
      </c>
      <c r="S122" s="1608" t="e">
        <f t="shared" si="86"/>
        <v>#VALUE!</v>
      </c>
      <c r="T122" s="1608" t="e">
        <f t="shared" si="86"/>
        <v>#VALUE!</v>
      </c>
      <c r="U122" s="1608" t="e">
        <f t="shared" si="86"/>
        <v>#VALUE!</v>
      </c>
      <c r="V122" s="1608" t="e">
        <f t="shared" si="86"/>
        <v>#VALUE!</v>
      </c>
      <c r="W122" s="1608" t="e">
        <f t="shared" si="86"/>
        <v>#VALUE!</v>
      </c>
      <c r="X122" s="1608" t="e">
        <f t="shared" si="86"/>
        <v>#VALUE!</v>
      </c>
      <c r="Y122" s="1608" t="e">
        <f t="shared" si="86"/>
        <v>#VALUE!</v>
      </c>
      <c r="Z122" s="1608" t="e">
        <f t="shared" si="86"/>
        <v>#VALUE!</v>
      </c>
      <c r="AA122" s="1608" t="e">
        <f t="shared" si="86"/>
        <v>#VALUE!</v>
      </c>
      <c r="AB122" s="1608" t="e">
        <f t="shared" si="86"/>
        <v>#VALUE!</v>
      </c>
      <c r="AC122" s="1608" t="e">
        <f t="shared" si="86"/>
        <v>#VALUE!</v>
      </c>
      <c r="AD122" s="1608" t="e">
        <f t="shared" si="86"/>
        <v>#VALUE!</v>
      </c>
      <c r="AE122" s="1608" t="e">
        <f t="shared" si="86"/>
        <v>#VALUE!</v>
      </c>
      <c r="AF122" s="1608" t="e">
        <f t="shared" si="86"/>
        <v>#VALUE!</v>
      </c>
      <c r="AG122" s="1608" t="e">
        <f t="shared" si="86"/>
        <v>#VALUE!</v>
      </c>
      <c r="AH122" s="1608" t="e">
        <f t="shared" si="86"/>
        <v>#VALUE!</v>
      </c>
      <c r="AI122" s="1609" t="e">
        <f t="shared" si="86"/>
        <v>#VALUE!</v>
      </c>
      <c r="AJ122" s="1564"/>
      <c r="AK122" s="1142"/>
      <c r="AL122" s="1142"/>
      <c r="AM122" s="1142"/>
      <c r="AN122" s="1116"/>
      <c r="AO122" s="1606" t="s">
        <v>1312</v>
      </c>
      <c r="AP122" s="1623"/>
      <c r="AQ122" s="1607" t="e">
        <f t="shared" ref="AQ122:BS122" si="87">IF(AQ$83=1,AQ$11*(1-$AV$120)*(1-$BU$24),0)</f>
        <v>#VALUE!</v>
      </c>
      <c r="AR122" s="1608" t="e">
        <f t="shared" si="87"/>
        <v>#VALUE!</v>
      </c>
      <c r="AS122" s="1608" t="e">
        <f t="shared" si="87"/>
        <v>#VALUE!</v>
      </c>
      <c r="AT122" s="1608" t="e">
        <f t="shared" si="87"/>
        <v>#VALUE!</v>
      </c>
      <c r="AU122" s="1608" t="e">
        <f t="shared" si="87"/>
        <v>#VALUE!</v>
      </c>
      <c r="AV122" s="1608" t="e">
        <f t="shared" si="87"/>
        <v>#VALUE!</v>
      </c>
      <c r="AW122" s="1608" t="e">
        <f t="shared" si="87"/>
        <v>#VALUE!</v>
      </c>
      <c r="AX122" s="1608" t="e">
        <f t="shared" si="87"/>
        <v>#VALUE!</v>
      </c>
      <c r="AY122" s="1608" t="e">
        <f t="shared" si="87"/>
        <v>#VALUE!</v>
      </c>
      <c r="AZ122" s="1608" t="e">
        <f t="shared" si="87"/>
        <v>#VALUE!</v>
      </c>
      <c r="BA122" s="1608" t="e">
        <f t="shared" si="87"/>
        <v>#VALUE!</v>
      </c>
      <c r="BB122" s="1608" t="e">
        <f t="shared" si="87"/>
        <v>#VALUE!</v>
      </c>
      <c r="BC122" s="1608" t="e">
        <f t="shared" si="87"/>
        <v>#VALUE!</v>
      </c>
      <c r="BD122" s="1608" t="e">
        <f t="shared" si="87"/>
        <v>#VALUE!</v>
      </c>
      <c r="BE122" s="1608" t="e">
        <f t="shared" si="87"/>
        <v>#VALUE!</v>
      </c>
      <c r="BF122" s="1608" t="e">
        <f t="shared" si="87"/>
        <v>#VALUE!</v>
      </c>
      <c r="BG122" s="1608" t="e">
        <f t="shared" si="87"/>
        <v>#VALUE!</v>
      </c>
      <c r="BH122" s="1608" t="e">
        <f t="shared" si="87"/>
        <v>#VALUE!</v>
      </c>
      <c r="BI122" s="1608" t="e">
        <f t="shared" si="87"/>
        <v>#VALUE!</v>
      </c>
      <c r="BJ122" s="1608" t="e">
        <f t="shared" si="87"/>
        <v>#VALUE!</v>
      </c>
      <c r="BK122" s="1608" t="e">
        <f t="shared" si="87"/>
        <v>#VALUE!</v>
      </c>
      <c r="BL122" s="1608" t="e">
        <f t="shared" si="87"/>
        <v>#VALUE!</v>
      </c>
      <c r="BM122" s="1608" t="e">
        <f t="shared" si="87"/>
        <v>#VALUE!</v>
      </c>
      <c r="BN122" s="1608" t="e">
        <f t="shared" si="87"/>
        <v>#VALUE!</v>
      </c>
      <c r="BO122" s="1608" t="e">
        <f t="shared" si="87"/>
        <v>#VALUE!</v>
      </c>
      <c r="BP122" s="1608" t="e">
        <f t="shared" si="87"/>
        <v>#VALUE!</v>
      </c>
      <c r="BQ122" s="1608" t="e">
        <f t="shared" si="87"/>
        <v>#VALUE!</v>
      </c>
      <c r="BR122" s="1608" t="e">
        <f t="shared" si="87"/>
        <v>#VALUE!</v>
      </c>
      <c r="BS122" s="1609" t="e">
        <f t="shared" si="87"/>
        <v>#VALUE!</v>
      </c>
      <c r="BT122" s="1142"/>
      <c r="BU122" s="1478"/>
      <c r="BV122" s="1070"/>
      <c r="BW122" s="1526"/>
      <c r="BX122" s="1526"/>
    </row>
    <row r="123" spans="1:76" hidden="1" outlineLevel="1" x14ac:dyDescent="0.3">
      <c r="A123" s="1474"/>
      <c r="B123" s="1207"/>
      <c r="C123" s="1116"/>
      <c r="D123" s="1116"/>
      <c r="E123" s="1116"/>
      <c r="F123" s="1116"/>
      <c r="G123" s="1604"/>
      <c r="H123" s="1604"/>
      <c r="I123" s="1604"/>
      <c r="J123" s="1604"/>
      <c r="K123" s="1604"/>
      <c r="L123" s="1604"/>
      <c r="M123" s="1604"/>
      <c r="N123" s="1604"/>
      <c r="O123" s="1604"/>
      <c r="P123" s="1604"/>
      <c r="Q123" s="1604"/>
      <c r="R123" s="1604"/>
      <c r="S123" s="1604"/>
      <c r="T123" s="1604"/>
      <c r="U123" s="1604"/>
      <c r="V123" s="1604"/>
      <c r="W123" s="1604"/>
      <c r="X123" s="1604"/>
      <c r="Y123" s="1604"/>
      <c r="Z123" s="1604"/>
      <c r="AA123" s="1604"/>
      <c r="AB123" s="1604"/>
      <c r="AC123" s="1604"/>
      <c r="AD123" s="1604"/>
      <c r="AE123" s="1604"/>
      <c r="AF123" s="1604"/>
      <c r="AG123" s="1604"/>
      <c r="AH123" s="1604"/>
      <c r="AI123" s="1605"/>
      <c r="AJ123" s="1564"/>
      <c r="AK123" s="1142"/>
      <c r="AL123" s="1142"/>
      <c r="AM123" s="1142"/>
      <c r="AN123" s="1116"/>
      <c r="AO123" s="1207"/>
      <c r="AP123" s="1116"/>
      <c r="AQ123" s="1604"/>
      <c r="AR123" s="1604"/>
      <c r="AS123" s="1604"/>
      <c r="AT123" s="1604"/>
      <c r="AU123" s="1604"/>
      <c r="AV123" s="1604"/>
      <c r="AW123" s="1604"/>
      <c r="AX123" s="1604"/>
      <c r="AY123" s="1604"/>
      <c r="AZ123" s="1604"/>
      <c r="BA123" s="1604"/>
      <c r="BB123" s="1604"/>
      <c r="BC123" s="1604"/>
      <c r="BD123" s="1604"/>
      <c r="BE123" s="1604"/>
      <c r="BF123" s="1604"/>
      <c r="BG123" s="1604"/>
      <c r="BH123" s="1604"/>
      <c r="BI123" s="1604"/>
      <c r="BJ123" s="1604"/>
      <c r="BK123" s="1604"/>
      <c r="BL123" s="1604"/>
      <c r="BM123" s="1604"/>
      <c r="BN123" s="1604"/>
      <c r="BO123" s="1604"/>
      <c r="BP123" s="1604"/>
      <c r="BQ123" s="1604"/>
      <c r="BR123" s="1604"/>
      <c r="BS123" s="1605"/>
      <c r="BT123" s="1142"/>
      <c r="BU123" s="1478"/>
      <c r="BV123" s="1070"/>
      <c r="BW123" s="1526"/>
      <c r="BX123" s="1526"/>
    </row>
    <row r="124" spans="1:76" hidden="1" outlineLevel="1" x14ac:dyDescent="0.3">
      <c r="A124" s="1474"/>
      <c r="B124" s="1598" t="s">
        <v>1370</v>
      </c>
      <c r="C124" s="1116"/>
      <c r="D124" s="1116"/>
      <c r="E124" s="1116"/>
      <c r="F124" s="1116"/>
      <c r="G124" s="1604"/>
      <c r="H124" s="1604"/>
      <c r="I124" s="1604"/>
      <c r="J124" s="1604"/>
      <c r="K124" s="1604"/>
      <c r="L124" s="1604"/>
      <c r="M124" s="1604"/>
      <c r="N124" s="1604"/>
      <c r="O124" s="1604"/>
      <c r="P124" s="1604"/>
      <c r="Q124" s="1604"/>
      <c r="R124" s="1604"/>
      <c r="S124" s="1604"/>
      <c r="T124" s="1604"/>
      <c r="U124" s="1604"/>
      <c r="V124" s="1604"/>
      <c r="W124" s="1604"/>
      <c r="X124" s="1604"/>
      <c r="Y124" s="1604"/>
      <c r="Z124" s="1604"/>
      <c r="AA124" s="1604"/>
      <c r="AB124" s="1604"/>
      <c r="AC124" s="1604"/>
      <c r="AD124" s="1604"/>
      <c r="AE124" s="1604"/>
      <c r="AF124" s="1604"/>
      <c r="AG124" s="1604"/>
      <c r="AH124" s="1604"/>
      <c r="AI124" s="1605"/>
      <c r="AJ124" s="1564"/>
      <c r="AK124" s="1142"/>
      <c r="AL124" s="1142"/>
      <c r="AM124" s="1142"/>
      <c r="AN124" s="1142"/>
      <c r="AO124" s="1598" t="s">
        <v>1370</v>
      </c>
      <c r="AP124" s="1116"/>
      <c r="AQ124" s="1604"/>
      <c r="AR124" s="1604"/>
      <c r="AS124" s="1604"/>
      <c r="AT124" s="1604"/>
      <c r="AU124" s="1604"/>
      <c r="AV124" s="1604"/>
      <c r="AW124" s="1604"/>
      <c r="AX124" s="1604"/>
      <c r="AY124" s="1604"/>
      <c r="AZ124" s="1604"/>
      <c r="BA124" s="1604"/>
      <c r="BB124" s="1604"/>
      <c r="BC124" s="1604"/>
      <c r="BD124" s="1604"/>
      <c r="BE124" s="1604"/>
      <c r="BF124" s="1604"/>
      <c r="BG124" s="1604"/>
      <c r="BH124" s="1604"/>
      <c r="BI124" s="1604"/>
      <c r="BJ124" s="1604"/>
      <c r="BK124" s="1604"/>
      <c r="BL124" s="1604"/>
      <c r="BM124" s="1604"/>
      <c r="BN124" s="1604"/>
      <c r="BO124" s="1604"/>
      <c r="BP124" s="1604"/>
      <c r="BQ124" s="1604"/>
      <c r="BR124" s="1604"/>
      <c r="BS124" s="1605"/>
      <c r="BT124" s="1142"/>
      <c r="BU124" s="1478"/>
      <c r="BV124" s="1070"/>
      <c r="BW124" s="1526"/>
      <c r="BX124" s="1526"/>
    </row>
    <row r="125" spans="1:76" hidden="1" outlineLevel="1" x14ac:dyDescent="0.3">
      <c r="A125" s="1474"/>
      <c r="B125" s="1207"/>
      <c r="C125" s="1116" t="s">
        <v>1311</v>
      </c>
      <c r="D125" s="1116"/>
      <c r="E125" s="1116"/>
      <c r="F125" s="1116"/>
      <c r="G125" s="1600" t="e">
        <f t="shared" ref="G125:AI125" si="88">-IF(G$83=1,G$11*$I$120*(1-$BU$24),0)</f>
        <v>#VALUE!</v>
      </c>
      <c r="H125" s="1601" t="e">
        <f t="shared" si="88"/>
        <v>#VALUE!</v>
      </c>
      <c r="I125" s="1601" t="e">
        <f t="shared" si="88"/>
        <v>#VALUE!</v>
      </c>
      <c r="J125" s="1601" t="e">
        <f t="shared" si="88"/>
        <v>#VALUE!</v>
      </c>
      <c r="K125" s="1601" t="e">
        <f t="shared" si="88"/>
        <v>#VALUE!</v>
      </c>
      <c r="L125" s="1601" t="e">
        <f t="shared" si="88"/>
        <v>#VALUE!</v>
      </c>
      <c r="M125" s="1601" t="e">
        <f t="shared" si="88"/>
        <v>#VALUE!</v>
      </c>
      <c r="N125" s="1601" t="e">
        <f t="shared" si="88"/>
        <v>#VALUE!</v>
      </c>
      <c r="O125" s="1601" t="e">
        <f t="shared" si="88"/>
        <v>#VALUE!</v>
      </c>
      <c r="P125" s="1601" t="e">
        <f t="shared" si="88"/>
        <v>#VALUE!</v>
      </c>
      <c r="Q125" s="1601" t="e">
        <f t="shared" si="88"/>
        <v>#VALUE!</v>
      </c>
      <c r="R125" s="1601" t="e">
        <f t="shared" si="88"/>
        <v>#VALUE!</v>
      </c>
      <c r="S125" s="1601" t="e">
        <f t="shared" si="88"/>
        <v>#VALUE!</v>
      </c>
      <c r="T125" s="1601" t="e">
        <f t="shared" si="88"/>
        <v>#VALUE!</v>
      </c>
      <c r="U125" s="1601" t="e">
        <f t="shared" si="88"/>
        <v>#VALUE!</v>
      </c>
      <c r="V125" s="1601" t="e">
        <f t="shared" si="88"/>
        <v>#VALUE!</v>
      </c>
      <c r="W125" s="1601" t="e">
        <f t="shared" si="88"/>
        <v>#VALUE!</v>
      </c>
      <c r="X125" s="1601" t="e">
        <f t="shared" si="88"/>
        <v>#VALUE!</v>
      </c>
      <c r="Y125" s="1601" t="e">
        <f t="shared" si="88"/>
        <v>#VALUE!</v>
      </c>
      <c r="Z125" s="1601" t="e">
        <f t="shared" si="88"/>
        <v>#VALUE!</v>
      </c>
      <c r="AA125" s="1601" t="e">
        <f t="shared" si="88"/>
        <v>#VALUE!</v>
      </c>
      <c r="AB125" s="1601" t="e">
        <f t="shared" si="88"/>
        <v>#VALUE!</v>
      </c>
      <c r="AC125" s="1601" t="e">
        <f t="shared" si="88"/>
        <v>#VALUE!</v>
      </c>
      <c r="AD125" s="1601" t="e">
        <f t="shared" si="88"/>
        <v>#VALUE!</v>
      </c>
      <c r="AE125" s="1601" t="e">
        <f t="shared" si="88"/>
        <v>#VALUE!</v>
      </c>
      <c r="AF125" s="1601" t="e">
        <f t="shared" si="88"/>
        <v>#VALUE!</v>
      </c>
      <c r="AG125" s="1601" t="e">
        <f t="shared" si="88"/>
        <v>#VALUE!</v>
      </c>
      <c r="AH125" s="1601" t="e">
        <f t="shared" si="88"/>
        <v>#VALUE!</v>
      </c>
      <c r="AI125" s="1602" t="e">
        <f t="shared" si="88"/>
        <v>#VALUE!</v>
      </c>
      <c r="AJ125" s="1564"/>
      <c r="AK125" s="1142"/>
      <c r="AL125" s="1142"/>
      <c r="AM125" s="1142"/>
      <c r="AN125" s="1142"/>
      <c r="AO125" s="1207" t="s">
        <v>1311</v>
      </c>
      <c r="AP125" s="1116"/>
      <c r="AQ125" s="1600" t="e">
        <f t="shared" ref="AQ125:BS125" si="89">-IF(AQ$83=1,G$11*$AS$120*(1-$BU$24),0)</f>
        <v>#VALUE!</v>
      </c>
      <c r="AR125" s="1601" t="e">
        <f t="shared" si="89"/>
        <v>#VALUE!</v>
      </c>
      <c r="AS125" s="1601" t="e">
        <f t="shared" si="89"/>
        <v>#VALUE!</v>
      </c>
      <c r="AT125" s="1601" t="e">
        <f t="shared" si="89"/>
        <v>#VALUE!</v>
      </c>
      <c r="AU125" s="1601" t="e">
        <f t="shared" si="89"/>
        <v>#VALUE!</v>
      </c>
      <c r="AV125" s="1601" t="e">
        <f t="shared" si="89"/>
        <v>#VALUE!</v>
      </c>
      <c r="AW125" s="1601" t="e">
        <f t="shared" si="89"/>
        <v>#VALUE!</v>
      </c>
      <c r="AX125" s="1601" t="e">
        <f t="shared" si="89"/>
        <v>#VALUE!</v>
      </c>
      <c r="AY125" s="1601" t="e">
        <f t="shared" si="89"/>
        <v>#VALUE!</v>
      </c>
      <c r="AZ125" s="1601" t="e">
        <f t="shared" si="89"/>
        <v>#VALUE!</v>
      </c>
      <c r="BA125" s="1601" t="e">
        <f t="shared" si="89"/>
        <v>#VALUE!</v>
      </c>
      <c r="BB125" s="1601" t="e">
        <f t="shared" si="89"/>
        <v>#VALUE!</v>
      </c>
      <c r="BC125" s="1601" t="e">
        <f t="shared" si="89"/>
        <v>#VALUE!</v>
      </c>
      <c r="BD125" s="1601" t="e">
        <f t="shared" si="89"/>
        <v>#VALUE!</v>
      </c>
      <c r="BE125" s="1601" t="e">
        <f t="shared" si="89"/>
        <v>#VALUE!</v>
      </c>
      <c r="BF125" s="1601" t="e">
        <f t="shared" si="89"/>
        <v>#VALUE!</v>
      </c>
      <c r="BG125" s="1601" t="e">
        <f t="shared" si="89"/>
        <v>#VALUE!</v>
      </c>
      <c r="BH125" s="1601" t="e">
        <f t="shared" si="89"/>
        <v>#VALUE!</v>
      </c>
      <c r="BI125" s="1601" t="e">
        <f t="shared" si="89"/>
        <v>#VALUE!</v>
      </c>
      <c r="BJ125" s="1601" t="e">
        <f t="shared" si="89"/>
        <v>#VALUE!</v>
      </c>
      <c r="BK125" s="1601" t="e">
        <f t="shared" si="89"/>
        <v>#VALUE!</v>
      </c>
      <c r="BL125" s="1601" t="e">
        <f t="shared" si="89"/>
        <v>#VALUE!</v>
      </c>
      <c r="BM125" s="1601" t="e">
        <f t="shared" si="89"/>
        <v>#VALUE!</v>
      </c>
      <c r="BN125" s="1601" t="e">
        <f t="shared" si="89"/>
        <v>#VALUE!</v>
      </c>
      <c r="BO125" s="1601" t="e">
        <f t="shared" si="89"/>
        <v>#VALUE!</v>
      </c>
      <c r="BP125" s="1601" t="e">
        <f t="shared" si="89"/>
        <v>#VALUE!</v>
      </c>
      <c r="BQ125" s="1601" t="e">
        <f t="shared" si="89"/>
        <v>#VALUE!</v>
      </c>
      <c r="BR125" s="1601" t="e">
        <f t="shared" si="89"/>
        <v>#VALUE!</v>
      </c>
      <c r="BS125" s="1602" t="e">
        <f t="shared" si="89"/>
        <v>#VALUE!</v>
      </c>
      <c r="BT125" s="1142"/>
      <c r="BU125" s="1478"/>
      <c r="BV125" s="1070"/>
      <c r="BW125" s="1526"/>
      <c r="BX125" s="1526"/>
    </row>
    <row r="126" spans="1:76" hidden="1" outlineLevel="1" x14ac:dyDescent="0.3">
      <c r="A126" s="1474"/>
      <c r="B126" s="1150"/>
      <c r="C126" s="1232" t="s">
        <v>1312</v>
      </c>
      <c r="D126" s="1232"/>
      <c r="E126" s="1232"/>
      <c r="F126" s="1232"/>
      <c r="G126" s="1652" t="e">
        <f t="shared" ref="G126:AI126" si="90">-IF(G$83=1,G$11*$L$120*(1-$BU$24),0)</f>
        <v>#VALUE!</v>
      </c>
      <c r="H126" s="1653" t="e">
        <f t="shared" si="90"/>
        <v>#VALUE!</v>
      </c>
      <c r="I126" s="1653" t="e">
        <f t="shared" si="90"/>
        <v>#VALUE!</v>
      </c>
      <c r="J126" s="1653" t="e">
        <f t="shared" si="90"/>
        <v>#VALUE!</v>
      </c>
      <c r="K126" s="1653" t="e">
        <f t="shared" si="90"/>
        <v>#VALUE!</v>
      </c>
      <c r="L126" s="1653" t="e">
        <f t="shared" si="90"/>
        <v>#VALUE!</v>
      </c>
      <c r="M126" s="1653" t="e">
        <f t="shared" si="90"/>
        <v>#VALUE!</v>
      </c>
      <c r="N126" s="1653" t="e">
        <f t="shared" si="90"/>
        <v>#VALUE!</v>
      </c>
      <c r="O126" s="1653" t="e">
        <f t="shared" si="90"/>
        <v>#VALUE!</v>
      </c>
      <c r="P126" s="1653" t="e">
        <f t="shared" si="90"/>
        <v>#VALUE!</v>
      </c>
      <c r="Q126" s="1653" t="e">
        <f t="shared" si="90"/>
        <v>#VALUE!</v>
      </c>
      <c r="R126" s="1653" t="e">
        <f t="shared" si="90"/>
        <v>#VALUE!</v>
      </c>
      <c r="S126" s="1653" t="e">
        <f t="shared" si="90"/>
        <v>#VALUE!</v>
      </c>
      <c r="T126" s="1653" t="e">
        <f t="shared" si="90"/>
        <v>#VALUE!</v>
      </c>
      <c r="U126" s="1653" t="e">
        <f t="shared" si="90"/>
        <v>#VALUE!</v>
      </c>
      <c r="V126" s="1653" t="e">
        <f t="shared" si="90"/>
        <v>#VALUE!</v>
      </c>
      <c r="W126" s="1653" t="e">
        <f t="shared" si="90"/>
        <v>#VALUE!</v>
      </c>
      <c r="X126" s="1653" t="e">
        <f t="shared" si="90"/>
        <v>#VALUE!</v>
      </c>
      <c r="Y126" s="1653" t="e">
        <f t="shared" si="90"/>
        <v>#VALUE!</v>
      </c>
      <c r="Z126" s="1653" t="e">
        <f t="shared" si="90"/>
        <v>#VALUE!</v>
      </c>
      <c r="AA126" s="1653" t="e">
        <f t="shared" si="90"/>
        <v>#VALUE!</v>
      </c>
      <c r="AB126" s="1653" t="e">
        <f t="shared" si="90"/>
        <v>#VALUE!</v>
      </c>
      <c r="AC126" s="1653" t="e">
        <f t="shared" si="90"/>
        <v>#VALUE!</v>
      </c>
      <c r="AD126" s="1653" t="e">
        <f t="shared" si="90"/>
        <v>#VALUE!</v>
      </c>
      <c r="AE126" s="1653" t="e">
        <f t="shared" si="90"/>
        <v>#VALUE!</v>
      </c>
      <c r="AF126" s="1653" t="e">
        <f t="shared" si="90"/>
        <v>#VALUE!</v>
      </c>
      <c r="AG126" s="1653" t="e">
        <f t="shared" si="90"/>
        <v>#VALUE!</v>
      </c>
      <c r="AH126" s="1653" t="e">
        <f t="shared" si="90"/>
        <v>#VALUE!</v>
      </c>
      <c r="AI126" s="1654" t="e">
        <f t="shared" si="90"/>
        <v>#VALUE!</v>
      </c>
      <c r="AJ126" s="1564"/>
      <c r="AK126" s="1142"/>
      <c r="AL126" s="1142"/>
      <c r="AM126" s="1142"/>
      <c r="AN126" s="1142"/>
      <c r="AO126" s="1150" t="s">
        <v>1312</v>
      </c>
      <c r="AP126" s="1232"/>
      <c r="AQ126" s="1652" t="e">
        <f t="shared" ref="AQ126:BS126" si="91">-IF(AQ$83=1,G$11*$AV$120*(1-$BU$24),0)</f>
        <v>#VALUE!</v>
      </c>
      <c r="AR126" s="1653" t="e">
        <f t="shared" si="91"/>
        <v>#VALUE!</v>
      </c>
      <c r="AS126" s="1653" t="e">
        <f t="shared" si="91"/>
        <v>#VALUE!</v>
      </c>
      <c r="AT126" s="1653" t="e">
        <f t="shared" si="91"/>
        <v>#VALUE!</v>
      </c>
      <c r="AU126" s="1653" t="e">
        <f t="shared" si="91"/>
        <v>#VALUE!</v>
      </c>
      <c r="AV126" s="1653" t="e">
        <f t="shared" si="91"/>
        <v>#VALUE!</v>
      </c>
      <c r="AW126" s="1653" t="e">
        <f t="shared" si="91"/>
        <v>#VALUE!</v>
      </c>
      <c r="AX126" s="1653" t="e">
        <f t="shared" si="91"/>
        <v>#VALUE!</v>
      </c>
      <c r="AY126" s="1653" t="e">
        <f t="shared" si="91"/>
        <v>#VALUE!</v>
      </c>
      <c r="AZ126" s="1653" t="e">
        <f t="shared" si="91"/>
        <v>#VALUE!</v>
      </c>
      <c r="BA126" s="1653" t="e">
        <f t="shared" si="91"/>
        <v>#VALUE!</v>
      </c>
      <c r="BB126" s="1653" t="e">
        <f t="shared" si="91"/>
        <v>#VALUE!</v>
      </c>
      <c r="BC126" s="1653" t="e">
        <f t="shared" si="91"/>
        <v>#VALUE!</v>
      </c>
      <c r="BD126" s="1653" t="e">
        <f t="shared" si="91"/>
        <v>#VALUE!</v>
      </c>
      <c r="BE126" s="1653" t="e">
        <f t="shared" si="91"/>
        <v>#VALUE!</v>
      </c>
      <c r="BF126" s="1653" t="e">
        <f t="shared" si="91"/>
        <v>#VALUE!</v>
      </c>
      <c r="BG126" s="1653" t="e">
        <f t="shared" si="91"/>
        <v>#VALUE!</v>
      </c>
      <c r="BH126" s="1653" t="e">
        <f t="shared" si="91"/>
        <v>#VALUE!</v>
      </c>
      <c r="BI126" s="1653" t="e">
        <f t="shared" si="91"/>
        <v>#VALUE!</v>
      </c>
      <c r="BJ126" s="1653" t="e">
        <f t="shared" si="91"/>
        <v>#VALUE!</v>
      </c>
      <c r="BK126" s="1653" t="e">
        <f t="shared" si="91"/>
        <v>#VALUE!</v>
      </c>
      <c r="BL126" s="1653" t="e">
        <f t="shared" si="91"/>
        <v>#VALUE!</v>
      </c>
      <c r="BM126" s="1653" t="e">
        <f t="shared" si="91"/>
        <v>#VALUE!</v>
      </c>
      <c r="BN126" s="1653" t="e">
        <f t="shared" si="91"/>
        <v>#VALUE!</v>
      </c>
      <c r="BO126" s="1653" t="e">
        <f t="shared" si="91"/>
        <v>#VALUE!</v>
      </c>
      <c r="BP126" s="1653" t="e">
        <f t="shared" si="91"/>
        <v>#VALUE!</v>
      </c>
      <c r="BQ126" s="1653" t="e">
        <f t="shared" si="91"/>
        <v>#VALUE!</v>
      </c>
      <c r="BR126" s="1653" t="e">
        <f t="shared" si="91"/>
        <v>#VALUE!</v>
      </c>
      <c r="BS126" s="1654" t="e">
        <f t="shared" si="91"/>
        <v>#VALUE!</v>
      </c>
      <c r="BT126" s="1142"/>
      <c r="BU126" s="1478"/>
      <c r="BV126" s="1070"/>
      <c r="BW126" s="1526"/>
      <c r="BX126" s="1526"/>
    </row>
    <row r="127" spans="1:76" hidden="1" outlineLevel="1" x14ac:dyDescent="0.3">
      <c r="A127" s="1527"/>
      <c r="B127" s="1142"/>
      <c r="C127" s="1142"/>
      <c r="D127" s="1142"/>
      <c r="E127" s="1142"/>
      <c r="F127" s="1142"/>
      <c r="G127" s="1142"/>
      <c r="H127" s="1142"/>
      <c r="I127" s="1142"/>
      <c r="J127" s="1142"/>
      <c r="K127" s="1142"/>
      <c r="L127" s="1142"/>
      <c r="M127" s="1142"/>
      <c r="N127" s="1142"/>
      <c r="O127" s="1142"/>
      <c r="P127" s="1142"/>
      <c r="Q127" s="1142"/>
      <c r="R127" s="1142"/>
      <c r="S127" s="1142"/>
      <c r="T127" s="1142"/>
      <c r="U127" s="1142"/>
      <c r="V127" s="1142"/>
      <c r="W127" s="1142"/>
      <c r="X127" s="1142"/>
      <c r="Y127" s="1142"/>
      <c r="Z127" s="1142"/>
      <c r="AA127" s="1142"/>
      <c r="AB127" s="1142"/>
      <c r="AC127" s="1142"/>
      <c r="AD127" s="1142"/>
      <c r="AE127" s="1142"/>
      <c r="AF127" s="1142"/>
      <c r="AG127" s="1142"/>
      <c r="AH127" s="1142"/>
      <c r="AI127" s="1142"/>
      <c r="AJ127" s="1564"/>
      <c r="AK127" s="1142"/>
      <c r="AL127" s="1142"/>
      <c r="AM127" s="1142"/>
      <c r="AN127" s="1142"/>
      <c r="AO127" s="1149"/>
      <c r="AP127" s="1142"/>
      <c r="AQ127" s="1142"/>
      <c r="AR127" s="1142"/>
      <c r="AS127" s="1142"/>
      <c r="AT127" s="1142"/>
      <c r="AU127" s="1142"/>
      <c r="AV127" s="1142"/>
      <c r="AW127" s="1142"/>
      <c r="AX127" s="1142"/>
      <c r="AY127" s="1142"/>
      <c r="AZ127" s="1142"/>
      <c r="BA127" s="1142"/>
      <c r="BB127" s="1142"/>
      <c r="BC127" s="1142"/>
      <c r="BD127" s="1142"/>
      <c r="BE127" s="1142"/>
      <c r="BF127" s="1142"/>
      <c r="BG127" s="1142"/>
      <c r="BH127" s="1142"/>
      <c r="BI127" s="1142"/>
      <c r="BJ127" s="1142"/>
      <c r="BK127" s="1142"/>
      <c r="BL127" s="1142"/>
      <c r="BM127" s="1142"/>
      <c r="BN127" s="1142"/>
      <c r="BO127" s="1142"/>
      <c r="BP127" s="1142"/>
      <c r="BQ127" s="1142"/>
      <c r="BR127" s="1142"/>
      <c r="BS127" s="1142"/>
      <c r="BT127" s="1142"/>
      <c r="BU127" s="1478"/>
      <c r="BV127" s="1070"/>
      <c r="BW127" s="1526"/>
      <c r="BX127" s="1526"/>
    </row>
    <row r="128" spans="1:76" collapsed="1" x14ac:dyDescent="0.3">
      <c r="A128" s="1527"/>
      <c r="B128" s="1142"/>
      <c r="C128" s="1142"/>
      <c r="D128" s="1142"/>
      <c r="E128" s="1142"/>
      <c r="F128" s="1142"/>
      <c r="G128" s="1142"/>
      <c r="H128" s="1142"/>
      <c r="I128" s="1142"/>
      <c r="J128" s="1142"/>
      <c r="K128" s="1142"/>
      <c r="L128" s="1142"/>
      <c r="M128" s="1142"/>
      <c r="N128" s="1142"/>
      <c r="O128" s="1070"/>
      <c r="P128" s="1142"/>
      <c r="Q128" s="1142"/>
      <c r="R128" s="1142"/>
      <c r="S128" s="1142"/>
      <c r="T128" s="1142"/>
      <c r="U128" s="1142"/>
      <c r="V128" s="1142"/>
      <c r="W128" s="1142"/>
      <c r="X128" s="1070"/>
      <c r="Y128" s="1142"/>
      <c r="Z128" s="1142"/>
      <c r="AA128" s="1142"/>
      <c r="AB128" s="1142"/>
      <c r="AC128" s="1142"/>
      <c r="AD128" s="1142"/>
      <c r="AE128" s="1142"/>
      <c r="AF128" s="1142"/>
      <c r="AG128" s="1142"/>
      <c r="AH128" s="1142"/>
      <c r="AI128" s="1142"/>
      <c r="AJ128" s="1564"/>
      <c r="AK128" s="1142"/>
      <c r="AL128" s="1142"/>
      <c r="AM128" s="1142"/>
      <c r="AN128" s="1142"/>
      <c r="AO128" s="1149"/>
      <c r="AP128" s="1142"/>
      <c r="AQ128" s="1142"/>
      <c r="AR128" s="1142"/>
      <c r="AS128" s="1142"/>
      <c r="AT128" s="1142"/>
      <c r="AU128" s="1142"/>
      <c r="AV128" s="1142"/>
      <c r="AW128" s="1142"/>
      <c r="AX128" s="1142"/>
      <c r="AY128" s="1142"/>
      <c r="AZ128" s="1142"/>
      <c r="BA128" s="1142"/>
      <c r="BB128" s="1142"/>
      <c r="BC128" s="1142"/>
      <c r="BD128" s="1142"/>
      <c r="BE128" s="1142"/>
      <c r="BF128" s="1142"/>
      <c r="BG128" s="1142"/>
      <c r="BH128" s="1142"/>
      <c r="BI128" s="1142"/>
      <c r="BJ128" s="1142"/>
      <c r="BK128" s="1142"/>
      <c r="BL128" s="1142"/>
      <c r="BM128" s="1142"/>
      <c r="BN128" s="1142"/>
      <c r="BO128" s="1142"/>
      <c r="BP128" s="1142"/>
      <c r="BQ128" s="1142"/>
      <c r="BR128" s="1142"/>
      <c r="BS128" s="1142"/>
      <c r="BT128" s="1142"/>
      <c r="BU128" s="1478"/>
      <c r="BV128" s="1070"/>
      <c r="BW128" s="1526"/>
      <c r="BX128" s="1526"/>
    </row>
    <row r="129" spans="1:76" x14ac:dyDescent="0.3">
      <c r="A129" s="1527"/>
      <c r="B129" s="1655" t="s">
        <v>1412</v>
      </c>
      <c r="C129" s="1142"/>
      <c r="D129" s="1142"/>
      <c r="E129" s="1142"/>
      <c r="F129" s="1142"/>
      <c r="G129" s="1142"/>
      <c r="H129" s="1142"/>
      <c r="I129" s="1142"/>
      <c r="J129" s="1142"/>
      <c r="K129" s="1142"/>
      <c r="L129" s="1142"/>
      <c r="M129" s="1142"/>
      <c r="N129" s="1142"/>
      <c r="O129" s="1070"/>
      <c r="P129" s="1142"/>
      <c r="Q129" s="1142"/>
      <c r="R129" s="1142"/>
      <c r="S129" s="1142"/>
      <c r="T129" s="1142"/>
      <c r="U129" s="1142"/>
      <c r="V129" s="1142"/>
      <c r="W129" s="1142"/>
      <c r="X129" s="1070"/>
      <c r="Y129" s="1142"/>
      <c r="Z129" s="1142"/>
      <c r="AA129" s="1142"/>
      <c r="AB129" s="1142"/>
      <c r="AC129" s="1142"/>
      <c r="AD129" s="1142"/>
      <c r="AE129" s="1142"/>
      <c r="AF129" s="1142"/>
      <c r="AG129" s="1142"/>
      <c r="AH129" s="1142"/>
      <c r="AI129" s="1142"/>
      <c r="AJ129" s="1564"/>
      <c r="AK129" s="1142"/>
      <c r="AL129" s="1142"/>
      <c r="AM129" s="1142"/>
      <c r="AN129" s="1142"/>
      <c r="AO129" s="1656" t="s">
        <v>1413</v>
      </c>
      <c r="AP129" s="1142"/>
      <c r="AQ129" s="1142"/>
      <c r="AR129" s="1142"/>
      <c r="AS129" s="1142"/>
      <c r="AT129" s="1142"/>
      <c r="AU129" s="1142"/>
      <c r="AV129" s="1142"/>
      <c r="AW129" s="1142"/>
      <c r="AX129" s="1142"/>
      <c r="AY129" s="1142"/>
      <c r="AZ129" s="1142"/>
      <c r="BA129" s="1142"/>
      <c r="BB129" s="1142"/>
      <c r="BC129" s="1142"/>
      <c r="BD129" s="1142"/>
      <c r="BE129" s="1142"/>
      <c r="BF129" s="1142"/>
      <c r="BG129" s="1142"/>
      <c r="BH129" s="1142"/>
      <c r="BI129" s="1142"/>
      <c r="BJ129" s="1142"/>
      <c r="BK129" s="1142"/>
      <c r="BL129" s="1142"/>
      <c r="BM129" s="1142"/>
      <c r="BN129" s="1142"/>
      <c r="BO129" s="1142"/>
      <c r="BP129" s="1142"/>
      <c r="BQ129" s="1142"/>
      <c r="BR129" s="1142"/>
      <c r="BS129" s="1142"/>
      <c r="BT129" s="1142"/>
      <c r="BU129" s="1478"/>
      <c r="BV129" s="1070"/>
      <c r="BW129" s="1526"/>
      <c r="BX129" s="1526"/>
    </row>
    <row r="130" spans="1:76" x14ac:dyDescent="0.3">
      <c r="A130" s="1527"/>
      <c r="B130" s="1142"/>
      <c r="C130" s="1142"/>
      <c r="D130" s="1142"/>
      <c r="E130" s="1142"/>
      <c r="F130" s="1142"/>
      <c r="G130" s="1142"/>
      <c r="H130" s="1142"/>
      <c r="I130" s="1142"/>
      <c r="J130" s="1142"/>
      <c r="K130" s="1142"/>
      <c r="L130" s="1142"/>
      <c r="M130" s="1142"/>
      <c r="N130" s="1142"/>
      <c r="O130" s="1070"/>
      <c r="P130" s="1142"/>
      <c r="Q130" s="1142"/>
      <c r="R130" s="1142"/>
      <c r="S130" s="1142"/>
      <c r="T130" s="1142"/>
      <c r="U130" s="1142"/>
      <c r="V130" s="1142"/>
      <c r="W130" s="1142"/>
      <c r="X130" s="1070"/>
      <c r="Y130" s="1142"/>
      <c r="Z130" s="1142"/>
      <c r="AA130" s="1142"/>
      <c r="AB130" s="1142"/>
      <c r="AC130" s="1142"/>
      <c r="AD130" s="1142"/>
      <c r="AE130" s="1142"/>
      <c r="AF130" s="1142"/>
      <c r="AG130" s="1142"/>
      <c r="AH130" s="1142"/>
      <c r="AI130" s="1142"/>
      <c r="AJ130" s="1564"/>
      <c r="AK130" s="1142"/>
      <c r="AL130" s="1142"/>
      <c r="AM130" s="1142"/>
      <c r="AN130" s="1142"/>
      <c r="AO130" s="1149"/>
      <c r="AP130" s="1142"/>
      <c r="AQ130" s="1142"/>
      <c r="AR130" s="1142"/>
      <c r="AS130" s="1142"/>
      <c r="AT130" s="1142"/>
      <c r="AU130" s="1142"/>
      <c r="AV130" s="1142"/>
      <c r="AW130" s="1142"/>
      <c r="AX130" s="1142"/>
      <c r="AY130" s="1142"/>
      <c r="AZ130" s="1142"/>
      <c r="BA130" s="1142"/>
      <c r="BB130" s="1142"/>
      <c r="BC130" s="1142"/>
      <c r="BD130" s="1142"/>
      <c r="BE130" s="1142"/>
      <c r="BF130" s="1142"/>
      <c r="BG130" s="1142"/>
      <c r="BH130" s="1142"/>
      <c r="BI130" s="1142"/>
      <c r="BJ130" s="1142"/>
      <c r="BK130" s="1142"/>
      <c r="BL130" s="1142"/>
      <c r="BM130" s="1142"/>
      <c r="BN130" s="1142"/>
      <c r="BO130" s="1142"/>
      <c r="BP130" s="1142"/>
      <c r="BQ130" s="1142"/>
      <c r="BR130" s="1142"/>
      <c r="BS130" s="1142"/>
      <c r="BT130" s="1142"/>
      <c r="BU130" s="1478"/>
      <c r="BV130" s="1070"/>
      <c r="BW130" s="1526"/>
      <c r="BX130" s="1526"/>
    </row>
    <row r="131" spans="1:76" x14ac:dyDescent="0.3">
      <c r="A131" s="1527"/>
      <c r="B131" s="1070"/>
      <c r="C131" s="1070"/>
      <c r="D131" s="1142"/>
      <c r="E131" s="1657" t="s">
        <v>1313</v>
      </c>
      <c r="F131" s="1658"/>
      <c r="G131" s="1658"/>
      <c r="H131" s="1658"/>
      <c r="I131" s="1658"/>
      <c r="J131" s="1658"/>
      <c r="K131" s="1658"/>
      <c r="L131" s="1658"/>
      <c r="M131" s="1659"/>
      <c r="N131" s="1142"/>
      <c r="O131" s="1660"/>
      <c r="P131" s="1661"/>
      <c r="Q131" s="1661"/>
      <c r="R131" s="1661"/>
      <c r="S131" s="1661"/>
      <c r="T131" s="1661"/>
      <c r="U131" s="1661"/>
      <c r="V131" s="1661"/>
      <c r="W131" s="1661"/>
      <c r="X131" s="1662"/>
      <c r="Y131" s="1142"/>
      <c r="Z131" s="1142"/>
      <c r="AA131" s="1142"/>
      <c r="AB131" s="1142"/>
      <c r="AC131" s="1142"/>
      <c r="AD131" s="1142"/>
      <c r="AE131" s="1142"/>
      <c r="AF131" s="1142"/>
      <c r="AG131" s="1142"/>
      <c r="AH131" s="1142"/>
      <c r="AI131" s="1142"/>
      <c r="AJ131" s="1564"/>
      <c r="AK131" s="1142"/>
      <c r="AL131" s="1142"/>
      <c r="AM131" s="1142"/>
      <c r="AN131" s="1142"/>
      <c r="AO131" s="1149"/>
      <c r="AP131" s="1657" t="s">
        <v>1314</v>
      </c>
      <c r="AQ131" s="1658"/>
      <c r="AR131" s="1658"/>
      <c r="AS131" s="1658"/>
      <c r="AT131" s="1658"/>
      <c r="AU131" s="1658"/>
      <c r="AV131" s="1658"/>
      <c r="AW131" s="1658"/>
      <c r="AX131" s="1659"/>
      <c r="AY131" s="1070"/>
      <c r="AZ131" s="1660"/>
      <c r="BA131" s="1661"/>
      <c r="BB131" s="1661"/>
      <c r="BC131" s="1661"/>
      <c r="BD131" s="1661"/>
      <c r="BE131" s="1661"/>
      <c r="BF131" s="1661"/>
      <c r="BG131" s="1661"/>
      <c r="BH131" s="1661"/>
      <c r="BI131" s="1662"/>
      <c r="BJ131" s="1142"/>
      <c r="BK131" s="1555"/>
      <c r="BL131" s="1116"/>
      <c r="BM131" s="1116"/>
      <c r="BN131" s="1116"/>
      <c r="BO131" s="1116"/>
      <c r="BP131" s="1116"/>
      <c r="BQ131" s="1142"/>
      <c r="BR131" s="1142"/>
      <c r="BS131" s="1142"/>
      <c r="BT131" s="1142"/>
      <c r="BU131" s="1478"/>
      <c r="BV131" s="1070"/>
      <c r="BW131" s="1526"/>
      <c r="BX131" s="1526"/>
    </row>
    <row r="132" spans="1:76" x14ac:dyDescent="0.3">
      <c r="A132" s="1527"/>
      <c r="B132" s="1070"/>
      <c r="C132" s="1070"/>
      <c r="D132" s="1142"/>
      <c r="E132" s="1663" t="e">
        <f>"NPV Change Drivers "&amp;CurrentFYPriorSub&amp;"-"&amp;CurrentFYPriorSub+9&amp;" / "&amp;CurrentFYPriorSub+1&amp;"-"&amp;CurrentFYPriorSub+10</f>
        <v>#VALUE!</v>
      </c>
      <c r="F132" s="1664"/>
      <c r="G132" s="1664"/>
      <c r="H132" s="1664"/>
      <c r="I132" s="1664"/>
      <c r="J132" s="1664"/>
      <c r="K132" s="1664"/>
      <c r="L132" s="1664"/>
      <c r="M132" s="1665"/>
      <c r="N132" s="1142"/>
      <c r="O132" s="1666" t="e">
        <f>E132</f>
        <v>#VALUE!</v>
      </c>
      <c r="P132" s="1667"/>
      <c r="Q132" s="1667"/>
      <c r="R132" s="1667"/>
      <c r="S132" s="1667"/>
      <c r="T132" s="1667"/>
      <c r="U132" s="1667"/>
      <c r="V132" s="1667"/>
      <c r="W132" s="1667"/>
      <c r="X132" s="1668"/>
      <c r="Y132" s="1142"/>
      <c r="Z132" s="1142"/>
      <c r="AA132" s="1142"/>
      <c r="AB132" s="1142"/>
      <c r="AC132" s="1142"/>
      <c r="AD132" s="1142"/>
      <c r="AE132" s="1142"/>
      <c r="AF132" s="1142"/>
      <c r="AG132" s="1142"/>
      <c r="AH132" s="1142"/>
      <c r="AI132" s="1142"/>
      <c r="AJ132" s="1564"/>
      <c r="AK132" s="1142"/>
      <c r="AL132" s="1142"/>
      <c r="AM132" s="1142"/>
      <c r="AN132" s="1142"/>
      <c r="AO132" s="1149"/>
      <c r="AP132" s="1663" t="e">
        <f>"NPV Change Drivers "&amp;CurrentFYPriorSub&amp;"-"&amp;CurrentFYPriorSub+14&amp;"/ "&amp;CurrentFYPriorSub+1&amp;"-"&amp;CurrentFYPriorSub+15</f>
        <v>#VALUE!</v>
      </c>
      <c r="AQ132" s="1664"/>
      <c r="AR132" s="1664"/>
      <c r="AS132" s="1664"/>
      <c r="AT132" s="1664"/>
      <c r="AU132" s="1664"/>
      <c r="AV132" s="1664"/>
      <c r="AW132" s="1664"/>
      <c r="AX132" s="1665"/>
      <c r="AY132" s="1070"/>
      <c r="AZ132" s="1666" t="e">
        <f>AP132</f>
        <v>#VALUE!</v>
      </c>
      <c r="BA132" s="1669"/>
      <c r="BB132" s="1669"/>
      <c r="BC132" s="1669"/>
      <c r="BD132" s="1667"/>
      <c r="BE132" s="1669"/>
      <c r="BF132" s="1669"/>
      <c r="BG132" s="1669"/>
      <c r="BH132" s="1669"/>
      <c r="BI132" s="1670"/>
      <c r="BJ132" s="1142"/>
      <c r="BK132" s="1116"/>
      <c r="BL132" s="1116"/>
      <c r="BM132" s="1116"/>
      <c r="BN132" s="1116"/>
      <c r="BO132" s="1116"/>
      <c r="BP132" s="1116"/>
      <c r="BQ132" s="1142"/>
      <c r="BR132" s="1142"/>
      <c r="BS132" s="1142"/>
      <c r="BT132" s="1142"/>
      <c r="BU132" s="1478"/>
      <c r="BV132" s="1070"/>
      <c r="BW132" s="1526"/>
      <c r="BX132" s="1526"/>
    </row>
    <row r="133" spans="1:76" x14ac:dyDescent="0.3">
      <c r="A133" s="1527"/>
      <c r="B133" s="1070"/>
      <c r="C133" s="1070"/>
      <c r="D133" s="1142"/>
      <c r="E133" s="1671"/>
      <c r="F133" s="1672"/>
      <c r="G133" s="1672"/>
      <c r="H133" s="1673" t="s">
        <v>1414</v>
      </c>
      <c r="I133" s="1674" t="s">
        <v>1415</v>
      </c>
      <c r="J133" s="1674" t="s">
        <v>1416</v>
      </c>
      <c r="K133" s="1674" t="s">
        <v>1417</v>
      </c>
      <c r="L133" s="1675" t="s">
        <v>1418</v>
      </c>
      <c r="M133" s="1676" t="s">
        <v>1419</v>
      </c>
      <c r="N133" s="1142"/>
      <c r="O133" s="1677"/>
      <c r="P133" s="1234"/>
      <c r="Q133" s="1234"/>
      <c r="R133" s="1234"/>
      <c r="S133" s="1234"/>
      <c r="T133" s="1234"/>
      <c r="U133" s="1234"/>
      <c r="V133" s="1234"/>
      <c r="W133" s="1234"/>
      <c r="X133" s="1678"/>
      <c r="Y133" s="1142"/>
      <c r="Z133" s="1142"/>
      <c r="AA133" s="1142"/>
      <c r="AB133" s="1142"/>
      <c r="AC133" s="1142"/>
      <c r="AD133" s="1142"/>
      <c r="AE133" s="1142"/>
      <c r="AF133" s="1142"/>
      <c r="AG133" s="1142"/>
      <c r="AH133" s="1142"/>
      <c r="AI133" s="1142"/>
      <c r="AJ133" s="1564"/>
      <c r="AK133" s="1142"/>
      <c r="AL133" s="1142"/>
      <c r="AM133" s="1142"/>
      <c r="AN133" s="1142"/>
      <c r="AO133" s="1149"/>
      <c r="AP133" s="1671"/>
      <c r="AQ133" s="1672"/>
      <c r="AR133" s="1672"/>
      <c r="AS133" s="1673" t="s">
        <v>1414</v>
      </c>
      <c r="AT133" s="1674" t="s">
        <v>1415</v>
      </c>
      <c r="AU133" s="1674" t="s">
        <v>1416</v>
      </c>
      <c r="AV133" s="1674" t="s">
        <v>1417</v>
      </c>
      <c r="AW133" s="1675" t="s">
        <v>1418</v>
      </c>
      <c r="AX133" s="1676" t="s">
        <v>1419</v>
      </c>
      <c r="AY133" s="1070"/>
      <c r="AZ133" s="1677"/>
      <c r="BA133" s="1234"/>
      <c r="BB133" s="1234"/>
      <c r="BC133" s="1234"/>
      <c r="BD133" s="1234"/>
      <c r="BE133" s="1234"/>
      <c r="BF133" s="1234"/>
      <c r="BG133" s="1234"/>
      <c r="BH133" s="1234"/>
      <c r="BI133" s="1678"/>
      <c r="BJ133" s="1142"/>
      <c r="BK133" s="1116"/>
      <c r="BL133" s="1116"/>
      <c r="BM133" s="1116"/>
      <c r="BN133" s="1116"/>
      <c r="BO133" s="1116"/>
      <c r="BP133" s="1116"/>
      <c r="BQ133" s="1142"/>
      <c r="BR133" s="1142"/>
      <c r="BS133" s="1142"/>
      <c r="BT133" s="1142"/>
      <c r="BU133" s="1478"/>
      <c r="BV133" s="1070"/>
      <c r="BW133" s="1526"/>
      <c r="BX133" s="1526"/>
    </row>
    <row r="134" spans="1:76" ht="25.5" customHeight="1" x14ac:dyDescent="0.3">
      <c r="A134" s="1527"/>
      <c r="B134" s="1070"/>
      <c r="C134" s="1070"/>
      <c r="D134" s="1142"/>
      <c r="E134" s="3247" t="e">
        <f>"FY"&amp;CurrentFYPriorSub&amp;"-"&amp;CurrentFYPriorSub+9</f>
        <v>#VALUE!</v>
      </c>
      <c r="F134" s="3249" t="s">
        <v>1420</v>
      </c>
      <c r="G134" s="3250"/>
      <c r="H134" s="1679">
        <f>BD38/1000</f>
        <v>0</v>
      </c>
      <c r="I134" s="1680">
        <f>H134</f>
        <v>0</v>
      </c>
      <c r="J134" s="1680"/>
      <c r="K134" s="1680"/>
      <c r="L134" s="1681">
        <f>BD37-DiscR</f>
        <v>-0.15</v>
      </c>
      <c r="M134" s="1682"/>
      <c r="N134" s="1142"/>
      <c r="O134" s="1677"/>
      <c r="P134" s="1234"/>
      <c r="Q134" s="1234"/>
      <c r="R134" s="1234"/>
      <c r="S134" s="1234"/>
      <c r="T134" s="1234"/>
      <c r="U134" s="1234"/>
      <c r="V134" s="1234"/>
      <c r="W134" s="1234"/>
      <c r="X134" s="1678"/>
      <c r="Y134" s="1142"/>
      <c r="Z134" s="1142"/>
      <c r="AA134" s="1142"/>
      <c r="AB134" s="1142"/>
      <c r="AC134" s="1142"/>
      <c r="AD134" s="1142"/>
      <c r="AE134" s="1142"/>
      <c r="AF134" s="1142"/>
      <c r="AG134" s="1142"/>
      <c r="AH134" s="1142"/>
      <c r="AI134" s="1142"/>
      <c r="AJ134" s="1564"/>
      <c r="AK134" s="1142"/>
      <c r="AL134" s="1142"/>
      <c r="AM134" s="1142"/>
      <c r="AN134" s="1142"/>
      <c r="AO134" s="1149"/>
      <c r="AP134" s="3247" t="e">
        <f>"FY"&amp;CurrentFYPriorSub&amp;"-"&amp;CurrentFYPriorSub+14</f>
        <v>#VALUE!</v>
      </c>
      <c r="AQ134" s="3249" t="s">
        <v>1420</v>
      </c>
      <c r="AR134" s="3250"/>
      <c r="AS134" s="1679">
        <f>BI38/1000</f>
        <v>0</v>
      </c>
      <c r="AT134" s="1680">
        <f>AS134</f>
        <v>0</v>
      </c>
      <c r="AU134" s="1680"/>
      <c r="AV134" s="1680"/>
      <c r="AW134" s="1681">
        <f>BI37-DiscR</f>
        <v>-0.15</v>
      </c>
      <c r="AX134" s="1682"/>
      <c r="AY134" s="1070"/>
      <c r="AZ134" s="1677"/>
      <c r="BA134" s="1234"/>
      <c r="BB134" s="1234"/>
      <c r="BC134" s="1234"/>
      <c r="BD134" s="1234"/>
      <c r="BE134" s="1234"/>
      <c r="BF134" s="1234"/>
      <c r="BG134" s="1234"/>
      <c r="BH134" s="1234"/>
      <c r="BI134" s="1678"/>
      <c r="BJ134" s="1142"/>
      <c r="BK134" s="1116"/>
      <c r="BL134" s="1683"/>
      <c r="BM134" s="1683"/>
      <c r="BN134" s="1116"/>
      <c r="BO134" s="1116"/>
      <c r="BP134" s="1621"/>
      <c r="BQ134" s="1142"/>
      <c r="BR134" s="1142"/>
      <c r="BS134" s="1142"/>
      <c r="BT134" s="1142"/>
      <c r="BU134" s="1478"/>
      <c r="BV134" s="1070"/>
      <c r="BW134" s="1526"/>
      <c r="BX134" s="1526"/>
    </row>
    <row r="135" spans="1:76" ht="25.5" customHeight="1" x14ac:dyDescent="0.3">
      <c r="A135" s="1527"/>
      <c r="B135" s="1070"/>
      <c r="C135" s="1070"/>
      <c r="D135" s="1142"/>
      <c r="E135" s="3248"/>
      <c r="F135" s="3251" t="s">
        <v>1421</v>
      </c>
      <c r="G135" s="3252"/>
      <c r="H135" s="1684">
        <f>AJ70/1000</f>
        <v>0</v>
      </c>
      <c r="I135" s="1685"/>
      <c r="J135" s="1685">
        <f>SUM(H$134:H134)</f>
        <v>0</v>
      </c>
      <c r="K135" s="1685">
        <f>SUM(H$134:H135)</f>
        <v>0</v>
      </c>
      <c r="L135" s="1686"/>
      <c r="M135" s="1687">
        <f>H135/ABS($H$134-$I$140)</f>
        <v>0</v>
      </c>
      <c r="N135" s="1070"/>
      <c r="O135" s="1677"/>
      <c r="P135" s="1234"/>
      <c r="Q135" s="1234"/>
      <c r="R135" s="1234"/>
      <c r="S135" s="1234"/>
      <c r="T135" s="1234"/>
      <c r="U135" s="1234"/>
      <c r="V135" s="1234"/>
      <c r="W135" s="1234"/>
      <c r="X135" s="1678"/>
      <c r="Y135" s="1142"/>
      <c r="Z135" s="1142"/>
      <c r="AA135" s="1142"/>
      <c r="AB135" s="1142"/>
      <c r="AC135" s="1142"/>
      <c r="AD135" s="1142"/>
      <c r="AE135" s="1142"/>
      <c r="AF135" s="1142"/>
      <c r="AG135" s="1142"/>
      <c r="AH135" s="1142"/>
      <c r="AI135" s="1142"/>
      <c r="AJ135" s="1564"/>
      <c r="AK135" s="1142"/>
      <c r="AL135" s="1142"/>
      <c r="AM135" s="1142"/>
      <c r="AN135" s="1142"/>
      <c r="AO135" s="1149"/>
      <c r="AP135" s="3248"/>
      <c r="AQ135" s="3251" t="s">
        <v>1421</v>
      </c>
      <c r="AR135" s="3252"/>
      <c r="AS135" s="1684">
        <f>BT70/1000</f>
        <v>0</v>
      </c>
      <c r="AT135" s="1685"/>
      <c r="AU135" s="1685">
        <f>SUM(AS$134:AS134)</f>
        <v>0</v>
      </c>
      <c r="AV135" s="1685">
        <f>SUM(AS$134:AS135)</f>
        <v>0</v>
      </c>
      <c r="AW135" s="1686"/>
      <c r="AX135" s="1687">
        <f>AS135/ABS($AS$134-$AT$140)</f>
        <v>0</v>
      </c>
      <c r="AY135" s="1070"/>
      <c r="AZ135" s="1677"/>
      <c r="BA135" s="1234"/>
      <c r="BB135" s="1234"/>
      <c r="BC135" s="1234"/>
      <c r="BD135" s="1234"/>
      <c r="BE135" s="1234"/>
      <c r="BF135" s="1234"/>
      <c r="BG135" s="1234"/>
      <c r="BH135" s="1234"/>
      <c r="BI135" s="1678"/>
      <c r="BJ135" s="1142"/>
      <c r="BK135" s="1116"/>
      <c r="BL135" s="1683"/>
      <c r="BM135" s="1683"/>
      <c r="BN135" s="1116"/>
      <c r="BO135" s="1116"/>
      <c r="BP135" s="1621"/>
      <c r="BQ135" s="1142"/>
      <c r="BR135" s="1142"/>
      <c r="BS135" s="1142"/>
      <c r="BT135" s="1142"/>
      <c r="BU135" s="1478"/>
      <c r="BV135" s="1070"/>
      <c r="BW135" s="1526"/>
      <c r="BX135" s="1526"/>
    </row>
    <row r="136" spans="1:76" ht="25.5" customHeight="1" x14ac:dyDescent="0.3">
      <c r="A136" s="1527"/>
      <c r="B136" s="1070"/>
      <c r="C136" s="1070"/>
      <c r="D136" s="1142"/>
      <c r="E136" s="3248"/>
      <c r="F136" s="3251" t="s">
        <v>1422</v>
      </c>
      <c r="G136" s="3252"/>
      <c r="H136" s="1684">
        <f>AJ71/1000</f>
        <v>0</v>
      </c>
      <c r="I136" s="1688"/>
      <c r="J136" s="1685">
        <f>SUM(H$134:H135)</f>
        <v>0</v>
      </c>
      <c r="K136" s="1685">
        <f>SUM(H$134:H136)</f>
        <v>0</v>
      </c>
      <c r="L136" s="1686"/>
      <c r="M136" s="1687">
        <f>H136/ABS($H$134-$I$140)</f>
        <v>0</v>
      </c>
      <c r="N136" s="1070"/>
      <c r="O136" s="1677"/>
      <c r="P136" s="1234"/>
      <c r="Q136" s="1234"/>
      <c r="R136" s="1234"/>
      <c r="S136" s="1234"/>
      <c r="T136" s="1234"/>
      <c r="U136" s="1234"/>
      <c r="V136" s="1234"/>
      <c r="W136" s="1234"/>
      <c r="X136" s="1678"/>
      <c r="Y136" s="1142"/>
      <c r="Z136" s="1142"/>
      <c r="AA136" s="1142"/>
      <c r="AB136" s="1142"/>
      <c r="AC136" s="1142"/>
      <c r="AD136" s="1142"/>
      <c r="AE136" s="1142"/>
      <c r="AF136" s="1142"/>
      <c r="AG136" s="1142"/>
      <c r="AH136" s="1142"/>
      <c r="AI136" s="1142"/>
      <c r="AJ136" s="1564"/>
      <c r="AK136" s="1142"/>
      <c r="AL136" s="1142"/>
      <c r="AM136" s="1142"/>
      <c r="AN136" s="1142"/>
      <c r="AO136" s="1149"/>
      <c r="AP136" s="3248"/>
      <c r="AQ136" s="3251" t="s">
        <v>1422</v>
      </c>
      <c r="AR136" s="3252"/>
      <c r="AS136" s="1684">
        <f>BT71/1000</f>
        <v>0</v>
      </c>
      <c r="AT136" s="1688"/>
      <c r="AU136" s="1685">
        <f>SUM(AS$134:AS135)</f>
        <v>0</v>
      </c>
      <c r="AV136" s="1685">
        <f>SUM(AS$134:AS136)</f>
        <v>0</v>
      </c>
      <c r="AW136" s="1686"/>
      <c r="AX136" s="1687">
        <f>AS136/ABS($AS$134-$AT$140)</f>
        <v>0</v>
      </c>
      <c r="AY136" s="1070"/>
      <c r="AZ136" s="1677"/>
      <c r="BA136" s="1234"/>
      <c r="BB136" s="1234"/>
      <c r="BC136" s="1234"/>
      <c r="BD136" s="1234"/>
      <c r="BE136" s="1234"/>
      <c r="BF136" s="1234"/>
      <c r="BG136" s="1234"/>
      <c r="BH136" s="1234"/>
      <c r="BI136" s="1678"/>
      <c r="BJ136" s="1142"/>
      <c r="BK136" s="1116"/>
      <c r="BL136" s="1683"/>
      <c r="BM136" s="1683"/>
      <c r="BN136" s="1116"/>
      <c r="BO136" s="1116"/>
      <c r="BP136" s="1621"/>
      <c r="BQ136" s="1142"/>
      <c r="BR136" s="1142"/>
      <c r="BS136" s="1142"/>
      <c r="BT136" s="1142"/>
      <c r="BU136" s="1478"/>
      <c r="BV136" s="1070"/>
      <c r="BW136" s="1526"/>
      <c r="BX136" s="1526"/>
    </row>
    <row r="137" spans="1:76" ht="25.5" customHeight="1" x14ac:dyDescent="0.3">
      <c r="A137" s="1527"/>
      <c r="B137" s="1070"/>
      <c r="C137" s="1070"/>
      <c r="D137" s="1142"/>
      <c r="E137" s="3248"/>
      <c r="F137" s="3251" t="s">
        <v>1423</v>
      </c>
      <c r="G137" s="3252"/>
      <c r="H137" s="1684">
        <f>AJ72/1000</f>
        <v>0</v>
      </c>
      <c r="I137" s="1685"/>
      <c r="J137" s="1685">
        <f>SUM(H$134:H136)</f>
        <v>0</v>
      </c>
      <c r="K137" s="1685">
        <f>SUM(H$134:H137)</f>
        <v>0</v>
      </c>
      <c r="L137" s="1686"/>
      <c r="M137" s="1687">
        <f>H137/ABS($H$134-$I$140)</f>
        <v>0</v>
      </c>
      <c r="N137" s="1070"/>
      <c r="O137" s="1677"/>
      <c r="P137" s="1234"/>
      <c r="Q137" s="1234"/>
      <c r="R137" s="1234"/>
      <c r="S137" s="1234"/>
      <c r="T137" s="1234"/>
      <c r="U137" s="1234"/>
      <c r="V137" s="1234"/>
      <c r="W137" s="1234"/>
      <c r="X137" s="1678"/>
      <c r="Y137" s="1142"/>
      <c r="Z137" s="1142"/>
      <c r="AA137" s="1142"/>
      <c r="AB137" s="1142"/>
      <c r="AC137" s="1142"/>
      <c r="AD137" s="1142"/>
      <c r="AE137" s="1142"/>
      <c r="AF137" s="1142"/>
      <c r="AG137" s="1142"/>
      <c r="AH137" s="1142"/>
      <c r="AI137" s="1142"/>
      <c r="AJ137" s="1564"/>
      <c r="AK137" s="1142"/>
      <c r="AL137" s="1142"/>
      <c r="AM137" s="1142"/>
      <c r="AN137" s="1142"/>
      <c r="AO137" s="1149"/>
      <c r="AP137" s="3248"/>
      <c r="AQ137" s="3251" t="s">
        <v>1423</v>
      </c>
      <c r="AR137" s="3252"/>
      <c r="AS137" s="1684">
        <f>BT72/1000</f>
        <v>0</v>
      </c>
      <c r="AT137" s="1685"/>
      <c r="AU137" s="1685">
        <f>SUM(AS$134:AS136)</f>
        <v>0</v>
      </c>
      <c r="AV137" s="1685">
        <f>SUM(AS$134:AS137)</f>
        <v>0</v>
      </c>
      <c r="AW137" s="1686"/>
      <c r="AX137" s="1687">
        <f>AS137/ABS($AS$134-$AT$140)</f>
        <v>0</v>
      </c>
      <c r="AY137" s="1070"/>
      <c r="AZ137" s="1677"/>
      <c r="BA137" s="1234"/>
      <c r="BB137" s="1234"/>
      <c r="BC137" s="1234"/>
      <c r="BD137" s="1234"/>
      <c r="BE137" s="1234"/>
      <c r="BF137" s="1234"/>
      <c r="BG137" s="1234"/>
      <c r="BH137" s="1234"/>
      <c r="BI137" s="1678"/>
      <c r="BJ137" s="1142"/>
      <c r="BK137" s="1116"/>
      <c r="BL137" s="1683"/>
      <c r="BM137" s="1683"/>
      <c r="BN137" s="1116"/>
      <c r="BO137" s="1116"/>
      <c r="BP137" s="1621"/>
      <c r="BQ137" s="1142"/>
      <c r="BR137" s="1142"/>
      <c r="BS137" s="1142"/>
      <c r="BT137" s="1142"/>
      <c r="BU137" s="1478"/>
      <c r="BV137" s="1070"/>
      <c r="BW137" s="1526"/>
      <c r="BX137" s="1526"/>
    </row>
    <row r="138" spans="1:76" ht="25.5" customHeight="1" x14ac:dyDescent="0.3">
      <c r="A138" s="1527"/>
      <c r="B138" s="1070"/>
      <c r="C138" s="1070"/>
      <c r="D138" s="1142"/>
      <c r="E138" s="3248"/>
      <c r="F138" s="3253" t="s">
        <v>1424</v>
      </c>
      <c r="G138" s="3254"/>
      <c r="H138" s="1684">
        <f>AJ73/1000</f>
        <v>0</v>
      </c>
      <c r="I138" s="1685"/>
      <c r="J138" s="1685">
        <f>SUM(H$134:H137)</f>
        <v>0</v>
      </c>
      <c r="K138" s="1685">
        <f>SUM(H$134:H138)</f>
        <v>0</v>
      </c>
      <c r="L138" s="1686"/>
      <c r="M138" s="1687">
        <f>H138/ABS($H$134-$I$140)</f>
        <v>0</v>
      </c>
      <c r="N138" s="1142"/>
      <c r="O138" s="1677"/>
      <c r="P138" s="1234"/>
      <c r="Q138" s="1234"/>
      <c r="R138" s="1234"/>
      <c r="S138" s="1234"/>
      <c r="T138" s="1234"/>
      <c r="U138" s="1234"/>
      <c r="V138" s="1234"/>
      <c r="W138" s="1234"/>
      <c r="X138" s="1678"/>
      <c r="Y138" s="1142"/>
      <c r="Z138" s="1142"/>
      <c r="AA138" s="1142"/>
      <c r="AB138" s="1142"/>
      <c r="AC138" s="1142"/>
      <c r="AD138" s="1142"/>
      <c r="AE138" s="1142"/>
      <c r="AF138" s="1142"/>
      <c r="AG138" s="1142"/>
      <c r="AH138" s="1142"/>
      <c r="AI138" s="1142"/>
      <c r="AJ138" s="1564"/>
      <c r="AK138" s="1142"/>
      <c r="AL138" s="1142"/>
      <c r="AM138" s="1142"/>
      <c r="AN138" s="1142"/>
      <c r="AO138" s="1149"/>
      <c r="AP138" s="3248"/>
      <c r="AQ138" s="3253" t="s">
        <v>1424</v>
      </c>
      <c r="AR138" s="3254"/>
      <c r="AS138" s="1684">
        <f>BT73/1000</f>
        <v>0</v>
      </c>
      <c r="AT138" s="1685"/>
      <c r="AU138" s="1685">
        <f>SUM(AS$134:AS137)</f>
        <v>0</v>
      </c>
      <c r="AV138" s="1685">
        <f>SUM(AS$134:AS138)</f>
        <v>0</v>
      </c>
      <c r="AW138" s="1686"/>
      <c r="AX138" s="1687">
        <f>AS138/ABS($AS$134-$AT$140)</f>
        <v>0</v>
      </c>
      <c r="AY138" s="1070"/>
      <c r="AZ138" s="1677"/>
      <c r="BA138" s="1234"/>
      <c r="BB138" s="1234"/>
      <c r="BC138" s="1234"/>
      <c r="BD138" s="1234"/>
      <c r="BE138" s="1234"/>
      <c r="BF138" s="1234"/>
      <c r="BG138" s="1234"/>
      <c r="BH138" s="1234"/>
      <c r="BI138" s="1678"/>
      <c r="BJ138" s="1142"/>
      <c r="BK138" s="1116"/>
      <c r="BL138" s="1683"/>
      <c r="BM138" s="1683"/>
      <c r="BN138" s="1116"/>
      <c r="BO138" s="1116"/>
      <c r="BP138" s="1621"/>
      <c r="BQ138" s="1142"/>
      <c r="BR138" s="1142"/>
      <c r="BS138" s="1142"/>
      <c r="BT138" s="1142"/>
      <c r="BU138" s="1478"/>
      <c r="BV138" s="1070"/>
      <c r="BW138" s="1526"/>
      <c r="BX138" s="1526"/>
    </row>
    <row r="139" spans="1:76" ht="25.5" customHeight="1" x14ac:dyDescent="0.3">
      <c r="A139" s="1527"/>
      <c r="B139" s="1070"/>
      <c r="C139" s="1070"/>
      <c r="D139" s="1142"/>
      <c r="E139" s="3248"/>
      <c r="F139" s="3253" t="s">
        <v>415</v>
      </c>
      <c r="G139" s="3254"/>
      <c r="H139" s="1684">
        <f>(AJ74+AJ75)/1000</f>
        <v>21.75477969081026</v>
      </c>
      <c r="I139" s="1685"/>
      <c r="J139" s="1685">
        <f>SUM(H$134:H138)</f>
        <v>0</v>
      </c>
      <c r="K139" s="1685">
        <f>SUM(H$134:H139)</f>
        <v>21.75477969081026</v>
      </c>
      <c r="L139" s="1686"/>
      <c r="M139" s="1687">
        <f>H139/ABS($H$134-$I$140)</f>
        <v>1</v>
      </c>
      <c r="N139" s="1142"/>
      <c r="O139" s="1677"/>
      <c r="P139" s="1234"/>
      <c r="Q139" s="1234"/>
      <c r="R139" s="1234"/>
      <c r="S139" s="1234"/>
      <c r="T139" s="1234"/>
      <c r="U139" s="1234"/>
      <c r="V139" s="1234"/>
      <c r="W139" s="1234"/>
      <c r="X139" s="1678"/>
      <c r="Y139" s="1142"/>
      <c r="Z139" s="1142"/>
      <c r="AA139" s="1142"/>
      <c r="AB139" s="1142"/>
      <c r="AC139" s="1142"/>
      <c r="AD139" s="1142"/>
      <c r="AE139" s="1142"/>
      <c r="AF139" s="1142"/>
      <c r="AG139" s="1142"/>
      <c r="AH139" s="1142"/>
      <c r="AI139" s="1142"/>
      <c r="AJ139" s="1564"/>
      <c r="AK139" s="1142"/>
      <c r="AL139" s="1142"/>
      <c r="AM139" s="1142"/>
      <c r="AN139" s="1142"/>
      <c r="AO139" s="1149"/>
      <c r="AP139" s="3248"/>
      <c r="AQ139" s="3253" t="s">
        <v>415</v>
      </c>
      <c r="AR139" s="3254"/>
      <c r="AS139" s="1684">
        <f>(BT75+BT74)/1000</f>
        <v>101.68322203437472</v>
      </c>
      <c r="AT139" s="1685"/>
      <c r="AU139" s="1685">
        <f>SUM(AS$134:AS138)</f>
        <v>0</v>
      </c>
      <c r="AV139" s="1685">
        <f>SUM(AS$134:AS139)</f>
        <v>101.68322203437472</v>
      </c>
      <c r="AW139" s="1686"/>
      <c r="AX139" s="1687">
        <f>AS139/ABS($AS$134-$AT$140)</f>
        <v>1</v>
      </c>
      <c r="AY139" s="1070"/>
      <c r="AZ139" s="1677"/>
      <c r="BA139" s="1234"/>
      <c r="BB139" s="1234"/>
      <c r="BC139" s="1234"/>
      <c r="BD139" s="1234"/>
      <c r="BE139" s="1234"/>
      <c r="BF139" s="1234"/>
      <c r="BG139" s="1234"/>
      <c r="BH139" s="1234"/>
      <c r="BI139" s="1678"/>
      <c r="BJ139" s="1142"/>
      <c r="BK139" s="1116"/>
      <c r="BL139" s="1683"/>
      <c r="BM139" s="1683"/>
      <c r="BN139" s="1116"/>
      <c r="BO139" s="1116"/>
      <c r="BP139" s="1621"/>
      <c r="BQ139" s="1142"/>
      <c r="BR139" s="1142"/>
      <c r="BS139" s="1142"/>
      <c r="BT139" s="1142"/>
      <c r="BU139" s="1478"/>
      <c r="BV139" s="1070"/>
      <c r="BW139" s="1526"/>
      <c r="BX139" s="1526"/>
    </row>
    <row r="140" spans="1:76" ht="25.5" customHeight="1" x14ac:dyDescent="0.3">
      <c r="A140" s="1527"/>
      <c r="B140" s="1070"/>
      <c r="C140" s="1070"/>
      <c r="D140" s="1142"/>
      <c r="E140" s="3248"/>
      <c r="F140" s="3251" t="s">
        <v>1425</v>
      </c>
      <c r="G140" s="3252"/>
      <c r="H140" s="1684"/>
      <c r="I140" s="1685">
        <f>SUM(H134:H139)</f>
        <v>21.75477969081026</v>
      </c>
      <c r="J140" s="1685"/>
      <c r="K140" s="1685"/>
      <c r="L140" s="1689">
        <f>R37-DiscR</f>
        <v>5.2644605277894302E-2</v>
      </c>
      <c r="M140" s="1687" t="e">
        <f>IF(ABS((I140-$H$134)/ABS(H134))&gt;200%,"N/A",((I140-$H$134)/ABS(H134)))</f>
        <v>#DIV/0!</v>
      </c>
      <c r="N140" s="1142"/>
      <c r="O140" s="1677"/>
      <c r="P140" s="1234"/>
      <c r="Q140" s="1234"/>
      <c r="R140" s="1234"/>
      <c r="S140" s="1234"/>
      <c r="T140" s="1234"/>
      <c r="U140" s="1234"/>
      <c r="V140" s="1234"/>
      <c r="W140" s="1234"/>
      <c r="X140" s="1678"/>
      <c r="Y140" s="1142"/>
      <c r="Z140" s="1142"/>
      <c r="AA140" s="1142"/>
      <c r="AB140" s="1142"/>
      <c r="AC140" s="1142"/>
      <c r="AD140" s="1142"/>
      <c r="AE140" s="1142"/>
      <c r="AF140" s="1142"/>
      <c r="AG140" s="1142"/>
      <c r="AH140" s="1142"/>
      <c r="AI140" s="1142"/>
      <c r="AJ140" s="1564"/>
      <c r="AK140" s="1142"/>
      <c r="AL140" s="1142"/>
      <c r="AM140" s="1142"/>
      <c r="AN140" s="1142"/>
      <c r="AO140" s="1149"/>
      <c r="AP140" s="3248"/>
      <c r="AQ140" s="3251" t="s">
        <v>1425</v>
      </c>
      <c r="AR140" s="3252"/>
      <c r="AS140" s="1684"/>
      <c r="AT140" s="1685">
        <f>SUM(AS134:AS139)</f>
        <v>101.68322203437472</v>
      </c>
      <c r="AU140" s="1685"/>
      <c r="AV140" s="1685"/>
      <c r="AW140" s="1689">
        <f>V37-DiscR</f>
        <v>0.11443581159256935</v>
      </c>
      <c r="AX140" s="1687" t="e">
        <f>IF(ABS((AT140-$AS$134)/ABS($AS$134))&gt;200%,"N/A",(AT140-$AS$134)/ABS($AS$134))</f>
        <v>#DIV/0!</v>
      </c>
      <c r="AY140" s="1070"/>
      <c r="AZ140" s="1677"/>
      <c r="BA140" s="1234"/>
      <c r="BB140" s="1234"/>
      <c r="BC140" s="1234"/>
      <c r="BD140" s="1234"/>
      <c r="BE140" s="1234"/>
      <c r="BF140" s="1234"/>
      <c r="BG140" s="1234"/>
      <c r="BH140" s="1234"/>
      <c r="BI140" s="1678"/>
      <c r="BJ140" s="1142"/>
      <c r="BK140" s="1116"/>
      <c r="BL140" s="1683"/>
      <c r="BM140" s="1683"/>
      <c r="BN140" s="1683"/>
      <c r="BO140" s="1116"/>
      <c r="BP140" s="1621"/>
      <c r="BQ140" s="1142"/>
      <c r="BR140" s="1142"/>
      <c r="BS140" s="1142"/>
      <c r="BT140" s="1142"/>
      <c r="BU140" s="1478"/>
      <c r="BV140" s="1070"/>
      <c r="BW140" s="1526"/>
      <c r="BX140" s="1526"/>
    </row>
    <row r="141" spans="1:76" x14ac:dyDescent="0.3">
      <c r="A141" s="1527"/>
      <c r="B141" s="1070"/>
      <c r="C141" s="1070"/>
      <c r="D141" s="1142"/>
      <c r="E141" s="3247" t="e">
        <f>"FY"&amp;CurrentFYPriorSub+1&amp;"-"&amp;CurrentFYPriorSub+10</f>
        <v>#VALUE!</v>
      </c>
      <c r="F141" s="3249" t="s">
        <v>1426</v>
      </c>
      <c r="G141" s="3250"/>
      <c r="H141" s="1679" t="e">
        <f>(S38-R38)/1000</f>
        <v>#VALUE!</v>
      </c>
      <c r="I141" s="1680"/>
      <c r="J141" s="1680">
        <f>SUM(H$134:H140)</f>
        <v>21.75477969081026</v>
      </c>
      <c r="K141" s="1680" t="e">
        <f>SUM(H$134:H141)</f>
        <v>#VALUE!</v>
      </c>
      <c r="L141" s="1681"/>
      <c r="M141" s="1682"/>
      <c r="N141" s="1142"/>
      <c r="O141" s="1677"/>
      <c r="P141" s="1234"/>
      <c r="Q141" s="1234"/>
      <c r="R141" s="1234"/>
      <c r="S141" s="1234"/>
      <c r="T141" s="1234"/>
      <c r="U141" s="1234"/>
      <c r="V141" s="1234"/>
      <c r="W141" s="1234"/>
      <c r="X141" s="1678"/>
      <c r="Y141" s="1142"/>
      <c r="Z141" s="1142"/>
      <c r="AA141" s="1142"/>
      <c r="AB141" s="1142"/>
      <c r="AC141" s="1142"/>
      <c r="AD141" s="1142"/>
      <c r="AE141" s="1142"/>
      <c r="AF141" s="1142"/>
      <c r="AG141" s="1142"/>
      <c r="AH141" s="1142"/>
      <c r="AI141" s="1142"/>
      <c r="AJ141" s="1564"/>
      <c r="AK141" s="1142"/>
      <c r="AL141" s="1142"/>
      <c r="AM141" s="1142"/>
      <c r="AN141" s="1142"/>
      <c r="AO141" s="1149"/>
      <c r="AP141" s="3247" t="e">
        <f>"FY"&amp;CurrentFYPriorSub+1&amp;"-"&amp;CurrentFYPriorSub+15</f>
        <v>#VALUE!</v>
      </c>
      <c r="AQ141" s="3249" t="s">
        <v>1426</v>
      </c>
      <c r="AR141" s="3250"/>
      <c r="AS141" s="1679" t="e">
        <f>(W38-V38)/1000</f>
        <v>#VALUE!</v>
      </c>
      <c r="AT141" s="1680"/>
      <c r="AU141" s="1680">
        <f>SUM(AS$134:AS140)</f>
        <v>101.68322203437472</v>
      </c>
      <c r="AV141" s="1680" t="e">
        <f>SUM(AS$134:AS141)</f>
        <v>#VALUE!</v>
      </c>
      <c r="AW141" s="1681"/>
      <c r="AX141" s="1682"/>
      <c r="AY141" s="1070"/>
      <c r="AZ141" s="1677"/>
      <c r="BA141" s="1234"/>
      <c r="BB141" s="1234"/>
      <c r="BC141" s="1234"/>
      <c r="BD141" s="1234"/>
      <c r="BE141" s="1234"/>
      <c r="BF141" s="1234"/>
      <c r="BG141" s="1234"/>
      <c r="BH141" s="1234"/>
      <c r="BI141" s="1678"/>
      <c r="BJ141" s="1142"/>
      <c r="BK141" s="1116"/>
      <c r="BL141" s="1683"/>
      <c r="BM141" s="1683"/>
      <c r="BN141" s="1683"/>
      <c r="BO141" s="1116"/>
      <c r="BP141" s="1621"/>
      <c r="BQ141" s="1142"/>
      <c r="BR141" s="1142"/>
      <c r="BS141" s="1142"/>
      <c r="BT141" s="1142"/>
      <c r="BU141" s="1478"/>
      <c r="BV141" s="1070"/>
      <c r="BW141" s="1526"/>
      <c r="BX141" s="1526"/>
    </row>
    <row r="142" spans="1:76" ht="28.5" customHeight="1" x14ac:dyDescent="0.3">
      <c r="A142" s="1527"/>
      <c r="B142" s="1070"/>
      <c r="C142" s="1070"/>
      <c r="D142" s="1142"/>
      <c r="E142" s="3255"/>
      <c r="F142" s="3256" t="s">
        <v>1425</v>
      </c>
      <c r="G142" s="3257"/>
      <c r="H142" s="1684"/>
      <c r="I142" s="1685" t="e">
        <f>SUM(H134:H141)</f>
        <v>#VALUE!</v>
      </c>
      <c r="J142" s="1685"/>
      <c r="K142" s="1685"/>
      <c r="L142" s="1690" t="e">
        <f>S37-DiscR</f>
        <v>#VALUE!</v>
      </c>
      <c r="M142" s="1691" t="e">
        <f>IF(ABS((I142-$H$134)/ABS(H134)),"N/A",((I142-$H$134)/ABS(H134)))</f>
        <v>#VALUE!</v>
      </c>
      <c r="N142" s="1142"/>
      <c r="O142" s="1677"/>
      <c r="P142" s="1234"/>
      <c r="Q142" s="1234"/>
      <c r="R142" s="1234"/>
      <c r="S142" s="1234"/>
      <c r="T142" s="1234"/>
      <c r="U142" s="1234"/>
      <c r="V142" s="1234"/>
      <c r="W142" s="1234"/>
      <c r="X142" s="1678"/>
      <c r="Y142" s="1142"/>
      <c r="Z142" s="1142"/>
      <c r="AA142" s="1142"/>
      <c r="AB142" s="1142"/>
      <c r="AC142" s="1142"/>
      <c r="AD142" s="1142"/>
      <c r="AE142" s="1142"/>
      <c r="AF142" s="1142"/>
      <c r="AG142" s="1142"/>
      <c r="AH142" s="1142"/>
      <c r="AI142" s="1142"/>
      <c r="AJ142" s="1564"/>
      <c r="AK142" s="1142"/>
      <c r="AL142" s="1142"/>
      <c r="AM142" s="1142"/>
      <c r="AN142" s="1142"/>
      <c r="AO142" s="1149"/>
      <c r="AP142" s="3255"/>
      <c r="AQ142" s="3256" t="s">
        <v>1425</v>
      </c>
      <c r="AR142" s="3257"/>
      <c r="AS142" s="1684"/>
      <c r="AT142" s="1685" t="e">
        <f>SUM(AS134:AS141)</f>
        <v>#VALUE!</v>
      </c>
      <c r="AU142" s="1685"/>
      <c r="AV142" s="1685"/>
      <c r="AW142" s="1690" t="e">
        <f>W37-DiscR</f>
        <v>#VALUE!</v>
      </c>
      <c r="AX142" s="1691" t="e">
        <f>IF(ABS((AT142-$AS$134)/ABS($AS$134))&gt;200%,"N/A",((AT142-$AS$134)/ABS($AS$134)))</f>
        <v>#VALUE!</v>
      </c>
      <c r="AY142" s="1070"/>
      <c r="AZ142" s="1677"/>
      <c r="BA142" s="1234"/>
      <c r="BB142" s="1234"/>
      <c r="BC142" s="1234"/>
      <c r="BD142" s="1234"/>
      <c r="BE142" s="1234"/>
      <c r="BF142" s="1234"/>
      <c r="BG142" s="1234"/>
      <c r="BH142" s="1234"/>
      <c r="BI142" s="1678"/>
      <c r="BJ142" s="1142"/>
      <c r="BK142" s="1116"/>
      <c r="BL142" s="1683"/>
      <c r="BM142" s="1683"/>
      <c r="BN142" s="1683"/>
      <c r="BO142" s="1116"/>
      <c r="BP142" s="1621"/>
      <c r="BQ142" s="1142"/>
      <c r="BR142" s="1142"/>
      <c r="BS142" s="1142"/>
      <c r="BT142" s="1142"/>
      <c r="BU142" s="1478"/>
      <c r="BV142" s="1070"/>
      <c r="BW142" s="1526"/>
      <c r="BX142" s="1526"/>
    </row>
    <row r="143" spans="1:76" x14ac:dyDescent="0.3">
      <c r="A143" s="1527"/>
      <c r="B143" s="1070"/>
      <c r="C143" s="1070"/>
      <c r="D143" s="1142"/>
      <c r="E143" s="1692"/>
      <c r="F143" s="1693"/>
      <c r="G143" s="1694"/>
      <c r="H143" s="1611"/>
      <c r="I143" s="1680"/>
      <c r="J143" s="1680"/>
      <c r="K143" s="1680"/>
      <c r="L143" s="1644"/>
      <c r="M143" s="1695"/>
      <c r="N143" s="1142"/>
      <c r="O143" s="1677"/>
      <c r="P143" s="1234"/>
      <c r="Q143" s="1234"/>
      <c r="R143" s="1234"/>
      <c r="S143" s="1234"/>
      <c r="T143" s="1234"/>
      <c r="U143" s="1234"/>
      <c r="V143" s="1234"/>
      <c r="W143" s="1234"/>
      <c r="X143" s="1678"/>
      <c r="Y143" s="1142"/>
      <c r="Z143" s="1142"/>
      <c r="AA143" s="1142"/>
      <c r="AB143" s="1142"/>
      <c r="AC143" s="1142"/>
      <c r="AD143" s="1142"/>
      <c r="AE143" s="1142"/>
      <c r="AF143" s="1142"/>
      <c r="AG143" s="1142"/>
      <c r="AH143" s="1142"/>
      <c r="AI143" s="1142"/>
      <c r="AJ143" s="1564"/>
      <c r="AK143" s="1142"/>
      <c r="AL143" s="1142"/>
      <c r="AM143" s="1142"/>
      <c r="AN143" s="1142"/>
      <c r="AO143" s="1149"/>
      <c r="AP143" s="1692"/>
      <c r="AQ143" s="1693"/>
      <c r="AR143" s="1694"/>
      <c r="AS143" s="1611"/>
      <c r="AT143" s="1680"/>
      <c r="AU143" s="1680"/>
      <c r="AV143" s="1680"/>
      <c r="AW143" s="1644"/>
      <c r="AX143" s="1695"/>
      <c r="AY143" s="1070"/>
      <c r="AZ143" s="1677"/>
      <c r="BA143" s="1234"/>
      <c r="BB143" s="1234"/>
      <c r="BC143" s="1234"/>
      <c r="BD143" s="1234"/>
      <c r="BE143" s="1234"/>
      <c r="BF143" s="1234"/>
      <c r="BG143" s="1234"/>
      <c r="BH143" s="1234"/>
      <c r="BI143" s="1678"/>
      <c r="BJ143" s="1142"/>
      <c r="BK143" s="1116"/>
      <c r="BL143" s="1683"/>
      <c r="BM143" s="1683"/>
      <c r="BN143" s="1116"/>
      <c r="BO143" s="1116"/>
      <c r="BP143" s="1621"/>
      <c r="BQ143" s="1142"/>
      <c r="BR143" s="1142"/>
      <c r="BS143" s="1142"/>
      <c r="BT143" s="1142"/>
      <c r="BU143" s="1478"/>
      <c r="BV143" s="1070"/>
      <c r="BW143" s="1526"/>
      <c r="BX143" s="1526"/>
    </row>
    <row r="144" spans="1:76" x14ac:dyDescent="0.3">
      <c r="A144" s="1527"/>
      <c r="B144" s="1070"/>
      <c r="C144" s="1070"/>
      <c r="D144" s="1142"/>
      <c r="E144" s="1692"/>
      <c r="F144" s="1543" t="str">
        <f>IF(H144&gt;=0,"SSGA +"&amp;ABS(ROUND(H144,0)),"SSGA -"&amp;ABS(ROUND(H144,0)))</f>
        <v>SSGA +0</v>
      </c>
      <c r="G144" s="1696"/>
      <c r="H144" s="1697">
        <f>AJ67/1000</f>
        <v>0</v>
      </c>
      <c r="I144" s="1685"/>
      <c r="J144" s="1685"/>
      <c r="K144" s="1685"/>
      <c r="L144" s="1698"/>
      <c r="M144" s="1699"/>
      <c r="N144" s="1142"/>
      <c r="O144" s="1677"/>
      <c r="P144" s="1234"/>
      <c r="Q144" s="1234"/>
      <c r="R144" s="1234"/>
      <c r="S144" s="1234"/>
      <c r="T144" s="1234"/>
      <c r="U144" s="1234"/>
      <c r="V144" s="1234"/>
      <c r="W144" s="1234"/>
      <c r="X144" s="1678"/>
      <c r="Y144" s="1142"/>
      <c r="Z144" s="1142"/>
      <c r="AA144" s="1142"/>
      <c r="AB144" s="1142"/>
      <c r="AC144" s="1142"/>
      <c r="AD144" s="1142"/>
      <c r="AE144" s="1142"/>
      <c r="AF144" s="1142"/>
      <c r="AG144" s="1142"/>
      <c r="AH144" s="1142"/>
      <c r="AI144" s="1142"/>
      <c r="AJ144" s="1564"/>
      <c r="AK144" s="1142"/>
      <c r="AL144" s="1142"/>
      <c r="AM144" s="1142"/>
      <c r="AN144" s="1142"/>
      <c r="AO144" s="1149"/>
      <c r="AP144" s="1692"/>
      <c r="AQ144" s="1543" t="str">
        <f>IF(AS144&gt;=0,"SSGA +"&amp;ABS(ROUND(AS144,0)),"SSGA -"&amp;ABS(ROUND(AS144,0)))</f>
        <v>SSGA +0</v>
      </c>
      <c r="AR144" s="1696"/>
      <c r="AS144" s="1697">
        <f>BT67/1000</f>
        <v>0</v>
      </c>
      <c r="AT144" s="1685"/>
      <c r="AU144" s="1685"/>
      <c r="AV144" s="1685"/>
      <c r="AW144" s="1698"/>
      <c r="AX144" s="1699"/>
      <c r="AY144" s="1070"/>
      <c r="AZ144" s="1677"/>
      <c r="BA144" s="1234"/>
      <c r="BB144" s="1234"/>
      <c r="BC144" s="1234"/>
      <c r="BD144" s="1234"/>
      <c r="BE144" s="1234"/>
      <c r="BF144" s="1234"/>
      <c r="BG144" s="1234"/>
      <c r="BH144" s="1234"/>
      <c r="BI144" s="1678"/>
      <c r="BJ144" s="1142"/>
      <c r="BK144" s="1116"/>
      <c r="BL144" s="1683"/>
      <c r="BM144" s="1683"/>
      <c r="BN144" s="1116"/>
      <c r="BO144" s="1116"/>
      <c r="BP144" s="1621"/>
      <c r="BQ144" s="1142"/>
      <c r="BR144" s="1142"/>
      <c r="BS144" s="1142"/>
      <c r="BT144" s="1142"/>
      <c r="BU144" s="1478"/>
      <c r="BV144" s="1070"/>
      <c r="BW144" s="1526"/>
      <c r="BX144" s="1526"/>
    </row>
    <row r="145" spans="1:76" x14ac:dyDescent="0.3">
      <c r="A145" s="1527"/>
      <c r="B145" s="1070"/>
      <c r="C145" s="1070"/>
      <c r="D145" s="1142"/>
      <c r="E145" s="1692"/>
      <c r="F145" s="1543" t="str">
        <f>IF(H145&gt;=0,"R&amp;D +"&amp;ABS(ROUND(H145,0)),"R&amp;D -"&amp;ABS(ROUND(H145,0)))</f>
        <v>R&amp;D +0</v>
      </c>
      <c r="G145" s="1696"/>
      <c r="H145" s="1697">
        <f>AJ68/1000</f>
        <v>0</v>
      </c>
      <c r="I145" s="1700"/>
      <c r="J145" s="1685"/>
      <c r="K145" s="1685"/>
      <c r="L145" s="1698"/>
      <c r="M145" s="1699"/>
      <c r="N145" s="1142"/>
      <c r="O145" s="1677"/>
      <c r="P145" s="1234"/>
      <c r="Q145" s="1234"/>
      <c r="R145" s="1234"/>
      <c r="S145" s="1234"/>
      <c r="T145" s="1234"/>
      <c r="U145" s="1234"/>
      <c r="V145" s="1234"/>
      <c r="W145" s="1234"/>
      <c r="X145" s="1678"/>
      <c r="Y145" s="1142"/>
      <c r="Z145" s="1142"/>
      <c r="AA145" s="1142"/>
      <c r="AB145" s="1142"/>
      <c r="AC145" s="1142"/>
      <c r="AD145" s="1142"/>
      <c r="AE145" s="1142"/>
      <c r="AF145" s="1142"/>
      <c r="AG145" s="1142"/>
      <c r="AH145" s="1142"/>
      <c r="AI145" s="1142"/>
      <c r="AJ145" s="1564"/>
      <c r="AK145" s="1142"/>
      <c r="AL145" s="1142"/>
      <c r="AM145" s="1142"/>
      <c r="AN145" s="1142"/>
      <c r="AO145" s="1149"/>
      <c r="AP145" s="1692"/>
      <c r="AQ145" s="1543" t="str">
        <f>IF(AS145&gt;=0,"R&amp;D +"&amp;ABS(ROUND(AS145,0)),"R&amp;D -"&amp;ABS(ROUND(AS145,0)))</f>
        <v>R&amp;D +0</v>
      </c>
      <c r="AR145" s="1696"/>
      <c r="AS145" s="1697">
        <f>BT68/1000</f>
        <v>0</v>
      </c>
      <c r="AT145" s="1700"/>
      <c r="AU145" s="1685"/>
      <c r="AV145" s="1685"/>
      <c r="AW145" s="1698"/>
      <c r="AX145" s="1699"/>
      <c r="AY145" s="1070"/>
      <c r="AZ145" s="1677"/>
      <c r="BA145" s="1234"/>
      <c r="BB145" s="1234"/>
      <c r="BC145" s="1234"/>
      <c r="BD145" s="1234"/>
      <c r="BE145" s="1234"/>
      <c r="BF145" s="1234"/>
      <c r="BG145" s="1234"/>
      <c r="BH145" s="1234"/>
      <c r="BI145" s="1678"/>
      <c r="BJ145" s="1142"/>
      <c r="BK145" s="1116"/>
      <c r="BL145" s="1683"/>
      <c r="BM145" s="1683"/>
      <c r="BN145" s="1116"/>
      <c r="BO145" s="1116"/>
      <c r="BP145" s="1621"/>
      <c r="BQ145" s="1142"/>
      <c r="BR145" s="1142"/>
      <c r="BS145" s="1142"/>
      <c r="BT145" s="1142"/>
      <c r="BU145" s="1478"/>
      <c r="BV145" s="1070"/>
      <c r="BW145" s="1526"/>
      <c r="BX145" s="1526"/>
    </row>
    <row r="146" spans="1:76" x14ac:dyDescent="0.3">
      <c r="A146" s="1527"/>
      <c r="B146" s="1070"/>
      <c r="C146" s="1070"/>
      <c r="D146" s="1142"/>
      <c r="E146" s="1692"/>
      <c r="F146" s="1543" t="str">
        <f>IF(H146&gt;=0,"CapEx +"&amp;ABS(ROUND(H146,0)),"CapEx -"&amp;ABS(ROUND(H146,0)))</f>
        <v>CapEx +0</v>
      </c>
      <c r="G146" s="1701"/>
      <c r="H146" s="1697">
        <f>AJ69/1000</f>
        <v>0</v>
      </c>
      <c r="I146" s="1116"/>
      <c r="J146" s="1116"/>
      <c r="K146" s="1116"/>
      <c r="L146" s="1698"/>
      <c r="M146" s="1699"/>
      <c r="N146" s="1142"/>
      <c r="O146" s="1677"/>
      <c r="P146" s="1234"/>
      <c r="Q146" s="1234"/>
      <c r="R146" s="1234"/>
      <c r="S146" s="1234"/>
      <c r="T146" s="1234"/>
      <c r="U146" s="1234"/>
      <c r="V146" s="1234"/>
      <c r="W146" s="1234"/>
      <c r="X146" s="1678"/>
      <c r="Y146" s="1142"/>
      <c r="Z146" s="1142"/>
      <c r="AA146" s="1142"/>
      <c r="AB146" s="1142"/>
      <c r="AC146" s="1142"/>
      <c r="AD146" s="1142"/>
      <c r="AE146" s="1142"/>
      <c r="AF146" s="1142"/>
      <c r="AG146" s="1142"/>
      <c r="AH146" s="1142"/>
      <c r="AI146" s="1142"/>
      <c r="AJ146" s="1564"/>
      <c r="AK146" s="1142"/>
      <c r="AL146" s="1142"/>
      <c r="AM146" s="1142"/>
      <c r="AN146" s="1142"/>
      <c r="AO146" s="1149"/>
      <c r="AP146" s="1692"/>
      <c r="AQ146" s="1543" t="str">
        <f>IF(AS146&gt;=0,"CapEx +"&amp;ABS(ROUND(AS146,0)),"CapEx -"&amp;ABS(ROUND(AS146,0)))</f>
        <v>CapEx +0</v>
      </c>
      <c r="AR146" s="1701"/>
      <c r="AS146" s="1697">
        <f>BT69/1000</f>
        <v>0</v>
      </c>
      <c r="AT146" s="1116"/>
      <c r="AU146" s="1116"/>
      <c r="AV146" s="1116"/>
      <c r="AW146" s="1698"/>
      <c r="AX146" s="1699"/>
      <c r="AY146" s="1070"/>
      <c r="AZ146" s="1677"/>
      <c r="BA146" s="1234"/>
      <c r="BB146" s="1234"/>
      <c r="BC146" s="1234"/>
      <c r="BD146" s="1234"/>
      <c r="BE146" s="1234"/>
      <c r="BF146" s="1234"/>
      <c r="BG146" s="1234"/>
      <c r="BH146" s="1234"/>
      <c r="BI146" s="1678"/>
      <c r="BJ146" s="1142"/>
      <c r="BK146" s="1116"/>
      <c r="BL146" s="1683"/>
      <c r="BM146" s="1683"/>
      <c r="BN146" s="1116"/>
      <c r="BO146" s="1116"/>
      <c r="BP146" s="1621"/>
      <c r="BQ146" s="1142"/>
      <c r="BR146" s="1142"/>
      <c r="BS146" s="1142"/>
      <c r="BT146" s="1142"/>
      <c r="BU146" s="1478"/>
      <c r="BV146" s="1070"/>
      <c r="BW146" s="1526"/>
      <c r="BX146" s="1526"/>
    </row>
    <row r="147" spans="1:76" x14ac:dyDescent="0.3">
      <c r="A147" s="1527"/>
      <c r="B147" s="1142"/>
      <c r="C147" s="1142"/>
      <c r="D147" s="1142"/>
      <c r="E147" s="1692"/>
      <c r="F147" s="1543" t="str">
        <f>IF(H147=0,"",IF(H147&gt;0,"Hurdle +"&amp;ABS(ROUND(H147,0)),"Hurdle -"&amp;ABS(ROUND(H147,0))))</f>
        <v>Hurdle -86</v>
      </c>
      <c r="G147" s="1701"/>
      <c r="H147" s="1697">
        <f>AJ74/1000</f>
        <v>-85.524122620563674</v>
      </c>
      <c r="I147" s="1116"/>
      <c r="J147" s="1116"/>
      <c r="K147" s="1116"/>
      <c r="L147" s="1698"/>
      <c r="M147" s="1699"/>
      <c r="N147" s="1142"/>
      <c r="O147" s="1677"/>
      <c r="P147" s="1234"/>
      <c r="Q147" s="1234"/>
      <c r="R147" s="1234"/>
      <c r="S147" s="1234"/>
      <c r="T147" s="1234"/>
      <c r="U147" s="1234"/>
      <c r="V147" s="1234"/>
      <c r="W147" s="1234"/>
      <c r="X147" s="1678"/>
      <c r="Y147" s="1142"/>
      <c r="Z147" s="1142"/>
      <c r="AA147" s="1142"/>
      <c r="AB147" s="1142"/>
      <c r="AC147" s="1142"/>
      <c r="AD147" s="1142"/>
      <c r="AE147" s="1142"/>
      <c r="AF147" s="1142"/>
      <c r="AG147" s="1142"/>
      <c r="AH147" s="1142"/>
      <c r="AI147" s="1142"/>
      <c r="AJ147" s="1564"/>
      <c r="AK147" s="1142"/>
      <c r="AL147" s="1142"/>
      <c r="AM147" s="1142"/>
      <c r="AN147" s="1142"/>
      <c r="AO147" s="1149"/>
      <c r="AP147" s="1692"/>
      <c r="AQ147" s="1543" t="str">
        <f>IF(AS147=0,"",IF(AS147&gt;0,"Hurdle +"&amp;ABS(ROUND(AS147,0)),"Hurdle -"&amp;ABS(ROUND(AS147,0))))</f>
        <v>Hurdle -438</v>
      </c>
      <c r="AR147" s="1701"/>
      <c r="AS147" s="1697">
        <f>BT74/1000</f>
        <v>-437.53167157120174</v>
      </c>
      <c r="AT147" s="1116"/>
      <c r="AU147" s="1116"/>
      <c r="AV147" s="1116"/>
      <c r="AW147" s="1698"/>
      <c r="AX147" s="1699"/>
      <c r="AY147" s="1070"/>
      <c r="AZ147" s="1677"/>
      <c r="BA147" s="1234"/>
      <c r="BB147" s="1234"/>
      <c r="BC147" s="1234"/>
      <c r="BD147" s="1234"/>
      <c r="BE147" s="1234"/>
      <c r="BF147" s="1234"/>
      <c r="BG147" s="1234"/>
      <c r="BH147" s="1234"/>
      <c r="BI147" s="1678"/>
      <c r="BJ147" s="1142"/>
      <c r="BK147" s="1116"/>
      <c r="BL147" s="1683"/>
      <c r="BM147" s="1683"/>
      <c r="BN147" s="1116"/>
      <c r="BO147" s="1116"/>
      <c r="BP147" s="1621"/>
      <c r="BQ147" s="1142"/>
      <c r="BR147" s="1142"/>
      <c r="BS147" s="1142"/>
      <c r="BT147" s="1142"/>
      <c r="BU147" s="1478"/>
      <c r="BV147" s="1070"/>
      <c r="BW147" s="1526"/>
      <c r="BX147" s="1526"/>
    </row>
    <row r="148" spans="1:76" x14ac:dyDescent="0.3">
      <c r="A148" s="1527"/>
      <c r="B148" s="1142"/>
      <c r="C148" s="1142"/>
      <c r="D148" s="1142"/>
      <c r="E148" s="1692"/>
      <c r="F148" s="1434" t="str">
        <f>IF(H147=0,"",IF(H148&gt;0,"Other +"&amp;ABS(ROUND(H148,0)),"Other -"&amp;ABS(ROUND(H148,0))))</f>
        <v>Other +107</v>
      </c>
      <c r="G148" s="1702"/>
      <c r="H148" s="1703">
        <f>(AJ75)/1000</f>
        <v>107.27890231137394</v>
      </c>
      <c r="I148" s="1232"/>
      <c r="J148" s="1232"/>
      <c r="K148" s="1232"/>
      <c r="L148" s="1704"/>
      <c r="M148" s="1705"/>
      <c r="N148" s="1142"/>
      <c r="O148" s="1706"/>
      <c r="P148" s="1707"/>
      <c r="Q148" s="1707"/>
      <c r="R148" s="1707"/>
      <c r="S148" s="1707"/>
      <c r="T148" s="1707"/>
      <c r="U148" s="1707"/>
      <c r="V148" s="1707"/>
      <c r="W148" s="1707"/>
      <c r="X148" s="1708"/>
      <c r="Y148" s="1142"/>
      <c r="Z148" s="1142"/>
      <c r="AA148" s="1142"/>
      <c r="AB148" s="1142"/>
      <c r="AC148" s="1142"/>
      <c r="AD148" s="1142"/>
      <c r="AE148" s="1142"/>
      <c r="AF148" s="1142"/>
      <c r="AG148" s="1142"/>
      <c r="AH148" s="1142"/>
      <c r="AI148" s="1142"/>
      <c r="AJ148" s="1564"/>
      <c r="AK148" s="1142"/>
      <c r="AL148" s="1142"/>
      <c r="AM148" s="1142"/>
      <c r="AN148" s="1142"/>
      <c r="AO148" s="1149"/>
      <c r="AP148" s="1692"/>
      <c r="AQ148" s="1434" t="str">
        <f>IF(AS147=0,"",IF(AS148&gt;0,"Other +"&amp;ABS(ROUND(AS148,0)),"Other -"&amp;ABS(ROUND(AS148,0))))</f>
        <v>Other +539</v>
      </c>
      <c r="AR148" s="1702"/>
      <c r="AS148" s="1703">
        <f>(BT75)/1000</f>
        <v>539.21489360557644</v>
      </c>
      <c r="AT148" s="1232"/>
      <c r="AU148" s="1232"/>
      <c r="AV148" s="1232"/>
      <c r="AW148" s="1704"/>
      <c r="AX148" s="1705"/>
      <c r="AY148" s="1070"/>
      <c r="AZ148" s="1706"/>
      <c r="BA148" s="1707"/>
      <c r="BB148" s="1707"/>
      <c r="BC148" s="1707"/>
      <c r="BD148" s="1707"/>
      <c r="BE148" s="1707"/>
      <c r="BF148" s="1707"/>
      <c r="BG148" s="1707"/>
      <c r="BH148" s="1707"/>
      <c r="BI148" s="1708"/>
      <c r="BJ148" s="1142"/>
      <c r="BK148" s="1116"/>
      <c r="BL148" s="1683"/>
      <c r="BM148" s="1683"/>
      <c r="BN148" s="1116"/>
      <c r="BO148" s="1116"/>
      <c r="BP148" s="1621"/>
      <c r="BQ148" s="1142"/>
      <c r="BR148" s="1142"/>
      <c r="BS148" s="1142"/>
      <c r="BT148" s="1142"/>
      <c r="BU148" s="1478"/>
      <c r="BV148" s="1070"/>
      <c r="BW148" s="1526"/>
      <c r="BX148" s="1526"/>
    </row>
    <row r="149" spans="1:76" x14ac:dyDescent="0.3">
      <c r="A149" s="1527"/>
      <c r="B149" s="1142"/>
      <c r="C149" s="1142"/>
      <c r="D149" s="1142"/>
      <c r="E149" s="1142"/>
      <c r="F149" s="1142"/>
      <c r="G149" s="1070"/>
      <c r="H149" s="1070"/>
      <c r="I149" s="1142"/>
      <c r="J149" s="1142"/>
      <c r="K149" s="1142"/>
      <c r="L149" s="1142"/>
      <c r="M149" s="1142"/>
      <c r="N149" s="1142"/>
      <c r="O149" s="1116"/>
      <c r="P149" s="1116"/>
      <c r="Q149" s="1116"/>
      <c r="R149" s="1116"/>
      <c r="S149" s="1116"/>
      <c r="T149" s="1116"/>
      <c r="U149" s="1116"/>
      <c r="V149" s="1116"/>
      <c r="W149" s="1116"/>
      <c r="X149" s="1116"/>
      <c r="Y149" s="1142"/>
      <c r="Z149" s="1142"/>
      <c r="AA149" s="1142"/>
      <c r="AB149" s="1142"/>
      <c r="AC149" s="1142"/>
      <c r="AD149" s="1142"/>
      <c r="AE149" s="1142"/>
      <c r="AF149" s="1142"/>
      <c r="AG149" s="1142"/>
      <c r="AH149" s="1142"/>
      <c r="AI149" s="1142"/>
      <c r="AJ149" s="1564"/>
      <c r="AK149" s="1142"/>
      <c r="AL149" s="1142"/>
      <c r="AM149" s="1142"/>
      <c r="AN149" s="1142"/>
      <c r="AO149" s="1149"/>
      <c r="AP149" s="1142"/>
      <c r="AQ149" s="1070"/>
      <c r="AR149" s="1070"/>
      <c r="AS149" s="1709"/>
      <c r="AT149" s="1142"/>
      <c r="AU149" s="1142"/>
      <c r="AV149" s="1142"/>
      <c r="AW149" s="1142"/>
      <c r="AX149" s="1142"/>
      <c r="AY149" s="1070"/>
      <c r="AZ149" s="1116"/>
      <c r="BA149" s="1116"/>
      <c r="BB149" s="1116"/>
      <c r="BC149" s="1116"/>
      <c r="BD149" s="1116"/>
      <c r="BE149" s="1116"/>
      <c r="BF149" s="1116"/>
      <c r="BG149" s="1116"/>
      <c r="BH149" s="1116"/>
      <c r="BI149" s="1116"/>
      <c r="BJ149" s="1142"/>
      <c r="BK149" s="1116"/>
      <c r="BL149" s="1116"/>
      <c r="BM149" s="1116"/>
      <c r="BN149" s="1116"/>
      <c r="BO149" s="1116"/>
      <c r="BP149" s="1116"/>
      <c r="BQ149" s="1142"/>
      <c r="BR149" s="1142"/>
      <c r="BS149" s="1142"/>
      <c r="BT149" s="1142"/>
      <c r="BU149" s="1478"/>
      <c r="BV149" s="1070"/>
      <c r="BW149" s="1526"/>
      <c r="BX149" s="1526"/>
    </row>
    <row r="150" spans="1:76" x14ac:dyDescent="0.3">
      <c r="A150" s="1527"/>
      <c r="B150" s="1142"/>
      <c r="C150" s="1142"/>
      <c r="D150" s="1142"/>
      <c r="E150" s="1142"/>
      <c r="F150" s="1142"/>
      <c r="G150" s="1070"/>
      <c r="H150" s="1070"/>
      <c r="I150" s="1142"/>
      <c r="J150" s="1142"/>
      <c r="K150" s="1142"/>
      <c r="L150" s="1142"/>
      <c r="M150" s="1142"/>
      <c r="N150" s="1142"/>
      <c r="O150" s="1116"/>
      <c r="P150" s="1116"/>
      <c r="Q150" s="1116"/>
      <c r="R150" s="1116"/>
      <c r="S150" s="1116"/>
      <c r="T150" s="1116"/>
      <c r="U150" s="1116"/>
      <c r="V150" s="1116"/>
      <c r="W150" s="1116"/>
      <c r="X150" s="1116"/>
      <c r="Y150" s="1142"/>
      <c r="Z150" s="1142"/>
      <c r="AA150" s="1142"/>
      <c r="AB150" s="1142"/>
      <c r="AC150" s="1142"/>
      <c r="AD150" s="1142"/>
      <c r="AE150" s="1142"/>
      <c r="AF150" s="1142"/>
      <c r="AG150" s="1142"/>
      <c r="AH150" s="1142"/>
      <c r="AI150" s="1142"/>
      <c r="AJ150" s="1564"/>
      <c r="AK150" s="1142"/>
      <c r="AL150" s="1142"/>
      <c r="AM150" s="1142"/>
      <c r="AN150" s="1142"/>
      <c r="AO150" s="1149"/>
      <c r="AP150" s="1142"/>
      <c r="AQ150" s="1070"/>
      <c r="AR150" s="1070"/>
      <c r="AS150" s="1709"/>
      <c r="AT150" s="1142"/>
      <c r="AU150" s="1142"/>
      <c r="AV150" s="1142"/>
      <c r="AW150" s="1142"/>
      <c r="AX150" s="1142"/>
      <c r="AY150" s="1116"/>
      <c r="AZ150" s="1116"/>
      <c r="BA150" s="1116"/>
      <c r="BB150" s="1116"/>
      <c r="BC150" s="1116"/>
      <c r="BD150" s="1116"/>
      <c r="BE150" s="1116"/>
      <c r="BF150" s="1116"/>
      <c r="BG150" s="1116"/>
      <c r="BH150" s="1116"/>
      <c r="BI150" s="1142"/>
      <c r="BJ150" s="1142"/>
      <c r="BK150" s="1142"/>
      <c r="BL150" s="1142"/>
      <c r="BM150" s="1142"/>
      <c r="BN150" s="1142"/>
      <c r="BO150" s="1142"/>
      <c r="BP150" s="1142"/>
      <c r="BQ150" s="1142"/>
      <c r="BR150" s="1142"/>
      <c r="BS150" s="1142"/>
      <c r="BT150" s="1142"/>
      <c r="BU150" s="1478"/>
      <c r="BV150" s="1070"/>
      <c r="BW150" s="1526"/>
      <c r="BX150" s="1526"/>
    </row>
    <row r="151" spans="1:76" ht="15" thickBot="1" x14ac:dyDescent="0.35">
      <c r="A151" s="1710"/>
      <c r="B151" s="1515"/>
      <c r="C151" s="1515"/>
      <c r="D151" s="1515"/>
      <c r="E151" s="1515"/>
      <c r="F151" s="1515"/>
      <c r="G151" s="1515"/>
      <c r="H151" s="1515"/>
      <c r="I151" s="1515"/>
      <c r="J151" s="1515"/>
      <c r="K151" s="1515"/>
      <c r="L151" s="1515"/>
      <c r="M151" s="1515"/>
      <c r="N151" s="1515"/>
      <c r="O151" s="1515"/>
      <c r="P151" s="1515"/>
      <c r="Q151" s="1515"/>
      <c r="R151" s="1515"/>
      <c r="S151" s="1515"/>
      <c r="T151" s="1515"/>
      <c r="U151" s="1515"/>
      <c r="V151" s="1515"/>
      <c r="W151" s="1515"/>
      <c r="X151" s="1515"/>
      <c r="Y151" s="1515"/>
      <c r="Z151" s="1515"/>
      <c r="AA151" s="1515"/>
      <c r="AB151" s="1515"/>
      <c r="AC151" s="1515"/>
      <c r="AD151" s="1515"/>
      <c r="AE151" s="1515"/>
      <c r="AF151" s="1515"/>
      <c r="AG151" s="1515"/>
      <c r="AH151" s="1515"/>
      <c r="AI151" s="1515"/>
      <c r="AJ151" s="1711"/>
      <c r="AK151" s="1515"/>
      <c r="AL151" s="1515"/>
      <c r="AM151" s="1515"/>
      <c r="AN151" s="1515"/>
      <c r="AO151" s="1712"/>
      <c r="AP151" s="1515"/>
      <c r="AQ151" s="1515"/>
      <c r="AR151" s="1515"/>
      <c r="AS151" s="1515"/>
      <c r="AT151" s="1515"/>
      <c r="AU151" s="1515"/>
      <c r="AV151" s="1515"/>
      <c r="AW151" s="1515"/>
      <c r="AX151" s="1515"/>
      <c r="AY151" s="1515"/>
      <c r="AZ151" s="1515"/>
      <c r="BA151" s="1515"/>
      <c r="BB151" s="1515"/>
      <c r="BC151" s="1515"/>
      <c r="BD151" s="1515"/>
      <c r="BE151" s="1515"/>
      <c r="BF151" s="1515"/>
      <c r="BG151" s="1515"/>
      <c r="BH151" s="1515"/>
      <c r="BI151" s="1515"/>
      <c r="BJ151" s="1515"/>
      <c r="BK151" s="1515"/>
      <c r="BL151" s="1515"/>
      <c r="BM151" s="1515"/>
      <c r="BN151" s="1515"/>
      <c r="BO151" s="1515"/>
      <c r="BP151" s="1515"/>
      <c r="BQ151" s="1515"/>
      <c r="BR151" s="1515"/>
      <c r="BS151" s="1515"/>
      <c r="BT151" s="1515"/>
      <c r="BU151" s="1516"/>
      <c r="BV151" s="1070"/>
      <c r="BW151" s="1526"/>
      <c r="BX151" s="1526"/>
    </row>
    <row r="152" spans="1:76" x14ac:dyDescent="0.3">
      <c r="A152" s="1070"/>
      <c r="B152" s="1070"/>
      <c r="C152" s="1070"/>
      <c r="D152" s="1070"/>
      <c r="E152" s="1070"/>
      <c r="F152" s="1070"/>
      <c r="G152" s="1070"/>
      <c r="H152" s="1070"/>
      <c r="I152" s="1070"/>
      <c r="J152" s="1070"/>
      <c r="K152" s="1070"/>
      <c r="L152" s="1070"/>
      <c r="M152" s="1070"/>
      <c r="N152" s="1070"/>
      <c r="O152" s="1070"/>
      <c r="P152" s="1070"/>
      <c r="Q152" s="1070"/>
      <c r="R152" s="1070"/>
      <c r="S152" s="1070"/>
      <c r="T152" s="1070"/>
      <c r="U152" s="1070"/>
      <c r="V152" s="1070"/>
      <c r="W152" s="1070"/>
      <c r="X152" s="1070"/>
      <c r="Y152" s="1070"/>
      <c r="Z152" s="1070"/>
      <c r="AA152" s="1070"/>
      <c r="AB152" s="1070"/>
      <c r="AC152" s="1070"/>
      <c r="AD152" s="1070"/>
      <c r="AE152" s="1070"/>
      <c r="AF152" s="1070"/>
      <c r="AG152" s="1070"/>
      <c r="AH152" s="1070"/>
      <c r="AI152" s="1070"/>
      <c r="AJ152" s="1070"/>
      <c r="AK152" s="1070"/>
      <c r="AL152" s="1070"/>
      <c r="AM152" s="1070"/>
      <c r="AN152" s="1070"/>
      <c r="AO152" s="1070"/>
      <c r="AP152" s="1070"/>
      <c r="AQ152" s="1070"/>
      <c r="AR152" s="1070"/>
      <c r="AS152" s="1070"/>
      <c r="AT152" s="1070"/>
      <c r="AU152" s="1070"/>
      <c r="AV152" s="1070"/>
      <c r="AW152" s="1070"/>
      <c r="AX152" s="1070"/>
      <c r="AY152" s="1070"/>
      <c r="AZ152" s="1070"/>
      <c r="BA152" s="1070"/>
      <c r="BB152" s="1070"/>
      <c r="BC152" s="1070"/>
      <c r="BD152" s="1070"/>
      <c r="BE152" s="1070"/>
      <c r="BF152" s="1070"/>
      <c r="BG152" s="1070"/>
      <c r="BH152" s="1070"/>
      <c r="BI152" s="1070"/>
      <c r="BJ152" s="1070"/>
      <c r="BK152" s="1070"/>
      <c r="BL152" s="1070"/>
      <c r="BM152" s="1070"/>
      <c r="BN152" s="1070"/>
      <c r="BO152" s="1070"/>
      <c r="BP152" s="1070"/>
      <c r="BQ152" s="1070"/>
      <c r="BR152" s="1070"/>
      <c r="BS152" s="1070"/>
      <c r="BT152" s="1070"/>
      <c r="BU152" s="1070"/>
      <c r="BV152" s="1070"/>
      <c r="BW152" s="1526"/>
      <c r="BX152" s="1526"/>
    </row>
    <row r="153" spans="1:76" x14ac:dyDescent="0.3">
      <c r="A153" s="1070"/>
      <c r="B153" s="1070"/>
      <c r="C153" s="1070"/>
      <c r="D153" s="1070"/>
      <c r="E153" s="1070"/>
      <c r="F153" s="1070"/>
      <c r="G153" s="1070"/>
      <c r="H153" s="1070"/>
      <c r="I153" s="1070"/>
      <c r="J153" s="1070"/>
      <c r="K153" s="1070"/>
      <c r="L153" s="1070"/>
      <c r="M153" s="1070"/>
      <c r="N153" s="1070"/>
      <c r="O153" s="1070"/>
      <c r="P153" s="1070"/>
      <c r="Q153" s="1070"/>
      <c r="R153" s="1070"/>
      <c r="S153" s="1070"/>
      <c r="T153" s="1070"/>
      <c r="U153" s="1070"/>
      <c r="V153" s="1070"/>
      <c r="W153" s="1070"/>
      <c r="X153" s="1070"/>
      <c r="Y153" s="1070"/>
      <c r="Z153" s="1070"/>
      <c r="AA153" s="1070"/>
      <c r="AB153" s="1070"/>
      <c r="AC153" s="1070"/>
      <c r="AD153" s="1070"/>
      <c r="AE153" s="1070"/>
      <c r="AF153" s="1070"/>
      <c r="AG153" s="1070"/>
      <c r="AH153" s="1070"/>
      <c r="AI153" s="1070"/>
      <c r="AJ153" s="1070"/>
      <c r="AK153" s="1070"/>
      <c r="AL153" s="1070"/>
      <c r="AM153" s="1070"/>
      <c r="AN153" s="1070"/>
      <c r="AO153" s="1070"/>
      <c r="AP153" s="1070"/>
      <c r="AQ153" s="1070"/>
      <c r="AR153" s="1070"/>
      <c r="AS153" s="1070"/>
      <c r="AT153" s="1070"/>
      <c r="AU153" s="1070"/>
      <c r="AV153" s="1070"/>
      <c r="AW153" s="1070"/>
      <c r="AX153" s="1070"/>
      <c r="AY153" s="1070"/>
      <c r="AZ153" s="1070"/>
      <c r="BA153" s="1070"/>
      <c r="BB153" s="1070"/>
      <c r="BC153" s="1070"/>
      <c r="BD153" s="1070"/>
      <c r="BE153" s="1070"/>
      <c r="BF153" s="1070"/>
      <c r="BG153" s="1070"/>
      <c r="BH153" s="1070"/>
      <c r="BI153" s="1070"/>
      <c r="BJ153" s="1070"/>
      <c r="BK153" s="1070"/>
      <c r="BL153" s="1070"/>
      <c r="BM153" s="1070"/>
      <c r="BN153" s="1070"/>
      <c r="BO153" s="1070"/>
      <c r="BP153" s="1070"/>
      <c r="BQ153" s="1070"/>
      <c r="BR153" s="1070"/>
      <c r="BS153" s="1070"/>
      <c r="BT153" s="1070"/>
      <c r="BU153" s="1070"/>
      <c r="BV153" s="1070"/>
      <c r="BW153" s="1526"/>
      <c r="BX153" s="1526"/>
    </row>
    <row r="154" spans="1:76" ht="15" thickBot="1" x14ac:dyDescent="0.35">
      <c r="A154" s="1070"/>
      <c r="B154" s="1070"/>
      <c r="C154" s="1070"/>
      <c r="D154" s="1070"/>
      <c r="E154" s="1070"/>
      <c r="F154" s="1070"/>
      <c r="G154" s="1070"/>
      <c r="H154" s="1070"/>
      <c r="I154" s="1070"/>
      <c r="J154" s="1070"/>
      <c r="K154" s="1070"/>
      <c r="L154" s="1070"/>
      <c r="M154" s="1070"/>
      <c r="N154" s="1070"/>
      <c r="O154" s="1070"/>
      <c r="P154" s="1070"/>
      <c r="Q154" s="1070"/>
      <c r="R154" s="1070"/>
      <c r="S154" s="1070"/>
      <c r="T154" s="1070"/>
      <c r="U154" s="1070"/>
      <c r="V154" s="1070"/>
      <c r="W154" s="1070"/>
      <c r="X154" s="1070"/>
      <c r="Y154" s="1070"/>
      <c r="Z154" s="1070"/>
      <c r="AA154" s="1070"/>
      <c r="AB154" s="1070"/>
      <c r="AC154" s="1070"/>
      <c r="AD154" s="1070"/>
      <c r="AE154" s="1070"/>
      <c r="AF154" s="1070"/>
      <c r="AG154" s="1070"/>
      <c r="AH154" s="1070"/>
      <c r="AI154" s="1070"/>
      <c r="AJ154" s="1070"/>
      <c r="AK154" s="1070"/>
      <c r="AL154" s="1070"/>
      <c r="AM154" s="1070"/>
      <c r="AN154" s="1070"/>
      <c r="AO154" s="1070"/>
      <c r="AP154" s="1070"/>
      <c r="AQ154" s="1070"/>
      <c r="AR154" s="1070"/>
      <c r="AS154" s="1070"/>
      <c r="AT154" s="1070"/>
      <c r="AU154" s="1070"/>
      <c r="AV154" s="1070"/>
      <c r="AW154" s="1070"/>
      <c r="AX154" s="1070"/>
      <c r="AY154" s="1070"/>
      <c r="AZ154" s="1070"/>
      <c r="BA154" s="1070"/>
      <c r="BB154" s="1070"/>
      <c r="BC154" s="1070"/>
      <c r="BD154" s="1070"/>
      <c r="BE154" s="1070"/>
      <c r="BF154" s="1070"/>
      <c r="BG154" s="1070"/>
      <c r="BH154" s="1070"/>
      <c r="BI154" s="1070"/>
      <c r="BJ154" s="1070"/>
      <c r="BK154" s="1070"/>
      <c r="BL154" s="1070"/>
      <c r="BM154" s="1070"/>
      <c r="BN154" s="1070"/>
      <c r="BO154" s="1070"/>
      <c r="BP154" s="1070"/>
      <c r="BQ154" s="1070"/>
      <c r="BR154" s="1070"/>
      <c r="BS154" s="1070"/>
      <c r="BT154" s="1070"/>
      <c r="BU154" s="1070"/>
      <c r="BV154" s="1070"/>
      <c r="BW154" s="1526"/>
      <c r="BX154" s="1526"/>
    </row>
    <row r="155" spans="1:76" x14ac:dyDescent="0.3">
      <c r="A155" s="1517"/>
      <c r="B155" s="1518" t="s">
        <v>1427</v>
      </c>
      <c r="C155" s="1519"/>
      <c r="D155" s="1520"/>
      <c r="E155" s="1521"/>
      <c r="F155" s="1522"/>
      <c r="G155" s="1522"/>
      <c r="H155" s="1522"/>
      <c r="I155" s="1522"/>
      <c r="J155" s="1522"/>
      <c r="K155" s="1523"/>
      <c r="L155" s="1523"/>
      <c r="M155" s="1524"/>
      <c r="N155" s="1524"/>
      <c r="O155" s="1524"/>
      <c r="P155" s="1522"/>
      <c r="Q155" s="1522"/>
      <c r="R155" s="1522"/>
      <c r="S155" s="1522"/>
      <c r="T155" s="1522"/>
      <c r="U155" s="1522"/>
      <c r="V155" s="1522"/>
      <c r="W155" s="1522"/>
      <c r="X155" s="1522"/>
      <c r="Y155" s="1522"/>
      <c r="Z155" s="1522"/>
      <c r="AA155" s="1522"/>
      <c r="AB155" s="1522"/>
      <c r="AC155" s="1522"/>
      <c r="AD155" s="1522"/>
      <c r="AE155" s="1522"/>
      <c r="AF155" s="1522"/>
      <c r="AG155" s="1522"/>
      <c r="AH155" s="1522"/>
      <c r="AI155" s="1522"/>
      <c r="AJ155" s="1472"/>
      <c r="AK155" s="1472"/>
      <c r="AL155" s="1472"/>
      <c r="AM155" s="1472"/>
      <c r="AN155" s="1472"/>
      <c r="AO155" s="1525"/>
      <c r="AP155" s="1472"/>
      <c r="AQ155" s="1472"/>
      <c r="AR155" s="1472"/>
      <c r="AS155" s="1472"/>
      <c r="AT155" s="1472"/>
      <c r="AU155" s="1472"/>
      <c r="AV155" s="1472"/>
      <c r="AW155" s="1472"/>
      <c r="AX155" s="1472"/>
      <c r="AY155" s="1472"/>
      <c r="AZ155" s="1472"/>
      <c r="BA155" s="1472"/>
      <c r="BB155" s="1472"/>
      <c r="BC155" s="1472"/>
      <c r="BD155" s="1472"/>
      <c r="BE155" s="1472"/>
      <c r="BF155" s="1472"/>
      <c r="BG155" s="1472"/>
      <c r="BH155" s="1472"/>
      <c r="BI155" s="1472"/>
      <c r="BJ155" s="1472"/>
      <c r="BK155" s="1472"/>
      <c r="BL155" s="1472"/>
      <c r="BM155" s="1472"/>
      <c r="BN155" s="1472"/>
      <c r="BO155" s="1472"/>
      <c r="BP155" s="1472"/>
      <c r="BQ155" s="1472"/>
      <c r="BR155" s="1472"/>
      <c r="BS155" s="1472"/>
      <c r="BT155" s="1472"/>
      <c r="BU155" s="1473"/>
      <c r="BV155" s="1070"/>
      <c r="BW155" s="1526"/>
      <c r="BX155" s="1526"/>
    </row>
    <row r="156" spans="1:76" hidden="1" outlineLevel="1" x14ac:dyDescent="0.3">
      <c r="A156" s="1527"/>
      <c r="B156" s="1142"/>
      <c r="C156" s="1142"/>
      <c r="D156" s="1352"/>
      <c r="E156" s="1528"/>
      <c r="F156" s="1529"/>
      <c r="G156" s="1070"/>
      <c r="H156" s="1070"/>
      <c r="I156" s="1070"/>
      <c r="J156" s="1530"/>
      <c r="K156" s="1530"/>
      <c r="L156" s="1530"/>
      <c r="M156" s="1531"/>
      <c r="N156" s="1532"/>
      <c r="O156" s="1531"/>
      <c r="P156" s="1529"/>
      <c r="Q156" s="1529"/>
      <c r="R156" s="1529"/>
      <c r="S156" s="1529"/>
      <c r="T156" s="1529"/>
      <c r="U156" s="1529"/>
      <c r="V156" s="1529"/>
      <c r="W156" s="1529"/>
      <c r="X156" s="1529"/>
      <c r="Y156" s="1529"/>
      <c r="Z156" s="1529"/>
      <c r="AA156" s="1529"/>
      <c r="AB156" s="1529"/>
      <c r="AC156" s="1529"/>
      <c r="AD156" s="1529"/>
      <c r="AE156" s="1529"/>
      <c r="AF156" s="1529"/>
      <c r="AG156" s="1529"/>
      <c r="AH156" s="1529"/>
      <c r="AI156" s="1529"/>
      <c r="AJ156" s="1142"/>
      <c r="AK156" s="1142"/>
      <c r="AL156" s="1142"/>
      <c r="AM156" s="1142"/>
      <c r="AN156" s="1142"/>
      <c r="AO156" s="1149"/>
      <c r="AP156" s="1142"/>
      <c r="AQ156" s="1142"/>
      <c r="AR156" s="1142"/>
      <c r="AS156" s="1142"/>
      <c r="AT156" s="1142"/>
      <c r="AU156" s="1142"/>
      <c r="AV156" s="1142"/>
      <c r="AW156" s="1142"/>
      <c r="AX156" s="1142"/>
      <c r="AY156" s="1142"/>
      <c r="AZ156" s="1142"/>
      <c r="BA156" s="1142"/>
      <c r="BB156" s="1142"/>
      <c r="BC156" s="1142"/>
      <c r="BD156" s="1142"/>
      <c r="BE156" s="1142"/>
      <c r="BF156" s="1142"/>
      <c r="BG156" s="1142"/>
      <c r="BH156" s="1142"/>
      <c r="BI156" s="1142"/>
      <c r="BJ156" s="1142"/>
      <c r="BK156" s="1142"/>
      <c r="BL156" s="1142"/>
      <c r="BM156" s="1142"/>
      <c r="BN156" s="1142"/>
      <c r="BO156" s="1142"/>
      <c r="BP156" s="1142"/>
      <c r="BQ156" s="1142"/>
      <c r="BR156" s="1142"/>
      <c r="BS156" s="1142"/>
      <c r="BT156" s="1142"/>
      <c r="BU156" s="1478"/>
      <c r="BV156" s="1070"/>
      <c r="BW156" s="1526"/>
      <c r="BX156" s="1526"/>
    </row>
    <row r="157" spans="1:76" s="1236" customFormat="1" hidden="1" outlineLevel="1" x14ac:dyDescent="0.3">
      <c r="A157" s="1474"/>
      <c r="B157" s="1479" t="s">
        <v>1362</v>
      </c>
      <c r="C157" s="1159"/>
      <c r="D157" s="1322"/>
      <c r="E157" s="1323"/>
      <c r="F157" s="1533"/>
      <c r="G157" s="1534" t="s">
        <v>1363</v>
      </c>
      <c r="H157" s="1534" t="s">
        <v>1364</v>
      </c>
      <c r="I157" s="1533"/>
      <c r="J157" s="1533"/>
      <c r="K157" s="1533"/>
      <c r="L157" s="1533"/>
      <c r="M157" s="1533"/>
      <c r="N157" s="1535"/>
      <c r="O157" s="1535"/>
      <c r="P157" s="1535"/>
      <c r="Q157" s="1535"/>
      <c r="R157" s="1535"/>
      <c r="S157" s="1535"/>
      <c r="T157" s="1535"/>
      <c r="U157" s="1535"/>
      <c r="V157" s="1535"/>
      <c r="W157" s="1535"/>
      <c r="X157" s="1535"/>
      <c r="Y157" s="1535"/>
      <c r="Z157" s="1535"/>
      <c r="AA157" s="1535"/>
      <c r="AB157" s="1535"/>
      <c r="AC157" s="1535"/>
      <c r="AD157" s="1535"/>
      <c r="AE157" s="1535"/>
      <c r="AF157" s="1535"/>
      <c r="AG157" s="1535"/>
      <c r="AH157" s="1535"/>
      <c r="AI157" s="1535"/>
      <c r="AJ157" s="1186"/>
      <c r="AK157" s="1142"/>
      <c r="AL157" s="1142"/>
      <c r="AM157" s="1142"/>
      <c r="AN157" s="1142"/>
      <c r="AO157" s="1149"/>
      <c r="AP157" s="1142"/>
      <c r="AQ157" s="1479" t="s">
        <v>1365</v>
      </c>
      <c r="AR157" s="1533"/>
      <c r="AS157" s="1533"/>
      <c r="AT157" s="1533"/>
      <c r="AU157" s="1533"/>
      <c r="AV157" s="1533"/>
      <c r="AW157" s="1533"/>
      <c r="AX157" s="1535"/>
      <c r="AY157" s="1535"/>
      <c r="AZ157" s="1535"/>
      <c r="BA157" s="1535"/>
      <c r="BB157" s="1535"/>
      <c r="BC157" s="1535"/>
      <c r="BD157" s="1535"/>
      <c r="BE157" s="1535"/>
      <c r="BF157" s="1535"/>
      <c r="BG157" s="1535"/>
      <c r="BH157" s="1535"/>
      <c r="BI157" s="1535"/>
      <c r="BJ157" s="1535"/>
      <c r="BK157" s="1535"/>
      <c r="BL157" s="1535"/>
      <c r="BM157" s="1535"/>
      <c r="BN157" s="1535"/>
      <c r="BO157" s="1535"/>
      <c r="BP157" s="1535"/>
      <c r="BQ157" s="1535"/>
      <c r="BR157" s="1535"/>
      <c r="BS157" s="1535"/>
      <c r="BT157" s="1186"/>
      <c r="BU157" s="1550"/>
      <c r="BV157" s="1082"/>
      <c r="BW157" s="1552"/>
      <c r="BX157" s="1552"/>
    </row>
    <row r="158" spans="1:76" s="1236" customFormat="1" hidden="1" outlineLevel="1" x14ac:dyDescent="0.3">
      <c r="A158" s="1474"/>
      <c r="B158" s="1149"/>
      <c r="C158" s="1536"/>
      <c r="D158" s="1352"/>
      <c r="E158" s="1528"/>
      <c r="F158" s="1537"/>
      <c r="G158" s="1538">
        <v>15</v>
      </c>
      <c r="H158" s="1539">
        <v>16</v>
      </c>
      <c r="I158" s="1539">
        <v>17</v>
      </c>
      <c r="J158" s="1539">
        <v>18</v>
      </c>
      <c r="K158" s="1539">
        <v>19</v>
      </c>
      <c r="L158" s="1539">
        <v>20</v>
      </c>
      <c r="M158" s="1539">
        <v>21</v>
      </c>
      <c r="N158" s="1539">
        <v>22</v>
      </c>
      <c r="O158" s="1539">
        <v>23</v>
      </c>
      <c r="P158" s="1539">
        <v>24</v>
      </c>
      <c r="Q158" s="1539">
        <v>25</v>
      </c>
      <c r="R158" s="1539">
        <v>26</v>
      </c>
      <c r="S158" s="1539">
        <v>27</v>
      </c>
      <c r="T158" s="1539">
        <v>28</v>
      </c>
      <c r="U158" s="1539">
        <v>29</v>
      </c>
      <c r="V158" s="1539">
        <v>30</v>
      </c>
      <c r="W158" s="1539">
        <v>31</v>
      </c>
      <c r="X158" s="1539">
        <v>32</v>
      </c>
      <c r="Y158" s="1539">
        <v>33</v>
      </c>
      <c r="Z158" s="1539">
        <v>34</v>
      </c>
      <c r="AA158" s="1539">
        <v>35</v>
      </c>
      <c r="AB158" s="1539">
        <v>36</v>
      </c>
      <c r="AC158" s="1539">
        <v>37</v>
      </c>
      <c r="AD158" s="1539">
        <v>38</v>
      </c>
      <c r="AE158" s="1539">
        <v>39</v>
      </c>
      <c r="AF158" s="1539">
        <v>40</v>
      </c>
      <c r="AG158" s="1539">
        <v>41</v>
      </c>
      <c r="AH158" s="1539">
        <v>42</v>
      </c>
      <c r="AI158" s="1540">
        <v>43</v>
      </c>
      <c r="AJ158" s="1541" t="str">
        <f>"FY"&amp;CurrentFY&amp;"-"&amp;CurrentFY+9</f>
        <v>FY18-27</v>
      </c>
      <c r="AK158" s="1142"/>
      <c r="AL158" s="1142"/>
      <c r="AM158" s="1142"/>
      <c r="AN158" s="1142"/>
      <c r="AO158" s="1149"/>
      <c r="AP158" s="1142"/>
      <c r="AQ158" s="1542">
        <v>15</v>
      </c>
      <c r="AR158" s="1539">
        <v>16</v>
      </c>
      <c r="AS158" s="1539">
        <v>17</v>
      </c>
      <c r="AT158" s="1539">
        <v>18</v>
      </c>
      <c r="AU158" s="1539">
        <v>19</v>
      </c>
      <c r="AV158" s="1539">
        <v>20</v>
      </c>
      <c r="AW158" s="1539">
        <v>21</v>
      </c>
      <c r="AX158" s="1539">
        <v>22</v>
      </c>
      <c r="AY158" s="1539">
        <v>23</v>
      </c>
      <c r="AZ158" s="1539">
        <v>24</v>
      </c>
      <c r="BA158" s="1539">
        <v>25</v>
      </c>
      <c r="BB158" s="1539">
        <v>26</v>
      </c>
      <c r="BC158" s="1539">
        <v>27</v>
      </c>
      <c r="BD158" s="1539">
        <v>28</v>
      </c>
      <c r="BE158" s="1539">
        <v>29</v>
      </c>
      <c r="BF158" s="1539">
        <v>30</v>
      </c>
      <c r="BG158" s="1539">
        <v>31</v>
      </c>
      <c r="BH158" s="1539">
        <v>32</v>
      </c>
      <c r="BI158" s="1539">
        <v>33</v>
      </c>
      <c r="BJ158" s="1539">
        <v>34</v>
      </c>
      <c r="BK158" s="1539">
        <v>35</v>
      </c>
      <c r="BL158" s="1539">
        <v>36</v>
      </c>
      <c r="BM158" s="1539">
        <v>37</v>
      </c>
      <c r="BN158" s="1539">
        <v>38</v>
      </c>
      <c r="BO158" s="1539">
        <v>39</v>
      </c>
      <c r="BP158" s="1539">
        <v>40</v>
      </c>
      <c r="BQ158" s="1539">
        <v>41</v>
      </c>
      <c r="BR158" s="1539">
        <v>42</v>
      </c>
      <c r="BS158" s="1540">
        <v>43</v>
      </c>
      <c r="BT158" s="1541" t="str">
        <f>"FY"&amp;CurrentFY&amp;"-"&amp;CurrentFY+14</f>
        <v>FY18-32</v>
      </c>
      <c r="BU158" s="1550"/>
      <c r="BV158" s="1082"/>
      <c r="BW158" s="1552"/>
      <c r="BX158" s="1552"/>
    </row>
    <row r="159" spans="1:76" s="1236" customFormat="1" hidden="1" outlineLevel="1" x14ac:dyDescent="0.3">
      <c r="A159" s="1474"/>
      <c r="B159" s="1543" t="s">
        <v>690</v>
      </c>
      <c r="C159" s="1491"/>
      <c r="D159" s="1352"/>
      <c r="E159" s="1267"/>
      <c r="F159" s="1544"/>
      <c r="G159" s="1545" t="e">
        <f t="shared" ref="G159:AI159" si="92">-IF(AND(G171=1,G172=1),(G179/(1+DiscR)^G$174)-(G180/(1+DiscR)^G$174),0)</f>
        <v>#VALUE!</v>
      </c>
      <c r="H159" s="1546" t="e">
        <f t="shared" si="92"/>
        <v>#VALUE!</v>
      </c>
      <c r="I159" s="1546" t="e">
        <f t="shared" si="92"/>
        <v>#VALUE!</v>
      </c>
      <c r="J159" s="1546" t="e">
        <f t="shared" si="92"/>
        <v>#VALUE!</v>
      </c>
      <c r="K159" s="1546" t="e">
        <f t="shared" si="92"/>
        <v>#VALUE!</v>
      </c>
      <c r="L159" s="1546" t="e">
        <f t="shared" si="92"/>
        <v>#VALUE!</v>
      </c>
      <c r="M159" s="1546" t="e">
        <f t="shared" si="92"/>
        <v>#VALUE!</v>
      </c>
      <c r="N159" s="1546" t="e">
        <f t="shared" si="92"/>
        <v>#VALUE!</v>
      </c>
      <c r="O159" s="1546" t="e">
        <f t="shared" si="92"/>
        <v>#VALUE!</v>
      </c>
      <c r="P159" s="1546" t="e">
        <f t="shared" si="92"/>
        <v>#VALUE!</v>
      </c>
      <c r="Q159" s="1546" t="e">
        <f t="shared" si="92"/>
        <v>#VALUE!</v>
      </c>
      <c r="R159" s="1546" t="e">
        <f t="shared" si="92"/>
        <v>#VALUE!</v>
      </c>
      <c r="S159" s="1546" t="e">
        <f t="shared" si="92"/>
        <v>#VALUE!</v>
      </c>
      <c r="T159" s="1546" t="e">
        <f t="shared" si="92"/>
        <v>#VALUE!</v>
      </c>
      <c r="U159" s="1546" t="e">
        <f t="shared" si="92"/>
        <v>#VALUE!</v>
      </c>
      <c r="V159" s="1546" t="e">
        <f t="shared" si="92"/>
        <v>#VALUE!</v>
      </c>
      <c r="W159" s="1546" t="e">
        <f t="shared" si="92"/>
        <v>#VALUE!</v>
      </c>
      <c r="X159" s="1546" t="e">
        <f t="shared" si="92"/>
        <v>#VALUE!</v>
      </c>
      <c r="Y159" s="1546" t="e">
        <f t="shared" si="92"/>
        <v>#VALUE!</v>
      </c>
      <c r="Z159" s="1546" t="e">
        <f t="shared" si="92"/>
        <v>#VALUE!</v>
      </c>
      <c r="AA159" s="1546" t="e">
        <f t="shared" si="92"/>
        <v>#VALUE!</v>
      </c>
      <c r="AB159" s="1546" t="e">
        <f t="shared" si="92"/>
        <v>#VALUE!</v>
      </c>
      <c r="AC159" s="1546" t="e">
        <f t="shared" si="92"/>
        <v>#VALUE!</v>
      </c>
      <c r="AD159" s="1546" t="e">
        <f t="shared" si="92"/>
        <v>#VALUE!</v>
      </c>
      <c r="AE159" s="1546" t="e">
        <f t="shared" si="92"/>
        <v>#VALUE!</v>
      </c>
      <c r="AF159" s="1546" t="e">
        <f t="shared" si="92"/>
        <v>#VALUE!</v>
      </c>
      <c r="AG159" s="1546" t="e">
        <f t="shared" si="92"/>
        <v>#VALUE!</v>
      </c>
      <c r="AH159" s="1546" t="e">
        <f t="shared" si="92"/>
        <v>#VALUE!</v>
      </c>
      <c r="AI159" s="1546" t="e">
        <f t="shared" si="92"/>
        <v>#VALUE!</v>
      </c>
      <c r="AJ159" s="1547">
        <f t="shared" ref="AJ159:AJ165" si="93">SUMIF($G$173:$AI$173,TRUE,G159:AI159)</f>
        <v>0</v>
      </c>
      <c r="AK159" s="1116"/>
      <c r="AL159" s="1116"/>
      <c r="AM159" s="1116"/>
      <c r="AN159" s="1116"/>
      <c r="AO159" s="1207"/>
      <c r="AP159" s="1116"/>
      <c r="AQ159" s="1548" t="e">
        <f t="shared" ref="AQ159:BS159" si="94">-IF(AND(G171=1,G172=1),(G179/(1+DiscR)^G$174)-(G180/(1+DiscR)^G$174),0)</f>
        <v>#VALUE!</v>
      </c>
      <c r="AR159" s="1546" t="e">
        <f t="shared" si="94"/>
        <v>#VALUE!</v>
      </c>
      <c r="AS159" s="1546" t="e">
        <f t="shared" si="94"/>
        <v>#VALUE!</v>
      </c>
      <c r="AT159" s="1546" t="e">
        <f t="shared" si="94"/>
        <v>#VALUE!</v>
      </c>
      <c r="AU159" s="1546" t="e">
        <f t="shared" si="94"/>
        <v>#VALUE!</v>
      </c>
      <c r="AV159" s="1546" t="e">
        <f t="shared" si="94"/>
        <v>#VALUE!</v>
      </c>
      <c r="AW159" s="1546" t="e">
        <f t="shared" si="94"/>
        <v>#VALUE!</v>
      </c>
      <c r="AX159" s="1546" t="e">
        <f t="shared" si="94"/>
        <v>#VALUE!</v>
      </c>
      <c r="AY159" s="1546" t="e">
        <f t="shared" si="94"/>
        <v>#VALUE!</v>
      </c>
      <c r="AZ159" s="1546" t="e">
        <f t="shared" si="94"/>
        <v>#VALUE!</v>
      </c>
      <c r="BA159" s="1546" t="e">
        <f t="shared" si="94"/>
        <v>#VALUE!</v>
      </c>
      <c r="BB159" s="1546" t="e">
        <f t="shared" si="94"/>
        <v>#VALUE!</v>
      </c>
      <c r="BC159" s="1546" t="e">
        <f t="shared" si="94"/>
        <v>#VALUE!</v>
      </c>
      <c r="BD159" s="1546" t="e">
        <f t="shared" si="94"/>
        <v>#VALUE!</v>
      </c>
      <c r="BE159" s="1546" t="e">
        <f t="shared" si="94"/>
        <v>#VALUE!</v>
      </c>
      <c r="BF159" s="1546" t="e">
        <f t="shared" si="94"/>
        <v>#VALUE!</v>
      </c>
      <c r="BG159" s="1546" t="e">
        <f t="shared" si="94"/>
        <v>#VALUE!</v>
      </c>
      <c r="BH159" s="1546" t="e">
        <f t="shared" si="94"/>
        <v>#VALUE!</v>
      </c>
      <c r="BI159" s="1546" t="e">
        <f t="shared" si="94"/>
        <v>#VALUE!</v>
      </c>
      <c r="BJ159" s="1546" t="e">
        <f t="shared" si="94"/>
        <v>#VALUE!</v>
      </c>
      <c r="BK159" s="1546" t="e">
        <f t="shared" si="94"/>
        <v>#VALUE!</v>
      </c>
      <c r="BL159" s="1546" t="e">
        <f t="shared" si="94"/>
        <v>#VALUE!</v>
      </c>
      <c r="BM159" s="1546" t="e">
        <f t="shared" si="94"/>
        <v>#VALUE!</v>
      </c>
      <c r="BN159" s="1546" t="e">
        <f t="shared" si="94"/>
        <v>#VALUE!</v>
      </c>
      <c r="BO159" s="1546" t="e">
        <f t="shared" si="94"/>
        <v>#VALUE!</v>
      </c>
      <c r="BP159" s="1546" t="e">
        <f t="shared" si="94"/>
        <v>#VALUE!</v>
      </c>
      <c r="BQ159" s="1546" t="e">
        <f t="shared" si="94"/>
        <v>#VALUE!</v>
      </c>
      <c r="BR159" s="1546" t="e">
        <f t="shared" si="94"/>
        <v>#VALUE!</v>
      </c>
      <c r="BS159" s="1546" t="e">
        <f t="shared" si="94"/>
        <v>#VALUE!</v>
      </c>
      <c r="BT159" s="1547">
        <f t="shared" ref="BT159:BT165" si="95">SUMIF($AQ$173:$BS$173,TRUE,AQ159:BS159)</f>
        <v>0</v>
      </c>
      <c r="BU159" s="1550"/>
      <c r="BV159" s="1082"/>
      <c r="BW159" s="1552"/>
      <c r="BX159" s="1552"/>
    </row>
    <row r="160" spans="1:76" s="1236" customFormat="1" hidden="1" outlineLevel="1" x14ac:dyDescent="0.3">
      <c r="A160" s="1474"/>
      <c r="B160" s="1543" t="s">
        <v>446</v>
      </c>
      <c r="C160" s="1491"/>
      <c r="D160" s="1352"/>
      <c r="E160" s="1267"/>
      <c r="F160" s="1544"/>
      <c r="G160" s="1545" t="e">
        <f t="shared" ref="G160:AI160" si="96">-IF(AND(G171=1,G172=1),(G181/(1+DiscR)^G$174)-(G182/(1+DiscR)^G$174),0)</f>
        <v>#VALUE!</v>
      </c>
      <c r="H160" s="1546" t="e">
        <f t="shared" si="96"/>
        <v>#VALUE!</v>
      </c>
      <c r="I160" s="1546" t="e">
        <f t="shared" si="96"/>
        <v>#VALUE!</v>
      </c>
      <c r="J160" s="1546" t="e">
        <f t="shared" si="96"/>
        <v>#VALUE!</v>
      </c>
      <c r="K160" s="1546" t="e">
        <f t="shared" si="96"/>
        <v>#VALUE!</v>
      </c>
      <c r="L160" s="1546" t="e">
        <f t="shared" si="96"/>
        <v>#VALUE!</v>
      </c>
      <c r="M160" s="1546" t="e">
        <f t="shared" si="96"/>
        <v>#VALUE!</v>
      </c>
      <c r="N160" s="1546" t="e">
        <f t="shared" si="96"/>
        <v>#VALUE!</v>
      </c>
      <c r="O160" s="1546" t="e">
        <f t="shared" si="96"/>
        <v>#VALUE!</v>
      </c>
      <c r="P160" s="1546" t="e">
        <f t="shared" si="96"/>
        <v>#VALUE!</v>
      </c>
      <c r="Q160" s="1546" t="e">
        <f t="shared" si="96"/>
        <v>#VALUE!</v>
      </c>
      <c r="R160" s="1546" t="e">
        <f t="shared" si="96"/>
        <v>#VALUE!</v>
      </c>
      <c r="S160" s="1546" t="e">
        <f t="shared" si="96"/>
        <v>#VALUE!</v>
      </c>
      <c r="T160" s="1546" t="e">
        <f t="shared" si="96"/>
        <v>#VALUE!</v>
      </c>
      <c r="U160" s="1546" t="e">
        <f t="shared" si="96"/>
        <v>#VALUE!</v>
      </c>
      <c r="V160" s="1546" t="e">
        <f t="shared" si="96"/>
        <v>#VALUE!</v>
      </c>
      <c r="W160" s="1546" t="e">
        <f t="shared" si="96"/>
        <v>#VALUE!</v>
      </c>
      <c r="X160" s="1546" t="e">
        <f t="shared" si="96"/>
        <v>#VALUE!</v>
      </c>
      <c r="Y160" s="1546" t="e">
        <f t="shared" si="96"/>
        <v>#VALUE!</v>
      </c>
      <c r="Z160" s="1546" t="e">
        <f t="shared" si="96"/>
        <v>#VALUE!</v>
      </c>
      <c r="AA160" s="1546" t="e">
        <f t="shared" si="96"/>
        <v>#VALUE!</v>
      </c>
      <c r="AB160" s="1546" t="e">
        <f t="shared" si="96"/>
        <v>#VALUE!</v>
      </c>
      <c r="AC160" s="1546" t="e">
        <f t="shared" si="96"/>
        <v>#VALUE!</v>
      </c>
      <c r="AD160" s="1546" t="e">
        <f t="shared" si="96"/>
        <v>#VALUE!</v>
      </c>
      <c r="AE160" s="1546" t="e">
        <f t="shared" si="96"/>
        <v>#VALUE!</v>
      </c>
      <c r="AF160" s="1546" t="e">
        <f t="shared" si="96"/>
        <v>#VALUE!</v>
      </c>
      <c r="AG160" s="1546" t="e">
        <f t="shared" si="96"/>
        <v>#VALUE!</v>
      </c>
      <c r="AH160" s="1546" t="e">
        <f t="shared" si="96"/>
        <v>#VALUE!</v>
      </c>
      <c r="AI160" s="1546" t="e">
        <f t="shared" si="96"/>
        <v>#VALUE!</v>
      </c>
      <c r="AJ160" s="1547">
        <f t="shared" si="93"/>
        <v>0</v>
      </c>
      <c r="AK160" s="1116"/>
      <c r="AL160" s="1116"/>
      <c r="AM160" s="1116"/>
      <c r="AN160" s="1116"/>
      <c r="AO160" s="1207"/>
      <c r="AP160" s="1116"/>
      <c r="AQ160" s="1548" t="e">
        <f t="shared" ref="AQ160:BS160" si="97">-IF(AND(G171=1,G172=1),(G181/(1+DiscR)^G$174)-(G182/(1+DiscR)^G$174),0)</f>
        <v>#VALUE!</v>
      </c>
      <c r="AR160" s="1546" t="e">
        <f t="shared" si="97"/>
        <v>#VALUE!</v>
      </c>
      <c r="AS160" s="1546" t="e">
        <f t="shared" si="97"/>
        <v>#VALUE!</v>
      </c>
      <c r="AT160" s="1546" t="e">
        <f t="shared" si="97"/>
        <v>#VALUE!</v>
      </c>
      <c r="AU160" s="1546" t="e">
        <f t="shared" si="97"/>
        <v>#VALUE!</v>
      </c>
      <c r="AV160" s="1546" t="e">
        <f t="shared" si="97"/>
        <v>#VALUE!</v>
      </c>
      <c r="AW160" s="1546" t="e">
        <f t="shared" si="97"/>
        <v>#VALUE!</v>
      </c>
      <c r="AX160" s="1546" t="e">
        <f t="shared" si="97"/>
        <v>#VALUE!</v>
      </c>
      <c r="AY160" s="1546" t="e">
        <f t="shared" si="97"/>
        <v>#VALUE!</v>
      </c>
      <c r="AZ160" s="1546" t="e">
        <f t="shared" si="97"/>
        <v>#VALUE!</v>
      </c>
      <c r="BA160" s="1546" t="e">
        <f t="shared" si="97"/>
        <v>#VALUE!</v>
      </c>
      <c r="BB160" s="1546" t="e">
        <f t="shared" si="97"/>
        <v>#VALUE!</v>
      </c>
      <c r="BC160" s="1546" t="e">
        <f t="shared" si="97"/>
        <v>#VALUE!</v>
      </c>
      <c r="BD160" s="1546" t="e">
        <f t="shared" si="97"/>
        <v>#VALUE!</v>
      </c>
      <c r="BE160" s="1546" t="e">
        <f t="shared" si="97"/>
        <v>#VALUE!</v>
      </c>
      <c r="BF160" s="1546" t="e">
        <f t="shared" si="97"/>
        <v>#VALUE!</v>
      </c>
      <c r="BG160" s="1546" t="e">
        <f t="shared" si="97"/>
        <v>#VALUE!</v>
      </c>
      <c r="BH160" s="1546" t="e">
        <f t="shared" si="97"/>
        <v>#VALUE!</v>
      </c>
      <c r="BI160" s="1546" t="e">
        <f t="shared" si="97"/>
        <v>#VALUE!</v>
      </c>
      <c r="BJ160" s="1546" t="e">
        <f t="shared" si="97"/>
        <v>#VALUE!</v>
      </c>
      <c r="BK160" s="1546" t="e">
        <f t="shared" si="97"/>
        <v>#VALUE!</v>
      </c>
      <c r="BL160" s="1546" t="e">
        <f t="shared" si="97"/>
        <v>#VALUE!</v>
      </c>
      <c r="BM160" s="1546" t="e">
        <f t="shared" si="97"/>
        <v>#VALUE!</v>
      </c>
      <c r="BN160" s="1546" t="e">
        <f t="shared" si="97"/>
        <v>#VALUE!</v>
      </c>
      <c r="BO160" s="1546" t="e">
        <f t="shared" si="97"/>
        <v>#VALUE!</v>
      </c>
      <c r="BP160" s="1546" t="e">
        <f t="shared" si="97"/>
        <v>#VALUE!</v>
      </c>
      <c r="BQ160" s="1546" t="e">
        <f t="shared" si="97"/>
        <v>#VALUE!</v>
      </c>
      <c r="BR160" s="1546" t="e">
        <f t="shared" si="97"/>
        <v>#VALUE!</v>
      </c>
      <c r="BS160" s="1546" t="e">
        <f t="shared" si="97"/>
        <v>#VALUE!</v>
      </c>
      <c r="BT160" s="1547">
        <f t="shared" si="95"/>
        <v>0</v>
      </c>
      <c r="BU160" s="1550"/>
      <c r="BV160" s="1082"/>
      <c r="BW160" s="1552"/>
      <c r="BX160" s="1552"/>
    </row>
    <row r="161" spans="1:76" s="1236" customFormat="1" hidden="1" outlineLevel="1" x14ac:dyDescent="0.3">
      <c r="A161" s="1474"/>
      <c r="B161" s="1543" t="s">
        <v>1366</v>
      </c>
      <c r="C161" s="1491"/>
      <c r="D161" s="1352"/>
      <c r="E161" s="1267"/>
      <c r="F161" s="1544"/>
      <c r="G161" s="1545" t="e">
        <f t="shared" ref="G161:AI161" si="98">-IF(AND(G171=1,G172=1),(G183/(1+DiscR)^G$174)-(G184/(1+DiscR)^G$174),0)</f>
        <v>#VALUE!</v>
      </c>
      <c r="H161" s="1546" t="e">
        <f t="shared" si="98"/>
        <v>#VALUE!</v>
      </c>
      <c r="I161" s="1546" t="e">
        <f t="shared" si="98"/>
        <v>#VALUE!</v>
      </c>
      <c r="J161" s="1546" t="e">
        <f t="shared" si="98"/>
        <v>#VALUE!</v>
      </c>
      <c r="K161" s="1546" t="e">
        <f t="shared" si="98"/>
        <v>#VALUE!</v>
      </c>
      <c r="L161" s="1546" t="e">
        <f t="shared" si="98"/>
        <v>#VALUE!</v>
      </c>
      <c r="M161" s="1546" t="e">
        <f t="shared" si="98"/>
        <v>#VALUE!</v>
      </c>
      <c r="N161" s="1546" t="e">
        <f t="shared" si="98"/>
        <v>#VALUE!</v>
      </c>
      <c r="O161" s="1546" t="e">
        <f t="shared" si="98"/>
        <v>#VALUE!</v>
      </c>
      <c r="P161" s="1546" t="e">
        <f t="shared" si="98"/>
        <v>#VALUE!</v>
      </c>
      <c r="Q161" s="1546" t="e">
        <f t="shared" si="98"/>
        <v>#VALUE!</v>
      </c>
      <c r="R161" s="1546" t="e">
        <f t="shared" si="98"/>
        <v>#VALUE!</v>
      </c>
      <c r="S161" s="1546" t="e">
        <f t="shared" si="98"/>
        <v>#VALUE!</v>
      </c>
      <c r="T161" s="1546" t="e">
        <f t="shared" si="98"/>
        <v>#VALUE!</v>
      </c>
      <c r="U161" s="1546" t="e">
        <f t="shared" si="98"/>
        <v>#VALUE!</v>
      </c>
      <c r="V161" s="1546" t="e">
        <f t="shared" si="98"/>
        <v>#VALUE!</v>
      </c>
      <c r="W161" s="1546" t="e">
        <f t="shared" si="98"/>
        <v>#VALUE!</v>
      </c>
      <c r="X161" s="1546" t="e">
        <f t="shared" si="98"/>
        <v>#VALUE!</v>
      </c>
      <c r="Y161" s="1546" t="e">
        <f t="shared" si="98"/>
        <v>#VALUE!</v>
      </c>
      <c r="Z161" s="1546" t="e">
        <f t="shared" si="98"/>
        <v>#VALUE!</v>
      </c>
      <c r="AA161" s="1546" t="e">
        <f t="shared" si="98"/>
        <v>#VALUE!</v>
      </c>
      <c r="AB161" s="1546" t="e">
        <f t="shared" si="98"/>
        <v>#VALUE!</v>
      </c>
      <c r="AC161" s="1546" t="e">
        <f t="shared" si="98"/>
        <v>#VALUE!</v>
      </c>
      <c r="AD161" s="1546" t="e">
        <f t="shared" si="98"/>
        <v>#VALUE!</v>
      </c>
      <c r="AE161" s="1546" t="e">
        <f t="shared" si="98"/>
        <v>#VALUE!</v>
      </c>
      <c r="AF161" s="1546" t="e">
        <f t="shared" si="98"/>
        <v>#VALUE!</v>
      </c>
      <c r="AG161" s="1546" t="e">
        <f t="shared" si="98"/>
        <v>#VALUE!</v>
      </c>
      <c r="AH161" s="1546" t="e">
        <f t="shared" si="98"/>
        <v>#VALUE!</v>
      </c>
      <c r="AI161" s="1546" t="e">
        <f t="shared" si="98"/>
        <v>#VALUE!</v>
      </c>
      <c r="AJ161" s="1547">
        <f t="shared" si="93"/>
        <v>0</v>
      </c>
      <c r="AK161" s="1116"/>
      <c r="AL161" s="1116"/>
      <c r="AM161" s="1116"/>
      <c r="AN161" s="1116"/>
      <c r="AO161" s="1207"/>
      <c r="AP161" s="1116"/>
      <c r="AQ161" s="1548" t="e">
        <f t="shared" ref="AQ161:BS161" si="99">-IF(AND(G171=1,G172=1),(G183/(1+DiscR)^G$174)-(G184/(1+DiscR)^G$174),0)</f>
        <v>#VALUE!</v>
      </c>
      <c r="AR161" s="1546" t="e">
        <f t="shared" si="99"/>
        <v>#VALUE!</v>
      </c>
      <c r="AS161" s="1546" t="e">
        <f t="shared" si="99"/>
        <v>#VALUE!</v>
      </c>
      <c r="AT161" s="1546" t="e">
        <f t="shared" si="99"/>
        <v>#VALUE!</v>
      </c>
      <c r="AU161" s="1546" t="e">
        <f t="shared" si="99"/>
        <v>#VALUE!</v>
      </c>
      <c r="AV161" s="1546" t="e">
        <f t="shared" si="99"/>
        <v>#VALUE!</v>
      </c>
      <c r="AW161" s="1546" t="e">
        <f t="shared" si="99"/>
        <v>#VALUE!</v>
      </c>
      <c r="AX161" s="1546" t="e">
        <f t="shared" si="99"/>
        <v>#VALUE!</v>
      </c>
      <c r="AY161" s="1546" t="e">
        <f t="shared" si="99"/>
        <v>#VALUE!</v>
      </c>
      <c r="AZ161" s="1546" t="e">
        <f t="shared" si="99"/>
        <v>#VALUE!</v>
      </c>
      <c r="BA161" s="1546" t="e">
        <f t="shared" si="99"/>
        <v>#VALUE!</v>
      </c>
      <c r="BB161" s="1546" t="e">
        <f t="shared" si="99"/>
        <v>#VALUE!</v>
      </c>
      <c r="BC161" s="1546" t="e">
        <f t="shared" si="99"/>
        <v>#VALUE!</v>
      </c>
      <c r="BD161" s="1546" t="e">
        <f t="shared" si="99"/>
        <v>#VALUE!</v>
      </c>
      <c r="BE161" s="1546" t="e">
        <f t="shared" si="99"/>
        <v>#VALUE!</v>
      </c>
      <c r="BF161" s="1546" t="e">
        <f t="shared" si="99"/>
        <v>#VALUE!</v>
      </c>
      <c r="BG161" s="1546" t="e">
        <f t="shared" si="99"/>
        <v>#VALUE!</v>
      </c>
      <c r="BH161" s="1546" t="e">
        <f t="shared" si="99"/>
        <v>#VALUE!</v>
      </c>
      <c r="BI161" s="1546" t="e">
        <f t="shared" si="99"/>
        <v>#VALUE!</v>
      </c>
      <c r="BJ161" s="1546" t="e">
        <f t="shared" si="99"/>
        <v>#VALUE!</v>
      </c>
      <c r="BK161" s="1546" t="e">
        <f t="shared" si="99"/>
        <v>#VALUE!</v>
      </c>
      <c r="BL161" s="1546" t="e">
        <f t="shared" si="99"/>
        <v>#VALUE!</v>
      </c>
      <c r="BM161" s="1546" t="e">
        <f t="shared" si="99"/>
        <v>#VALUE!</v>
      </c>
      <c r="BN161" s="1546" t="e">
        <f t="shared" si="99"/>
        <v>#VALUE!</v>
      </c>
      <c r="BO161" s="1546" t="e">
        <f t="shared" si="99"/>
        <v>#VALUE!</v>
      </c>
      <c r="BP161" s="1546" t="e">
        <f t="shared" si="99"/>
        <v>#VALUE!</v>
      </c>
      <c r="BQ161" s="1546" t="e">
        <f t="shared" si="99"/>
        <v>#VALUE!</v>
      </c>
      <c r="BR161" s="1546" t="e">
        <f t="shared" si="99"/>
        <v>#VALUE!</v>
      </c>
      <c r="BS161" s="1546" t="e">
        <f t="shared" si="99"/>
        <v>#VALUE!</v>
      </c>
      <c r="BT161" s="1547">
        <f t="shared" si="95"/>
        <v>0</v>
      </c>
      <c r="BU161" s="1550"/>
      <c r="BV161" s="1082"/>
      <c r="BW161" s="1552"/>
      <c r="BX161" s="1552"/>
    </row>
    <row r="162" spans="1:76" s="1236" customFormat="1" hidden="1" outlineLevel="1" x14ac:dyDescent="0.3">
      <c r="A162" s="1474"/>
      <c r="B162" s="1543" t="s">
        <v>1367</v>
      </c>
      <c r="C162" s="1491"/>
      <c r="D162" s="1352"/>
      <c r="E162" s="1267"/>
      <c r="F162" s="1493"/>
      <c r="G162" s="1545" t="e">
        <f>SUM(G159:G161)</f>
        <v>#VALUE!</v>
      </c>
      <c r="H162" s="1546" t="e">
        <f t="shared" ref="H162:AI162" si="100">SUM(H159:H161)</f>
        <v>#VALUE!</v>
      </c>
      <c r="I162" s="1546" t="e">
        <f t="shared" si="100"/>
        <v>#VALUE!</v>
      </c>
      <c r="J162" s="1546" t="e">
        <f t="shared" si="100"/>
        <v>#VALUE!</v>
      </c>
      <c r="K162" s="1546" t="e">
        <f t="shared" si="100"/>
        <v>#VALUE!</v>
      </c>
      <c r="L162" s="1546" t="e">
        <f t="shared" si="100"/>
        <v>#VALUE!</v>
      </c>
      <c r="M162" s="1546" t="e">
        <f t="shared" si="100"/>
        <v>#VALUE!</v>
      </c>
      <c r="N162" s="1546" t="e">
        <f t="shared" si="100"/>
        <v>#VALUE!</v>
      </c>
      <c r="O162" s="1546" t="e">
        <f t="shared" si="100"/>
        <v>#VALUE!</v>
      </c>
      <c r="P162" s="1546" t="e">
        <f t="shared" si="100"/>
        <v>#VALUE!</v>
      </c>
      <c r="Q162" s="1546" t="e">
        <f t="shared" si="100"/>
        <v>#VALUE!</v>
      </c>
      <c r="R162" s="1546" t="e">
        <f t="shared" si="100"/>
        <v>#VALUE!</v>
      </c>
      <c r="S162" s="1546" t="e">
        <f t="shared" si="100"/>
        <v>#VALUE!</v>
      </c>
      <c r="T162" s="1546" t="e">
        <f t="shared" si="100"/>
        <v>#VALUE!</v>
      </c>
      <c r="U162" s="1546" t="e">
        <f t="shared" si="100"/>
        <v>#VALUE!</v>
      </c>
      <c r="V162" s="1546" t="e">
        <f t="shared" si="100"/>
        <v>#VALUE!</v>
      </c>
      <c r="W162" s="1546" t="e">
        <f t="shared" si="100"/>
        <v>#VALUE!</v>
      </c>
      <c r="X162" s="1546" t="e">
        <f t="shared" si="100"/>
        <v>#VALUE!</v>
      </c>
      <c r="Y162" s="1546" t="e">
        <f t="shared" si="100"/>
        <v>#VALUE!</v>
      </c>
      <c r="Z162" s="1546" t="e">
        <f t="shared" si="100"/>
        <v>#VALUE!</v>
      </c>
      <c r="AA162" s="1546" t="e">
        <f t="shared" si="100"/>
        <v>#VALUE!</v>
      </c>
      <c r="AB162" s="1546" t="e">
        <f t="shared" si="100"/>
        <v>#VALUE!</v>
      </c>
      <c r="AC162" s="1546" t="e">
        <f t="shared" si="100"/>
        <v>#VALUE!</v>
      </c>
      <c r="AD162" s="1546" t="e">
        <f t="shared" si="100"/>
        <v>#VALUE!</v>
      </c>
      <c r="AE162" s="1546" t="e">
        <f t="shared" si="100"/>
        <v>#VALUE!</v>
      </c>
      <c r="AF162" s="1546" t="e">
        <f t="shared" si="100"/>
        <v>#VALUE!</v>
      </c>
      <c r="AG162" s="1546" t="e">
        <f t="shared" si="100"/>
        <v>#VALUE!</v>
      </c>
      <c r="AH162" s="1546" t="e">
        <f t="shared" si="100"/>
        <v>#VALUE!</v>
      </c>
      <c r="AI162" s="1546" t="e">
        <f t="shared" si="100"/>
        <v>#VALUE!</v>
      </c>
      <c r="AJ162" s="1549">
        <f t="shared" si="93"/>
        <v>0</v>
      </c>
      <c r="AK162" s="1116"/>
      <c r="AL162" s="1116"/>
      <c r="AM162" s="1116"/>
      <c r="AN162" s="1116"/>
      <c r="AO162" s="1207"/>
      <c r="AP162" s="1116"/>
      <c r="AQ162" s="1548" t="e">
        <f>SUM(AQ159:AQ161)</f>
        <v>#VALUE!</v>
      </c>
      <c r="AR162" s="1546" t="e">
        <f t="shared" ref="AR162:BS162" si="101">SUM(AR159:AR161)</f>
        <v>#VALUE!</v>
      </c>
      <c r="AS162" s="1546" t="e">
        <f t="shared" si="101"/>
        <v>#VALUE!</v>
      </c>
      <c r="AT162" s="1546" t="e">
        <f t="shared" si="101"/>
        <v>#VALUE!</v>
      </c>
      <c r="AU162" s="1546" t="e">
        <f t="shared" si="101"/>
        <v>#VALUE!</v>
      </c>
      <c r="AV162" s="1546" t="e">
        <f t="shared" si="101"/>
        <v>#VALUE!</v>
      </c>
      <c r="AW162" s="1546" t="e">
        <f t="shared" si="101"/>
        <v>#VALUE!</v>
      </c>
      <c r="AX162" s="1546" t="e">
        <f t="shared" si="101"/>
        <v>#VALUE!</v>
      </c>
      <c r="AY162" s="1546" t="e">
        <f t="shared" si="101"/>
        <v>#VALUE!</v>
      </c>
      <c r="AZ162" s="1546" t="e">
        <f t="shared" si="101"/>
        <v>#VALUE!</v>
      </c>
      <c r="BA162" s="1546" t="e">
        <f t="shared" si="101"/>
        <v>#VALUE!</v>
      </c>
      <c r="BB162" s="1546" t="e">
        <f t="shared" si="101"/>
        <v>#VALUE!</v>
      </c>
      <c r="BC162" s="1546" t="e">
        <f t="shared" si="101"/>
        <v>#VALUE!</v>
      </c>
      <c r="BD162" s="1546" t="e">
        <f t="shared" si="101"/>
        <v>#VALUE!</v>
      </c>
      <c r="BE162" s="1546" t="e">
        <f t="shared" si="101"/>
        <v>#VALUE!</v>
      </c>
      <c r="BF162" s="1546" t="e">
        <f t="shared" si="101"/>
        <v>#VALUE!</v>
      </c>
      <c r="BG162" s="1546" t="e">
        <f t="shared" si="101"/>
        <v>#VALUE!</v>
      </c>
      <c r="BH162" s="1546" t="e">
        <f t="shared" si="101"/>
        <v>#VALUE!</v>
      </c>
      <c r="BI162" s="1546" t="e">
        <f t="shared" si="101"/>
        <v>#VALUE!</v>
      </c>
      <c r="BJ162" s="1546" t="e">
        <f t="shared" si="101"/>
        <v>#VALUE!</v>
      </c>
      <c r="BK162" s="1546" t="e">
        <f t="shared" si="101"/>
        <v>#VALUE!</v>
      </c>
      <c r="BL162" s="1546" t="e">
        <f t="shared" si="101"/>
        <v>#VALUE!</v>
      </c>
      <c r="BM162" s="1546" t="e">
        <f t="shared" si="101"/>
        <v>#VALUE!</v>
      </c>
      <c r="BN162" s="1546" t="e">
        <f t="shared" si="101"/>
        <v>#VALUE!</v>
      </c>
      <c r="BO162" s="1546" t="e">
        <f t="shared" si="101"/>
        <v>#VALUE!</v>
      </c>
      <c r="BP162" s="1546" t="e">
        <f t="shared" si="101"/>
        <v>#VALUE!</v>
      </c>
      <c r="BQ162" s="1546" t="e">
        <f t="shared" si="101"/>
        <v>#VALUE!</v>
      </c>
      <c r="BR162" s="1546" t="e">
        <f t="shared" si="101"/>
        <v>#VALUE!</v>
      </c>
      <c r="BS162" s="1546" t="e">
        <f t="shared" si="101"/>
        <v>#VALUE!</v>
      </c>
      <c r="BT162" s="1549">
        <f t="shared" si="95"/>
        <v>0</v>
      </c>
      <c r="BU162" s="1550"/>
      <c r="BV162" s="1082"/>
      <c r="BW162" s="1552"/>
      <c r="BX162" s="1552"/>
    </row>
    <row r="163" spans="1:76" s="1236" customFormat="1" hidden="1" outlineLevel="1" x14ac:dyDescent="0.3">
      <c r="A163" s="1474"/>
      <c r="B163" s="1543" t="s">
        <v>1368</v>
      </c>
      <c r="C163" s="1491"/>
      <c r="D163" s="1352"/>
      <c r="E163" s="1267"/>
      <c r="F163" s="1553"/>
      <c r="G163" s="1546" t="e">
        <f>IF($P$188="Delay",G199-G198,G208-G207)</f>
        <v>#VALUE!</v>
      </c>
      <c r="H163" s="1546" t="e">
        <f t="shared" ref="H163:AI163" si="102">IF($P$188="Delay",H199-H198,H208-H207)</f>
        <v>#VALUE!</v>
      </c>
      <c r="I163" s="1546" t="e">
        <f t="shared" si="102"/>
        <v>#VALUE!</v>
      </c>
      <c r="J163" s="1546" t="e">
        <f t="shared" si="102"/>
        <v>#VALUE!</v>
      </c>
      <c r="K163" s="1546" t="e">
        <f t="shared" si="102"/>
        <v>#VALUE!</v>
      </c>
      <c r="L163" s="1546" t="e">
        <f t="shared" si="102"/>
        <v>#VALUE!</v>
      </c>
      <c r="M163" s="1546" t="e">
        <f t="shared" si="102"/>
        <v>#VALUE!</v>
      </c>
      <c r="N163" s="1546" t="e">
        <f t="shared" si="102"/>
        <v>#VALUE!</v>
      </c>
      <c r="O163" s="1546" t="e">
        <f t="shared" si="102"/>
        <v>#VALUE!</v>
      </c>
      <c r="P163" s="1546" t="e">
        <f t="shared" si="102"/>
        <v>#VALUE!</v>
      </c>
      <c r="Q163" s="1546" t="e">
        <f t="shared" si="102"/>
        <v>#VALUE!</v>
      </c>
      <c r="R163" s="1546" t="e">
        <f t="shared" si="102"/>
        <v>#VALUE!</v>
      </c>
      <c r="S163" s="1546" t="e">
        <f t="shared" si="102"/>
        <v>#VALUE!</v>
      </c>
      <c r="T163" s="1546" t="e">
        <f t="shared" si="102"/>
        <v>#VALUE!</v>
      </c>
      <c r="U163" s="1546" t="e">
        <f t="shared" si="102"/>
        <v>#VALUE!</v>
      </c>
      <c r="V163" s="1546" t="e">
        <f t="shared" si="102"/>
        <v>#VALUE!</v>
      </c>
      <c r="W163" s="1546" t="e">
        <f t="shared" si="102"/>
        <v>#VALUE!</v>
      </c>
      <c r="X163" s="1546" t="e">
        <f t="shared" si="102"/>
        <v>#VALUE!</v>
      </c>
      <c r="Y163" s="1546" t="e">
        <f t="shared" si="102"/>
        <v>#VALUE!</v>
      </c>
      <c r="Z163" s="1546" t="e">
        <f t="shared" si="102"/>
        <v>#VALUE!</v>
      </c>
      <c r="AA163" s="1546" t="e">
        <f t="shared" si="102"/>
        <v>#VALUE!</v>
      </c>
      <c r="AB163" s="1546" t="e">
        <f t="shared" si="102"/>
        <v>#VALUE!</v>
      </c>
      <c r="AC163" s="1546" t="e">
        <f t="shared" si="102"/>
        <v>#VALUE!</v>
      </c>
      <c r="AD163" s="1546" t="e">
        <f t="shared" si="102"/>
        <v>#VALUE!</v>
      </c>
      <c r="AE163" s="1546" t="e">
        <f t="shared" si="102"/>
        <v>#VALUE!</v>
      </c>
      <c r="AF163" s="1546" t="e">
        <f t="shared" si="102"/>
        <v>#VALUE!</v>
      </c>
      <c r="AG163" s="1546" t="e">
        <f t="shared" si="102"/>
        <v>#VALUE!</v>
      </c>
      <c r="AH163" s="1546" t="e">
        <f t="shared" si="102"/>
        <v>#VALUE!</v>
      </c>
      <c r="AI163" s="1546" t="e">
        <f t="shared" si="102"/>
        <v>#VALUE!</v>
      </c>
      <c r="AJ163" s="1547">
        <f t="shared" si="93"/>
        <v>0</v>
      </c>
      <c r="AK163" s="1116"/>
      <c r="AL163" s="1116"/>
      <c r="AM163" s="1116"/>
      <c r="AN163" s="1116"/>
      <c r="AO163" s="1207"/>
      <c r="AP163" s="1116"/>
      <c r="AQ163" s="1548" t="e">
        <f>IF($AZ$188="Delay",AQ199-AQ198,AQ208-AQ207)</f>
        <v>#VALUE!</v>
      </c>
      <c r="AR163" s="1546" t="e">
        <f t="shared" ref="AR163:BS163" si="103">IF($AZ$188="Delay",AR199-AR198,AR208-AR207)</f>
        <v>#VALUE!</v>
      </c>
      <c r="AS163" s="1546" t="e">
        <f t="shared" si="103"/>
        <v>#VALUE!</v>
      </c>
      <c r="AT163" s="1546" t="e">
        <f t="shared" si="103"/>
        <v>#VALUE!</v>
      </c>
      <c r="AU163" s="1546" t="e">
        <f t="shared" si="103"/>
        <v>#VALUE!</v>
      </c>
      <c r="AV163" s="1546" t="e">
        <f t="shared" si="103"/>
        <v>#VALUE!</v>
      </c>
      <c r="AW163" s="1546" t="e">
        <f t="shared" si="103"/>
        <v>#VALUE!</v>
      </c>
      <c r="AX163" s="1546" t="e">
        <f t="shared" si="103"/>
        <v>#VALUE!</v>
      </c>
      <c r="AY163" s="1546" t="e">
        <f t="shared" si="103"/>
        <v>#VALUE!</v>
      </c>
      <c r="AZ163" s="1546" t="e">
        <f t="shared" si="103"/>
        <v>#VALUE!</v>
      </c>
      <c r="BA163" s="1546" t="e">
        <f t="shared" si="103"/>
        <v>#VALUE!</v>
      </c>
      <c r="BB163" s="1546" t="e">
        <f t="shared" si="103"/>
        <v>#VALUE!</v>
      </c>
      <c r="BC163" s="1546" t="e">
        <f t="shared" si="103"/>
        <v>#VALUE!</v>
      </c>
      <c r="BD163" s="1546" t="e">
        <f t="shared" si="103"/>
        <v>#VALUE!</v>
      </c>
      <c r="BE163" s="1546" t="e">
        <f t="shared" si="103"/>
        <v>#VALUE!</v>
      </c>
      <c r="BF163" s="1546" t="e">
        <f t="shared" si="103"/>
        <v>#VALUE!</v>
      </c>
      <c r="BG163" s="1546" t="e">
        <f t="shared" si="103"/>
        <v>#VALUE!</v>
      </c>
      <c r="BH163" s="1546" t="e">
        <f t="shared" si="103"/>
        <v>#VALUE!</v>
      </c>
      <c r="BI163" s="1546" t="e">
        <f t="shared" si="103"/>
        <v>#VALUE!</v>
      </c>
      <c r="BJ163" s="1546" t="e">
        <f t="shared" si="103"/>
        <v>#VALUE!</v>
      </c>
      <c r="BK163" s="1546" t="e">
        <f t="shared" si="103"/>
        <v>#VALUE!</v>
      </c>
      <c r="BL163" s="1546" t="e">
        <f t="shared" si="103"/>
        <v>#VALUE!</v>
      </c>
      <c r="BM163" s="1546" t="e">
        <f t="shared" si="103"/>
        <v>#VALUE!</v>
      </c>
      <c r="BN163" s="1546" t="e">
        <f t="shared" si="103"/>
        <v>#VALUE!</v>
      </c>
      <c r="BO163" s="1546" t="e">
        <f t="shared" si="103"/>
        <v>#VALUE!</v>
      </c>
      <c r="BP163" s="1546" t="e">
        <f t="shared" si="103"/>
        <v>#VALUE!</v>
      </c>
      <c r="BQ163" s="1546" t="e">
        <f t="shared" si="103"/>
        <v>#VALUE!</v>
      </c>
      <c r="BR163" s="1546" t="e">
        <f t="shared" si="103"/>
        <v>#VALUE!</v>
      </c>
      <c r="BS163" s="1546" t="e">
        <f t="shared" si="103"/>
        <v>#VALUE!</v>
      </c>
      <c r="BT163" s="1547">
        <f t="shared" si="95"/>
        <v>0</v>
      </c>
      <c r="BU163" s="1550"/>
      <c r="BV163" s="1082"/>
      <c r="BW163" s="1552"/>
      <c r="BX163" s="1552"/>
    </row>
    <row r="164" spans="1:76" s="1236" customFormat="1" hidden="1" outlineLevel="1" x14ac:dyDescent="0.3">
      <c r="A164" s="1474"/>
      <c r="B164" s="1543" t="s">
        <v>1369</v>
      </c>
      <c r="C164" s="1491"/>
      <c r="D164" s="1352"/>
      <c r="E164" s="1267"/>
      <c r="F164" s="1493"/>
      <c r="G164" s="1545" t="e">
        <f t="shared" ref="G164:AI164" si="104">(G213/(1+DiscR)^G$174)-(G214/(1+DiscR)^G$174)-G163</f>
        <v>#VALUE!</v>
      </c>
      <c r="H164" s="1546" t="e">
        <f t="shared" si="104"/>
        <v>#VALUE!</v>
      </c>
      <c r="I164" s="1546" t="e">
        <f t="shared" si="104"/>
        <v>#VALUE!</v>
      </c>
      <c r="J164" s="1546" t="e">
        <f t="shared" si="104"/>
        <v>#VALUE!</v>
      </c>
      <c r="K164" s="1546" t="e">
        <f t="shared" si="104"/>
        <v>#VALUE!</v>
      </c>
      <c r="L164" s="1546" t="e">
        <f t="shared" si="104"/>
        <v>#VALUE!</v>
      </c>
      <c r="M164" s="1546" t="e">
        <f t="shared" si="104"/>
        <v>#VALUE!</v>
      </c>
      <c r="N164" s="1546" t="e">
        <f t="shared" si="104"/>
        <v>#VALUE!</v>
      </c>
      <c r="O164" s="1546" t="e">
        <f t="shared" si="104"/>
        <v>#VALUE!</v>
      </c>
      <c r="P164" s="1546" t="e">
        <f t="shared" si="104"/>
        <v>#VALUE!</v>
      </c>
      <c r="Q164" s="1546" t="e">
        <f t="shared" si="104"/>
        <v>#VALUE!</v>
      </c>
      <c r="R164" s="1546" t="e">
        <f t="shared" si="104"/>
        <v>#VALUE!</v>
      </c>
      <c r="S164" s="1546" t="e">
        <f t="shared" si="104"/>
        <v>#VALUE!</v>
      </c>
      <c r="T164" s="1546" t="e">
        <f t="shared" si="104"/>
        <v>#VALUE!</v>
      </c>
      <c r="U164" s="1546" t="e">
        <f t="shared" si="104"/>
        <v>#VALUE!</v>
      </c>
      <c r="V164" s="1546" t="e">
        <f t="shared" si="104"/>
        <v>#VALUE!</v>
      </c>
      <c r="W164" s="1546" t="e">
        <f t="shared" si="104"/>
        <v>#VALUE!</v>
      </c>
      <c r="X164" s="1546" t="e">
        <f t="shared" si="104"/>
        <v>#VALUE!</v>
      </c>
      <c r="Y164" s="1546" t="e">
        <f t="shared" si="104"/>
        <v>#VALUE!</v>
      </c>
      <c r="Z164" s="1546" t="e">
        <f t="shared" si="104"/>
        <v>#VALUE!</v>
      </c>
      <c r="AA164" s="1546" t="e">
        <f t="shared" si="104"/>
        <v>#VALUE!</v>
      </c>
      <c r="AB164" s="1546" t="e">
        <f t="shared" si="104"/>
        <v>#VALUE!</v>
      </c>
      <c r="AC164" s="1546" t="e">
        <f t="shared" si="104"/>
        <v>#VALUE!</v>
      </c>
      <c r="AD164" s="1546" t="e">
        <f t="shared" si="104"/>
        <v>#VALUE!</v>
      </c>
      <c r="AE164" s="1546" t="e">
        <f t="shared" si="104"/>
        <v>#VALUE!</v>
      </c>
      <c r="AF164" s="1546" t="e">
        <f t="shared" si="104"/>
        <v>#VALUE!</v>
      </c>
      <c r="AG164" s="1546" t="e">
        <f t="shared" si="104"/>
        <v>#VALUE!</v>
      </c>
      <c r="AH164" s="1546" t="e">
        <f t="shared" si="104"/>
        <v>#VALUE!</v>
      </c>
      <c r="AI164" s="1546" t="e">
        <f t="shared" si="104"/>
        <v>#VALUE!</v>
      </c>
      <c r="AJ164" s="1547">
        <f t="shared" si="93"/>
        <v>0</v>
      </c>
      <c r="AK164" s="1116"/>
      <c r="AL164" s="1116"/>
      <c r="AM164" s="1116"/>
      <c r="AN164" s="1116"/>
      <c r="AO164" s="1207"/>
      <c r="AP164" s="1116"/>
      <c r="AQ164" s="1548" t="e">
        <f t="shared" ref="AQ164:BS164" si="105">(AQ213/(1+DiscR)^AQ$174)-(AQ214/(1+DiscR)^AQ$174)-AQ163</f>
        <v>#VALUE!</v>
      </c>
      <c r="AR164" s="1546" t="e">
        <f t="shared" si="105"/>
        <v>#VALUE!</v>
      </c>
      <c r="AS164" s="1546" t="e">
        <f t="shared" si="105"/>
        <v>#VALUE!</v>
      </c>
      <c r="AT164" s="1546" t="e">
        <f t="shared" si="105"/>
        <v>#VALUE!</v>
      </c>
      <c r="AU164" s="1546" t="e">
        <f t="shared" si="105"/>
        <v>#VALUE!</v>
      </c>
      <c r="AV164" s="1546" t="e">
        <f t="shared" si="105"/>
        <v>#VALUE!</v>
      </c>
      <c r="AW164" s="1546" t="e">
        <f t="shared" si="105"/>
        <v>#VALUE!</v>
      </c>
      <c r="AX164" s="1546" t="e">
        <f t="shared" si="105"/>
        <v>#VALUE!</v>
      </c>
      <c r="AY164" s="1546" t="e">
        <f t="shared" si="105"/>
        <v>#VALUE!</v>
      </c>
      <c r="AZ164" s="1546" t="e">
        <f t="shared" si="105"/>
        <v>#VALUE!</v>
      </c>
      <c r="BA164" s="1546" t="e">
        <f t="shared" si="105"/>
        <v>#VALUE!</v>
      </c>
      <c r="BB164" s="1546" t="e">
        <f t="shared" si="105"/>
        <v>#VALUE!</v>
      </c>
      <c r="BC164" s="1546" t="e">
        <f t="shared" si="105"/>
        <v>#VALUE!</v>
      </c>
      <c r="BD164" s="1546" t="e">
        <f t="shared" si="105"/>
        <v>#VALUE!</v>
      </c>
      <c r="BE164" s="1546" t="e">
        <f t="shared" si="105"/>
        <v>#VALUE!</v>
      </c>
      <c r="BF164" s="1546" t="e">
        <f t="shared" si="105"/>
        <v>#VALUE!</v>
      </c>
      <c r="BG164" s="1546" t="e">
        <f t="shared" si="105"/>
        <v>#VALUE!</v>
      </c>
      <c r="BH164" s="1546" t="e">
        <f t="shared" si="105"/>
        <v>#VALUE!</v>
      </c>
      <c r="BI164" s="1546" t="e">
        <f t="shared" si="105"/>
        <v>#VALUE!</v>
      </c>
      <c r="BJ164" s="1546" t="e">
        <f t="shared" si="105"/>
        <v>#VALUE!</v>
      </c>
      <c r="BK164" s="1546" t="e">
        <f t="shared" si="105"/>
        <v>#VALUE!</v>
      </c>
      <c r="BL164" s="1546" t="e">
        <f t="shared" si="105"/>
        <v>#VALUE!</v>
      </c>
      <c r="BM164" s="1546" t="e">
        <f t="shared" si="105"/>
        <v>#VALUE!</v>
      </c>
      <c r="BN164" s="1546" t="e">
        <f t="shared" si="105"/>
        <v>#VALUE!</v>
      </c>
      <c r="BO164" s="1546" t="e">
        <f t="shared" si="105"/>
        <v>#VALUE!</v>
      </c>
      <c r="BP164" s="1546" t="e">
        <f t="shared" si="105"/>
        <v>#VALUE!</v>
      </c>
      <c r="BQ164" s="1546" t="e">
        <f t="shared" si="105"/>
        <v>#VALUE!</v>
      </c>
      <c r="BR164" s="1546" t="e">
        <f t="shared" si="105"/>
        <v>#VALUE!</v>
      </c>
      <c r="BS164" s="1546" t="e">
        <f t="shared" si="105"/>
        <v>#VALUE!</v>
      </c>
      <c r="BT164" s="1547">
        <f t="shared" si="95"/>
        <v>0</v>
      </c>
      <c r="BU164" s="1550"/>
      <c r="BV164" s="1082"/>
      <c r="BW164" s="1552"/>
      <c r="BX164" s="1552"/>
    </row>
    <row r="165" spans="1:76" s="1236" customFormat="1" hidden="1" outlineLevel="1" x14ac:dyDescent="0.3">
      <c r="A165" s="1474"/>
      <c r="B165" s="1543" t="s">
        <v>1370</v>
      </c>
      <c r="C165" s="1491"/>
      <c r="D165" s="1352"/>
      <c r="E165" s="1267"/>
      <c r="F165" s="1531"/>
      <c r="G165" s="1545" t="e">
        <f t="shared" ref="G165:AI165" si="106">(G217/(1+DiscR)^G$174)-(G218/(1+DiscR)^G$174)</f>
        <v>#VALUE!</v>
      </c>
      <c r="H165" s="1546" t="e">
        <f t="shared" si="106"/>
        <v>#VALUE!</v>
      </c>
      <c r="I165" s="1546" t="e">
        <f t="shared" si="106"/>
        <v>#VALUE!</v>
      </c>
      <c r="J165" s="1546" t="e">
        <f t="shared" si="106"/>
        <v>#VALUE!</v>
      </c>
      <c r="K165" s="1546" t="e">
        <f t="shared" si="106"/>
        <v>#VALUE!</v>
      </c>
      <c r="L165" s="1546" t="e">
        <f t="shared" si="106"/>
        <v>#VALUE!</v>
      </c>
      <c r="M165" s="1546" t="e">
        <f t="shared" si="106"/>
        <v>#VALUE!</v>
      </c>
      <c r="N165" s="1546" t="e">
        <f t="shared" si="106"/>
        <v>#VALUE!</v>
      </c>
      <c r="O165" s="1546" t="e">
        <f t="shared" si="106"/>
        <v>#VALUE!</v>
      </c>
      <c r="P165" s="1546" t="e">
        <f t="shared" si="106"/>
        <v>#VALUE!</v>
      </c>
      <c r="Q165" s="1546" t="e">
        <f t="shared" si="106"/>
        <v>#VALUE!</v>
      </c>
      <c r="R165" s="1546" t="e">
        <f t="shared" si="106"/>
        <v>#VALUE!</v>
      </c>
      <c r="S165" s="1546" t="e">
        <f t="shared" si="106"/>
        <v>#VALUE!</v>
      </c>
      <c r="T165" s="1546" t="e">
        <f t="shared" si="106"/>
        <v>#VALUE!</v>
      </c>
      <c r="U165" s="1546" t="e">
        <f t="shared" si="106"/>
        <v>#VALUE!</v>
      </c>
      <c r="V165" s="1546" t="e">
        <f t="shared" si="106"/>
        <v>#VALUE!</v>
      </c>
      <c r="W165" s="1546" t="e">
        <f t="shared" si="106"/>
        <v>#VALUE!</v>
      </c>
      <c r="X165" s="1546" t="e">
        <f t="shared" si="106"/>
        <v>#VALUE!</v>
      </c>
      <c r="Y165" s="1546" t="e">
        <f t="shared" si="106"/>
        <v>#VALUE!</v>
      </c>
      <c r="Z165" s="1546" t="e">
        <f t="shared" si="106"/>
        <v>#VALUE!</v>
      </c>
      <c r="AA165" s="1546" t="e">
        <f t="shared" si="106"/>
        <v>#VALUE!</v>
      </c>
      <c r="AB165" s="1546" t="e">
        <f t="shared" si="106"/>
        <v>#VALUE!</v>
      </c>
      <c r="AC165" s="1546" t="e">
        <f t="shared" si="106"/>
        <v>#VALUE!</v>
      </c>
      <c r="AD165" s="1546" t="e">
        <f t="shared" si="106"/>
        <v>#VALUE!</v>
      </c>
      <c r="AE165" s="1546" t="e">
        <f t="shared" si="106"/>
        <v>#VALUE!</v>
      </c>
      <c r="AF165" s="1546" t="e">
        <f t="shared" si="106"/>
        <v>#VALUE!</v>
      </c>
      <c r="AG165" s="1546" t="e">
        <f t="shared" si="106"/>
        <v>#VALUE!</v>
      </c>
      <c r="AH165" s="1546" t="e">
        <f t="shared" si="106"/>
        <v>#VALUE!</v>
      </c>
      <c r="AI165" s="1546" t="e">
        <f t="shared" si="106"/>
        <v>#VALUE!</v>
      </c>
      <c r="AJ165" s="1547">
        <f t="shared" si="93"/>
        <v>0</v>
      </c>
      <c r="AK165" s="1116"/>
      <c r="AL165" s="1116"/>
      <c r="AM165" s="1116"/>
      <c r="AN165" s="1116"/>
      <c r="AO165" s="1207"/>
      <c r="AP165" s="1116"/>
      <c r="AQ165" s="1548" t="e">
        <f t="shared" ref="AQ165:BS165" si="107">(AQ217/(1+DiscR)^AQ$174)-(AQ218/(1+DiscR)^AQ$174)</f>
        <v>#VALUE!</v>
      </c>
      <c r="AR165" s="1546" t="e">
        <f t="shared" si="107"/>
        <v>#VALUE!</v>
      </c>
      <c r="AS165" s="1546" t="e">
        <f t="shared" si="107"/>
        <v>#VALUE!</v>
      </c>
      <c r="AT165" s="1546" t="e">
        <f t="shared" si="107"/>
        <v>#VALUE!</v>
      </c>
      <c r="AU165" s="1546" t="e">
        <f t="shared" si="107"/>
        <v>#VALUE!</v>
      </c>
      <c r="AV165" s="1546" t="e">
        <f t="shared" si="107"/>
        <v>#VALUE!</v>
      </c>
      <c r="AW165" s="1546" t="e">
        <f t="shared" si="107"/>
        <v>#VALUE!</v>
      </c>
      <c r="AX165" s="1546" t="e">
        <f t="shared" si="107"/>
        <v>#VALUE!</v>
      </c>
      <c r="AY165" s="1546" t="e">
        <f t="shared" si="107"/>
        <v>#VALUE!</v>
      </c>
      <c r="AZ165" s="1546" t="e">
        <f t="shared" si="107"/>
        <v>#VALUE!</v>
      </c>
      <c r="BA165" s="1546" t="e">
        <f t="shared" si="107"/>
        <v>#VALUE!</v>
      </c>
      <c r="BB165" s="1546" t="e">
        <f t="shared" si="107"/>
        <v>#VALUE!</v>
      </c>
      <c r="BC165" s="1546" t="e">
        <f t="shared" si="107"/>
        <v>#VALUE!</v>
      </c>
      <c r="BD165" s="1546" t="e">
        <f t="shared" si="107"/>
        <v>#VALUE!</v>
      </c>
      <c r="BE165" s="1546" t="e">
        <f t="shared" si="107"/>
        <v>#VALUE!</v>
      </c>
      <c r="BF165" s="1546" t="e">
        <f t="shared" si="107"/>
        <v>#VALUE!</v>
      </c>
      <c r="BG165" s="1546" t="e">
        <f t="shared" si="107"/>
        <v>#VALUE!</v>
      </c>
      <c r="BH165" s="1546" t="e">
        <f t="shared" si="107"/>
        <v>#VALUE!</v>
      </c>
      <c r="BI165" s="1546" t="e">
        <f t="shared" si="107"/>
        <v>#VALUE!</v>
      </c>
      <c r="BJ165" s="1546" t="e">
        <f t="shared" si="107"/>
        <v>#VALUE!</v>
      </c>
      <c r="BK165" s="1546" t="e">
        <f t="shared" si="107"/>
        <v>#VALUE!</v>
      </c>
      <c r="BL165" s="1546" t="e">
        <f t="shared" si="107"/>
        <v>#VALUE!</v>
      </c>
      <c r="BM165" s="1546" t="e">
        <f t="shared" si="107"/>
        <v>#VALUE!</v>
      </c>
      <c r="BN165" s="1546" t="e">
        <f t="shared" si="107"/>
        <v>#VALUE!</v>
      </c>
      <c r="BO165" s="1546" t="e">
        <f t="shared" si="107"/>
        <v>#VALUE!</v>
      </c>
      <c r="BP165" s="1546" t="e">
        <f t="shared" si="107"/>
        <v>#VALUE!</v>
      </c>
      <c r="BQ165" s="1546" t="e">
        <f t="shared" si="107"/>
        <v>#VALUE!</v>
      </c>
      <c r="BR165" s="1546" t="e">
        <f t="shared" si="107"/>
        <v>#VALUE!</v>
      </c>
      <c r="BS165" s="1546" t="e">
        <f t="shared" si="107"/>
        <v>#VALUE!</v>
      </c>
      <c r="BT165" s="1547">
        <f t="shared" si="95"/>
        <v>0</v>
      </c>
      <c r="BU165" s="1554"/>
      <c r="BV165" s="1082"/>
      <c r="BW165" s="1552"/>
      <c r="BX165" s="1552"/>
    </row>
    <row r="166" spans="1:76" s="1236" customFormat="1" hidden="1" outlineLevel="1" x14ac:dyDescent="0.3">
      <c r="A166" s="1474"/>
      <c r="B166" s="1543" t="s">
        <v>1371</v>
      </c>
      <c r="C166" s="1491"/>
      <c r="D166" s="1352"/>
      <c r="E166" s="1267"/>
      <c r="F166" s="1531"/>
      <c r="G166" s="1545"/>
      <c r="H166" s="1546"/>
      <c r="I166" s="1546"/>
      <c r="J166" s="1546"/>
      <c r="K166" s="1546"/>
      <c r="L166" s="1546"/>
      <c r="M166" s="1546"/>
      <c r="N166" s="1546"/>
      <c r="O166" s="1546"/>
      <c r="P166" s="1546"/>
      <c r="Q166" s="1546"/>
      <c r="R166" s="1546"/>
      <c r="S166" s="1546"/>
      <c r="T166" s="1546"/>
      <c r="U166" s="1546"/>
      <c r="V166" s="1546"/>
      <c r="W166" s="1546"/>
      <c r="X166" s="1546"/>
      <c r="Y166" s="1546"/>
      <c r="Z166" s="1546"/>
      <c r="AA166" s="1546"/>
      <c r="AB166" s="1546"/>
      <c r="AC166" s="1546"/>
      <c r="AD166" s="1546"/>
      <c r="AE166" s="1546"/>
      <c r="AF166" s="1546"/>
      <c r="AG166" s="1546"/>
      <c r="AH166" s="1546"/>
      <c r="AI166" s="1546"/>
      <c r="AJ166" s="1549">
        <f>AJ169-AJ168</f>
        <v>-85524.122620563678</v>
      </c>
      <c r="AK166" s="1555"/>
      <c r="AL166" s="1116"/>
      <c r="AM166" s="1142"/>
      <c r="AN166" s="1116"/>
      <c r="AO166" s="1149"/>
      <c r="AP166" s="1142"/>
      <c r="AQ166" s="1548"/>
      <c r="AR166" s="1546"/>
      <c r="AS166" s="1546"/>
      <c r="AT166" s="1546"/>
      <c r="AU166" s="1546"/>
      <c r="AV166" s="1546"/>
      <c r="AW166" s="1546"/>
      <c r="AX166" s="1546"/>
      <c r="AY166" s="1546"/>
      <c r="AZ166" s="1546"/>
      <c r="BA166" s="1546"/>
      <c r="BB166" s="1546"/>
      <c r="BC166" s="1546"/>
      <c r="BD166" s="1546"/>
      <c r="BE166" s="1546"/>
      <c r="BF166" s="1546"/>
      <c r="BG166" s="1546"/>
      <c r="BH166" s="1546"/>
      <c r="BI166" s="1546"/>
      <c r="BJ166" s="1546"/>
      <c r="BK166" s="1546"/>
      <c r="BL166" s="1546"/>
      <c r="BM166" s="1546"/>
      <c r="BN166" s="1546"/>
      <c r="BO166" s="1546"/>
      <c r="BP166" s="1546"/>
      <c r="BQ166" s="1546"/>
      <c r="BR166" s="1546"/>
      <c r="BS166" s="1546"/>
      <c r="BT166" s="1549">
        <f>BT169-BT168</f>
        <v>-437531.67157120176</v>
      </c>
      <c r="BU166" s="1550"/>
      <c r="BV166" s="1082"/>
      <c r="BW166" s="1552"/>
      <c r="BX166" s="1552"/>
    </row>
    <row r="167" spans="1:76" s="1236" customFormat="1" hidden="1" outlineLevel="1" x14ac:dyDescent="0.3">
      <c r="A167" s="1474"/>
      <c r="B167" s="1543" t="s">
        <v>415</v>
      </c>
      <c r="C167" s="1491"/>
      <c r="D167" s="1352"/>
      <c r="E167" s="1267"/>
      <c r="F167" s="1493"/>
      <c r="G167" s="1545"/>
      <c r="H167" s="1556"/>
      <c r="I167" s="1556"/>
      <c r="J167" s="1556"/>
      <c r="K167" s="1556"/>
      <c r="L167" s="1556"/>
      <c r="M167" s="1556"/>
      <c r="N167" s="1556"/>
      <c r="O167" s="1556"/>
      <c r="P167" s="1556"/>
      <c r="Q167" s="1556"/>
      <c r="R167" s="1556"/>
      <c r="S167" s="1556"/>
      <c r="T167" s="1556"/>
      <c r="U167" s="1556"/>
      <c r="V167" s="1556"/>
      <c r="W167" s="1556"/>
      <c r="X167" s="1556"/>
      <c r="Y167" s="1556"/>
      <c r="Z167" s="1556"/>
      <c r="AA167" s="1556"/>
      <c r="AB167" s="1556"/>
      <c r="AC167" s="1556"/>
      <c r="AD167" s="1556"/>
      <c r="AE167" s="1556"/>
      <c r="AF167" s="1556"/>
      <c r="AG167" s="1556"/>
      <c r="AH167" s="1556"/>
      <c r="AI167" s="1556"/>
      <c r="AJ167" s="1547">
        <f>(R38-BE38)-(SUM(AJ162:AJ165)+AJ166)</f>
        <v>107278.90231137394</v>
      </c>
      <c r="AK167" s="1116"/>
      <c r="AL167" s="1116"/>
      <c r="AM167" s="1142"/>
      <c r="AN167" s="1116"/>
      <c r="AO167" s="1149"/>
      <c r="AP167" s="1142"/>
      <c r="AQ167" s="1548"/>
      <c r="AR167" s="1556"/>
      <c r="AS167" s="1556"/>
      <c r="AT167" s="1556"/>
      <c r="AU167" s="1556"/>
      <c r="AV167" s="1556"/>
      <c r="AW167" s="1556"/>
      <c r="AX167" s="1556"/>
      <c r="AY167" s="1556"/>
      <c r="AZ167" s="1556"/>
      <c r="BA167" s="1556"/>
      <c r="BB167" s="1556"/>
      <c r="BC167" s="1556"/>
      <c r="BD167" s="1556"/>
      <c r="BE167" s="1556"/>
      <c r="BF167" s="1556"/>
      <c r="BG167" s="1556"/>
      <c r="BH167" s="1556"/>
      <c r="BI167" s="1556"/>
      <c r="BJ167" s="1556"/>
      <c r="BK167" s="1556"/>
      <c r="BL167" s="1556"/>
      <c r="BM167" s="1556"/>
      <c r="BN167" s="1556"/>
      <c r="BO167" s="1556"/>
      <c r="BP167" s="1556"/>
      <c r="BQ167" s="1556"/>
      <c r="BR167" s="1556"/>
      <c r="BS167" s="1556"/>
      <c r="BT167" s="1547">
        <f>(V38-BJ38)-(SUM(BT162:BT165)+BT166)</f>
        <v>539214.89360557648</v>
      </c>
      <c r="BU167" s="1550"/>
      <c r="BV167" s="1082"/>
      <c r="BW167" s="1552"/>
      <c r="BX167" s="1552"/>
    </row>
    <row r="168" spans="1:76" s="1236" customFormat="1" hidden="1" outlineLevel="1" x14ac:dyDescent="0.3">
      <c r="A168" s="1474"/>
      <c r="B168" s="1434" t="s">
        <v>1372</v>
      </c>
      <c r="C168" s="1232"/>
      <c r="D168" s="1232"/>
      <c r="E168" s="1232"/>
      <c r="F168" s="1557"/>
      <c r="G168" s="1558"/>
      <c r="H168" s="1559"/>
      <c r="I168" s="1559"/>
      <c r="J168" s="1559"/>
      <c r="K168" s="1559"/>
      <c r="L168" s="1559"/>
      <c r="M168" s="1559"/>
      <c r="N168" s="1559"/>
      <c r="O168" s="1559"/>
      <c r="P168" s="1559"/>
      <c r="Q168" s="1559"/>
      <c r="R168" s="1559"/>
      <c r="S168" s="1559"/>
      <c r="T168" s="1559"/>
      <c r="U168" s="1559"/>
      <c r="V168" s="1559"/>
      <c r="W168" s="1559"/>
      <c r="X168" s="1559"/>
      <c r="Y168" s="1559"/>
      <c r="Z168" s="1559"/>
      <c r="AA168" s="1559"/>
      <c r="AB168" s="1559"/>
      <c r="AC168" s="1559"/>
      <c r="AD168" s="1559"/>
      <c r="AE168" s="1559"/>
      <c r="AF168" s="1559"/>
      <c r="AG168" s="1559"/>
      <c r="AH168" s="1559"/>
      <c r="AI168" s="1559"/>
      <c r="AJ168" s="1560">
        <f>VLOOKUP(CurrentFY,$AK$175:$AM$187,2,0)</f>
        <v>107278.90231137394</v>
      </c>
      <c r="AK168" s="1116"/>
      <c r="AL168" s="1116"/>
      <c r="AM168" s="1142"/>
      <c r="AN168" s="1116"/>
      <c r="AO168" s="1149"/>
      <c r="AP168" s="1142"/>
      <c r="AQ168" s="1561"/>
      <c r="AR168" s="1559"/>
      <c r="AS168" s="1559"/>
      <c r="AT168" s="1559"/>
      <c r="AU168" s="1559"/>
      <c r="AV168" s="1559"/>
      <c r="AW168" s="1559"/>
      <c r="AX168" s="1559"/>
      <c r="AY168" s="1559"/>
      <c r="AZ168" s="1559"/>
      <c r="BA168" s="1559"/>
      <c r="BB168" s="1559"/>
      <c r="BC168" s="1559"/>
      <c r="BD168" s="1559"/>
      <c r="BE168" s="1559"/>
      <c r="BF168" s="1559"/>
      <c r="BG168" s="1559"/>
      <c r="BH168" s="1559"/>
      <c r="BI168" s="1559"/>
      <c r="BJ168" s="1559"/>
      <c r="BK168" s="1559"/>
      <c r="BL168" s="1559"/>
      <c r="BM168" s="1559"/>
      <c r="BN168" s="1559"/>
      <c r="BO168" s="1559"/>
      <c r="BP168" s="1559"/>
      <c r="BQ168" s="1559"/>
      <c r="BR168" s="1559"/>
      <c r="BS168" s="1559"/>
      <c r="BT168" s="1560">
        <f>VLOOKUP(CurrentFY,$AK$175:$AM$187,3,0)</f>
        <v>539214.89360557648</v>
      </c>
      <c r="BU168" s="1554"/>
      <c r="BV168" s="1082"/>
      <c r="BW168" s="1552"/>
      <c r="BX168" s="1552"/>
    </row>
    <row r="169" spans="1:76" s="1236" customFormat="1" hidden="1" outlineLevel="1" x14ac:dyDescent="0.3">
      <c r="A169" s="1474"/>
      <c r="B169" s="1563"/>
      <c r="C169" s="1116"/>
      <c r="D169" s="1116"/>
      <c r="E169" s="1116"/>
      <c r="F169" s="1116"/>
      <c r="G169" s="1564"/>
      <c r="H169" s="1564"/>
      <c r="I169" s="1564"/>
      <c r="J169" s="1564"/>
      <c r="K169" s="1564"/>
      <c r="L169" s="1564"/>
      <c r="M169" s="1564"/>
      <c r="N169" s="1564"/>
      <c r="O169" s="1564"/>
      <c r="P169" s="1564"/>
      <c r="Q169" s="1564"/>
      <c r="R169" s="1564"/>
      <c r="S169" s="1564"/>
      <c r="T169" s="1564"/>
      <c r="U169" s="1564"/>
      <c r="V169" s="1564"/>
      <c r="W169" s="1564"/>
      <c r="X169" s="1564"/>
      <c r="Y169" s="1564"/>
      <c r="Z169" s="1564"/>
      <c r="AA169" s="1564"/>
      <c r="AB169" s="1564"/>
      <c r="AC169" s="1564"/>
      <c r="AD169" s="1564"/>
      <c r="AE169" s="1564"/>
      <c r="AF169" s="1564"/>
      <c r="AG169" s="1564"/>
      <c r="AH169" s="1564"/>
      <c r="AI169" s="1564"/>
      <c r="AJ169" s="1560">
        <f>VLOOKUP(CurrentFY,Calc!$N$196:$P$208,2,0)</f>
        <v>21754.779690810261</v>
      </c>
      <c r="AK169" s="1142"/>
      <c r="AL169" s="1142"/>
      <c r="AM169" s="1142"/>
      <c r="AN169" s="1116"/>
      <c r="AO169" s="1149"/>
      <c r="AP169" s="1142"/>
      <c r="AQ169" s="1116"/>
      <c r="AR169" s="1116"/>
      <c r="AS169" s="1116"/>
      <c r="AT169" s="1116"/>
      <c r="AU169" s="1116"/>
      <c r="AV169" s="1116"/>
      <c r="AW169" s="1116"/>
      <c r="AX169" s="1116"/>
      <c r="AY169" s="1116"/>
      <c r="AZ169" s="1116"/>
      <c r="BA169" s="1116"/>
      <c r="BB169" s="1116"/>
      <c r="BC169" s="1116"/>
      <c r="BD169" s="1116"/>
      <c r="BE169" s="1116"/>
      <c r="BF169" s="1116"/>
      <c r="BG169" s="1116"/>
      <c r="BH169" s="1116"/>
      <c r="BI169" s="1116"/>
      <c r="BJ169" s="1116"/>
      <c r="BK169" s="1116"/>
      <c r="BL169" s="1116"/>
      <c r="BM169" s="1116"/>
      <c r="BN169" s="1116"/>
      <c r="BO169" s="1116"/>
      <c r="BP169" s="1116"/>
      <c r="BQ169" s="1116"/>
      <c r="BR169" s="1116"/>
      <c r="BS169" s="1116"/>
      <c r="BT169" s="1560">
        <f>VLOOKUP(CurrentFY,Calc!$N$196:$P$208,3,0)</f>
        <v>101683.22203437473</v>
      </c>
      <c r="BU169" s="1550"/>
      <c r="BV169" s="1082"/>
      <c r="BW169" s="1552"/>
      <c r="BX169" s="1552"/>
    </row>
    <row r="170" spans="1:76" s="1236" customFormat="1" hidden="1" outlineLevel="1" x14ac:dyDescent="0.3">
      <c r="A170" s="1474"/>
      <c r="B170" s="1479" t="s">
        <v>1373</v>
      </c>
      <c r="C170" s="1218"/>
      <c r="D170" s="1218"/>
      <c r="E170" s="1218"/>
      <c r="F170" s="1218"/>
      <c r="G170" s="1565"/>
      <c r="H170" s="1565"/>
      <c r="I170" s="1565"/>
      <c r="J170" s="1565"/>
      <c r="K170" s="1565"/>
      <c r="L170" s="1565"/>
      <c r="M170" s="1565"/>
      <c r="N170" s="1565"/>
      <c r="O170" s="1565"/>
      <c r="P170" s="1565"/>
      <c r="Q170" s="1565"/>
      <c r="R170" s="1565"/>
      <c r="S170" s="1565"/>
      <c r="T170" s="1565"/>
      <c r="U170" s="1565"/>
      <c r="V170" s="1565"/>
      <c r="W170" s="1565"/>
      <c r="X170" s="1565"/>
      <c r="Y170" s="1565"/>
      <c r="Z170" s="1565"/>
      <c r="AA170" s="1565"/>
      <c r="AB170" s="1565"/>
      <c r="AC170" s="1565"/>
      <c r="AD170" s="1565"/>
      <c r="AE170" s="1565"/>
      <c r="AF170" s="1565"/>
      <c r="AG170" s="1565"/>
      <c r="AH170" s="1565"/>
      <c r="AI170" s="1566"/>
      <c r="AJ170" s="1476"/>
      <c r="AK170" s="1082"/>
      <c r="AL170" s="1082"/>
      <c r="AM170" s="1082"/>
      <c r="AN170" s="1116"/>
      <c r="AO170" s="1567"/>
      <c r="AP170" s="1568"/>
      <c r="AQ170" s="1569" t="s">
        <v>1373</v>
      </c>
      <c r="AR170" s="1159"/>
      <c r="AS170" s="1159"/>
      <c r="AT170" s="1159"/>
      <c r="AU170" s="1159"/>
      <c r="AV170" s="1159"/>
      <c r="AW170" s="1159"/>
      <c r="AX170" s="1159"/>
      <c r="AY170" s="1159"/>
      <c r="AZ170" s="1159"/>
      <c r="BA170" s="1159"/>
      <c r="BB170" s="1159"/>
      <c r="BC170" s="1159"/>
      <c r="BD170" s="1159"/>
      <c r="BE170" s="1159"/>
      <c r="BF170" s="1159"/>
      <c r="BG170" s="1159"/>
      <c r="BH170" s="1159"/>
      <c r="BI170" s="1159"/>
      <c r="BJ170" s="1159"/>
      <c r="BK170" s="1159"/>
      <c r="BL170" s="1159"/>
      <c r="BM170" s="1159"/>
      <c r="BN170" s="1159"/>
      <c r="BO170" s="1159"/>
      <c r="BP170" s="1159"/>
      <c r="BQ170" s="1159"/>
      <c r="BR170" s="1159"/>
      <c r="BS170" s="1186"/>
      <c r="BT170" s="1116"/>
      <c r="BU170" s="1550"/>
      <c r="BV170" s="1082"/>
      <c r="BW170" s="1552"/>
      <c r="BX170" s="1552"/>
    </row>
    <row r="171" spans="1:76" s="1236" customFormat="1" hidden="1" outlineLevel="1" x14ac:dyDescent="0.3">
      <c r="A171" s="1474"/>
      <c r="B171" s="1207" t="s">
        <v>1374</v>
      </c>
      <c r="C171" s="1116"/>
      <c r="D171" s="1116"/>
      <c r="E171" s="1116"/>
      <c r="F171" s="1116"/>
      <c r="G171" s="1570" t="e">
        <f t="shared" ref="G171:AI171" si="108">IF(LaunchFY="NA",2,IF((LaunchFY+3)&gt;G158,1,0))</f>
        <v>#VALUE!</v>
      </c>
      <c r="H171" s="1571" t="e">
        <f t="shared" si="108"/>
        <v>#VALUE!</v>
      </c>
      <c r="I171" s="1571" t="e">
        <f t="shared" si="108"/>
        <v>#VALUE!</v>
      </c>
      <c r="J171" s="1571" t="e">
        <f t="shared" si="108"/>
        <v>#VALUE!</v>
      </c>
      <c r="K171" s="1571" t="e">
        <f t="shared" si="108"/>
        <v>#VALUE!</v>
      </c>
      <c r="L171" s="1571" t="e">
        <f t="shared" si="108"/>
        <v>#VALUE!</v>
      </c>
      <c r="M171" s="1571" t="e">
        <f t="shared" si="108"/>
        <v>#VALUE!</v>
      </c>
      <c r="N171" s="1571" t="e">
        <f t="shared" si="108"/>
        <v>#VALUE!</v>
      </c>
      <c r="O171" s="1571" t="e">
        <f t="shared" si="108"/>
        <v>#VALUE!</v>
      </c>
      <c r="P171" s="1571" t="e">
        <f t="shared" si="108"/>
        <v>#VALUE!</v>
      </c>
      <c r="Q171" s="1571" t="e">
        <f t="shared" si="108"/>
        <v>#VALUE!</v>
      </c>
      <c r="R171" s="1571" t="e">
        <f t="shared" si="108"/>
        <v>#VALUE!</v>
      </c>
      <c r="S171" s="1571" t="e">
        <f t="shared" si="108"/>
        <v>#VALUE!</v>
      </c>
      <c r="T171" s="1571" t="e">
        <f t="shared" si="108"/>
        <v>#VALUE!</v>
      </c>
      <c r="U171" s="1571" t="e">
        <f t="shared" si="108"/>
        <v>#VALUE!</v>
      </c>
      <c r="V171" s="1571" t="e">
        <f t="shared" si="108"/>
        <v>#VALUE!</v>
      </c>
      <c r="W171" s="1571" t="e">
        <f t="shared" si="108"/>
        <v>#VALUE!</v>
      </c>
      <c r="X171" s="1571" t="e">
        <f t="shared" si="108"/>
        <v>#VALUE!</v>
      </c>
      <c r="Y171" s="1571" t="e">
        <f t="shared" si="108"/>
        <v>#VALUE!</v>
      </c>
      <c r="Z171" s="1571" t="e">
        <f t="shared" si="108"/>
        <v>#VALUE!</v>
      </c>
      <c r="AA171" s="1571" t="e">
        <f t="shared" si="108"/>
        <v>#VALUE!</v>
      </c>
      <c r="AB171" s="1571" t="e">
        <f t="shared" si="108"/>
        <v>#VALUE!</v>
      </c>
      <c r="AC171" s="1571" t="e">
        <f t="shared" si="108"/>
        <v>#VALUE!</v>
      </c>
      <c r="AD171" s="1571" t="e">
        <f t="shared" si="108"/>
        <v>#VALUE!</v>
      </c>
      <c r="AE171" s="1571" t="e">
        <f t="shared" si="108"/>
        <v>#VALUE!</v>
      </c>
      <c r="AF171" s="1571" t="e">
        <f t="shared" si="108"/>
        <v>#VALUE!</v>
      </c>
      <c r="AG171" s="1571" t="e">
        <f t="shared" si="108"/>
        <v>#VALUE!</v>
      </c>
      <c r="AH171" s="1571" t="e">
        <f t="shared" si="108"/>
        <v>#VALUE!</v>
      </c>
      <c r="AI171" s="1572" t="e">
        <f t="shared" si="108"/>
        <v>#VALUE!</v>
      </c>
      <c r="AJ171" s="1476"/>
      <c r="AK171" s="1082"/>
      <c r="AL171" s="1082"/>
      <c r="AM171" s="1082"/>
      <c r="AN171" s="1116"/>
      <c r="AO171" s="1149"/>
      <c r="AP171" s="1437"/>
      <c r="AQ171" s="1573"/>
      <c r="AR171" s="1571"/>
      <c r="AS171" s="1571"/>
      <c r="AT171" s="1571"/>
      <c r="AU171" s="1571"/>
      <c r="AV171" s="1571"/>
      <c r="AW171" s="1571"/>
      <c r="AX171" s="1571"/>
      <c r="AY171" s="1571"/>
      <c r="AZ171" s="1571"/>
      <c r="BA171" s="1571"/>
      <c r="BB171" s="1571"/>
      <c r="BC171" s="1571"/>
      <c r="BD171" s="1571"/>
      <c r="BE171" s="1571"/>
      <c r="BF171" s="1571"/>
      <c r="BG171" s="1571"/>
      <c r="BH171" s="1571"/>
      <c r="BI171" s="1571"/>
      <c r="BJ171" s="1571"/>
      <c r="BK171" s="1571"/>
      <c r="BL171" s="1571"/>
      <c r="BM171" s="1571"/>
      <c r="BN171" s="1571"/>
      <c r="BO171" s="1571"/>
      <c r="BP171" s="1571"/>
      <c r="BQ171" s="1571"/>
      <c r="BR171" s="1571"/>
      <c r="BS171" s="1572"/>
      <c r="BT171" s="1116"/>
      <c r="BU171" s="1550"/>
      <c r="BV171" s="1082"/>
      <c r="BW171" s="1552"/>
      <c r="BX171" s="1552"/>
    </row>
    <row r="172" spans="1:76" s="1236" customFormat="1" hidden="1" outlineLevel="1" x14ac:dyDescent="0.3">
      <c r="A172" s="1474"/>
      <c r="B172" s="1207" t="s">
        <v>1375</v>
      </c>
      <c r="C172" s="1116"/>
      <c r="D172" s="1116"/>
      <c r="E172" s="1116"/>
      <c r="F172" s="1116"/>
      <c r="G172" s="1574" t="e">
        <f>IF(CurrentFYPriorSub+1="NA",2,IF(Calc!G288&gt;=CurrentFYPriorSub+1,1,0))</f>
        <v>#VALUE!</v>
      </c>
      <c r="H172" s="1556" t="e">
        <f>IF(CurrentFYPriorSub+1="NA",2,IF(Calc!H288&gt;=CurrentFYPriorSub+1,1,0))</f>
        <v>#VALUE!</v>
      </c>
      <c r="I172" s="1556" t="e">
        <f>IF(CurrentFYPriorSub+1="NA",2,IF(Calc!I288&gt;=CurrentFYPriorSub+1,1,0))</f>
        <v>#VALUE!</v>
      </c>
      <c r="J172" s="1556" t="e">
        <f>IF(CurrentFYPriorSub+1="NA",2,IF(Calc!J288&gt;=CurrentFYPriorSub+1,1,0))</f>
        <v>#VALUE!</v>
      </c>
      <c r="K172" s="1556" t="e">
        <f>IF(CurrentFYPriorSub+1="NA",2,IF(Calc!K288&gt;=CurrentFYPriorSub+1,1,0))</f>
        <v>#VALUE!</v>
      </c>
      <c r="L172" s="1556" t="e">
        <f>IF(CurrentFYPriorSub+1="NA",2,IF(Calc!L288&gt;=CurrentFYPriorSub+1,1,0))</f>
        <v>#VALUE!</v>
      </c>
      <c r="M172" s="1556" t="e">
        <f>IF(CurrentFYPriorSub+1="NA",2,IF(Calc!M288&gt;=CurrentFYPriorSub+1,1,0))</f>
        <v>#VALUE!</v>
      </c>
      <c r="N172" s="1556" t="e">
        <f>IF(CurrentFYPriorSub+1="NA",2,IF(Calc!N288&gt;=CurrentFYPriorSub+1,1,0))</f>
        <v>#VALUE!</v>
      </c>
      <c r="O172" s="1556" t="e">
        <f>IF(CurrentFYPriorSub+1="NA",2,IF(Calc!O288&gt;=CurrentFYPriorSub+1,1,0))</f>
        <v>#VALUE!</v>
      </c>
      <c r="P172" s="1556" t="e">
        <f>IF(CurrentFYPriorSub+1="NA",2,IF(Calc!P288&gt;=CurrentFYPriorSub+1,1,0))</f>
        <v>#VALUE!</v>
      </c>
      <c r="Q172" s="1556" t="e">
        <f>IF(CurrentFYPriorSub+1="NA",2,IF(Calc!Q288&gt;=CurrentFYPriorSub+1,1,0))</f>
        <v>#VALUE!</v>
      </c>
      <c r="R172" s="1556" t="e">
        <f>IF(CurrentFYPriorSub+1="NA",2,IF(Calc!R288&gt;=CurrentFYPriorSub+1,1,0))</f>
        <v>#VALUE!</v>
      </c>
      <c r="S172" s="1556" t="e">
        <f>IF(CurrentFYPriorSub+1="NA",2,IF(Calc!S288&gt;=CurrentFYPriorSub+1,1,0))</f>
        <v>#VALUE!</v>
      </c>
      <c r="T172" s="1556" t="e">
        <f>IF(CurrentFYPriorSub+1="NA",2,IF(Calc!T288&gt;=CurrentFYPriorSub+1,1,0))</f>
        <v>#VALUE!</v>
      </c>
      <c r="U172" s="1556" t="e">
        <f>IF(CurrentFYPriorSub+1="NA",2,IF(Calc!U288&gt;=CurrentFYPriorSub+1,1,0))</f>
        <v>#VALUE!</v>
      </c>
      <c r="V172" s="1556" t="e">
        <f>IF(CurrentFYPriorSub+1="NA",2,IF(Calc!V288&gt;=CurrentFYPriorSub+1,1,0))</f>
        <v>#VALUE!</v>
      </c>
      <c r="W172" s="1556" t="e">
        <f>IF(CurrentFYPriorSub+1="NA",2,IF(Calc!W288&gt;=CurrentFYPriorSub+1,1,0))</f>
        <v>#VALUE!</v>
      </c>
      <c r="X172" s="1556" t="e">
        <f>IF(CurrentFYPriorSub+1="NA",2,IF(Calc!X288&gt;=CurrentFYPriorSub+1,1,0))</f>
        <v>#VALUE!</v>
      </c>
      <c r="Y172" s="1556" t="e">
        <f>IF(CurrentFYPriorSub+1="NA",2,IF(Calc!Y288&gt;=CurrentFYPriorSub+1,1,0))</f>
        <v>#VALUE!</v>
      </c>
      <c r="Z172" s="1556" t="e">
        <f>IF(CurrentFYPriorSub+1="NA",2,IF(Calc!Z288&gt;=CurrentFYPriorSub+1,1,0))</f>
        <v>#VALUE!</v>
      </c>
      <c r="AA172" s="1556" t="e">
        <f>IF(CurrentFYPriorSub+1="NA",2,IF(Calc!AA288&gt;=CurrentFYPriorSub+1,1,0))</f>
        <v>#VALUE!</v>
      </c>
      <c r="AB172" s="1556" t="e">
        <f>IF(CurrentFYPriorSub+1="NA",2,IF(Calc!AB288&gt;=CurrentFYPriorSub+1,1,0))</f>
        <v>#VALUE!</v>
      </c>
      <c r="AC172" s="1556" t="e">
        <f>IF(CurrentFYPriorSub+1="NA",2,IF(Calc!AC288&gt;=CurrentFYPriorSub+1,1,0))</f>
        <v>#VALUE!</v>
      </c>
      <c r="AD172" s="1556" t="e">
        <f>IF(CurrentFYPriorSub+1="NA",2,IF(Calc!AD288&gt;=CurrentFYPriorSub+1,1,0))</f>
        <v>#VALUE!</v>
      </c>
      <c r="AE172" s="1556" t="e">
        <f>IF(CurrentFYPriorSub+1="NA",2,IF(Calc!AE288&gt;=CurrentFYPriorSub+1,1,0))</f>
        <v>#VALUE!</v>
      </c>
      <c r="AF172" s="1556" t="e">
        <f>IF(CurrentFYPriorSub+1="NA",2,IF(Calc!AF288&gt;=CurrentFYPriorSub+1,1,0))</f>
        <v>#VALUE!</v>
      </c>
      <c r="AG172" s="1556" t="e">
        <f>IF(CurrentFYPriorSub+1="NA",2,IF(Calc!AG288&gt;=CurrentFYPriorSub+1,1,0))</f>
        <v>#VALUE!</v>
      </c>
      <c r="AH172" s="1556" t="e">
        <f>IF(CurrentFYPriorSub+1="NA",2,IF(Calc!AH288&gt;=CurrentFYPriorSub+1,1,0))</f>
        <v>#VALUE!</v>
      </c>
      <c r="AI172" s="1575" t="e">
        <f>IF(CurrentFYPriorSub+1="NA",2,IF(Calc!AI288&gt;=CurrentFYPriorSub+1,1,0))</f>
        <v>#VALUE!</v>
      </c>
      <c r="AJ172" s="1476"/>
      <c r="AK172" s="1713" t="s">
        <v>1376</v>
      </c>
      <c r="AL172" s="1218"/>
      <c r="AM172" s="1412"/>
      <c r="AN172" s="1116"/>
      <c r="AO172" s="1149"/>
      <c r="AP172" s="1437"/>
      <c r="AQ172" s="1577"/>
      <c r="AR172" s="1556"/>
      <c r="AS172" s="1556"/>
      <c r="AT172" s="1556"/>
      <c r="AU172" s="1556"/>
      <c r="AV172" s="1556"/>
      <c r="AW172" s="1556"/>
      <c r="AX172" s="1556"/>
      <c r="AY172" s="1556"/>
      <c r="AZ172" s="1556"/>
      <c r="BA172" s="1556"/>
      <c r="BB172" s="1556"/>
      <c r="BC172" s="1556"/>
      <c r="BD172" s="1556"/>
      <c r="BE172" s="1556"/>
      <c r="BF172" s="1556"/>
      <c r="BG172" s="1556"/>
      <c r="BH172" s="1556"/>
      <c r="BI172" s="1556"/>
      <c r="BJ172" s="1556"/>
      <c r="BK172" s="1556"/>
      <c r="BL172" s="1556"/>
      <c r="BM172" s="1556"/>
      <c r="BN172" s="1556"/>
      <c r="BO172" s="1556"/>
      <c r="BP172" s="1556"/>
      <c r="BQ172" s="1556"/>
      <c r="BR172" s="1556"/>
      <c r="BS172" s="1575"/>
      <c r="BT172" s="1116"/>
      <c r="BU172" s="1550"/>
      <c r="BV172" s="1082"/>
      <c r="BW172" s="1552"/>
      <c r="BX172" s="1552"/>
    </row>
    <row r="173" spans="1:76" s="1236" customFormat="1" hidden="1" outlineLevel="1" x14ac:dyDescent="0.3">
      <c r="A173" s="1474"/>
      <c r="B173" s="1207" t="s">
        <v>1377</v>
      </c>
      <c r="C173" s="1116"/>
      <c r="D173" s="1116"/>
      <c r="E173" s="1116"/>
      <c r="F173" s="1116"/>
      <c r="G173" s="1574" t="e">
        <f t="shared" ref="G173:AI173" si="109">AND(G158&gt;=CurrentFYPriorSub+1,G158&lt;=CurrentFYPriorSub+9+1)</f>
        <v>#VALUE!</v>
      </c>
      <c r="H173" s="1556" t="e">
        <f t="shared" si="109"/>
        <v>#VALUE!</v>
      </c>
      <c r="I173" s="1556" t="e">
        <f t="shared" si="109"/>
        <v>#VALUE!</v>
      </c>
      <c r="J173" s="1556" t="e">
        <f t="shared" si="109"/>
        <v>#VALUE!</v>
      </c>
      <c r="K173" s="1556" t="e">
        <f t="shared" si="109"/>
        <v>#VALUE!</v>
      </c>
      <c r="L173" s="1556" t="e">
        <f t="shared" si="109"/>
        <v>#VALUE!</v>
      </c>
      <c r="M173" s="1556" t="e">
        <f t="shared" si="109"/>
        <v>#VALUE!</v>
      </c>
      <c r="N173" s="1556" t="e">
        <f t="shared" si="109"/>
        <v>#VALUE!</v>
      </c>
      <c r="O173" s="1556" t="e">
        <f t="shared" si="109"/>
        <v>#VALUE!</v>
      </c>
      <c r="P173" s="1556" t="e">
        <f t="shared" si="109"/>
        <v>#VALUE!</v>
      </c>
      <c r="Q173" s="1556" t="e">
        <f t="shared" si="109"/>
        <v>#VALUE!</v>
      </c>
      <c r="R173" s="1556" t="e">
        <f t="shared" si="109"/>
        <v>#VALUE!</v>
      </c>
      <c r="S173" s="1556" t="e">
        <f t="shared" si="109"/>
        <v>#VALUE!</v>
      </c>
      <c r="T173" s="1556" t="e">
        <f t="shared" si="109"/>
        <v>#VALUE!</v>
      </c>
      <c r="U173" s="1556" t="e">
        <f t="shared" si="109"/>
        <v>#VALUE!</v>
      </c>
      <c r="V173" s="1556" t="e">
        <f t="shared" si="109"/>
        <v>#VALUE!</v>
      </c>
      <c r="W173" s="1556" t="e">
        <f t="shared" si="109"/>
        <v>#VALUE!</v>
      </c>
      <c r="X173" s="1556" t="e">
        <f t="shared" si="109"/>
        <v>#VALUE!</v>
      </c>
      <c r="Y173" s="1556" t="e">
        <f t="shared" si="109"/>
        <v>#VALUE!</v>
      </c>
      <c r="Z173" s="1556" t="e">
        <f t="shared" si="109"/>
        <v>#VALUE!</v>
      </c>
      <c r="AA173" s="1556" t="e">
        <f t="shared" si="109"/>
        <v>#VALUE!</v>
      </c>
      <c r="AB173" s="1556" t="e">
        <f t="shared" si="109"/>
        <v>#VALUE!</v>
      </c>
      <c r="AC173" s="1556" t="e">
        <f t="shared" si="109"/>
        <v>#VALUE!</v>
      </c>
      <c r="AD173" s="1556" t="e">
        <f t="shared" si="109"/>
        <v>#VALUE!</v>
      </c>
      <c r="AE173" s="1556" t="e">
        <f t="shared" si="109"/>
        <v>#VALUE!</v>
      </c>
      <c r="AF173" s="1556" t="e">
        <f t="shared" si="109"/>
        <v>#VALUE!</v>
      </c>
      <c r="AG173" s="1556" t="e">
        <f t="shared" si="109"/>
        <v>#VALUE!</v>
      </c>
      <c r="AH173" s="1556" t="e">
        <f t="shared" si="109"/>
        <v>#VALUE!</v>
      </c>
      <c r="AI173" s="1575" t="e">
        <f t="shared" si="109"/>
        <v>#VALUE!</v>
      </c>
      <c r="AJ173" s="1476"/>
      <c r="AK173" s="1580" t="s">
        <v>1378</v>
      </c>
      <c r="AL173" s="1476"/>
      <c r="AM173" s="1197"/>
      <c r="AN173" s="1116"/>
      <c r="AO173" s="1149" t="s">
        <v>1379</v>
      </c>
      <c r="AP173" s="1437"/>
      <c r="AQ173" s="1577" t="e">
        <f t="shared" ref="AQ173:BS173" si="110">AND(AQ158&gt;=CurrentFYPriorSub+1,AQ158&lt;=CurrentFYPriorSub+14+1)</f>
        <v>#VALUE!</v>
      </c>
      <c r="AR173" s="1556" t="e">
        <f t="shared" si="110"/>
        <v>#VALUE!</v>
      </c>
      <c r="AS173" s="1556" t="e">
        <f t="shared" si="110"/>
        <v>#VALUE!</v>
      </c>
      <c r="AT173" s="1556" t="e">
        <f t="shared" si="110"/>
        <v>#VALUE!</v>
      </c>
      <c r="AU173" s="1556" t="e">
        <f t="shared" si="110"/>
        <v>#VALUE!</v>
      </c>
      <c r="AV173" s="1556" t="e">
        <f t="shared" si="110"/>
        <v>#VALUE!</v>
      </c>
      <c r="AW173" s="1556" t="e">
        <f t="shared" si="110"/>
        <v>#VALUE!</v>
      </c>
      <c r="AX173" s="1556" t="e">
        <f t="shared" si="110"/>
        <v>#VALUE!</v>
      </c>
      <c r="AY173" s="1556" t="e">
        <f t="shared" si="110"/>
        <v>#VALUE!</v>
      </c>
      <c r="AZ173" s="1556" t="e">
        <f t="shared" si="110"/>
        <v>#VALUE!</v>
      </c>
      <c r="BA173" s="1556" t="e">
        <f t="shared" si="110"/>
        <v>#VALUE!</v>
      </c>
      <c r="BB173" s="1556" t="e">
        <f t="shared" si="110"/>
        <v>#VALUE!</v>
      </c>
      <c r="BC173" s="1556" t="e">
        <f t="shared" si="110"/>
        <v>#VALUE!</v>
      </c>
      <c r="BD173" s="1556" t="e">
        <f t="shared" si="110"/>
        <v>#VALUE!</v>
      </c>
      <c r="BE173" s="1556" t="e">
        <f t="shared" si="110"/>
        <v>#VALUE!</v>
      </c>
      <c r="BF173" s="1556" t="e">
        <f t="shared" si="110"/>
        <v>#VALUE!</v>
      </c>
      <c r="BG173" s="1556" t="e">
        <f t="shared" si="110"/>
        <v>#VALUE!</v>
      </c>
      <c r="BH173" s="1556" t="e">
        <f t="shared" si="110"/>
        <v>#VALUE!</v>
      </c>
      <c r="BI173" s="1556" t="e">
        <f t="shared" si="110"/>
        <v>#VALUE!</v>
      </c>
      <c r="BJ173" s="1556" t="e">
        <f t="shared" si="110"/>
        <v>#VALUE!</v>
      </c>
      <c r="BK173" s="1556" t="e">
        <f t="shared" si="110"/>
        <v>#VALUE!</v>
      </c>
      <c r="BL173" s="1556" t="e">
        <f t="shared" si="110"/>
        <v>#VALUE!</v>
      </c>
      <c r="BM173" s="1556" t="e">
        <f t="shared" si="110"/>
        <v>#VALUE!</v>
      </c>
      <c r="BN173" s="1556" t="e">
        <f t="shared" si="110"/>
        <v>#VALUE!</v>
      </c>
      <c r="BO173" s="1556" t="e">
        <f t="shared" si="110"/>
        <v>#VALUE!</v>
      </c>
      <c r="BP173" s="1556" t="e">
        <f t="shared" si="110"/>
        <v>#VALUE!</v>
      </c>
      <c r="BQ173" s="1556" t="e">
        <f t="shared" si="110"/>
        <v>#VALUE!</v>
      </c>
      <c r="BR173" s="1556" t="e">
        <f t="shared" si="110"/>
        <v>#VALUE!</v>
      </c>
      <c r="BS173" s="1575" t="e">
        <f t="shared" si="110"/>
        <v>#VALUE!</v>
      </c>
      <c r="BT173" s="1116"/>
      <c r="BU173" s="1550"/>
      <c r="BV173" s="1082"/>
      <c r="BW173" s="1552"/>
      <c r="BX173" s="1552"/>
    </row>
    <row r="174" spans="1:76" s="1236" customFormat="1" hidden="1" outlineLevel="1" x14ac:dyDescent="0.3">
      <c r="A174" s="1474"/>
      <c r="B174" s="1207" t="s">
        <v>1380</v>
      </c>
      <c r="C174" s="1116"/>
      <c r="D174" s="1116"/>
      <c r="E174" s="1116"/>
      <c r="F174" s="1116"/>
      <c r="G174" s="1581" t="e">
        <f t="shared" ref="G174:AI174" si="111">IF(G158=CurrentFYPriorSub+1,0,IF(G158&gt;CurrentFYPriorSub+1,F174+1,))</f>
        <v>#VALUE!</v>
      </c>
      <c r="H174" s="1116" t="e">
        <f t="shared" si="111"/>
        <v>#VALUE!</v>
      </c>
      <c r="I174" s="1116" t="e">
        <f t="shared" si="111"/>
        <v>#VALUE!</v>
      </c>
      <c r="J174" s="1116" t="e">
        <f t="shared" si="111"/>
        <v>#VALUE!</v>
      </c>
      <c r="K174" s="1116" t="e">
        <f t="shared" si="111"/>
        <v>#VALUE!</v>
      </c>
      <c r="L174" s="1116" t="e">
        <f t="shared" si="111"/>
        <v>#VALUE!</v>
      </c>
      <c r="M174" s="1116" t="e">
        <f t="shared" si="111"/>
        <v>#VALUE!</v>
      </c>
      <c r="N174" s="1116" t="e">
        <f t="shared" si="111"/>
        <v>#VALUE!</v>
      </c>
      <c r="O174" s="1116" t="e">
        <f t="shared" si="111"/>
        <v>#VALUE!</v>
      </c>
      <c r="P174" s="1116" t="e">
        <f t="shared" si="111"/>
        <v>#VALUE!</v>
      </c>
      <c r="Q174" s="1116" t="e">
        <f t="shared" si="111"/>
        <v>#VALUE!</v>
      </c>
      <c r="R174" s="1116" t="e">
        <f t="shared" si="111"/>
        <v>#VALUE!</v>
      </c>
      <c r="S174" s="1116" t="e">
        <f t="shared" si="111"/>
        <v>#VALUE!</v>
      </c>
      <c r="T174" s="1116" t="e">
        <f t="shared" si="111"/>
        <v>#VALUE!</v>
      </c>
      <c r="U174" s="1116" t="e">
        <f t="shared" si="111"/>
        <v>#VALUE!</v>
      </c>
      <c r="V174" s="1116" t="e">
        <f t="shared" si="111"/>
        <v>#VALUE!</v>
      </c>
      <c r="W174" s="1116" t="e">
        <f t="shared" si="111"/>
        <v>#VALUE!</v>
      </c>
      <c r="X174" s="1116" t="e">
        <f t="shared" si="111"/>
        <v>#VALUE!</v>
      </c>
      <c r="Y174" s="1116" t="e">
        <f t="shared" si="111"/>
        <v>#VALUE!</v>
      </c>
      <c r="Z174" s="1116" t="e">
        <f t="shared" si="111"/>
        <v>#VALUE!</v>
      </c>
      <c r="AA174" s="1116" t="e">
        <f t="shared" si="111"/>
        <v>#VALUE!</v>
      </c>
      <c r="AB174" s="1116" t="e">
        <f t="shared" si="111"/>
        <v>#VALUE!</v>
      </c>
      <c r="AC174" s="1116" t="e">
        <f t="shared" si="111"/>
        <v>#VALUE!</v>
      </c>
      <c r="AD174" s="1116" t="e">
        <f t="shared" si="111"/>
        <v>#VALUE!</v>
      </c>
      <c r="AE174" s="1116" t="e">
        <f t="shared" si="111"/>
        <v>#VALUE!</v>
      </c>
      <c r="AF174" s="1116" t="e">
        <f t="shared" si="111"/>
        <v>#VALUE!</v>
      </c>
      <c r="AG174" s="1116" t="e">
        <f t="shared" si="111"/>
        <v>#VALUE!</v>
      </c>
      <c r="AH174" s="1116" t="e">
        <f t="shared" si="111"/>
        <v>#VALUE!</v>
      </c>
      <c r="AI174" s="1477" t="e">
        <f t="shared" si="111"/>
        <v>#VALUE!</v>
      </c>
      <c r="AJ174" s="1476"/>
      <c r="AK174" s="1543" t="s">
        <v>1381</v>
      </c>
      <c r="AL174" s="1582">
        <v>10</v>
      </c>
      <c r="AM174" s="1583">
        <v>15</v>
      </c>
      <c r="AN174" s="1116"/>
      <c r="AO174" s="1149"/>
      <c r="AP174" s="1437"/>
      <c r="AQ174" s="1207" t="e">
        <f t="shared" ref="AQ174:BS174" si="112">IF(AQ158=CurrentFYPriorSub+1,0,IF(AQ158&gt;CurrentFYPriorSub+1,AP174+1,))</f>
        <v>#VALUE!</v>
      </c>
      <c r="AR174" s="1116" t="e">
        <f t="shared" si="112"/>
        <v>#VALUE!</v>
      </c>
      <c r="AS174" s="1116" t="e">
        <f t="shared" si="112"/>
        <v>#VALUE!</v>
      </c>
      <c r="AT174" s="1116" t="e">
        <f t="shared" si="112"/>
        <v>#VALUE!</v>
      </c>
      <c r="AU174" s="1116" t="e">
        <f t="shared" si="112"/>
        <v>#VALUE!</v>
      </c>
      <c r="AV174" s="1116" t="e">
        <f t="shared" si="112"/>
        <v>#VALUE!</v>
      </c>
      <c r="AW174" s="1116" t="e">
        <f t="shared" si="112"/>
        <v>#VALUE!</v>
      </c>
      <c r="AX174" s="1116" t="e">
        <f t="shared" si="112"/>
        <v>#VALUE!</v>
      </c>
      <c r="AY174" s="1116" t="e">
        <f t="shared" si="112"/>
        <v>#VALUE!</v>
      </c>
      <c r="AZ174" s="1116" t="e">
        <f t="shared" si="112"/>
        <v>#VALUE!</v>
      </c>
      <c r="BA174" s="1116" t="e">
        <f t="shared" si="112"/>
        <v>#VALUE!</v>
      </c>
      <c r="BB174" s="1116" t="e">
        <f t="shared" si="112"/>
        <v>#VALUE!</v>
      </c>
      <c r="BC174" s="1116" t="e">
        <f t="shared" si="112"/>
        <v>#VALUE!</v>
      </c>
      <c r="BD174" s="1116" t="e">
        <f t="shared" si="112"/>
        <v>#VALUE!</v>
      </c>
      <c r="BE174" s="1116" t="e">
        <f t="shared" si="112"/>
        <v>#VALUE!</v>
      </c>
      <c r="BF174" s="1116" t="e">
        <f t="shared" si="112"/>
        <v>#VALUE!</v>
      </c>
      <c r="BG174" s="1116" t="e">
        <f t="shared" si="112"/>
        <v>#VALUE!</v>
      </c>
      <c r="BH174" s="1116" t="e">
        <f t="shared" si="112"/>
        <v>#VALUE!</v>
      </c>
      <c r="BI174" s="1116" t="e">
        <f t="shared" si="112"/>
        <v>#VALUE!</v>
      </c>
      <c r="BJ174" s="1116" t="e">
        <f t="shared" si="112"/>
        <v>#VALUE!</v>
      </c>
      <c r="BK174" s="1116" t="e">
        <f t="shared" si="112"/>
        <v>#VALUE!</v>
      </c>
      <c r="BL174" s="1116" t="e">
        <f t="shared" si="112"/>
        <v>#VALUE!</v>
      </c>
      <c r="BM174" s="1116" t="e">
        <f t="shared" si="112"/>
        <v>#VALUE!</v>
      </c>
      <c r="BN174" s="1116" t="e">
        <f t="shared" si="112"/>
        <v>#VALUE!</v>
      </c>
      <c r="BO174" s="1116" t="e">
        <f t="shared" si="112"/>
        <v>#VALUE!</v>
      </c>
      <c r="BP174" s="1116" t="e">
        <f t="shared" si="112"/>
        <v>#VALUE!</v>
      </c>
      <c r="BQ174" s="1116" t="e">
        <f t="shared" si="112"/>
        <v>#VALUE!</v>
      </c>
      <c r="BR174" s="1116" t="e">
        <f t="shared" si="112"/>
        <v>#VALUE!</v>
      </c>
      <c r="BS174" s="1477" t="e">
        <f t="shared" si="112"/>
        <v>#VALUE!</v>
      </c>
      <c r="BT174" s="1116"/>
      <c r="BU174" s="1550"/>
      <c r="BV174" s="1082"/>
      <c r="BW174" s="1552"/>
      <c r="BX174" s="1552"/>
    </row>
    <row r="175" spans="1:76" s="1236" customFormat="1" hidden="1" outlineLevel="1" x14ac:dyDescent="0.3">
      <c r="A175" s="1474"/>
      <c r="B175" s="1150" t="s">
        <v>1382</v>
      </c>
      <c r="C175" s="1232"/>
      <c r="D175" s="1232"/>
      <c r="E175" s="1232"/>
      <c r="F175" s="1232"/>
      <c r="G175" s="1588" t="e">
        <f t="shared" ref="G175:AI175" si="113">IF(AND(G158&gt;=CurrentFYPriorSub+1,G158&lt;=CurrentFYPriorSub+9+1),1,0)</f>
        <v>#VALUE!</v>
      </c>
      <c r="H175" s="1232" t="e">
        <f t="shared" si="113"/>
        <v>#VALUE!</v>
      </c>
      <c r="I175" s="1232" t="e">
        <f t="shared" si="113"/>
        <v>#VALUE!</v>
      </c>
      <c r="J175" s="1232" t="e">
        <f t="shared" si="113"/>
        <v>#VALUE!</v>
      </c>
      <c r="K175" s="1232" t="e">
        <f t="shared" si="113"/>
        <v>#VALUE!</v>
      </c>
      <c r="L175" s="1232" t="e">
        <f t="shared" si="113"/>
        <v>#VALUE!</v>
      </c>
      <c r="M175" s="1232" t="e">
        <f t="shared" si="113"/>
        <v>#VALUE!</v>
      </c>
      <c r="N175" s="1232" t="e">
        <f t="shared" si="113"/>
        <v>#VALUE!</v>
      </c>
      <c r="O175" s="1232" t="e">
        <f t="shared" si="113"/>
        <v>#VALUE!</v>
      </c>
      <c r="P175" s="1232" t="e">
        <f t="shared" si="113"/>
        <v>#VALUE!</v>
      </c>
      <c r="Q175" s="1232" t="e">
        <f t="shared" si="113"/>
        <v>#VALUE!</v>
      </c>
      <c r="R175" s="1232" t="e">
        <f t="shared" si="113"/>
        <v>#VALUE!</v>
      </c>
      <c r="S175" s="1232" t="e">
        <f t="shared" si="113"/>
        <v>#VALUE!</v>
      </c>
      <c r="T175" s="1232" t="e">
        <f t="shared" si="113"/>
        <v>#VALUE!</v>
      </c>
      <c r="U175" s="1232" t="e">
        <f t="shared" si="113"/>
        <v>#VALUE!</v>
      </c>
      <c r="V175" s="1232" t="e">
        <f t="shared" si="113"/>
        <v>#VALUE!</v>
      </c>
      <c r="W175" s="1232" t="e">
        <f t="shared" si="113"/>
        <v>#VALUE!</v>
      </c>
      <c r="X175" s="1232" t="e">
        <f t="shared" si="113"/>
        <v>#VALUE!</v>
      </c>
      <c r="Y175" s="1232" t="e">
        <f t="shared" si="113"/>
        <v>#VALUE!</v>
      </c>
      <c r="Z175" s="1232" t="e">
        <f t="shared" si="113"/>
        <v>#VALUE!</v>
      </c>
      <c r="AA175" s="1232" t="e">
        <f t="shared" si="113"/>
        <v>#VALUE!</v>
      </c>
      <c r="AB175" s="1232" t="e">
        <f t="shared" si="113"/>
        <v>#VALUE!</v>
      </c>
      <c r="AC175" s="1232" t="e">
        <f t="shared" si="113"/>
        <v>#VALUE!</v>
      </c>
      <c r="AD175" s="1232" t="e">
        <f t="shared" si="113"/>
        <v>#VALUE!</v>
      </c>
      <c r="AE175" s="1232" t="e">
        <f t="shared" si="113"/>
        <v>#VALUE!</v>
      </c>
      <c r="AF175" s="1232" t="e">
        <f t="shared" si="113"/>
        <v>#VALUE!</v>
      </c>
      <c r="AG175" s="1232" t="e">
        <f t="shared" si="113"/>
        <v>#VALUE!</v>
      </c>
      <c r="AH175" s="1232" t="e">
        <f t="shared" si="113"/>
        <v>#VALUE!</v>
      </c>
      <c r="AI175" s="1435" t="e">
        <f t="shared" si="113"/>
        <v>#VALUE!</v>
      </c>
      <c r="AJ175" s="1476"/>
      <c r="AK175" s="1589">
        <f>Calc!$G$113</f>
        <v>18</v>
      </c>
      <c r="AL175" s="1590">
        <f>IF($AK175=Calc!$G$113,Calc!G233+NPV(DiscRPriorSub,(Calc!H233:O233,Calc!P238)),0)</f>
        <v>107278.90231137394</v>
      </c>
      <c r="AM175" s="1591">
        <f>IF($AK175=Calc!$G$113,Calc!G233+NPV(DiscRPriorSub,(Calc!H233:T233,Calc!U238)),0)</f>
        <v>539214.89360557648</v>
      </c>
      <c r="AN175" s="1116"/>
      <c r="AO175" s="1592" t="s">
        <v>1383</v>
      </c>
      <c r="AP175" s="1593"/>
      <c r="AQ175" s="1150" t="e">
        <f t="shared" ref="AQ175:BS175" si="114">IF(AND(G158&gt;=CurrentFYPriorSub+1,G158&lt;=CurrentFYPriorSub+14+1),1,0)</f>
        <v>#VALUE!</v>
      </c>
      <c r="AR175" s="1232" t="e">
        <f t="shared" si="114"/>
        <v>#VALUE!</v>
      </c>
      <c r="AS175" s="1232" t="e">
        <f t="shared" si="114"/>
        <v>#VALUE!</v>
      </c>
      <c r="AT175" s="1232" t="e">
        <f t="shared" si="114"/>
        <v>#VALUE!</v>
      </c>
      <c r="AU175" s="1232" t="e">
        <f t="shared" si="114"/>
        <v>#VALUE!</v>
      </c>
      <c r="AV175" s="1232" t="e">
        <f t="shared" si="114"/>
        <v>#VALUE!</v>
      </c>
      <c r="AW175" s="1232" t="e">
        <f t="shared" si="114"/>
        <v>#VALUE!</v>
      </c>
      <c r="AX175" s="1232" t="e">
        <f t="shared" si="114"/>
        <v>#VALUE!</v>
      </c>
      <c r="AY175" s="1232" t="e">
        <f t="shared" si="114"/>
        <v>#VALUE!</v>
      </c>
      <c r="AZ175" s="1232" t="e">
        <f t="shared" si="114"/>
        <v>#VALUE!</v>
      </c>
      <c r="BA175" s="1232" t="e">
        <f t="shared" si="114"/>
        <v>#VALUE!</v>
      </c>
      <c r="BB175" s="1232" t="e">
        <f t="shared" si="114"/>
        <v>#VALUE!</v>
      </c>
      <c r="BC175" s="1232" t="e">
        <f t="shared" si="114"/>
        <v>#VALUE!</v>
      </c>
      <c r="BD175" s="1232" t="e">
        <f t="shared" si="114"/>
        <v>#VALUE!</v>
      </c>
      <c r="BE175" s="1232" t="e">
        <f t="shared" si="114"/>
        <v>#VALUE!</v>
      </c>
      <c r="BF175" s="1232" t="e">
        <f t="shared" si="114"/>
        <v>#VALUE!</v>
      </c>
      <c r="BG175" s="1232" t="e">
        <f t="shared" si="114"/>
        <v>#VALUE!</v>
      </c>
      <c r="BH175" s="1232" t="e">
        <f t="shared" si="114"/>
        <v>#VALUE!</v>
      </c>
      <c r="BI175" s="1232" t="e">
        <f t="shared" si="114"/>
        <v>#VALUE!</v>
      </c>
      <c r="BJ175" s="1232" t="e">
        <f t="shared" si="114"/>
        <v>#VALUE!</v>
      </c>
      <c r="BK175" s="1232" t="e">
        <f t="shared" si="114"/>
        <v>#VALUE!</v>
      </c>
      <c r="BL175" s="1232" t="e">
        <f t="shared" si="114"/>
        <v>#VALUE!</v>
      </c>
      <c r="BM175" s="1232" t="e">
        <f t="shared" si="114"/>
        <v>#VALUE!</v>
      </c>
      <c r="BN175" s="1232" t="e">
        <f t="shared" si="114"/>
        <v>#VALUE!</v>
      </c>
      <c r="BO175" s="1232" t="e">
        <f t="shared" si="114"/>
        <v>#VALUE!</v>
      </c>
      <c r="BP175" s="1232" t="e">
        <f t="shared" si="114"/>
        <v>#VALUE!</v>
      </c>
      <c r="BQ175" s="1232" t="e">
        <f t="shared" si="114"/>
        <v>#VALUE!</v>
      </c>
      <c r="BR175" s="1232" t="e">
        <f t="shared" si="114"/>
        <v>#VALUE!</v>
      </c>
      <c r="BS175" s="1435" t="e">
        <f t="shared" si="114"/>
        <v>#VALUE!</v>
      </c>
      <c r="BT175" s="1116"/>
      <c r="BU175" s="1550"/>
      <c r="BV175" s="1082"/>
      <c r="BW175" s="1552"/>
      <c r="BX175" s="1552"/>
    </row>
    <row r="176" spans="1:76" s="1236" customFormat="1" hidden="1" outlineLevel="1" x14ac:dyDescent="0.3">
      <c r="A176" s="1474"/>
      <c r="B176" s="1116"/>
      <c r="C176" s="1116"/>
      <c r="D176" s="1116"/>
      <c r="E176" s="1116"/>
      <c r="F176" s="1116"/>
      <c r="G176" s="1116"/>
      <c r="H176" s="1116"/>
      <c r="I176" s="1116"/>
      <c r="J176" s="1116"/>
      <c r="K176" s="1116"/>
      <c r="L176" s="1116"/>
      <c r="M176" s="1116"/>
      <c r="N176" s="1116"/>
      <c r="O176" s="1116"/>
      <c r="P176" s="1116"/>
      <c r="Q176" s="1116"/>
      <c r="R176" s="1116"/>
      <c r="S176" s="1116"/>
      <c r="T176" s="1116"/>
      <c r="U176" s="1116"/>
      <c r="V176" s="1116"/>
      <c r="W176" s="1116"/>
      <c r="X176" s="1116"/>
      <c r="Y176" s="1116"/>
      <c r="Z176" s="1116"/>
      <c r="AA176" s="1116"/>
      <c r="AB176" s="1116"/>
      <c r="AC176" s="1116"/>
      <c r="AD176" s="1116"/>
      <c r="AE176" s="1116"/>
      <c r="AF176" s="1116"/>
      <c r="AG176" s="1116"/>
      <c r="AH176" s="1116"/>
      <c r="AI176" s="1116"/>
      <c r="AJ176" s="1476"/>
      <c r="AK176" s="1589">
        <f>AK175+1</f>
        <v>19</v>
      </c>
      <c r="AL176" s="1594">
        <f>IF($AK176=Calc!$H$113,Calc!H233+NPV(DiscRPriorSub,(Calc!I233:P233,Calc!Q238)),0)</f>
        <v>181080.90174852492</v>
      </c>
      <c r="AM176" s="1595">
        <f>IF($AK176=Calc!$H$113,Calc!H233+NPV(DiscRPriorSub,(Calc!I233:U233,Calc!V238)),0)</f>
        <v>664306.81448364118</v>
      </c>
      <c r="AN176" s="1116"/>
      <c r="AO176" s="1149"/>
      <c r="AP176" s="1142"/>
      <c r="AQ176" s="1142"/>
      <c r="AR176" s="1142"/>
      <c r="AS176" s="1142"/>
      <c r="AT176" s="1142"/>
      <c r="AU176" s="1142"/>
      <c r="AV176" s="1142"/>
      <c r="AW176" s="1142"/>
      <c r="AX176" s="1142"/>
      <c r="AY176" s="1142"/>
      <c r="AZ176" s="1142"/>
      <c r="BA176" s="1142"/>
      <c r="BB176" s="1142"/>
      <c r="BC176" s="1142"/>
      <c r="BD176" s="1142"/>
      <c r="BE176" s="1142"/>
      <c r="BF176" s="1142"/>
      <c r="BG176" s="1142"/>
      <c r="BH176" s="1142"/>
      <c r="BI176" s="1142"/>
      <c r="BJ176" s="1142"/>
      <c r="BK176" s="1142"/>
      <c r="BL176" s="1142"/>
      <c r="BM176" s="1142"/>
      <c r="BN176" s="1142"/>
      <c r="BO176" s="1142"/>
      <c r="BP176" s="1142"/>
      <c r="BQ176" s="1142"/>
      <c r="BR176" s="1142"/>
      <c r="BS176" s="1142"/>
      <c r="BT176" s="1116"/>
      <c r="BU176" s="1550"/>
      <c r="BV176" s="1082"/>
      <c r="BW176" s="1552"/>
      <c r="BX176" s="1552"/>
    </row>
    <row r="177" spans="1:76" s="1236" customFormat="1" hidden="1" outlineLevel="1" x14ac:dyDescent="0.3">
      <c r="A177" s="1474"/>
      <c r="B177" s="1479" t="s">
        <v>1384</v>
      </c>
      <c r="C177" s="1218"/>
      <c r="D177" s="1218"/>
      <c r="E177" s="1218"/>
      <c r="F177" s="1218"/>
      <c r="G177" s="1218"/>
      <c r="H177" s="1218"/>
      <c r="I177" s="1218"/>
      <c r="J177" s="1218"/>
      <c r="K177" s="1218"/>
      <c r="L177" s="1218"/>
      <c r="M177" s="1218"/>
      <c r="N177" s="1218"/>
      <c r="O177" s="1218"/>
      <c r="P177" s="1218"/>
      <c r="Q177" s="1218"/>
      <c r="R177" s="1218"/>
      <c r="S177" s="1218"/>
      <c r="T177" s="1218"/>
      <c r="U177" s="1218"/>
      <c r="V177" s="1218"/>
      <c r="W177" s="1218"/>
      <c r="X177" s="1218"/>
      <c r="Y177" s="1218"/>
      <c r="Z177" s="1218"/>
      <c r="AA177" s="1218"/>
      <c r="AB177" s="1218"/>
      <c r="AC177" s="1218"/>
      <c r="AD177" s="1218"/>
      <c r="AE177" s="1218"/>
      <c r="AF177" s="1218"/>
      <c r="AG177" s="1218"/>
      <c r="AH177" s="1218"/>
      <c r="AI177" s="1412"/>
      <c r="AJ177" s="1476"/>
      <c r="AK177" s="1597">
        <f t="shared" ref="AK177:AK187" si="115">AK176+1</f>
        <v>20</v>
      </c>
      <c r="AL177" s="1594">
        <f>IF($AK177=Calc!$I$113,Calc!I233+NPV(DiscRPriorSub,(Calc!J233:Q233,Calc!R238)),0)</f>
        <v>260136.57029962938</v>
      </c>
      <c r="AM177" s="1595">
        <f>IF($AK177=Calc!$I$113,Calc!I233+NPV(DiscRPriorSub,(Calc!J233:V233,Calc!W238)),0)</f>
        <v>806132.85570765007</v>
      </c>
      <c r="AN177" s="1116"/>
      <c r="AO177" s="1147"/>
      <c r="AP177" s="1159"/>
      <c r="AQ177" s="1159"/>
      <c r="AR177" s="1159"/>
      <c r="AS177" s="1159"/>
      <c r="AT177" s="1159"/>
      <c r="AU177" s="1159"/>
      <c r="AV177" s="1159"/>
      <c r="AW177" s="1159"/>
      <c r="AX177" s="1159"/>
      <c r="AY177" s="1159"/>
      <c r="AZ177" s="1159"/>
      <c r="BA177" s="1159"/>
      <c r="BB177" s="1159"/>
      <c r="BC177" s="1159"/>
      <c r="BD177" s="1159"/>
      <c r="BE177" s="1159"/>
      <c r="BF177" s="1159"/>
      <c r="BG177" s="1159"/>
      <c r="BH177" s="1159"/>
      <c r="BI177" s="1159"/>
      <c r="BJ177" s="1159"/>
      <c r="BK177" s="1159"/>
      <c r="BL177" s="1159"/>
      <c r="BM177" s="1159"/>
      <c r="BN177" s="1159"/>
      <c r="BO177" s="1159"/>
      <c r="BP177" s="1159"/>
      <c r="BQ177" s="1159"/>
      <c r="BR177" s="1159"/>
      <c r="BS177" s="1186"/>
      <c r="BT177" s="1116"/>
      <c r="BU177" s="1550"/>
      <c r="BV177" s="1082"/>
      <c r="BW177" s="1552"/>
      <c r="BX177" s="1552"/>
    </row>
    <row r="178" spans="1:76" s="1236" customFormat="1" hidden="1" outlineLevel="1" x14ac:dyDescent="0.3">
      <c r="A178" s="1474"/>
      <c r="B178" s="1598" t="s">
        <v>1385</v>
      </c>
      <c r="C178" s="1116"/>
      <c r="D178" s="1116"/>
      <c r="E178" s="1116"/>
      <c r="F178" s="1116"/>
      <c r="G178" s="1116"/>
      <c r="H178" s="1116"/>
      <c r="I178" s="1116"/>
      <c r="J178" s="1116"/>
      <c r="K178" s="1116"/>
      <c r="L178" s="1116"/>
      <c r="M178" s="1116"/>
      <c r="N178" s="1116"/>
      <c r="O178" s="1116"/>
      <c r="P178" s="1116"/>
      <c r="Q178" s="1116"/>
      <c r="R178" s="1116"/>
      <c r="S178" s="1116"/>
      <c r="T178" s="1116"/>
      <c r="U178" s="1116"/>
      <c r="V178" s="1116"/>
      <c r="W178" s="1116"/>
      <c r="X178" s="1116"/>
      <c r="Y178" s="1116"/>
      <c r="Z178" s="1116"/>
      <c r="AA178" s="1116"/>
      <c r="AB178" s="1116"/>
      <c r="AC178" s="1116"/>
      <c r="AD178" s="1116"/>
      <c r="AE178" s="1116"/>
      <c r="AF178" s="1116"/>
      <c r="AG178" s="1116"/>
      <c r="AH178" s="1116"/>
      <c r="AI178" s="1477"/>
      <c r="AJ178" s="1476"/>
      <c r="AK178" s="1597">
        <f t="shared" si="115"/>
        <v>21</v>
      </c>
      <c r="AL178" s="1594">
        <f>IF($AK178=Calc!$J$113,Calc!J233+NPV(DiscRPriorSub,(Calc!K233:R233,Calc!S238)),0)</f>
        <v>354207.35760735749</v>
      </c>
      <c r="AM178" s="1595">
        <f>IF($AK178=Calc!$J$113,Calc!J233+NPV(DiscRPriorSub,(Calc!K233:W233,Calc!X238)),0)</f>
        <v>1017144.5283486736</v>
      </c>
      <c r="AN178" s="1116"/>
      <c r="AO178" s="1149"/>
      <c r="AP178" s="1142"/>
      <c r="AQ178" s="1142"/>
      <c r="AR178" s="1142"/>
      <c r="AS178" s="1142"/>
      <c r="AT178" s="1142"/>
      <c r="AU178" s="1142"/>
      <c r="AV178" s="1142"/>
      <c r="AW178" s="1142"/>
      <c r="AX178" s="1142"/>
      <c r="AY178" s="1142"/>
      <c r="AZ178" s="1142"/>
      <c r="BA178" s="1142"/>
      <c r="BB178" s="1142"/>
      <c r="BC178" s="1142"/>
      <c r="BD178" s="1142"/>
      <c r="BE178" s="1142"/>
      <c r="BF178" s="1142"/>
      <c r="BG178" s="1142"/>
      <c r="BH178" s="1142"/>
      <c r="BI178" s="1142"/>
      <c r="BJ178" s="1142"/>
      <c r="BK178" s="1142"/>
      <c r="BL178" s="1142"/>
      <c r="BM178" s="1142"/>
      <c r="BN178" s="1142"/>
      <c r="BO178" s="1142"/>
      <c r="BP178" s="1142"/>
      <c r="BQ178" s="1142"/>
      <c r="BR178" s="1142"/>
      <c r="BS178" s="1437"/>
      <c r="BT178" s="1116"/>
      <c r="BU178" s="1550"/>
      <c r="BV178" s="1082"/>
      <c r="BW178" s="1552"/>
      <c r="BX178" s="1552"/>
    </row>
    <row r="179" spans="1:76" s="1236" customFormat="1" hidden="1" outlineLevel="1" x14ac:dyDescent="0.3">
      <c r="A179" s="1474"/>
      <c r="B179" s="1599" t="s">
        <v>690</v>
      </c>
      <c r="C179" s="1222" t="s">
        <v>1386</v>
      </c>
      <c r="D179" s="1222"/>
      <c r="E179" s="1222"/>
      <c r="F179" s="1222"/>
      <c r="G179" s="1600">
        <f t="shared" ref="G179:AI179" si="116">((G19)*(1-$BU$24))</f>
        <v>200</v>
      </c>
      <c r="H179" s="1601">
        <f t="shared" si="116"/>
        <v>1000</v>
      </c>
      <c r="I179" s="1601">
        <f t="shared" si="116"/>
        <v>2500</v>
      </c>
      <c r="J179" s="1601">
        <f t="shared" si="116"/>
        <v>3500</v>
      </c>
      <c r="K179" s="1601">
        <f t="shared" si="116"/>
        <v>4500</v>
      </c>
      <c r="L179" s="1601">
        <f t="shared" si="116"/>
        <v>3300.0096684919295</v>
      </c>
      <c r="M179" s="1601">
        <f t="shared" si="116"/>
        <v>3694.2371301226672</v>
      </c>
      <c r="N179" s="1601">
        <f t="shared" si="116"/>
        <v>3323.4314505797752</v>
      </c>
      <c r="O179" s="1601">
        <f t="shared" si="116"/>
        <v>3485.7419101714595</v>
      </c>
      <c r="P179" s="1601">
        <f t="shared" si="116"/>
        <v>3972.1389686656671</v>
      </c>
      <c r="Q179" s="1601">
        <f t="shared" si="116"/>
        <v>4251.5718022985111</v>
      </c>
      <c r="R179" s="1601">
        <f t="shared" si="116"/>
        <v>3983.4022067022779</v>
      </c>
      <c r="S179" s="1601">
        <f t="shared" si="116"/>
        <v>4423.4177056210374</v>
      </c>
      <c r="T179" s="1601">
        <f t="shared" si="116"/>
        <v>4578.8839067073877</v>
      </c>
      <c r="U179" s="1601">
        <f t="shared" si="116"/>
        <v>5307.5446701130122</v>
      </c>
      <c r="V179" s="1601">
        <f t="shared" si="116"/>
        <v>5833.6304009883333</v>
      </c>
      <c r="W179" s="1601">
        <f t="shared" si="116"/>
        <v>6556.6565753731547</v>
      </c>
      <c r="X179" s="1601">
        <f t="shared" si="116"/>
        <v>0</v>
      </c>
      <c r="Y179" s="1601">
        <f t="shared" si="116"/>
        <v>0</v>
      </c>
      <c r="Z179" s="1601">
        <f t="shared" si="116"/>
        <v>0</v>
      </c>
      <c r="AA179" s="1601">
        <f t="shared" si="116"/>
        <v>0</v>
      </c>
      <c r="AB179" s="1601">
        <f t="shared" si="116"/>
        <v>0</v>
      </c>
      <c r="AC179" s="1601">
        <f t="shared" si="116"/>
        <v>0</v>
      </c>
      <c r="AD179" s="1601">
        <f t="shared" si="116"/>
        <v>0</v>
      </c>
      <c r="AE179" s="1601">
        <f t="shared" si="116"/>
        <v>0</v>
      </c>
      <c r="AF179" s="1601">
        <f t="shared" si="116"/>
        <v>0</v>
      </c>
      <c r="AG179" s="1601">
        <f t="shared" si="116"/>
        <v>0</v>
      </c>
      <c r="AH179" s="1601">
        <f t="shared" si="116"/>
        <v>0</v>
      </c>
      <c r="AI179" s="1602">
        <f t="shared" si="116"/>
        <v>0</v>
      </c>
      <c r="AJ179" s="1476"/>
      <c r="AK179" s="1597">
        <f t="shared" si="115"/>
        <v>22</v>
      </c>
      <c r="AL179" s="1594">
        <f>IF($AK179=Calc!$K$113,Calc!K233+NPV(DiscRPriorSub,(Calc!L233:S233,Calc!T238)),0)</f>
        <v>453748.09124262695</v>
      </c>
      <c r="AM179" s="1595">
        <f>IF($AK179=Calc!$K$113,Calc!K233+NPV(DiscRPriorSub,(Calc!L233:X233,Calc!Y238)),0)</f>
        <v>1064116.0515861202</v>
      </c>
      <c r="AN179" s="1116"/>
      <c r="AO179" s="1149"/>
      <c r="AP179" s="1142"/>
      <c r="AQ179" s="1142"/>
      <c r="AR179" s="1142"/>
      <c r="AS179" s="1142"/>
      <c r="AT179" s="1142"/>
      <c r="AU179" s="1142"/>
      <c r="AV179" s="1142"/>
      <c r="AW179" s="1142"/>
      <c r="AX179" s="1142"/>
      <c r="AY179" s="1142"/>
      <c r="AZ179" s="1142"/>
      <c r="BA179" s="1142"/>
      <c r="BB179" s="1142"/>
      <c r="BC179" s="1142"/>
      <c r="BD179" s="1142"/>
      <c r="BE179" s="1142"/>
      <c r="BF179" s="1142"/>
      <c r="BG179" s="1142"/>
      <c r="BH179" s="1142"/>
      <c r="BI179" s="1142"/>
      <c r="BJ179" s="1142"/>
      <c r="BK179" s="1142"/>
      <c r="BL179" s="1142"/>
      <c r="BM179" s="1142"/>
      <c r="BN179" s="1142"/>
      <c r="BO179" s="1142"/>
      <c r="BP179" s="1142"/>
      <c r="BQ179" s="1142"/>
      <c r="BR179" s="1142"/>
      <c r="BS179" s="1437"/>
      <c r="BT179" s="1116"/>
      <c r="BU179" s="1550"/>
      <c r="BV179" s="1082"/>
      <c r="BW179" s="1552"/>
      <c r="BX179" s="1552"/>
    </row>
    <row r="180" spans="1:76" s="1236" customFormat="1" hidden="1" outlineLevel="1" x14ac:dyDescent="0.3">
      <c r="A180" s="1474"/>
      <c r="B180" s="1207"/>
      <c r="C180" s="1116" t="s">
        <v>1387</v>
      </c>
      <c r="D180" s="1116"/>
      <c r="E180" s="1116"/>
      <c r="F180" s="1116"/>
      <c r="G180" s="1603">
        <f t="shared" ref="G180:AI180" si="117">((AQ19)*(1-$BU$24))</f>
        <v>0</v>
      </c>
      <c r="H180" s="1604">
        <f t="shared" si="117"/>
        <v>0</v>
      </c>
      <c r="I180" s="1604">
        <f t="shared" si="117"/>
        <v>0</v>
      </c>
      <c r="J180" s="1604">
        <f t="shared" si="117"/>
        <v>0</v>
      </c>
      <c r="K180" s="1604">
        <f t="shared" si="117"/>
        <v>0</v>
      </c>
      <c r="L180" s="1604">
        <f t="shared" si="117"/>
        <v>0</v>
      </c>
      <c r="M180" s="1604">
        <f t="shared" si="117"/>
        <v>0</v>
      </c>
      <c r="N180" s="1604">
        <f t="shared" si="117"/>
        <v>0</v>
      </c>
      <c r="O180" s="1604">
        <f t="shared" si="117"/>
        <v>0</v>
      </c>
      <c r="P180" s="1604">
        <f t="shared" si="117"/>
        <v>0</v>
      </c>
      <c r="Q180" s="1604">
        <f t="shared" si="117"/>
        <v>0</v>
      </c>
      <c r="R180" s="1604">
        <f t="shared" si="117"/>
        <v>0</v>
      </c>
      <c r="S180" s="1604">
        <f t="shared" si="117"/>
        <v>0</v>
      </c>
      <c r="T180" s="1604">
        <f t="shared" si="117"/>
        <v>0</v>
      </c>
      <c r="U180" s="1604">
        <f t="shared" si="117"/>
        <v>0</v>
      </c>
      <c r="V180" s="1604">
        <f t="shared" si="117"/>
        <v>0</v>
      </c>
      <c r="W180" s="1604">
        <f t="shared" si="117"/>
        <v>0</v>
      </c>
      <c r="X180" s="1604">
        <f t="shared" si="117"/>
        <v>0</v>
      </c>
      <c r="Y180" s="1604">
        <f t="shared" si="117"/>
        <v>0</v>
      </c>
      <c r="Z180" s="1604">
        <f t="shared" si="117"/>
        <v>0</v>
      </c>
      <c r="AA180" s="1604">
        <f t="shared" si="117"/>
        <v>0</v>
      </c>
      <c r="AB180" s="1604">
        <f t="shared" si="117"/>
        <v>0</v>
      </c>
      <c r="AC180" s="1604">
        <f t="shared" si="117"/>
        <v>0</v>
      </c>
      <c r="AD180" s="1604">
        <f t="shared" si="117"/>
        <v>0</v>
      </c>
      <c r="AE180" s="1604">
        <f t="shared" si="117"/>
        <v>0</v>
      </c>
      <c r="AF180" s="1604">
        <f t="shared" si="117"/>
        <v>0</v>
      </c>
      <c r="AG180" s="1604">
        <f t="shared" si="117"/>
        <v>0</v>
      </c>
      <c r="AH180" s="1604">
        <f t="shared" si="117"/>
        <v>0</v>
      </c>
      <c r="AI180" s="1605">
        <f t="shared" si="117"/>
        <v>0</v>
      </c>
      <c r="AJ180" s="1476"/>
      <c r="AK180" s="1597">
        <f t="shared" si="115"/>
        <v>23</v>
      </c>
      <c r="AL180" s="1594">
        <f>IF($AK180=Calc!$L$113,Calc!L233+NPV(DiscRPriorSub,(Calc!M233:T233,Calc!U238)),0)</f>
        <v>566874.58038150659</v>
      </c>
      <c r="AM180" s="1595">
        <f>IF($AK180=Calc!$L$113,Calc!L233+NPV(DiscRPriorSub,(Calc!M233:Y233,Calc!Z238)),0)</f>
        <v>1069318.4640338491</v>
      </c>
      <c r="AN180" s="1116"/>
      <c r="AO180" s="1149"/>
      <c r="AP180" s="1142"/>
      <c r="AQ180" s="1142"/>
      <c r="AR180" s="1142"/>
      <c r="AS180" s="1142"/>
      <c r="AT180" s="1142"/>
      <c r="AU180" s="1142"/>
      <c r="AV180" s="1142"/>
      <c r="AW180" s="1142"/>
      <c r="AX180" s="1142"/>
      <c r="AY180" s="1142"/>
      <c r="AZ180" s="1142"/>
      <c r="BA180" s="1142"/>
      <c r="BB180" s="1142"/>
      <c r="BC180" s="1142"/>
      <c r="BD180" s="1142"/>
      <c r="BE180" s="1142"/>
      <c r="BF180" s="1142"/>
      <c r="BG180" s="1142"/>
      <c r="BH180" s="1142"/>
      <c r="BI180" s="1142"/>
      <c r="BJ180" s="1142"/>
      <c r="BK180" s="1142"/>
      <c r="BL180" s="1142"/>
      <c r="BM180" s="1142"/>
      <c r="BN180" s="1142"/>
      <c r="BO180" s="1142"/>
      <c r="BP180" s="1142"/>
      <c r="BQ180" s="1142"/>
      <c r="BR180" s="1142"/>
      <c r="BS180" s="1437"/>
      <c r="BT180" s="1116"/>
      <c r="BU180" s="1550"/>
      <c r="BV180" s="1082"/>
      <c r="BW180" s="1552"/>
      <c r="BX180" s="1552"/>
    </row>
    <row r="181" spans="1:76" s="1236" customFormat="1" hidden="1" outlineLevel="1" x14ac:dyDescent="0.3">
      <c r="A181" s="1474"/>
      <c r="B181" s="1207" t="s">
        <v>446</v>
      </c>
      <c r="C181" s="1116" t="s">
        <v>1386</v>
      </c>
      <c r="D181" s="1116"/>
      <c r="E181" s="1116"/>
      <c r="F181" s="1116"/>
      <c r="G181" s="1603">
        <f t="shared" ref="G181:AI181" si="118">((G20)*(1-$BU$24))</f>
        <v>4828.4206951872993</v>
      </c>
      <c r="H181" s="1604">
        <f t="shared" si="118"/>
        <v>3450.6323370654059</v>
      </c>
      <c r="I181" s="1604">
        <f t="shared" si="118"/>
        <v>8338.541056523256</v>
      </c>
      <c r="J181" s="1604">
        <f t="shared" si="118"/>
        <v>7736.0276633552903</v>
      </c>
      <c r="K181" s="1604">
        <f t="shared" si="118"/>
        <v>2362.6098811049887</v>
      </c>
      <c r="L181" s="1604">
        <f t="shared" si="118"/>
        <v>1451.8026343507922</v>
      </c>
      <c r="M181" s="1604">
        <f t="shared" si="118"/>
        <v>205.83868703780806</v>
      </c>
      <c r="N181" s="1604">
        <f t="shared" si="118"/>
        <v>209.9554607785642</v>
      </c>
      <c r="O181" s="1604">
        <f t="shared" si="118"/>
        <v>214.1545699941355</v>
      </c>
      <c r="P181" s="1604">
        <f t="shared" si="118"/>
        <v>218.43766139401816</v>
      </c>
      <c r="Q181" s="1604">
        <f t="shared" si="118"/>
        <v>222.80641462189857</v>
      </c>
      <c r="R181" s="1604">
        <f t="shared" si="118"/>
        <v>0</v>
      </c>
      <c r="S181" s="1604">
        <f t="shared" si="118"/>
        <v>0</v>
      </c>
      <c r="T181" s="1604">
        <f t="shared" si="118"/>
        <v>0</v>
      </c>
      <c r="U181" s="1604">
        <f t="shared" si="118"/>
        <v>0</v>
      </c>
      <c r="V181" s="1604">
        <f t="shared" si="118"/>
        <v>0</v>
      </c>
      <c r="W181" s="1604">
        <f t="shared" si="118"/>
        <v>0</v>
      </c>
      <c r="X181" s="1604">
        <f t="shared" si="118"/>
        <v>0</v>
      </c>
      <c r="Y181" s="1604">
        <f t="shared" si="118"/>
        <v>0</v>
      </c>
      <c r="Z181" s="1604">
        <f t="shared" si="118"/>
        <v>0</v>
      </c>
      <c r="AA181" s="1604">
        <f t="shared" si="118"/>
        <v>0</v>
      </c>
      <c r="AB181" s="1604">
        <f t="shared" si="118"/>
        <v>0</v>
      </c>
      <c r="AC181" s="1604">
        <f t="shared" si="118"/>
        <v>0</v>
      </c>
      <c r="AD181" s="1604">
        <f t="shared" si="118"/>
        <v>0</v>
      </c>
      <c r="AE181" s="1604">
        <f t="shared" si="118"/>
        <v>0</v>
      </c>
      <c r="AF181" s="1604">
        <f t="shared" si="118"/>
        <v>0</v>
      </c>
      <c r="AG181" s="1604">
        <f t="shared" si="118"/>
        <v>0</v>
      </c>
      <c r="AH181" s="1604">
        <f t="shared" si="118"/>
        <v>0</v>
      </c>
      <c r="AI181" s="1605">
        <f t="shared" si="118"/>
        <v>0</v>
      </c>
      <c r="AJ181" s="1476"/>
      <c r="AK181" s="1597">
        <f t="shared" si="115"/>
        <v>24</v>
      </c>
      <c r="AL181" s="1594">
        <f>IF($AK181=Calc!$M$113,Calc!M233+NPV(DiscRPriorSub,(Calc!N233:U233,Calc!V238)),0)</f>
        <v>700201.0090882387</v>
      </c>
      <c r="AM181" s="1595">
        <f>IF($AK181=Calc!$M$113,Calc!M233+NPV(DiscRPriorSub,(Calc!N233:Z233,Calc!AA238)),0)</f>
        <v>1081173.4347630513</v>
      </c>
      <c r="AN181" s="1116"/>
      <c r="AO181" s="1149"/>
      <c r="AP181" s="1142"/>
      <c r="AQ181" s="1142"/>
      <c r="AR181" s="1142"/>
      <c r="AS181" s="1142"/>
      <c r="AT181" s="1142"/>
      <c r="AU181" s="1142"/>
      <c r="AV181" s="1142"/>
      <c r="AW181" s="1142"/>
      <c r="AX181" s="1142"/>
      <c r="AY181" s="1142"/>
      <c r="AZ181" s="1142"/>
      <c r="BA181" s="1142"/>
      <c r="BB181" s="1142"/>
      <c r="BC181" s="1142"/>
      <c r="BD181" s="1142"/>
      <c r="BE181" s="1142"/>
      <c r="BF181" s="1142"/>
      <c r="BG181" s="1142"/>
      <c r="BH181" s="1142"/>
      <c r="BI181" s="1142"/>
      <c r="BJ181" s="1142"/>
      <c r="BK181" s="1142"/>
      <c r="BL181" s="1142"/>
      <c r="BM181" s="1142"/>
      <c r="BN181" s="1142"/>
      <c r="BO181" s="1142"/>
      <c r="BP181" s="1142"/>
      <c r="BQ181" s="1142"/>
      <c r="BR181" s="1142"/>
      <c r="BS181" s="1437"/>
      <c r="BT181" s="1116"/>
      <c r="BU181" s="1550"/>
      <c r="BV181" s="1082"/>
      <c r="BW181" s="1552"/>
      <c r="BX181" s="1552"/>
    </row>
    <row r="182" spans="1:76" s="1236" customFormat="1" hidden="1" outlineLevel="1" x14ac:dyDescent="0.3">
      <c r="A182" s="1474"/>
      <c r="B182" s="1207"/>
      <c r="C182" s="1116" t="s">
        <v>1387</v>
      </c>
      <c r="D182" s="1116"/>
      <c r="E182" s="1116"/>
      <c r="F182" s="1116"/>
      <c r="G182" s="1603">
        <f t="shared" ref="G182:AI182" si="119">((AQ20)*(1-$BU$24))</f>
        <v>0</v>
      </c>
      <c r="H182" s="1604">
        <f t="shared" si="119"/>
        <v>0</v>
      </c>
      <c r="I182" s="1604">
        <f t="shared" si="119"/>
        <v>0</v>
      </c>
      <c r="J182" s="1604">
        <f t="shared" si="119"/>
        <v>0</v>
      </c>
      <c r="K182" s="1604">
        <f t="shared" si="119"/>
        <v>0</v>
      </c>
      <c r="L182" s="1604">
        <f t="shared" si="119"/>
        <v>0</v>
      </c>
      <c r="M182" s="1604">
        <f t="shared" si="119"/>
        <v>0</v>
      </c>
      <c r="N182" s="1604">
        <f t="shared" si="119"/>
        <v>0</v>
      </c>
      <c r="O182" s="1604">
        <f t="shared" si="119"/>
        <v>0</v>
      </c>
      <c r="P182" s="1604">
        <f t="shared" si="119"/>
        <v>0</v>
      </c>
      <c r="Q182" s="1604">
        <f t="shared" si="119"/>
        <v>0</v>
      </c>
      <c r="R182" s="1604">
        <f t="shared" si="119"/>
        <v>0</v>
      </c>
      <c r="S182" s="1604">
        <f t="shared" si="119"/>
        <v>0</v>
      </c>
      <c r="T182" s="1604">
        <f t="shared" si="119"/>
        <v>0</v>
      </c>
      <c r="U182" s="1604">
        <f t="shared" si="119"/>
        <v>0</v>
      </c>
      <c r="V182" s="1604">
        <f t="shared" si="119"/>
        <v>0</v>
      </c>
      <c r="W182" s="1604">
        <f t="shared" si="119"/>
        <v>0</v>
      </c>
      <c r="X182" s="1604">
        <f t="shared" si="119"/>
        <v>0</v>
      </c>
      <c r="Y182" s="1604">
        <f t="shared" si="119"/>
        <v>0</v>
      </c>
      <c r="Z182" s="1604">
        <f t="shared" si="119"/>
        <v>0</v>
      </c>
      <c r="AA182" s="1604">
        <f t="shared" si="119"/>
        <v>0</v>
      </c>
      <c r="AB182" s="1604">
        <f t="shared" si="119"/>
        <v>0</v>
      </c>
      <c r="AC182" s="1604">
        <f t="shared" si="119"/>
        <v>0</v>
      </c>
      <c r="AD182" s="1604">
        <f t="shared" si="119"/>
        <v>0</v>
      </c>
      <c r="AE182" s="1604">
        <f t="shared" si="119"/>
        <v>0</v>
      </c>
      <c r="AF182" s="1604">
        <f t="shared" si="119"/>
        <v>0</v>
      </c>
      <c r="AG182" s="1604">
        <f t="shared" si="119"/>
        <v>0</v>
      </c>
      <c r="AH182" s="1604">
        <f t="shared" si="119"/>
        <v>0</v>
      </c>
      <c r="AI182" s="1605">
        <f t="shared" si="119"/>
        <v>0</v>
      </c>
      <c r="AJ182" s="1476"/>
      <c r="AK182" s="1597">
        <f t="shared" si="115"/>
        <v>25</v>
      </c>
      <c r="AL182" s="1594">
        <f>IF($AK182=Calc!$N$113,Calc!N233+NPV(DiscRPriorSub,(Calc!O233:V233,Calc!W238)),0)</f>
        <v>826217.70319582138</v>
      </c>
      <c r="AM182" s="1595">
        <f>IF($AK182=Calc!$N$113,Calc!N233+NPV(DiscRPriorSub,(Calc!O233:AA233,Calc!AB238)),0)</f>
        <v>1068568.5429293122</v>
      </c>
      <c r="AN182" s="1116"/>
      <c r="AO182" s="1149"/>
      <c r="AP182" s="1142"/>
      <c r="AQ182" s="1142"/>
      <c r="AR182" s="1142"/>
      <c r="AS182" s="1142"/>
      <c r="AT182" s="1142"/>
      <c r="AU182" s="1142"/>
      <c r="AV182" s="1142"/>
      <c r="AW182" s="1142"/>
      <c r="AX182" s="1142"/>
      <c r="AY182" s="1142"/>
      <c r="AZ182" s="1142"/>
      <c r="BA182" s="1142"/>
      <c r="BB182" s="1142"/>
      <c r="BC182" s="1142"/>
      <c r="BD182" s="1142"/>
      <c r="BE182" s="1142"/>
      <c r="BF182" s="1142"/>
      <c r="BG182" s="1142"/>
      <c r="BH182" s="1142"/>
      <c r="BI182" s="1142"/>
      <c r="BJ182" s="1142"/>
      <c r="BK182" s="1142"/>
      <c r="BL182" s="1142"/>
      <c r="BM182" s="1142"/>
      <c r="BN182" s="1142"/>
      <c r="BO182" s="1142"/>
      <c r="BP182" s="1142"/>
      <c r="BQ182" s="1142"/>
      <c r="BR182" s="1142"/>
      <c r="BS182" s="1437"/>
      <c r="BT182" s="1116"/>
      <c r="BU182" s="1550"/>
      <c r="BV182" s="1082"/>
      <c r="BW182" s="1552"/>
      <c r="BX182" s="1552"/>
    </row>
    <row r="183" spans="1:76" s="1236" customFormat="1" hidden="1" outlineLevel="1" x14ac:dyDescent="0.3">
      <c r="A183" s="1474"/>
      <c r="B183" s="1207" t="s">
        <v>1366</v>
      </c>
      <c r="C183" s="1116" t="s">
        <v>1386</v>
      </c>
      <c r="D183" s="1116"/>
      <c r="E183" s="1116"/>
      <c r="F183" s="1116"/>
      <c r="G183" s="1603">
        <f t="shared" ref="G183:AI183" si="120">G27</f>
        <v>0</v>
      </c>
      <c r="H183" s="1604">
        <f t="shared" si="120"/>
        <v>0</v>
      </c>
      <c r="I183" s="1604">
        <f t="shared" si="120"/>
        <v>0</v>
      </c>
      <c r="J183" s="1604">
        <f t="shared" si="120"/>
        <v>0</v>
      </c>
      <c r="K183" s="1604">
        <f t="shared" si="120"/>
        <v>0</v>
      </c>
      <c r="L183" s="1604">
        <f t="shared" si="120"/>
        <v>13066.666666666666</v>
      </c>
      <c r="M183" s="1604">
        <f t="shared" si="120"/>
        <v>-933.33333333333337</v>
      </c>
      <c r="N183" s="1604">
        <f t="shared" si="120"/>
        <v>-933.33333333333337</v>
      </c>
      <c r="O183" s="1604">
        <f t="shared" si="120"/>
        <v>-933.33333333333337</v>
      </c>
      <c r="P183" s="1604">
        <f t="shared" si="120"/>
        <v>-933.33333333333337</v>
      </c>
      <c r="Q183" s="1604">
        <f t="shared" si="120"/>
        <v>-933.33333333333337</v>
      </c>
      <c r="R183" s="1604">
        <f t="shared" si="120"/>
        <v>-933.33333333333337</v>
      </c>
      <c r="S183" s="1604">
        <f t="shared" si="120"/>
        <v>-933.33333333333337</v>
      </c>
      <c r="T183" s="1604">
        <f t="shared" si="120"/>
        <v>-933.33333333333337</v>
      </c>
      <c r="U183" s="1604">
        <f t="shared" si="120"/>
        <v>-933.33333333333337</v>
      </c>
      <c r="V183" s="1604">
        <f t="shared" si="120"/>
        <v>-933.33333333333337</v>
      </c>
      <c r="W183" s="1604">
        <f t="shared" si="120"/>
        <v>-933.33333333333337</v>
      </c>
      <c r="X183" s="1604">
        <f t="shared" si="120"/>
        <v>-933.33333333333337</v>
      </c>
      <c r="Y183" s="1604">
        <f t="shared" si="120"/>
        <v>-933.33333333333337</v>
      </c>
      <c r="Z183" s="1604">
        <f t="shared" si="120"/>
        <v>-933.33333333333337</v>
      </c>
      <c r="AA183" s="1604">
        <f t="shared" si="120"/>
        <v>0</v>
      </c>
      <c r="AB183" s="1604">
        <f t="shared" si="120"/>
        <v>0</v>
      </c>
      <c r="AC183" s="1604">
        <f t="shared" si="120"/>
        <v>0</v>
      </c>
      <c r="AD183" s="1604">
        <f t="shared" si="120"/>
        <v>0</v>
      </c>
      <c r="AE183" s="1604">
        <f t="shared" si="120"/>
        <v>0</v>
      </c>
      <c r="AF183" s="1604">
        <f t="shared" si="120"/>
        <v>0</v>
      </c>
      <c r="AG183" s="1604">
        <f t="shared" si="120"/>
        <v>0</v>
      </c>
      <c r="AH183" s="1604">
        <f t="shared" si="120"/>
        <v>0</v>
      </c>
      <c r="AI183" s="1605">
        <f t="shared" si="120"/>
        <v>0</v>
      </c>
      <c r="AJ183" s="1476"/>
      <c r="AK183" s="1597">
        <f t="shared" si="115"/>
        <v>26</v>
      </c>
      <c r="AL183" s="1594">
        <f>IF($AK183=Calc!$O$113,Calc!O233+NPV(DiscRPriorSub,(Calc!P233:W233,Calc!X238)),0)</f>
        <v>1001550.3799386139</v>
      </c>
      <c r="AM183" s="1595">
        <f>IF($AK183=Calc!$O$113,Calc!O233+NPV(DiscRPriorSub,(Calc!P233:AB233,Calc!AC238)),0)</f>
        <v>1040693.2965917781</v>
      </c>
      <c r="AN183" s="1116"/>
      <c r="AO183" s="1149"/>
      <c r="AP183" s="1142"/>
      <c r="AQ183" s="1142"/>
      <c r="AR183" s="1142"/>
      <c r="AS183" s="1142"/>
      <c r="AT183" s="1142"/>
      <c r="AU183" s="1142"/>
      <c r="AV183" s="1142"/>
      <c r="AW183" s="1142"/>
      <c r="AX183" s="1142"/>
      <c r="AY183" s="1142"/>
      <c r="AZ183" s="1142"/>
      <c r="BA183" s="1142"/>
      <c r="BB183" s="1142"/>
      <c r="BC183" s="1142"/>
      <c r="BD183" s="1142"/>
      <c r="BE183" s="1142"/>
      <c r="BF183" s="1142"/>
      <c r="BG183" s="1142"/>
      <c r="BH183" s="1142"/>
      <c r="BI183" s="1142"/>
      <c r="BJ183" s="1142"/>
      <c r="BK183" s="1142"/>
      <c r="BL183" s="1142"/>
      <c r="BM183" s="1142"/>
      <c r="BN183" s="1142"/>
      <c r="BO183" s="1142"/>
      <c r="BP183" s="1142"/>
      <c r="BQ183" s="1142"/>
      <c r="BR183" s="1142"/>
      <c r="BS183" s="1437"/>
      <c r="BT183" s="1116"/>
      <c r="BU183" s="1550"/>
      <c r="BV183" s="1082"/>
      <c r="BW183" s="1552"/>
      <c r="BX183" s="1552"/>
    </row>
    <row r="184" spans="1:76" s="1236" customFormat="1" hidden="1" outlineLevel="1" x14ac:dyDescent="0.3">
      <c r="A184" s="1474"/>
      <c r="B184" s="1606"/>
      <c r="C184" s="1226" t="s">
        <v>1387</v>
      </c>
      <c r="D184" s="1226"/>
      <c r="E184" s="1226"/>
      <c r="F184" s="1226"/>
      <c r="G184" s="1607">
        <f t="shared" ref="G184:AI184" si="121">AQ27</f>
        <v>0</v>
      </c>
      <c r="H184" s="1608">
        <f t="shared" si="121"/>
        <v>0</v>
      </c>
      <c r="I184" s="1608">
        <f t="shared" si="121"/>
        <v>0</v>
      </c>
      <c r="J184" s="1608">
        <f t="shared" si="121"/>
        <v>0</v>
      </c>
      <c r="K184" s="1608">
        <f t="shared" si="121"/>
        <v>0</v>
      </c>
      <c r="L184" s="1608">
        <f t="shared" si="121"/>
        <v>0</v>
      </c>
      <c r="M184" s="1608">
        <f t="shared" si="121"/>
        <v>0</v>
      </c>
      <c r="N184" s="1608">
        <f t="shared" si="121"/>
        <v>0</v>
      </c>
      <c r="O184" s="1608">
        <f t="shared" si="121"/>
        <v>0</v>
      </c>
      <c r="P184" s="1608">
        <f t="shared" si="121"/>
        <v>0</v>
      </c>
      <c r="Q184" s="1608">
        <f t="shared" si="121"/>
        <v>0</v>
      </c>
      <c r="R184" s="1608">
        <f t="shared" si="121"/>
        <v>0</v>
      </c>
      <c r="S184" s="1608">
        <f t="shared" si="121"/>
        <v>0</v>
      </c>
      <c r="T184" s="1608">
        <f t="shared" si="121"/>
        <v>0</v>
      </c>
      <c r="U184" s="1608">
        <f t="shared" si="121"/>
        <v>0</v>
      </c>
      <c r="V184" s="1608">
        <f t="shared" si="121"/>
        <v>0</v>
      </c>
      <c r="W184" s="1608">
        <f t="shared" si="121"/>
        <v>0</v>
      </c>
      <c r="X184" s="1608">
        <f t="shared" si="121"/>
        <v>0</v>
      </c>
      <c r="Y184" s="1608">
        <f t="shared" si="121"/>
        <v>0</v>
      </c>
      <c r="Z184" s="1608">
        <f t="shared" si="121"/>
        <v>0</v>
      </c>
      <c r="AA184" s="1608">
        <f t="shared" si="121"/>
        <v>0</v>
      </c>
      <c r="AB184" s="1608">
        <f t="shared" si="121"/>
        <v>0</v>
      </c>
      <c r="AC184" s="1608">
        <f t="shared" si="121"/>
        <v>0</v>
      </c>
      <c r="AD184" s="1608">
        <f t="shared" si="121"/>
        <v>0</v>
      </c>
      <c r="AE184" s="1608">
        <f t="shared" si="121"/>
        <v>0</v>
      </c>
      <c r="AF184" s="1608">
        <f t="shared" si="121"/>
        <v>0</v>
      </c>
      <c r="AG184" s="1608">
        <f t="shared" si="121"/>
        <v>0</v>
      </c>
      <c r="AH184" s="1608">
        <f t="shared" si="121"/>
        <v>0</v>
      </c>
      <c r="AI184" s="1609">
        <f t="shared" si="121"/>
        <v>0</v>
      </c>
      <c r="AJ184" s="1476"/>
      <c r="AK184" s="1597">
        <f t="shared" si="115"/>
        <v>27</v>
      </c>
      <c r="AL184" s="1594">
        <f>IF($AK184=Calc!$P$113,Calc!P233+NPV(DiscRPriorSub,(Calc!Q233:X233,Calc!Y238)),0)</f>
        <v>994672.55676301592</v>
      </c>
      <c r="AM184" s="1595">
        <f>IF($AK184=Calc!$P$113,Calc!P233+NPV(DiscRPriorSub,(Calc!Q233:AC233,Calc!AD238)),0)</f>
        <v>994933.89009634929</v>
      </c>
      <c r="AN184" s="1116"/>
      <c r="AO184" s="1207"/>
      <c r="AP184" s="1116"/>
      <c r="AQ184" s="1116"/>
      <c r="AR184" s="1116"/>
      <c r="AS184" s="1116"/>
      <c r="AT184" s="1116"/>
      <c r="AU184" s="1116"/>
      <c r="AV184" s="1116"/>
      <c r="AW184" s="1116"/>
      <c r="AX184" s="1116"/>
      <c r="AY184" s="1116"/>
      <c r="AZ184" s="1116"/>
      <c r="BA184" s="1116"/>
      <c r="BB184" s="1116"/>
      <c r="BC184" s="1116"/>
      <c r="BD184" s="1116"/>
      <c r="BE184" s="1116"/>
      <c r="BF184" s="1116"/>
      <c r="BG184" s="1116"/>
      <c r="BH184" s="1116"/>
      <c r="BI184" s="1116"/>
      <c r="BJ184" s="1116"/>
      <c r="BK184" s="1116"/>
      <c r="BL184" s="1116"/>
      <c r="BM184" s="1116"/>
      <c r="BN184" s="1116"/>
      <c r="BO184" s="1116"/>
      <c r="BP184" s="1116"/>
      <c r="BQ184" s="1116"/>
      <c r="BR184" s="1116"/>
      <c r="BS184" s="1477"/>
      <c r="BT184" s="1116"/>
      <c r="BU184" s="1550"/>
      <c r="BV184" s="1082"/>
      <c r="BW184" s="1552"/>
      <c r="BX184" s="1552"/>
    </row>
    <row r="185" spans="1:76" s="1236" customFormat="1" hidden="1" outlineLevel="1" x14ac:dyDescent="0.3">
      <c r="A185" s="1474"/>
      <c r="B185" s="1598"/>
      <c r="C185" s="1116"/>
      <c r="D185" s="1116"/>
      <c r="E185" s="1116"/>
      <c r="F185" s="1116"/>
      <c r="G185" s="1116"/>
      <c r="H185" s="1116"/>
      <c r="I185" s="1116"/>
      <c r="J185" s="1116"/>
      <c r="K185" s="1116"/>
      <c r="L185" s="1116"/>
      <c r="M185" s="1116"/>
      <c r="N185" s="1116"/>
      <c r="O185" s="1116"/>
      <c r="P185" s="1116"/>
      <c r="Q185" s="1116"/>
      <c r="R185" s="1116"/>
      <c r="S185" s="1116"/>
      <c r="T185" s="1116"/>
      <c r="U185" s="1116"/>
      <c r="V185" s="1116"/>
      <c r="W185" s="1116"/>
      <c r="X185" s="1116"/>
      <c r="Y185" s="1116"/>
      <c r="Z185" s="1116"/>
      <c r="AA185" s="1116"/>
      <c r="AB185" s="1116"/>
      <c r="AC185" s="1116"/>
      <c r="AD185" s="1116"/>
      <c r="AE185" s="1116"/>
      <c r="AF185" s="1116"/>
      <c r="AG185" s="1116"/>
      <c r="AH185" s="1116"/>
      <c r="AI185" s="1477"/>
      <c r="AJ185" s="1476"/>
      <c r="AK185" s="1597">
        <f t="shared" si="115"/>
        <v>28</v>
      </c>
      <c r="AL185" s="1594">
        <f>IF($AK185=Calc!$Q$113,Calc!Q233+NPV(DiscRPriorSub,(Calc!R233:Y233,Calc!Z238)),0)</f>
        <v>934379.87494654523</v>
      </c>
      <c r="AM185" s="1595">
        <f>IF($AK185=Calc!$Q$113,Calc!Q233+NPV(DiscRPriorSub,(Calc!R233:AD233,Calc!AE238)),0)</f>
        <v>934379.87494654523</v>
      </c>
      <c r="AN185" s="1116"/>
      <c r="AO185" s="1207"/>
      <c r="AP185" s="1116"/>
      <c r="AQ185" s="1116"/>
      <c r="AR185" s="1116"/>
      <c r="AS185" s="1116"/>
      <c r="AT185" s="1116"/>
      <c r="AU185" s="1116"/>
      <c r="AV185" s="1116"/>
      <c r="AW185" s="1116"/>
      <c r="AX185" s="1116"/>
      <c r="AY185" s="1116"/>
      <c r="AZ185" s="1116"/>
      <c r="BA185" s="1116"/>
      <c r="BB185" s="1116"/>
      <c r="BC185" s="1116"/>
      <c r="BD185" s="1116"/>
      <c r="BE185" s="1116"/>
      <c r="BF185" s="1116"/>
      <c r="BG185" s="1116"/>
      <c r="BH185" s="1116"/>
      <c r="BI185" s="1116"/>
      <c r="BJ185" s="1116"/>
      <c r="BK185" s="1116"/>
      <c r="BL185" s="1116"/>
      <c r="BM185" s="1116"/>
      <c r="BN185" s="1116"/>
      <c r="BO185" s="1116"/>
      <c r="BP185" s="1116"/>
      <c r="BQ185" s="1116"/>
      <c r="BR185" s="1116"/>
      <c r="BS185" s="1477"/>
      <c r="BT185" s="1116"/>
      <c r="BU185" s="1550"/>
      <c r="BV185" s="1082"/>
      <c r="BW185" s="1552"/>
      <c r="BX185" s="1552"/>
    </row>
    <row r="186" spans="1:76" s="1236" customFormat="1" hidden="1" outlineLevel="1" x14ac:dyDescent="0.3">
      <c r="A186" s="1474"/>
      <c r="B186" s="1598" t="s">
        <v>1388</v>
      </c>
      <c r="C186" s="1116"/>
      <c r="D186" s="1116"/>
      <c r="E186" s="1116"/>
      <c r="F186" s="1116"/>
      <c r="G186" s="1116"/>
      <c r="H186" s="1116"/>
      <c r="I186" s="1116"/>
      <c r="J186" s="1116"/>
      <c r="K186" s="1116"/>
      <c r="L186" s="1116"/>
      <c r="M186" s="1116"/>
      <c r="N186" s="1116"/>
      <c r="O186" s="1610"/>
      <c r="P186" s="1116"/>
      <c r="Q186" s="1116"/>
      <c r="R186" s="1116"/>
      <c r="S186" s="1116"/>
      <c r="T186" s="1116"/>
      <c r="U186" s="1116"/>
      <c r="V186" s="1116"/>
      <c r="W186" s="1116"/>
      <c r="X186" s="1116"/>
      <c r="Y186" s="1116"/>
      <c r="Z186" s="1116"/>
      <c r="AA186" s="1116"/>
      <c r="AB186" s="1116"/>
      <c r="AC186" s="1116"/>
      <c r="AD186" s="1116"/>
      <c r="AE186" s="1116"/>
      <c r="AF186" s="1116"/>
      <c r="AG186" s="1116"/>
      <c r="AH186" s="1116"/>
      <c r="AI186" s="1477"/>
      <c r="AJ186" s="1476"/>
      <c r="AK186" s="1597">
        <f t="shared" si="115"/>
        <v>29</v>
      </c>
      <c r="AL186" s="1594">
        <f>IF($AK186=Calc!$R$113,Calc!R233+NPV(DiscRPriorSub,(Calc!S233:Z233,Calc!AA238)),0)</f>
        <v>864198.33840992895</v>
      </c>
      <c r="AM186" s="1595">
        <f>IF($AK186=Calc!$R$113,Calc!R233+NPV(DiscRPriorSub,(Calc!S233:AE233,Calc!AF238)),0)</f>
        <v>864198.33840992895</v>
      </c>
      <c r="AN186" s="1116"/>
      <c r="AO186" s="1598" t="s">
        <v>1389</v>
      </c>
      <c r="AP186" s="1116"/>
      <c r="AQ186" s="1116"/>
      <c r="AR186" s="1116"/>
      <c r="AS186" s="1116"/>
      <c r="AT186" s="1116"/>
      <c r="AU186" s="1116"/>
      <c r="AV186" s="1116"/>
      <c r="AW186" s="1116"/>
      <c r="AX186" s="1116"/>
      <c r="AY186" s="1116"/>
      <c r="AZ186" s="1116"/>
      <c r="BA186" s="1116"/>
      <c r="BB186" s="1116"/>
      <c r="BC186" s="1116"/>
      <c r="BD186" s="1116"/>
      <c r="BE186" s="1116"/>
      <c r="BF186" s="1116"/>
      <c r="BG186" s="1116"/>
      <c r="BH186" s="1116"/>
      <c r="BI186" s="1116"/>
      <c r="BJ186" s="1116"/>
      <c r="BK186" s="1116"/>
      <c r="BL186" s="1116"/>
      <c r="BM186" s="1116"/>
      <c r="BN186" s="1116"/>
      <c r="BO186" s="1116"/>
      <c r="BP186" s="1116"/>
      <c r="BQ186" s="1116"/>
      <c r="BR186" s="1116"/>
      <c r="BS186" s="1477"/>
      <c r="BT186" s="1116"/>
      <c r="BU186" s="1550"/>
      <c r="BV186" s="1082"/>
      <c r="BW186" s="1552"/>
      <c r="BX186" s="1552"/>
    </row>
    <row r="187" spans="1:76" s="1236" customFormat="1" hidden="1" outlineLevel="1" x14ac:dyDescent="0.3">
      <c r="A187" s="1474"/>
      <c r="B187" s="1207"/>
      <c r="C187" s="1116"/>
      <c r="D187" s="1116"/>
      <c r="E187" s="1116"/>
      <c r="F187" s="1116"/>
      <c r="G187" s="1611" t="s">
        <v>1390</v>
      </c>
      <c r="H187" s="1611" t="s">
        <v>1391</v>
      </c>
      <c r="I187" s="1611"/>
      <c r="J187" s="1611" t="s">
        <v>1392</v>
      </c>
      <c r="K187" s="1611" t="s">
        <v>1393</v>
      </c>
      <c r="L187" s="1611" t="s">
        <v>1394</v>
      </c>
      <c r="M187" s="1116"/>
      <c r="N187" s="1116"/>
      <c r="O187" s="1229" t="s">
        <v>1392</v>
      </c>
      <c r="P187" s="1612"/>
      <c r="Q187" s="1116"/>
      <c r="R187" s="1116"/>
      <c r="S187" s="1116"/>
      <c r="T187" s="1116"/>
      <c r="U187" s="1116"/>
      <c r="V187" s="1116"/>
      <c r="W187" s="1116"/>
      <c r="X187" s="1116"/>
      <c r="Y187" s="1116"/>
      <c r="Z187" s="1116"/>
      <c r="AA187" s="1116"/>
      <c r="AB187" s="1116"/>
      <c r="AC187" s="1116"/>
      <c r="AD187" s="1116"/>
      <c r="AE187" s="1116"/>
      <c r="AF187" s="1116"/>
      <c r="AG187" s="1116"/>
      <c r="AH187" s="1116"/>
      <c r="AI187" s="1477"/>
      <c r="AJ187" s="1476"/>
      <c r="AK187" s="1613">
        <f t="shared" si="115"/>
        <v>30</v>
      </c>
      <c r="AL187" s="1614">
        <f>IF($AK187=Calc!$S$113,Calc!S233+NPV(DiscRPriorSub,(Calc!T233:AA233,Calc!AB238)),0)</f>
        <v>788347.12514151167</v>
      </c>
      <c r="AM187" s="1615">
        <f>IF($AK187=Calc!$S$113,Calc!S233+NPV(DiscRPriorSub,(Calc!T233:AF233,Calc!AG238)),0)</f>
        <v>788347.12514151167</v>
      </c>
      <c r="AN187" s="1116"/>
      <c r="AO187" s="1207"/>
      <c r="AP187" s="1116"/>
      <c r="AQ187" s="1611" t="s">
        <v>1390</v>
      </c>
      <c r="AR187" s="1611" t="s">
        <v>1391</v>
      </c>
      <c r="AS187" s="1611"/>
      <c r="AT187" s="1611" t="s">
        <v>1392</v>
      </c>
      <c r="AU187" s="1611" t="s">
        <v>1393</v>
      </c>
      <c r="AV187" s="1611" t="s">
        <v>1394</v>
      </c>
      <c r="AW187" s="1116"/>
      <c r="AX187" s="1116"/>
      <c r="AY187" s="1229" t="s">
        <v>1392</v>
      </c>
      <c r="AZ187" s="1612"/>
      <c r="BA187" s="1116"/>
      <c r="BB187" s="1116"/>
      <c r="BC187" s="1116"/>
      <c r="BD187" s="1116"/>
      <c r="BE187" s="1116"/>
      <c r="BF187" s="1116"/>
      <c r="BG187" s="1116"/>
      <c r="BH187" s="1116"/>
      <c r="BI187" s="1116"/>
      <c r="BJ187" s="1116"/>
      <c r="BK187" s="1116"/>
      <c r="BL187" s="1116"/>
      <c r="BM187" s="1116"/>
      <c r="BN187" s="1116"/>
      <c r="BO187" s="1116"/>
      <c r="BP187" s="1116"/>
      <c r="BQ187" s="1116"/>
      <c r="BR187" s="1116"/>
      <c r="BS187" s="1477"/>
      <c r="BT187" s="1116"/>
      <c r="BU187" s="1550"/>
      <c r="BV187" s="1082"/>
      <c r="BW187" s="1552"/>
      <c r="BX187" s="1552"/>
    </row>
    <row r="188" spans="1:76" s="1236" customFormat="1" hidden="1" outlineLevel="1" x14ac:dyDescent="0.3">
      <c r="A188" s="1474"/>
      <c r="B188" s="1207"/>
      <c r="C188" s="1229" t="s">
        <v>1395</v>
      </c>
      <c r="D188" s="1222"/>
      <c r="E188" s="1222"/>
      <c r="F188" s="1612"/>
      <c r="G188" s="1616" t="str">
        <f>IFERROR(IF(Input!$D$63="Feb",DATE("20"&amp;Input!$E$63,VLOOKUP(Input!$D$63,FT_PPD_DD!$Y$84:$Z$97,2,0),28),DATE("20"&amp;Input!$E$63,VLOOKUP(Input!$D$63,FT_PPD_DD!$Y$84:$Z$97,2,0),30)),"No")</f>
        <v>No</v>
      </c>
      <c r="H188" s="1617" t="str">
        <f>IFERROR(IF(BN42="Feb",DATE("20"&amp;BO42,VLOOKUP(BN42,FT_PPD_DD!$Y$84:$Z$97,2,0),28),DATE("20"&amp;BO42,VLOOKUP(BN42,FT_PPD_DD!$Y$84:$Z$97,2,0),30)),"No")</f>
        <v>No</v>
      </c>
      <c r="I188" s="1618"/>
      <c r="J188" s="1619" t="e">
        <f>ABS(ROUND((G188-H188)/365,2))</f>
        <v>#VALUE!</v>
      </c>
      <c r="K188" s="1620" t="e">
        <f>ROUNDDOWN(J188,0)</f>
        <v>#VALUE!</v>
      </c>
      <c r="L188" s="1620" t="e">
        <f>J188-ROUNDDOWN(J188,0)</f>
        <v>#VALUE!</v>
      </c>
      <c r="M188" s="1621"/>
      <c r="N188" s="1116"/>
      <c r="O188" s="1622" t="e">
        <f>ROUND((G188-H188)/365,2)</f>
        <v>#VALUE!</v>
      </c>
      <c r="P188" s="1623" t="e">
        <f>IF(O188&gt;=0,"Delay","Earlier")</f>
        <v>#VALUE!</v>
      </c>
      <c r="Q188" s="1116"/>
      <c r="R188" s="1116"/>
      <c r="S188" s="1116"/>
      <c r="T188" s="1116"/>
      <c r="U188" s="1116"/>
      <c r="V188" s="1116"/>
      <c r="W188" s="1116"/>
      <c r="X188" s="1116"/>
      <c r="Y188" s="1116"/>
      <c r="Z188" s="1116"/>
      <c r="AA188" s="1116"/>
      <c r="AB188" s="1116"/>
      <c r="AC188" s="1116"/>
      <c r="AD188" s="1116"/>
      <c r="AE188" s="1116"/>
      <c r="AF188" s="1116"/>
      <c r="AG188" s="1116"/>
      <c r="AH188" s="1116"/>
      <c r="AI188" s="1477"/>
      <c r="AJ188" s="1476"/>
      <c r="AK188" s="1116"/>
      <c r="AL188" s="1610"/>
      <c r="AM188" s="1610"/>
      <c r="AN188" s="1116"/>
      <c r="AO188" s="1207"/>
      <c r="AP188" s="1116"/>
      <c r="AQ188" s="1617" t="str">
        <f>IFERROR(IF(Input!$D$63="Feb",DATE("20"&amp;Input!$E$63,VLOOKUP(Input!$D$63,FT_PPD_DD!$Y$84:$Z$97,2,0),28),DATE("20"&amp;Input!$E$63,VLOOKUP(Input!$D$63,FT_PPD_DD!$Y$84:$Z$97,2,0),30)),"No")</f>
        <v>No</v>
      </c>
      <c r="AR188" s="1617" t="str">
        <f>IFERROR(IF(BN42="Feb",DATE("20"&amp;BO42,VLOOKUP(BN42,FT_PPD_DD!$Y$84:$Z$97,2,0),28),DATE("20"&amp;BO42,VLOOKUP(BN42,FT_PPD_DD!$Y$84:$Z$97,2,0),30)),"No")</f>
        <v>No</v>
      </c>
      <c r="AS188" s="1618"/>
      <c r="AT188" s="1619" t="e">
        <f>ABS(ROUND((AQ188-AR188)/365,2))</f>
        <v>#VALUE!</v>
      </c>
      <c r="AU188" s="1620" t="e">
        <f>ROUNDDOWN(AT188,0)</f>
        <v>#VALUE!</v>
      </c>
      <c r="AV188" s="1620" t="e">
        <f>AT188-ROUNDDOWN(AT188,0)</f>
        <v>#VALUE!</v>
      </c>
      <c r="AW188" s="1621"/>
      <c r="AX188" s="1116"/>
      <c r="AY188" s="1622" t="e">
        <f>ROUND((AQ188-AR188)/365,2)</f>
        <v>#VALUE!</v>
      </c>
      <c r="AZ188" s="1623" t="e">
        <f>IF(AY188&gt;=0,"Delay","Earlier")</f>
        <v>#VALUE!</v>
      </c>
      <c r="BA188" s="1116"/>
      <c r="BB188" s="1116"/>
      <c r="BC188" s="1116"/>
      <c r="BD188" s="1116"/>
      <c r="BE188" s="1116"/>
      <c r="BF188" s="1116"/>
      <c r="BG188" s="1116"/>
      <c r="BH188" s="1116"/>
      <c r="BI188" s="1116"/>
      <c r="BJ188" s="1116"/>
      <c r="BK188" s="1116"/>
      <c r="BL188" s="1116"/>
      <c r="BM188" s="1116"/>
      <c r="BN188" s="1116"/>
      <c r="BO188" s="1116"/>
      <c r="BP188" s="1116"/>
      <c r="BQ188" s="1116"/>
      <c r="BR188" s="1116"/>
      <c r="BS188" s="1477"/>
      <c r="BT188" s="1116"/>
      <c r="BU188" s="1550"/>
      <c r="BV188" s="1082"/>
      <c r="BW188" s="1552"/>
      <c r="BX188" s="1552"/>
    </row>
    <row r="189" spans="1:76" s="1236" customFormat="1" hidden="1" outlineLevel="1" x14ac:dyDescent="0.3">
      <c r="A189" s="1474"/>
      <c r="B189" s="1207"/>
      <c r="C189" s="1581" t="s">
        <v>1396</v>
      </c>
      <c r="D189" s="1116"/>
      <c r="E189" s="1116"/>
      <c r="F189" s="1624"/>
      <c r="G189" s="1601" t="e">
        <f t="shared" ref="G189:AI189" si="122">IF(G175=1,IF(LaunchFYPriorSub&lt;=AQ158,IF(AQ158=CurrentFYPriorSub+9+1,AQ57,AQ52),0),0)</f>
        <v>#VALUE!</v>
      </c>
      <c r="H189" s="1601" t="e">
        <f t="shared" si="122"/>
        <v>#VALUE!</v>
      </c>
      <c r="I189" s="1601" t="e">
        <f t="shared" si="122"/>
        <v>#VALUE!</v>
      </c>
      <c r="J189" s="1601" t="e">
        <f t="shared" si="122"/>
        <v>#VALUE!</v>
      </c>
      <c r="K189" s="1601" t="e">
        <f t="shared" si="122"/>
        <v>#VALUE!</v>
      </c>
      <c r="L189" s="1601" t="e">
        <f t="shared" si="122"/>
        <v>#VALUE!</v>
      </c>
      <c r="M189" s="1601" t="e">
        <f t="shared" si="122"/>
        <v>#VALUE!</v>
      </c>
      <c r="N189" s="1601" t="e">
        <f t="shared" si="122"/>
        <v>#VALUE!</v>
      </c>
      <c r="O189" s="1601" t="e">
        <f t="shared" si="122"/>
        <v>#VALUE!</v>
      </c>
      <c r="P189" s="1601" t="e">
        <f t="shared" si="122"/>
        <v>#VALUE!</v>
      </c>
      <c r="Q189" s="1601" t="e">
        <f t="shared" si="122"/>
        <v>#VALUE!</v>
      </c>
      <c r="R189" s="1601" t="e">
        <f t="shared" si="122"/>
        <v>#VALUE!</v>
      </c>
      <c r="S189" s="1601" t="e">
        <f t="shared" si="122"/>
        <v>#VALUE!</v>
      </c>
      <c r="T189" s="1601" t="e">
        <f t="shared" si="122"/>
        <v>#VALUE!</v>
      </c>
      <c r="U189" s="1601" t="e">
        <f t="shared" si="122"/>
        <v>#VALUE!</v>
      </c>
      <c r="V189" s="1601" t="e">
        <f t="shared" si="122"/>
        <v>#VALUE!</v>
      </c>
      <c r="W189" s="1601" t="e">
        <f t="shared" si="122"/>
        <v>#VALUE!</v>
      </c>
      <c r="X189" s="1601" t="e">
        <f t="shared" si="122"/>
        <v>#VALUE!</v>
      </c>
      <c r="Y189" s="1601" t="e">
        <f t="shared" si="122"/>
        <v>#VALUE!</v>
      </c>
      <c r="Z189" s="1601" t="e">
        <f t="shared" si="122"/>
        <v>#VALUE!</v>
      </c>
      <c r="AA189" s="1601" t="e">
        <f t="shared" si="122"/>
        <v>#VALUE!</v>
      </c>
      <c r="AB189" s="1601" t="e">
        <f t="shared" si="122"/>
        <v>#VALUE!</v>
      </c>
      <c r="AC189" s="1601" t="e">
        <f t="shared" si="122"/>
        <v>#VALUE!</v>
      </c>
      <c r="AD189" s="1601" t="e">
        <f t="shared" si="122"/>
        <v>#VALUE!</v>
      </c>
      <c r="AE189" s="1601" t="e">
        <f t="shared" si="122"/>
        <v>#VALUE!</v>
      </c>
      <c r="AF189" s="1601" t="e">
        <f t="shared" si="122"/>
        <v>#VALUE!</v>
      </c>
      <c r="AG189" s="1601" t="e">
        <f t="shared" si="122"/>
        <v>#VALUE!</v>
      </c>
      <c r="AH189" s="1601" t="e">
        <f t="shared" si="122"/>
        <v>#VALUE!</v>
      </c>
      <c r="AI189" s="1602" t="e">
        <f t="shared" si="122"/>
        <v>#VALUE!</v>
      </c>
      <c r="AJ189" s="1476"/>
      <c r="AK189" s="1116"/>
      <c r="AL189" s="1610"/>
      <c r="AM189" s="1610"/>
      <c r="AN189" s="1116"/>
      <c r="AO189" s="1207"/>
      <c r="AP189" s="1624"/>
      <c r="AQ189" s="1601" t="e">
        <f t="shared" ref="AQ189:BS189" si="123">IF(AQ175=1,IF(LaunchFYPriorSub&lt;=AQ158,IF(AQ158=CurrentFYPriorSub+14+1,AQ57,AQ52),0),0)</f>
        <v>#VALUE!</v>
      </c>
      <c r="AR189" s="1601" t="e">
        <f t="shared" si="123"/>
        <v>#VALUE!</v>
      </c>
      <c r="AS189" s="1601" t="e">
        <f t="shared" si="123"/>
        <v>#VALUE!</v>
      </c>
      <c r="AT189" s="1601" t="e">
        <f t="shared" si="123"/>
        <v>#VALUE!</v>
      </c>
      <c r="AU189" s="1601" t="e">
        <f t="shared" si="123"/>
        <v>#VALUE!</v>
      </c>
      <c r="AV189" s="1601" t="e">
        <f t="shared" si="123"/>
        <v>#VALUE!</v>
      </c>
      <c r="AW189" s="1601" t="e">
        <f t="shared" si="123"/>
        <v>#VALUE!</v>
      </c>
      <c r="AX189" s="1601" t="e">
        <f t="shared" si="123"/>
        <v>#VALUE!</v>
      </c>
      <c r="AY189" s="1601" t="e">
        <f t="shared" si="123"/>
        <v>#VALUE!</v>
      </c>
      <c r="AZ189" s="1601" t="e">
        <f t="shared" si="123"/>
        <v>#VALUE!</v>
      </c>
      <c r="BA189" s="1601" t="e">
        <f t="shared" si="123"/>
        <v>#VALUE!</v>
      </c>
      <c r="BB189" s="1601" t="e">
        <f t="shared" si="123"/>
        <v>#VALUE!</v>
      </c>
      <c r="BC189" s="1601" t="e">
        <f t="shared" si="123"/>
        <v>#VALUE!</v>
      </c>
      <c r="BD189" s="1601" t="e">
        <f t="shared" si="123"/>
        <v>#VALUE!</v>
      </c>
      <c r="BE189" s="1601" t="e">
        <f t="shared" si="123"/>
        <v>#VALUE!</v>
      </c>
      <c r="BF189" s="1601" t="e">
        <f t="shared" si="123"/>
        <v>#VALUE!</v>
      </c>
      <c r="BG189" s="1601" t="e">
        <f t="shared" si="123"/>
        <v>#VALUE!</v>
      </c>
      <c r="BH189" s="1601" t="e">
        <f t="shared" si="123"/>
        <v>#VALUE!</v>
      </c>
      <c r="BI189" s="1601" t="e">
        <f t="shared" si="123"/>
        <v>#VALUE!</v>
      </c>
      <c r="BJ189" s="1601" t="e">
        <f t="shared" si="123"/>
        <v>#VALUE!</v>
      </c>
      <c r="BK189" s="1601" t="e">
        <f t="shared" si="123"/>
        <v>#VALUE!</v>
      </c>
      <c r="BL189" s="1601" t="e">
        <f t="shared" si="123"/>
        <v>#VALUE!</v>
      </c>
      <c r="BM189" s="1601" t="e">
        <f t="shared" si="123"/>
        <v>#VALUE!</v>
      </c>
      <c r="BN189" s="1601" t="e">
        <f t="shared" si="123"/>
        <v>#VALUE!</v>
      </c>
      <c r="BO189" s="1601" t="e">
        <f t="shared" si="123"/>
        <v>#VALUE!</v>
      </c>
      <c r="BP189" s="1601" t="e">
        <f t="shared" si="123"/>
        <v>#VALUE!</v>
      </c>
      <c r="BQ189" s="1601" t="e">
        <f t="shared" si="123"/>
        <v>#VALUE!</v>
      </c>
      <c r="BR189" s="1601" t="e">
        <f t="shared" si="123"/>
        <v>#VALUE!</v>
      </c>
      <c r="BS189" s="1602" t="e">
        <f t="shared" si="123"/>
        <v>#VALUE!</v>
      </c>
      <c r="BT189" s="1116"/>
      <c r="BU189" s="1550"/>
      <c r="BV189" s="1082"/>
      <c r="BW189" s="1552"/>
      <c r="BX189" s="1552"/>
    </row>
    <row r="190" spans="1:76" s="1236" customFormat="1" hidden="1" outlineLevel="1" x14ac:dyDescent="0.3">
      <c r="A190" s="1474"/>
      <c r="B190" s="1207"/>
      <c r="C190" s="1625" t="s">
        <v>1397</v>
      </c>
      <c r="D190" s="1226"/>
      <c r="E190" s="1226"/>
      <c r="F190" s="1623"/>
      <c r="G190" s="1608" t="e">
        <f>$L$188*G189</f>
        <v>#VALUE!</v>
      </c>
      <c r="H190" s="1608" t="e">
        <f t="shared" ref="H190:AI190" si="124">$L$188*H189</f>
        <v>#VALUE!</v>
      </c>
      <c r="I190" s="1608" t="e">
        <f t="shared" si="124"/>
        <v>#VALUE!</v>
      </c>
      <c r="J190" s="1608" t="e">
        <f t="shared" si="124"/>
        <v>#VALUE!</v>
      </c>
      <c r="K190" s="1608" t="e">
        <f t="shared" si="124"/>
        <v>#VALUE!</v>
      </c>
      <c r="L190" s="1608" t="e">
        <f t="shared" si="124"/>
        <v>#VALUE!</v>
      </c>
      <c r="M190" s="1608" t="e">
        <f t="shared" si="124"/>
        <v>#VALUE!</v>
      </c>
      <c r="N190" s="1608" t="e">
        <f t="shared" si="124"/>
        <v>#VALUE!</v>
      </c>
      <c r="O190" s="1608" t="e">
        <f t="shared" si="124"/>
        <v>#VALUE!</v>
      </c>
      <c r="P190" s="1608" t="e">
        <f t="shared" si="124"/>
        <v>#VALUE!</v>
      </c>
      <c r="Q190" s="1608" t="e">
        <f t="shared" si="124"/>
        <v>#VALUE!</v>
      </c>
      <c r="R190" s="1608" t="e">
        <f t="shared" si="124"/>
        <v>#VALUE!</v>
      </c>
      <c r="S190" s="1608" t="e">
        <f t="shared" si="124"/>
        <v>#VALUE!</v>
      </c>
      <c r="T190" s="1608" t="e">
        <f t="shared" si="124"/>
        <v>#VALUE!</v>
      </c>
      <c r="U190" s="1608" t="e">
        <f t="shared" si="124"/>
        <v>#VALUE!</v>
      </c>
      <c r="V190" s="1608" t="e">
        <f t="shared" si="124"/>
        <v>#VALUE!</v>
      </c>
      <c r="W190" s="1608" t="e">
        <f t="shared" si="124"/>
        <v>#VALUE!</v>
      </c>
      <c r="X190" s="1608" t="e">
        <f t="shared" si="124"/>
        <v>#VALUE!</v>
      </c>
      <c r="Y190" s="1608" t="e">
        <f t="shared" si="124"/>
        <v>#VALUE!</v>
      </c>
      <c r="Z190" s="1608" t="e">
        <f t="shared" si="124"/>
        <v>#VALUE!</v>
      </c>
      <c r="AA190" s="1608" t="e">
        <f t="shared" si="124"/>
        <v>#VALUE!</v>
      </c>
      <c r="AB190" s="1608" t="e">
        <f t="shared" si="124"/>
        <v>#VALUE!</v>
      </c>
      <c r="AC190" s="1608" t="e">
        <f t="shared" si="124"/>
        <v>#VALUE!</v>
      </c>
      <c r="AD190" s="1608" t="e">
        <f t="shared" si="124"/>
        <v>#VALUE!</v>
      </c>
      <c r="AE190" s="1608" t="e">
        <f t="shared" si="124"/>
        <v>#VALUE!</v>
      </c>
      <c r="AF190" s="1608" t="e">
        <f t="shared" si="124"/>
        <v>#VALUE!</v>
      </c>
      <c r="AG190" s="1608" t="e">
        <f t="shared" si="124"/>
        <v>#VALUE!</v>
      </c>
      <c r="AH190" s="1608" t="e">
        <f t="shared" si="124"/>
        <v>#VALUE!</v>
      </c>
      <c r="AI190" s="1609" t="e">
        <f t="shared" si="124"/>
        <v>#VALUE!</v>
      </c>
      <c r="AJ190" s="1476"/>
      <c r="AK190" s="1116"/>
      <c r="AL190" s="1610"/>
      <c r="AM190" s="1610"/>
      <c r="AN190" s="1116"/>
      <c r="AO190" s="1207"/>
      <c r="AP190" s="1116"/>
      <c r="AQ190" s="1607" t="e">
        <f>$AV$188*AQ189</f>
        <v>#VALUE!</v>
      </c>
      <c r="AR190" s="1608" t="e">
        <f t="shared" ref="AR190:BS190" si="125">$AV$188*AR189</f>
        <v>#VALUE!</v>
      </c>
      <c r="AS190" s="1608" t="e">
        <f t="shared" si="125"/>
        <v>#VALUE!</v>
      </c>
      <c r="AT190" s="1608" t="e">
        <f t="shared" si="125"/>
        <v>#VALUE!</v>
      </c>
      <c r="AU190" s="1608" t="e">
        <f t="shared" si="125"/>
        <v>#VALUE!</v>
      </c>
      <c r="AV190" s="1608" t="e">
        <f t="shared" si="125"/>
        <v>#VALUE!</v>
      </c>
      <c r="AW190" s="1608" t="e">
        <f t="shared" si="125"/>
        <v>#VALUE!</v>
      </c>
      <c r="AX190" s="1608" t="e">
        <f t="shared" si="125"/>
        <v>#VALUE!</v>
      </c>
      <c r="AY190" s="1608" t="e">
        <f t="shared" si="125"/>
        <v>#VALUE!</v>
      </c>
      <c r="AZ190" s="1608" t="e">
        <f t="shared" si="125"/>
        <v>#VALUE!</v>
      </c>
      <c r="BA190" s="1608" t="e">
        <f t="shared" si="125"/>
        <v>#VALUE!</v>
      </c>
      <c r="BB190" s="1608" t="e">
        <f t="shared" si="125"/>
        <v>#VALUE!</v>
      </c>
      <c r="BC190" s="1608" t="e">
        <f t="shared" si="125"/>
        <v>#VALUE!</v>
      </c>
      <c r="BD190" s="1608" t="e">
        <f t="shared" si="125"/>
        <v>#VALUE!</v>
      </c>
      <c r="BE190" s="1608" t="e">
        <f t="shared" si="125"/>
        <v>#VALUE!</v>
      </c>
      <c r="BF190" s="1608" t="e">
        <f t="shared" si="125"/>
        <v>#VALUE!</v>
      </c>
      <c r="BG190" s="1608" t="e">
        <f t="shared" si="125"/>
        <v>#VALUE!</v>
      </c>
      <c r="BH190" s="1608" t="e">
        <f t="shared" si="125"/>
        <v>#VALUE!</v>
      </c>
      <c r="BI190" s="1608" t="e">
        <f t="shared" si="125"/>
        <v>#VALUE!</v>
      </c>
      <c r="BJ190" s="1608" t="e">
        <f t="shared" si="125"/>
        <v>#VALUE!</v>
      </c>
      <c r="BK190" s="1608" t="e">
        <f t="shared" si="125"/>
        <v>#VALUE!</v>
      </c>
      <c r="BL190" s="1608" t="e">
        <f t="shared" si="125"/>
        <v>#VALUE!</v>
      </c>
      <c r="BM190" s="1608" t="e">
        <f t="shared" si="125"/>
        <v>#VALUE!</v>
      </c>
      <c r="BN190" s="1608" t="e">
        <f t="shared" si="125"/>
        <v>#VALUE!</v>
      </c>
      <c r="BO190" s="1608" t="e">
        <f t="shared" si="125"/>
        <v>#VALUE!</v>
      </c>
      <c r="BP190" s="1608" t="e">
        <f t="shared" si="125"/>
        <v>#VALUE!</v>
      </c>
      <c r="BQ190" s="1608" t="e">
        <f t="shared" si="125"/>
        <v>#VALUE!</v>
      </c>
      <c r="BR190" s="1608" t="e">
        <f t="shared" si="125"/>
        <v>#VALUE!</v>
      </c>
      <c r="BS190" s="1609" t="e">
        <f t="shared" si="125"/>
        <v>#VALUE!</v>
      </c>
      <c r="BT190" s="1116"/>
      <c r="BU190" s="1550"/>
      <c r="BV190" s="1082"/>
      <c r="BW190" s="1552"/>
      <c r="BX190" s="1552"/>
    </row>
    <row r="191" spans="1:76" s="1236" customFormat="1" hidden="1" outlineLevel="1" x14ac:dyDescent="0.3">
      <c r="A191" s="1474"/>
      <c r="B191" s="1207"/>
      <c r="C191" s="1116"/>
      <c r="D191" s="1116"/>
      <c r="E191" s="1116"/>
      <c r="F191" s="1116"/>
      <c r="G191" s="1116"/>
      <c r="H191" s="1116"/>
      <c r="I191" s="1116"/>
      <c r="J191" s="1116"/>
      <c r="K191" s="1116"/>
      <c r="L191" s="1116"/>
      <c r="M191" s="1116"/>
      <c r="N191" s="1116"/>
      <c r="O191" s="1116"/>
      <c r="P191" s="1116"/>
      <c r="Q191" s="1116"/>
      <c r="R191" s="1116"/>
      <c r="S191" s="1116"/>
      <c r="T191" s="1116"/>
      <c r="U191" s="1116"/>
      <c r="V191" s="1116"/>
      <c r="W191" s="1116"/>
      <c r="X191" s="1116"/>
      <c r="Y191" s="1116"/>
      <c r="Z191" s="1116"/>
      <c r="AA191" s="1116"/>
      <c r="AB191" s="1116"/>
      <c r="AC191" s="1116"/>
      <c r="AD191" s="1116"/>
      <c r="AE191" s="1116"/>
      <c r="AF191" s="1116"/>
      <c r="AG191" s="1116"/>
      <c r="AH191" s="1116"/>
      <c r="AI191" s="1477"/>
      <c r="AJ191" s="1476"/>
      <c r="AK191" s="1116"/>
      <c r="AL191" s="1610"/>
      <c r="AM191" s="1610"/>
      <c r="AN191" s="1116"/>
      <c r="AO191" s="1207"/>
      <c r="AP191" s="1116"/>
      <c r="AQ191" s="1116"/>
      <c r="AR191" s="1116"/>
      <c r="AS191" s="1116"/>
      <c r="AT191" s="1116"/>
      <c r="AU191" s="1116"/>
      <c r="AV191" s="1116"/>
      <c r="AW191" s="1116"/>
      <c r="AX191" s="1116"/>
      <c r="AY191" s="1116"/>
      <c r="AZ191" s="1116"/>
      <c r="BA191" s="1116"/>
      <c r="BB191" s="1116"/>
      <c r="BC191" s="1116"/>
      <c r="BD191" s="1116"/>
      <c r="BE191" s="1116"/>
      <c r="BF191" s="1116"/>
      <c r="BG191" s="1116"/>
      <c r="BH191" s="1116"/>
      <c r="BI191" s="1116"/>
      <c r="BJ191" s="1116"/>
      <c r="BK191" s="1116"/>
      <c r="BL191" s="1116"/>
      <c r="BM191" s="1116"/>
      <c r="BN191" s="1116"/>
      <c r="BO191" s="1116"/>
      <c r="BP191" s="1116"/>
      <c r="BQ191" s="1116"/>
      <c r="BR191" s="1116"/>
      <c r="BS191" s="1477"/>
      <c r="BT191" s="1116"/>
      <c r="BU191" s="1550"/>
      <c r="BV191" s="1082"/>
      <c r="BW191" s="1552"/>
      <c r="BX191" s="1552"/>
    </row>
    <row r="192" spans="1:76" s="1236" customFormat="1" hidden="1" outlineLevel="1" x14ac:dyDescent="0.3">
      <c r="A192" s="1474"/>
      <c r="B192" s="1598"/>
      <c r="C192" s="1626" t="s">
        <v>1398</v>
      </c>
      <c r="D192" s="1229"/>
      <c r="E192" s="1612"/>
      <c r="F192" s="1626" t="s">
        <v>1398</v>
      </c>
      <c r="G192" s="1627" t="s">
        <v>1399</v>
      </c>
      <c r="H192" s="1628"/>
      <c r="I192" s="1628"/>
      <c r="J192" s="1628"/>
      <c r="K192" s="1628"/>
      <c r="L192" s="1629"/>
      <c r="M192" s="1629"/>
      <c r="N192" s="1629"/>
      <c r="O192" s="1629"/>
      <c r="P192" s="1629"/>
      <c r="Q192" s="1629"/>
      <c r="R192" s="1628"/>
      <c r="S192" s="1628"/>
      <c r="T192" s="1628"/>
      <c r="U192" s="1628"/>
      <c r="V192" s="1628"/>
      <c r="W192" s="1628"/>
      <c r="X192" s="1628"/>
      <c r="Y192" s="1628"/>
      <c r="Z192" s="1628"/>
      <c r="AA192" s="1628"/>
      <c r="AB192" s="1628"/>
      <c r="AC192" s="1628"/>
      <c r="AD192" s="1628"/>
      <c r="AE192" s="1628"/>
      <c r="AF192" s="1628"/>
      <c r="AG192" s="1628"/>
      <c r="AH192" s="1628"/>
      <c r="AI192" s="1630"/>
      <c r="AJ192" s="1476"/>
      <c r="AK192" s="1116"/>
      <c r="AL192" s="1610"/>
      <c r="AM192" s="1610"/>
      <c r="AN192" s="1116"/>
      <c r="AO192" s="1207"/>
      <c r="AP192" s="1626" t="s">
        <v>1398</v>
      </c>
      <c r="AQ192" s="1627" t="s">
        <v>1399</v>
      </c>
      <c r="AR192" s="1628"/>
      <c r="AS192" s="1628"/>
      <c r="AT192" s="1628"/>
      <c r="AU192" s="1628"/>
      <c r="AV192" s="1629"/>
      <c r="AW192" s="1629"/>
      <c r="AX192" s="1629"/>
      <c r="AY192" s="1629"/>
      <c r="AZ192" s="1629"/>
      <c r="BA192" s="1629"/>
      <c r="BB192" s="1628"/>
      <c r="BC192" s="1628"/>
      <c r="BD192" s="1628"/>
      <c r="BE192" s="1628"/>
      <c r="BF192" s="1628"/>
      <c r="BG192" s="1628"/>
      <c r="BH192" s="1628"/>
      <c r="BI192" s="1628"/>
      <c r="BJ192" s="1628"/>
      <c r="BK192" s="1628"/>
      <c r="BL192" s="1628"/>
      <c r="BM192" s="1628"/>
      <c r="BN192" s="1628"/>
      <c r="BO192" s="1628"/>
      <c r="BP192" s="1628"/>
      <c r="BQ192" s="1628"/>
      <c r="BR192" s="1628"/>
      <c r="BS192" s="1630"/>
      <c r="BT192" s="1116"/>
      <c r="BU192" s="1550"/>
      <c r="BV192" s="1082"/>
      <c r="BW192" s="1552"/>
      <c r="BX192" s="1552"/>
    </row>
    <row r="193" spans="1:76" s="1236" customFormat="1" hidden="1" outlineLevel="1" x14ac:dyDescent="0.3">
      <c r="A193" s="1474"/>
      <c r="B193" s="1598"/>
      <c r="C193" s="1631" t="s">
        <v>1400</v>
      </c>
      <c r="D193" s="1581"/>
      <c r="E193" s="1624"/>
      <c r="F193" s="1632">
        <v>0</v>
      </c>
      <c r="G193" s="1633" t="e">
        <f>IF(G189=0,0,G$189-G$190+F$190)</f>
        <v>#VALUE!</v>
      </c>
      <c r="H193" s="1634" t="e">
        <f t="shared" ref="H193:AI193" si="126">IF(H189=0,0,H$189-H$190+G190)</f>
        <v>#VALUE!</v>
      </c>
      <c r="I193" s="1634" t="e">
        <f t="shared" si="126"/>
        <v>#VALUE!</v>
      </c>
      <c r="J193" s="1634" t="e">
        <f t="shared" si="126"/>
        <v>#VALUE!</v>
      </c>
      <c r="K193" s="1634" t="e">
        <f t="shared" si="126"/>
        <v>#VALUE!</v>
      </c>
      <c r="L193" s="1634" t="e">
        <f t="shared" si="126"/>
        <v>#VALUE!</v>
      </c>
      <c r="M193" s="1634" t="e">
        <f t="shared" si="126"/>
        <v>#VALUE!</v>
      </c>
      <c r="N193" s="1634" t="e">
        <f t="shared" si="126"/>
        <v>#VALUE!</v>
      </c>
      <c r="O193" s="1634" t="e">
        <f t="shared" si="126"/>
        <v>#VALUE!</v>
      </c>
      <c r="P193" s="1634" t="e">
        <f t="shared" si="126"/>
        <v>#VALUE!</v>
      </c>
      <c r="Q193" s="1634" t="e">
        <f t="shared" si="126"/>
        <v>#VALUE!</v>
      </c>
      <c r="R193" s="1634" t="e">
        <f t="shared" si="126"/>
        <v>#VALUE!</v>
      </c>
      <c r="S193" s="1634" t="e">
        <f t="shared" si="126"/>
        <v>#VALUE!</v>
      </c>
      <c r="T193" s="1634" t="e">
        <f t="shared" si="126"/>
        <v>#VALUE!</v>
      </c>
      <c r="U193" s="1634" t="e">
        <f t="shared" si="126"/>
        <v>#VALUE!</v>
      </c>
      <c r="V193" s="1634" t="e">
        <f t="shared" si="126"/>
        <v>#VALUE!</v>
      </c>
      <c r="W193" s="1634" t="e">
        <f t="shared" si="126"/>
        <v>#VALUE!</v>
      </c>
      <c r="X193" s="1634" t="e">
        <f t="shared" si="126"/>
        <v>#VALUE!</v>
      </c>
      <c r="Y193" s="1634" t="e">
        <f t="shared" si="126"/>
        <v>#VALUE!</v>
      </c>
      <c r="Z193" s="1634" t="e">
        <f t="shared" si="126"/>
        <v>#VALUE!</v>
      </c>
      <c r="AA193" s="1634" t="e">
        <f t="shared" si="126"/>
        <v>#VALUE!</v>
      </c>
      <c r="AB193" s="1634" t="e">
        <f t="shared" si="126"/>
        <v>#VALUE!</v>
      </c>
      <c r="AC193" s="1634" t="e">
        <f t="shared" si="126"/>
        <v>#VALUE!</v>
      </c>
      <c r="AD193" s="1634" t="e">
        <f t="shared" si="126"/>
        <v>#VALUE!</v>
      </c>
      <c r="AE193" s="1634" t="e">
        <f t="shared" si="126"/>
        <v>#VALUE!</v>
      </c>
      <c r="AF193" s="1634" t="e">
        <f t="shared" si="126"/>
        <v>#VALUE!</v>
      </c>
      <c r="AG193" s="1634" t="e">
        <f t="shared" si="126"/>
        <v>#VALUE!</v>
      </c>
      <c r="AH193" s="1634" t="e">
        <f t="shared" si="126"/>
        <v>#VALUE!</v>
      </c>
      <c r="AI193" s="1635" t="e">
        <f t="shared" si="126"/>
        <v>#VALUE!</v>
      </c>
      <c r="AJ193" s="1476"/>
      <c r="AK193" s="1116"/>
      <c r="AL193" s="1610"/>
      <c r="AM193" s="1610"/>
      <c r="AN193" s="1116"/>
      <c r="AO193" s="1207"/>
      <c r="AP193" s="1632">
        <v>0</v>
      </c>
      <c r="AQ193" s="1633" t="e">
        <f t="shared" ref="AQ193:BS193" si="127">IF(AQ189=0,0,AQ$189-AQ$190+AP190)</f>
        <v>#VALUE!</v>
      </c>
      <c r="AR193" s="1634" t="e">
        <f t="shared" si="127"/>
        <v>#VALUE!</v>
      </c>
      <c r="AS193" s="1634" t="e">
        <f t="shared" si="127"/>
        <v>#VALUE!</v>
      </c>
      <c r="AT193" s="1634" t="e">
        <f t="shared" si="127"/>
        <v>#VALUE!</v>
      </c>
      <c r="AU193" s="1634" t="e">
        <f t="shared" si="127"/>
        <v>#VALUE!</v>
      </c>
      <c r="AV193" s="1634" t="e">
        <f t="shared" si="127"/>
        <v>#VALUE!</v>
      </c>
      <c r="AW193" s="1634" t="e">
        <f t="shared" si="127"/>
        <v>#VALUE!</v>
      </c>
      <c r="AX193" s="1634" t="e">
        <f t="shared" si="127"/>
        <v>#VALUE!</v>
      </c>
      <c r="AY193" s="1634" t="e">
        <f t="shared" si="127"/>
        <v>#VALUE!</v>
      </c>
      <c r="AZ193" s="1634" t="e">
        <f t="shared" si="127"/>
        <v>#VALUE!</v>
      </c>
      <c r="BA193" s="1634" t="e">
        <f t="shared" si="127"/>
        <v>#VALUE!</v>
      </c>
      <c r="BB193" s="1634" t="e">
        <f t="shared" si="127"/>
        <v>#VALUE!</v>
      </c>
      <c r="BC193" s="1634" t="e">
        <f t="shared" si="127"/>
        <v>#VALUE!</v>
      </c>
      <c r="BD193" s="1634" t="e">
        <f t="shared" si="127"/>
        <v>#VALUE!</v>
      </c>
      <c r="BE193" s="1634" t="e">
        <f t="shared" si="127"/>
        <v>#VALUE!</v>
      </c>
      <c r="BF193" s="1634" t="e">
        <f t="shared" si="127"/>
        <v>#VALUE!</v>
      </c>
      <c r="BG193" s="1634" t="e">
        <f t="shared" si="127"/>
        <v>#VALUE!</v>
      </c>
      <c r="BH193" s="1634" t="e">
        <f t="shared" si="127"/>
        <v>#VALUE!</v>
      </c>
      <c r="BI193" s="1634" t="e">
        <f t="shared" si="127"/>
        <v>#VALUE!</v>
      </c>
      <c r="BJ193" s="1634" t="e">
        <f t="shared" si="127"/>
        <v>#VALUE!</v>
      </c>
      <c r="BK193" s="1634" t="e">
        <f t="shared" si="127"/>
        <v>#VALUE!</v>
      </c>
      <c r="BL193" s="1634" t="e">
        <f t="shared" si="127"/>
        <v>#VALUE!</v>
      </c>
      <c r="BM193" s="1634" t="e">
        <f t="shared" si="127"/>
        <v>#VALUE!</v>
      </c>
      <c r="BN193" s="1634" t="e">
        <f t="shared" si="127"/>
        <v>#VALUE!</v>
      </c>
      <c r="BO193" s="1634" t="e">
        <f t="shared" si="127"/>
        <v>#VALUE!</v>
      </c>
      <c r="BP193" s="1634" t="e">
        <f t="shared" si="127"/>
        <v>#VALUE!</v>
      </c>
      <c r="BQ193" s="1634" t="e">
        <f t="shared" si="127"/>
        <v>#VALUE!</v>
      </c>
      <c r="BR193" s="1634" t="e">
        <f t="shared" si="127"/>
        <v>#VALUE!</v>
      </c>
      <c r="BS193" s="1635" t="e">
        <f t="shared" si="127"/>
        <v>#VALUE!</v>
      </c>
      <c r="BT193" s="1116"/>
      <c r="BU193" s="1550"/>
      <c r="BV193" s="1082"/>
      <c r="BW193" s="1552"/>
      <c r="BX193" s="1552"/>
    </row>
    <row r="194" spans="1:76" s="1236" customFormat="1" hidden="1" outlineLevel="1" x14ac:dyDescent="0.3">
      <c r="A194" s="1474"/>
      <c r="B194" s="1598"/>
      <c r="C194" s="1636" t="s">
        <v>1401</v>
      </c>
      <c r="D194" s="1581"/>
      <c r="E194" s="1624"/>
      <c r="F194" s="1637">
        <v>1</v>
      </c>
      <c r="G194" s="1610" t="e">
        <f>IF(G$189=0,0,IF($J$188=1,0,0))</f>
        <v>#VALUE!</v>
      </c>
      <c r="H194" s="1610" t="e">
        <f>IF(H$189=0,0,IF($J$188=1,G$189,G$189-G$190))</f>
        <v>#VALUE!</v>
      </c>
      <c r="I194" s="1610" t="e">
        <f t="shared" ref="I194:AI194" si="128">IF(I$189=0,0,IF($J$188=1,H$189,H$189-H$190+G$190))</f>
        <v>#VALUE!</v>
      </c>
      <c r="J194" s="1610" t="e">
        <f t="shared" si="128"/>
        <v>#VALUE!</v>
      </c>
      <c r="K194" s="1610" t="e">
        <f t="shared" si="128"/>
        <v>#VALUE!</v>
      </c>
      <c r="L194" s="1610" t="e">
        <f t="shared" si="128"/>
        <v>#VALUE!</v>
      </c>
      <c r="M194" s="1610" t="e">
        <f t="shared" si="128"/>
        <v>#VALUE!</v>
      </c>
      <c r="N194" s="1610" t="e">
        <f t="shared" si="128"/>
        <v>#VALUE!</v>
      </c>
      <c r="O194" s="1610" t="e">
        <f t="shared" si="128"/>
        <v>#VALUE!</v>
      </c>
      <c r="P194" s="1610" t="e">
        <f t="shared" si="128"/>
        <v>#VALUE!</v>
      </c>
      <c r="Q194" s="1610" t="e">
        <f t="shared" si="128"/>
        <v>#VALUE!</v>
      </c>
      <c r="R194" s="1610" t="e">
        <f t="shared" si="128"/>
        <v>#VALUE!</v>
      </c>
      <c r="S194" s="1610" t="e">
        <f t="shared" si="128"/>
        <v>#VALUE!</v>
      </c>
      <c r="T194" s="1610" t="e">
        <f t="shared" si="128"/>
        <v>#VALUE!</v>
      </c>
      <c r="U194" s="1610" t="e">
        <f t="shared" si="128"/>
        <v>#VALUE!</v>
      </c>
      <c r="V194" s="1610" t="e">
        <f t="shared" si="128"/>
        <v>#VALUE!</v>
      </c>
      <c r="W194" s="1610" t="e">
        <f t="shared" si="128"/>
        <v>#VALUE!</v>
      </c>
      <c r="X194" s="1610" t="e">
        <f t="shared" si="128"/>
        <v>#VALUE!</v>
      </c>
      <c r="Y194" s="1610" t="e">
        <f t="shared" si="128"/>
        <v>#VALUE!</v>
      </c>
      <c r="Z194" s="1610" t="e">
        <f t="shared" si="128"/>
        <v>#VALUE!</v>
      </c>
      <c r="AA194" s="1610" t="e">
        <f t="shared" si="128"/>
        <v>#VALUE!</v>
      </c>
      <c r="AB194" s="1610" t="e">
        <f t="shared" si="128"/>
        <v>#VALUE!</v>
      </c>
      <c r="AC194" s="1610" t="e">
        <f t="shared" si="128"/>
        <v>#VALUE!</v>
      </c>
      <c r="AD194" s="1610" t="e">
        <f t="shared" si="128"/>
        <v>#VALUE!</v>
      </c>
      <c r="AE194" s="1610" t="e">
        <f t="shared" si="128"/>
        <v>#VALUE!</v>
      </c>
      <c r="AF194" s="1610" t="e">
        <f t="shared" si="128"/>
        <v>#VALUE!</v>
      </c>
      <c r="AG194" s="1610" t="e">
        <f t="shared" si="128"/>
        <v>#VALUE!</v>
      </c>
      <c r="AH194" s="1610" t="e">
        <f t="shared" si="128"/>
        <v>#VALUE!</v>
      </c>
      <c r="AI194" s="1638" t="e">
        <f t="shared" si="128"/>
        <v>#VALUE!</v>
      </c>
      <c r="AJ194" s="1476"/>
      <c r="AK194" s="1116"/>
      <c r="AL194" s="1610"/>
      <c r="AM194" s="1610"/>
      <c r="AN194" s="1116"/>
      <c r="AO194" s="1207"/>
      <c r="AP194" s="1637">
        <v>1</v>
      </c>
      <c r="AQ194" s="1610" t="e">
        <f>IF(AQ$189=0,0,IF($AT$188=1,0,0))</f>
        <v>#VALUE!</v>
      </c>
      <c r="AR194" s="1610" t="e">
        <f>IF(AR$189=0,0,IF($AT$188=1,AQ$189,AQ$189-AQ$190))</f>
        <v>#VALUE!</v>
      </c>
      <c r="AS194" s="1610" t="e">
        <f t="shared" ref="AS194:BS194" si="129">IF(AS$189=0,0,IF($AT$188=1,AR$189,AR$189-AR$190+AQ$190))</f>
        <v>#VALUE!</v>
      </c>
      <c r="AT194" s="1610" t="e">
        <f t="shared" si="129"/>
        <v>#VALUE!</v>
      </c>
      <c r="AU194" s="1610" t="e">
        <f t="shared" si="129"/>
        <v>#VALUE!</v>
      </c>
      <c r="AV194" s="1610" t="e">
        <f t="shared" si="129"/>
        <v>#VALUE!</v>
      </c>
      <c r="AW194" s="1610" t="e">
        <f t="shared" si="129"/>
        <v>#VALUE!</v>
      </c>
      <c r="AX194" s="1610" t="e">
        <f t="shared" si="129"/>
        <v>#VALUE!</v>
      </c>
      <c r="AY194" s="1610" t="e">
        <f t="shared" si="129"/>
        <v>#VALUE!</v>
      </c>
      <c r="AZ194" s="1610" t="e">
        <f t="shared" si="129"/>
        <v>#VALUE!</v>
      </c>
      <c r="BA194" s="1610" t="e">
        <f t="shared" si="129"/>
        <v>#VALUE!</v>
      </c>
      <c r="BB194" s="1610" t="e">
        <f t="shared" si="129"/>
        <v>#VALUE!</v>
      </c>
      <c r="BC194" s="1610" t="e">
        <f t="shared" si="129"/>
        <v>#VALUE!</v>
      </c>
      <c r="BD194" s="1610" t="e">
        <f t="shared" si="129"/>
        <v>#VALUE!</v>
      </c>
      <c r="BE194" s="1610" t="e">
        <f t="shared" si="129"/>
        <v>#VALUE!</v>
      </c>
      <c r="BF194" s="1610" t="e">
        <f t="shared" si="129"/>
        <v>#VALUE!</v>
      </c>
      <c r="BG194" s="1610" t="e">
        <f t="shared" si="129"/>
        <v>#VALUE!</v>
      </c>
      <c r="BH194" s="1610" t="e">
        <f t="shared" si="129"/>
        <v>#VALUE!</v>
      </c>
      <c r="BI194" s="1610" t="e">
        <f t="shared" si="129"/>
        <v>#VALUE!</v>
      </c>
      <c r="BJ194" s="1610" t="e">
        <f t="shared" si="129"/>
        <v>#VALUE!</v>
      </c>
      <c r="BK194" s="1610" t="e">
        <f t="shared" si="129"/>
        <v>#VALUE!</v>
      </c>
      <c r="BL194" s="1610" t="e">
        <f t="shared" si="129"/>
        <v>#VALUE!</v>
      </c>
      <c r="BM194" s="1610" t="e">
        <f t="shared" si="129"/>
        <v>#VALUE!</v>
      </c>
      <c r="BN194" s="1610" t="e">
        <f t="shared" si="129"/>
        <v>#VALUE!</v>
      </c>
      <c r="BO194" s="1610" t="e">
        <f t="shared" si="129"/>
        <v>#VALUE!</v>
      </c>
      <c r="BP194" s="1610" t="e">
        <f t="shared" si="129"/>
        <v>#VALUE!</v>
      </c>
      <c r="BQ194" s="1610" t="e">
        <f t="shared" si="129"/>
        <v>#VALUE!</v>
      </c>
      <c r="BR194" s="1610" t="e">
        <f t="shared" si="129"/>
        <v>#VALUE!</v>
      </c>
      <c r="BS194" s="1638" t="e">
        <f t="shared" si="129"/>
        <v>#VALUE!</v>
      </c>
      <c r="BT194" s="1116"/>
      <c r="BU194" s="1550"/>
      <c r="BV194" s="1082"/>
      <c r="BW194" s="1552"/>
      <c r="BX194" s="1552"/>
    </row>
    <row r="195" spans="1:76" s="1236" customFormat="1" hidden="1" outlineLevel="1" x14ac:dyDescent="0.3">
      <c r="A195" s="1474"/>
      <c r="B195" s="1598"/>
      <c r="C195" s="1636" t="s">
        <v>1402</v>
      </c>
      <c r="D195" s="1581"/>
      <c r="E195" s="1624"/>
      <c r="F195" s="1637">
        <v>2</v>
      </c>
      <c r="G195" s="1610" t="e">
        <f>IF(G$189=0,0,IF($J$188=2,0,0))</f>
        <v>#VALUE!</v>
      </c>
      <c r="H195" s="1610" t="e">
        <f>IF(H$189=0,0,IF($J$188=2,0,0))</f>
        <v>#VALUE!</v>
      </c>
      <c r="I195" s="1610" t="e">
        <f>IF(I$189=0,0,IF($J$188=2,G$189,G$189-G$190))</f>
        <v>#VALUE!</v>
      </c>
      <c r="J195" s="1610" t="e">
        <f t="shared" ref="J195:AI195" si="130">IF(J$189=0,0,IF($J$188=2,H$189,H$189-H$190+G$190))</f>
        <v>#VALUE!</v>
      </c>
      <c r="K195" s="1610" t="e">
        <f t="shared" si="130"/>
        <v>#VALUE!</v>
      </c>
      <c r="L195" s="1610" t="e">
        <f t="shared" si="130"/>
        <v>#VALUE!</v>
      </c>
      <c r="M195" s="1610" t="e">
        <f t="shared" si="130"/>
        <v>#VALUE!</v>
      </c>
      <c r="N195" s="1610" t="e">
        <f t="shared" si="130"/>
        <v>#VALUE!</v>
      </c>
      <c r="O195" s="1610" t="e">
        <f t="shared" si="130"/>
        <v>#VALUE!</v>
      </c>
      <c r="P195" s="1610" t="e">
        <f t="shared" si="130"/>
        <v>#VALUE!</v>
      </c>
      <c r="Q195" s="1610" t="e">
        <f t="shared" si="130"/>
        <v>#VALUE!</v>
      </c>
      <c r="R195" s="1610" t="e">
        <f t="shared" si="130"/>
        <v>#VALUE!</v>
      </c>
      <c r="S195" s="1610" t="e">
        <f t="shared" si="130"/>
        <v>#VALUE!</v>
      </c>
      <c r="T195" s="1610" t="e">
        <f t="shared" si="130"/>
        <v>#VALUE!</v>
      </c>
      <c r="U195" s="1610" t="e">
        <f t="shared" si="130"/>
        <v>#VALUE!</v>
      </c>
      <c r="V195" s="1610" t="e">
        <f t="shared" si="130"/>
        <v>#VALUE!</v>
      </c>
      <c r="W195" s="1610" t="e">
        <f t="shared" si="130"/>
        <v>#VALUE!</v>
      </c>
      <c r="X195" s="1610" t="e">
        <f t="shared" si="130"/>
        <v>#VALUE!</v>
      </c>
      <c r="Y195" s="1610" t="e">
        <f t="shared" si="130"/>
        <v>#VALUE!</v>
      </c>
      <c r="Z195" s="1610" t="e">
        <f t="shared" si="130"/>
        <v>#VALUE!</v>
      </c>
      <c r="AA195" s="1610" t="e">
        <f t="shared" si="130"/>
        <v>#VALUE!</v>
      </c>
      <c r="AB195" s="1610" t="e">
        <f t="shared" si="130"/>
        <v>#VALUE!</v>
      </c>
      <c r="AC195" s="1610" t="e">
        <f t="shared" si="130"/>
        <v>#VALUE!</v>
      </c>
      <c r="AD195" s="1610" t="e">
        <f t="shared" si="130"/>
        <v>#VALUE!</v>
      </c>
      <c r="AE195" s="1610" t="e">
        <f t="shared" si="130"/>
        <v>#VALUE!</v>
      </c>
      <c r="AF195" s="1610" t="e">
        <f t="shared" si="130"/>
        <v>#VALUE!</v>
      </c>
      <c r="AG195" s="1610" t="e">
        <f t="shared" si="130"/>
        <v>#VALUE!</v>
      </c>
      <c r="AH195" s="1610" t="e">
        <f t="shared" si="130"/>
        <v>#VALUE!</v>
      </c>
      <c r="AI195" s="1638" t="e">
        <f t="shared" si="130"/>
        <v>#VALUE!</v>
      </c>
      <c r="AJ195" s="1476"/>
      <c r="AK195" s="1116"/>
      <c r="AL195" s="1610"/>
      <c r="AM195" s="1610"/>
      <c r="AN195" s="1116"/>
      <c r="AO195" s="1207"/>
      <c r="AP195" s="1637">
        <v>2</v>
      </c>
      <c r="AQ195" s="1610" t="e">
        <f>IF(AQ$189=0,0,IF($AT$188=2,0,0))</f>
        <v>#VALUE!</v>
      </c>
      <c r="AR195" s="1610" t="e">
        <f>IF(AR$189=0,0,IF($AT$188=2,0,0))</f>
        <v>#VALUE!</v>
      </c>
      <c r="AS195" s="1610" t="e">
        <f>IF(AS$189=0,0,IF($AT$188=2,AQ$189,AQ$189-AQ$190))</f>
        <v>#VALUE!</v>
      </c>
      <c r="AT195" s="1610" t="e">
        <f t="shared" ref="AT195:BS195" si="131">IF(AT$189=0,0,IF($AT$188=2,AR$189,AR$189-AR$190+AQ$190))</f>
        <v>#VALUE!</v>
      </c>
      <c r="AU195" s="1610" t="e">
        <f t="shared" si="131"/>
        <v>#VALUE!</v>
      </c>
      <c r="AV195" s="1610" t="e">
        <f t="shared" si="131"/>
        <v>#VALUE!</v>
      </c>
      <c r="AW195" s="1610" t="e">
        <f t="shared" si="131"/>
        <v>#VALUE!</v>
      </c>
      <c r="AX195" s="1610" t="e">
        <f t="shared" si="131"/>
        <v>#VALUE!</v>
      </c>
      <c r="AY195" s="1610" t="e">
        <f t="shared" si="131"/>
        <v>#VALUE!</v>
      </c>
      <c r="AZ195" s="1610" t="e">
        <f t="shared" si="131"/>
        <v>#VALUE!</v>
      </c>
      <c r="BA195" s="1610" t="e">
        <f t="shared" si="131"/>
        <v>#VALUE!</v>
      </c>
      <c r="BB195" s="1610" t="e">
        <f t="shared" si="131"/>
        <v>#VALUE!</v>
      </c>
      <c r="BC195" s="1610" t="e">
        <f t="shared" si="131"/>
        <v>#VALUE!</v>
      </c>
      <c r="BD195" s="1610" t="e">
        <f t="shared" si="131"/>
        <v>#VALUE!</v>
      </c>
      <c r="BE195" s="1610" t="e">
        <f t="shared" si="131"/>
        <v>#VALUE!</v>
      </c>
      <c r="BF195" s="1610" t="e">
        <f t="shared" si="131"/>
        <v>#VALUE!</v>
      </c>
      <c r="BG195" s="1610" t="e">
        <f t="shared" si="131"/>
        <v>#VALUE!</v>
      </c>
      <c r="BH195" s="1610" t="e">
        <f t="shared" si="131"/>
        <v>#VALUE!</v>
      </c>
      <c r="BI195" s="1610" t="e">
        <f t="shared" si="131"/>
        <v>#VALUE!</v>
      </c>
      <c r="BJ195" s="1610" t="e">
        <f t="shared" si="131"/>
        <v>#VALUE!</v>
      </c>
      <c r="BK195" s="1610" t="e">
        <f t="shared" si="131"/>
        <v>#VALUE!</v>
      </c>
      <c r="BL195" s="1610" t="e">
        <f t="shared" si="131"/>
        <v>#VALUE!</v>
      </c>
      <c r="BM195" s="1610" t="e">
        <f t="shared" si="131"/>
        <v>#VALUE!</v>
      </c>
      <c r="BN195" s="1610" t="e">
        <f t="shared" si="131"/>
        <v>#VALUE!</v>
      </c>
      <c r="BO195" s="1610" t="e">
        <f t="shared" si="131"/>
        <v>#VALUE!</v>
      </c>
      <c r="BP195" s="1610" t="e">
        <f t="shared" si="131"/>
        <v>#VALUE!</v>
      </c>
      <c r="BQ195" s="1610" t="e">
        <f t="shared" si="131"/>
        <v>#VALUE!</v>
      </c>
      <c r="BR195" s="1610" t="e">
        <f t="shared" si="131"/>
        <v>#VALUE!</v>
      </c>
      <c r="BS195" s="1638" t="e">
        <f t="shared" si="131"/>
        <v>#VALUE!</v>
      </c>
      <c r="BT195" s="1116"/>
      <c r="BU195" s="1550"/>
      <c r="BV195" s="1082"/>
      <c r="BW195" s="1552"/>
      <c r="BX195" s="1552"/>
    </row>
    <row r="196" spans="1:76" s="1236" customFormat="1" hidden="1" outlineLevel="1" x14ac:dyDescent="0.3">
      <c r="A196" s="1474"/>
      <c r="B196" s="1598"/>
      <c r="C196" s="1636" t="s">
        <v>1403</v>
      </c>
      <c r="D196" s="1581"/>
      <c r="E196" s="1624"/>
      <c r="F196" s="1637">
        <v>3</v>
      </c>
      <c r="G196" s="1610" t="e">
        <f>IF(G$189=0,0,IF($J$188=3,0,0))</f>
        <v>#VALUE!</v>
      </c>
      <c r="H196" s="1610" t="e">
        <f>IF(H$189=0,0,IF($J$188=3,0,0))</f>
        <v>#VALUE!</v>
      </c>
      <c r="I196" s="1610" t="e">
        <f>IF(I$189=0,0,IF($J$188=3,0,0))</f>
        <v>#VALUE!</v>
      </c>
      <c r="J196" s="1610" t="e">
        <f>IF(J$189=0,0,IF($J$188=3,G$189,G$189-G$190))</f>
        <v>#VALUE!</v>
      </c>
      <c r="K196" s="1610" t="e">
        <f t="shared" ref="K196:AI196" si="132">IF(K$189=0,0,IF($J$188=3,H$189,H$189-H$190+G$190))</f>
        <v>#VALUE!</v>
      </c>
      <c r="L196" s="1610" t="e">
        <f t="shared" si="132"/>
        <v>#VALUE!</v>
      </c>
      <c r="M196" s="1610" t="e">
        <f t="shared" si="132"/>
        <v>#VALUE!</v>
      </c>
      <c r="N196" s="1610" t="e">
        <f t="shared" si="132"/>
        <v>#VALUE!</v>
      </c>
      <c r="O196" s="1610" t="e">
        <f t="shared" si="132"/>
        <v>#VALUE!</v>
      </c>
      <c r="P196" s="1610" t="e">
        <f t="shared" si="132"/>
        <v>#VALUE!</v>
      </c>
      <c r="Q196" s="1610" t="e">
        <f t="shared" si="132"/>
        <v>#VALUE!</v>
      </c>
      <c r="R196" s="1610" t="e">
        <f t="shared" si="132"/>
        <v>#VALUE!</v>
      </c>
      <c r="S196" s="1610" t="e">
        <f t="shared" si="132"/>
        <v>#VALUE!</v>
      </c>
      <c r="T196" s="1610" t="e">
        <f t="shared" si="132"/>
        <v>#VALUE!</v>
      </c>
      <c r="U196" s="1610" t="e">
        <f t="shared" si="132"/>
        <v>#VALUE!</v>
      </c>
      <c r="V196" s="1610" t="e">
        <f t="shared" si="132"/>
        <v>#VALUE!</v>
      </c>
      <c r="W196" s="1610" t="e">
        <f t="shared" si="132"/>
        <v>#VALUE!</v>
      </c>
      <c r="X196" s="1610" t="e">
        <f t="shared" si="132"/>
        <v>#VALUE!</v>
      </c>
      <c r="Y196" s="1610" t="e">
        <f t="shared" si="132"/>
        <v>#VALUE!</v>
      </c>
      <c r="Z196" s="1610" t="e">
        <f t="shared" si="132"/>
        <v>#VALUE!</v>
      </c>
      <c r="AA196" s="1610" t="e">
        <f t="shared" si="132"/>
        <v>#VALUE!</v>
      </c>
      <c r="AB196" s="1610" t="e">
        <f t="shared" si="132"/>
        <v>#VALUE!</v>
      </c>
      <c r="AC196" s="1610" t="e">
        <f t="shared" si="132"/>
        <v>#VALUE!</v>
      </c>
      <c r="AD196" s="1610" t="e">
        <f t="shared" si="132"/>
        <v>#VALUE!</v>
      </c>
      <c r="AE196" s="1610" t="e">
        <f t="shared" si="132"/>
        <v>#VALUE!</v>
      </c>
      <c r="AF196" s="1610" t="e">
        <f t="shared" si="132"/>
        <v>#VALUE!</v>
      </c>
      <c r="AG196" s="1610" t="e">
        <f t="shared" si="132"/>
        <v>#VALUE!</v>
      </c>
      <c r="AH196" s="1610" t="e">
        <f t="shared" si="132"/>
        <v>#VALUE!</v>
      </c>
      <c r="AI196" s="1638" t="e">
        <f t="shared" si="132"/>
        <v>#VALUE!</v>
      </c>
      <c r="AJ196" s="1476"/>
      <c r="AK196" s="1116"/>
      <c r="AL196" s="1610"/>
      <c r="AM196" s="1610"/>
      <c r="AN196" s="1116"/>
      <c r="AO196" s="1207"/>
      <c r="AP196" s="1637">
        <v>3</v>
      </c>
      <c r="AQ196" s="1610" t="e">
        <f>IF(AQ$189=0,0,IF($AT$188=3,0,0))</f>
        <v>#VALUE!</v>
      </c>
      <c r="AR196" s="1610" t="e">
        <f>IF(AR$189=0,0,IF($AT$188=3,0,0))</f>
        <v>#VALUE!</v>
      </c>
      <c r="AS196" s="1610" t="e">
        <f>IF(AS$189=0,0,IF($AT$188=3,0,0))</f>
        <v>#VALUE!</v>
      </c>
      <c r="AT196" s="1610" t="e">
        <f>IF(AT$189=0,0,IF($AT$188=3,AQ$189,AQ$189-AQ$190))</f>
        <v>#VALUE!</v>
      </c>
      <c r="AU196" s="1610" t="e">
        <f t="shared" ref="AU196:BS196" si="133">IF(AU$189=0,0,IF($AT$188=3,AR$189,AR$189-AR$190+AQ$190))</f>
        <v>#VALUE!</v>
      </c>
      <c r="AV196" s="1610" t="e">
        <f t="shared" si="133"/>
        <v>#VALUE!</v>
      </c>
      <c r="AW196" s="1610" t="e">
        <f t="shared" si="133"/>
        <v>#VALUE!</v>
      </c>
      <c r="AX196" s="1610" t="e">
        <f t="shared" si="133"/>
        <v>#VALUE!</v>
      </c>
      <c r="AY196" s="1610" t="e">
        <f t="shared" si="133"/>
        <v>#VALUE!</v>
      </c>
      <c r="AZ196" s="1610" t="e">
        <f t="shared" si="133"/>
        <v>#VALUE!</v>
      </c>
      <c r="BA196" s="1610" t="e">
        <f t="shared" si="133"/>
        <v>#VALUE!</v>
      </c>
      <c r="BB196" s="1610" t="e">
        <f t="shared" si="133"/>
        <v>#VALUE!</v>
      </c>
      <c r="BC196" s="1610" t="e">
        <f t="shared" si="133"/>
        <v>#VALUE!</v>
      </c>
      <c r="BD196" s="1610" t="e">
        <f t="shared" si="133"/>
        <v>#VALUE!</v>
      </c>
      <c r="BE196" s="1610" t="e">
        <f t="shared" si="133"/>
        <v>#VALUE!</v>
      </c>
      <c r="BF196" s="1610" t="e">
        <f t="shared" si="133"/>
        <v>#VALUE!</v>
      </c>
      <c r="BG196" s="1610" t="e">
        <f t="shared" si="133"/>
        <v>#VALUE!</v>
      </c>
      <c r="BH196" s="1610" t="e">
        <f t="shared" si="133"/>
        <v>#VALUE!</v>
      </c>
      <c r="BI196" s="1610" t="e">
        <f t="shared" si="133"/>
        <v>#VALUE!</v>
      </c>
      <c r="BJ196" s="1610" t="e">
        <f t="shared" si="133"/>
        <v>#VALUE!</v>
      </c>
      <c r="BK196" s="1610" t="e">
        <f t="shared" si="133"/>
        <v>#VALUE!</v>
      </c>
      <c r="BL196" s="1610" t="e">
        <f t="shared" si="133"/>
        <v>#VALUE!</v>
      </c>
      <c r="BM196" s="1610" t="e">
        <f t="shared" si="133"/>
        <v>#VALUE!</v>
      </c>
      <c r="BN196" s="1610" t="e">
        <f t="shared" si="133"/>
        <v>#VALUE!</v>
      </c>
      <c r="BO196" s="1610" t="e">
        <f t="shared" si="133"/>
        <v>#VALUE!</v>
      </c>
      <c r="BP196" s="1610" t="e">
        <f t="shared" si="133"/>
        <v>#VALUE!</v>
      </c>
      <c r="BQ196" s="1610" t="e">
        <f t="shared" si="133"/>
        <v>#VALUE!</v>
      </c>
      <c r="BR196" s="1610" t="e">
        <f t="shared" si="133"/>
        <v>#VALUE!</v>
      </c>
      <c r="BS196" s="1638" t="e">
        <f t="shared" si="133"/>
        <v>#VALUE!</v>
      </c>
      <c r="BT196" s="1116"/>
      <c r="BU196" s="1550"/>
      <c r="BV196" s="1082"/>
      <c r="BW196" s="1552"/>
      <c r="BX196" s="1552"/>
    </row>
    <row r="197" spans="1:76" s="1236" customFormat="1" hidden="1" outlineLevel="1" x14ac:dyDescent="0.3">
      <c r="A197" s="1474"/>
      <c r="B197" s="1598"/>
      <c r="C197" s="1639" t="s">
        <v>1404</v>
      </c>
      <c r="D197" s="1625"/>
      <c r="E197" s="1623"/>
      <c r="F197" s="1640">
        <v>4</v>
      </c>
      <c r="G197" s="1641" t="e">
        <f>IF(G$189=0,0,IF($J$188=4,0,0))</f>
        <v>#VALUE!</v>
      </c>
      <c r="H197" s="1641" t="e">
        <f>IF(H$189=0,0,IF($J$188=4,0,0))</f>
        <v>#VALUE!</v>
      </c>
      <c r="I197" s="1641" t="e">
        <f>IF(I$189=0,0,IF($J$188=4,0,0))</f>
        <v>#VALUE!</v>
      </c>
      <c r="J197" s="1641" t="e">
        <f>IF(J$189=0,0,IF($J$188=4,0,0))</f>
        <v>#VALUE!</v>
      </c>
      <c r="K197" s="1641" t="e">
        <f>IF(K$189=0,0,IF($J$188=4,G$189,G$189-G$190))</f>
        <v>#VALUE!</v>
      </c>
      <c r="L197" s="1641" t="e">
        <f t="shared" ref="L197:AI197" si="134">IF(L$189=0,0,IF($J$188=4,H$189,H$189-H$190+G$190))</f>
        <v>#VALUE!</v>
      </c>
      <c r="M197" s="1641" t="e">
        <f t="shared" si="134"/>
        <v>#VALUE!</v>
      </c>
      <c r="N197" s="1641" t="e">
        <f t="shared" si="134"/>
        <v>#VALUE!</v>
      </c>
      <c r="O197" s="1641" t="e">
        <f t="shared" si="134"/>
        <v>#VALUE!</v>
      </c>
      <c r="P197" s="1641" t="e">
        <f t="shared" si="134"/>
        <v>#VALUE!</v>
      </c>
      <c r="Q197" s="1641" t="e">
        <f t="shared" si="134"/>
        <v>#VALUE!</v>
      </c>
      <c r="R197" s="1641" t="e">
        <f t="shared" si="134"/>
        <v>#VALUE!</v>
      </c>
      <c r="S197" s="1641" t="e">
        <f t="shared" si="134"/>
        <v>#VALUE!</v>
      </c>
      <c r="T197" s="1641" t="e">
        <f t="shared" si="134"/>
        <v>#VALUE!</v>
      </c>
      <c r="U197" s="1641" t="e">
        <f t="shared" si="134"/>
        <v>#VALUE!</v>
      </c>
      <c r="V197" s="1641" t="e">
        <f t="shared" si="134"/>
        <v>#VALUE!</v>
      </c>
      <c r="W197" s="1641" t="e">
        <f t="shared" si="134"/>
        <v>#VALUE!</v>
      </c>
      <c r="X197" s="1641" t="e">
        <f t="shared" si="134"/>
        <v>#VALUE!</v>
      </c>
      <c r="Y197" s="1641" t="e">
        <f t="shared" si="134"/>
        <v>#VALUE!</v>
      </c>
      <c r="Z197" s="1641" t="e">
        <f t="shared" si="134"/>
        <v>#VALUE!</v>
      </c>
      <c r="AA197" s="1641" t="e">
        <f t="shared" si="134"/>
        <v>#VALUE!</v>
      </c>
      <c r="AB197" s="1641" t="e">
        <f t="shared" si="134"/>
        <v>#VALUE!</v>
      </c>
      <c r="AC197" s="1641" t="e">
        <f t="shared" si="134"/>
        <v>#VALUE!</v>
      </c>
      <c r="AD197" s="1641" t="e">
        <f t="shared" si="134"/>
        <v>#VALUE!</v>
      </c>
      <c r="AE197" s="1641" t="e">
        <f t="shared" si="134"/>
        <v>#VALUE!</v>
      </c>
      <c r="AF197" s="1641" t="e">
        <f t="shared" si="134"/>
        <v>#VALUE!</v>
      </c>
      <c r="AG197" s="1641" t="e">
        <f t="shared" si="134"/>
        <v>#VALUE!</v>
      </c>
      <c r="AH197" s="1641" t="e">
        <f t="shared" si="134"/>
        <v>#VALUE!</v>
      </c>
      <c r="AI197" s="1642" t="e">
        <f t="shared" si="134"/>
        <v>#VALUE!</v>
      </c>
      <c r="AJ197" s="1476"/>
      <c r="AK197" s="1116"/>
      <c r="AL197" s="1610"/>
      <c r="AM197" s="1610"/>
      <c r="AN197" s="1116"/>
      <c r="AO197" s="1207"/>
      <c r="AP197" s="1640">
        <v>4</v>
      </c>
      <c r="AQ197" s="1641" t="e">
        <f>IF(AQ$189=0,0,IF($AT$188=4,0,0))</f>
        <v>#VALUE!</v>
      </c>
      <c r="AR197" s="1641" t="e">
        <f>IF(AR$189=0,0,IF($AT$188=4,0,0))</f>
        <v>#VALUE!</v>
      </c>
      <c r="AS197" s="1641" t="e">
        <f>IF(AS$189=0,0,IF($AT$188=4,0,0))</f>
        <v>#VALUE!</v>
      </c>
      <c r="AT197" s="1641" t="e">
        <f>IF(AT$189=0,0,IF($AT$188=4,0,0))</f>
        <v>#VALUE!</v>
      </c>
      <c r="AU197" s="1641" t="e">
        <f>IF(AU$189=0,0,IF($AT$188=4,AQ$189,AQ$189-AQ$190))</f>
        <v>#VALUE!</v>
      </c>
      <c r="AV197" s="1641" t="e">
        <f t="shared" ref="AV197:BS197" si="135">IF(AV$189=0,0,IF($AT$188=4,AR$189,AR$189-AR$190+AQ$190))</f>
        <v>#VALUE!</v>
      </c>
      <c r="AW197" s="1641" t="e">
        <f t="shared" si="135"/>
        <v>#VALUE!</v>
      </c>
      <c r="AX197" s="1641" t="e">
        <f t="shared" si="135"/>
        <v>#VALUE!</v>
      </c>
      <c r="AY197" s="1641" t="e">
        <f t="shared" si="135"/>
        <v>#VALUE!</v>
      </c>
      <c r="AZ197" s="1641" t="e">
        <f t="shared" si="135"/>
        <v>#VALUE!</v>
      </c>
      <c r="BA197" s="1641" t="e">
        <f t="shared" si="135"/>
        <v>#VALUE!</v>
      </c>
      <c r="BB197" s="1641" t="e">
        <f t="shared" si="135"/>
        <v>#VALUE!</v>
      </c>
      <c r="BC197" s="1641" t="e">
        <f t="shared" si="135"/>
        <v>#VALUE!</v>
      </c>
      <c r="BD197" s="1641" t="e">
        <f t="shared" si="135"/>
        <v>#VALUE!</v>
      </c>
      <c r="BE197" s="1641" t="e">
        <f t="shared" si="135"/>
        <v>#VALUE!</v>
      </c>
      <c r="BF197" s="1641" t="e">
        <f t="shared" si="135"/>
        <v>#VALUE!</v>
      </c>
      <c r="BG197" s="1641" t="e">
        <f t="shared" si="135"/>
        <v>#VALUE!</v>
      </c>
      <c r="BH197" s="1641" t="e">
        <f t="shared" si="135"/>
        <v>#VALUE!</v>
      </c>
      <c r="BI197" s="1641" t="e">
        <f t="shared" si="135"/>
        <v>#VALUE!</v>
      </c>
      <c r="BJ197" s="1641" t="e">
        <f t="shared" si="135"/>
        <v>#VALUE!</v>
      </c>
      <c r="BK197" s="1641" t="e">
        <f t="shared" si="135"/>
        <v>#VALUE!</v>
      </c>
      <c r="BL197" s="1641" t="e">
        <f t="shared" si="135"/>
        <v>#VALUE!</v>
      </c>
      <c r="BM197" s="1641" t="e">
        <f t="shared" si="135"/>
        <v>#VALUE!</v>
      </c>
      <c r="BN197" s="1641" t="e">
        <f t="shared" si="135"/>
        <v>#VALUE!</v>
      </c>
      <c r="BO197" s="1641" t="e">
        <f t="shared" si="135"/>
        <v>#VALUE!</v>
      </c>
      <c r="BP197" s="1641" t="e">
        <f t="shared" si="135"/>
        <v>#VALUE!</v>
      </c>
      <c r="BQ197" s="1641" t="e">
        <f t="shared" si="135"/>
        <v>#VALUE!</v>
      </c>
      <c r="BR197" s="1641" t="e">
        <f t="shared" si="135"/>
        <v>#VALUE!</v>
      </c>
      <c r="BS197" s="1642" t="e">
        <f t="shared" si="135"/>
        <v>#VALUE!</v>
      </c>
      <c r="BT197" s="1116"/>
      <c r="BU197" s="1550"/>
      <c r="BV197" s="1082"/>
      <c r="BW197" s="1552"/>
      <c r="BX197" s="1552"/>
    </row>
    <row r="198" spans="1:76" s="1236" customFormat="1" hidden="1" outlineLevel="1" x14ac:dyDescent="0.3">
      <c r="A198" s="1474"/>
      <c r="B198" s="1598"/>
      <c r="C198" s="1643" t="s">
        <v>1405</v>
      </c>
      <c r="D198" s="1222"/>
      <c r="E198" s="1222"/>
      <c r="F198" s="1644"/>
      <c r="G198" s="1633" t="e">
        <f>IF(G174="x",0,G189/(1+DiscR)^G174)</f>
        <v>#VALUE!</v>
      </c>
      <c r="H198" s="1634" t="e">
        <f t="shared" ref="H198:AI198" si="136">H189/(1+DiscR)^H174</f>
        <v>#VALUE!</v>
      </c>
      <c r="I198" s="1634" t="e">
        <f t="shared" si="136"/>
        <v>#VALUE!</v>
      </c>
      <c r="J198" s="1634" t="e">
        <f t="shared" si="136"/>
        <v>#VALUE!</v>
      </c>
      <c r="K198" s="1634" t="e">
        <f t="shared" si="136"/>
        <v>#VALUE!</v>
      </c>
      <c r="L198" s="1634" t="e">
        <f t="shared" si="136"/>
        <v>#VALUE!</v>
      </c>
      <c r="M198" s="1634" t="e">
        <f t="shared" si="136"/>
        <v>#VALUE!</v>
      </c>
      <c r="N198" s="1634" t="e">
        <f t="shared" si="136"/>
        <v>#VALUE!</v>
      </c>
      <c r="O198" s="1634" t="e">
        <f t="shared" si="136"/>
        <v>#VALUE!</v>
      </c>
      <c r="P198" s="1634" t="e">
        <f t="shared" si="136"/>
        <v>#VALUE!</v>
      </c>
      <c r="Q198" s="1634" t="e">
        <f t="shared" si="136"/>
        <v>#VALUE!</v>
      </c>
      <c r="R198" s="1634" t="e">
        <f t="shared" si="136"/>
        <v>#VALUE!</v>
      </c>
      <c r="S198" s="1634" t="e">
        <f t="shared" si="136"/>
        <v>#VALUE!</v>
      </c>
      <c r="T198" s="1634" t="e">
        <f t="shared" si="136"/>
        <v>#VALUE!</v>
      </c>
      <c r="U198" s="1634" t="e">
        <f t="shared" si="136"/>
        <v>#VALUE!</v>
      </c>
      <c r="V198" s="1634" t="e">
        <f t="shared" si="136"/>
        <v>#VALUE!</v>
      </c>
      <c r="W198" s="1634" t="e">
        <f t="shared" si="136"/>
        <v>#VALUE!</v>
      </c>
      <c r="X198" s="1634" t="e">
        <f t="shared" si="136"/>
        <v>#VALUE!</v>
      </c>
      <c r="Y198" s="1634" t="e">
        <f t="shared" si="136"/>
        <v>#VALUE!</v>
      </c>
      <c r="Z198" s="1634" t="e">
        <f t="shared" si="136"/>
        <v>#VALUE!</v>
      </c>
      <c r="AA198" s="1634" t="e">
        <f t="shared" si="136"/>
        <v>#VALUE!</v>
      </c>
      <c r="AB198" s="1634" t="e">
        <f t="shared" si="136"/>
        <v>#VALUE!</v>
      </c>
      <c r="AC198" s="1634" t="e">
        <f t="shared" si="136"/>
        <v>#VALUE!</v>
      </c>
      <c r="AD198" s="1634" t="e">
        <f t="shared" si="136"/>
        <v>#VALUE!</v>
      </c>
      <c r="AE198" s="1634" t="e">
        <f t="shared" si="136"/>
        <v>#VALUE!</v>
      </c>
      <c r="AF198" s="1634" t="e">
        <f t="shared" si="136"/>
        <v>#VALUE!</v>
      </c>
      <c r="AG198" s="1634" t="e">
        <f t="shared" si="136"/>
        <v>#VALUE!</v>
      </c>
      <c r="AH198" s="1634" t="e">
        <f t="shared" si="136"/>
        <v>#VALUE!</v>
      </c>
      <c r="AI198" s="1635" t="e">
        <f t="shared" si="136"/>
        <v>#VALUE!</v>
      </c>
      <c r="AJ198" s="1476"/>
      <c r="AK198" s="1116"/>
      <c r="AL198" s="1610"/>
      <c r="AM198" s="1610"/>
      <c r="AN198" s="1116"/>
      <c r="AO198" s="1207"/>
      <c r="AP198" s="1644"/>
      <c r="AQ198" s="1633" t="e">
        <f>IF(AQ174="x",0,AQ189/(1+DiscR)^AQ174)</f>
        <v>#VALUE!</v>
      </c>
      <c r="AR198" s="1634" t="e">
        <f t="shared" ref="AR198:BS198" si="137">AR189/(1+DiscR)^AR174</f>
        <v>#VALUE!</v>
      </c>
      <c r="AS198" s="1634" t="e">
        <f t="shared" si="137"/>
        <v>#VALUE!</v>
      </c>
      <c r="AT198" s="1634" t="e">
        <f t="shared" si="137"/>
        <v>#VALUE!</v>
      </c>
      <c r="AU198" s="1634" t="e">
        <f t="shared" si="137"/>
        <v>#VALUE!</v>
      </c>
      <c r="AV198" s="1634" t="e">
        <f t="shared" si="137"/>
        <v>#VALUE!</v>
      </c>
      <c r="AW198" s="1634" t="e">
        <f t="shared" si="137"/>
        <v>#VALUE!</v>
      </c>
      <c r="AX198" s="1634" t="e">
        <f t="shared" si="137"/>
        <v>#VALUE!</v>
      </c>
      <c r="AY198" s="1634" t="e">
        <f t="shared" si="137"/>
        <v>#VALUE!</v>
      </c>
      <c r="AZ198" s="1634" t="e">
        <f t="shared" si="137"/>
        <v>#VALUE!</v>
      </c>
      <c r="BA198" s="1634" t="e">
        <f t="shared" si="137"/>
        <v>#VALUE!</v>
      </c>
      <c r="BB198" s="1634" t="e">
        <f t="shared" si="137"/>
        <v>#VALUE!</v>
      </c>
      <c r="BC198" s="1634" t="e">
        <f t="shared" si="137"/>
        <v>#VALUE!</v>
      </c>
      <c r="BD198" s="1634" t="e">
        <f t="shared" si="137"/>
        <v>#VALUE!</v>
      </c>
      <c r="BE198" s="1634" t="e">
        <f t="shared" si="137"/>
        <v>#VALUE!</v>
      </c>
      <c r="BF198" s="1634" t="e">
        <f t="shared" si="137"/>
        <v>#VALUE!</v>
      </c>
      <c r="BG198" s="1634" t="e">
        <f t="shared" si="137"/>
        <v>#VALUE!</v>
      </c>
      <c r="BH198" s="1634" t="e">
        <f t="shared" si="137"/>
        <v>#VALUE!</v>
      </c>
      <c r="BI198" s="1634" t="e">
        <f t="shared" si="137"/>
        <v>#VALUE!</v>
      </c>
      <c r="BJ198" s="1634" t="e">
        <f t="shared" si="137"/>
        <v>#VALUE!</v>
      </c>
      <c r="BK198" s="1634" t="e">
        <f t="shared" si="137"/>
        <v>#VALUE!</v>
      </c>
      <c r="BL198" s="1634" t="e">
        <f t="shared" si="137"/>
        <v>#VALUE!</v>
      </c>
      <c r="BM198" s="1634" t="e">
        <f t="shared" si="137"/>
        <v>#VALUE!</v>
      </c>
      <c r="BN198" s="1634" t="e">
        <f t="shared" si="137"/>
        <v>#VALUE!</v>
      </c>
      <c r="BO198" s="1634" t="e">
        <f t="shared" si="137"/>
        <v>#VALUE!</v>
      </c>
      <c r="BP198" s="1634" t="e">
        <f t="shared" si="137"/>
        <v>#VALUE!</v>
      </c>
      <c r="BQ198" s="1634" t="e">
        <f t="shared" si="137"/>
        <v>#VALUE!</v>
      </c>
      <c r="BR198" s="1634" t="e">
        <f t="shared" si="137"/>
        <v>#VALUE!</v>
      </c>
      <c r="BS198" s="1635" t="e">
        <f t="shared" si="137"/>
        <v>#VALUE!</v>
      </c>
      <c r="BT198" s="1116"/>
      <c r="BU198" s="1550"/>
      <c r="BV198" s="1082"/>
      <c r="BW198" s="1552"/>
      <c r="BX198" s="1552"/>
    </row>
    <row r="199" spans="1:76" s="1236" customFormat="1" hidden="1" outlineLevel="1" x14ac:dyDescent="0.3">
      <c r="A199" s="1474"/>
      <c r="B199" s="1598"/>
      <c r="C199" s="1645" t="s">
        <v>1406</v>
      </c>
      <c r="D199" s="1226"/>
      <c r="E199" s="1226"/>
      <c r="F199" s="1646"/>
      <c r="G199" s="1647" t="e">
        <f>VLOOKUP(ABS($K$188),$F$193:$AI$197,2,0)/(1+DiscR)^G174</f>
        <v>#VALUE!</v>
      </c>
      <c r="H199" s="1641" t="e">
        <f>VLOOKUP(ABS($K$188),$F$193:$AI$197,3,0)/(1+DiscR)^H174</f>
        <v>#VALUE!</v>
      </c>
      <c r="I199" s="1641" t="e">
        <f>VLOOKUP(ABS($K$188),$F$193:$AI$197,4,0)/(1+DiscR)^I174</f>
        <v>#VALUE!</v>
      </c>
      <c r="J199" s="1641" t="e">
        <f>VLOOKUP(ABS($K$188),$F$193:$AI$197,5,0)/(1+DiscR)^J174</f>
        <v>#VALUE!</v>
      </c>
      <c r="K199" s="1641" t="e">
        <f>VLOOKUP(ABS($K$188),$F$193:$AI$197,6,0)/(1+DiscR)^K174</f>
        <v>#VALUE!</v>
      </c>
      <c r="L199" s="1641" t="e">
        <f>VLOOKUP(ABS($K$188),$F$193:$AI$197,7,0)/(1+DiscR)^L174</f>
        <v>#VALUE!</v>
      </c>
      <c r="M199" s="1641" t="e">
        <f>VLOOKUP(ABS($K$188),$F$193:$AI$197,8,0)/(1+DiscR)^M174</f>
        <v>#VALUE!</v>
      </c>
      <c r="N199" s="1641" t="e">
        <f>VLOOKUP(ABS($K$188),$F$193:$AI$197,9,0)/(1+DiscR)^N174</f>
        <v>#VALUE!</v>
      </c>
      <c r="O199" s="1641" t="e">
        <f>VLOOKUP(ABS($K$188),$F$193:$AI$197,10,0)/(1+DiscR)^O174</f>
        <v>#VALUE!</v>
      </c>
      <c r="P199" s="1641" t="e">
        <f>VLOOKUP(ABS($K$188),$F$193:$AI$197,11,0)/(1+DiscR)^P174</f>
        <v>#VALUE!</v>
      </c>
      <c r="Q199" s="1641" t="e">
        <f>VLOOKUP(ABS($K$188),$F$193:$AI$197,12,0)/(1+DiscR)^Q174</f>
        <v>#VALUE!</v>
      </c>
      <c r="R199" s="1641" t="e">
        <f>VLOOKUP(ABS($K$188),$F$193:$AI$197,13,0)/(1+DiscR)^R174</f>
        <v>#VALUE!</v>
      </c>
      <c r="S199" s="1641" t="e">
        <f>VLOOKUP(ABS($K$188),$F$193:$AI$197,14,0)/(1+DiscR)^S174</f>
        <v>#VALUE!</v>
      </c>
      <c r="T199" s="1641" t="e">
        <f>VLOOKUP(ABS($K$188),$F$193:$AI$197,15,0)/(1+DiscR)^T174</f>
        <v>#VALUE!</v>
      </c>
      <c r="U199" s="1641" t="e">
        <f>VLOOKUP(ABS($K$188),$F$193:$AI$197,16,0)/(1+DiscR)^U174</f>
        <v>#VALUE!</v>
      </c>
      <c r="V199" s="1641" t="e">
        <f>VLOOKUP(ABS($K$188),$F$193:$AI$197,17,0)/(1+DiscR)^V174</f>
        <v>#VALUE!</v>
      </c>
      <c r="W199" s="1641" t="e">
        <f>VLOOKUP(ABS($K$188),$F$193:$AI$197,18,0)/(1+DiscR)^W174</f>
        <v>#VALUE!</v>
      </c>
      <c r="X199" s="1641" t="e">
        <f>VLOOKUP(ABS($K$188),$F$193:$AI$197,19,0)/(1+DiscR)^X174</f>
        <v>#VALUE!</v>
      </c>
      <c r="Y199" s="1641" t="e">
        <f>VLOOKUP(ABS($K$188),$F$193:$AI$197,20,0)/(1+DiscR)^Y174</f>
        <v>#VALUE!</v>
      </c>
      <c r="Z199" s="1641" t="e">
        <f>VLOOKUP(ABS($K$188),$F$193:$AI$197,21,0)/(1+DiscR)^Z174</f>
        <v>#VALUE!</v>
      </c>
      <c r="AA199" s="1641" t="e">
        <f>VLOOKUP(ABS($K$188),$F$193:$AI$197,22,0)/(1+DiscR)^AA174</f>
        <v>#VALUE!</v>
      </c>
      <c r="AB199" s="1641" t="e">
        <f>VLOOKUP(ABS($K$188),$F$193:$AI$197,23,0)/(1+DiscR)^AB174</f>
        <v>#VALUE!</v>
      </c>
      <c r="AC199" s="1641" t="e">
        <f>VLOOKUP(ABS($K$188),$F$193:$AI$197,24,0)/(1+DiscR)^AC174</f>
        <v>#VALUE!</v>
      </c>
      <c r="AD199" s="1641" t="e">
        <f>VLOOKUP(ABS($K$188),$F$193:$AI$197,25,0)/(1+DiscR)^AD174</f>
        <v>#VALUE!</v>
      </c>
      <c r="AE199" s="1641" t="e">
        <f>VLOOKUP(ABS($K$188),$F$193:$AI$197,26,0)/(1+DiscR)^AE174</f>
        <v>#VALUE!</v>
      </c>
      <c r="AF199" s="1641" t="e">
        <f>VLOOKUP(ABS($K$188),$F$193:$AI$197,27,0)/(1+DiscR)^AF174</f>
        <v>#VALUE!</v>
      </c>
      <c r="AG199" s="1641" t="e">
        <f>VLOOKUP(ABS($K$188),$F$193:$AI$197,28,0)/(1+DiscR)^AG174</f>
        <v>#VALUE!</v>
      </c>
      <c r="AH199" s="1641" t="e">
        <f>VLOOKUP(ABS($K$188),$F$193:$AI$197,29,0)/(1+DiscR)^AH174</f>
        <v>#VALUE!</v>
      </c>
      <c r="AI199" s="1642" t="e">
        <f>VLOOKUP(ABS($K$188),$F$193:$AI$197,30,0)/(1+DiscR)^AI174</f>
        <v>#VALUE!</v>
      </c>
      <c r="AJ199" s="1476"/>
      <c r="AK199" s="1116"/>
      <c r="AL199" s="1610"/>
      <c r="AM199" s="1610"/>
      <c r="AN199" s="1116"/>
      <c r="AO199" s="1207"/>
      <c r="AP199" s="1648"/>
      <c r="AQ199" s="1647" t="e">
        <f>VLOOKUP(ABS($AU$188),$AP$193:$BS$197,2,0)/(1+DiscR)^AQ174</f>
        <v>#VALUE!</v>
      </c>
      <c r="AR199" s="1641" t="e">
        <f>VLOOKUP(ABS($AU$188),$AP$193:$BS$197,3,0)/(1+DiscR)^AR174</f>
        <v>#VALUE!</v>
      </c>
      <c r="AS199" s="1641" t="e">
        <f>VLOOKUP(ABS($AU$188),$AP$193:$BS$197,4,0)/(1+DiscR)^AS174</f>
        <v>#VALUE!</v>
      </c>
      <c r="AT199" s="1641" t="e">
        <f>VLOOKUP(ABS($AU$188),$AP$193:$BS$197,5,0)/(1+DiscR)^AT174</f>
        <v>#VALUE!</v>
      </c>
      <c r="AU199" s="1641" t="e">
        <f>VLOOKUP(ABS($AU$188),$AP$193:$BS$197,6,0)/(1+DiscR)^AU174</f>
        <v>#VALUE!</v>
      </c>
      <c r="AV199" s="1641" t="e">
        <f>VLOOKUP(ABS($AU$188),$AP$193:$BS$197,7,0)/(1+DiscR)^AV174</f>
        <v>#VALUE!</v>
      </c>
      <c r="AW199" s="1641" t="e">
        <f>VLOOKUP(ABS($AU$188),$AP$193:$BS$197,8,0)/(1+DiscR)^AW174</f>
        <v>#VALUE!</v>
      </c>
      <c r="AX199" s="1641" t="e">
        <f>VLOOKUP(ABS($AU$188),$AP$193:$BS$197,9,0)/(1+DiscR)^AX174</f>
        <v>#VALUE!</v>
      </c>
      <c r="AY199" s="1641" t="e">
        <f>VLOOKUP(ABS($AU$188),$AP$193:$BS$197,10,0)/(1+DiscR)^AY174</f>
        <v>#VALUE!</v>
      </c>
      <c r="AZ199" s="1641" t="e">
        <f>VLOOKUP(ABS($AU$188),$AP$193:$BS$197,11,0)/(1+DiscR)^AZ174</f>
        <v>#VALUE!</v>
      </c>
      <c r="BA199" s="1641" t="e">
        <f>VLOOKUP(ABS($AU$188),$AP$193:$BS$197,12,0)/(1+DiscR)^BA174</f>
        <v>#VALUE!</v>
      </c>
      <c r="BB199" s="1641" t="e">
        <f>VLOOKUP(ABS($AU$188),$AP$193:$BS$197,13,0)/(1+DiscR)^BB174</f>
        <v>#VALUE!</v>
      </c>
      <c r="BC199" s="1641" t="e">
        <f>VLOOKUP(ABS($AU$188),$AP$193:$BS$197,14,0)/(1+DiscR)^BC174</f>
        <v>#VALUE!</v>
      </c>
      <c r="BD199" s="1641" t="e">
        <f>VLOOKUP(ABS($AU$188),$AP$193:$BS$197,15,0)/(1+DiscR)^BD174</f>
        <v>#VALUE!</v>
      </c>
      <c r="BE199" s="1641" t="e">
        <f>VLOOKUP(ABS($AU$188),$AP$193:$BS$197,16,0)/(1+DiscR)^BE174</f>
        <v>#VALUE!</v>
      </c>
      <c r="BF199" s="1641" t="e">
        <f>VLOOKUP(ABS($AU$188),$AP$193:$BS$197,17,0)/(1+DiscR)^BF174</f>
        <v>#VALUE!</v>
      </c>
      <c r="BG199" s="1641" t="e">
        <f>VLOOKUP(ABS($AU$188),$AP$193:$BS$197,18,0)/(1+DiscR)^BG174</f>
        <v>#VALUE!</v>
      </c>
      <c r="BH199" s="1641" t="e">
        <f>VLOOKUP(ABS($AU$188),$AP$193:$BS$197,19,0)/(1+DiscR)^BH174</f>
        <v>#VALUE!</v>
      </c>
      <c r="BI199" s="1641" t="e">
        <f>VLOOKUP(ABS($AU$188),$AP$193:$BS$197,20,0)/(1+DiscR)^BI174</f>
        <v>#VALUE!</v>
      </c>
      <c r="BJ199" s="1641" t="e">
        <f>VLOOKUP(ABS($AU$188),$AP$193:$BS$197,21,0)/(1+DiscR)^BJ174</f>
        <v>#VALUE!</v>
      </c>
      <c r="BK199" s="1641" t="e">
        <f>VLOOKUP(ABS($AU$188),$AP$193:$BS$197,22,0)/(1+DiscR)^BK174</f>
        <v>#VALUE!</v>
      </c>
      <c r="BL199" s="1641" t="e">
        <f>VLOOKUP(ABS($AU$188),$AP$193:$BS$197,23,0)/(1+DiscR)^BL174</f>
        <v>#VALUE!</v>
      </c>
      <c r="BM199" s="1641" t="e">
        <f>VLOOKUP(ABS($AU$188),$AP$193:$BS$197,24,0)/(1+DiscR)^BM174</f>
        <v>#VALUE!</v>
      </c>
      <c r="BN199" s="1641" t="e">
        <f>VLOOKUP(ABS($AU$188),$AP$193:$BS$197,25,0)/(1+DiscR)^BN174</f>
        <v>#VALUE!</v>
      </c>
      <c r="BO199" s="1641" t="e">
        <f>VLOOKUP(ABS($AU$188),$AP$193:$BS$197,26,0)/(1+DiscR)^BO174</f>
        <v>#VALUE!</v>
      </c>
      <c r="BP199" s="1641" t="e">
        <f>VLOOKUP(ABS($AU$188),$AP$193:$BS$197,27,0)/(1+DiscR)^BP174</f>
        <v>#VALUE!</v>
      </c>
      <c r="BQ199" s="1641" t="e">
        <f>VLOOKUP(ABS($AU$188),$AP$193:$BS$197,28,0)/(1+DiscR)^BQ174</f>
        <v>#VALUE!</v>
      </c>
      <c r="BR199" s="1641" t="e">
        <f>VLOOKUP(ABS($AU$188),$AP$193:$BS$197,29,0)/(1+DiscR)^BR174</f>
        <v>#VALUE!</v>
      </c>
      <c r="BS199" s="1642" t="e">
        <f>VLOOKUP(ABS($AU$188),$AP$193:$BS$197,30,0)/(1+DiscR)^BS174</f>
        <v>#VALUE!</v>
      </c>
      <c r="BT199" s="1116"/>
      <c r="BU199" s="1550"/>
      <c r="BV199" s="1082"/>
      <c r="BW199" s="1552"/>
      <c r="BX199" s="1552"/>
    </row>
    <row r="200" spans="1:76" s="1236" customFormat="1" hidden="1" outlineLevel="1" x14ac:dyDescent="0.3">
      <c r="A200" s="1474"/>
      <c r="B200" s="1598"/>
      <c r="C200" s="1555"/>
      <c r="D200" s="1116"/>
      <c r="E200" s="1116"/>
      <c r="F200" s="1476"/>
      <c r="G200" s="1610"/>
      <c r="H200" s="1610"/>
      <c r="I200" s="1610"/>
      <c r="J200" s="1610"/>
      <c r="K200" s="1610"/>
      <c r="L200" s="1610"/>
      <c r="M200" s="1610"/>
      <c r="N200" s="1610"/>
      <c r="O200" s="1610"/>
      <c r="P200" s="1610"/>
      <c r="Q200" s="1610"/>
      <c r="R200" s="1610"/>
      <c r="S200" s="1610"/>
      <c r="T200" s="1610"/>
      <c r="U200" s="1610"/>
      <c r="V200" s="1610"/>
      <c r="W200" s="1610"/>
      <c r="X200" s="1610"/>
      <c r="Y200" s="1610"/>
      <c r="Z200" s="1610"/>
      <c r="AA200" s="1610"/>
      <c r="AB200" s="1610"/>
      <c r="AC200" s="1610"/>
      <c r="AD200" s="1610"/>
      <c r="AE200" s="1610"/>
      <c r="AF200" s="1610"/>
      <c r="AG200" s="1610"/>
      <c r="AH200" s="1610"/>
      <c r="AI200" s="1638"/>
      <c r="AJ200" s="1476"/>
      <c r="AK200" s="1116"/>
      <c r="AL200" s="1610"/>
      <c r="AM200" s="1610"/>
      <c r="AN200" s="1116"/>
      <c r="AO200" s="1207"/>
      <c r="AP200" s="1476"/>
      <c r="AQ200" s="1610"/>
      <c r="AR200" s="1610"/>
      <c r="AS200" s="1610"/>
      <c r="AT200" s="1610"/>
      <c r="AU200" s="1610"/>
      <c r="AV200" s="1610"/>
      <c r="AW200" s="1610"/>
      <c r="AX200" s="1610"/>
      <c r="AY200" s="1610"/>
      <c r="AZ200" s="1610"/>
      <c r="BA200" s="1610"/>
      <c r="BB200" s="1610"/>
      <c r="BC200" s="1610"/>
      <c r="BD200" s="1610"/>
      <c r="BE200" s="1610"/>
      <c r="BF200" s="1610"/>
      <c r="BG200" s="1610"/>
      <c r="BH200" s="1610"/>
      <c r="BI200" s="1610"/>
      <c r="BJ200" s="1610"/>
      <c r="BK200" s="1610"/>
      <c r="BL200" s="1610"/>
      <c r="BM200" s="1610"/>
      <c r="BN200" s="1610"/>
      <c r="BO200" s="1610"/>
      <c r="BP200" s="1610"/>
      <c r="BQ200" s="1610"/>
      <c r="BR200" s="1610"/>
      <c r="BS200" s="1638"/>
      <c r="BT200" s="1116"/>
      <c r="BU200" s="1550"/>
      <c r="BV200" s="1082"/>
      <c r="BW200" s="1552"/>
      <c r="BX200" s="1552"/>
    </row>
    <row r="201" spans="1:76" s="1236" customFormat="1" hidden="1" outlineLevel="1" x14ac:dyDescent="0.3">
      <c r="A201" s="1474"/>
      <c r="B201" s="1598"/>
      <c r="C201" s="1626" t="s">
        <v>1407</v>
      </c>
      <c r="D201" s="1229"/>
      <c r="E201" s="1612"/>
      <c r="F201" s="1626" t="s">
        <v>1408</v>
      </c>
      <c r="G201" s="1627" t="s">
        <v>1399</v>
      </c>
      <c r="H201" s="1628"/>
      <c r="I201" s="1628"/>
      <c r="J201" s="1628"/>
      <c r="K201" s="1628"/>
      <c r="L201" s="1629"/>
      <c r="M201" s="1629"/>
      <c r="N201" s="1629"/>
      <c r="O201" s="1629"/>
      <c r="P201" s="1629"/>
      <c r="Q201" s="1629"/>
      <c r="R201" s="1628"/>
      <c r="S201" s="1628"/>
      <c r="T201" s="1628"/>
      <c r="U201" s="1628"/>
      <c r="V201" s="1628"/>
      <c r="W201" s="1628"/>
      <c r="X201" s="1628"/>
      <c r="Y201" s="1628"/>
      <c r="Z201" s="1628"/>
      <c r="AA201" s="1628"/>
      <c r="AB201" s="1628"/>
      <c r="AC201" s="1628"/>
      <c r="AD201" s="1628"/>
      <c r="AE201" s="1628"/>
      <c r="AF201" s="1628"/>
      <c r="AG201" s="1628"/>
      <c r="AH201" s="1628"/>
      <c r="AI201" s="1630"/>
      <c r="AJ201" s="1476"/>
      <c r="AK201" s="1116"/>
      <c r="AL201" s="1116"/>
      <c r="AM201" s="1116"/>
      <c r="AN201" s="1116"/>
      <c r="AO201" s="1207"/>
      <c r="AP201" s="1626" t="s">
        <v>1408</v>
      </c>
      <c r="AQ201" s="1627" t="s">
        <v>1399</v>
      </c>
      <c r="AR201" s="1628"/>
      <c r="AS201" s="1628"/>
      <c r="AT201" s="1628"/>
      <c r="AU201" s="1628"/>
      <c r="AV201" s="1629"/>
      <c r="AW201" s="1629"/>
      <c r="AX201" s="1629"/>
      <c r="AY201" s="1629"/>
      <c r="AZ201" s="1629"/>
      <c r="BA201" s="1629"/>
      <c r="BB201" s="1628"/>
      <c r="BC201" s="1628"/>
      <c r="BD201" s="1628"/>
      <c r="BE201" s="1628"/>
      <c r="BF201" s="1628"/>
      <c r="BG201" s="1628"/>
      <c r="BH201" s="1628"/>
      <c r="BI201" s="1628"/>
      <c r="BJ201" s="1628"/>
      <c r="BK201" s="1628"/>
      <c r="BL201" s="1628"/>
      <c r="BM201" s="1628"/>
      <c r="BN201" s="1628"/>
      <c r="BO201" s="1628"/>
      <c r="BP201" s="1628"/>
      <c r="BQ201" s="1628"/>
      <c r="BR201" s="1628"/>
      <c r="BS201" s="1630"/>
      <c r="BT201" s="1116"/>
      <c r="BU201" s="1550"/>
      <c r="BV201" s="1082"/>
      <c r="BW201" s="1552"/>
      <c r="BX201" s="1552"/>
    </row>
    <row r="202" spans="1:76" s="1236" customFormat="1" hidden="1" outlineLevel="1" x14ac:dyDescent="0.3">
      <c r="A202" s="1474"/>
      <c r="B202" s="1598"/>
      <c r="C202" s="1631" t="s">
        <v>1400</v>
      </c>
      <c r="D202" s="1581"/>
      <c r="E202" s="1624"/>
      <c r="F202" s="1632">
        <v>0</v>
      </c>
      <c r="G202" s="1610" t="e">
        <f t="shared" ref="G202:AI202" si="138">IF(G189=0,0,G$189-G$190+H190)</f>
        <v>#VALUE!</v>
      </c>
      <c r="H202" s="1610" t="e">
        <f t="shared" si="138"/>
        <v>#VALUE!</v>
      </c>
      <c r="I202" s="1610" t="e">
        <f t="shared" si="138"/>
        <v>#VALUE!</v>
      </c>
      <c r="J202" s="1610" t="e">
        <f t="shared" si="138"/>
        <v>#VALUE!</v>
      </c>
      <c r="K202" s="1610" t="e">
        <f t="shared" si="138"/>
        <v>#VALUE!</v>
      </c>
      <c r="L202" s="1610" t="e">
        <f t="shared" si="138"/>
        <v>#VALUE!</v>
      </c>
      <c r="M202" s="1610" t="e">
        <f t="shared" si="138"/>
        <v>#VALUE!</v>
      </c>
      <c r="N202" s="1610" t="e">
        <f t="shared" si="138"/>
        <v>#VALUE!</v>
      </c>
      <c r="O202" s="1610" t="e">
        <f t="shared" si="138"/>
        <v>#VALUE!</v>
      </c>
      <c r="P202" s="1610" t="e">
        <f t="shared" si="138"/>
        <v>#VALUE!</v>
      </c>
      <c r="Q202" s="1610" t="e">
        <f t="shared" si="138"/>
        <v>#VALUE!</v>
      </c>
      <c r="R202" s="1610" t="e">
        <f t="shared" si="138"/>
        <v>#VALUE!</v>
      </c>
      <c r="S202" s="1610" t="e">
        <f t="shared" si="138"/>
        <v>#VALUE!</v>
      </c>
      <c r="T202" s="1610" t="e">
        <f t="shared" si="138"/>
        <v>#VALUE!</v>
      </c>
      <c r="U202" s="1610" t="e">
        <f t="shared" si="138"/>
        <v>#VALUE!</v>
      </c>
      <c r="V202" s="1610" t="e">
        <f t="shared" si="138"/>
        <v>#VALUE!</v>
      </c>
      <c r="W202" s="1610" t="e">
        <f t="shared" si="138"/>
        <v>#VALUE!</v>
      </c>
      <c r="X202" s="1610" t="e">
        <f t="shared" si="138"/>
        <v>#VALUE!</v>
      </c>
      <c r="Y202" s="1610" t="e">
        <f t="shared" si="138"/>
        <v>#VALUE!</v>
      </c>
      <c r="Z202" s="1610" t="e">
        <f t="shared" si="138"/>
        <v>#VALUE!</v>
      </c>
      <c r="AA202" s="1610" t="e">
        <f t="shared" si="138"/>
        <v>#VALUE!</v>
      </c>
      <c r="AB202" s="1610" t="e">
        <f t="shared" si="138"/>
        <v>#VALUE!</v>
      </c>
      <c r="AC202" s="1610" t="e">
        <f t="shared" si="138"/>
        <v>#VALUE!</v>
      </c>
      <c r="AD202" s="1610" t="e">
        <f t="shared" si="138"/>
        <v>#VALUE!</v>
      </c>
      <c r="AE202" s="1610" t="e">
        <f t="shared" si="138"/>
        <v>#VALUE!</v>
      </c>
      <c r="AF202" s="1610" t="e">
        <f t="shared" si="138"/>
        <v>#VALUE!</v>
      </c>
      <c r="AG202" s="1610" t="e">
        <f t="shared" si="138"/>
        <v>#VALUE!</v>
      </c>
      <c r="AH202" s="1610" t="e">
        <f t="shared" si="138"/>
        <v>#VALUE!</v>
      </c>
      <c r="AI202" s="1638" t="e">
        <f t="shared" si="138"/>
        <v>#VALUE!</v>
      </c>
      <c r="AJ202" s="1476"/>
      <c r="AK202" s="1116"/>
      <c r="AL202" s="1116"/>
      <c r="AM202" s="1116"/>
      <c r="AN202" s="1116"/>
      <c r="AO202" s="1207"/>
      <c r="AP202" s="1632">
        <v>0</v>
      </c>
      <c r="AQ202" s="1610" t="e">
        <f t="shared" ref="AQ202:BS202" si="139">IF(AQ189=0,0,AQ$189-AQ$190+AR190)</f>
        <v>#VALUE!</v>
      </c>
      <c r="AR202" s="1610" t="e">
        <f t="shared" si="139"/>
        <v>#VALUE!</v>
      </c>
      <c r="AS202" s="1610" t="e">
        <f t="shared" si="139"/>
        <v>#VALUE!</v>
      </c>
      <c r="AT202" s="1610" t="e">
        <f t="shared" si="139"/>
        <v>#VALUE!</v>
      </c>
      <c r="AU202" s="1610" t="e">
        <f t="shared" si="139"/>
        <v>#VALUE!</v>
      </c>
      <c r="AV202" s="1610" t="e">
        <f t="shared" si="139"/>
        <v>#VALUE!</v>
      </c>
      <c r="AW202" s="1610" t="e">
        <f t="shared" si="139"/>
        <v>#VALUE!</v>
      </c>
      <c r="AX202" s="1610" t="e">
        <f t="shared" si="139"/>
        <v>#VALUE!</v>
      </c>
      <c r="AY202" s="1610" t="e">
        <f t="shared" si="139"/>
        <v>#VALUE!</v>
      </c>
      <c r="AZ202" s="1610" t="e">
        <f t="shared" si="139"/>
        <v>#VALUE!</v>
      </c>
      <c r="BA202" s="1610" t="e">
        <f t="shared" si="139"/>
        <v>#VALUE!</v>
      </c>
      <c r="BB202" s="1610" t="e">
        <f t="shared" si="139"/>
        <v>#VALUE!</v>
      </c>
      <c r="BC202" s="1610" t="e">
        <f t="shared" si="139"/>
        <v>#VALUE!</v>
      </c>
      <c r="BD202" s="1610" t="e">
        <f t="shared" si="139"/>
        <v>#VALUE!</v>
      </c>
      <c r="BE202" s="1610" t="e">
        <f t="shared" si="139"/>
        <v>#VALUE!</v>
      </c>
      <c r="BF202" s="1610" t="e">
        <f t="shared" si="139"/>
        <v>#VALUE!</v>
      </c>
      <c r="BG202" s="1610" t="e">
        <f t="shared" si="139"/>
        <v>#VALUE!</v>
      </c>
      <c r="BH202" s="1610" t="e">
        <f t="shared" si="139"/>
        <v>#VALUE!</v>
      </c>
      <c r="BI202" s="1610" t="e">
        <f t="shared" si="139"/>
        <v>#VALUE!</v>
      </c>
      <c r="BJ202" s="1610" t="e">
        <f t="shared" si="139"/>
        <v>#VALUE!</v>
      </c>
      <c r="BK202" s="1610" t="e">
        <f t="shared" si="139"/>
        <v>#VALUE!</v>
      </c>
      <c r="BL202" s="1610" t="e">
        <f t="shared" si="139"/>
        <v>#VALUE!</v>
      </c>
      <c r="BM202" s="1610" t="e">
        <f t="shared" si="139"/>
        <v>#VALUE!</v>
      </c>
      <c r="BN202" s="1610" t="e">
        <f t="shared" si="139"/>
        <v>#VALUE!</v>
      </c>
      <c r="BO202" s="1610" t="e">
        <f t="shared" si="139"/>
        <v>#VALUE!</v>
      </c>
      <c r="BP202" s="1610" t="e">
        <f t="shared" si="139"/>
        <v>#VALUE!</v>
      </c>
      <c r="BQ202" s="1610" t="e">
        <f t="shared" si="139"/>
        <v>#VALUE!</v>
      </c>
      <c r="BR202" s="1610" t="e">
        <f t="shared" si="139"/>
        <v>#VALUE!</v>
      </c>
      <c r="BS202" s="1635" t="e">
        <f t="shared" si="139"/>
        <v>#VALUE!</v>
      </c>
      <c r="BT202" s="1116"/>
      <c r="BU202" s="1550"/>
      <c r="BV202" s="1082"/>
      <c r="BW202" s="1552"/>
      <c r="BX202" s="1552"/>
    </row>
    <row r="203" spans="1:76" s="1236" customFormat="1" hidden="1" outlineLevel="1" x14ac:dyDescent="0.3">
      <c r="A203" s="1474"/>
      <c r="B203" s="1598"/>
      <c r="C203" s="1636" t="s">
        <v>1401</v>
      </c>
      <c r="D203" s="1581"/>
      <c r="E203" s="1624"/>
      <c r="F203" s="1637">
        <v>1</v>
      </c>
      <c r="G203" s="1610" t="e">
        <f t="shared" ref="G203:W203" si="140">IF(G$189=0,0,IF($J$188=1,H$189,H$189-H$190+I$190))</f>
        <v>#VALUE!</v>
      </c>
      <c r="H203" s="1610" t="e">
        <f t="shared" si="140"/>
        <v>#VALUE!</v>
      </c>
      <c r="I203" s="1610" t="e">
        <f t="shared" si="140"/>
        <v>#VALUE!</v>
      </c>
      <c r="J203" s="1610" t="e">
        <f t="shared" si="140"/>
        <v>#VALUE!</v>
      </c>
      <c r="K203" s="1610" t="e">
        <f t="shared" si="140"/>
        <v>#VALUE!</v>
      </c>
      <c r="L203" s="1610" t="e">
        <f t="shared" si="140"/>
        <v>#VALUE!</v>
      </c>
      <c r="M203" s="1610" t="e">
        <f t="shared" si="140"/>
        <v>#VALUE!</v>
      </c>
      <c r="N203" s="1610" t="e">
        <f t="shared" si="140"/>
        <v>#VALUE!</v>
      </c>
      <c r="O203" s="1610" t="e">
        <f t="shared" si="140"/>
        <v>#VALUE!</v>
      </c>
      <c r="P203" s="1610" t="e">
        <f t="shared" si="140"/>
        <v>#VALUE!</v>
      </c>
      <c r="Q203" s="1610" t="e">
        <f t="shared" si="140"/>
        <v>#VALUE!</v>
      </c>
      <c r="R203" s="1610" t="e">
        <f t="shared" si="140"/>
        <v>#VALUE!</v>
      </c>
      <c r="S203" s="1610" t="e">
        <f t="shared" si="140"/>
        <v>#VALUE!</v>
      </c>
      <c r="T203" s="1610" t="e">
        <f t="shared" si="140"/>
        <v>#VALUE!</v>
      </c>
      <c r="U203" s="1610" t="e">
        <f t="shared" si="140"/>
        <v>#VALUE!</v>
      </c>
      <c r="V203" s="1610" t="e">
        <f t="shared" si="140"/>
        <v>#VALUE!</v>
      </c>
      <c r="W203" s="1610" t="e">
        <f t="shared" si="140"/>
        <v>#VALUE!</v>
      </c>
      <c r="X203" s="1610" t="e">
        <f t="shared" ref="X203:AI203" si="141">IF(X$189=0,0,IF($J$188=1,Y$189,Y$189-Y$190+AJ$190))</f>
        <v>#VALUE!</v>
      </c>
      <c r="Y203" s="1610" t="e">
        <f t="shared" si="141"/>
        <v>#VALUE!</v>
      </c>
      <c r="Z203" s="1610" t="e">
        <f t="shared" si="141"/>
        <v>#VALUE!</v>
      </c>
      <c r="AA203" s="1610" t="e">
        <f t="shared" si="141"/>
        <v>#VALUE!</v>
      </c>
      <c r="AB203" s="1610" t="e">
        <f t="shared" si="141"/>
        <v>#VALUE!</v>
      </c>
      <c r="AC203" s="1610" t="e">
        <f t="shared" si="141"/>
        <v>#VALUE!</v>
      </c>
      <c r="AD203" s="1610" t="e">
        <f t="shared" si="141"/>
        <v>#VALUE!</v>
      </c>
      <c r="AE203" s="1610" t="e">
        <f t="shared" si="141"/>
        <v>#VALUE!</v>
      </c>
      <c r="AF203" s="1610" t="e">
        <f t="shared" si="141"/>
        <v>#VALUE!</v>
      </c>
      <c r="AG203" s="1610" t="e">
        <f t="shared" si="141"/>
        <v>#VALUE!</v>
      </c>
      <c r="AH203" s="1610" t="e">
        <f t="shared" si="141"/>
        <v>#VALUE!</v>
      </c>
      <c r="AI203" s="1638" t="e">
        <f t="shared" si="141"/>
        <v>#VALUE!</v>
      </c>
      <c r="AJ203" s="1476"/>
      <c r="AK203" s="1116"/>
      <c r="AL203" s="1116"/>
      <c r="AM203" s="1116"/>
      <c r="AN203" s="1116"/>
      <c r="AO203" s="1207"/>
      <c r="AP203" s="1637">
        <v>1</v>
      </c>
      <c r="AQ203" s="1610" t="e">
        <f t="shared" ref="AQ203:BG203" si="142">IF(AQ$189=0,0,IF($AT$188=1,AR$189,AR$189-AR$190+AS$190))</f>
        <v>#VALUE!</v>
      </c>
      <c r="AR203" s="1610" t="e">
        <f t="shared" si="142"/>
        <v>#VALUE!</v>
      </c>
      <c r="AS203" s="1610" t="e">
        <f t="shared" si="142"/>
        <v>#VALUE!</v>
      </c>
      <c r="AT203" s="1610" t="e">
        <f t="shared" si="142"/>
        <v>#VALUE!</v>
      </c>
      <c r="AU203" s="1610" t="e">
        <f t="shared" si="142"/>
        <v>#VALUE!</v>
      </c>
      <c r="AV203" s="1610" t="e">
        <f t="shared" si="142"/>
        <v>#VALUE!</v>
      </c>
      <c r="AW203" s="1610" t="e">
        <f t="shared" si="142"/>
        <v>#VALUE!</v>
      </c>
      <c r="AX203" s="1610" t="e">
        <f t="shared" si="142"/>
        <v>#VALUE!</v>
      </c>
      <c r="AY203" s="1610" t="e">
        <f t="shared" si="142"/>
        <v>#VALUE!</v>
      </c>
      <c r="AZ203" s="1610" t="e">
        <f t="shared" si="142"/>
        <v>#VALUE!</v>
      </c>
      <c r="BA203" s="1610" t="e">
        <f t="shared" si="142"/>
        <v>#VALUE!</v>
      </c>
      <c r="BB203" s="1610" t="e">
        <f t="shared" si="142"/>
        <v>#VALUE!</v>
      </c>
      <c r="BC203" s="1610" t="e">
        <f t="shared" si="142"/>
        <v>#VALUE!</v>
      </c>
      <c r="BD203" s="1610" t="e">
        <f t="shared" si="142"/>
        <v>#VALUE!</v>
      </c>
      <c r="BE203" s="1610" t="e">
        <f t="shared" si="142"/>
        <v>#VALUE!</v>
      </c>
      <c r="BF203" s="1610" t="e">
        <f t="shared" si="142"/>
        <v>#VALUE!</v>
      </c>
      <c r="BG203" s="1610" t="e">
        <f t="shared" si="142"/>
        <v>#VALUE!</v>
      </c>
      <c r="BH203" s="1610" t="e">
        <f t="shared" ref="BH203:BS203" si="143">IF(BH$189=0,0,IF($AT$188=1,BI$189,BI$189-BI$190+BT$190))</f>
        <v>#VALUE!</v>
      </c>
      <c r="BI203" s="1610" t="e">
        <f t="shared" si="143"/>
        <v>#VALUE!</v>
      </c>
      <c r="BJ203" s="1610" t="e">
        <f t="shared" si="143"/>
        <v>#VALUE!</v>
      </c>
      <c r="BK203" s="1610" t="e">
        <f t="shared" si="143"/>
        <v>#VALUE!</v>
      </c>
      <c r="BL203" s="1610" t="e">
        <f t="shared" si="143"/>
        <v>#VALUE!</v>
      </c>
      <c r="BM203" s="1610" t="e">
        <f t="shared" si="143"/>
        <v>#VALUE!</v>
      </c>
      <c r="BN203" s="1610" t="e">
        <f t="shared" si="143"/>
        <v>#VALUE!</v>
      </c>
      <c r="BO203" s="1610" t="e">
        <f t="shared" si="143"/>
        <v>#VALUE!</v>
      </c>
      <c r="BP203" s="1610" t="e">
        <f t="shared" si="143"/>
        <v>#VALUE!</v>
      </c>
      <c r="BQ203" s="1610" t="e">
        <f t="shared" si="143"/>
        <v>#VALUE!</v>
      </c>
      <c r="BR203" s="1610" t="e">
        <f t="shared" si="143"/>
        <v>#VALUE!</v>
      </c>
      <c r="BS203" s="1638" t="e">
        <f t="shared" si="143"/>
        <v>#VALUE!</v>
      </c>
      <c r="BT203" s="1116"/>
      <c r="BU203" s="1550"/>
      <c r="BV203" s="1082"/>
      <c r="BW203" s="1552"/>
      <c r="BX203" s="1552"/>
    </row>
    <row r="204" spans="1:76" s="1236" customFormat="1" hidden="1" outlineLevel="1" x14ac:dyDescent="0.3">
      <c r="A204" s="1474"/>
      <c r="B204" s="1598"/>
      <c r="C204" s="1636" t="s">
        <v>1402</v>
      </c>
      <c r="D204" s="1581"/>
      <c r="E204" s="1624"/>
      <c r="F204" s="1637">
        <v>2</v>
      </c>
      <c r="G204" s="1610" t="e">
        <f t="shared" ref="G204:V204" si="144">IF(G$189=0,0,IF($J$188=2,I$189,I$189-I$190+J$190))</f>
        <v>#VALUE!</v>
      </c>
      <c r="H204" s="1610" t="e">
        <f t="shared" si="144"/>
        <v>#VALUE!</v>
      </c>
      <c r="I204" s="1610" t="e">
        <f t="shared" si="144"/>
        <v>#VALUE!</v>
      </c>
      <c r="J204" s="1610" t="e">
        <f t="shared" si="144"/>
        <v>#VALUE!</v>
      </c>
      <c r="K204" s="1610" t="e">
        <f t="shared" si="144"/>
        <v>#VALUE!</v>
      </c>
      <c r="L204" s="1610" t="e">
        <f t="shared" si="144"/>
        <v>#VALUE!</v>
      </c>
      <c r="M204" s="1610" t="e">
        <f t="shared" si="144"/>
        <v>#VALUE!</v>
      </c>
      <c r="N204" s="1610" t="e">
        <f t="shared" si="144"/>
        <v>#VALUE!</v>
      </c>
      <c r="O204" s="1610" t="e">
        <f t="shared" si="144"/>
        <v>#VALUE!</v>
      </c>
      <c r="P204" s="1610" t="e">
        <f t="shared" si="144"/>
        <v>#VALUE!</v>
      </c>
      <c r="Q204" s="1610" t="e">
        <f t="shared" si="144"/>
        <v>#VALUE!</v>
      </c>
      <c r="R204" s="1610" t="e">
        <f t="shared" si="144"/>
        <v>#VALUE!</v>
      </c>
      <c r="S204" s="1610" t="e">
        <f t="shared" si="144"/>
        <v>#VALUE!</v>
      </c>
      <c r="T204" s="1610" t="e">
        <f t="shared" si="144"/>
        <v>#VALUE!</v>
      </c>
      <c r="U204" s="1610" t="e">
        <f t="shared" si="144"/>
        <v>#VALUE!</v>
      </c>
      <c r="V204" s="1610" t="e">
        <f t="shared" si="144"/>
        <v>#VALUE!</v>
      </c>
      <c r="W204" s="1610" t="e">
        <f>IF(W$189=0,0,IF($J$188=2,Y$189,Y$189-Y$190+AJ$190))</f>
        <v>#VALUE!</v>
      </c>
      <c r="X204" s="1610" t="e">
        <f t="shared" ref="X204:AI204" si="145">IF(X$189=0,0,IF($J$188=2,AJ$189,AJ$189-AJ$190+AK$190))</f>
        <v>#VALUE!</v>
      </c>
      <c r="Y204" s="1610" t="e">
        <f t="shared" si="145"/>
        <v>#VALUE!</v>
      </c>
      <c r="Z204" s="1610" t="e">
        <f t="shared" si="145"/>
        <v>#VALUE!</v>
      </c>
      <c r="AA204" s="1610" t="e">
        <f t="shared" si="145"/>
        <v>#VALUE!</v>
      </c>
      <c r="AB204" s="1610" t="e">
        <f t="shared" si="145"/>
        <v>#VALUE!</v>
      </c>
      <c r="AC204" s="1610" t="e">
        <f t="shared" si="145"/>
        <v>#VALUE!</v>
      </c>
      <c r="AD204" s="1610" t="e">
        <f t="shared" si="145"/>
        <v>#VALUE!</v>
      </c>
      <c r="AE204" s="1610" t="e">
        <f t="shared" si="145"/>
        <v>#VALUE!</v>
      </c>
      <c r="AF204" s="1610" t="e">
        <f t="shared" si="145"/>
        <v>#VALUE!</v>
      </c>
      <c r="AG204" s="1610" t="e">
        <f t="shared" si="145"/>
        <v>#VALUE!</v>
      </c>
      <c r="AH204" s="1610" t="e">
        <f t="shared" si="145"/>
        <v>#VALUE!</v>
      </c>
      <c r="AI204" s="1638" t="e">
        <f t="shared" si="145"/>
        <v>#VALUE!</v>
      </c>
      <c r="AJ204" s="1476"/>
      <c r="AK204" s="1116"/>
      <c r="AL204" s="1116"/>
      <c r="AM204" s="1116"/>
      <c r="AN204" s="1116"/>
      <c r="AO204" s="1207"/>
      <c r="AP204" s="1637">
        <v>2</v>
      </c>
      <c r="AQ204" s="1610" t="e">
        <f t="shared" ref="AQ204:BF204" si="146">IF(AQ$189=0,0,IF($AT$188=2,AS$189,AS$189-AS$190+AT$190))</f>
        <v>#VALUE!</v>
      </c>
      <c r="AR204" s="1610" t="e">
        <f t="shared" si="146"/>
        <v>#VALUE!</v>
      </c>
      <c r="AS204" s="1610" t="e">
        <f t="shared" si="146"/>
        <v>#VALUE!</v>
      </c>
      <c r="AT204" s="1610" t="e">
        <f t="shared" si="146"/>
        <v>#VALUE!</v>
      </c>
      <c r="AU204" s="1610" t="e">
        <f t="shared" si="146"/>
        <v>#VALUE!</v>
      </c>
      <c r="AV204" s="1610" t="e">
        <f t="shared" si="146"/>
        <v>#VALUE!</v>
      </c>
      <c r="AW204" s="1610" t="e">
        <f t="shared" si="146"/>
        <v>#VALUE!</v>
      </c>
      <c r="AX204" s="1610" t="e">
        <f t="shared" si="146"/>
        <v>#VALUE!</v>
      </c>
      <c r="AY204" s="1610" t="e">
        <f t="shared" si="146"/>
        <v>#VALUE!</v>
      </c>
      <c r="AZ204" s="1610" t="e">
        <f t="shared" si="146"/>
        <v>#VALUE!</v>
      </c>
      <c r="BA204" s="1610" t="e">
        <f t="shared" si="146"/>
        <v>#VALUE!</v>
      </c>
      <c r="BB204" s="1610" t="e">
        <f t="shared" si="146"/>
        <v>#VALUE!</v>
      </c>
      <c r="BC204" s="1610" t="e">
        <f t="shared" si="146"/>
        <v>#VALUE!</v>
      </c>
      <c r="BD204" s="1610" t="e">
        <f t="shared" si="146"/>
        <v>#VALUE!</v>
      </c>
      <c r="BE204" s="1610" t="e">
        <f t="shared" si="146"/>
        <v>#VALUE!</v>
      </c>
      <c r="BF204" s="1610" t="e">
        <f t="shared" si="146"/>
        <v>#VALUE!</v>
      </c>
      <c r="BG204" s="1610" t="e">
        <f>IF(BG$189=0,0,IF($AT$188=2,BI$189,BI$189-BI$190+BT$190))</f>
        <v>#VALUE!</v>
      </c>
      <c r="BH204" s="1610" t="e">
        <f t="shared" ref="BH204:BS204" si="147">IF(BH$189=0,0,IF($AT$188=2,BT$189,BT$189-BT$190+BU$190))</f>
        <v>#VALUE!</v>
      </c>
      <c r="BI204" s="1610" t="e">
        <f t="shared" si="147"/>
        <v>#VALUE!</v>
      </c>
      <c r="BJ204" s="1610" t="e">
        <f t="shared" si="147"/>
        <v>#VALUE!</v>
      </c>
      <c r="BK204" s="1610" t="e">
        <f t="shared" si="147"/>
        <v>#VALUE!</v>
      </c>
      <c r="BL204" s="1610" t="e">
        <f t="shared" si="147"/>
        <v>#VALUE!</v>
      </c>
      <c r="BM204" s="1610" t="e">
        <f t="shared" si="147"/>
        <v>#VALUE!</v>
      </c>
      <c r="BN204" s="1610" t="e">
        <f t="shared" si="147"/>
        <v>#VALUE!</v>
      </c>
      <c r="BO204" s="1610" t="e">
        <f t="shared" si="147"/>
        <v>#VALUE!</v>
      </c>
      <c r="BP204" s="1610" t="e">
        <f t="shared" si="147"/>
        <v>#VALUE!</v>
      </c>
      <c r="BQ204" s="1610" t="e">
        <f t="shared" si="147"/>
        <v>#VALUE!</v>
      </c>
      <c r="BR204" s="1610" t="e">
        <f t="shared" si="147"/>
        <v>#VALUE!</v>
      </c>
      <c r="BS204" s="1638" t="e">
        <f t="shared" si="147"/>
        <v>#VALUE!</v>
      </c>
      <c r="BT204" s="1116"/>
      <c r="BU204" s="1550"/>
      <c r="BV204" s="1082"/>
      <c r="BW204" s="1552"/>
      <c r="BX204" s="1552"/>
    </row>
    <row r="205" spans="1:76" s="1236" customFormat="1" hidden="1" outlineLevel="1" x14ac:dyDescent="0.3">
      <c r="A205" s="1474"/>
      <c r="B205" s="1598"/>
      <c r="C205" s="1636" t="s">
        <v>1403</v>
      </c>
      <c r="D205" s="1581"/>
      <c r="E205" s="1624"/>
      <c r="F205" s="1637">
        <v>3</v>
      </c>
      <c r="G205" s="1610" t="e">
        <f t="shared" ref="G205:U205" si="148">IF(G$189=0,0,IF($J$188=3,J$189,J$189-J$190+K$190))</f>
        <v>#VALUE!</v>
      </c>
      <c r="H205" s="1610" t="e">
        <f t="shared" si="148"/>
        <v>#VALUE!</v>
      </c>
      <c r="I205" s="1610" t="e">
        <f t="shared" si="148"/>
        <v>#VALUE!</v>
      </c>
      <c r="J205" s="1610" t="e">
        <f t="shared" si="148"/>
        <v>#VALUE!</v>
      </c>
      <c r="K205" s="1610" t="e">
        <f t="shared" si="148"/>
        <v>#VALUE!</v>
      </c>
      <c r="L205" s="1610" t="e">
        <f t="shared" si="148"/>
        <v>#VALUE!</v>
      </c>
      <c r="M205" s="1610" t="e">
        <f t="shared" si="148"/>
        <v>#VALUE!</v>
      </c>
      <c r="N205" s="1610" t="e">
        <f t="shared" si="148"/>
        <v>#VALUE!</v>
      </c>
      <c r="O205" s="1610" t="e">
        <f t="shared" si="148"/>
        <v>#VALUE!</v>
      </c>
      <c r="P205" s="1610" t="e">
        <f t="shared" si="148"/>
        <v>#VALUE!</v>
      </c>
      <c r="Q205" s="1610" t="e">
        <f t="shared" si="148"/>
        <v>#VALUE!</v>
      </c>
      <c r="R205" s="1610" t="e">
        <f t="shared" si="148"/>
        <v>#VALUE!</v>
      </c>
      <c r="S205" s="1610" t="e">
        <f t="shared" si="148"/>
        <v>#VALUE!</v>
      </c>
      <c r="T205" s="1610" t="e">
        <f t="shared" si="148"/>
        <v>#VALUE!</v>
      </c>
      <c r="U205" s="1610" t="e">
        <f t="shared" si="148"/>
        <v>#VALUE!</v>
      </c>
      <c r="V205" s="1610" t="e">
        <f>IF(V$189=0,0,IF($J$188=3,Y$189,Y$189-Y$190+AJ$190))</f>
        <v>#VALUE!</v>
      </c>
      <c r="W205" s="1610" t="e">
        <f t="shared" ref="W205:AI205" si="149">IF(W$189=0,0,IF($J$188=3,AJ$189,AJ$189-AJ$190+AK$190))</f>
        <v>#VALUE!</v>
      </c>
      <c r="X205" s="1610" t="e">
        <f t="shared" si="149"/>
        <v>#VALUE!</v>
      </c>
      <c r="Y205" s="1610" t="e">
        <f t="shared" si="149"/>
        <v>#VALUE!</v>
      </c>
      <c r="Z205" s="1610" t="e">
        <f t="shared" si="149"/>
        <v>#VALUE!</v>
      </c>
      <c r="AA205" s="1610" t="e">
        <f t="shared" si="149"/>
        <v>#VALUE!</v>
      </c>
      <c r="AB205" s="1610" t="e">
        <f t="shared" si="149"/>
        <v>#VALUE!</v>
      </c>
      <c r="AC205" s="1610" t="e">
        <f t="shared" si="149"/>
        <v>#VALUE!</v>
      </c>
      <c r="AD205" s="1610" t="e">
        <f t="shared" si="149"/>
        <v>#VALUE!</v>
      </c>
      <c r="AE205" s="1610" t="e">
        <f t="shared" si="149"/>
        <v>#VALUE!</v>
      </c>
      <c r="AF205" s="1610" t="e">
        <f t="shared" si="149"/>
        <v>#VALUE!</v>
      </c>
      <c r="AG205" s="1610" t="e">
        <f t="shared" si="149"/>
        <v>#VALUE!</v>
      </c>
      <c r="AH205" s="1610" t="e">
        <f t="shared" si="149"/>
        <v>#VALUE!</v>
      </c>
      <c r="AI205" s="1638" t="e">
        <f t="shared" si="149"/>
        <v>#VALUE!</v>
      </c>
      <c r="AJ205" s="1476"/>
      <c r="AK205" s="1116"/>
      <c r="AL205" s="1116"/>
      <c r="AM205" s="1116"/>
      <c r="AN205" s="1116"/>
      <c r="AO205" s="1207"/>
      <c r="AP205" s="1637">
        <v>3</v>
      </c>
      <c r="AQ205" s="1610" t="e">
        <f t="shared" ref="AQ205:BE205" si="150">IF(AQ$189=0,0,IF($AT$188=3,AT$189,AT$189-AT$190+AU$190))</f>
        <v>#VALUE!</v>
      </c>
      <c r="AR205" s="1610" t="e">
        <f t="shared" si="150"/>
        <v>#VALUE!</v>
      </c>
      <c r="AS205" s="1610" t="e">
        <f t="shared" si="150"/>
        <v>#VALUE!</v>
      </c>
      <c r="AT205" s="1610" t="e">
        <f t="shared" si="150"/>
        <v>#VALUE!</v>
      </c>
      <c r="AU205" s="1610" t="e">
        <f t="shared" si="150"/>
        <v>#VALUE!</v>
      </c>
      <c r="AV205" s="1610" t="e">
        <f t="shared" si="150"/>
        <v>#VALUE!</v>
      </c>
      <c r="AW205" s="1610" t="e">
        <f t="shared" si="150"/>
        <v>#VALUE!</v>
      </c>
      <c r="AX205" s="1610" t="e">
        <f t="shared" si="150"/>
        <v>#VALUE!</v>
      </c>
      <c r="AY205" s="1610" t="e">
        <f t="shared" si="150"/>
        <v>#VALUE!</v>
      </c>
      <c r="AZ205" s="1610" t="e">
        <f t="shared" si="150"/>
        <v>#VALUE!</v>
      </c>
      <c r="BA205" s="1610" t="e">
        <f t="shared" si="150"/>
        <v>#VALUE!</v>
      </c>
      <c r="BB205" s="1610" t="e">
        <f t="shared" si="150"/>
        <v>#VALUE!</v>
      </c>
      <c r="BC205" s="1610" t="e">
        <f t="shared" si="150"/>
        <v>#VALUE!</v>
      </c>
      <c r="BD205" s="1610" t="e">
        <f t="shared" si="150"/>
        <v>#VALUE!</v>
      </c>
      <c r="BE205" s="1610" t="e">
        <f t="shared" si="150"/>
        <v>#VALUE!</v>
      </c>
      <c r="BF205" s="1610" t="e">
        <f>IF(BF$189=0,0,IF($AT$188=3,BI$189,BI$189-BI$190+BT$190))</f>
        <v>#VALUE!</v>
      </c>
      <c r="BG205" s="1610" t="e">
        <f t="shared" ref="BG205:BS205" si="151">IF(BG$189=0,0,IF($AT$188=3,BT$189,BT$189-BT$190+BU$190))</f>
        <v>#VALUE!</v>
      </c>
      <c r="BH205" s="1610" t="e">
        <f t="shared" si="151"/>
        <v>#VALUE!</v>
      </c>
      <c r="BI205" s="1610" t="e">
        <f t="shared" si="151"/>
        <v>#VALUE!</v>
      </c>
      <c r="BJ205" s="1610" t="e">
        <f t="shared" si="151"/>
        <v>#VALUE!</v>
      </c>
      <c r="BK205" s="1610" t="e">
        <f t="shared" si="151"/>
        <v>#VALUE!</v>
      </c>
      <c r="BL205" s="1610" t="e">
        <f t="shared" si="151"/>
        <v>#VALUE!</v>
      </c>
      <c r="BM205" s="1610" t="e">
        <f t="shared" si="151"/>
        <v>#VALUE!</v>
      </c>
      <c r="BN205" s="1610" t="e">
        <f t="shared" si="151"/>
        <v>#VALUE!</v>
      </c>
      <c r="BO205" s="1610" t="e">
        <f t="shared" si="151"/>
        <v>#VALUE!</v>
      </c>
      <c r="BP205" s="1610" t="e">
        <f t="shared" si="151"/>
        <v>#VALUE!</v>
      </c>
      <c r="BQ205" s="1610" t="e">
        <f t="shared" si="151"/>
        <v>#VALUE!</v>
      </c>
      <c r="BR205" s="1610" t="e">
        <f t="shared" si="151"/>
        <v>#VALUE!</v>
      </c>
      <c r="BS205" s="1638" t="e">
        <f t="shared" si="151"/>
        <v>#VALUE!</v>
      </c>
      <c r="BT205" s="1116"/>
      <c r="BU205" s="1550"/>
      <c r="BV205" s="1082"/>
      <c r="BW205" s="1552"/>
      <c r="BX205" s="1552"/>
    </row>
    <row r="206" spans="1:76" s="1236" customFormat="1" hidden="1" outlineLevel="1" x14ac:dyDescent="0.3">
      <c r="A206" s="1474"/>
      <c r="B206" s="1598"/>
      <c r="C206" s="1639" t="s">
        <v>1404</v>
      </c>
      <c r="D206" s="1625"/>
      <c r="E206" s="1623"/>
      <c r="F206" s="1640">
        <v>4</v>
      </c>
      <c r="G206" s="1610" t="e">
        <f t="shared" ref="G206:T206" si="152">IF(G$189=0,0,IF($J$188=4,K$189,K$189-K$190+L$190))</f>
        <v>#VALUE!</v>
      </c>
      <c r="H206" s="1610" t="e">
        <f t="shared" si="152"/>
        <v>#VALUE!</v>
      </c>
      <c r="I206" s="1610" t="e">
        <f t="shared" si="152"/>
        <v>#VALUE!</v>
      </c>
      <c r="J206" s="1610" t="e">
        <f t="shared" si="152"/>
        <v>#VALUE!</v>
      </c>
      <c r="K206" s="1610" t="e">
        <f t="shared" si="152"/>
        <v>#VALUE!</v>
      </c>
      <c r="L206" s="1610" t="e">
        <f t="shared" si="152"/>
        <v>#VALUE!</v>
      </c>
      <c r="M206" s="1610" t="e">
        <f t="shared" si="152"/>
        <v>#VALUE!</v>
      </c>
      <c r="N206" s="1610" t="e">
        <f t="shared" si="152"/>
        <v>#VALUE!</v>
      </c>
      <c r="O206" s="1610" t="e">
        <f t="shared" si="152"/>
        <v>#VALUE!</v>
      </c>
      <c r="P206" s="1610" t="e">
        <f t="shared" si="152"/>
        <v>#VALUE!</v>
      </c>
      <c r="Q206" s="1610" t="e">
        <f t="shared" si="152"/>
        <v>#VALUE!</v>
      </c>
      <c r="R206" s="1610" t="e">
        <f t="shared" si="152"/>
        <v>#VALUE!</v>
      </c>
      <c r="S206" s="1610" t="e">
        <f t="shared" si="152"/>
        <v>#VALUE!</v>
      </c>
      <c r="T206" s="1610" t="e">
        <f t="shared" si="152"/>
        <v>#VALUE!</v>
      </c>
      <c r="U206" s="1610" t="e">
        <f>IF(U$189=0,0,IF($J$188=4,Y$189,Y$189-Y$190+AJ$190))</f>
        <v>#VALUE!</v>
      </c>
      <c r="V206" s="1610" t="e">
        <f t="shared" ref="V206:AI206" si="153">IF(V$189=0,0,IF($J$188=4,AJ$189,AJ$189-AJ$190+AK$190))</f>
        <v>#VALUE!</v>
      </c>
      <c r="W206" s="1610" t="e">
        <f t="shared" si="153"/>
        <v>#VALUE!</v>
      </c>
      <c r="X206" s="1610" t="e">
        <f t="shared" si="153"/>
        <v>#VALUE!</v>
      </c>
      <c r="Y206" s="1610" t="e">
        <f t="shared" si="153"/>
        <v>#VALUE!</v>
      </c>
      <c r="Z206" s="1610" t="e">
        <f t="shared" si="153"/>
        <v>#VALUE!</v>
      </c>
      <c r="AA206" s="1610" t="e">
        <f t="shared" si="153"/>
        <v>#VALUE!</v>
      </c>
      <c r="AB206" s="1610" t="e">
        <f t="shared" si="153"/>
        <v>#VALUE!</v>
      </c>
      <c r="AC206" s="1610" t="e">
        <f t="shared" si="153"/>
        <v>#VALUE!</v>
      </c>
      <c r="AD206" s="1610" t="e">
        <f t="shared" si="153"/>
        <v>#VALUE!</v>
      </c>
      <c r="AE206" s="1610" t="e">
        <f t="shared" si="153"/>
        <v>#VALUE!</v>
      </c>
      <c r="AF206" s="1610" t="e">
        <f t="shared" si="153"/>
        <v>#VALUE!</v>
      </c>
      <c r="AG206" s="1610" t="e">
        <f t="shared" si="153"/>
        <v>#VALUE!</v>
      </c>
      <c r="AH206" s="1610" t="e">
        <f t="shared" si="153"/>
        <v>#VALUE!</v>
      </c>
      <c r="AI206" s="1638" t="e">
        <f t="shared" si="153"/>
        <v>#VALUE!</v>
      </c>
      <c r="AJ206" s="1476"/>
      <c r="AK206" s="1116"/>
      <c r="AL206" s="1116"/>
      <c r="AM206" s="1116"/>
      <c r="AN206" s="1116"/>
      <c r="AO206" s="1207"/>
      <c r="AP206" s="1640">
        <v>4</v>
      </c>
      <c r="AQ206" s="1610" t="e">
        <f t="shared" ref="AQ206:BD206" si="154">IF(AQ$189=0,0,IF($AT$188=4,AU$189,AU$189-AU$190+AV$190))</f>
        <v>#VALUE!</v>
      </c>
      <c r="AR206" s="1610" t="e">
        <f t="shared" si="154"/>
        <v>#VALUE!</v>
      </c>
      <c r="AS206" s="1610" t="e">
        <f t="shared" si="154"/>
        <v>#VALUE!</v>
      </c>
      <c r="AT206" s="1610" t="e">
        <f t="shared" si="154"/>
        <v>#VALUE!</v>
      </c>
      <c r="AU206" s="1610" t="e">
        <f t="shared" si="154"/>
        <v>#VALUE!</v>
      </c>
      <c r="AV206" s="1610" t="e">
        <f t="shared" si="154"/>
        <v>#VALUE!</v>
      </c>
      <c r="AW206" s="1610" t="e">
        <f t="shared" si="154"/>
        <v>#VALUE!</v>
      </c>
      <c r="AX206" s="1610" t="e">
        <f t="shared" si="154"/>
        <v>#VALUE!</v>
      </c>
      <c r="AY206" s="1610" t="e">
        <f t="shared" si="154"/>
        <v>#VALUE!</v>
      </c>
      <c r="AZ206" s="1610" t="e">
        <f t="shared" si="154"/>
        <v>#VALUE!</v>
      </c>
      <c r="BA206" s="1610" t="e">
        <f t="shared" si="154"/>
        <v>#VALUE!</v>
      </c>
      <c r="BB206" s="1610" t="e">
        <f t="shared" si="154"/>
        <v>#VALUE!</v>
      </c>
      <c r="BC206" s="1610" t="e">
        <f t="shared" si="154"/>
        <v>#VALUE!</v>
      </c>
      <c r="BD206" s="1610" t="e">
        <f t="shared" si="154"/>
        <v>#VALUE!</v>
      </c>
      <c r="BE206" s="1610" t="e">
        <f>IF(BE$189=0,0,IF($AT$188=4,BI$189,BI$189-BI$190+BT$190))</f>
        <v>#VALUE!</v>
      </c>
      <c r="BF206" s="1610" t="e">
        <f t="shared" ref="BF206:BS206" si="155">IF(BF$189=0,0,IF($AT$188=4,BT$189,BT$189-BT$190+BU$190))</f>
        <v>#VALUE!</v>
      </c>
      <c r="BG206" s="1610" t="e">
        <f t="shared" si="155"/>
        <v>#VALUE!</v>
      </c>
      <c r="BH206" s="1610" t="e">
        <f t="shared" si="155"/>
        <v>#VALUE!</v>
      </c>
      <c r="BI206" s="1610" t="e">
        <f t="shared" si="155"/>
        <v>#VALUE!</v>
      </c>
      <c r="BJ206" s="1610" t="e">
        <f t="shared" si="155"/>
        <v>#VALUE!</v>
      </c>
      <c r="BK206" s="1610" t="e">
        <f t="shared" si="155"/>
        <v>#VALUE!</v>
      </c>
      <c r="BL206" s="1610" t="e">
        <f t="shared" si="155"/>
        <v>#VALUE!</v>
      </c>
      <c r="BM206" s="1610" t="e">
        <f t="shared" si="155"/>
        <v>#VALUE!</v>
      </c>
      <c r="BN206" s="1610" t="e">
        <f t="shared" si="155"/>
        <v>#VALUE!</v>
      </c>
      <c r="BO206" s="1610" t="e">
        <f t="shared" si="155"/>
        <v>#VALUE!</v>
      </c>
      <c r="BP206" s="1610" t="e">
        <f t="shared" si="155"/>
        <v>#VALUE!</v>
      </c>
      <c r="BQ206" s="1610" t="e">
        <f t="shared" si="155"/>
        <v>#VALUE!</v>
      </c>
      <c r="BR206" s="1610" t="e">
        <f t="shared" si="155"/>
        <v>#VALUE!</v>
      </c>
      <c r="BS206" s="1638" t="e">
        <f t="shared" si="155"/>
        <v>#VALUE!</v>
      </c>
      <c r="BT206" s="1116"/>
      <c r="BU206" s="1550"/>
      <c r="BV206" s="1082"/>
      <c r="BW206" s="1552"/>
      <c r="BX206" s="1552"/>
    </row>
    <row r="207" spans="1:76" s="1236" customFormat="1" hidden="1" outlineLevel="1" x14ac:dyDescent="0.3">
      <c r="A207" s="1474"/>
      <c r="B207" s="1598"/>
      <c r="C207" s="1643" t="s">
        <v>1405</v>
      </c>
      <c r="D207" s="1116"/>
      <c r="E207" s="1116"/>
      <c r="F207" s="1644"/>
      <c r="G207" s="1634" t="e">
        <f t="shared" ref="G207:AI207" si="156">G189/(1+DiscR)^G174</f>
        <v>#VALUE!</v>
      </c>
      <c r="H207" s="1634" t="e">
        <f t="shared" si="156"/>
        <v>#VALUE!</v>
      </c>
      <c r="I207" s="1634" t="e">
        <f t="shared" si="156"/>
        <v>#VALUE!</v>
      </c>
      <c r="J207" s="1634" t="e">
        <f t="shared" si="156"/>
        <v>#VALUE!</v>
      </c>
      <c r="K207" s="1634" t="e">
        <f t="shared" si="156"/>
        <v>#VALUE!</v>
      </c>
      <c r="L207" s="1634" t="e">
        <f t="shared" si="156"/>
        <v>#VALUE!</v>
      </c>
      <c r="M207" s="1634" t="e">
        <f t="shared" si="156"/>
        <v>#VALUE!</v>
      </c>
      <c r="N207" s="1634" t="e">
        <f t="shared" si="156"/>
        <v>#VALUE!</v>
      </c>
      <c r="O207" s="1634" t="e">
        <f t="shared" si="156"/>
        <v>#VALUE!</v>
      </c>
      <c r="P207" s="1634" t="e">
        <f t="shared" si="156"/>
        <v>#VALUE!</v>
      </c>
      <c r="Q207" s="1634" t="e">
        <f t="shared" si="156"/>
        <v>#VALUE!</v>
      </c>
      <c r="R207" s="1634" t="e">
        <f t="shared" si="156"/>
        <v>#VALUE!</v>
      </c>
      <c r="S207" s="1634" t="e">
        <f t="shared" si="156"/>
        <v>#VALUE!</v>
      </c>
      <c r="T207" s="1634" t="e">
        <f t="shared" si="156"/>
        <v>#VALUE!</v>
      </c>
      <c r="U207" s="1634" t="e">
        <f t="shared" si="156"/>
        <v>#VALUE!</v>
      </c>
      <c r="V207" s="1634" t="e">
        <f t="shared" si="156"/>
        <v>#VALUE!</v>
      </c>
      <c r="W207" s="1634" t="e">
        <f t="shared" si="156"/>
        <v>#VALUE!</v>
      </c>
      <c r="X207" s="1634" t="e">
        <f t="shared" si="156"/>
        <v>#VALUE!</v>
      </c>
      <c r="Y207" s="1634" t="e">
        <f t="shared" si="156"/>
        <v>#VALUE!</v>
      </c>
      <c r="Z207" s="1634" t="e">
        <f t="shared" si="156"/>
        <v>#VALUE!</v>
      </c>
      <c r="AA207" s="1634" t="e">
        <f t="shared" si="156"/>
        <v>#VALUE!</v>
      </c>
      <c r="AB207" s="1634" t="e">
        <f t="shared" si="156"/>
        <v>#VALUE!</v>
      </c>
      <c r="AC207" s="1634" t="e">
        <f t="shared" si="156"/>
        <v>#VALUE!</v>
      </c>
      <c r="AD207" s="1634" t="e">
        <f t="shared" si="156"/>
        <v>#VALUE!</v>
      </c>
      <c r="AE207" s="1634" t="e">
        <f t="shared" si="156"/>
        <v>#VALUE!</v>
      </c>
      <c r="AF207" s="1634" t="e">
        <f t="shared" si="156"/>
        <v>#VALUE!</v>
      </c>
      <c r="AG207" s="1634" t="e">
        <f t="shared" si="156"/>
        <v>#VALUE!</v>
      </c>
      <c r="AH207" s="1634" t="e">
        <f t="shared" si="156"/>
        <v>#VALUE!</v>
      </c>
      <c r="AI207" s="1635" t="e">
        <f t="shared" si="156"/>
        <v>#VALUE!</v>
      </c>
      <c r="AJ207" s="1476"/>
      <c r="AK207" s="1116"/>
      <c r="AL207" s="1116"/>
      <c r="AM207" s="1116"/>
      <c r="AN207" s="1116"/>
      <c r="AO207" s="1207"/>
      <c r="AP207" s="1644"/>
      <c r="AQ207" s="1634" t="e">
        <f t="shared" ref="AQ207:BS207" si="157">AQ189/(1+DiscR)^AQ174</f>
        <v>#VALUE!</v>
      </c>
      <c r="AR207" s="1634" t="e">
        <f t="shared" si="157"/>
        <v>#VALUE!</v>
      </c>
      <c r="AS207" s="1634" t="e">
        <f t="shared" si="157"/>
        <v>#VALUE!</v>
      </c>
      <c r="AT207" s="1634" t="e">
        <f t="shared" si="157"/>
        <v>#VALUE!</v>
      </c>
      <c r="AU207" s="1634" t="e">
        <f t="shared" si="157"/>
        <v>#VALUE!</v>
      </c>
      <c r="AV207" s="1634" t="e">
        <f t="shared" si="157"/>
        <v>#VALUE!</v>
      </c>
      <c r="AW207" s="1634" t="e">
        <f t="shared" si="157"/>
        <v>#VALUE!</v>
      </c>
      <c r="AX207" s="1634" t="e">
        <f t="shared" si="157"/>
        <v>#VALUE!</v>
      </c>
      <c r="AY207" s="1634" t="e">
        <f t="shared" si="157"/>
        <v>#VALUE!</v>
      </c>
      <c r="AZ207" s="1634" t="e">
        <f t="shared" si="157"/>
        <v>#VALUE!</v>
      </c>
      <c r="BA207" s="1634" t="e">
        <f t="shared" si="157"/>
        <v>#VALUE!</v>
      </c>
      <c r="BB207" s="1634" t="e">
        <f t="shared" si="157"/>
        <v>#VALUE!</v>
      </c>
      <c r="BC207" s="1634" t="e">
        <f t="shared" si="157"/>
        <v>#VALUE!</v>
      </c>
      <c r="BD207" s="1634" t="e">
        <f t="shared" si="157"/>
        <v>#VALUE!</v>
      </c>
      <c r="BE207" s="1634" t="e">
        <f t="shared" si="157"/>
        <v>#VALUE!</v>
      </c>
      <c r="BF207" s="1634" t="e">
        <f t="shared" si="157"/>
        <v>#VALUE!</v>
      </c>
      <c r="BG207" s="1634" t="e">
        <f t="shared" si="157"/>
        <v>#VALUE!</v>
      </c>
      <c r="BH207" s="1634" t="e">
        <f t="shared" si="157"/>
        <v>#VALUE!</v>
      </c>
      <c r="BI207" s="1634" t="e">
        <f t="shared" si="157"/>
        <v>#VALUE!</v>
      </c>
      <c r="BJ207" s="1634" t="e">
        <f t="shared" si="157"/>
        <v>#VALUE!</v>
      </c>
      <c r="BK207" s="1634" t="e">
        <f t="shared" si="157"/>
        <v>#VALUE!</v>
      </c>
      <c r="BL207" s="1634" t="e">
        <f t="shared" si="157"/>
        <v>#VALUE!</v>
      </c>
      <c r="BM207" s="1634" t="e">
        <f t="shared" si="157"/>
        <v>#VALUE!</v>
      </c>
      <c r="BN207" s="1634" t="e">
        <f t="shared" si="157"/>
        <v>#VALUE!</v>
      </c>
      <c r="BO207" s="1634" t="e">
        <f t="shared" si="157"/>
        <v>#VALUE!</v>
      </c>
      <c r="BP207" s="1634" t="e">
        <f t="shared" si="157"/>
        <v>#VALUE!</v>
      </c>
      <c r="BQ207" s="1634" t="e">
        <f t="shared" si="157"/>
        <v>#VALUE!</v>
      </c>
      <c r="BR207" s="1634" t="e">
        <f t="shared" si="157"/>
        <v>#VALUE!</v>
      </c>
      <c r="BS207" s="1635" t="e">
        <f t="shared" si="157"/>
        <v>#VALUE!</v>
      </c>
      <c r="BT207" s="1116"/>
      <c r="BU207" s="1550"/>
      <c r="BV207" s="1082"/>
      <c r="BW207" s="1552"/>
      <c r="BX207" s="1552"/>
    </row>
    <row r="208" spans="1:76" s="1236" customFormat="1" hidden="1" outlineLevel="1" x14ac:dyDescent="0.3">
      <c r="A208" s="1474"/>
      <c r="B208" s="1598"/>
      <c r="C208" s="1645" t="s">
        <v>1406</v>
      </c>
      <c r="D208" s="1226"/>
      <c r="E208" s="1226"/>
      <c r="F208" s="1646"/>
      <c r="G208" s="1641" t="e">
        <f>VLOOKUP(ABS($K$188),$F$202:$AI$206,2,0)/(1+DiscR)^G174</f>
        <v>#VALUE!</v>
      </c>
      <c r="H208" s="1641" t="e">
        <f>VLOOKUP(ABS($K$188),$F$202:$AI$206,3,0)/(1+DiscR)^H174</f>
        <v>#VALUE!</v>
      </c>
      <c r="I208" s="1641" t="e">
        <f>VLOOKUP(ABS($K$188),$F$202:$AI$206,4,0)/(1+DiscR)^I174</f>
        <v>#VALUE!</v>
      </c>
      <c r="J208" s="1641" t="e">
        <f>VLOOKUP(ABS($K$188),$F$202:$AI$206,5,0)/(1+DiscR)^J174</f>
        <v>#VALUE!</v>
      </c>
      <c r="K208" s="1641" t="e">
        <f>VLOOKUP(ABS($K$188),$F$202:$AI$206,6,0)/(1+DiscR)^K174</f>
        <v>#VALUE!</v>
      </c>
      <c r="L208" s="1641" t="e">
        <f>VLOOKUP(ABS($K$188),$F$202:$AI$206,7,0)/(1+DiscR)^L174</f>
        <v>#VALUE!</v>
      </c>
      <c r="M208" s="1641" t="e">
        <f>VLOOKUP(ABS($K$188),$F$202:$AI$206,8,0)/(1+DiscR)^M174</f>
        <v>#VALUE!</v>
      </c>
      <c r="N208" s="1641" t="e">
        <f>VLOOKUP(ABS($K$188),$F$202:$AI$206,9,0)/(1+DiscR)^N174</f>
        <v>#VALUE!</v>
      </c>
      <c r="O208" s="1641" t="e">
        <f>VLOOKUP(ABS($K$188),$F$202:$AI$206,10,0)/(1+DiscR)^O174</f>
        <v>#VALUE!</v>
      </c>
      <c r="P208" s="1641" t="e">
        <f>VLOOKUP(ABS($K$188),$F$202:$AI$206,11,0)/(1+DiscR)^P174</f>
        <v>#VALUE!</v>
      </c>
      <c r="Q208" s="1641" t="e">
        <f>VLOOKUP(ABS($K$188),$F$202:$AI$206,12,0)/(1+DiscR)^Q174</f>
        <v>#VALUE!</v>
      </c>
      <c r="R208" s="1641" t="e">
        <f>VLOOKUP(ABS($K$188),$F$202:$AI$206,13,0)/(1+DiscR)^R174</f>
        <v>#VALUE!</v>
      </c>
      <c r="S208" s="1641" t="e">
        <f>VLOOKUP(ABS($K$188),$F$202:$AI$206,14,0)/(1+DiscR)^S174</f>
        <v>#VALUE!</v>
      </c>
      <c r="T208" s="1641" t="e">
        <f>VLOOKUP(ABS($K$188),$F$202:$AI$206,15,0)/(1+DiscR)^T174</f>
        <v>#VALUE!</v>
      </c>
      <c r="U208" s="1641" t="e">
        <f>VLOOKUP(ABS($K$188),$F$202:$AI$206,16,0)/(1+DiscR)^U174</f>
        <v>#VALUE!</v>
      </c>
      <c r="V208" s="1641" t="e">
        <f>VLOOKUP(ABS($K$188),$F$202:$AI$206,17,0)/(1+DiscR)^V174</f>
        <v>#VALUE!</v>
      </c>
      <c r="W208" s="1641" t="e">
        <f>VLOOKUP(ABS($K$188),$F$202:$AI$206,18,0)/(1+DiscR)^W174</f>
        <v>#VALUE!</v>
      </c>
      <c r="X208" s="1641" t="e">
        <f>VLOOKUP(ABS($K$188),$F$202:$AI$206,19,0)/(1+DiscR)^X174</f>
        <v>#VALUE!</v>
      </c>
      <c r="Y208" s="1641" t="e">
        <f>VLOOKUP(ABS($K$188),$F$202:$AI$206,20,0)/(1+DiscR)^Y174</f>
        <v>#VALUE!</v>
      </c>
      <c r="Z208" s="1641" t="e">
        <f>VLOOKUP(ABS($K$188),$F$202:$AI$206,21,0)/(1+DiscR)^Z174</f>
        <v>#VALUE!</v>
      </c>
      <c r="AA208" s="1641" t="e">
        <f>VLOOKUP(ABS($K$188),$F$202:$AI$206,22,0)/(1+DiscR)^AA174</f>
        <v>#VALUE!</v>
      </c>
      <c r="AB208" s="1641" t="e">
        <f>VLOOKUP(ABS($K$188),$F$202:$AI$206,23,0)/(1+DiscR)^AB174</f>
        <v>#VALUE!</v>
      </c>
      <c r="AC208" s="1641" t="e">
        <f>VLOOKUP(ABS($K$188),$F$202:$AI$206,24,0)/(1+DiscR)^AC174</f>
        <v>#VALUE!</v>
      </c>
      <c r="AD208" s="1641" t="e">
        <f>VLOOKUP(ABS($K$188),$F$202:$AI$206,25,0)/(1+DiscR)^AD174</f>
        <v>#VALUE!</v>
      </c>
      <c r="AE208" s="1641" t="e">
        <f>VLOOKUP(ABS($K$188),$F$202:$AI$206,26,0)/(1+DiscR)^AE174</f>
        <v>#VALUE!</v>
      </c>
      <c r="AF208" s="1641" t="e">
        <f>VLOOKUP(ABS($K$188),$F$202:$AI$206,27,0)/(1+DiscR)^AF174</f>
        <v>#VALUE!</v>
      </c>
      <c r="AG208" s="1641" t="e">
        <f>VLOOKUP(ABS($K$188),$F$202:$AI$206,28,0)/(1+DiscR)^AG174</f>
        <v>#VALUE!</v>
      </c>
      <c r="AH208" s="1641" t="e">
        <f>VLOOKUP(ABS($K$188),$F$202:$AI$206,29,0)/(1+DiscR)^AH174</f>
        <v>#VALUE!</v>
      </c>
      <c r="AI208" s="1642" t="e">
        <f>VLOOKUP(ABS($K$188),$F$202:$AI$206,30,0)/(1+DiscR)^AI174</f>
        <v>#VALUE!</v>
      </c>
      <c r="AJ208" s="1476"/>
      <c r="AK208" s="1116"/>
      <c r="AL208" s="1116"/>
      <c r="AM208" s="1116"/>
      <c r="AN208" s="1116"/>
      <c r="AO208" s="1207"/>
      <c r="AP208" s="1648"/>
      <c r="AQ208" s="1647" t="e">
        <f>VLOOKUP(ABS($AU$188),$AP$202:$BS$206,2,0)/(1+DiscR)^AQ174</f>
        <v>#VALUE!</v>
      </c>
      <c r="AR208" s="1641" t="e">
        <f>VLOOKUP(ABS($AU$188),$AP$202:$BS$206,3,0)/(1+DiscR)^AR174</f>
        <v>#VALUE!</v>
      </c>
      <c r="AS208" s="1641" t="e">
        <f>VLOOKUP(ABS($AU$188),$AP$202:$BS$206,4,0)/(1+DiscR)^AS174</f>
        <v>#VALUE!</v>
      </c>
      <c r="AT208" s="1641" t="e">
        <f>VLOOKUP(ABS($AU$188),$AP$202:$BS$206,5,0)/(1+DiscR)^AT174</f>
        <v>#VALUE!</v>
      </c>
      <c r="AU208" s="1641" t="e">
        <f>VLOOKUP(ABS($AU$188),$AP$202:$BS$206,6,0)/(1+DiscR)^AU174</f>
        <v>#VALUE!</v>
      </c>
      <c r="AV208" s="1641" t="e">
        <f>VLOOKUP(ABS($AU$188),$AP$202:$BS$206,7,0)/(1+DiscR)^AV174</f>
        <v>#VALUE!</v>
      </c>
      <c r="AW208" s="1641" t="e">
        <f>VLOOKUP(ABS($AU$188),$AP$202:$BS$206,8,0)/(1+DiscR)^AW174</f>
        <v>#VALUE!</v>
      </c>
      <c r="AX208" s="1641" t="e">
        <f>VLOOKUP(ABS($AU$188),$AP$202:$BS$206,9,0)/(1+DiscR)^AX174</f>
        <v>#VALUE!</v>
      </c>
      <c r="AY208" s="1641" t="e">
        <f>VLOOKUP(ABS($AU$188),$AP$202:$BS$206,10,0)/(1+DiscR)^AY174</f>
        <v>#VALUE!</v>
      </c>
      <c r="AZ208" s="1641" t="e">
        <f>VLOOKUP(ABS($AU$188),$AP$202:$BS$206,11,0)/(1+DiscR)^AZ174</f>
        <v>#VALUE!</v>
      </c>
      <c r="BA208" s="1641" t="e">
        <f>VLOOKUP(ABS($AU$188),$AP$202:$BS$206,12,0)/(1+DiscR)^BA174</f>
        <v>#VALUE!</v>
      </c>
      <c r="BB208" s="1641" t="e">
        <f>VLOOKUP(ABS($AU$188),$AP$202:$BS$206,13,0)/(1+DiscR)^BB174</f>
        <v>#VALUE!</v>
      </c>
      <c r="BC208" s="1641" t="e">
        <f>VLOOKUP(ABS($AU$188),$AP$202:$BS$206,14,0)/(1+DiscR)^BC174</f>
        <v>#VALUE!</v>
      </c>
      <c r="BD208" s="1641" t="e">
        <f>VLOOKUP(ABS($AU$188),$AP$202:$BS$206,15,0)/(1+DiscR)^BD174</f>
        <v>#VALUE!</v>
      </c>
      <c r="BE208" s="1641" t="e">
        <f>VLOOKUP(ABS($AU$188),$AP$202:$BS$206,16,0)/(1+DiscR)^BE174</f>
        <v>#VALUE!</v>
      </c>
      <c r="BF208" s="1641" t="e">
        <f>VLOOKUP(ABS($AU$188),$AP$202:$BS$206,17,0)/(1+DiscR)^BF174</f>
        <v>#VALUE!</v>
      </c>
      <c r="BG208" s="1641" t="e">
        <f>VLOOKUP(ABS($AU$188),$AP$202:$BS$206,18,0)/(1+DiscR)^BG174</f>
        <v>#VALUE!</v>
      </c>
      <c r="BH208" s="1641" t="e">
        <f>VLOOKUP(ABS($AU$188),$AP$202:$BS$206,19,0)/(1+DiscR)^BH174</f>
        <v>#VALUE!</v>
      </c>
      <c r="BI208" s="1641" t="e">
        <f>VLOOKUP(ABS($AU$188),$AP$202:$BS$206,20,0)/(1+DiscR)^BI174</f>
        <v>#VALUE!</v>
      </c>
      <c r="BJ208" s="1641" t="e">
        <f>VLOOKUP(ABS($AU$188),$AP$202:$BS$206,21,0)/(1+DiscR)^BJ174</f>
        <v>#VALUE!</v>
      </c>
      <c r="BK208" s="1641" t="e">
        <f>VLOOKUP(ABS($AU$188),$AP$202:$BS$206,22,0)/(1+DiscR)^BK174</f>
        <v>#VALUE!</v>
      </c>
      <c r="BL208" s="1641" t="e">
        <f>VLOOKUP(ABS($AU$188),$AP$202:$BS$206,23,0)/(1+DiscR)^BL174</f>
        <v>#VALUE!</v>
      </c>
      <c r="BM208" s="1641" t="e">
        <f>VLOOKUP(ABS($AU$188),$AP$202:$BS$206,24,0)/(1+DiscR)^BM174</f>
        <v>#VALUE!</v>
      </c>
      <c r="BN208" s="1641" t="e">
        <f>VLOOKUP(ABS($AU$188),$AP$202:$BS$206,25,0)/(1+DiscR)^BN174</f>
        <v>#VALUE!</v>
      </c>
      <c r="BO208" s="1641" t="e">
        <f>VLOOKUP(ABS($AU$188),$AP$202:$BS$206,26,0)/(1+DiscR)^BO174</f>
        <v>#VALUE!</v>
      </c>
      <c r="BP208" s="1641" t="e">
        <f>VLOOKUP(ABS($AU$188),$AP$202:$BS$206,27,0)/(1+DiscR)^BP174</f>
        <v>#VALUE!</v>
      </c>
      <c r="BQ208" s="1641" t="e">
        <f>VLOOKUP(ABS($AU$188),$AP$202:$BS$206,28,0)/(1+DiscR)^BQ174</f>
        <v>#VALUE!</v>
      </c>
      <c r="BR208" s="1641" t="e">
        <f>VLOOKUP(ABS($AU$188),$AP$202:$BS$206,29,0)/(1+DiscR)^BR174</f>
        <v>#VALUE!</v>
      </c>
      <c r="BS208" s="1642" t="e">
        <f>VLOOKUP(ABS($AU$188),$AP$202:$BS$206,30,0)/(1+DiscR)^BS174</f>
        <v>#VALUE!</v>
      </c>
      <c r="BT208" s="1116"/>
      <c r="BU208" s="1550"/>
      <c r="BV208" s="1082"/>
      <c r="BW208" s="1552"/>
      <c r="BX208" s="1552"/>
    </row>
    <row r="209" spans="1:76" s="1236" customFormat="1" hidden="1" outlineLevel="1" x14ac:dyDescent="0.3">
      <c r="A209" s="1474"/>
      <c r="B209" s="1207"/>
      <c r="C209" s="1116"/>
      <c r="D209" s="1116"/>
      <c r="E209" s="1116"/>
      <c r="F209" s="1116"/>
      <c r="G209" s="1116"/>
      <c r="H209" s="1116"/>
      <c r="I209" s="1116"/>
      <c r="J209" s="1116"/>
      <c r="K209" s="1116"/>
      <c r="L209" s="1116"/>
      <c r="M209" s="1116"/>
      <c r="N209" s="1116"/>
      <c r="O209" s="1116"/>
      <c r="P209" s="1116"/>
      <c r="Q209" s="1116"/>
      <c r="R209" s="1116"/>
      <c r="S209" s="1116"/>
      <c r="T209" s="1116"/>
      <c r="U209" s="1116"/>
      <c r="V209" s="1116"/>
      <c r="W209" s="1116"/>
      <c r="X209" s="1116"/>
      <c r="Y209" s="1116"/>
      <c r="Z209" s="1116"/>
      <c r="AA209" s="1116"/>
      <c r="AB209" s="1116"/>
      <c r="AC209" s="1116"/>
      <c r="AD209" s="1116"/>
      <c r="AE209" s="1116"/>
      <c r="AF209" s="1116"/>
      <c r="AG209" s="1116"/>
      <c r="AH209" s="1116"/>
      <c r="AI209" s="1477"/>
      <c r="AJ209" s="1476"/>
      <c r="AK209" s="1116"/>
      <c r="AL209" s="1116"/>
      <c r="AM209" s="1116"/>
      <c r="AN209" s="1116"/>
      <c r="AO209" s="1207"/>
      <c r="AP209" s="1116"/>
      <c r="AQ209" s="1116"/>
      <c r="AR209" s="1116"/>
      <c r="AS209" s="1116"/>
      <c r="AT209" s="1116"/>
      <c r="AU209" s="1116"/>
      <c r="AV209" s="1116"/>
      <c r="AW209" s="1116"/>
      <c r="AX209" s="1116"/>
      <c r="AY209" s="1116"/>
      <c r="AZ209" s="1116"/>
      <c r="BA209" s="1116"/>
      <c r="BB209" s="1116"/>
      <c r="BC209" s="1116"/>
      <c r="BD209" s="1116"/>
      <c r="BE209" s="1116"/>
      <c r="BF209" s="1116"/>
      <c r="BG209" s="1116"/>
      <c r="BH209" s="1116"/>
      <c r="BI209" s="1116"/>
      <c r="BJ209" s="1116"/>
      <c r="BK209" s="1116"/>
      <c r="BL209" s="1116"/>
      <c r="BM209" s="1116"/>
      <c r="BN209" s="1116"/>
      <c r="BO209" s="1116"/>
      <c r="BP209" s="1116"/>
      <c r="BQ209" s="1116"/>
      <c r="BR209" s="1116"/>
      <c r="BS209" s="1477"/>
      <c r="BT209" s="1116"/>
      <c r="BU209" s="1550"/>
      <c r="BV209" s="1082"/>
      <c r="BW209" s="1552"/>
      <c r="BX209" s="1552"/>
    </row>
    <row r="210" spans="1:76" s="1236" customFormat="1" hidden="1" outlineLevel="1" x14ac:dyDescent="0.3">
      <c r="A210" s="1474"/>
      <c r="B210" s="1599"/>
      <c r="C210" s="1222"/>
      <c r="D210" s="1222"/>
      <c r="E210" s="1222"/>
      <c r="F210" s="1222"/>
      <c r="G210" s="1222"/>
      <c r="H210" s="1222"/>
      <c r="I210" s="1222"/>
      <c r="J210" s="1222"/>
      <c r="K210" s="1222"/>
      <c r="L210" s="1222"/>
      <c r="M210" s="1222"/>
      <c r="N210" s="1222"/>
      <c r="O210" s="1222"/>
      <c r="P210" s="1222"/>
      <c r="Q210" s="1222"/>
      <c r="R210" s="1222"/>
      <c r="S210" s="1222"/>
      <c r="T210" s="1222"/>
      <c r="U210" s="1222"/>
      <c r="V210" s="1222"/>
      <c r="W210" s="1222"/>
      <c r="X210" s="1222"/>
      <c r="Y210" s="1222"/>
      <c r="Z210" s="1222"/>
      <c r="AA210" s="1222"/>
      <c r="AB210" s="1222"/>
      <c r="AC210" s="1222"/>
      <c r="AD210" s="1222"/>
      <c r="AE210" s="1222"/>
      <c r="AF210" s="1222"/>
      <c r="AG210" s="1222"/>
      <c r="AH210" s="1222"/>
      <c r="AI210" s="1230"/>
      <c r="AJ210" s="1476"/>
      <c r="AK210" s="1116"/>
      <c r="AL210" s="1116"/>
      <c r="AM210" s="1116"/>
      <c r="AN210" s="1116"/>
      <c r="AO210" s="1599"/>
      <c r="AP210" s="1222"/>
      <c r="AQ210" s="1222"/>
      <c r="AR210" s="1222"/>
      <c r="AS210" s="1222"/>
      <c r="AT210" s="1222"/>
      <c r="AU210" s="1222"/>
      <c r="AV210" s="1222"/>
      <c r="AW210" s="1222"/>
      <c r="AX210" s="1222"/>
      <c r="AY210" s="1222"/>
      <c r="AZ210" s="1222"/>
      <c r="BA210" s="1222"/>
      <c r="BB210" s="1222"/>
      <c r="BC210" s="1222"/>
      <c r="BD210" s="1222"/>
      <c r="BE210" s="1222"/>
      <c r="BF210" s="1222"/>
      <c r="BG210" s="1222"/>
      <c r="BH210" s="1222"/>
      <c r="BI210" s="1222"/>
      <c r="BJ210" s="1222"/>
      <c r="BK210" s="1222"/>
      <c r="BL210" s="1222"/>
      <c r="BM210" s="1222"/>
      <c r="BN210" s="1222"/>
      <c r="BO210" s="1222"/>
      <c r="BP210" s="1222"/>
      <c r="BQ210" s="1222"/>
      <c r="BR210" s="1222"/>
      <c r="BS210" s="1230"/>
      <c r="BT210" s="1116"/>
      <c r="BU210" s="1550"/>
      <c r="BV210" s="1082"/>
      <c r="BW210" s="1552"/>
      <c r="BX210" s="1552"/>
    </row>
    <row r="211" spans="1:76" s="1236" customFormat="1" hidden="1" outlineLevel="1" x14ac:dyDescent="0.3">
      <c r="A211" s="1474"/>
      <c r="B211" s="1598" t="s">
        <v>1369</v>
      </c>
      <c r="C211" s="1116"/>
      <c r="D211" s="1116"/>
      <c r="E211" s="1116"/>
      <c r="F211" s="1116"/>
      <c r="G211" s="1116"/>
      <c r="H211" s="1116"/>
      <c r="I211" s="1116"/>
      <c r="J211" s="1116"/>
      <c r="K211" s="1116"/>
      <c r="L211" s="1116"/>
      <c r="M211" s="1116"/>
      <c r="N211" s="1116"/>
      <c r="O211" s="1116"/>
      <c r="P211" s="1116"/>
      <c r="Q211" s="1116"/>
      <c r="R211" s="1116"/>
      <c r="S211" s="1116"/>
      <c r="T211" s="1116"/>
      <c r="U211" s="1116"/>
      <c r="V211" s="1116"/>
      <c r="W211" s="1116"/>
      <c r="X211" s="1116"/>
      <c r="Y211" s="1116"/>
      <c r="Z211" s="1116"/>
      <c r="AA211" s="1116"/>
      <c r="AB211" s="1116"/>
      <c r="AC211" s="1116"/>
      <c r="AD211" s="1116"/>
      <c r="AE211" s="1116"/>
      <c r="AF211" s="1116"/>
      <c r="AG211" s="1116"/>
      <c r="AH211" s="1116"/>
      <c r="AI211" s="1477"/>
      <c r="AJ211" s="1476"/>
      <c r="AK211" s="1116"/>
      <c r="AL211" s="1116"/>
      <c r="AM211" s="1116"/>
      <c r="AN211" s="1116"/>
      <c r="AO211" s="1598" t="s">
        <v>1369</v>
      </c>
      <c r="AP211" s="1116"/>
      <c r="AQ211" s="1475"/>
      <c r="AR211" s="1116"/>
      <c r="AS211" s="1116"/>
      <c r="AT211" s="1116"/>
      <c r="AU211" s="1116"/>
      <c r="AV211" s="1116"/>
      <c r="AW211" s="1116"/>
      <c r="AX211" s="1116"/>
      <c r="AY211" s="1116"/>
      <c r="AZ211" s="1116"/>
      <c r="BA211" s="1116"/>
      <c r="BB211" s="1116"/>
      <c r="BC211" s="1116"/>
      <c r="BD211" s="1116"/>
      <c r="BE211" s="1116"/>
      <c r="BF211" s="1116"/>
      <c r="BG211" s="1116"/>
      <c r="BH211" s="1116"/>
      <c r="BI211" s="1116"/>
      <c r="BJ211" s="1116"/>
      <c r="BK211" s="1116"/>
      <c r="BL211" s="1116"/>
      <c r="BM211" s="1116"/>
      <c r="BN211" s="1116"/>
      <c r="BO211" s="1116"/>
      <c r="BP211" s="1116"/>
      <c r="BQ211" s="1116"/>
      <c r="BR211" s="1116"/>
      <c r="BS211" s="1477"/>
      <c r="BT211" s="1116"/>
      <c r="BU211" s="1550"/>
      <c r="BV211" s="1082"/>
      <c r="BW211" s="1552"/>
      <c r="BX211" s="1552"/>
    </row>
    <row r="212" spans="1:76" s="1236" customFormat="1" hidden="1" outlineLevel="1" x14ac:dyDescent="0.3">
      <c r="A212" s="1474"/>
      <c r="B212" s="1207" t="s">
        <v>1409</v>
      </c>
      <c r="C212" s="1116"/>
      <c r="D212" s="1116"/>
      <c r="E212" s="1116"/>
      <c r="F212" s="1116"/>
      <c r="G212" s="1229" t="s">
        <v>1390</v>
      </c>
      <c r="H212" s="1222"/>
      <c r="I212" s="1649" t="e">
        <f>SUMIF(G175:AI175,1,G15:AI15)/SUMIF(G175:AI175,1,G11:AI11)</f>
        <v>#DIV/0!</v>
      </c>
      <c r="J212" s="1116"/>
      <c r="K212" s="1229" t="s">
        <v>1391</v>
      </c>
      <c r="L212" s="1649" t="e">
        <f>SUMIF(G175:AI175,1,AQ15:BS15)/SUMIF(G175:AI175,1,AQ11:BS11)</f>
        <v>#DIV/0!</v>
      </c>
      <c r="M212" s="1116"/>
      <c r="N212" s="1116"/>
      <c r="O212" s="1116"/>
      <c r="P212" s="1116"/>
      <c r="Q212" s="1116"/>
      <c r="R212" s="1116"/>
      <c r="S212" s="1116"/>
      <c r="T212" s="1116"/>
      <c r="U212" s="1116"/>
      <c r="V212" s="1116"/>
      <c r="W212" s="1116"/>
      <c r="X212" s="1116"/>
      <c r="Y212" s="1116"/>
      <c r="Z212" s="1116"/>
      <c r="AA212" s="1116"/>
      <c r="AB212" s="1116"/>
      <c r="AC212" s="1116"/>
      <c r="AD212" s="1116"/>
      <c r="AE212" s="1116"/>
      <c r="AF212" s="1116"/>
      <c r="AG212" s="1116"/>
      <c r="AH212" s="1116"/>
      <c r="AI212" s="1477"/>
      <c r="AJ212" s="1476"/>
      <c r="AK212" s="1116"/>
      <c r="AL212" s="1116"/>
      <c r="AM212" s="1116"/>
      <c r="AN212" s="1116"/>
      <c r="AO212" s="1207" t="s">
        <v>1409</v>
      </c>
      <c r="AP212" s="1116"/>
      <c r="AQ212" s="1229" t="s">
        <v>1410</v>
      </c>
      <c r="AR212" s="1222"/>
      <c r="AS212" s="1650" t="e">
        <f>SUMIF(AQ175:BS175,1,G15:AI15)/SUMIF(AQ175:BS175,1,G11:AI11)</f>
        <v>#DIV/0!</v>
      </c>
      <c r="AT212" s="1618"/>
      <c r="AU212" s="1222" t="s">
        <v>1411</v>
      </c>
      <c r="AV212" s="1651" t="e">
        <f>SUMIF(AQ175:BS175,1,AQ15:BS15)/SUMIF(AQ175:BS175,1,AQ11:BS11)</f>
        <v>#DIV/0!</v>
      </c>
      <c r="AW212" s="1116"/>
      <c r="AX212" s="1116"/>
      <c r="AY212" s="1116"/>
      <c r="AZ212" s="1116"/>
      <c r="BA212" s="1116"/>
      <c r="BB212" s="1116"/>
      <c r="BC212" s="1116"/>
      <c r="BD212" s="1116"/>
      <c r="BE212" s="1116"/>
      <c r="BF212" s="1116"/>
      <c r="BG212" s="1116"/>
      <c r="BH212" s="1116"/>
      <c r="BI212" s="1116"/>
      <c r="BJ212" s="1116"/>
      <c r="BK212" s="1116"/>
      <c r="BL212" s="1116"/>
      <c r="BM212" s="1116"/>
      <c r="BN212" s="1116"/>
      <c r="BO212" s="1116"/>
      <c r="BP212" s="1116"/>
      <c r="BQ212" s="1116"/>
      <c r="BR212" s="1116"/>
      <c r="BS212" s="1477"/>
      <c r="BT212" s="1116"/>
      <c r="BU212" s="1550"/>
      <c r="BV212" s="1082"/>
      <c r="BW212" s="1552"/>
      <c r="BX212" s="1552"/>
    </row>
    <row r="213" spans="1:76" s="1236" customFormat="1" hidden="1" outlineLevel="1" x14ac:dyDescent="0.3">
      <c r="A213" s="1474"/>
      <c r="B213" s="1207" t="s">
        <v>1311</v>
      </c>
      <c r="C213" s="1116"/>
      <c r="D213" s="1116"/>
      <c r="E213" s="1116"/>
      <c r="F213" s="1116"/>
      <c r="G213" s="1600" t="e">
        <f t="shared" ref="G213:AI213" si="158">IF(G$175=1,G$11*(1-$L$212)*(1-$BU$24),0)</f>
        <v>#VALUE!</v>
      </c>
      <c r="H213" s="1601" t="e">
        <f t="shared" si="158"/>
        <v>#VALUE!</v>
      </c>
      <c r="I213" s="1601" t="e">
        <f t="shared" si="158"/>
        <v>#VALUE!</v>
      </c>
      <c r="J213" s="1601" t="e">
        <f t="shared" si="158"/>
        <v>#VALUE!</v>
      </c>
      <c r="K213" s="1601" t="e">
        <f t="shared" si="158"/>
        <v>#VALUE!</v>
      </c>
      <c r="L213" s="1601" t="e">
        <f t="shared" si="158"/>
        <v>#VALUE!</v>
      </c>
      <c r="M213" s="1601" t="e">
        <f t="shared" si="158"/>
        <v>#VALUE!</v>
      </c>
      <c r="N213" s="1601" t="e">
        <f t="shared" si="158"/>
        <v>#VALUE!</v>
      </c>
      <c r="O213" s="1601" t="e">
        <f t="shared" si="158"/>
        <v>#VALUE!</v>
      </c>
      <c r="P213" s="1601" t="e">
        <f t="shared" si="158"/>
        <v>#VALUE!</v>
      </c>
      <c r="Q213" s="1601" t="e">
        <f t="shared" si="158"/>
        <v>#VALUE!</v>
      </c>
      <c r="R213" s="1601" t="e">
        <f t="shared" si="158"/>
        <v>#VALUE!</v>
      </c>
      <c r="S213" s="1601" t="e">
        <f t="shared" si="158"/>
        <v>#VALUE!</v>
      </c>
      <c r="T213" s="1601" t="e">
        <f t="shared" si="158"/>
        <v>#VALUE!</v>
      </c>
      <c r="U213" s="1601" t="e">
        <f t="shared" si="158"/>
        <v>#VALUE!</v>
      </c>
      <c r="V213" s="1601" t="e">
        <f t="shared" si="158"/>
        <v>#VALUE!</v>
      </c>
      <c r="W213" s="1601" t="e">
        <f t="shared" si="158"/>
        <v>#VALUE!</v>
      </c>
      <c r="X213" s="1601" t="e">
        <f t="shared" si="158"/>
        <v>#VALUE!</v>
      </c>
      <c r="Y213" s="1601" t="e">
        <f t="shared" si="158"/>
        <v>#VALUE!</v>
      </c>
      <c r="Z213" s="1601" t="e">
        <f t="shared" si="158"/>
        <v>#VALUE!</v>
      </c>
      <c r="AA213" s="1601" t="e">
        <f t="shared" si="158"/>
        <v>#VALUE!</v>
      </c>
      <c r="AB213" s="1601" t="e">
        <f t="shared" si="158"/>
        <v>#VALUE!</v>
      </c>
      <c r="AC213" s="1601" t="e">
        <f t="shared" si="158"/>
        <v>#VALUE!</v>
      </c>
      <c r="AD213" s="1601" t="e">
        <f t="shared" si="158"/>
        <v>#VALUE!</v>
      </c>
      <c r="AE213" s="1601" t="e">
        <f t="shared" si="158"/>
        <v>#VALUE!</v>
      </c>
      <c r="AF213" s="1601" t="e">
        <f t="shared" si="158"/>
        <v>#VALUE!</v>
      </c>
      <c r="AG213" s="1601" t="e">
        <f t="shared" si="158"/>
        <v>#VALUE!</v>
      </c>
      <c r="AH213" s="1601" t="e">
        <f t="shared" si="158"/>
        <v>#VALUE!</v>
      </c>
      <c r="AI213" s="1602" t="e">
        <f t="shared" si="158"/>
        <v>#VALUE!</v>
      </c>
      <c r="AJ213" s="1476"/>
      <c r="AK213" s="1116"/>
      <c r="AL213" s="1116"/>
      <c r="AM213" s="1116"/>
      <c r="AN213" s="1116"/>
      <c r="AO213" s="1207" t="s">
        <v>1311</v>
      </c>
      <c r="AP213" s="1116"/>
      <c r="AQ213" s="1600" t="e">
        <f t="shared" ref="AQ213:BS213" si="159">IF(AQ$175=1,G$11*(1-$AV$212)*(1-$BU$24),0)</f>
        <v>#VALUE!</v>
      </c>
      <c r="AR213" s="1601" t="e">
        <f t="shared" si="159"/>
        <v>#VALUE!</v>
      </c>
      <c r="AS213" s="1601" t="e">
        <f t="shared" si="159"/>
        <v>#VALUE!</v>
      </c>
      <c r="AT213" s="1601" t="e">
        <f t="shared" si="159"/>
        <v>#VALUE!</v>
      </c>
      <c r="AU213" s="1601" t="e">
        <f t="shared" si="159"/>
        <v>#VALUE!</v>
      </c>
      <c r="AV213" s="1601" t="e">
        <f t="shared" si="159"/>
        <v>#VALUE!</v>
      </c>
      <c r="AW213" s="1601" t="e">
        <f t="shared" si="159"/>
        <v>#VALUE!</v>
      </c>
      <c r="AX213" s="1601" t="e">
        <f t="shared" si="159"/>
        <v>#VALUE!</v>
      </c>
      <c r="AY213" s="1601" t="e">
        <f t="shared" si="159"/>
        <v>#VALUE!</v>
      </c>
      <c r="AZ213" s="1601" t="e">
        <f t="shared" si="159"/>
        <v>#VALUE!</v>
      </c>
      <c r="BA213" s="1601" t="e">
        <f t="shared" si="159"/>
        <v>#VALUE!</v>
      </c>
      <c r="BB213" s="1601" t="e">
        <f t="shared" si="159"/>
        <v>#VALUE!</v>
      </c>
      <c r="BC213" s="1601" t="e">
        <f t="shared" si="159"/>
        <v>#VALUE!</v>
      </c>
      <c r="BD213" s="1601" t="e">
        <f t="shared" si="159"/>
        <v>#VALUE!</v>
      </c>
      <c r="BE213" s="1601" t="e">
        <f t="shared" si="159"/>
        <v>#VALUE!</v>
      </c>
      <c r="BF213" s="1601" t="e">
        <f t="shared" si="159"/>
        <v>#VALUE!</v>
      </c>
      <c r="BG213" s="1601" t="e">
        <f t="shared" si="159"/>
        <v>#VALUE!</v>
      </c>
      <c r="BH213" s="1601" t="e">
        <f t="shared" si="159"/>
        <v>#VALUE!</v>
      </c>
      <c r="BI213" s="1601" t="e">
        <f t="shared" si="159"/>
        <v>#VALUE!</v>
      </c>
      <c r="BJ213" s="1601" t="e">
        <f t="shared" si="159"/>
        <v>#VALUE!</v>
      </c>
      <c r="BK213" s="1601" t="e">
        <f t="shared" si="159"/>
        <v>#VALUE!</v>
      </c>
      <c r="BL213" s="1601" t="e">
        <f t="shared" si="159"/>
        <v>#VALUE!</v>
      </c>
      <c r="BM213" s="1601" t="e">
        <f t="shared" si="159"/>
        <v>#VALUE!</v>
      </c>
      <c r="BN213" s="1601" t="e">
        <f t="shared" si="159"/>
        <v>#VALUE!</v>
      </c>
      <c r="BO213" s="1601" t="e">
        <f t="shared" si="159"/>
        <v>#VALUE!</v>
      </c>
      <c r="BP213" s="1601" t="e">
        <f t="shared" si="159"/>
        <v>#VALUE!</v>
      </c>
      <c r="BQ213" s="1601" t="e">
        <f t="shared" si="159"/>
        <v>#VALUE!</v>
      </c>
      <c r="BR213" s="1601" t="e">
        <f t="shared" si="159"/>
        <v>#VALUE!</v>
      </c>
      <c r="BS213" s="1602" t="e">
        <f t="shared" si="159"/>
        <v>#VALUE!</v>
      </c>
      <c r="BT213" s="1116"/>
      <c r="BU213" s="1550"/>
      <c r="BV213" s="1082"/>
      <c r="BW213" s="1552"/>
      <c r="BX213" s="1552"/>
    </row>
    <row r="214" spans="1:76" s="1236" customFormat="1" hidden="1" outlineLevel="1" x14ac:dyDescent="0.3">
      <c r="A214" s="1474"/>
      <c r="B214" s="1606" t="s">
        <v>1312</v>
      </c>
      <c r="C214" s="1226"/>
      <c r="D214" s="1226"/>
      <c r="E214" s="1226"/>
      <c r="F214" s="1226"/>
      <c r="G214" s="1607" t="e">
        <f t="shared" ref="G214:AI214" si="160">IF(G$175=1,AQ$11*(1-$L$212)*(1-$BU$24),0)</f>
        <v>#VALUE!</v>
      </c>
      <c r="H214" s="1608" t="e">
        <f t="shared" si="160"/>
        <v>#VALUE!</v>
      </c>
      <c r="I214" s="1608" t="e">
        <f t="shared" si="160"/>
        <v>#VALUE!</v>
      </c>
      <c r="J214" s="1608" t="e">
        <f t="shared" si="160"/>
        <v>#VALUE!</v>
      </c>
      <c r="K214" s="1608" t="e">
        <f t="shared" si="160"/>
        <v>#VALUE!</v>
      </c>
      <c r="L214" s="1608" t="e">
        <f t="shared" si="160"/>
        <v>#VALUE!</v>
      </c>
      <c r="M214" s="1608" t="e">
        <f t="shared" si="160"/>
        <v>#VALUE!</v>
      </c>
      <c r="N214" s="1608" t="e">
        <f t="shared" si="160"/>
        <v>#VALUE!</v>
      </c>
      <c r="O214" s="1608" t="e">
        <f t="shared" si="160"/>
        <v>#VALUE!</v>
      </c>
      <c r="P214" s="1608" t="e">
        <f t="shared" si="160"/>
        <v>#VALUE!</v>
      </c>
      <c r="Q214" s="1608" t="e">
        <f t="shared" si="160"/>
        <v>#VALUE!</v>
      </c>
      <c r="R214" s="1608" t="e">
        <f t="shared" si="160"/>
        <v>#VALUE!</v>
      </c>
      <c r="S214" s="1608" t="e">
        <f t="shared" si="160"/>
        <v>#VALUE!</v>
      </c>
      <c r="T214" s="1608" t="e">
        <f t="shared" si="160"/>
        <v>#VALUE!</v>
      </c>
      <c r="U214" s="1608" t="e">
        <f t="shared" si="160"/>
        <v>#VALUE!</v>
      </c>
      <c r="V214" s="1608" t="e">
        <f t="shared" si="160"/>
        <v>#VALUE!</v>
      </c>
      <c r="W214" s="1608" t="e">
        <f t="shared" si="160"/>
        <v>#VALUE!</v>
      </c>
      <c r="X214" s="1608" t="e">
        <f t="shared" si="160"/>
        <v>#VALUE!</v>
      </c>
      <c r="Y214" s="1608" t="e">
        <f t="shared" si="160"/>
        <v>#VALUE!</v>
      </c>
      <c r="Z214" s="1608" t="e">
        <f t="shared" si="160"/>
        <v>#VALUE!</v>
      </c>
      <c r="AA214" s="1608" t="e">
        <f t="shared" si="160"/>
        <v>#VALUE!</v>
      </c>
      <c r="AB214" s="1608" t="e">
        <f t="shared" si="160"/>
        <v>#VALUE!</v>
      </c>
      <c r="AC214" s="1608" t="e">
        <f t="shared" si="160"/>
        <v>#VALUE!</v>
      </c>
      <c r="AD214" s="1608" t="e">
        <f t="shared" si="160"/>
        <v>#VALUE!</v>
      </c>
      <c r="AE214" s="1608" t="e">
        <f t="shared" si="160"/>
        <v>#VALUE!</v>
      </c>
      <c r="AF214" s="1608" t="e">
        <f t="shared" si="160"/>
        <v>#VALUE!</v>
      </c>
      <c r="AG214" s="1608" t="e">
        <f t="shared" si="160"/>
        <v>#VALUE!</v>
      </c>
      <c r="AH214" s="1608" t="e">
        <f t="shared" si="160"/>
        <v>#VALUE!</v>
      </c>
      <c r="AI214" s="1609" t="e">
        <f t="shared" si="160"/>
        <v>#VALUE!</v>
      </c>
      <c r="AJ214" s="1476"/>
      <c r="AK214" s="1116"/>
      <c r="AL214" s="1116"/>
      <c r="AM214" s="1116"/>
      <c r="AN214" s="1116"/>
      <c r="AO214" s="1606" t="s">
        <v>1312</v>
      </c>
      <c r="AP214" s="1116"/>
      <c r="AQ214" s="1607" t="e">
        <f t="shared" ref="AQ214:BS214" si="161">IF(AQ$175=1,AQ$11*(1-$AV$212)*(1-$BU$24),0)</f>
        <v>#VALUE!</v>
      </c>
      <c r="AR214" s="1608" t="e">
        <f t="shared" si="161"/>
        <v>#VALUE!</v>
      </c>
      <c r="AS214" s="1608" t="e">
        <f t="shared" si="161"/>
        <v>#VALUE!</v>
      </c>
      <c r="AT214" s="1608" t="e">
        <f t="shared" si="161"/>
        <v>#VALUE!</v>
      </c>
      <c r="AU214" s="1608" t="e">
        <f t="shared" si="161"/>
        <v>#VALUE!</v>
      </c>
      <c r="AV214" s="1608" t="e">
        <f t="shared" si="161"/>
        <v>#VALUE!</v>
      </c>
      <c r="AW214" s="1608" t="e">
        <f t="shared" si="161"/>
        <v>#VALUE!</v>
      </c>
      <c r="AX214" s="1608" t="e">
        <f t="shared" si="161"/>
        <v>#VALUE!</v>
      </c>
      <c r="AY214" s="1608" t="e">
        <f t="shared" si="161"/>
        <v>#VALUE!</v>
      </c>
      <c r="AZ214" s="1608" t="e">
        <f t="shared" si="161"/>
        <v>#VALUE!</v>
      </c>
      <c r="BA214" s="1608" t="e">
        <f t="shared" si="161"/>
        <v>#VALUE!</v>
      </c>
      <c r="BB214" s="1608" t="e">
        <f t="shared" si="161"/>
        <v>#VALUE!</v>
      </c>
      <c r="BC214" s="1608" t="e">
        <f t="shared" si="161"/>
        <v>#VALUE!</v>
      </c>
      <c r="BD214" s="1608" t="e">
        <f t="shared" si="161"/>
        <v>#VALUE!</v>
      </c>
      <c r="BE214" s="1608" t="e">
        <f t="shared" si="161"/>
        <v>#VALUE!</v>
      </c>
      <c r="BF214" s="1608" t="e">
        <f t="shared" si="161"/>
        <v>#VALUE!</v>
      </c>
      <c r="BG214" s="1608" t="e">
        <f t="shared" si="161"/>
        <v>#VALUE!</v>
      </c>
      <c r="BH214" s="1608" t="e">
        <f t="shared" si="161"/>
        <v>#VALUE!</v>
      </c>
      <c r="BI214" s="1608" t="e">
        <f t="shared" si="161"/>
        <v>#VALUE!</v>
      </c>
      <c r="BJ214" s="1608" t="e">
        <f t="shared" si="161"/>
        <v>#VALUE!</v>
      </c>
      <c r="BK214" s="1608" t="e">
        <f t="shared" si="161"/>
        <v>#VALUE!</v>
      </c>
      <c r="BL214" s="1608" t="e">
        <f t="shared" si="161"/>
        <v>#VALUE!</v>
      </c>
      <c r="BM214" s="1608" t="e">
        <f t="shared" si="161"/>
        <v>#VALUE!</v>
      </c>
      <c r="BN214" s="1608" t="e">
        <f t="shared" si="161"/>
        <v>#VALUE!</v>
      </c>
      <c r="BO214" s="1608" t="e">
        <f t="shared" si="161"/>
        <v>#VALUE!</v>
      </c>
      <c r="BP214" s="1608" t="e">
        <f t="shared" si="161"/>
        <v>#VALUE!</v>
      </c>
      <c r="BQ214" s="1608" t="e">
        <f t="shared" si="161"/>
        <v>#VALUE!</v>
      </c>
      <c r="BR214" s="1608" t="e">
        <f t="shared" si="161"/>
        <v>#VALUE!</v>
      </c>
      <c r="BS214" s="1609" t="e">
        <f t="shared" si="161"/>
        <v>#VALUE!</v>
      </c>
      <c r="BT214" s="1116"/>
      <c r="BU214" s="1550"/>
      <c r="BV214" s="1082"/>
      <c r="BW214" s="1552"/>
      <c r="BX214" s="1552"/>
    </row>
    <row r="215" spans="1:76" s="1236" customFormat="1" hidden="1" outlineLevel="1" x14ac:dyDescent="0.3">
      <c r="A215" s="1474"/>
      <c r="B215" s="1207"/>
      <c r="C215" s="1116"/>
      <c r="D215" s="1116"/>
      <c r="E215" s="1116"/>
      <c r="F215" s="1116"/>
      <c r="G215" s="1604"/>
      <c r="H215" s="1604"/>
      <c r="I215" s="1604"/>
      <c r="J215" s="1604"/>
      <c r="K215" s="1604"/>
      <c r="L215" s="1604"/>
      <c r="M215" s="1604"/>
      <c r="N215" s="1604"/>
      <c r="O215" s="1604"/>
      <c r="P215" s="1604"/>
      <c r="Q215" s="1604"/>
      <c r="R215" s="1604"/>
      <c r="S215" s="1604"/>
      <c r="T215" s="1604"/>
      <c r="U215" s="1604"/>
      <c r="V215" s="1604"/>
      <c r="W215" s="1604"/>
      <c r="X215" s="1604"/>
      <c r="Y215" s="1604"/>
      <c r="Z215" s="1604"/>
      <c r="AA215" s="1604"/>
      <c r="AB215" s="1604"/>
      <c r="AC215" s="1604"/>
      <c r="AD215" s="1604"/>
      <c r="AE215" s="1604"/>
      <c r="AF215" s="1604"/>
      <c r="AG215" s="1604"/>
      <c r="AH215" s="1604"/>
      <c r="AI215" s="1605"/>
      <c r="AJ215" s="1476"/>
      <c r="AK215" s="1116"/>
      <c r="AL215" s="1116"/>
      <c r="AM215" s="1116"/>
      <c r="AN215" s="1116"/>
      <c r="AO215" s="1207"/>
      <c r="AP215" s="1116"/>
      <c r="AQ215" s="1604"/>
      <c r="AR215" s="1604"/>
      <c r="AS215" s="1604"/>
      <c r="AT215" s="1604"/>
      <c r="AU215" s="1604"/>
      <c r="AV215" s="1604"/>
      <c r="AW215" s="1604"/>
      <c r="AX215" s="1604"/>
      <c r="AY215" s="1604"/>
      <c r="AZ215" s="1604"/>
      <c r="BA215" s="1604"/>
      <c r="BB215" s="1604"/>
      <c r="BC215" s="1604"/>
      <c r="BD215" s="1604"/>
      <c r="BE215" s="1604"/>
      <c r="BF215" s="1604"/>
      <c r="BG215" s="1604"/>
      <c r="BH215" s="1604"/>
      <c r="BI215" s="1604"/>
      <c r="BJ215" s="1604"/>
      <c r="BK215" s="1604"/>
      <c r="BL215" s="1604"/>
      <c r="BM215" s="1604"/>
      <c r="BN215" s="1604"/>
      <c r="BO215" s="1604"/>
      <c r="BP215" s="1604"/>
      <c r="BQ215" s="1604"/>
      <c r="BR215" s="1604"/>
      <c r="BS215" s="1605"/>
      <c r="BT215" s="1116"/>
      <c r="BU215" s="1550"/>
      <c r="BV215" s="1082"/>
      <c r="BW215" s="1552"/>
      <c r="BX215" s="1552"/>
    </row>
    <row r="216" spans="1:76" s="1236" customFormat="1" hidden="1" outlineLevel="1" x14ac:dyDescent="0.3">
      <c r="A216" s="1474"/>
      <c r="B216" s="1598" t="s">
        <v>1370</v>
      </c>
      <c r="C216" s="1116"/>
      <c r="D216" s="1116"/>
      <c r="E216" s="1116"/>
      <c r="F216" s="1116"/>
      <c r="G216" s="1604"/>
      <c r="H216" s="1604"/>
      <c r="I216" s="1604"/>
      <c r="J216" s="1604"/>
      <c r="K216" s="1604"/>
      <c r="L216" s="1604"/>
      <c r="M216" s="1604"/>
      <c r="N216" s="1604"/>
      <c r="O216" s="1604"/>
      <c r="P216" s="1604"/>
      <c r="Q216" s="1604"/>
      <c r="R216" s="1604"/>
      <c r="S216" s="1604"/>
      <c r="T216" s="1604"/>
      <c r="U216" s="1604"/>
      <c r="V216" s="1604"/>
      <c r="W216" s="1604"/>
      <c r="X216" s="1604"/>
      <c r="Y216" s="1604"/>
      <c r="Z216" s="1604"/>
      <c r="AA216" s="1604"/>
      <c r="AB216" s="1604"/>
      <c r="AC216" s="1604"/>
      <c r="AD216" s="1604"/>
      <c r="AE216" s="1604"/>
      <c r="AF216" s="1604"/>
      <c r="AG216" s="1604"/>
      <c r="AH216" s="1604"/>
      <c r="AI216" s="1605"/>
      <c r="AJ216" s="1476"/>
      <c r="AK216" s="1116"/>
      <c r="AL216" s="1116"/>
      <c r="AM216" s="1116"/>
      <c r="AN216" s="1116"/>
      <c r="AO216" s="1598" t="s">
        <v>1370</v>
      </c>
      <c r="AP216" s="1116"/>
      <c r="AQ216" s="1604"/>
      <c r="AR216" s="1604"/>
      <c r="AS216" s="1604"/>
      <c r="AT216" s="1604"/>
      <c r="AU216" s="1604"/>
      <c r="AV216" s="1604"/>
      <c r="AW216" s="1604"/>
      <c r="AX216" s="1604"/>
      <c r="AY216" s="1604"/>
      <c r="AZ216" s="1604"/>
      <c r="BA216" s="1604"/>
      <c r="BB216" s="1604"/>
      <c r="BC216" s="1604"/>
      <c r="BD216" s="1604"/>
      <c r="BE216" s="1604"/>
      <c r="BF216" s="1604"/>
      <c r="BG216" s="1604"/>
      <c r="BH216" s="1604"/>
      <c r="BI216" s="1604"/>
      <c r="BJ216" s="1604"/>
      <c r="BK216" s="1604"/>
      <c r="BL216" s="1604"/>
      <c r="BM216" s="1604"/>
      <c r="BN216" s="1604"/>
      <c r="BO216" s="1604"/>
      <c r="BP216" s="1604"/>
      <c r="BQ216" s="1604"/>
      <c r="BR216" s="1604"/>
      <c r="BS216" s="1605"/>
      <c r="BT216" s="1116"/>
      <c r="BU216" s="1550"/>
      <c r="BV216" s="1082"/>
      <c r="BW216" s="1552"/>
      <c r="BX216" s="1552"/>
    </row>
    <row r="217" spans="1:76" s="1236" customFormat="1" hidden="1" outlineLevel="1" x14ac:dyDescent="0.3">
      <c r="A217" s="1474"/>
      <c r="B217" s="1207" t="s">
        <v>1311</v>
      </c>
      <c r="C217" s="1116"/>
      <c r="D217" s="1116"/>
      <c r="E217" s="1116"/>
      <c r="F217" s="1116"/>
      <c r="G217" s="1600" t="e">
        <f t="shared" ref="G217:AI217" si="162">-IF(G$175=1,G$11*$I$212*(1-$BU$24),0)</f>
        <v>#VALUE!</v>
      </c>
      <c r="H217" s="1601" t="e">
        <f t="shared" si="162"/>
        <v>#VALUE!</v>
      </c>
      <c r="I217" s="1601" t="e">
        <f t="shared" si="162"/>
        <v>#VALUE!</v>
      </c>
      <c r="J217" s="1601" t="e">
        <f t="shared" si="162"/>
        <v>#VALUE!</v>
      </c>
      <c r="K217" s="1601" t="e">
        <f t="shared" si="162"/>
        <v>#VALUE!</v>
      </c>
      <c r="L217" s="1601" t="e">
        <f t="shared" si="162"/>
        <v>#VALUE!</v>
      </c>
      <c r="M217" s="1601" t="e">
        <f t="shared" si="162"/>
        <v>#VALUE!</v>
      </c>
      <c r="N217" s="1601" t="e">
        <f t="shared" si="162"/>
        <v>#VALUE!</v>
      </c>
      <c r="O217" s="1601" t="e">
        <f t="shared" si="162"/>
        <v>#VALUE!</v>
      </c>
      <c r="P217" s="1601" t="e">
        <f t="shared" si="162"/>
        <v>#VALUE!</v>
      </c>
      <c r="Q217" s="1601" t="e">
        <f t="shared" si="162"/>
        <v>#VALUE!</v>
      </c>
      <c r="R217" s="1601" t="e">
        <f t="shared" si="162"/>
        <v>#VALUE!</v>
      </c>
      <c r="S217" s="1601" t="e">
        <f t="shared" si="162"/>
        <v>#VALUE!</v>
      </c>
      <c r="T217" s="1601" t="e">
        <f t="shared" si="162"/>
        <v>#VALUE!</v>
      </c>
      <c r="U217" s="1601" t="e">
        <f t="shared" si="162"/>
        <v>#VALUE!</v>
      </c>
      <c r="V217" s="1601" t="e">
        <f t="shared" si="162"/>
        <v>#VALUE!</v>
      </c>
      <c r="W217" s="1601" t="e">
        <f t="shared" si="162"/>
        <v>#VALUE!</v>
      </c>
      <c r="X217" s="1601" t="e">
        <f t="shared" si="162"/>
        <v>#VALUE!</v>
      </c>
      <c r="Y217" s="1601" t="e">
        <f t="shared" si="162"/>
        <v>#VALUE!</v>
      </c>
      <c r="Z217" s="1601" t="e">
        <f t="shared" si="162"/>
        <v>#VALUE!</v>
      </c>
      <c r="AA217" s="1601" t="e">
        <f t="shared" si="162"/>
        <v>#VALUE!</v>
      </c>
      <c r="AB217" s="1601" t="e">
        <f t="shared" si="162"/>
        <v>#VALUE!</v>
      </c>
      <c r="AC217" s="1601" t="e">
        <f t="shared" si="162"/>
        <v>#VALUE!</v>
      </c>
      <c r="AD217" s="1601" t="e">
        <f t="shared" si="162"/>
        <v>#VALUE!</v>
      </c>
      <c r="AE217" s="1601" t="e">
        <f t="shared" si="162"/>
        <v>#VALUE!</v>
      </c>
      <c r="AF217" s="1601" t="e">
        <f t="shared" si="162"/>
        <v>#VALUE!</v>
      </c>
      <c r="AG217" s="1601" t="e">
        <f t="shared" si="162"/>
        <v>#VALUE!</v>
      </c>
      <c r="AH217" s="1601" t="e">
        <f t="shared" si="162"/>
        <v>#VALUE!</v>
      </c>
      <c r="AI217" s="1602" t="e">
        <f t="shared" si="162"/>
        <v>#VALUE!</v>
      </c>
      <c r="AJ217" s="1476"/>
      <c r="AK217" s="1116"/>
      <c r="AL217" s="1116"/>
      <c r="AM217" s="1116"/>
      <c r="AN217" s="1116"/>
      <c r="AO217" s="1207" t="s">
        <v>1311</v>
      </c>
      <c r="AP217" s="1116"/>
      <c r="AQ217" s="1600" t="e">
        <f t="shared" ref="AQ217:BS217" si="163">-IF(AQ$175=1,G$11*$AS$212*(1-$BU$24),0)</f>
        <v>#VALUE!</v>
      </c>
      <c r="AR217" s="1601" t="e">
        <f t="shared" si="163"/>
        <v>#VALUE!</v>
      </c>
      <c r="AS217" s="1601" t="e">
        <f t="shared" si="163"/>
        <v>#VALUE!</v>
      </c>
      <c r="AT217" s="1601" t="e">
        <f t="shared" si="163"/>
        <v>#VALUE!</v>
      </c>
      <c r="AU217" s="1601" t="e">
        <f t="shared" si="163"/>
        <v>#VALUE!</v>
      </c>
      <c r="AV217" s="1601" t="e">
        <f t="shared" si="163"/>
        <v>#VALUE!</v>
      </c>
      <c r="AW217" s="1601" t="e">
        <f t="shared" si="163"/>
        <v>#VALUE!</v>
      </c>
      <c r="AX217" s="1601" t="e">
        <f t="shared" si="163"/>
        <v>#VALUE!</v>
      </c>
      <c r="AY217" s="1601" t="e">
        <f t="shared" si="163"/>
        <v>#VALUE!</v>
      </c>
      <c r="AZ217" s="1601" t="e">
        <f t="shared" si="163"/>
        <v>#VALUE!</v>
      </c>
      <c r="BA217" s="1601" t="e">
        <f t="shared" si="163"/>
        <v>#VALUE!</v>
      </c>
      <c r="BB217" s="1601" t="e">
        <f t="shared" si="163"/>
        <v>#VALUE!</v>
      </c>
      <c r="BC217" s="1601" t="e">
        <f t="shared" si="163"/>
        <v>#VALUE!</v>
      </c>
      <c r="BD217" s="1601" t="e">
        <f t="shared" si="163"/>
        <v>#VALUE!</v>
      </c>
      <c r="BE217" s="1601" t="e">
        <f t="shared" si="163"/>
        <v>#VALUE!</v>
      </c>
      <c r="BF217" s="1601" t="e">
        <f t="shared" si="163"/>
        <v>#VALUE!</v>
      </c>
      <c r="BG217" s="1601" t="e">
        <f t="shared" si="163"/>
        <v>#VALUE!</v>
      </c>
      <c r="BH217" s="1601" t="e">
        <f t="shared" si="163"/>
        <v>#VALUE!</v>
      </c>
      <c r="BI217" s="1601" t="e">
        <f t="shared" si="163"/>
        <v>#VALUE!</v>
      </c>
      <c r="BJ217" s="1601" t="e">
        <f t="shared" si="163"/>
        <v>#VALUE!</v>
      </c>
      <c r="BK217" s="1601" t="e">
        <f t="shared" si="163"/>
        <v>#VALUE!</v>
      </c>
      <c r="BL217" s="1601" t="e">
        <f t="shared" si="163"/>
        <v>#VALUE!</v>
      </c>
      <c r="BM217" s="1601" t="e">
        <f t="shared" si="163"/>
        <v>#VALUE!</v>
      </c>
      <c r="BN217" s="1601" t="e">
        <f t="shared" si="163"/>
        <v>#VALUE!</v>
      </c>
      <c r="BO217" s="1601" t="e">
        <f t="shared" si="163"/>
        <v>#VALUE!</v>
      </c>
      <c r="BP217" s="1601" t="e">
        <f t="shared" si="163"/>
        <v>#VALUE!</v>
      </c>
      <c r="BQ217" s="1601" t="e">
        <f t="shared" si="163"/>
        <v>#VALUE!</v>
      </c>
      <c r="BR217" s="1601" t="e">
        <f t="shared" si="163"/>
        <v>#VALUE!</v>
      </c>
      <c r="BS217" s="1602" t="e">
        <f t="shared" si="163"/>
        <v>#VALUE!</v>
      </c>
      <c r="BT217" s="1116"/>
      <c r="BU217" s="1550"/>
      <c r="BV217" s="1082"/>
      <c r="BW217" s="1552"/>
      <c r="BX217" s="1552"/>
    </row>
    <row r="218" spans="1:76" s="1236" customFormat="1" hidden="1" outlineLevel="1" x14ac:dyDescent="0.3">
      <c r="A218" s="1474"/>
      <c r="B218" s="1150" t="s">
        <v>1312</v>
      </c>
      <c r="C218" s="1232"/>
      <c r="D218" s="1232"/>
      <c r="E218" s="1232"/>
      <c r="F218" s="1232"/>
      <c r="G218" s="1652" t="e">
        <f t="shared" ref="G218:AI218" si="164">-IF(G$175=1,G$11*$L$212*(1-$BU$24),0)</f>
        <v>#VALUE!</v>
      </c>
      <c r="H218" s="1653" t="e">
        <f t="shared" si="164"/>
        <v>#VALUE!</v>
      </c>
      <c r="I218" s="1653" t="e">
        <f t="shared" si="164"/>
        <v>#VALUE!</v>
      </c>
      <c r="J218" s="1653" t="e">
        <f t="shared" si="164"/>
        <v>#VALUE!</v>
      </c>
      <c r="K218" s="1653" t="e">
        <f t="shared" si="164"/>
        <v>#VALUE!</v>
      </c>
      <c r="L218" s="1653" t="e">
        <f t="shared" si="164"/>
        <v>#VALUE!</v>
      </c>
      <c r="M218" s="1653" t="e">
        <f t="shared" si="164"/>
        <v>#VALUE!</v>
      </c>
      <c r="N218" s="1653" t="e">
        <f t="shared" si="164"/>
        <v>#VALUE!</v>
      </c>
      <c r="O218" s="1653" t="e">
        <f t="shared" si="164"/>
        <v>#VALUE!</v>
      </c>
      <c r="P218" s="1653" t="e">
        <f t="shared" si="164"/>
        <v>#VALUE!</v>
      </c>
      <c r="Q218" s="1653" t="e">
        <f t="shared" si="164"/>
        <v>#VALUE!</v>
      </c>
      <c r="R218" s="1653" t="e">
        <f t="shared" si="164"/>
        <v>#VALUE!</v>
      </c>
      <c r="S218" s="1653" t="e">
        <f t="shared" si="164"/>
        <v>#VALUE!</v>
      </c>
      <c r="T218" s="1653" t="e">
        <f t="shared" si="164"/>
        <v>#VALUE!</v>
      </c>
      <c r="U218" s="1653" t="e">
        <f t="shared" si="164"/>
        <v>#VALUE!</v>
      </c>
      <c r="V218" s="1653" t="e">
        <f t="shared" si="164"/>
        <v>#VALUE!</v>
      </c>
      <c r="W218" s="1653" t="e">
        <f t="shared" si="164"/>
        <v>#VALUE!</v>
      </c>
      <c r="X218" s="1653" t="e">
        <f t="shared" si="164"/>
        <v>#VALUE!</v>
      </c>
      <c r="Y218" s="1653" t="e">
        <f t="shared" si="164"/>
        <v>#VALUE!</v>
      </c>
      <c r="Z218" s="1653" t="e">
        <f t="shared" si="164"/>
        <v>#VALUE!</v>
      </c>
      <c r="AA218" s="1653" t="e">
        <f t="shared" si="164"/>
        <v>#VALUE!</v>
      </c>
      <c r="AB218" s="1653" t="e">
        <f t="shared" si="164"/>
        <v>#VALUE!</v>
      </c>
      <c r="AC218" s="1653" t="e">
        <f t="shared" si="164"/>
        <v>#VALUE!</v>
      </c>
      <c r="AD218" s="1653" t="e">
        <f t="shared" si="164"/>
        <v>#VALUE!</v>
      </c>
      <c r="AE218" s="1653" t="e">
        <f t="shared" si="164"/>
        <v>#VALUE!</v>
      </c>
      <c r="AF218" s="1653" t="e">
        <f t="shared" si="164"/>
        <v>#VALUE!</v>
      </c>
      <c r="AG218" s="1653" t="e">
        <f t="shared" si="164"/>
        <v>#VALUE!</v>
      </c>
      <c r="AH218" s="1653" t="e">
        <f t="shared" si="164"/>
        <v>#VALUE!</v>
      </c>
      <c r="AI218" s="1654" t="e">
        <f t="shared" si="164"/>
        <v>#VALUE!</v>
      </c>
      <c r="AJ218" s="1476"/>
      <c r="AK218" s="1116"/>
      <c r="AL218" s="1116"/>
      <c r="AM218" s="1116"/>
      <c r="AN218" s="1116"/>
      <c r="AO218" s="1150" t="s">
        <v>1312</v>
      </c>
      <c r="AP218" s="1232"/>
      <c r="AQ218" s="1652" t="e">
        <f t="shared" ref="AQ218:BS218" si="165">-IF(AQ$175=1,G$11*$AV$212*(1-$BU$24),0)</f>
        <v>#VALUE!</v>
      </c>
      <c r="AR218" s="1653" t="e">
        <f t="shared" si="165"/>
        <v>#VALUE!</v>
      </c>
      <c r="AS218" s="1653" t="e">
        <f t="shared" si="165"/>
        <v>#VALUE!</v>
      </c>
      <c r="AT218" s="1653" t="e">
        <f t="shared" si="165"/>
        <v>#VALUE!</v>
      </c>
      <c r="AU218" s="1653" t="e">
        <f t="shared" si="165"/>
        <v>#VALUE!</v>
      </c>
      <c r="AV218" s="1653" t="e">
        <f t="shared" si="165"/>
        <v>#VALUE!</v>
      </c>
      <c r="AW218" s="1653" t="e">
        <f t="shared" si="165"/>
        <v>#VALUE!</v>
      </c>
      <c r="AX218" s="1653" t="e">
        <f t="shared" si="165"/>
        <v>#VALUE!</v>
      </c>
      <c r="AY218" s="1653" t="e">
        <f t="shared" si="165"/>
        <v>#VALUE!</v>
      </c>
      <c r="AZ218" s="1653" t="e">
        <f t="shared" si="165"/>
        <v>#VALUE!</v>
      </c>
      <c r="BA218" s="1653" t="e">
        <f t="shared" si="165"/>
        <v>#VALUE!</v>
      </c>
      <c r="BB218" s="1653" t="e">
        <f t="shared" si="165"/>
        <v>#VALUE!</v>
      </c>
      <c r="BC218" s="1653" t="e">
        <f t="shared" si="165"/>
        <v>#VALUE!</v>
      </c>
      <c r="BD218" s="1653" t="e">
        <f t="shared" si="165"/>
        <v>#VALUE!</v>
      </c>
      <c r="BE218" s="1653" t="e">
        <f t="shared" si="165"/>
        <v>#VALUE!</v>
      </c>
      <c r="BF218" s="1653" t="e">
        <f t="shared" si="165"/>
        <v>#VALUE!</v>
      </c>
      <c r="BG218" s="1653" t="e">
        <f t="shared" si="165"/>
        <v>#VALUE!</v>
      </c>
      <c r="BH218" s="1653" t="e">
        <f t="shared" si="165"/>
        <v>#VALUE!</v>
      </c>
      <c r="BI218" s="1653" t="e">
        <f t="shared" si="165"/>
        <v>#VALUE!</v>
      </c>
      <c r="BJ218" s="1653" t="e">
        <f t="shared" si="165"/>
        <v>#VALUE!</v>
      </c>
      <c r="BK218" s="1653" t="e">
        <f t="shared" si="165"/>
        <v>#VALUE!</v>
      </c>
      <c r="BL218" s="1653" t="e">
        <f t="shared" si="165"/>
        <v>#VALUE!</v>
      </c>
      <c r="BM218" s="1653" t="e">
        <f t="shared" si="165"/>
        <v>#VALUE!</v>
      </c>
      <c r="BN218" s="1653" t="e">
        <f t="shared" si="165"/>
        <v>#VALUE!</v>
      </c>
      <c r="BO218" s="1653" t="e">
        <f t="shared" si="165"/>
        <v>#VALUE!</v>
      </c>
      <c r="BP218" s="1653" t="e">
        <f t="shared" si="165"/>
        <v>#VALUE!</v>
      </c>
      <c r="BQ218" s="1653" t="e">
        <f t="shared" si="165"/>
        <v>#VALUE!</v>
      </c>
      <c r="BR218" s="1653" t="e">
        <f t="shared" si="165"/>
        <v>#VALUE!</v>
      </c>
      <c r="BS218" s="1654" t="e">
        <f t="shared" si="165"/>
        <v>#VALUE!</v>
      </c>
      <c r="BT218" s="1116"/>
      <c r="BU218" s="1550"/>
      <c r="BV218" s="1082"/>
      <c r="BW218" s="1552"/>
      <c r="BX218" s="1552"/>
    </row>
    <row r="219" spans="1:76" s="1236" customFormat="1" hidden="1" outlineLevel="1" x14ac:dyDescent="0.3">
      <c r="A219" s="1527"/>
      <c r="B219" s="1142"/>
      <c r="C219" s="1142"/>
      <c r="D219" s="1142"/>
      <c r="E219" s="1142"/>
      <c r="F219" s="1142"/>
      <c r="G219" s="1142"/>
      <c r="H219" s="1142"/>
      <c r="I219" s="1142"/>
      <c r="J219" s="1142"/>
      <c r="K219" s="1142"/>
      <c r="L219" s="1142"/>
      <c r="M219" s="1142"/>
      <c r="N219" s="1142"/>
      <c r="O219" s="1142"/>
      <c r="P219" s="1142"/>
      <c r="Q219" s="1142"/>
      <c r="R219" s="1142"/>
      <c r="S219" s="1142"/>
      <c r="T219" s="1142"/>
      <c r="U219" s="1142"/>
      <c r="V219" s="1142"/>
      <c r="W219" s="1142"/>
      <c r="X219" s="1142"/>
      <c r="Y219" s="1142"/>
      <c r="Z219" s="1142"/>
      <c r="AA219" s="1142"/>
      <c r="AB219" s="1142"/>
      <c r="AC219" s="1142"/>
      <c r="AD219" s="1142"/>
      <c r="AE219" s="1142"/>
      <c r="AF219" s="1142"/>
      <c r="AG219" s="1142"/>
      <c r="AH219" s="1142"/>
      <c r="AI219" s="1142"/>
      <c r="AJ219" s="1564"/>
      <c r="AK219" s="1142"/>
      <c r="AL219" s="1142"/>
      <c r="AM219" s="1142"/>
      <c r="AN219" s="1142"/>
      <c r="AO219" s="1207"/>
      <c r="AP219" s="1116"/>
      <c r="AQ219" s="1116"/>
      <c r="AR219" s="1116"/>
      <c r="AS219" s="1116"/>
      <c r="AT219" s="1116"/>
      <c r="AU219" s="1116"/>
      <c r="AV219" s="1116"/>
      <c r="AW219" s="1116"/>
      <c r="AX219" s="1116"/>
      <c r="AY219" s="1116"/>
      <c r="AZ219" s="1116"/>
      <c r="BA219" s="1116"/>
      <c r="BB219" s="1116"/>
      <c r="BC219" s="1116"/>
      <c r="BD219" s="1116"/>
      <c r="BE219" s="1116"/>
      <c r="BF219" s="1116"/>
      <c r="BG219" s="1116"/>
      <c r="BH219" s="1116"/>
      <c r="BI219" s="1116"/>
      <c r="BJ219" s="1116"/>
      <c r="BK219" s="1116"/>
      <c r="BL219" s="1116"/>
      <c r="BM219" s="1116"/>
      <c r="BN219" s="1116"/>
      <c r="BO219" s="1116"/>
      <c r="BP219" s="1116"/>
      <c r="BQ219" s="1116"/>
      <c r="BR219" s="1116"/>
      <c r="BS219" s="1116"/>
      <c r="BT219" s="1142"/>
      <c r="BU219" s="1478"/>
      <c r="BV219" s="1082"/>
      <c r="BW219" s="1552"/>
      <c r="BX219" s="1552"/>
    </row>
    <row r="220" spans="1:76" s="1236" customFormat="1" ht="15" customHeight="1" collapsed="1" x14ac:dyDescent="0.3">
      <c r="A220" s="1527"/>
      <c r="B220" s="1142"/>
      <c r="C220" s="1142"/>
      <c r="D220" s="1142"/>
      <c r="E220" s="1142"/>
      <c r="F220" s="1142"/>
      <c r="G220" s="1142"/>
      <c r="H220" s="1142"/>
      <c r="I220" s="1142"/>
      <c r="J220" s="1142"/>
      <c r="K220" s="1142"/>
      <c r="L220" s="1142"/>
      <c r="M220" s="1142"/>
      <c r="N220" s="1142"/>
      <c r="O220" s="1142"/>
      <c r="P220" s="1142"/>
      <c r="Q220" s="1142"/>
      <c r="R220" s="1142"/>
      <c r="S220" s="1142"/>
      <c r="T220" s="1142"/>
      <c r="U220" s="1142"/>
      <c r="V220" s="1142"/>
      <c r="W220" s="1142"/>
      <c r="X220" s="1142"/>
      <c r="Y220" s="1142"/>
      <c r="Z220" s="1142"/>
      <c r="AA220" s="1142"/>
      <c r="AB220" s="1142"/>
      <c r="AC220" s="1142"/>
      <c r="AD220" s="1142"/>
      <c r="AE220" s="1142"/>
      <c r="AF220" s="1142"/>
      <c r="AG220" s="1142"/>
      <c r="AH220" s="1142"/>
      <c r="AI220" s="1142"/>
      <c r="AJ220" s="1564"/>
      <c r="AK220" s="1142"/>
      <c r="AL220" s="1142"/>
      <c r="AM220" s="1142"/>
      <c r="AN220" s="1142"/>
      <c r="AO220" s="1149"/>
      <c r="AP220" s="1142"/>
      <c r="AQ220" s="1142"/>
      <c r="AR220" s="1142"/>
      <c r="AS220" s="1142"/>
      <c r="AT220" s="1142"/>
      <c r="AU220" s="1142"/>
      <c r="AV220" s="1142"/>
      <c r="AW220" s="1142"/>
      <c r="AX220" s="1142"/>
      <c r="AY220" s="1142"/>
      <c r="AZ220" s="1142"/>
      <c r="BA220" s="1142"/>
      <c r="BB220" s="1142"/>
      <c r="BC220" s="1142"/>
      <c r="BD220" s="1142"/>
      <c r="BE220" s="1142"/>
      <c r="BF220" s="1142"/>
      <c r="BG220" s="1142"/>
      <c r="BH220" s="1142"/>
      <c r="BI220" s="1142"/>
      <c r="BJ220" s="1142"/>
      <c r="BK220" s="1142"/>
      <c r="BL220" s="1142"/>
      <c r="BM220" s="1142"/>
      <c r="BN220" s="1142"/>
      <c r="BO220" s="1142"/>
      <c r="BP220" s="1142"/>
      <c r="BQ220" s="1142"/>
      <c r="BR220" s="1142"/>
      <c r="BS220" s="1142"/>
      <c r="BT220" s="1142"/>
      <c r="BU220" s="1478"/>
      <c r="BV220" s="1082"/>
      <c r="BW220" s="1552"/>
      <c r="BX220" s="1552"/>
    </row>
    <row r="221" spans="1:76" s="1236" customFormat="1" ht="15" customHeight="1" x14ac:dyDescent="0.3">
      <c r="A221" s="1655" t="s">
        <v>1412</v>
      </c>
      <c r="B221" s="1142"/>
      <c r="C221" s="1142"/>
      <c r="D221" s="1142"/>
      <c r="E221" s="1142"/>
      <c r="F221" s="1142"/>
      <c r="G221" s="1142"/>
      <c r="H221" s="1142"/>
      <c r="I221" s="1142"/>
      <c r="J221" s="1142"/>
      <c r="K221" s="1142"/>
      <c r="L221" s="1142"/>
      <c r="M221" s="1142"/>
      <c r="N221" s="1070"/>
      <c r="O221" s="1142"/>
      <c r="P221" s="1142"/>
      <c r="Q221" s="1142"/>
      <c r="R221" s="1142"/>
      <c r="S221" s="1142"/>
      <c r="T221" s="1142"/>
      <c r="U221" s="1142"/>
      <c r="V221" s="1142"/>
      <c r="W221" s="1070"/>
      <c r="X221" s="1142"/>
      <c r="Y221" s="1142"/>
      <c r="Z221" s="1142"/>
      <c r="AA221" s="1142"/>
      <c r="AB221" s="1142"/>
      <c r="AC221" s="1142"/>
      <c r="AD221" s="1142"/>
      <c r="AE221" s="1142"/>
      <c r="AF221" s="1142"/>
      <c r="AG221" s="1142"/>
      <c r="AH221" s="1142"/>
      <c r="AI221" s="1564"/>
      <c r="AJ221" s="1142"/>
      <c r="AK221" s="1142"/>
      <c r="AL221" s="1142"/>
      <c r="AM221" s="1142"/>
      <c r="AN221" s="1082"/>
      <c r="AO221" s="1656" t="s">
        <v>1413</v>
      </c>
      <c r="AP221" s="1142"/>
      <c r="AQ221" s="1142"/>
      <c r="AR221" s="1142"/>
      <c r="AS221" s="1142"/>
      <c r="AT221" s="1142"/>
      <c r="AU221" s="1142"/>
      <c r="AV221" s="1142"/>
      <c r="AW221" s="1142"/>
      <c r="AX221" s="1142"/>
      <c r="AY221" s="1142"/>
      <c r="AZ221" s="1142"/>
      <c r="BA221" s="1142"/>
      <c r="BB221" s="1142"/>
      <c r="BC221" s="1142"/>
      <c r="BD221" s="1142"/>
      <c r="BE221" s="1142"/>
      <c r="BF221" s="1142"/>
      <c r="BG221" s="1142"/>
      <c r="BH221" s="1142"/>
      <c r="BI221" s="1142"/>
      <c r="BJ221" s="1142"/>
      <c r="BK221" s="1142"/>
      <c r="BL221" s="1142"/>
      <c r="BM221" s="1142"/>
      <c r="BN221" s="1142"/>
      <c r="BO221" s="1142"/>
      <c r="BP221" s="1142"/>
      <c r="BQ221" s="1142"/>
      <c r="BR221" s="1142"/>
      <c r="BS221" s="1142"/>
      <c r="BT221" s="1142"/>
      <c r="BU221" s="1478"/>
      <c r="BV221" s="1082"/>
      <c r="BW221" s="1552"/>
      <c r="BX221" s="1552"/>
    </row>
    <row r="222" spans="1:76" s="1236" customFormat="1" ht="15" customHeight="1" x14ac:dyDescent="0.3">
      <c r="A222" s="1527"/>
      <c r="B222" s="1142"/>
      <c r="C222" s="1142"/>
      <c r="D222" s="1142"/>
      <c r="E222" s="1142"/>
      <c r="F222" s="1142"/>
      <c r="G222" s="1142"/>
      <c r="H222" s="1142"/>
      <c r="I222" s="1142"/>
      <c r="J222" s="1142"/>
      <c r="K222" s="1142"/>
      <c r="L222" s="1142"/>
      <c r="M222" s="1142"/>
      <c r="N222" s="1142"/>
      <c r="O222" s="1070"/>
      <c r="P222" s="1142"/>
      <c r="Q222" s="1142"/>
      <c r="R222" s="1142"/>
      <c r="S222" s="1142"/>
      <c r="T222" s="1142"/>
      <c r="U222" s="1142"/>
      <c r="V222" s="1142"/>
      <c r="W222" s="1142"/>
      <c r="X222" s="1070"/>
      <c r="Y222" s="1142"/>
      <c r="Z222" s="1142"/>
      <c r="AA222" s="1142"/>
      <c r="AB222" s="1142"/>
      <c r="AC222" s="1142"/>
      <c r="AD222" s="1142"/>
      <c r="AE222" s="1142"/>
      <c r="AF222" s="1142"/>
      <c r="AG222" s="1142"/>
      <c r="AH222" s="1142"/>
      <c r="AI222" s="1142"/>
      <c r="AJ222" s="1564"/>
      <c r="AK222" s="1142"/>
      <c r="AL222" s="1142"/>
      <c r="AM222" s="1142"/>
      <c r="AN222" s="1142"/>
      <c r="AO222" s="1149"/>
      <c r="AP222" s="1142"/>
      <c r="AQ222" s="1142"/>
      <c r="AR222" s="1142"/>
      <c r="AS222" s="1142"/>
      <c r="AT222" s="1142"/>
      <c r="AU222" s="1142"/>
      <c r="AV222" s="1142"/>
      <c r="AW222" s="1142"/>
      <c r="AX222" s="1142"/>
      <c r="AY222" s="1142"/>
      <c r="AZ222" s="1142"/>
      <c r="BA222" s="1142"/>
      <c r="BB222" s="1142"/>
      <c r="BC222" s="1142"/>
      <c r="BD222" s="1142"/>
      <c r="BE222" s="1142"/>
      <c r="BF222" s="1142"/>
      <c r="BG222" s="1142"/>
      <c r="BH222" s="1142"/>
      <c r="BI222" s="1142"/>
      <c r="BJ222" s="1142"/>
      <c r="BK222" s="1142"/>
      <c r="BL222" s="1142"/>
      <c r="BM222" s="1142"/>
      <c r="BN222" s="1142"/>
      <c r="BO222" s="1142"/>
      <c r="BP222" s="1142"/>
      <c r="BQ222" s="1142"/>
      <c r="BR222" s="1142"/>
      <c r="BS222" s="1142"/>
      <c r="BT222" s="1142"/>
      <c r="BU222" s="1478"/>
      <c r="BV222" s="1082"/>
      <c r="BW222" s="1552"/>
      <c r="BX222" s="1552"/>
    </row>
    <row r="223" spans="1:76" s="1236" customFormat="1" x14ac:dyDescent="0.3">
      <c r="A223" s="1527"/>
      <c r="B223" s="1070"/>
      <c r="C223" s="1070"/>
      <c r="D223" s="1142"/>
      <c r="E223" s="1657" t="s">
        <v>1313</v>
      </c>
      <c r="F223" s="1658"/>
      <c r="G223" s="1658"/>
      <c r="H223" s="1658"/>
      <c r="I223" s="1658"/>
      <c r="J223" s="1658"/>
      <c r="K223" s="1658"/>
      <c r="L223" s="1658"/>
      <c r="M223" s="1659"/>
      <c r="N223" s="1142"/>
      <c r="O223" s="1660"/>
      <c r="P223" s="1661"/>
      <c r="Q223" s="1661"/>
      <c r="R223" s="1661"/>
      <c r="S223" s="1661"/>
      <c r="T223" s="1661"/>
      <c r="U223" s="1661"/>
      <c r="V223" s="1661"/>
      <c r="W223" s="1661"/>
      <c r="X223" s="1662"/>
      <c r="Y223" s="1142"/>
      <c r="Z223" s="1142"/>
      <c r="AA223" s="1142"/>
      <c r="AB223" s="1142"/>
      <c r="AC223" s="1142"/>
      <c r="AD223" s="1142"/>
      <c r="AE223" s="1142"/>
      <c r="AF223" s="1142"/>
      <c r="AG223" s="1142"/>
      <c r="AH223" s="1142"/>
      <c r="AI223" s="1142"/>
      <c r="AJ223" s="1564"/>
      <c r="AK223" s="1142"/>
      <c r="AL223" s="1142"/>
      <c r="AM223" s="1142"/>
      <c r="AN223" s="1142"/>
      <c r="AO223" s="1149"/>
      <c r="AP223" s="1657" t="s">
        <v>1314</v>
      </c>
      <c r="AQ223" s="1658"/>
      <c r="AR223" s="1658"/>
      <c r="AS223" s="1658"/>
      <c r="AT223" s="1658"/>
      <c r="AU223" s="1658"/>
      <c r="AV223" s="1658"/>
      <c r="AW223" s="1658"/>
      <c r="AX223" s="1659"/>
      <c r="AY223" s="1082"/>
      <c r="AZ223" s="1660"/>
      <c r="BA223" s="1661"/>
      <c r="BB223" s="1661"/>
      <c r="BC223" s="1661"/>
      <c r="BD223" s="1661"/>
      <c r="BE223" s="1661"/>
      <c r="BF223" s="1661"/>
      <c r="BG223" s="1661"/>
      <c r="BH223" s="1661"/>
      <c r="BI223" s="1662"/>
      <c r="BJ223" s="1142"/>
      <c r="BK223" s="1142"/>
      <c r="BL223" s="1142"/>
      <c r="BM223" s="1142"/>
      <c r="BN223" s="1142"/>
      <c r="BO223" s="1142"/>
      <c r="BP223" s="1142"/>
      <c r="BQ223" s="1142"/>
      <c r="BR223" s="1142"/>
      <c r="BS223" s="1142"/>
      <c r="BT223" s="1142"/>
      <c r="BU223" s="1478"/>
      <c r="BV223" s="1082"/>
      <c r="BW223" s="1552"/>
      <c r="BX223" s="1552"/>
    </row>
    <row r="224" spans="1:76" s="1236" customFormat="1" x14ac:dyDescent="0.3">
      <c r="A224" s="1527"/>
      <c r="B224" s="1070"/>
      <c r="C224" s="1070"/>
      <c r="D224" s="1142"/>
      <c r="E224" s="1663" t="e">
        <f>"NPV Change Drivers "&amp;CurrentFYPriorSub+1&amp;"-"&amp;CurrentFYPriorSub+9+1</f>
        <v>#VALUE!</v>
      </c>
      <c r="F224" s="1664"/>
      <c r="G224" s="1664"/>
      <c r="H224" s="1664"/>
      <c r="I224" s="1664"/>
      <c r="J224" s="1664"/>
      <c r="K224" s="1664"/>
      <c r="L224" s="1664"/>
      <c r="M224" s="1665"/>
      <c r="N224" s="1142"/>
      <c r="O224" s="1677"/>
      <c r="P224" s="1234"/>
      <c r="Q224" s="1234"/>
      <c r="R224" s="1234"/>
      <c r="S224" s="1714" t="e">
        <f>E224</f>
        <v>#VALUE!</v>
      </c>
      <c r="T224" s="1234"/>
      <c r="U224" s="1234"/>
      <c r="V224" s="1234"/>
      <c r="W224" s="1234"/>
      <c r="X224" s="1678"/>
      <c r="Y224" s="1142"/>
      <c r="Z224" s="1142"/>
      <c r="AA224" s="1142"/>
      <c r="AB224" s="1142"/>
      <c r="AC224" s="1142"/>
      <c r="AD224" s="1142"/>
      <c r="AE224" s="1142"/>
      <c r="AF224" s="1142"/>
      <c r="AG224" s="1142"/>
      <c r="AH224" s="1142"/>
      <c r="AI224" s="1142"/>
      <c r="AJ224" s="1564"/>
      <c r="AK224" s="1142"/>
      <c r="AL224" s="1142"/>
      <c r="AM224" s="1142"/>
      <c r="AN224" s="1142"/>
      <c r="AO224" s="1149"/>
      <c r="AP224" s="1663" t="e">
        <f>"NPV Change Drivers "&amp;CurrentFYPriorSub+1&amp;"-"&amp;CurrentFYPriorSub+14+1</f>
        <v>#VALUE!</v>
      </c>
      <c r="AQ224" s="1664"/>
      <c r="AR224" s="1664"/>
      <c r="AS224" s="1664"/>
      <c r="AT224" s="1664"/>
      <c r="AU224" s="1664"/>
      <c r="AV224" s="1664"/>
      <c r="AW224" s="1664"/>
      <c r="AX224" s="1665"/>
      <c r="AY224" s="1082"/>
      <c r="AZ224" s="1677"/>
      <c r="BA224" s="1234"/>
      <c r="BB224" s="1234"/>
      <c r="BC224" s="1234"/>
      <c r="BD224" s="1714" t="e">
        <f>AP224</f>
        <v>#VALUE!</v>
      </c>
      <c r="BE224" s="1234"/>
      <c r="BF224" s="1234"/>
      <c r="BG224" s="1234"/>
      <c r="BH224" s="1234"/>
      <c r="BI224" s="1678"/>
      <c r="BJ224" s="1142"/>
      <c r="BK224" s="1142"/>
      <c r="BL224" s="1142"/>
      <c r="BM224" s="1142"/>
      <c r="BN224" s="1142"/>
      <c r="BO224" s="1142"/>
      <c r="BP224" s="1142"/>
      <c r="BQ224" s="1142"/>
      <c r="BR224" s="1142"/>
      <c r="BS224" s="1142"/>
      <c r="BT224" s="1142"/>
      <c r="BU224" s="1478"/>
      <c r="BV224" s="1082"/>
      <c r="BW224" s="1552"/>
      <c r="BX224" s="1552"/>
    </row>
    <row r="225" spans="1:76" s="1236" customFormat="1" ht="15" customHeight="1" x14ac:dyDescent="0.3">
      <c r="A225" s="1527"/>
      <c r="B225" s="1070"/>
      <c r="C225" s="1070"/>
      <c r="D225" s="1142"/>
      <c r="E225" s="1671"/>
      <c r="F225" s="1672"/>
      <c r="G225" s="1672"/>
      <c r="H225" s="1673" t="s">
        <v>1414</v>
      </c>
      <c r="I225" s="1674" t="s">
        <v>1415</v>
      </c>
      <c r="J225" s="1674" t="s">
        <v>1416</v>
      </c>
      <c r="K225" s="1674" t="s">
        <v>1417</v>
      </c>
      <c r="L225" s="1675" t="s">
        <v>1418</v>
      </c>
      <c r="M225" s="1676" t="s">
        <v>1419</v>
      </c>
      <c r="N225" s="1142"/>
      <c r="O225" s="1677"/>
      <c r="P225" s="1234"/>
      <c r="Q225" s="1234"/>
      <c r="R225" s="1234"/>
      <c r="S225" s="1234"/>
      <c r="T225" s="1234"/>
      <c r="U225" s="1234"/>
      <c r="V225" s="1234"/>
      <c r="W225" s="1234"/>
      <c r="X225" s="1678"/>
      <c r="Y225" s="1142"/>
      <c r="Z225" s="1142"/>
      <c r="AA225" s="1142"/>
      <c r="AB225" s="1142"/>
      <c r="AC225" s="1142"/>
      <c r="AD225" s="1142"/>
      <c r="AE225" s="1142"/>
      <c r="AF225" s="1142"/>
      <c r="AG225" s="1142"/>
      <c r="AH225" s="1142"/>
      <c r="AI225" s="1142"/>
      <c r="AJ225" s="1564"/>
      <c r="AK225" s="1142"/>
      <c r="AL225" s="1142"/>
      <c r="AM225" s="1142"/>
      <c r="AN225" s="1142"/>
      <c r="AO225" s="1149"/>
      <c r="AP225" s="1671"/>
      <c r="AQ225" s="1672"/>
      <c r="AR225" s="1672"/>
      <c r="AS225" s="1673" t="s">
        <v>1414</v>
      </c>
      <c r="AT225" s="1674" t="s">
        <v>1415</v>
      </c>
      <c r="AU225" s="1674" t="s">
        <v>1416</v>
      </c>
      <c r="AV225" s="1674" t="s">
        <v>1417</v>
      </c>
      <c r="AW225" s="1675" t="s">
        <v>1418</v>
      </c>
      <c r="AX225" s="1676" t="s">
        <v>1419</v>
      </c>
      <c r="AY225" s="1082"/>
      <c r="AZ225" s="1677"/>
      <c r="BA225" s="1234"/>
      <c r="BB225" s="1234"/>
      <c r="BC225" s="1234"/>
      <c r="BD225" s="1234"/>
      <c r="BE225" s="1234"/>
      <c r="BF225" s="1234"/>
      <c r="BG225" s="1234"/>
      <c r="BH225" s="1234"/>
      <c r="BI225" s="1678"/>
      <c r="BJ225" s="1142"/>
      <c r="BK225" s="1142"/>
      <c r="BL225" s="1142"/>
      <c r="BM225" s="1142"/>
      <c r="BN225" s="1142"/>
      <c r="BO225" s="1142"/>
      <c r="BP225" s="1142"/>
      <c r="BQ225" s="1142"/>
      <c r="BR225" s="1142"/>
      <c r="BS225" s="1142"/>
      <c r="BT225" s="1142"/>
      <c r="BU225" s="1478"/>
      <c r="BV225" s="1082"/>
      <c r="BW225" s="1552"/>
      <c r="BX225" s="1552"/>
    </row>
    <row r="226" spans="1:76" s="1236" customFormat="1" ht="28.5" customHeight="1" x14ac:dyDescent="0.3">
      <c r="A226" s="1527"/>
      <c r="B226" s="1070"/>
      <c r="C226" s="1070"/>
      <c r="D226" s="1142"/>
      <c r="E226" s="3247" t="e">
        <f>"FY"&amp;CurrentFYPriorSub+1&amp;"-"&amp;CurrentFYPriorSub+9+1</f>
        <v>#VALUE!</v>
      </c>
      <c r="F226" s="3249" t="s">
        <v>1420</v>
      </c>
      <c r="G226" s="3250"/>
      <c r="H226" s="1679">
        <f>BE38/1000</f>
        <v>0</v>
      </c>
      <c r="I226" s="1680">
        <f>H226</f>
        <v>0</v>
      </c>
      <c r="J226" s="1680"/>
      <c r="K226" s="1680"/>
      <c r="L226" s="1681">
        <f>BE37-DiscR</f>
        <v>-0.15</v>
      </c>
      <c r="M226" s="1682"/>
      <c r="N226" s="1142"/>
      <c r="O226" s="1677"/>
      <c r="P226" s="1234"/>
      <c r="Q226" s="1234"/>
      <c r="R226" s="1234"/>
      <c r="S226" s="1234"/>
      <c r="T226" s="1234"/>
      <c r="U226" s="1234"/>
      <c r="V226" s="1234"/>
      <c r="W226" s="1234"/>
      <c r="X226" s="1678"/>
      <c r="Y226" s="1142"/>
      <c r="Z226" s="1142"/>
      <c r="AA226" s="1142"/>
      <c r="AB226" s="1142"/>
      <c r="AC226" s="1142"/>
      <c r="AD226" s="1142"/>
      <c r="AE226" s="1142"/>
      <c r="AF226" s="1142"/>
      <c r="AG226" s="1142"/>
      <c r="AH226" s="1142"/>
      <c r="AI226" s="1142"/>
      <c r="AJ226" s="1564"/>
      <c r="AK226" s="1142"/>
      <c r="AL226" s="1142"/>
      <c r="AM226" s="1142"/>
      <c r="AN226" s="1142"/>
      <c r="AO226" s="1149"/>
      <c r="AP226" s="3247" t="e">
        <f>"FY"&amp;CurrentFYPriorSub+1&amp;"-"&amp;CurrentFYPriorSub+14+1</f>
        <v>#VALUE!</v>
      </c>
      <c r="AQ226" s="3249" t="s">
        <v>1420</v>
      </c>
      <c r="AR226" s="3250"/>
      <c r="AS226" s="1679">
        <f>BJ38/1000</f>
        <v>0</v>
      </c>
      <c r="AT226" s="1680">
        <f>AS226</f>
        <v>0</v>
      </c>
      <c r="AU226" s="1680"/>
      <c r="AV226" s="1680"/>
      <c r="AW226" s="1681">
        <f>BJ37-DiscR</f>
        <v>-0.15</v>
      </c>
      <c r="AX226" s="1682"/>
      <c r="AY226" s="1082"/>
      <c r="AZ226" s="1677"/>
      <c r="BA226" s="1234"/>
      <c r="BB226" s="1234"/>
      <c r="BC226" s="1234"/>
      <c r="BD226" s="1234"/>
      <c r="BE226" s="1234"/>
      <c r="BF226" s="1234"/>
      <c r="BG226" s="1234"/>
      <c r="BH226" s="1234"/>
      <c r="BI226" s="1678"/>
      <c r="BJ226" s="1142"/>
      <c r="BK226" s="1142"/>
      <c r="BL226" s="1142"/>
      <c r="BM226" s="1142"/>
      <c r="BN226" s="1142"/>
      <c r="BO226" s="1142"/>
      <c r="BP226" s="1142"/>
      <c r="BQ226" s="1142"/>
      <c r="BR226" s="1142"/>
      <c r="BS226" s="1142"/>
      <c r="BT226" s="1142"/>
      <c r="BU226" s="1478"/>
      <c r="BV226" s="1082"/>
      <c r="BW226" s="1552"/>
      <c r="BX226" s="1552"/>
    </row>
    <row r="227" spans="1:76" s="1236" customFormat="1" ht="28.5" customHeight="1" x14ac:dyDescent="0.3">
      <c r="A227" s="1527"/>
      <c r="B227" s="1070"/>
      <c r="C227" s="1070"/>
      <c r="D227" s="1142"/>
      <c r="E227" s="3248"/>
      <c r="F227" s="3251" t="s">
        <v>1421</v>
      </c>
      <c r="G227" s="3252"/>
      <c r="H227" s="1684">
        <f>AJ162/1000</f>
        <v>0</v>
      </c>
      <c r="I227" s="1685"/>
      <c r="J227" s="1685">
        <f>SUM(H$226:H226)</f>
        <v>0</v>
      </c>
      <c r="K227" s="1685">
        <f>SUM(H$226:H227)</f>
        <v>0</v>
      </c>
      <c r="L227" s="1686"/>
      <c r="M227" s="1687">
        <f>H227/ABS($H$226-$I$232)</f>
        <v>0</v>
      </c>
      <c r="N227" s="1070"/>
      <c r="O227" s="1677"/>
      <c r="P227" s="1234"/>
      <c r="Q227" s="1234"/>
      <c r="R227" s="1234"/>
      <c r="S227" s="1234"/>
      <c r="T227" s="1234"/>
      <c r="U227" s="1234"/>
      <c r="V227" s="1234"/>
      <c r="W227" s="1234"/>
      <c r="X227" s="1678"/>
      <c r="Y227" s="1142"/>
      <c r="Z227" s="1142"/>
      <c r="AA227" s="1142"/>
      <c r="AB227" s="1142"/>
      <c r="AC227" s="1142"/>
      <c r="AD227" s="1142"/>
      <c r="AE227" s="1142"/>
      <c r="AF227" s="1142"/>
      <c r="AG227" s="1142"/>
      <c r="AH227" s="1142"/>
      <c r="AI227" s="1142"/>
      <c r="AJ227" s="1564"/>
      <c r="AK227" s="1142"/>
      <c r="AL227" s="1142"/>
      <c r="AM227" s="1142"/>
      <c r="AN227" s="1142"/>
      <c r="AO227" s="1149"/>
      <c r="AP227" s="3248"/>
      <c r="AQ227" s="3251" t="s">
        <v>1421</v>
      </c>
      <c r="AR227" s="3252"/>
      <c r="AS227" s="1684">
        <f>BT162/1000</f>
        <v>0</v>
      </c>
      <c r="AT227" s="1685"/>
      <c r="AU227" s="1685">
        <f>SUM(AS$226:AS226)</f>
        <v>0</v>
      </c>
      <c r="AV227" s="1685">
        <f>SUM(AS$226:AS227)</f>
        <v>0</v>
      </c>
      <c r="AW227" s="1686"/>
      <c r="AX227" s="1687">
        <f>AS227/ABS($AS$226-$AT$232)</f>
        <v>0</v>
      </c>
      <c r="AY227" s="1082"/>
      <c r="AZ227" s="1677"/>
      <c r="BA227" s="1234"/>
      <c r="BB227" s="1234"/>
      <c r="BC227" s="1234"/>
      <c r="BD227" s="1234"/>
      <c r="BE227" s="1234"/>
      <c r="BF227" s="1234"/>
      <c r="BG227" s="1234"/>
      <c r="BH227" s="1234"/>
      <c r="BI227" s="1678"/>
      <c r="BJ227" s="1142"/>
      <c r="BK227" s="1142"/>
      <c r="BL227" s="1142"/>
      <c r="BM227" s="1142"/>
      <c r="BN227" s="1142"/>
      <c r="BO227" s="1142"/>
      <c r="BP227" s="1142"/>
      <c r="BQ227" s="1142"/>
      <c r="BR227" s="1142"/>
      <c r="BS227" s="1142"/>
      <c r="BT227" s="1142"/>
      <c r="BU227" s="1478"/>
      <c r="BV227" s="1082"/>
      <c r="BW227" s="1552"/>
      <c r="BX227" s="1552"/>
    </row>
    <row r="228" spans="1:76" s="1236" customFormat="1" ht="28.5" customHeight="1" x14ac:dyDescent="0.3">
      <c r="A228" s="1527"/>
      <c r="B228" s="1070"/>
      <c r="C228" s="1070"/>
      <c r="D228" s="1142"/>
      <c r="E228" s="3248"/>
      <c r="F228" s="3251" t="s">
        <v>1422</v>
      </c>
      <c r="G228" s="3252"/>
      <c r="H228" s="1684">
        <f>AJ163/1000</f>
        <v>0</v>
      </c>
      <c r="I228" s="1688"/>
      <c r="J228" s="1685">
        <f>SUM(H$226:H227)</f>
        <v>0</v>
      </c>
      <c r="K228" s="1685">
        <f>SUM(H$226:H228)</f>
        <v>0</v>
      </c>
      <c r="L228" s="1686"/>
      <c r="M228" s="1687">
        <f>H228/ABS($H$226-$I$232)</f>
        <v>0</v>
      </c>
      <c r="N228" s="1070"/>
      <c r="O228" s="1677"/>
      <c r="P228" s="1234"/>
      <c r="Q228" s="1234"/>
      <c r="R228" s="1234"/>
      <c r="S228" s="1234"/>
      <c r="T228" s="1234"/>
      <c r="U228" s="1234"/>
      <c r="V228" s="1234"/>
      <c r="W228" s="1234"/>
      <c r="X228" s="1678"/>
      <c r="Y228" s="1142"/>
      <c r="Z228" s="1142"/>
      <c r="AA228" s="1142"/>
      <c r="AB228" s="1142"/>
      <c r="AC228" s="1142"/>
      <c r="AD228" s="1142"/>
      <c r="AE228" s="1142"/>
      <c r="AF228" s="1142"/>
      <c r="AG228" s="1142"/>
      <c r="AH228" s="1142"/>
      <c r="AI228" s="1142"/>
      <c r="AJ228" s="1564"/>
      <c r="AK228" s="1142"/>
      <c r="AL228" s="1142"/>
      <c r="AM228" s="1142"/>
      <c r="AN228" s="1142"/>
      <c r="AO228" s="1149"/>
      <c r="AP228" s="3248"/>
      <c r="AQ228" s="3251" t="s">
        <v>1422</v>
      </c>
      <c r="AR228" s="3252"/>
      <c r="AS228" s="1684">
        <f>BT163/1000</f>
        <v>0</v>
      </c>
      <c r="AT228" s="1688"/>
      <c r="AU228" s="1685">
        <f>SUM(AS$226:AS227)</f>
        <v>0</v>
      </c>
      <c r="AV228" s="1685">
        <f>SUM(AS$226:AS228)</f>
        <v>0</v>
      </c>
      <c r="AW228" s="1686"/>
      <c r="AX228" s="1687">
        <f>AS228/ABS($AS$226-$AT$232)</f>
        <v>0</v>
      </c>
      <c r="AY228" s="1082"/>
      <c r="AZ228" s="1677"/>
      <c r="BA228" s="1234"/>
      <c r="BB228" s="1234"/>
      <c r="BC228" s="1234"/>
      <c r="BD228" s="1234"/>
      <c r="BE228" s="1234"/>
      <c r="BF228" s="1234"/>
      <c r="BG228" s="1234"/>
      <c r="BH228" s="1234"/>
      <c r="BI228" s="1678"/>
      <c r="BJ228" s="1142"/>
      <c r="BK228" s="1142"/>
      <c r="BL228" s="1142"/>
      <c r="BM228" s="1142"/>
      <c r="BN228" s="1142"/>
      <c r="BO228" s="1142"/>
      <c r="BP228" s="1142"/>
      <c r="BQ228" s="1142"/>
      <c r="BR228" s="1142"/>
      <c r="BS228" s="1142"/>
      <c r="BT228" s="1142"/>
      <c r="BU228" s="1478"/>
      <c r="BV228" s="1082"/>
      <c r="BW228" s="1552"/>
      <c r="BX228" s="1552"/>
    </row>
    <row r="229" spans="1:76" s="1236" customFormat="1" ht="28.5" customHeight="1" x14ac:dyDescent="0.3">
      <c r="A229" s="1527"/>
      <c r="B229" s="1070"/>
      <c r="C229" s="1070"/>
      <c r="D229" s="1142"/>
      <c r="E229" s="3248"/>
      <c r="F229" s="3251" t="s">
        <v>1423</v>
      </c>
      <c r="G229" s="3252"/>
      <c r="H229" s="1684">
        <f>AJ164/1000</f>
        <v>0</v>
      </c>
      <c r="I229" s="1685"/>
      <c r="J229" s="1685">
        <f>SUM(H$226:H228)</f>
        <v>0</v>
      </c>
      <c r="K229" s="1685">
        <f>SUM(H$226:H229)</f>
        <v>0</v>
      </c>
      <c r="L229" s="1686"/>
      <c r="M229" s="1687">
        <f>H229/ABS($H$226-$I$232)</f>
        <v>0</v>
      </c>
      <c r="N229" s="1070"/>
      <c r="O229" s="1677"/>
      <c r="P229" s="1234"/>
      <c r="Q229" s="1234"/>
      <c r="R229" s="1234"/>
      <c r="S229" s="1234"/>
      <c r="T229" s="1234"/>
      <c r="U229" s="1234"/>
      <c r="V229" s="1234"/>
      <c r="W229" s="1234"/>
      <c r="X229" s="1678"/>
      <c r="Y229" s="1142"/>
      <c r="Z229" s="1142"/>
      <c r="AA229" s="1142"/>
      <c r="AB229" s="1142"/>
      <c r="AC229" s="1142"/>
      <c r="AD229" s="1142"/>
      <c r="AE229" s="1142"/>
      <c r="AF229" s="1142"/>
      <c r="AG229" s="1142"/>
      <c r="AH229" s="1142"/>
      <c r="AI229" s="1142"/>
      <c r="AJ229" s="1564"/>
      <c r="AK229" s="1142"/>
      <c r="AL229" s="1142"/>
      <c r="AM229" s="1142"/>
      <c r="AN229" s="1142"/>
      <c r="AO229" s="1149"/>
      <c r="AP229" s="3248"/>
      <c r="AQ229" s="3251" t="s">
        <v>1423</v>
      </c>
      <c r="AR229" s="3252"/>
      <c r="AS229" s="1684">
        <f>BT164/1000</f>
        <v>0</v>
      </c>
      <c r="AT229" s="1685"/>
      <c r="AU229" s="1685">
        <f>SUM(AS$226:AS228)</f>
        <v>0</v>
      </c>
      <c r="AV229" s="1685">
        <f>SUM(AS$226:AS229)</f>
        <v>0</v>
      </c>
      <c r="AW229" s="1686"/>
      <c r="AX229" s="1687">
        <f>AS229/ABS($AS$226-$AT$232)</f>
        <v>0</v>
      </c>
      <c r="AY229" s="1082"/>
      <c r="AZ229" s="1677"/>
      <c r="BA229" s="1234"/>
      <c r="BB229" s="1234"/>
      <c r="BC229" s="1234"/>
      <c r="BD229" s="1234"/>
      <c r="BE229" s="1234"/>
      <c r="BF229" s="1234"/>
      <c r="BG229" s="1234"/>
      <c r="BH229" s="1234"/>
      <c r="BI229" s="1678"/>
      <c r="BJ229" s="1142"/>
      <c r="BK229" s="1142"/>
      <c r="BL229" s="1142"/>
      <c r="BM229" s="1142"/>
      <c r="BN229" s="1142"/>
      <c r="BO229" s="1142"/>
      <c r="BP229" s="1142"/>
      <c r="BQ229" s="1142"/>
      <c r="BR229" s="1142"/>
      <c r="BS229" s="1142"/>
      <c r="BT229" s="1142"/>
      <c r="BU229" s="1478"/>
      <c r="BV229" s="1082"/>
      <c r="BW229" s="1552"/>
      <c r="BX229" s="1552"/>
    </row>
    <row r="230" spans="1:76" s="1236" customFormat="1" ht="28.5" customHeight="1" x14ac:dyDescent="0.3">
      <c r="A230" s="1527"/>
      <c r="B230" s="1070"/>
      <c r="C230" s="1070"/>
      <c r="D230" s="1142"/>
      <c r="E230" s="3248"/>
      <c r="F230" s="3253" t="s">
        <v>1424</v>
      </c>
      <c r="G230" s="3254"/>
      <c r="H230" s="1684">
        <f>AJ165/1000</f>
        <v>0</v>
      </c>
      <c r="I230" s="1685"/>
      <c r="J230" s="1685">
        <f>SUM(H$226:H229)</f>
        <v>0</v>
      </c>
      <c r="K230" s="1685">
        <f>SUM(H$226:H230)</f>
        <v>0</v>
      </c>
      <c r="L230" s="1686"/>
      <c r="M230" s="1687">
        <f>H230/ABS($H$226-$I$232)</f>
        <v>0</v>
      </c>
      <c r="N230" s="1142"/>
      <c r="O230" s="1677"/>
      <c r="P230" s="1234"/>
      <c r="Q230" s="1234"/>
      <c r="R230" s="1234"/>
      <c r="S230" s="1234"/>
      <c r="T230" s="1234"/>
      <c r="U230" s="1234"/>
      <c r="V230" s="1234"/>
      <c r="W230" s="1234"/>
      <c r="X230" s="1678"/>
      <c r="Y230" s="1142"/>
      <c r="Z230" s="1142"/>
      <c r="AA230" s="1142"/>
      <c r="AB230" s="1142"/>
      <c r="AC230" s="1142"/>
      <c r="AD230" s="1142"/>
      <c r="AE230" s="1142"/>
      <c r="AF230" s="1142"/>
      <c r="AG230" s="1142"/>
      <c r="AH230" s="1142"/>
      <c r="AI230" s="1142"/>
      <c r="AJ230" s="1564"/>
      <c r="AK230" s="1142"/>
      <c r="AL230" s="1142"/>
      <c r="AM230" s="1142"/>
      <c r="AN230" s="1142"/>
      <c r="AO230" s="1149"/>
      <c r="AP230" s="3248"/>
      <c r="AQ230" s="3253" t="s">
        <v>1424</v>
      </c>
      <c r="AR230" s="3254"/>
      <c r="AS230" s="1684">
        <f>BT165/1000</f>
        <v>0</v>
      </c>
      <c r="AT230" s="1685"/>
      <c r="AU230" s="1685">
        <f>SUM(AS$226:AS229)</f>
        <v>0</v>
      </c>
      <c r="AV230" s="1685">
        <f>SUM(AS$226:AS230)</f>
        <v>0</v>
      </c>
      <c r="AW230" s="1686"/>
      <c r="AX230" s="1687">
        <f>AS230/ABS($AS$226-$AT$232)</f>
        <v>0</v>
      </c>
      <c r="AY230" s="1082"/>
      <c r="AZ230" s="1677"/>
      <c r="BA230" s="1234"/>
      <c r="BB230" s="1234"/>
      <c r="BC230" s="1234"/>
      <c r="BD230" s="1234"/>
      <c r="BE230" s="1234"/>
      <c r="BF230" s="1234"/>
      <c r="BG230" s="1234"/>
      <c r="BH230" s="1234"/>
      <c r="BI230" s="1678"/>
      <c r="BJ230" s="1142"/>
      <c r="BK230" s="1142"/>
      <c r="BL230" s="1142"/>
      <c r="BM230" s="1142"/>
      <c r="BN230" s="1142"/>
      <c r="BO230" s="1142"/>
      <c r="BP230" s="1142"/>
      <c r="BQ230" s="1142"/>
      <c r="BR230" s="1142"/>
      <c r="BS230" s="1142"/>
      <c r="BT230" s="1142"/>
      <c r="BU230" s="1478"/>
      <c r="BV230" s="1082"/>
      <c r="BW230" s="1552"/>
      <c r="BX230" s="1552"/>
    </row>
    <row r="231" spans="1:76" s="1236" customFormat="1" ht="28.5" customHeight="1" x14ac:dyDescent="0.3">
      <c r="A231" s="1527"/>
      <c r="B231" s="1070"/>
      <c r="C231" s="1070"/>
      <c r="D231" s="1142"/>
      <c r="E231" s="3248"/>
      <c r="F231" s="3253" t="s">
        <v>415</v>
      </c>
      <c r="G231" s="3254"/>
      <c r="H231" s="1684">
        <f>(AJ166+AJ167)/1000</f>
        <v>21.75477969081026</v>
      </c>
      <c r="I231" s="1685"/>
      <c r="J231" s="1685">
        <f>SUM(H$226:H230)</f>
        <v>0</v>
      </c>
      <c r="K231" s="1685">
        <f>SUM(H$226:H231)</f>
        <v>21.75477969081026</v>
      </c>
      <c r="L231" s="1686"/>
      <c r="M231" s="1687">
        <f>H231/ABS($H$226-$I$232)</f>
        <v>1</v>
      </c>
      <c r="N231" s="1142"/>
      <c r="O231" s="1677"/>
      <c r="P231" s="1234"/>
      <c r="Q231" s="1234"/>
      <c r="R231" s="1234"/>
      <c r="S231" s="1234"/>
      <c r="T231" s="1234"/>
      <c r="U231" s="1234"/>
      <c r="V231" s="1234"/>
      <c r="W231" s="1234"/>
      <c r="X231" s="1678"/>
      <c r="Y231" s="1142"/>
      <c r="Z231" s="1142"/>
      <c r="AA231" s="1142"/>
      <c r="AB231" s="1142"/>
      <c r="AC231" s="1142"/>
      <c r="AD231" s="1142"/>
      <c r="AE231" s="1142"/>
      <c r="AF231" s="1142"/>
      <c r="AG231" s="1142"/>
      <c r="AH231" s="1142"/>
      <c r="AI231" s="1142"/>
      <c r="AJ231" s="1564"/>
      <c r="AK231" s="1142"/>
      <c r="AL231" s="1142"/>
      <c r="AM231" s="1142"/>
      <c r="AN231" s="1142"/>
      <c r="AO231" s="1149"/>
      <c r="AP231" s="3248"/>
      <c r="AQ231" s="3253" t="s">
        <v>415</v>
      </c>
      <c r="AR231" s="3254"/>
      <c r="AS231" s="1684">
        <f>(BT167+BT166)/1000</f>
        <v>101.68322203437472</v>
      </c>
      <c r="AT231" s="1685"/>
      <c r="AU231" s="1685">
        <f>SUM(AS$226:AS230)</f>
        <v>0</v>
      </c>
      <c r="AV231" s="1685">
        <f>SUM(AS$226:AS231)</f>
        <v>101.68322203437472</v>
      </c>
      <c r="AW231" s="1686"/>
      <c r="AX231" s="1687">
        <f>AS231/ABS($AS$226-$AT$232)</f>
        <v>1</v>
      </c>
      <c r="AY231" s="1082"/>
      <c r="AZ231" s="1677"/>
      <c r="BA231" s="1234"/>
      <c r="BB231" s="1234"/>
      <c r="BC231" s="1234"/>
      <c r="BD231" s="1234"/>
      <c r="BE231" s="1234"/>
      <c r="BF231" s="1234"/>
      <c r="BG231" s="1234"/>
      <c r="BH231" s="1234"/>
      <c r="BI231" s="1678"/>
      <c r="BJ231" s="1142"/>
      <c r="BK231" s="1142"/>
      <c r="BL231" s="1142"/>
      <c r="BM231" s="1142"/>
      <c r="BN231" s="1142"/>
      <c r="BO231" s="1142"/>
      <c r="BP231" s="1142"/>
      <c r="BQ231" s="1142"/>
      <c r="BR231" s="1142"/>
      <c r="BS231" s="1142"/>
      <c r="BT231" s="1142"/>
      <c r="BU231" s="1478"/>
      <c r="BV231" s="1082"/>
      <c r="BW231" s="1552"/>
      <c r="BX231" s="1552"/>
    </row>
    <row r="232" spans="1:76" s="1236" customFormat="1" ht="28.5" customHeight="1" x14ac:dyDescent="0.3">
      <c r="A232" s="1527"/>
      <c r="B232" s="1070"/>
      <c r="C232" s="1070"/>
      <c r="D232" s="1142"/>
      <c r="E232" s="3248"/>
      <c r="F232" s="3251" t="s">
        <v>1425</v>
      </c>
      <c r="G232" s="3252"/>
      <c r="H232" s="1684"/>
      <c r="I232" s="1685">
        <f>SUM(H226:H231)</f>
        <v>21.75477969081026</v>
      </c>
      <c r="J232" s="1685"/>
      <c r="K232" s="1685"/>
      <c r="L232" s="1689" t="e">
        <f>S37-DiscR</f>
        <v>#VALUE!</v>
      </c>
      <c r="M232" s="1687" t="e">
        <f>IF(ABS((I232-$H$134)/ABS(H226))&gt;200%,"N/A",((I232-$H$134)/ABS(H226)))</f>
        <v>#DIV/0!</v>
      </c>
      <c r="N232" s="1142"/>
      <c r="O232" s="1677"/>
      <c r="P232" s="1234"/>
      <c r="Q232" s="1234"/>
      <c r="R232" s="1234"/>
      <c r="S232" s="1234"/>
      <c r="T232" s="1234"/>
      <c r="U232" s="1234"/>
      <c r="V232" s="1234"/>
      <c r="W232" s="1234"/>
      <c r="X232" s="1678"/>
      <c r="Y232" s="1142"/>
      <c r="Z232" s="1142"/>
      <c r="AA232" s="1142"/>
      <c r="AB232" s="1142"/>
      <c r="AC232" s="1142"/>
      <c r="AD232" s="1142"/>
      <c r="AE232" s="1142"/>
      <c r="AF232" s="1142"/>
      <c r="AG232" s="1142"/>
      <c r="AH232" s="1142"/>
      <c r="AI232" s="1142"/>
      <c r="AJ232" s="1564"/>
      <c r="AK232" s="1142"/>
      <c r="AL232" s="1142"/>
      <c r="AM232" s="1142"/>
      <c r="AN232" s="1142"/>
      <c r="AO232" s="1149"/>
      <c r="AP232" s="3248"/>
      <c r="AQ232" s="3251" t="s">
        <v>1425</v>
      </c>
      <c r="AR232" s="3252"/>
      <c r="AS232" s="1684"/>
      <c r="AT232" s="1685">
        <f>SUM(AS226:AS231)</f>
        <v>101.68322203437472</v>
      </c>
      <c r="AU232" s="1685"/>
      <c r="AV232" s="1685"/>
      <c r="AW232" s="1689" t="e">
        <f>W37-DiscR</f>
        <v>#VALUE!</v>
      </c>
      <c r="AX232" s="1687" t="e">
        <f>IF(ABS((AT232-$AS$226)/ABS($AS$226))&gt;200%,"N/A",((AT232-$AS$226)/ABS($AS$226)))</f>
        <v>#DIV/0!</v>
      </c>
      <c r="AY232" s="1082"/>
      <c r="AZ232" s="1677"/>
      <c r="BA232" s="1234"/>
      <c r="BB232" s="1234"/>
      <c r="BC232" s="1234"/>
      <c r="BD232" s="1234"/>
      <c r="BE232" s="1234"/>
      <c r="BF232" s="1234"/>
      <c r="BG232" s="1234"/>
      <c r="BH232" s="1234"/>
      <c r="BI232" s="1678"/>
      <c r="BJ232" s="1142"/>
      <c r="BK232" s="1142"/>
      <c r="BL232" s="1142"/>
      <c r="BM232" s="1142"/>
      <c r="BN232" s="1142"/>
      <c r="BO232" s="1142"/>
      <c r="BP232" s="1142"/>
      <c r="BQ232" s="1142"/>
      <c r="BR232" s="1142"/>
      <c r="BS232" s="1142"/>
      <c r="BT232" s="1142"/>
      <c r="BU232" s="1478"/>
      <c r="BV232" s="1082"/>
      <c r="BW232" s="1552"/>
      <c r="BX232" s="1552"/>
    </row>
    <row r="233" spans="1:76" s="1236" customFormat="1" x14ac:dyDescent="0.3">
      <c r="A233" s="1527"/>
      <c r="B233" s="1070"/>
      <c r="C233" s="1070"/>
      <c r="D233" s="1142"/>
      <c r="E233" s="3247"/>
      <c r="F233" s="3249"/>
      <c r="G233" s="3250"/>
      <c r="H233" s="1679"/>
      <c r="I233" s="1680"/>
      <c r="J233" s="1680"/>
      <c r="K233" s="1680"/>
      <c r="L233" s="1681"/>
      <c r="M233" s="1682"/>
      <c r="N233" s="1142"/>
      <c r="O233" s="1677"/>
      <c r="P233" s="1234"/>
      <c r="Q233" s="1234"/>
      <c r="R233" s="1234"/>
      <c r="S233" s="1234"/>
      <c r="T233" s="1234"/>
      <c r="U233" s="1234"/>
      <c r="V233" s="1234"/>
      <c r="W233" s="1234"/>
      <c r="X233" s="1678"/>
      <c r="Y233" s="1142"/>
      <c r="Z233" s="1142"/>
      <c r="AA233" s="1142"/>
      <c r="AB233" s="1142"/>
      <c r="AC233" s="1142"/>
      <c r="AD233" s="1142"/>
      <c r="AE233" s="1142"/>
      <c r="AF233" s="1142"/>
      <c r="AG233" s="1142"/>
      <c r="AH233" s="1142"/>
      <c r="AI233" s="1142"/>
      <c r="AJ233" s="1564"/>
      <c r="AK233" s="1142"/>
      <c r="AL233" s="1142"/>
      <c r="AM233" s="1142"/>
      <c r="AN233" s="1142"/>
      <c r="AO233" s="1149"/>
      <c r="AP233" s="3247"/>
      <c r="AQ233" s="3249"/>
      <c r="AR233" s="3250"/>
      <c r="AS233" s="1679"/>
      <c r="AT233" s="1680"/>
      <c r="AU233" s="1680"/>
      <c r="AV233" s="1680"/>
      <c r="AW233" s="1681"/>
      <c r="AX233" s="1682"/>
      <c r="AY233" s="1082"/>
      <c r="AZ233" s="1677"/>
      <c r="BA233" s="1234"/>
      <c r="BB233" s="1234"/>
      <c r="BC233" s="1234"/>
      <c r="BD233" s="1234"/>
      <c r="BE233" s="1234"/>
      <c r="BF233" s="1234"/>
      <c r="BG233" s="1234"/>
      <c r="BH233" s="1234"/>
      <c r="BI233" s="1678"/>
      <c r="BJ233" s="1142"/>
      <c r="BK233" s="1142"/>
      <c r="BL233" s="1142"/>
      <c r="BM233" s="1142"/>
      <c r="BN233" s="1142"/>
      <c r="BO233" s="1142"/>
      <c r="BP233" s="1142"/>
      <c r="BQ233" s="1142"/>
      <c r="BR233" s="1142"/>
      <c r="BS233" s="1142"/>
      <c r="BT233" s="1142"/>
      <c r="BU233" s="1478"/>
      <c r="BV233" s="1082"/>
      <c r="BW233" s="1552"/>
      <c r="BX233" s="1552"/>
    </row>
    <row r="234" spans="1:76" s="1236" customFormat="1" x14ac:dyDescent="0.3">
      <c r="A234" s="1527"/>
      <c r="B234" s="1070"/>
      <c r="C234" s="1070"/>
      <c r="D234" s="1142"/>
      <c r="E234" s="3255"/>
      <c r="F234" s="3256"/>
      <c r="G234" s="3257"/>
      <c r="H234" s="1684"/>
      <c r="I234" s="1685"/>
      <c r="J234" s="1685"/>
      <c r="K234" s="1685"/>
      <c r="L234" s="1690"/>
      <c r="M234" s="1691"/>
      <c r="N234" s="1142"/>
      <c r="O234" s="1677"/>
      <c r="P234" s="1234"/>
      <c r="Q234" s="1234"/>
      <c r="R234" s="1234"/>
      <c r="S234" s="1234"/>
      <c r="T234" s="1234"/>
      <c r="U234" s="1234"/>
      <c r="V234" s="1234"/>
      <c r="W234" s="1234"/>
      <c r="X234" s="1678"/>
      <c r="Y234" s="1142"/>
      <c r="Z234" s="1142"/>
      <c r="AA234" s="1142"/>
      <c r="AB234" s="1142"/>
      <c r="AC234" s="1142"/>
      <c r="AD234" s="1142"/>
      <c r="AE234" s="1142"/>
      <c r="AF234" s="1142"/>
      <c r="AG234" s="1142"/>
      <c r="AH234" s="1142"/>
      <c r="AI234" s="1142"/>
      <c r="AJ234" s="1564"/>
      <c r="AK234" s="1142"/>
      <c r="AL234" s="1142"/>
      <c r="AM234" s="1142"/>
      <c r="AN234" s="1142"/>
      <c r="AO234" s="1149"/>
      <c r="AP234" s="3255"/>
      <c r="AQ234" s="3256"/>
      <c r="AR234" s="3257"/>
      <c r="AS234" s="1684"/>
      <c r="AT234" s="1685"/>
      <c r="AU234" s="1685"/>
      <c r="AV234" s="1685"/>
      <c r="AW234" s="1690"/>
      <c r="AX234" s="1691"/>
      <c r="AY234" s="1082"/>
      <c r="AZ234" s="1677"/>
      <c r="BA234" s="1234"/>
      <c r="BB234" s="1234"/>
      <c r="BC234" s="1234"/>
      <c r="BD234" s="1234"/>
      <c r="BE234" s="1234"/>
      <c r="BF234" s="1234"/>
      <c r="BG234" s="1234"/>
      <c r="BH234" s="1234"/>
      <c r="BI234" s="1678"/>
      <c r="BJ234" s="1142"/>
      <c r="BK234" s="1142"/>
      <c r="BL234" s="1142"/>
      <c r="BM234" s="1142"/>
      <c r="BN234" s="1142"/>
      <c r="BO234" s="1142"/>
      <c r="BP234" s="1142"/>
      <c r="BQ234" s="1142"/>
      <c r="BR234" s="1142"/>
      <c r="BS234" s="1142"/>
      <c r="BT234" s="1142"/>
      <c r="BU234" s="1478"/>
      <c r="BV234" s="1082"/>
      <c r="BW234" s="1552"/>
      <c r="BX234" s="1552"/>
    </row>
    <row r="235" spans="1:76" s="1236" customFormat="1" x14ac:dyDescent="0.3">
      <c r="A235" s="1527"/>
      <c r="B235" s="1070"/>
      <c r="C235" s="1070"/>
      <c r="D235" s="1142"/>
      <c r="E235" s="1692"/>
      <c r="F235" s="1693"/>
      <c r="G235" s="1694"/>
      <c r="H235" s="1611"/>
      <c r="I235" s="1680"/>
      <c r="J235" s="1680"/>
      <c r="K235" s="1680"/>
      <c r="L235" s="1644"/>
      <c r="M235" s="1695"/>
      <c r="N235" s="1142"/>
      <c r="O235" s="1677"/>
      <c r="P235" s="1234"/>
      <c r="Q235" s="1234"/>
      <c r="R235" s="1234"/>
      <c r="S235" s="1234"/>
      <c r="T235" s="1234"/>
      <c r="U235" s="1234"/>
      <c r="V235" s="1234"/>
      <c r="W235" s="1234"/>
      <c r="X235" s="1678"/>
      <c r="Y235" s="1142"/>
      <c r="Z235" s="1142"/>
      <c r="AA235" s="1142"/>
      <c r="AB235" s="1142"/>
      <c r="AC235" s="1142"/>
      <c r="AD235" s="1142"/>
      <c r="AE235" s="1142"/>
      <c r="AF235" s="1142"/>
      <c r="AG235" s="1142"/>
      <c r="AH235" s="1142"/>
      <c r="AI235" s="1142"/>
      <c r="AJ235" s="1564"/>
      <c r="AK235" s="1142"/>
      <c r="AL235" s="1142"/>
      <c r="AM235" s="1142"/>
      <c r="AN235" s="1142"/>
      <c r="AO235" s="1149"/>
      <c r="AP235" s="1692"/>
      <c r="AQ235" s="1693"/>
      <c r="AR235" s="1694"/>
      <c r="AS235" s="1611"/>
      <c r="AT235" s="1680"/>
      <c r="AU235" s="1680"/>
      <c r="AV235" s="1680"/>
      <c r="AW235" s="1644"/>
      <c r="AX235" s="1695"/>
      <c r="AY235" s="1082"/>
      <c r="AZ235" s="1677"/>
      <c r="BA235" s="1234"/>
      <c r="BB235" s="1234"/>
      <c r="BC235" s="1234"/>
      <c r="BD235" s="1234"/>
      <c r="BE235" s="1234"/>
      <c r="BF235" s="1234"/>
      <c r="BG235" s="1234"/>
      <c r="BH235" s="1234"/>
      <c r="BI235" s="1678"/>
      <c r="BJ235" s="1142"/>
      <c r="BK235" s="1142"/>
      <c r="BL235" s="1142"/>
      <c r="BM235" s="1142"/>
      <c r="BN235" s="1142"/>
      <c r="BO235" s="1142"/>
      <c r="BP235" s="1142"/>
      <c r="BQ235" s="1142"/>
      <c r="BR235" s="1142"/>
      <c r="BS235" s="1142"/>
      <c r="BT235" s="1142"/>
      <c r="BU235" s="1478"/>
      <c r="BV235" s="1082"/>
      <c r="BW235" s="1552"/>
      <c r="BX235" s="1552"/>
    </row>
    <row r="236" spans="1:76" s="1236" customFormat="1" x14ac:dyDescent="0.3">
      <c r="A236" s="1527"/>
      <c r="B236" s="1070"/>
      <c r="C236" s="1070"/>
      <c r="D236" s="1142"/>
      <c r="E236" s="1692"/>
      <c r="F236" s="1543" t="str">
        <f>IF(H236&gt;=0,"SSGA +"&amp;ABS(ROUND(H236,0)),"SSGA -"&amp;ABS(ROUND(H236,0)))</f>
        <v>SSGA +0</v>
      </c>
      <c r="G236" s="1696"/>
      <c r="H236" s="1697">
        <f>AJ159/1000</f>
        <v>0</v>
      </c>
      <c r="I236" s="1685"/>
      <c r="J236" s="1685"/>
      <c r="K236" s="1685"/>
      <c r="L236" s="1698"/>
      <c r="M236" s="1699"/>
      <c r="N236" s="1142"/>
      <c r="O236" s="1677"/>
      <c r="P236" s="1234"/>
      <c r="Q236" s="1234"/>
      <c r="R236" s="1234"/>
      <c r="S236" s="1234"/>
      <c r="T236" s="1234"/>
      <c r="U236" s="1234"/>
      <c r="V236" s="1234"/>
      <c r="W236" s="1234"/>
      <c r="X236" s="1678"/>
      <c r="Y236" s="1142"/>
      <c r="Z236" s="1142"/>
      <c r="AA236" s="1142"/>
      <c r="AB236" s="1142"/>
      <c r="AC236" s="1142"/>
      <c r="AD236" s="1142"/>
      <c r="AE236" s="1142"/>
      <c r="AF236" s="1142"/>
      <c r="AG236" s="1142"/>
      <c r="AH236" s="1142"/>
      <c r="AI236" s="1142"/>
      <c r="AJ236" s="1564"/>
      <c r="AK236" s="1142"/>
      <c r="AL236" s="1142"/>
      <c r="AM236" s="1142"/>
      <c r="AN236" s="1142"/>
      <c r="AO236" s="1149"/>
      <c r="AP236" s="1692"/>
      <c r="AQ236" s="1543" t="str">
        <f>IF(AS236&gt;=0,"SSGA +"&amp;ABS(ROUND(AS236,0)),"SSGA -"&amp;ABS(ROUND(AS236,0)))</f>
        <v>SSGA +0</v>
      </c>
      <c r="AR236" s="1696"/>
      <c r="AS236" s="1697">
        <f>BT159/1000</f>
        <v>0</v>
      </c>
      <c r="AT236" s="1685"/>
      <c r="AU236" s="1685"/>
      <c r="AV236" s="1685"/>
      <c r="AW236" s="1698"/>
      <c r="AX236" s="1699"/>
      <c r="AY236" s="1082"/>
      <c r="AZ236" s="1677"/>
      <c r="BA236" s="1234"/>
      <c r="BB236" s="1234"/>
      <c r="BC236" s="1234"/>
      <c r="BD236" s="1234"/>
      <c r="BE236" s="1234"/>
      <c r="BF236" s="1234"/>
      <c r="BG236" s="1234"/>
      <c r="BH236" s="1234"/>
      <c r="BI236" s="1678"/>
      <c r="BJ236" s="1142"/>
      <c r="BK236" s="1142"/>
      <c r="BL236" s="1142"/>
      <c r="BM236" s="1142"/>
      <c r="BN236" s="1142"/>
      <c r="BO236" s="1142"/>
      <c r="BP236" s="1142"/>
      <c r="BQ236" s="1142"/>
      <c r="BR236" s="1142"/>
      <c r="BS236" s="1142"/>
      <c r="BT236" s="1142"/>
      <c r="BU236" s="1478"/>
      <c r="BV236" s="1082"/>
      <c r="BW236" s="1552"/>
      <c r="BX236" s="1552"/>
    </row>
    <row r="237" spans="1:76" s="1236" customFormat="1" x14ac:dyDescent="0.3">
      <c r="A237" s="1527"/>
      <c r="B237" s="1070"/>
      <c r="C237" s="1070"/>
      <c r="D237" s="1142"/>
      <c r="E237" s="1692"/>
      <c r="F237" s="1543" t="str">
        <f>IF(H237&gt;=0,"R&amp;D +"&amp;ABS(ROUND(H237,0)),"R&amp;D -"&amp;ABS(ROUND(H237,0)))</f>
        <v>R&amp;D +0</v>
      </c>
      <c r="G237" s="1696"/>
      <c r="H237" s="1697">
        <f>AJ160/1000</f>
        <v>0</v>
      </c>
      <c r="I237" s="1700"/>
      <c r="J237" s="1685"/>
      <c r="K237" s="1685"/>
      <c r="L237" s="1698"/>
      <c r="M237" s="1699"/>
      <c r="N237" s="1142"/>
      <c r="O237" s="1677"/>
      <c r="P237" s="1234"/>
      <c r="Q237" s="1234"/>
      <c r="R237" s="1234"/>
      <c r="S237" s="1234"/>
      <c r="T237" s="1234"/>
      <c r="U237" s="1234"/>
      <c r="V237" s="1234"/>
      <c r="W237" s="1234"/>
      <c r="X237" s="1678"/>
      <c r="Y237" s="1142"/>
      <c r="Z237" s="1142"/>
      <c r="AA237" s="1142"/>
      <c r="AB237" s="1142"/>
      <c r="AC237" s="1142"/>
      <c r="AD237" s="1142"/>
      <c r="AE237" s="1142"/>
      <c r="AF237" s="1142"/>
      <c r="AG237" s="1142"/>
      <c r="AH237" s="1142"/>
      <c r="AI237" s="1142"/>
      <c r="AJ237" s="1564"/>
      <c r="AK237" s="1142"/>
      <c r="AL237" s="1142"/>
      <c r="AM237" s="1142"/>
      <c r="AN237" s="1142"/>
      <c r="AO237" s="1149"/>
      <c r="AP237" s="1692"/>
      <c r="AQ237" s="1543" t="str">
        <f>IF(AS237&gt;=0,"R&amp;D +"&amp;ABS(ROUND(AS237,0)),"R&amp;D -"&amp;ABS(ROUND(AS237,0)))</f>
        <v>R&amp;D +0</v>
      </c>
      <c r="AR237" s="1696"/>
      <c r="AS237" s="1697">
        <f>BT160/1000</f>
        <v>0</v>
      </c>
      <c r="AT237" s="1700"/>
      <c r="AU237" s="1685"/>
      <c r="AV237" s="1685"/>
      <c r="AW237" s="1698"/>
      <c r="AX237" s="1699"/>
      <c r="AY237" s="1082"/>
      <c r="AZ237" s="1677"/>
      <c r="BA237" s="1234"/>
      <c r="BB237" s="1234"/>
      <c r="BC237" s="1234"/>
      <c r="BD237" s="1234"/>
      <c r="BE237" s="1234"/>
      <c r="BF237" s="1234"/>
      <c r="BG237" s="1234"/>
      <c r="BH237" s="1234"/>
      <c r="BI237" s="1678"/>
      <c r="BJ237" s="1142"/>
      <c r="BK237" s="1142"/>
      <c r="BL237" s="1142"/>
      <c r="BM237" s="1142"/>
      <c r="BN237" s="1142"/>
      <c r="BO237" s="1142"/>
      <c r="BP237" s="1142"/>
      <c r="BQ237" s="1142"/>
      <c r="BR237" s="1142"/>
      <c r="BS237" s="1142"/>
      <c r="BT237" s="1142"/>
      <c r="BU237" s="1478"/>
      <c r="BV237" s="1082"/>
      <c r="BW237" s="1552"/>
      <c r="BX237" s="1552"/>
    </row>
    <row r="238" spans="1:76" s="1236" customFormat="1" x14ac:dyDescent="0.3">
      <c r="A238" s="1527"/>
      <c r="B238" s="1070"/>
      <c r="C238" s="1070"/>
      <c r="D238" s="1142"/>
      <c r="E238" s="1692"/>
      <c r="F238" s="1543" t="str">
        <f>IF(H238&gt;=0,"CapEx +"&amp;ABS(ROUND(H238,0)),"CapEx -"&amp;ABS(ROUND(H238,0)))</f>
        <v>CapEx +0</v>
      </c>
      <c r="G238" s="1701"/>
      <c r="H238" s="1697">
        <f>AJ161/1000</f>
        <v>0</v>
      </c>
      <c r="I238" s="1116"/>
      <c r="J238" s="1116"/>
      <c r="K238" s="1116"/>
      <c r="L238" s="1698"/>
      <c r="M238" s="1699"/>
      <c r="N238" s="1142"/>
      <c r="O238" s="1677"/>
      <c r="P238" s="1234"/>
      <c r="Q238" s="1234"/>
      <c r="R238" s="1234"/>
      <c r="S238" s="1234"/>
      <c r="T238" s="1234"/>
      <c r="U238" s="1234"/>
      <c r="V238" s="1234"/>
      <c r="W238" s="1234"/>
      <c r="X238" s="1678"/>
      <c r="Y238" s="1142"/>
      <c r="Z238" s="1142"/>
      <c r="AA238" s="1142"/>
      <c r="AB238" s="1142"/>
      <c r="AC238" s="1142"/>
      <c r="AD238" s="1142"/>
      <c r="AE238" s="1142"/>
      <c r="AF238" s="1142"/>
      <c r="AG238" s="1142"/>
      <c r="AH238" s="1142"/>
      <c r="AI238" s="1142"/>
      <c r="AJ238" s="1564"/>
      <c r="AK238" s="1142"/>
      <c r="AL238" s="1142"/>
      <c r="AM238" s="1142"/>
      <c r="AN238" s="1142"/>
      <c r="AO238" s="1149"/>
      <c r="AP238" s="1692"/>
      <c r="AQ238" s="1543" t="str">
        <f>IF(AS238&gt;=0,"CapEx +"&amp;ABS(ROUND(AS238,0)),"CapEx -"&amp;ABS(ROUND(AS238,0)))</f>
        <v>CapEx +0</v>
      </c>
      <c r="AR238" s="1701"/>
      <c r="AS238" s="1697">
        <f>BT161/1000</f>
        <v>0</v>
      </c>
      <c r="AT238" s="1116"/>
      <c r="AU238" s="1116"/>
      <c r="AV238" s="1116"/>
      <c r="AW238" s="1698"/>
      <c r="AX238" s="1699"/>
      <c r="AY238" s="1082"/>
      <c r="AZ238" s="1677"/>
      <c r="BA238" s="1234"/>
      <c r="BB238" s="1234"/>
      <c r="BC238" s="1234"/>
      <c r="BD238" s="1234"/>
      <c r="BE238" s="1234"/>
      <c r="BF238" s="1234"/>
      <c r="BG238" s="1234"/>
      <c r="BH238" s="1234"/>
      <c r="BI238" s="1678"/>
      <c r="BJ238" s="1142"/>
      <c r="BK238" s="1142"/>
      <c r="BL238" s="1142"/>
      <c r="BM238" s="1142"/>
      <c r="BN238" s="1142"/>
      <c r="BO238" s="1142"/>
      <c r="BP238" s="1142"/>
      <c r="BQ238" s="1142"/>
      <c r="BR238" s="1142"/>
      <c r="BS238" s="1142"/>
      <c r="BT238" s="1142"/>
      <c r="BU238" s="1478"/>
      <c r="BV238" s="1082"/>
      <c r="BW238" s="1552"/>
      <c r="BX238" s="1552"/>
    </row>
    <row r="239" spans="1:76" s="1236" customFormat="1" x14ac:dyDescent="0.3">
      <c r="A239" s="1527"/>
      <c r="B239" s="1142"/>
      <c r="C239" s="1142"/>
      <c r="D239" s="1142"/>
      <c r="E239" s="1692"/>
      <c r="F239" s="1543" t="str">
        <f>IF(H239=0,"",IF(H239&gt;0,"Hurdle +"&amp;ABS(ROUND(H239,0)),"Hurdle -"&amp;ABS(ROUND(H239,0))))</f>
        <v>Hurdle -86</v>
      </c>
      <c r="G239" s="1701"/>
      <c r="H239" s="1697">
        <f>AJ166/1000</f>
        <v>-85.524122620563674</v>
      </c>
      <c r="I239" s="1116"/>
      <c r="J239" s="1116"/>
      <c r="K239" s="1116"/>
      <c r="L239" s="1698"/>
      <c r="M239" s="1699"/>
      <c r="N239" s="1142"/>
      <c r="O239" s="1677"/>
      <c r="P239" s="1234"/>
      <c r="Q239" s="1234"/>
      <c r="R239" s="1234"/>
      <c r="S239" s="1234"/>
      <c r="T239" s="1234"/>
      <c r="U239" s="1234"/>
      <c r="V239" s="1234"/>
      <c r="W239" s="1234"/>
      <c r="X239" s="1678"/>
      <c r="Y239" s="1142"/>
      <c r="Z239" s="1142"/>
      <c r="AA239" s="1142"/>
      <c r="AB239" s="1142"/>
      <c r="AC239" s="1142"/>
      <c r="AD239" s="1142"/>
      <c r="AE239" s="1142"/>
      <c r="AF239" s="1142"/>
      <c r="AG239" s="1142"/>
      <c r="AH239" s="1142"/>
      <c r="AI239" s="1142"/>
      <c r="AJ239" s="1564"/>
      <c r="AK239" s="1142"/>
      <c r="AL239" s="1142"/>
      <c r="AM239" s="1142"/>
      <c r="AN239" s="1142"/>
      <c r="AO239" s="1149"/>
      <c r="AP239" s="1692"/>
      <c r="AQ239" s="1543" t="str">
        <f>IF(AS239=0,"",IF(AS239&gt;0,"Hurdle +"&amp;ABS(ROUND(AS239,0)),"Hurdle -"&amp;ABS(ROUND(AS239,0))))</f>
        <v>Hurdle -438</v>
      </c>
      <c r="AR239" s="1701"/>
      <c r="AS239" s="1697">
        <f>BT166/1000</f>
        <v>-437.53167157120174</v>
      </c>
      <c r="AT239" s="1116"/>
      <c r="AU239" s="1116"/>
      <c r="AV239" s="1116"/>
      <c r="AW239" s="1698"/>
      <c r="AX239" s="1699"/>
      <c r="AY239" s="1082"/>
      <c r="AZ239" s="1677"/>
      <c r="BA239" s="1234"/>
      <c r="BB239" s="1234"/>
      <c r="BC239" s="1234"/>
      <c r="BD239" s="1234"/>
      <c r="BE239" s="1234"/>
      <c r="BF239" s="1234"/>
      <c r="BG239" s="1234"/>
      <c r="BH239" s="1234"/>
      <c r="BI239" s="1678"/>
      <c r="BJ239" s="1142"/>
      <c r="BK239" s="1142"/>
      <c r="BL239" s="1142"/>
      <c r="BM239" s="1142"/>
      <c r="BN239" s="1142"/>
      <c r="BO239" s="1142"/>
      <c r="BP239" s="1142"/>
      <c r="BQ239" s="1142"/>
      <c r="BR239" s="1142"/>
      <c r="BS239" s="1142"/>
      <c r="BT239" s="1142"/>
      <c r="BU239" s="1478"/>
      <c r="BV239" s="1082"/>
      <c r="BW239" s="1552"/>
      <c r="BX239" s="1552"/>
    </row>
    <row r="240" spans="1:76" s="1236" customFormat="1" x14ac:dyDescent="0.3">
      <c r="A240" s="1527"/>
      <c r="B240" s="1142"/>
      <c r="C240" s="1142"/>
      <c r="D240" s="1142"/>
      <c r="E240" s="1692"/>
      <c r="F240" s="1434" t="str">
        <f>IF(H239=0,"",IF(H240&gt;0,"Other +"&amp;ABS(ROUND(H240,0)),"Other -"&amp;ABS(ROUND(H240,0))))</f>
        <v>Other +107</v>
      </c>
      <c r="G240" s="1702"/>
      <c r="H240" s="1703">
        <f>(AJ167)/1000</f>
        <v>107.27890231137394</v>
      </c>
      <c r="I240" s="1232"/>
      <c r="J240" s="1232"/>
      <c r="K240" s="1232"/>
      <c r="L240" s="1704"/>
      <c r="M240" s="1705"/>
      <c r="N240" s="1142"/>
      <c r="O240" s="1706"/>
      <c r="P240" s="1707"/>
      <c r="Q240" s="1707"/>
      <c r="R240" s="1707"/>
      <c r="S240" s="1707"/>
      <c r="T240" s="1707"/>
      <c r="U240" s="1707"/>
      <c r="V240" s="1707"/>
      <c r="W240" s="1707"/>
      <c r="X240" s="1708"/>
      <c r="Y240" s="1142"/>
      <c r="Z240" s="1142"/>
      <c r="AA240" s="1142"/>
      <c r="AB240" s="1142"/>
      <c r="AC240" s="1142"/>
      <c r="AD240" s="1142"/>
      <c r="AE240" s="1142"/>
      <c r="AF240" s="1142"/>
      <c r="AG240" s="1142"/>
      <c r="AH240" s="1142"/>
      <c r="AI240" s="1142"/>
      <c r="AJ240" s="1564"/>
      <c r="AK240" s="1142"/>
      <c r="AL240" s="1142"/>
      <c r="AM240" s="1142"/>
      <c r="AN240" s="1142"/>
      <c r="AO240" s="1149"/>
      <c r="AP240" s="1692"/>
      <c r="AQ240" s="1434" t="str">
        <f>IF(AS239=0,"",IF(AS240&gt;0,"Other +"&amp;ABS(ROUND(AS240,0)),"Other -"&amp;ABS(ROUND(AS240,0))))</f>
        <v>Other +539</v>
      </c>
      <c r="AR240" s="1702"/>
      <c r="AS240" s="1703">
        <f>(BT167)/1000</f>
        <v>539.21489360557644</v>
      </c>
      <c r="AT240" s="1232"/>
      <c r="AU240" s="1232"/>
      <c r="AV240" s="1232"/>
      <c r="AW240" s="1704"/>
      <c r="AX240" s="1705"/>
      <c r="AY240" s="1082"/>
      <c r="AZ240" s="1706"/>
      <c r="BA240" s="1707"/>
      <c r="BB240" s="1707"/>
      <c r="BC240" s="1707"/>
      <c r="BD240" s="1707"/>
      <c r="BE240" s="1707"/>
      <c r="BF240" s="1707"/>
      <c r="BG240" s="1707"/>
      <c r="BH240" s="1707"/>
      <c r="BI240" s="1708"/>
      <c r="BJ240" s="1142"/>
      <c r="BK240" s="1142"/>
      <c r="BL240" s="1142"/>
      <c r="BM240" s="1142"/>
      <c r="BN240" s="1142"/>
      <c r="BO240" s="1142"/>
      <c r="BP240" s="1142"/>
      <c r="BQ240" s="1142"/>
      <c r="BR240" s="1142"/>
      <c r="BS240" s="1142"/>
      <c r="BT240" s="1142"/>
      <c r="BU240" s="1478"/>
      <c r="BV240" s="1082"/>
      <c r="BW240" s="1552"/>
      <c r="BX240" s="1552"/>
    </row>
    <row r="241" spans="1:76" s="1236" customFormat="1" x14ac:dyDescent="0.3">
      <c r="A241" s="1527"/>
      <c r="B241" s="1142"/>
      <c r="C241" s="1142"/>
      <c r="D241" s="1142"/>
      <c r="E241" s="1142"/>
      <c r="F241" s="1142"/>
      <c r="G241" s="1070"/>
      <c r="H241" s="1070"/>
      <c r="I241" s="1142"/>
      <c r="J241" s="1142"/>
      <c r="K241" s="1142"/>
      <c r="L241" s="1142"/>
      <c r="M241" s="1142"/>
      <c r="N241" s="1142"/>
      <c r="O241" s="1142"/>
      <c r="P241" s="1142"/>
      <c r="Q241" s="1142"/>
      <c r="R241" s="1142"/>
      <c r="S241" s="1142"/>
      <c r="T241" s="1142"/>
      <c r="U241" s="1142"/>
      <c r="V241" s="1142"/>
      <c r="W241" s="1142"/>
      <c r="X241" s="1142"/>
      <c r="Y241" s="1142"/>
      <c r="Z241" s="1142"/>
      <c r="AA241" s="1142"/>
      <c r="AB241" s="1142"/>
      <c r="AC241" s="1142"/>
      <c r="AD241" s="1142"/>
      <c r="AE241" s="1142"/>
      <c r="AF241" s="1142"/>
      <c r="AG241" s="1142"/>
      <c r="AH241" s="1142"/>
      <c r="AI241" s="1142"/>
      <c r="AJ241" s="1564"/>
      <c r="AK241" s="1142"/>
      <c r="AL241" s="1142"/>
      <c r="AM241" s="1142"/>
      <c r="AN241" s="1142"/>
      <c r="AO241" s="1149"/>
      <c r="AP241" s="1142"/>
      <c r="AQ241" s="1070"/>
      <c r="AR241" s="1070"/>
      <c r="AS241" s="1709"/>
      <c r="AT241" s="1142"/>
      <c r="AU241" s="1142"/>
      <c r="AV241" s="1142"/>
      <c r="AW241" s="1142"/>
      <c r="AX241" s="1142"/>
      <c r="AY241" s="1082"/>
      <c r="AZ241" s="1142"/>
      <c r="BA241" s="1142"/>
      <c r="BB241" s="1142"/>
      <c r="BC241" s="1142"/>
      <c r="BD241" s="1142"/>
      <c r="BE241" s="1142"/>
      <c r="BF241" s="1142"/>
      <c r="BG241" s="1142"/>
      <c r="BH241" s="1142"/>
      <c r="BI241" s="1142"/>
      <c r="BJ241" s="1142"/>
      <c r="BK241" s="1142"/>
      <c r="BL241" s="1142"/>
      <c r="BM241" s="1142"/>
      <c r="BN241" s="1142"/>
      <c r="BO241" s="1142"/>
      <c r="BP241" s="1142"/>
      <c r="BQ241" s="1142"/>
      <c r="BR241" s="1142"/>
      <c r="BS241" s="1142"/>
      <c r="BT241" s="1142"/>
      <c r="BU241" s="1478"/>
      <c r="BV241" s="1082"/>
      <c r="BW241" s="1552"/>
      <c r="BX241" s="1552"/>
    </row>
    <row r="242" spans="1:76" s="1236" customFormat="1" x14ac:dyDescent="0.3">
      <c r="A242" s="1527"/>
      <c r="B242" s="1142"/>
      <c r="C242" s="1142"/>
      <c r="D242" s="1142"/>
      <c r="E242" s="1142"/>
      <c r="F242" s="1142"/>
      <c r="G242" s="1070"/>
      <c r="H242" s="1070"/>
      <c r="I242" s="1142"/>
      <c r="J242" s="1142"/>
      <c r="K242" s="1142"/>
      <c r="L242" s="1142"/>
      <c r="M242" s="1142"/>
      <c r="N242" s="1142"/>
      <c r="O242" s="1116"/>
      <c r="P242" s="1116"/>
      <c r="Q242" s="1116"/>
      <c r="R242" s="1116"/>
      <c r="S242" s="1116"/>
      <c r="T242" s="1116"/>
      <c r="U242" s="1116"/>
      <c r="V242" s="1116"/>
      <c r="W242" s="1116"/>
      <c r="X242" s="1116"/>
      <c r="Y242" s="1116"/>
      <c r="Z242" s="1116"/>
      <c r="AA242" s="1116"/>
      <c r="AB242" s="1116"/>
      <c r="AC242" s="1116"/>
      <c r="AD242" s="1116"/>
      <c r="AE242" s="1116"/>
      <c r="AF242" s="1116"/>
      <c r="AG242" s="1116"/>
      <c r="AH242" s="1116"/>
      <c r="AI242" s="1116"/>
      <c r="AJ242" s="1476"/>
      <c r="AK242" s="1116"/>
      <c r="AL242" s="1116"/>
      <c r="AM242" s="1116"/>
      <c r="AN242" s="1116"/>
      <c r="AO242" s="1207"/>
      <c r="AP242" s="1116"/>
      <c r="AQ242" s="1082"/>
      <c r="AR242" s="1082"/>
      <c r="AS242" s="1604"/>
      <c r="AT242" s="1116"/>
      <c r="AU242" s="1116"/>
      <c r="AV242" s="1116"/>
      <c r="AW242" s="1116"/>
      <c r="AX242" s="1116"/>
      <c r="AY242" s="1116"/>
      <c r="AZ242" s="1116"/>
      <c r="BA242" s="1116"/>
      <c r="BB242" s="1116"/>
      <c r="BC242" s="1116"/>
      <c r="BD242" s="1116"/>
      <c r="BE242" s="1116"/>
      <c r="BF242" s="1116"/>
      <c r="BG242" s="1116"/>
      <c r="BH242" s="1116"/>
      <c r="BI242" s="1142"/>
      <c r="BJ242" s="1142"/>
      <c r="BK242" s="1142"/>
      <c r="BL242" s="1142"/>
      <c r="BM242" s="1142"/>
      <c r="BN242" s="1142"/>
      <c r="BO242" s="1142"/>
      <c r="BP242" s="1142"/>
      <c r="BQ242" s="1142"/>
      <c r="BR242" s="1142"/>
      <c r="BS242" s="1142"/>
      <c r="BT242" s="1142"/>
      <c r="BU242" s="1478"/>
      <c r="BV242" s="1082"/>
      <c r="BW242" s="1552"/>
      <c r="BX242" s="1552"/>
    </row>
    <row r="243" spans="1:76" s="1236" customFormat="1" ht="15" thickBot="1" x14ac:dyDescent="0.35">
      <c r="A243" s="1710"/>
      <c r="B243" s="1515"/>
      <c r="C243" s="1515"/>
      <c r="D243" s="1515"/>
      <c r="E243" s="1515"/>
      <c r="F243" s="1515"/>
      <c r="G243" s="1515"/>
      <c r="H243" s="1515"/>
      <c r="I243" s="1515"/>
      <c r="J243" s="1515"/>
      <c r="K243" s="1515"/>
      <c r="L243" s="1515"/>
      <c r="M243" s="1515"/>
      <c r="N243" s="1515"/>
      <c r="O243" s="1515"/>
      <c r="P243" s="1515"/>
      <c r="Q243" s="1515"/>
      <c r="R243" s="1515"/>
      <c r="S243" s="1515"/>
      <c r="T243" s="1515"/>
      <c r="U243" s="1515"/>
      <c r="V243" s="1515"/>
      <c r="W243" s="1515"/>
      <c r="X243" s="1515"/>
      <c r="Y243" s="1515"/>
      <c r="Z243" s="1515"/>
      <c r="AA243" s="1515"/>
      <c r="AB243" s="1515"/>
      <c r="AC243" s="1515"/>
      <c r="AD243" s="1515"/>
      <c r="AE243" s="1515"/>
      <c r="AF243" s="1515"/>
      <c r="AG243" s="1515"/>
      <c r="AH243" s="1515"/>
      <c r="AI243" s="1515"/>
      <c r="AJ243" s="1711"/>
      <c r="AK243" s="1515"/>
      <c r="AL243" s="1515"/>
      <c r="AM243" s="1515"/>
      <c r="AN243" s="1515"/>
      <c r="AO243" s="1712"/>
      <c r="AP243" s="1515"/>
      <c r="AQ243" s="1515"/>
      <c r="AR243" s="1515"/>
      <c r="AS243" s="1515"/>
      <c r="AT243" s="1515"/>
      <c r="AU243" s="1515"/>
      <c r="AV243" s="1515"/>
      <c r="AW243" s="1515"/>
      <c r="AX243" s="1515"/>
      <c r="AY243" s="1515"/>
      <c r="AZ243" s="1515"/>
      <c r="BA243" s="1515"/>
      <c r="BB243" s="1515"/>
      <c r="BC243" s="1515"/>
      <c r="BD243" s="1515"/>
      <c r="BE243" s="1515"/>
      <c r="BF243" s="1515"/>
      <c r="BG243" s="1515"/>
      <c r="BH243" s="1515"/>
      <c r="BI243" s="1515"/>
      <c r="BJ243" s="1515"/>
      <c r="BK243" s="1515"/>
      <c r="BL243" s="1515"/>
      <c r="BM243" s="1515"/>
      <c r="BN243" s="1515"/>
      <c r="BO243" s="1515"/>
      <c r="BP243" s="1515"/>
      <c r="BQ243" s="1515"/>
      <c r="BR243" s="1515"/>
      <c r="BS243" s="1515"/>
      <c r="BT243" s="1515"/>
      <c r="BU243" s="1516"/>
      <c r="BV243" s="1082"/>
      <c r="BW243" s="1552"/>
      <c r="BX243" s="1552"/>
    </row>
    <row r="244" spans="1:76" x14ac:dyDescent="0.3">
      <c r="A244" s="1526"/>
      <c r="B244" s="1526"/>
      <c r="C244" s="1526"/>
      <c r="D244" s="1526"/>
      <c r="E244" s="1526"/>
      <c r="F244" s="1526"/>
      <c r="G244" s="1526"/>
      <c r="H244" s="1526"/>
      <c r="I244" s="1526"/>
      <c r="J244" s="1526"/>
      <c r="K244" s="1526"/>
      <c r="L244" s="1526"/>
      <c r="M244" s="1526"/>
      <c r="N244" s="1526"/>
      <c r="O244" s="1526"/>
      <c r="P244" s="1526"/>
      <c r="Q244" s="1526"/>
      <c r="R244" s="1526"/>
      <c r="S244" s="1526"/>
      <c r="T244" s="1526"/>
      <c r="U244" s="1526"/>
      <c r="V244" s="1526"/>
      <c r="W244" s="1526"/>
      <c r="X244" s="1526"/>
      <c r="Y244" s="1526"/>
      <c r="Z244" s="1526"/>
      <c r="AA244" s="1526"/>
      <c r="AB244" s="1526"/>
      <c r="AC244" s="1526"/>
      <c r="AD244" s="1526"/>
      <c r="AE244" s="1526"/>
      <c r="AF244" s="1526"/>
      <c r="AG244" s="1526"/>
      <c r="AH244" s="1526"/>
      <c r="AI244" s="1526"/>
      <c r="AJ244" s="1526"/>
      <c r="AK244" s="1526"/>
      <c r="AL244" s="1526"/>
      <c r="AM244" s="1526"/>
      <c r="AN244" s="1526"/>
      <c r="AO244" s="1526"/>
      <c r="AP244" s="1526"/>
      <c r="AQ244" s="1526"/>
      <c r="AR244" s="1526"/>
      <c r="AS244" s="1526"/>
      <c r="AT244" s="1526"/>
      <c r="AU244" s="1526"/>
      <c r="AV244" s="1526"/>
      <c r="AW244" s="1526"/>
      <c r="AX244" s="1526"/>
      <c r="AY244" s="1526"/>
      <c r="AZ244" s="1526"/>
      <c r="BA244" s="1526"/>
      <c r="BB244" s="1526"/>
      <c r="BC244" s="1526"/>
      <c r="BD244" s="1526"/>
      <c r="BE244" s="1526"/>
      <c r="BF244" s="1526"/>
      <c r="BG244" s="1526"/>
      <c r="BH244" s="1526"/>
      <c r="BI244" s="1526"/>
      <c r="BJ244" s="1526"/>
      <c r="BK244" s="1526"/>
      <c r="BL244" s="1526"/>
      <c r="BM244" s="1526"/>
      <c r="BN244" s="1526"/>
      <c r="BO244" s="1526"/>
      <c r="BP244" s="1526"/>
      <c r="BQ244" s="1526"/>
      <c r="BR244" s="1526"/>
      <c r="BS244" s="1526"/>
      <c r="BT244" s="1526"/>
      <c r="BU244" s="1526"/>
      <c r="BV244" s="1526"/>
      <c r="BW244" s="1526"/>
      <c r="BX244" s="1526"/>
    </row>
    <row r="245" spans="1:76" x14ac:dyDescent="0.3">
      <c r="A245" s="1526"/>
      <c r="B245" s="1526"/>
      <c r="C245" s="1526"/>
      <c r="D245" s="1526"/>
      <c r="E245" s="1526"/>
      <c r="F245" s="1526"/>
      <c r="G245" s="1526"/>
      <c r="H245" s="1526"/>
      <c r="I245" s="1526"/>
      <c r="J245" s="1526"/>
      <c r="K245" s="1526"/>
      <c r="L245" s="1526"/>
      <c r="M245" s="1526"/>
      <c r="N245" s="1526"/>
      <c r="O245" s="1526"/>
      <c r="P245" s="1526"/>
      <c r="Q245" s="1526"/>
      <c r="R245" s="1526"/>
      <c r="S245" s="1526"/>
      <c r="T245" s="1526"/>
      <c r="U245" s="1526"/>
      <c r="V245" s="1526"/>
      <c r="W245" s="1526"/>
      <c r="X245" s="1526"/>
      <c r="Y245" s="1526"/>
      <c r="Z245" s="1526"/>
      <c r="AA245" s="1526"/>
      <c r="AB245" s="1526"/>
      <c r="AC245" s="1526"/>
      <c r="AD245" s="1526"/>
      <c r="AE245" s="1526"/>
      <c r="AF245" s="1526"/>
      <c r="AG245" s="1526"/>
      <c r="AH245" s="1526"/>
      <c r="AI245" s="1526"/>
      <c r="AJ245" s="1526"/>
      <c r="AK245" s="1526"/>
      <c r="AL245" s="1526"/>
      <c r="AM245" s="1526"/>
      <c r="AN245" s="1526"/>
      <c r="AO245" s="1526"/>
      <c r="AP245" s="1526"/>
      <c r="AQ245" s="1526"/>
      <c r="AR245" s="1526"/>
      <c r="AS245" s="1526"/>
      <c r="AT245" s="1526"/>
      <c r="AU245" s="1526"/>
      <c r="AV245" s="1526"/>
      <c r="AW245" s="1526"/>
      <c r="AX245" s="1526"/>
      <c r="AY245" s="1526"/>
      <c r="AZ245" s="1526"/>
      <c r="BA245" s="1526"/>
      <c r="BB245" s="1526"/>
      <c r="BC245" s="1526"/>
      <c r="BD245" s="1526"/>
      <c r="BE245" s="1526"/>
      <c r="BF245" s="1526"/>
      <c r="BG245" s="1526"/>
      <c r="BH245" s="1526"/>
      <c r="BI245" s="1526"/>
      <c r="BJ245" s="1526"/>
      <c r="BK245" s="1526"/>
      <c r="BL245" s="1526"/>
      <c r="BM245" s="1526"/>
      <c r="BN245" s="1526"/>
      <c r="BO245" s="1526"/>
      <c r="BP245" s="1526"/>
      <c r="BQ245" s="1526"/>
      <c r="BR245" s="1526"/>
      <c r="BS245" s="1526"/>
      <c r="BT245" s="1526"/>
      <c r="BU245" s="1526"/>
      <c r="BV245" s="1526"/>
      <c r="BW245" s="1526"/>
      <c r="BX245" s="1526"/>
    </row>
    <row r="246" spans="1:76" x14ac:dyDescent="0.3">
      <c r="A246" s="1526"/>
      <c r="B246" s="1526"/>
      <c r="C246" s="1526"/>
      <c r="D246" s="1526"/>
      <c r="E246" s="1526"/>
      <c r="F246" s="1526"/>
      <c r="G246" s="1526"/>
      <c r="H246" s="1526"/>
      <c r="I246" s="1526"/>
      <c r="J246" s="1526"/>
      <c r="K246" s="1526"/>
      <c r="L246" s="1526"/>
      <c r="M246" s="1526"/>
      <c r="N246" s="1526"/>
      <c r="O246" s="1526"/>
      <c r="P246" s="1526"/>
      <c r="Q246" s="1526"/>
      <c r="R246" s="1526"/>
      <c r="S246" s="1526"/>
      <c r="T246" s="1526"/>
      <c r="U246" s="1526"/>
      <c r="V246" s="1526"/>
      <c r="W246" s="1526"/>
      <c r="X246" s="1526"/>
      <c r="Y246" s="1526"/>
      <c r="Z246" s="1526"/>
      <c r="AA246" s="1526"/>
      <c r="AB246" s="1526"/>
      <c r="AC246" s="1526"/>
      <c r="AD246" s="1526"/>
      <c r="AE246" s="1526"/>
      <c r="AF246" s="1526"/>
      <c r="AG246" s="1526"/>
      <c r="AH246" s="1526"/>
      <c r="AI246" s="1526"/>
      <c r="AJ246" s="1526"/>
      <c r="AK246" s="1526"/>
      <c r="AL246" s="1526"/>
      <c r="AM246" s="1526"/>
      <c r="AN246" s="1526"/>
      <c r="AO246" s="1526"/>
      <c r="AP246" s="1526"/>
      <c r="AQ246" s="1526"/>
      <c r="AR246" s="1526"/>
      <c r="AS246" s="1526"/>
      <c r="AT246" s="1526"/>
      <c r="AU246" s="1526"/>
      <c r="AV246" s="1526"/>
      <c r="AW246" s="1526"/>
      <c r="AX246" s="1526"/>
      <c r="AY246" s="1526"/>
      <c r="AZ246" s="1526"/>
      <c r="BA246" s="1526"/>
      <c r="BB246" s="1526"/>
      <c r="BC246" s="1526"/>
      <c r="BD246" s="1526"/>
      <c r="BE246" s="1526"/>
      <c r="BF246" s="1526"/>
      <c r="BG246" s="1526"/>
      <c r="BH246" s="1526"/>
      <c r="BI246" s="1526"/>
      <c r="BJ246" s="1526"/>
      <c r="BK246" s="1526"/>
      <c r="BL246" s="1526"/>
      <c r="BM246" s="1526"/>
      <c r="BN246" s="1526"/>
      <c r="BO246" s="1526"/>
      <c r="BP246" s="1526"/>
      <c r="BQ246" s="1526"/>
      <c r="BR246" s="1526"/>
      <c r="BS246" s="1526"/>
      <c r="BT246" s="1526"/>
      <c r="BU246" s="1526"/>
      <c r="BV246" s="1526"/>
      <c r="BW246" s="1526"/>
      <c r="BX246" s="1526"/>
    </row>
    <row r="247" spans="1:76" x14ac:dyDescent="0.3">
      <c r="A247" s="1526"/>
      <c r="B247" s="1526"/>
      <c r="C247" s="1526"/>
      <c r="D247" s="1526"/>
      <c r="E247" s="1526"/>
      <c r="F247" s="1526"/>
      <c r="G247" s="1526"/>
      <c r="H247" s="1526"/>
      <c r="I247" s="1526"/>
      <c r="J247" s="1526"/>
      <c r="K247" s="1526"/>
      <c r="L247" s="1526"/>
      <c r="M247" s="1526"/>
      <c r="N247" s="1526"/>
      <c r="O247" s="1526"/>
      <c r="P247" s="1526"/>
      <c r="Q247" s="1526"/>
      <c r="R247" s="1526"/>
      <c r="S247" s="1526"/>
      <c r="T247" s="1526"/>
      <c r="U247" s="1526"/>
      <c r="V247" s="1526"/>
      <c r="W247" s="1526"/>
      <c r="X247" s="1526"/>
      <c r="Y247" s="1526"/>
      <c r="Z247" s="1526"/>
      <c r="AA247" s="1526"/>
      <c r="AB247" s="1526"/>
      <c r="AC247" s="1526"/>
      <c r="AD247" s="1526"/>
      <c r="AE247" s="1526"/>
      <c r="AF247" s="1526"/>
      <c r="AG247" s="1526"/>
      <c r="AH247" s="1526"/>
      <c r="AI247" s="1526"/>
      <c r="AJ247" s="1526"/>
      <c r="AK247" s="1526"/>
      <c r="AL247" s="1526"/>
      <c r="AM247" s="1526"/>
      <c r="AN247" s="1526"/>
      <c r="AO247" s="1526"/>
      <c r="AP247" s="1526"/>
      <c r="AQ247" s="1526"/>
      <c r="AR247" s="1526"/>
      <c r="AS247" s="1526"/>
      <c r="AT247" s="1526"/>
      <c r="AU247" s="1526"/>
      <c r="AV247" s="1526"/>
      <c r="AW247" s="1526"/>
      <c r="AX247" s="1526"/>
      <c r="AY247" s="1526"/>
      <c r="AZ247" s="1526"/>
      <c r="BA247" s="1526"/>
      <c r="BB247" s="1526"/>
      <c r="BC247" s="1526"/>
      <c r="BD247" s="1526"/>
      <c r="BE247" s="1526"/>
      <c r="BF247" s="1526"/>
      <c r="BG247" s="1526"/>
      <c r="BH247" s="1526"/>
      <c r="BI247" s="1526"/>
      <c r="BJ247" s="1526"/>
      <c r="BK247" s="1526"/>
      <c r="BL247" s="1526"/>
      <c r="BM247" s="1526"/>
      <c r="BN247" s="1526"/>
      <c r="BO247" s="1526"/>
      <c r="BP247" s="1526"/>
      <c r="BQ247" s="1526"/>
      <c r="BR247" s="1526"/>
      <c r="BS247" s="1526"/>
      <c r="BT247" s="1526"/>
      <c r="BU247" s="1526"/>
      <c r="BV247" s="1526"/>
      <c r="BW247" s="1526"/>
      <c r="BX247" s="1526"/>
    </row>
    <row r="248" spans="1:76" x14ac:dyDescent="0.3">
      <c r="A248" s="1526"/>
      <c r="B248" s="1526"/>
      <c r="C248" s="1526"/>
      <c r="D248" s="1526"/>
      <c r="E248" s="1526"/>
      <c r="F248" s="1526"/>
      <c r="G248" s="1526"/>
      <c r="H248" s="1526"/>
      <c r="I248" s="1526"/>
      <c r="J248" s="1526"/>
      <c r="K248" s="1526"/>
      <c r="L248" s="1526"/>
      <c r="M248" s="1526"/>
      <c r="N248" s="1526"/>
      <c r="O248" s="1526"/>
      <c r="P248" s="1526"/>
      <c r="Q248" s="1526"/>
      <c r="R248" s="1526"/>
      <c r="S248" s="1526"/>
      <c r="T248" s="1526"/>
      <c r="U248" s="1526"/>
      <c r="V248" s="1526"/>
      <c r="W248" s="1526"/>
      <c r="X248" s="1526"/>
      <c r="Y248" s="1526"/>
      <c r="Z248" s="1526"/>
      <c r="AA248" s="1526"/>
      <c r="AB248" s="1526"/>
      <c r="AC248" s="1526"/>
      <c r="AD248" s="1526"/>
      <c r="AE248" s="1526"/>
      <c r="AF248" s="1526"/>
      <c r="AG248" s="1526"/>
      <c r="AH248" s="1526"/>
      <c r="AI248" s="1526"/>
      <c r="AJ248" s="1526"/>
      <c r="AK248" s="1526"/>
      <c r="AL248" s="1526"/>
      <c r="AM248" s="1526"/>
      <c r="AN248" s="1526"/>
      <c r="AO248" s="1526"/>
      <c r="AP248" s="1526"/>
      <c r="AQ248" s="1526"/>
      <c r="AR248" s="1526"/>
      <c r="AS248" s="1526"/>
      <c r="AT248" s="1526"/>
      <c r="AU248" s="1526"/>
      <c r="AV248" s="1526"/>
      <c r="AW248" s="1526"/>
      <c r="AX248" s="1526"/>
      <c r="AY248" s="1526"/>
      <c r="AZ248" s="1526"/>
      <c r="BA248" s="1526"/>
      <c r="BB248" s="1526"/>
      <c r="BC248" s="1526"/>
      <c r="BD248" s="1526"/>
      <c r="BE248" s="1526"/>
      <c r="BF248" s="1526"/>
      <c r="BG248" s="1526"/>
      <c r="BH248" s="1526"/>
      <c r="BI248" s="1526"/>
      <c r="BJ248" s="1526"/>
      <c r="BK248" s="1526"/>
      <c r="BL248" s="1526"/>
      <c r="BM248" s="1526"/>
      <c r="BN248" s="1526"/>
      <c r="BO248" s="1526"/>
      <c r="BP248" s="1526"/>
      <c r="BQ248" s="1526"/>
      <c r="BR248" s="1526"/>
      <c r="BS248" s="1526"/>
      <c r="BT248" s="1526"/>
      <c r="BU248" s="1526"/>
      <c r="BV248" s="1526"/>
      <c r="BW248" s="1526"/>
      <c r="BX248" s="1526"/>
    </row>
    <row r="249" spans="1:76" x14ac:dyDescent="0.3">
      <c r="A249" s="1526"/>
      <c r="B249" s="1655" t="s">
        <v>1200</v>
      </c>
      <c r="C249" s="1526"/>
      <c r="D249" s="1526"/>
      <c r="E249" s="1526"/>
      <c r="F249" s="1526"/>
      <c r="G249" s="1526"/>
      <c r="H249" s="1526"/>
      <c r="I249" s="1526"/>
      <c r="J249" s="1526"/>
      <c r="K249" s="1526"/>
      <c r="L249" s="1526"/>
      <c r="M249" s="1526"/>
      <c r="N249" s="1526"/>
      <c r="O249" s="1526"/>
      <c r="P249" s="1526"/>
      <c r="Q249" s="1526"/>
      <c r="R249" s="1526"/>
      <c r="S249" s="1526"/>
      <c r="T249" s="1526"/>
      <c r="U249" s="1526"/>
      <c r="V249" s="1526"/>
      <c r="W249" s="1526"/>
      <c r="X249" s="1526"/>
      <c r="Y249" s="1526"/>
      <c r="Z249" s="1526"/>
      <c r="AA249" s="1526"/>
      <c r="AB249" s="1526"/>
      <c r="AC249" s="1526"/>
      <c r="AD249" s="1526"/>
      <c r="AE249" s="1526"/>
      <c r="AF249" s="1526"/>
      <c r="AG249" s="1526"/>
      <c r="AH249" s="1526"/>
      <c r="AI249" s="1526"/>
      <c r="AJ249" s="1526"/>
      <c r="AK249" s="1526"/>
      <c r="AL249" s="1526"/>
      <c r="AM249" s="1526"/>
      <c r="AN249" s="1526"/>
      <c r="AO249" s="1526"/>
      <c r="AP249" s="1526"/>
      <c r="AQ249" s="1526"/>
      <c r="AR249" s="1526"/>
      <c r="AS249" s="1526"/>
      <c r="AT249" s="1526"/>
      <c r="AU249" s="1526"/>
      <c r="AV249" s="1526"/>
      <c r="AW249" s="1526"/>
      <c r="AX249" s="1526"/>
      <c r="AY249" s="1526"/>
      <c r="AZ249" s="1526"/>
      <c r="BA249" s="1526"/>
      <c r="BB249" s="1526"/>
      <c r="BC249" s="1526"/>
      <c r="BD249" s="1526"/>
      <c r="BE249" s="1526"/>
      <c r="BF249" s="1526"/>
      <c r="BG249" s="1526"/>
      <c r="BH249" s="1526"/>
      <c r="BI249" s="1526"/>
      <c r="BJ249" s="1526"/>
      <c r="BK249" s="1526"/>
      <c r="BL249" s="1526"/>
      <c r="BM249" s="1526"/>
      <c r="BN249" s="1526"/>
      <c r="BO249" s="1526"/>
      <c r="BP249" s="1526"/>
      <c r="BQ249" s="1526"/>
      <c r="BR249" s="1526"/>
      <c r="BS249" s="1526"/>
      <c r="BT249" s="1526"/>
      <c r="BU249" s="1526"/>
      <c r="BV249" s="1526"/>
      <c r="BW249" s="1526"/>
      <c r="BX249" s="1526"/>
    </row>
    <row r="250" spans="1:76" x14ac:dyDescent="0.3">
      <c r="A250" s="1526"/>
      <c r="B250" s="1715" t="s">
        <v>1428</v>
      </c>
      <c r="C250" s="1526"/>
      <c r="D250" s="1526"/>
      <c r="E250" s="1526"/>
      <c r="F250" s="1526"/>
      <c r="G250" s="1526"/>
      <c r="H250" s="1526"/>
      <c r="I250" s="1526"/>
      <c r="J250" s="1526"/>
      <c r="K250" s="1526"/>
      <c r="L250" s="1526"/>
      <c r="M250" s="1526"/>
      <c r="N250" s="1526"/>
      <c r="O250" s="1526"/>
      <c r="P250" s="1526"/>
      <c r="Q250" s="1526"/>
      <c r="R250" s="1526"/>
      <c r="S250" s="1526"/>
      <c r="T250" s="1526"/>
      <c r="U250" s="1526"/>
      <c r="V250" s="1526"/>
      <c r="W250" s="1526"/>
      <c r="X250" s="1526"/>
      <c r="Y250" s="1526"/>
      <c r="Z250" s="1526"/>
      <c r="AA250" s="1526"/>
      <c r="AB250" s="1526"/>
      <c r="AC250" s="1526"/>
      <c r="AD250" s="1526"/>
      <c r="AE250" s="1526"/>
      <c r="AF250" s="1526"/>
      <c r="AG250" s="1526"/>
      <c r="AH250" s="1526"/>
      <c r="AI250" s="1526"/>
      <c r="AJ250" s="1526"/>
      <c r="AK250" s="1526"/>
      <c r="AL250" s="1526"/>
      <c r="AM250" s="1526"/>
      <c r="AN250" s="1526"/>
      <c r="AO250" s="1526"/>
      <c r="AP250" s="1526"/>
      <c r="AQ250" s="1526"/>
      <c r="AR250" s="1526"/>
      <c r="AS250" s="1526"/>
      <c r="AT250" s="1526"/>
      <c r="AU250" s="1526"/>
      <c r="AV250" s="1526"/>
      <c r="AW250" s="1526"/>
      <c r="AX250" s="1526"/>
      <c r="AY250" s="1526"/>
      <c r="AZ250" s="1526"/>
      <c r="BA250" s="1526"/>
      <c r="BB250" s="1526"/>
      <c r="BC250" s="1526"/>
      <c r="BD250" s="1526"/>
      <c r="BE250" s="1526"/>
      <c r="BF250" s="1526"/>
      <c r="BG250" s="1526"/>
      <c r="BH250" s="1526"/>
      <c r="BI250" s="1526"/>
      <c r="BJ250" s="1526"/>
      <c r="BK250" s="1526"/>
      <c r="BL250" s="1526"/>
      <c r="BM250" s="1526"/>
      <c r="BN250" s="1526"/>
      <c r="BO250" s="1526"/>
      <c r="BP250" s="1526"/>
      <c r="BQ250" s="1526"/>
      <c r="BR250" s="1526"/>
      <c r="BS250" s="1526"/>
      <c r="BT250" s="1526"/>
      <c r="BU250" s="1526"/>
      <c r="BV250" s="1526"/>
      <c r="BW250" s="1526"/>
      <c r="BX250" s="1526"/>
    </row>
    <row r="251" spans="1:76" x14ac:dyDescent="0.3">
      <c r="A251" s="1526"/>
      <c r="B251" s="1655"/>
      <c r="C251" s="1526"/>
      <c r="D251" s="1526"/>
      <c r="E251" s="1526"/>
      <c r="F251" s="1526"/>
      <c r="G251" s="1526"/>
      <c r="H251" s="1526"/>
      <c r="I251" s="1526"/>
      <c r="J251" s="1526"/>
      <c r="K251" s="1526"/>
      <c r="L251" s="1526"/>
      <c r="M251" s="1526"/>
      <c r="N251" s="1526"/>
      <c r="O251" s="1526"/>
      <c r="P251" s="1526"/>
      <c r="Q251" s="1526"/>
      <c r="R251" s="1526"/>
      <c r="S251" s="1526"/>
      <c r="T251" s="1526"/>
      <c r="U251" s="1526"/>
      <c r="V251" s="1526"/>
      <c r="W251" s="1526"/>
      <c r="X251" s="1526"/>
      <c r="Y251" s="1526"/>
      <c r="Z251" s="1526"/>
      <c r="AA251" s="1526"/>
      <c r="AB251" s="1526"/>
      <c r="AC251" s="1526"/>
      <c r="AD251" s="1526"/>
      <c r="AE251" s="1526"/>
      <c r="AF251" s="1526"/>
      <c r="AG251" s="1526"/>
      <c r="AH251" s="1526"/>
      <c r="AI251" s="1526"/>
      <c r="AJ251" s="1526"/>
      <c r="AK251" s="1526"/>
      <c r="AL251" s="1526"/>
      <c r="AM251" s="1526"/>
      <c r="AN251" s="1526"/>
      <c r="AO251" s="1526"/>
      <c r="AP251" s="1526"/>
      <c r="AQ251" s="1526"/>
      <c r="AR251" s="1526"/>
      <c r="AS251" s="1526"/>
      <c r="AT251" s="1526"/>
      <c r="AU251" s="1526"/>
      <c r="AV251" s="1526"/>
      <c r="AW251" s="1526"/>
      <c r="AX251" s="1526"/>
      <c r="AY251" s="1526"/>
      <c r="AZ251" s="1526"/>
      <c r="BA251" s="1526"/>
      <c r="BB251" s="1526"/>
      <c r="BC251" s="1526"/>
      <c r="BD251" s="1526"/>
      <c r="BE251" s="1526"/>
      <c r="BF251" s="1526"/>
      <c r="BG251" s="1526"/>
      <c r="BH251" s="1526"/>
      <c r="BI251" s="1526"/>
      <c r="BJ251" s="1526"/>
      <c r="BK251" s="1526"/>
      <c r="BL251" s="1526"/>
      <c r="BM251" s="1526"/>
      <c r="BN251" s="1526"/>
      <c r="BO251" s="1526"/>
      <c r="BP251" s="1526"/>
      <c r="BQ251" s="1526"/>
      <c r="BR251" s="1526"/>
      <c r="BS251" s="1526"/>
      <c r="BT251" s="1526"/>
      <c r="BU251" s="1526"/>
      <c r="BV251" s="1526"/>
      <c r="BW251" s="1526"/>
      <c r="BX251" s="1526"/>
    </row>
    <row r="252" spans="1:76" x14ac:dyDescent="0.3">
      <c r="B252" s="3258" t="s">
        <v>1429</v>
      </c>
      <c r="C252" s="3259"/>
      <c r="D252" s="3259"/>
      <c r="E252" s="3259"/>
      <c r="F252" s="3259"/>
      <c r="G252" s="3259"/>
      <c r="H252" s="3259"/>
      <c r="I252" s="3259"/>
      <c r="J252" s="3259"/>
      <c r="K252" s="3259"/>
      <c r="L252" s="3259"/>
      <c r="M252" s="3259"/>
      <c r="N252" s="3259"/>
      <c r="O252" s="3259"/>
      <c r="P252" s="3259"/>
      <c r="Q252" s="3259"/>
      <c r="R252" s="3259"/>
      <c r="S252" s="3259"/>
      <c r="T252" s="3259"/>
      <c r="U252" s="3259"/>
      <c r="V252" s="3259"/>
      <c r="W252" s="3259"/>
      <c r="X252" s="3259"/>
      <c r="Y252" s="3259"/>
      <c r="Z252" s="3260"/>
    </row>
    <row r="253" spans="1:76" ht="15" customHeight="1" x14ac:dyDescent="0.3">
      <c r="B253" s="3261" t="s">
        <v>1237</v>
      </c>
      <c r="C253" s="3262"/>
      <c r="D253" s="3265" t="s">
        <v>1339</v>
      </c>
      <c r="E253" s="3266"/>
      <c r="F253" s="3267" t="s">
        <v>1430</v>
      </c>
      <c r="G253" s="3267"/>
      <c r="H253" s="3267"/>
      <c r="I253" s="3267"/>
      <c r="J253" s="3267"/>
      <c r="K253" s="3267"/>
      <c r="L253" s="3267"/>
      <c r="M253" s="3267"/>
      <c r="N253" s="3267"/>
      <c r="O253" s="3267" t="s">
        <v>794</v>
      </c>
      <c r="P253" s="3267"/>
      <c r="Q253" s="3267"/>
      <c r="R253" s="3268" t="s">
        <v>1431</v>
      </c>
      <c r="S253" s="3269"/>
      <c r="T253" s="3269"/>
      <c r="U253" s="3269"/>
      <c r="V253" s="3269"/>
      <c r="W253" s="3269"/>
      <c r="X253" s="3269"/>
      <c r="Y253" s="3269"/>
      <c r="Z253" s="3270"/>
    </row>
    <row r="254" spans="1:76" ht="39.75" customHeight="1" x14ac:dyDescent="0.3">
      <c r="B254" s="3263"/>
      <c r="C254" s="3264"/>
      <c r="D254" s="1716" t="s">
        <v>1432</v>
      </c>
      <c r="E254" s="1716" t="s">
        <v>682</v>
      </c>
      <c r="F254" s="1717" t="s">
        <v>1433</v>
      </c>
      <c r="G254" s="1718" t="s">
        <v>1434</v>
      </c>
      <c r="H254" s="1718" t="s">
        <v>1368</v>
      </c>
      <c r="I254" s="1718" t="s">
        <v>1435</v>
      </c>
      <c r="J254" s="1718" t="s">
        <v>1424</v>
      </c>
      <c r="K254" s="1718" t="s">
        <v>415</v>
      </c>
      <c r="L254" s="1717" t="s">
        <v>1436</v>
      </c>
      <c r="M254" s="1718" t="s">
        <v>1426</v>
      </c>
      <c r="N254" s="1717" t="s">
        <v>1335</v>
      </c>
      <c r="O254" s="1717" t="s">
        <v>1312</v>
      </c>
      <c r="P254" s="1717" t="s">
        <v>1335</v>
      </c>
      <c r="Q254" s="1717" t="s">
        <v>1437</v>
      </c>
      <c r="R254" s="3271"/>
      <c r="S254" s="3272"/>
      <c r="T254" s="3272"/>
      <c r="U254" s="3272"/>
      <c r="V254" s="3272"/>
      <c r="W254" s="3272"/>
      <c r="X254" s="3272"/>
      <c r="Y254" s="3272"/>
      <c r="Z254" s="3273"/>
    </row>
    <row r="255" spans="1:76" x14ac:dyDescent="0.3">
      <c r="B255" s="1719" t="s">
        <v>1438</v>
      </c>
      <c r="C255" s="1720"/>
      <c r="D255" s="1203"/>
      <c r="E255" s="1206"/>
      <c r="F255" s="1719"/>
      <c r="G255" s="1721"/>
      <c r="H255" s="1721"/>
      <c r="I255" s="1721"/>
      <c r="J255" s="1205"/>
      <c r="K255" s="1205"/>
      <c r="L255" s="1205"/>
      <c r="M255" s="1205"/>
      <c r="N255" s="1206"/>
      <c r="O255" s="1203"/>
      <c r="P255" s="1205"/>
      <c r="Q255" s="1206"/>
      <c r="R255" s="1722"/>
      <c r="S255" s="1722"/>
      <c r="T255" s="1722"/>
      <c r="U255" s="1722"/>
      <c r="V255" s="1722"/>
      <c r="W255" s="1722"/>
      <c r="X255" s="1722"/>
      <c r="Y255" s="1722"/>
      <c r="Z255" s="1723"/>
    </row>
    <row r="256" spans="1:76" x14ac:dyDescent="0.3">
      <c r="B256" s="1724" t="s">
        <v>1438</v>
      </c>
      <c r="C256" s="1725"/>
      <c r="D256" s="1726"/>
      <c r="E256" s="1723"/>
      <c r="F256" s="1724"/>
      <c r="G256" s="1727"/>
      <c r="H256" s="1727"/>
      <c r="I256" s="1727"/>
      <c r="J256" s="1722"/>
      <c r="K256" s="1722"/>
      <c r="L256" s="1722"/>
      <c r="M256" s="1722"/>
      <c r="N256" s="1723"/>
      <c r="O256" s="1726"/>
      <c r="P256" s="1722"/>
      <c r="Q256" s="1723"/>
      <c r="R256" s="1722"/>
      <c r="S256" s="1722"/>
      <c r="T256" s="1722"/>
      <c r="U256" s="1722"/>
      <c r="V256" s="1722"/>
      <c r="W256" s="1722"/>
      <c r="X256" s="1722"/>
      <c r="Y256" s="1722"/>
      <c r="Z256" s="1723"/>
    </row>
    <row r="257" spans="2:26" x14ac:dyDescent="0.3">
      <c r="B257" s="1724" t="s">
        <v>1438</v>
      </c>
      <c r="C257" s="1725"/>
      <c r="D257" s="1726"/>
      <c r="E257" s="1723"/>
      <c r="F257" s="1724"/>
      <c r="G257" s="1727"/>
      <c r="H257" s="1727"/>
      <c r="I257" s="1727"/>
      <c r="J257" s="1722"/>
      <c r="K257" s="1722"/>
      <c r="L257" s="1722"/>
      <c r="M257" s="1722"/>
      <c r="N257" s="1723"/>
      <c r="O257" s="1726"/>
      <c r="P257" s="1722"/>
      <c r="Q257" s="1723"/>
      <c r="R257" s="1722"/>
      <c r="S257" s="1722"/>
      <c r="T257" s="1722"/>
      <c r="U257" s="1722"/>
      <c r="V257" s="1722"/>
      <c r="W257" s="1722"/>
      <c r="X257" s="1722"/>
      <c r="Y257" s="1722"/>
      <c r="Z257" s="1723"/>
    </row>
    <row r="258" spans="2:26" x14ac:dyDescent="0.3">
      <c r="B258" s="1724" t="s">
        <v>1438</v>
      </c>
      <c r="C258" s="1725"/>
      <c r="D258" s="1726"/>
      <c r="E258" s="1723"/>
      <c r="F258" s="1724"/>
      <c r="G258" s="1727"/>
      <c r="H258" s="1727"/>
      <c r="I258" s="1727"/>
      <c r="J258" s="1722"/>
      <c r="K258" s="1722"/>
      <c r="L258" s="1722"/>
      <c r="M258" s="1722"/>
      <c r="N258" s="1723"/>
      <c r="O258" s="1726"/>
      <c r="P258" s="1722"/>
      <c r="Q258" s="1723"/>
      <c r="R258" s="1722"/>
      <c r="S258" s="1722"/>
      <c r="T258" s="1722"/>
      <c r="U258" s="1722"/>
      <c r="V258" s="1722"/>
      <c r="W258" s="1722"/>
      <c r="X258" s="1722"/>
      <c r="Y258" s="1722"/>
      <c r="Z258" s="1723"/>
    </row>
    <row r="259" spans="2:26" x14ac:dyDescent="0.3">
      <c r="B259" s="1724" t="s">
        <v>1438</v>
      </c>
      <c r="C259" s="1725"/>
      <c r="D259" s="1726"/>
      <c r="E259" s="1723"/>
      <c r="F259" s="1724"/>
      <c r="G259" s="1727"/>
      <c r="H259" s="1727"/>
      <c r="I259" s="1727"/>
      <c r="J259" s="1722"/>
      <c r="K259" s="1722"/>
      <c r="L259" s="1722"/>
      <c r="M259" s="1722"/>
      <c r="N259" s="1723"/>
      <c r="O259" s="1726"/>
      <c r="P259" s="1722"/>
      <c r="Q259" s="1723"/>
      <c r="R259" s="1722"/>
      <c r="S259" s="1722"/>
      <c r="T259" s="1722"/>
      <c r="U259" s="1722"/>
      <c r="V259" s="1722"/>
      <c r="W259" s="1722"/>
      <c r="X259" s="1722"/>
      <c r="Y259" s="1722"/>
      <c r="Z259" s="1723"/>
    </row>
    <row r="260" spans="2:26" x14ac:dyDescent="0.3">
      <c r="B260" s="1724" t="s">
        <v>1438</v>
      </c>
      <c r="C260" s="1725"/>
      <c r="D260" s="1726"/>
      <c r="E260" s="1723"/>
      <c r="F260" s="1724"/>
      <c r="G260" s="1727"/>
      <c r="H260" s="1727"/>
      <c r="I260" s="1727"/>
      <c r="J260" s="1722"/>
      <c r="K260" s="1722"/>
      <c r="L260" s="1722"/>
      <c r="M260" s="1722"/>
      <c r="N260" s="1723"/>
      <c r="O260" s="1726"/>
      <c r="P260" s="1722"/>
      <c r="Q260" s="1723"/>
      <c r="R260" s="1722"/>
      <c r="S260" s="1722"/>
      <c r="T260" s="1722"/>
      <c r="U260" s="1722"/>
      <c r="V260" s="1722"/>
      <c r="W260" s="1722"/>
      <c r="X260" s="1722"/>
      <c r="Y260" s="1722"/>
      <c r="Z260" s="1723"/>
    </row>
    <row r="261" spans="2:26" x14ac:dyDescent="0.3">
      <c r="B261" s="1724" t="s">
        <v>1438</v>
      </c>
      <c r="C261" s="1725"/>
      <c r="D261" s="1726"/>
      <c r="E261" s="1723"/>
      <c r="F261" s="1724"/>
      <c r="G261" s="1727"/>
      <c r="H261" s="1727"/>
      <c r="I261" s="1727"/>
      <c r="J261" s="1722"/>
      <c r="K261" s="1722"/>
      <c r="L261" s="1722"/>
      <c r="M261" s="1722"/>
      <c r="N261" s="1723"/>
      <c r="O261" s="1726"/>
      <c r="P261" s="1722"/>
      <c r="Q261" s="1723"/>
      <c r="R261" s="1722"/>
      <c r="S261" s="1722"/>
      <c r="T261" s="1722"/>
      <c r="U261" s="1722"/>
      <c r="V261" s="1722"/>
      <c r="W261" s="1722"/>
      <c r="X261" s="1722"/>
      <c r="Y261" s="1722"/>
      <c r="Z261" s="1723"/>
    </row>
    <row r="262" spans="2:26" x14ac:dyDescent="0.3">
      <c r="B262" s="1724" t="s">
        <v>1438</v>
      </c>
      <c r="C262" s="1725"/>
      <c r="D262" s="1726"/>
      <c r="E262" s="1723"/>
      <c r="F262" s="1724"/>
      <c r="G262" s="1727"/>
      <c r="H262" s="1727"/>
      <c r="I262" s="1727"/>
      <c r="J262" s="1722"/>
      <c r="K262" s="1722"/>
      <c r="L262" s="1722"/>
      <c r="M262" s="1722"/>
      <c r="N262" s="1723"/>
      <c r="O262" s="1726"/>
      <c r="P262" s="1722"/>
      <c r="Q262" s="1723"/>
      <c r="R262" s="1722"/>
      <c r="S262" s="1722"/>
      <c r="T262" s="1722"/>
      <c r="U262" s="1722"/>
      <c r="V262" s="1722"/>
      <c r="W262" s="1722"/>
      <c r="X262" s="1722"/>
      <c r="Y262" s="1722"/>
      <c r="Z262" s="1723"/>
    </row>
    <row r="263" spans="2:26" x14ac:dyDescent="0.3">
      <c r="B263" s="1724" t="s">
        <v>1438</v>
      </c>
      <c r="C263" s="1725"/>
      <c r="D263" s="1726"/>
      <c r="E263" s="1723"/>
      <c r="F263" s="1724"/>
      <c r="G263" s="1727"/>
      <c r="H263" s="1727"/>
      <c r="I263" s="1727"/>
      <c r="J263" s="1722"/>
      <c r="K263" s="1722"/>
      <c r="L263" s="1722"/>
      <c r="M263" s="1722"/>
      <c r="N263" s="1723"/>
      <c r="O263" s="1726"/>
      <c r="P263" s="1722"/>
      <c r="Q263" s="1723"/>
      <c r="R263" s="1722"/>
      <c r="S263" s="1722"/>
      <c r="T263" s="1722"/>
      <c r="U263" s="1722"/>
      <c r="V263" s="1722"/>
      <c r="W263" s="1722"/>
      <c r="X263" s="1722"/>
      <c r="Y263" s="1722"/>
      <c r="Z263" s="1723"/>
    </row>
    <row r="264" spans="2:26" x14ac:dyDescent="0.3">
      <c r="B264" s="1724" t="s">
        <v>1438</v>
      </c>
      <c r="C264" s="1725"/>
      <c r="D264" s="1726"/>
      <c r="E264" s="1723"/>
      <c r="F264" s="1724"/>
      <c r="G264" s="1727"/>
      <c r="H264" s="1727"/>
      <c r="I264" s="1727"/>
      <c r="J264" s="1722"/>
      <c r="K264" s="1722"/>
      <c r="L264" s="1722"/>
      <c r="M264" s="1722"/>
      <c r="N264" s="1723"/>
      <c r="O264" s="1726"/>
      <c r="P264" s="1722"/>
      <c r="Q264" s="1723"/>
      <c r="R264" s="1722"/>
      <c r="S264" s="1722"/>
      <c r="T264" s="1722"/>
      <c r="U264" s="1722"/>
      <c r="V264" s="1722"/>
      <c r="W264" s="1722"/>
      <c r="X264" s="1722"/>
      <c r="Y264" s="1722"/>
      <c r="Z264" s="1723"/>
    </row>
    <row r="265" spans="2:26" x14ac:dyDescent="0.3">
      <c r="B265" s="1724" t="s">
        <v>1438</v>
      </c>
      <c r="C265" s="1725"/>
      <c r="D265" s="1726"/>
      <c r="E265" s="1723"/>
      <c r="F265" s="1724"/>
      <c r="G265" s="1727"/>
      <c r="H265" s="1727"/>
      <c r="I265" s="1727"/>
      <c r="J265" s="1722"/>
      <c r="K265" s="1722"/>
      <c r="L265" s="1722"/>
      <c r="M265" s="1722"/>
      <c r="N265" s="1723"/>
      <c r="O265" s="1726"/>
      <c r="P265" s="1722"/>
      <c r="Q265" s="1723"/>
      <c r="R265" s="1722"/>
      <c r="S265" s="1722"/>
      <c r="T265" s="1722"/>
      <c r="U265" s="1722"/>
      <c r="V265" s="1722"/>
      <c r="W265" s="1722"/>
      <c r="X265" s="1722"/>
      <c r="Y265" s="1722"/>
      <c r="Z265" s="1723"/>
    </row>
    <row r="266" spans="2:26" x14ac:dyDescent="0.3">
      <c r="B266" s="1724" t="s">
        <v>1438</v>
      </c>
      <c r="C266" s="1725"/>
      <c r="D266" s="1726"/>
      <c r="E266" s="1723"/>
      <c r="F266" s="1724"/>
      <c r="G266" s="1727"/>
      <c r="H266" s="1727"/>
      <c r="I266" s="1727"/>
      <c r="J266" s="1722"/>
      <c r="K266" s="1722"/>
      <c r="L266" s="1722"/>
      <c r="M266" s="1722"/>
      <c r="N266" s="1723"/>
      <c r="O266" s="1726"/>
      <c r="P266" s="1722"/>
      <c r="Q266" s="1723"/>
      <c r="R266" s="1722"/>
      <c r="S266" s="1722"/>
      <c r="T266" s="1722"/>
      <c r="U266" s="1722"/>
      <c r="V266" s="1722"/>
      <c r="W266" s="1722"/>
      <c r="X266" s="1722"/>
      <c r="Y266" s="1722"/>
      <c r="Z266" s="1723"/>
    </row>
    <row r="267" spans="2:26" x14ac:dyDescent="0.3">
      <c r="B267" s="1724" t="s">
        <v>1438</v>
      </c>
      <c r="C267" s="1725"/>
      <c r="D267" s="1726"/>
      <c r="E267" s="1723"/>
      <c r="F267" s="1724"/>
      <c r="G267" s="1727"/>
      <c r="H267" s="1727"/>
      <c r="I267" s="1727"/>
      <c r="J267" s="1722"/>
      <c r="K267" s="1722"/>
      <c r="L267" s="1722"/>
      <c r="M267" s="1722"/>
      <c r="N267" s="1723"/>
      <c r="O267" s="1726"/>
      <c r="P267" s="1722"/>
      <c r="Q267" s="1723"/>
      <c r="R267" s="1722"/>
      <c r="S267" s="1722"/>
      <c r="T267" s="1722"/>
      <c r="U267" s="1722"/>
      <c r="V267" s="1722"/>
      <c r="W267" s="1722"/>
      <c r="X267" s="1722"/>
      <c r="Y267" s="1722"/>
      <c r="Z267" s="1723"/>
    </row>
    <row r="268" spans="2:26" x14ac:dyDescent="0.3">
      <c r="B268" s="1724" t="s">
        <v>1438</v>
      </c>
      <c r="C268" s="1725"/>
      <c r="D268" s="1726"/>
      <c r="E268" s="1723"/>
      <c r="F268" s="1724"/>
      <c r="G268" s="1727"/>
      <c r="H268" s="1727"/>
      <c r="I268" s="1727"/>
      <c r="J268" s="1722"/>
      <c r="K268" s="1722"/>
      <c r="L268" s="1722"/>
      <c r="M268" s="1722"/>
      <c r="N268" s="1723"/>
      <c r="O268" s="1726"/>
      <c r="P268" s="1722"/>
      <c r="Q268" s="1723"/>
      <c r="R268" s="1722"/>
      <c r="S268" s="1722"/>
      <c r="T268" s="1722"/>
      <c r="U268" s="1722"/>
      <c r="V268" s="1722"/>
      <c r="W268" s="1722"/>
      <c r="X268" s="1722"/>
      <c r="Y268" s="1722"/>
      <c r="Z268" s="1723"/>
    </row>
    <row r="269" spans="2:26" x14ac:dyDescent="0.3">
      <c r="B269" s="1724" t="s">
        <v>1438</v>
      </c>
      <c r="C269" s="1725"/>
      <c r="D269" s="1726"/>
      <c r="E269" s="1723"/>
      <c r="F269" s="1724"/>
      <c r="G269" s="1727"/>
      <c r="H269" s="1727"/>
      <c r="I269" s="1727"/>
      <c r="J269" s="1722"/>
      <c r="K269" s="1722"/>
      <c r="L269" s="1722"/>
      <c r="M269" s="1722"/>
      <c r="N269" s="1723"/>
      <c r="O269" s="1726"/>
      <c r="P269" s="1722"/>
      <c r="Q269" s="1723"/>
      <c r="R269" s="1722"/>
      <c r="S269" s="1722"/>
      <c r="T269" s="1722"/>
      <c r="U269" s="1722"/>
      <c r="V269" s="1722"/>
      <c r="W269" s="1722"/>
      <c r="X269" s="1722"/>
      <c r="Y269" s="1722"/>
      <c r="Z269" s="1723"/>
    </row>
    <row r="270" spans="2:26" x14ac:dyDescent="0.3">
      <c r="B270" s="1724" t="s">
        <v>1438</v>
      </c>
      <c r="C270" s="1725"/>
      <c r="D270" s="1726"/>
      <c r="E270" s="1723"/>
      <c r="F270" s="1724"/>
      <c r="G270" s="1727"/>
      <c r="H270" s="1727"/>
      <c r="I270" s="1727"/>
      <c r="J270" s="1722"/>
      <c r="K270" s="1722"/>
      <c r="L270" s="1722"/>
      <c r="M270" s="1722"/>
      <c r="N270" s="1723"/>
      <c r="O270" s="1726"/>
      <c r="P270" s="1722"/>
      <c r="Q270" s="1723"/>
      <c r="R270" s="1722"/>
      <c r="S270" s="1722"/>
      <c r="T270" s="1722"/>
      <c r="U270" s="1722"/>
      <c r="V270" s="1722"/>
      <c r="W270" s="1722"/>
      <c r="X270" s="1722"/>
      <c r="Y270" s="1722"/>
      <c r="Z270" s="1723"/>
    </row>
    <row r="271" spans="2:26" x14ac:dyDescent="0.3">
      <c r="B271" s="1724" t="s">
        <v>1438</v>
      </c>
      <c r="C271" s="1725"/>
      <c r="D271" s="1726"/>
      <c r="E271" s="1723"/>
      <c r="F271" s="1724"/>
      <c r="G271" s="1727"/>
      <c r="H271" s="1727"/>
      <c r="I271" s="1727"/>
      <c r="J271" s="1722"/>
      <c r="K271" s="1722"/>
      <c r="L271" s="1722"/>
      <c r="M271" s="1722"/>
      <c r="N271" s="1723"/>
      <c r="O271" s="1726"/>
      <c r="P271" s="1722"/>
      <c r="Q271" s="1723"/>
      <c r="R271" s="1722"/>
      <c r="S271" s="1722"/>
      <c r="T271" s="1722"/>
      <c r="U271" s="1722"/>
      <c r="V271" s="1722"/>
      <c r="W271" s="1722"/>
      <c r="X271" s="1722"/>
      <c r="Y271" s="1722"/>
      <c r="Z271" s="1723"/>
    </row>
    <row r="272" spans="2:26" x14ac:dyDescent="0.3">
      <c r="B272" s="1724" t="s">
        <v>1438</v>
      </c>
      <c r="C272" s="1725"/>
      <c r="D272" s="1726"/>
      <c r="E272" s="1723"/>
      <c r="F272" s="1724"/>
      <c r="G272" s="1727"/>
      <c r="H272" s="1727"/>
      <c r="I272" s="1727"/>
      <c r="J272" s="1722"/>
      <c r="K272" s="1722"/>
      <c r="L272" s="1722"/>
      <c r="M272" s="1722"/>
      <c r="N272" s="1723"/>
      <c r="O272" s="1726"/>
      <c r="P272" s="1722"/>
      <c r="Q272" s="1723"/>
      <c r="R272" s="1722"/>
      <c r="S272" s="1722"/>
      <c r="T272" s="1722"/>
      <c r="U272" s="1722"/>
      <c r="V272" s="1722"/>
      <c r="W272" s="1722"/>
      <c r="X272" s="1722"/>
      <c r="Y272" s="1722"/>
      <c r="Z272" s="1723"/>
    </row>
    <row r="273" spans="2:26" x14ac:dyDescent="0.3">
      <c r="B273" s="1724" t="s">
        <v>1438</v>
      </c>
      <c r="C273" s="1725"/>
      <c r="D273" s="1726"/>
      <c r="E273" s="1723"/>
      <c r="F273" s="1724"/>
      <c r="G273" s="1727"/>
      <c r="H273" s="1727"/>
      <c r="I273" s="1727"/>
      <c r="J273" s="1722"/>
      <c r="K273" s="1722"/>
      <c r="L273" s="1722"/>
      <c r="M273" s="1722"/>
      <c r="N273" s="1723"/>
      <c r="O273" s="1726"/>
      <c r="P273" s="1722"/>
      <c r="Q273" s="1723"/>
      <c r="R273" s="1722"/>
      <c r="S273" s="1722"/>
      <c r="T273" s="1722"/>
      <c r="U273" s="1722"/>
      <c r="V273" s="1722"/>
      <c r="W273" s="1722"/>
      <c r="X273" s="1722"/>
      <c r="Y273" s="1722"/>
      <c r="Z273" s="1723"/>
    </row>
    <row r="274" spans="2:26" x14ac:dyDescent="0.3">
      <c r="B274" s="1724" t="s">
        <v>1438</v>
      </c>
      <c r="C274" s="1725"/>
      <c r="D274" s="1726"/>
      <c r="E274" s="1723"/>
      <c r="F274" s="1724"/>
      <c r="G274" s="1727"/>
      <c r="H274" s="1727"/>
      <c r="I274" s="1727"/>
      <c r="J274" s="1722"/>
      <c r="K274" s="1722"/>
      <c r="L274" s="1722"/>
      <c r="M274" s="1722"/>
      <c r="N274" s="1723"/>
      <c r="O274" s="1726"/>
      <c r="P274" s="1722"/>
      <c r="Q274" s="1723"/>
      <c r="R274" s="1722"/>
      <c r="S274" s="1722"/>
      <c r="T274" s="1722"/>
      <c r="U274" s="1722"/>
      <c r="V274" s="1722"/>
      <c r="W274" s="1722"/>
      <c r="X274" s="1722"/>
      <c r="Y274" s="1722"/>
      <c r="Z274" s="1723"/>
    </row>
    <row r="275" spans="2:26" x14ac:dyDescent="0.3">
      <c r="B275" s="1724" t="s">
        <v>1438</v>
      </c>
      <c r="C275" s="1725"/>
      <c r="D275" s="1726"/>
      <c r="E275" s="1723"/>
      <c r="F275" s="1724"/>
      <c r="G275" s="1727"/>
      <c r="H275" s="1727"/>
      <c r="I275" s="1727"/>
      <c r="J275" s="1722"/>
      <c r="K275" s="1722"/>
      <c r="L275" s="1722"/>
      <c r="M275" s="1722"/>
      <c r="N275" s="1723"/>
      <c r="O275" s="1726"/>
      <c r="P275" s="1722"/>
      <c r="Q275" s="1723"/>
      <c r="R275" s="1722"/>
      <c r="S275" s="1722"/>
      <c r="T275" s="1722"/>
      <c r="U275" s="1722"/>
      <c r="V275" s="1722"/>
      <c r="W275" s="1722"/>
      <c r="X275" s="1722"/>
      <c r="Y275" s="1722"/>
      <c r="Z275" s="1723"/>
    </row>
    <row r="276" spans="2:26" x14ac:dyDescent="0.3">
      <c r="B276" s="1724" t="s">
        <v>1438</v>
      </c>
      <c r="C276" s="1725"/>
      <c r="D276" s="1726"/>
      <c r="E276" s="1723"/>
      <c r="F276" s="1724"/>
      <c r="G276" s="1727"/>
      <c r="H276" s="1727"/>
      <c r="I276" s="1727"/>
      <c r="J276" s="1722"/>
      <c r="K276" s="1722"/>
      <c r="L276" s="1722"/>
      <c r="M276" s="1722"/>
      <c r="N276" s="1723"/>
      <c r="O276" s="1726"/>
      <c r="P276" s="1722"/>
      <c r="Q276" s="1723"/>
      <c r="R276" s="1722"/>
      <c r="S276" s="1722"/>
      <c r="T276" s="1722"/>
      <c r="U276" s="1722"/>
      <c r="V276" s="1722"/>
      <c r="W276" s="1722"/>
      <c r="X276" s="1722"/>
      <c r="Y276" s="1722"/>
      <c r="Z276" s="1723"/>
    </row>
    <row r="277" spans="2:26" x14ac:dyDescent="0.3">
      <c r="B277" s="1724" t="s">
        <v>1438</v>
      </c>
      <c r="C277" s="1725"/>
      <c r="D277" s="1726"/>
      <c r="E277" s="1723"/>
      <c r="F277" s="1724"/>
      <c r="G277" s="1727"/>
      <c r="H277" s="1727"/>
      <c r="I277" s="1727"/>
      <c r="J277" s="1722"/>
      <c r="K277" s="1722"/>
      <c r="L277" s="1722"/>
      <c r="M277" s="1722"/>
      <c r="N277" s="1723"/>
      <c r="O277" s="1726"/>
      <c r="P277" s="1722"/>
      <c r="Q277" s="1723"/>
      <c r="R277" s="1722"/>
      <c r="S277" s="1722"/>
      <c r="T277" s="1722"/>
      <c r="U277" s="1722"/>
      <c r="V277" s="1722"/>
      <c r="W277" s="1722"/>
      <c r="X277" s="1722"/>
      <c r="Y277" s="1722"/>
      <c r="Z277" s="1723"/>
    </row>
    <row r="278" spans="2:26" x14ac:dyDescent="0.3">
      <c r="B278" s="1724" t="s">
        <v>1438</v>
      </c>
      <c r="C278" s="1725"/>
      <c r="D278" s="1726"/>
      <c r="E278" s="1723"/>
      <c r="F278" s="1724"/>
      <c r="G278" s="1727"/>
      <c r="H278" s="1727"/>
      <c r="I278" s="1727"/>
      <c r="J278" s="1722"/>
      <c r="K278" s="1722"/>
      <c r="L278" s="1722"/>
      <c r="M278" s="1722"/>
      <c r="N278" s="1723"/>
      <c r="O278" s="1726"/>
      <c r="P278" s="1722"/>
      <c r="Q278" s="1723"/>
      <c r="R278" s="1722"/>
      <c r="S278" s="1722"/>
      <c r="T278" s="1722"/>
      <c r="U278" s="1722"/>
      <c r="V278" s="1722"/>
      <c r="W278" s="1722"/>
      <c r="X278" s="1722"/>
      <c r="Y278" s="1722"/>
      <c r="Z278" s="1723"/>
    </row>
    <row r="279" spans="2:26" x14ac:dyDescent="0.3">
      <c r="B279" s="1724" t="s">
        <v>1438</v>
      </c>
      <c r="C279" s="1725"/>
      <c r="D279" s="1726"/>
      <c r="E279" s="1723"/>
      <c r="F279" s="1724"/>
      <c r="G279" s="1727"/>
      <c r="H279" s="1727"/>
      <c r="I279" s="1727"/>
      <c r="J279" s="1722"/>
      <c r="K279" s="1722"/>
      <c r="L279" s="1722"/>
      <c r="M279" s="1722"/>
      <c r="N279" s="1723"/>
      <c r="O279" s="1726"/>
      <c r="P279" s="1722"/>
      <c r="Q279" s="1723"/>
      <c r="R279" s="1722"/>
      <c r="S279" s="1722"/>
      <c r="T279" s="1722"/>
      <c r="U279" s="1722"/>
      <c r="V279" s="1722"/>
      <c r="W279" s="1722"/>
      <c r="X279" s="1722"/>
      <c r="Y279" s="1722"/>
      <c r="Z279" s="1723"/>
    </row>
    <row r="280" spans="2:26" x14ac:dyDescent="0.3">
      <c r="B280" s="1724" t="s">
        <v>1438</v>
      </c>
      <c r="C280" s="1725"/>
      <c r="D280" s="1726"/>
      <c r="E280" s="1723"/>
      <c r="F280" s="1724"/>
      <c r="G280" s="1727"/>
      <c r="H280" s="1727"/>
      <c r="I280" s="1727"/>
      <c r="J280" s="1722"/>
      <c r="K280" s="1722"/>
      <c r="L280" s="1722"/>
      <c r="M280" s="1722"/>
      <c r="N280" s="1723"/>
      <c r="O280" s="1726"/>
      <c r="P280" s="1722"/>
      <c r="Q280" s="1723"/>
      <c r="R280" s="1722"/>
      <c r="S280" s="1722"/>
      <c r="T280" s="1722"/>
      <c r="U280" s="1722"/>
      <c r="V280" s="1722"/>
      <c r="W280" s="1722"/>
      <c r="X280" s="1722"/>
      <c r="Y280" s="1722"/>
      <c r="Z280" s="1723"/>
    </row>
    <row r="281" spans="2:26" x14ac:dyDescent="0.3">
      <c r="B281" s="1724" t="s">
        <v>1438</v>
      </c>
      <c r="C281" s="1725"/>
      <c r="D281" s="1726"/>
      <c r="E281" s="1723"/>
      <c r="F281" s="1724"/>
      <c r="G281" s="1727"/>
      <c r="H281" s="1727"/>
      <c r="I281" s="1727"/>
      <c r="J281" s="1722"/>
      <c r="K281" s="1722"/>
      <c r="L281" s="1722"/>
      <c r="M281" s="1722"/>
      <c r="N281" s="1723"/>
      <c r="O281" s="1726"/>
      <c r="P281" s="1722"/>
      <c r="Q281" s="1723"/>
      <c r="R281" s="1722"/>
      <c r="S281" s="1722"/>
      <c r="T281" s="1722"/>
      <c r="U281" s="1722"/>
      <c r="V281" s="1722"/>
      <c r="W281" s="1722"/>
      <c r="X281" s="1722"/>
      <c r="Y281" s="1722"/>
      <c r="Z281" s="1723"/>
    </row>
    <row r="282" spans="2:26" x14ac:dyDescent="0.3">
      <c r="B282" s="1724" t="s">
        <v>1438</v>
      </c>
      <c r="C282" s="1725"/>
      <c r="D282" s="1726"/>
      <c r="E282" s="1723"/>
      <c r="F282" s="1724"/>
      <c r="G282" s="1727"/>
      <c r="H282" s="1727"/>
      <c r="I282" s="1727"/>
      <c r="J282" s="1722"/>
      <c r="K282" s="1722"/>
      <c r="L282" s="1722"/>
      <c r="M282" s="1722"/>
      <c r="N282" s="1723"/>
      <c r="O282" s="1726"/>
      <c r="P282" s="1722"/>
      <c r="Q282" s="1723"/>
      <c r="R282" s="1722"/>
      <c r="S282" s="1722"/>
      <c r="T282" s="1722"/>
      <c r="U282" s="1722"/>
      <c r="V282" s="1722"/>
      <c r="W282" s="1722"/>
      <c r="X282" s="1722"/>
      <c r="Y282" s="1722"/>
      <c r="Z282" s="1723"/>
    </row>
    <row r="283" spans="2:26" x14ac:dyDescent="0.3">
      <c r="B283" s="1724" t="s">
        <v>1438</v>
      </c>
      <c r="C283" s="1725"/>
      <c r="D283" s="1726"/>
      <c r="E283" s="1723"/>
      <c r="F283" s="1724"/>
      <c r="G283" s="1727"/>
      <c r="H283" s="1727"/>
      <c r="I283" s="1727"/>
      <c r="J283" s="1722"/>
      <c r="K283" s="1722"/>
      <c r="L283" s="1722"/>
      <c r="M283" s="1722"/>
      <c r="N283" s="1723"/>
      <c r="O283" s="1726"/>
      <c r="P283" s="1722"/>
      <c r="Q283" s="1723"/>
      <c r="R283" s="1722"/>
      <c r="S283" s="1722"/>
      <c r="T283" s="1722"/>
      <c r="U283" s="1722"/>
      <c r="V283" s="1722"/>
      <c r="W283" s="1722"/>
      <c r="X283" s="1722"/>
      <c r="Y283" s="1722"/>
      <c r="Z283" s="1723"/>
    </row>
    <row r="284" spans="2:26" x14ac:dyDescent="0.3">
      <c r="B284" s="1724" t="s">
        <v>1438</v>
      </c>
      <c r="C284" s="1725"/>
      <c r="D284" s="1726"/>
      <c r="E284" s="1723"/>
      <c r="F284" s="1724"/>
      <c r="G284" s="1727"/>
      <c r="H284" s="1727"/>
      <c r="I284" s="1727"/>
      <c r="J284" s="1722"/>
      <c r="K284" s="1722"/>
      <c r="L284" s="1722"/>
      <c r="M284" s="1722"/>
      <c r="N284" s="1723"/>
      <c r="O284" s="1726"/>
      <c r="P284" s="1722"/>
      <c r="Q284" s="1723"/>
      <c r="R284" s="1722"/>
      <c r="S284" s="1722"/>
      <c r="T284" s="1722"/>
      <c r="U284" s="1722"/>
      <c r="V284" s="1722"/>
      <c r="W284" s="1722"/>
      <c r="X284" s="1722"/>
      <c r="Y284" s="1722"/>
      <c r="Z284" s="1723"/>
    </row>
    <row r="285" spans="2:26" x14ac:dyDescent="0.3">
      <c r="B285" s="1724" t="s">
        <v>1438</v>
      </c>
      <c r="C285" s="1725"/>
      <c r="D285" s="1726"/>
      <c r="E285" s="1723"/>
      <c r="F285" s="1724"/>
      <c r="G285" s="1727"/>
      <c r="H285" s="1727"/>
      <c r="I285" s="1727"/>
      <c r="J285" s="1722"/>
      <c r="K285" s="1722"/>
      <c r="L285" s="1722"/>
      <c r="M285" s="1722"/>
      <c r="N285" s="1723"/>
      <c r="O285" s="1726"/>
      <c r="P285" s="1722"/>
      <c r="Q285" s="1723"/>
      <c r="R285" s="1722"/>
      <c r="S285" s="1722"/>
      <c r="T285" s="1722"/>
      <c r="U285" s="1722"/>
      <c r="V285" s="1722"/>
      <c r="W285" s="1722"/>
      <c r="X285" s="1722"/>
      <c r="Y285" s="1722"/>
      <c r="Z285" s="1723"/>
    </row>
    <row r="286" spans="2:26" x14ac:dyDescent="0.3">
      <c r="B286" s="1728" t="s">
        <v>1438</v>
      </c>
      <c r="C286" s="1729"/>
      <c r="D286" s="1730"/>
      <c r="E286" s="1731"/>
      <c r="F286" s="1728"/>
      <c r="G286" s="1732"/>
      <c r="H286" s="1732"/>
      <c r="I286" s="1732"/>
      <c r="J286" s="1733"/>
      <c r="K286" s="1733"/>
      <c r="L286" s="1733"/>
      <c r="M286" s="1733"/>
      <c r="N286" s="1731"/>
      <c r="O286" s="1730"/>
      <c r="P286" s="1733"/>
      <c r="Q286" s="1731"/>
      <c r="R286" s="1733"/>
      <c r="S286" s="1733"/>
      <c r="T286" s="1733"/>
      <c r="U286" s="1733"/>
      <c r="V286" s="1733"/>
      <c r="W286" s="1733"/>
      <c r="X286" s="1733"/>
      <c r="Y286" s="1733"/>
      <c r="Z286" s="1731"/>
    </row>
  </sheetData>
  <sheetProtection algorithmName="SHA-512" hashValue="Im3kMv4n7INVorHonFvNx8m/7w76YoJTixFma/8AYz7ItqC6LbEefSzHlAa6KmUmTb2tAbJuK4C0lf1NVqcrqw==" saltValue="fh3QdMH9VmxH/ZcqT7p2Ww==" spinCount="100000" sheet="1" scenarios="1" formatCells="0" formatColumns="0" formatRows="0" pivotTables="0"/>
  <mergeCells count="57">
    <mergeCell ref="B252:Z252"/>
    <mergeCell ref="B253:C254"/>
    <mergeCell ref="D253:E253"/>
    <mergeCell ref="F253:N253"/>
    <mergeCell ref="O253:Q253"/>
    <mergeCell ref="R253:Z254"/>
    <mergeCell ref="E233:E234"/>
    <mergeCell ref="F233:G233"/>
    <mergeCell ref="AP233:AP234"/>
    <mergeCell ref="AQ233:AR233"/>
    <mergeCell ref="F234:G234"/>
    <mergeCell ref="AQ234:AR234"/>
    <mergeCell ref="E226:E232"/>
    <mergeCell ref="F226:G226"/>
    <mergeCell ref="AP226:AP232"/>
    <mergeCell ref="AQ226:AR226"/>
    <mergeCell ref="F227:G227"/>
    <mergeCell ref="AQ227:AR227"/>
    <mergeCell ref="F228:G228"/>
    <mergeCell ref="AQ228:AR228"/>
    <mergeCell ref="F229:G229"/>
    <mergeCell ref="AQ229:AR229"/>
    <mergeCell ref="F230:G230"/>
    <mergeCell ref="AQ230:AR230"/>
    <mergeCell ref="F231:G231"/>
    <mergeCell ref="AQ231:AR231"/>
    <mergeCell ref="F232:G232"/>
    <mergeCell ref="AQ232:AR232"/>
    <mergeCell ref="E141:E142"/>
    <mergeCell ref="F141:G141"/>
    <mergeCell ref="AP141:AP142"/>
    <mergeCell ref="AQ141:AR141"/>
    <mergeCell ref="F142:G142"/>
    <mergeCell ref="AQ142:AR142"/>
    <mergeCell ref="E134:E140"/>
    <mergeCell ref="F134:G134"/>
    <mergeCell ref="AP134:AP140"/>
    <mergeCell ref="AQ134:AR134"/>
    <mergeCell ref="F135:G135"/>
    <mergeCell ref="AQ135:AR135"/>
    <mergeCell ref="F136:G136"/>
    <mergeCell ref="AQ136:AR136"/>
    <mergeCell ref="F137:G137"/>
    <mergeCell ref="AQ137:AR137"/>
    <mergeCell ref="F138:G138"/>
    <mergeCell ref="AQ138:AR138"/>
    <mergeCell ref="F139:G139"/>
    <mergeCell ref="AQ139:AR139"/>
    <mergeCell ref="F140:G140"/>
    <mergeCell ref="AQ140:AR140"/>
    <mergeCell ref="B6:AM6"/>
    <mergeCell ref="AP6:BW6"/>
    <mergeCell ref="AJ8:AK8"/>
    <mergeCell ref="Q34:S34"/>
    <mergeCell ref="U34:W34"/>
    <mergeCell ref="BA34:BE34"/>
    <mergeCell ref="BF34:BJ34"/>
  </mergeCells>
  <pageMargins left="0.7" right="0.7" top="0.75" bottom="0.75" header="0.3" footer="0.3"/>
  <pageSetup orientation="portrait" horizontalDpi="90" verticalDpi="90"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PPD_DD_2!$F$46:$F$66</xm:f>
          </x14:formula1>
          <xm:sqref>BO33</xm:sqref>
        </x14:dataValidation>
        <x14:dataValidation type="list" allowBlank="1" showInputMessage="1" showErrorMessage="1" xr:uid="{00000000-0002-0000-0200-000001000000}">
          <x14:formula1>
            <xm:f>PPD_DD_2!$D$68:$D$80</xm:f>
          </x14:formula1>
          <xm:sqref>K38 AU44 K40 K44 D255:D286 AU38 AU40 AU42 K42 BN37:BN38 BN40:BN42</xm:sqref>
        </x14:dataValidation>
        <x14:dataValidation type="list" allowBlank="1" showInputMessage="1" showErrorMessage="1" xr:uid="{00000000-0002-0000-0200-000002000000}">
          <x14:formula1>
            <xm:f>PPD_DD_2!$E$46:$E$66</xm:f>
          </x14:formula1>
          <xm:sqref>L38 BO40:BO42 L40 L44 E255:E286 AD37:AD38 AD40:AD42 AV38 AV40 AV42 AV44 BO37:BO38 L42</xm:sqref>
        </x14:dataValidation>
        <x14:dataValidation type="list" allowBlank="1" showInputMessage="1" showErrorMessage="1" xr:uid="{00000000-0002-0000-0200-000003000000}">
          <x14:formula1>
            <xm:f>FT_PPD_DD!$B$40:$B$52</xm:f>
          </x14:formula1>
          <xm:sqref>AC40:AC42 AC37:AC38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XEX623"/>
  <sheetViews>
    <sheetView showGridLines="0" zoomScale="80" zoomScaleNormal="80" workbookViewId="0">
      <selection activeCell="H18" sqref="H18:AD18"/>
    </sheetView>
  </sheetViews>
  <sheetFormatPr defaultColWidth="9.109375" defaultRowHeight="14.4" outlineLevelRow="2" x14ac:dyDescent="0.3"/>
  <cols>
    <col min="1" max="1" width="3.6640625" style="1071" customWidth="1"/>
    <col min="2" max="2" width="13" style="1071" customWidth="1"/>
    <col min="3" max="3" width="9.109375" style="1071"/>
    <col min="4" max="5" width="5.6640625" style="1071" customWidth="1"/>
    <col min="6" max="6" width="10.88671875" style="1071" customWidth="1"/>
    <col min="7" max="19" width="11.44140625" style="1071" customWidth="1"/>
    <col min="20" max="35" width="9.109375" style="1071" customWidth="1"/>
    <col min="36" max="36" width="15.5546875" style="1071" customWidth="1"/>
    <col min="37" max="37" width="10.6640625" style="1071" customWidth="1"/>
    <col min="38" max="38" width="9.109375" style="1071" customWidth="1"/>
    <col min="39" max="39" width="11.109375" style="1071" customWidth="1"/>
    <col min="40" max="40" width="12" style="1071" bestFit="1" customWidth="1"/>
    <col min="41" max="42" width="9.109375" style="1071"/>
    <col min="43" max="43" width="10.5546875" style="1071" bestFit="1" customWidth="1"/>
    <col min="44" max="44" width="13.109375" style="1071" customWidth="1"/>
    <col min="45" max="51" width="9.109375" style="1071"/>
    <col min="52" max="61" width="10.6640625" style="1071" customWidth="1"/>
    <col min="62" max="72" width="9.109375" style="1071"/>
    <col min="73" max="73" width="11.109375" style="1071" customWidth="1"/>
    <col min="74" max="74" width="9.109375" style="1071"/>
    <col min="75" max="75" width="12.44140625" style="1071" bestFit="1" customWidth="1"/>
    <col min="76" max="76" width="12" style="1071" bestFit="1" customWidth="1"/>
    <col min="77" max="80" width="9.109375" style="1071"/>
    <col min="81" max="81" width="35.33203125" style="1071" customWidth="1"/>
    <col min="82" max="93" width="9.109375" style="1071"/>
    <col min="94" max="94" width="9.44140625" style="1071" bestFit="1" customWidth="1"/>
    <col min="95" max="95" width="9.109375" style="1071"/>
    <col min="96" max="96" width="9.44140625" style="1071" bestFit="1" customWidth="1"/>
    <col min="97" max="97" width="9.109375" style="1071"/>
    <col min="98" max="98" width="9.44140625" style="1071" bestFit="1" customWidth="1"/>
    <col min="99" max="99" width="9.109375" style="1071"/>
    <col min="100" max="100" width="9.44140625" style="1071" bestFit="1" customWidth="1"/>
    <col min="101" max="101" width="9.109375" style="1071"/>
    <col min="102" max="102" width="10.88671875" style="1071" bestFit="1" customWidth="1"/>
    <col min="103" max="103" width="9.109375" style="1071"/>
    <col min="104" max="104" width="10.88671875" style="1071" bestFit="1" customWidth="1"/>
    <col min="105" max="105" width="9.109375" style="1071"/>
    <col min="106" max="106" width="10.88671875" style="1071" bestFit="1" customWidth="1"/>
    <col min="107" max="16384" width="9.109375" style="1071"/>
  </cols>
  <sheetData>
    <row r="1" spans="1:77" x14ac:dyDescent="0.3">
      <c r="A1" s="1082"/>
      <c r="B1" s="1077" t="s">
        <v>1439</v>
      </c>
      <c r="C1" s="1070"/>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c r="AF1" s="1070"/>
      <c r="AG1" s="1070"/>
      <c r="AH1" s="1070"/>
      <c r="AI1" s="1070"/>
      <c r="AJ1" s="1070"/>
      <c r="AK1" s="1070"/>
      <c r="AL1" s="1070"/>
      <c r="AM1" s="1070"/>
      <c r="AN1" s="1070"/>
      <c r="AO1" s="1070"/>
      <c r="AP1" s="1070"/>
      <c r="AQ1" s="1070"/>
      <c r="AR1" s="1070"/>
      <c r="AS1" s="1070"/>
      <c r="AT1" s="1070"/>
      <c r="AU1" s="1070"/>
      <c r="AV1" s="1070"/>
      <c r="AW1" s="1070"/>
      <c r="AX1" s="1070"/>
      <c r="AY1" s="1070"/>
      <c r="AZ1" s="1070"/>
      <c r="BA1" s="1070"/>
      <c r="BB1" s="1070"/>
      <c r="BC1" s="1070"/>
      <c r="BD1" s="1070"/>
      <c r="BE1" s="1070"/>
      <c r="BF1" s="1070"/>
      <c r="BG1" s="1070"/>
      <c r="BH1" s="1070"/>
      <c r="BI1" s="1070"/>
      <c r="BJ1" s="1070"/>
      <c r="BK1" s="1070"/>
      <c r="BL1" s="1070"/>
      <c r="BM1" s="1070"/>
      <c r="BN1" s="1070"/>
      <c r="BO1" s="1070"/>
      <c r="BP1" s="1070"/>
      <c r="BQ1" s="1070"/>
      <c r="BR1" s="1070"/>
      <c r="BS1" s="1070"/>
      <c r="BT1" s="1070"/>
      <c r="BU1" s="1070"/>
      <c r="BV1" s="1070"/>
      <c r="BW1" s="1070"/>
      <c r="BX1" s="1070"/>
      <c r="BY1" s="1070"/>
    </row>
    <row r="2" spans="1:77" x14ac:dyDescent="0.3">
      <c r="A2" s="1082"/>
      <c r="B2" s="1070"/>
      <c r="C2" s="1070"/>
      <c r="D2" s="1070"/>
      <c r="E2" s="1070"/>
      <c r="F2" s="1070"/>
      <c r="G2" s="1070"/>
      <c r="H2" s="1070"/>
      <c r="I2" s="1070"/>
      <c r="J2" s="1070"/>
      <c r="K2" s="1070"/>
      <c r="L2" s="1070"/>
      <c r="M2" s="1070"/>
      <c r="N2" s="1070"/>
      <c r="O2" s="1070"/>
      <c r="P2" s="1070"/>
      <c r="Q2" s="1070"/>
      <c r="R2" s="1070"/>
      <c r="S2" s="1070"/>
      <c r="T2" s="1070"/>
      <c r="U2" s="1070"/>
      <c r="V2" s="1070"/>
      <c r="W2" s="1070"/>
      <c r="X2" s="1070"/>
      <c r="Y2" s="1070"/>
      <c r="Z2" s="1070"/>
      <c r="AA2" s="1070"/>
      <c r="AB2" s="1070"/>
      <c r="AC2" s="1070"/>
      <c r="AD2" s="1070"/>
      <c r="AE2" s="1070"/>
      <c r="AF2" s="1070"/>
      <c r="AG2" s="1070"/>
      <c r="AH2" s="1070"/>
      <c r="AI2" s="1070"/>
      <c r="AJ2" s="1070"/>
      <c r="AK2" s="1070"/>
      <c r="AL2" s="1070"/>
      <c r="AM2" s="1070"/>
      <c r="AN2" s="1070"/>
      <c r="AO2" s="1070"/>
      <c r="AP2" s="1070"/>
      <c r="AQ2" s="1070"/>
      <c r="AR2" s="1070"/>
      <c r="AS2" s="1070"/>
      <c r="AT2" s="1070"/>
      <c r="AU2" s="1070"/>
      <c r="AV2" s="1070"/>
      <c r="AW2" s="1070"/>
      <c r="AX2" s="1070"/>
      <c r="AY2" s="1070"/>
      <c r="AZ2" s="1070"/>
      <c r="BA2" s="1070"/>
      <c r="BB2" s="1070"/>
      <c r="BC2" s="1070"/>
      <c r="BD2" s="1070"/>
      <c r="BE2" s="1070"/>
      <c r="BF2" s="1070"/>
      <c r="BG2" s="1070"/>
      <c r="BH2" s="1070"/>
      <c r="BI2" s="1070"/>
      <c r="BJ2" s="1070"/>
      <c r="BK2" s="1070"/>
      <c r="BL2" s="1070"/>
      <c r="BM2" s="1070"/>
      <c r="BN2" s="1070"/>
      <c r="BO2" s="1070"/>
      <c r="BP2" s="1070"/>
      <c r="BQ2" s="1070"/>
      <c r="BR2" s="1070"/>
      <c r="BS2" s="1070"/>
      <c r="BT2" s="1070"/>
      <c r="BU2" s="1070"/>
      <c r="BV2" s="1070"/>
      <c r="BW2" s="1070"/>
      <c r="BX2" s="1070"/>
      <c r="BY2" s="1070"/>
    </row>
    <row r="3" spans="1:77" x14ac:dyDescent="0.3">
      <c r="A3" s="1082"/>
      <c r="B3" s="1734" t="s">
        <v>1440</v>
      </c>
      <c r="C3" s="1070"/>
      <c r="D3" s="1070"/>
      <c r="E3" s="1070"/>
      <c r="F3" s="1070"/>
      <c r="G3" s="1070"/>
      <c r="H3" s="1070"/>
      <c r="I3" s="1070"/>
      <c r="J3" s="1070"/>
      <c r="K3" s="1070"/>
      <c r="L3" s="1070"/>
      <c r="M3" s="1070"/>
      <c r="N3" s="1070"/>
      <c r="O3" s="1070"/>
      <c r="P3" s="1070"/>
      <c r="Q3" s="1070"/>
      <c r="R3" s="1070"/>
      <c r="S3" s="1070"/>
      <c r="T3" s="1070"/>
      <c r="U3" s="1070"/>
      <c r="V3" s="1070"/>
      <c r="W3" s="1070"/>
      <c r="X3" s="1070"/>
      <c r="Y3" s="1070"/>
      <c r="Z3" s="1070"/>
      <c r="AA3" s="1070"/>
      <c r="AB3" s="1070"/>
      <c r="AC3" s="1070"/>
      <c r="AD3" s="1070"/>
      <c r="AE3" s="1070"/>
      <c r="AF3" s="1070"/>
      <c r="AG3" s="1070"/>
      <c r="AH3" s="1070"/>
      <c r="AI3" s="1070"/>
      <c r="AJ3" s="1070"/>
      <c r="AK3" s="1070"/>
      <c r="AL3" s="1070"/>
      <c r="AM3" s="1070"/>
      <c r="AN3" s="1070"/>
      <c r="AO3" s="1070"/>
      <c r="AP3" s="1070"/>
      <c r="AQ3" s="1070"/>
      <c r="AR3" s="1070"/>
      <c r="AS3" s="1070"/>
      <c r="AT3" s="1070"/>
      <c r="AU3" s="1070"/>
      <c r="AV3" s="1070"/>
      <c r="AW3" s="1070"/>
      <c r="AX3" s="1070"/>
      <c r="AY3" s="1070"/>
      <c r="AZ3" s="1070"/>
      <c r="BA3" s="1070"/>
      <c r="BB3" s="1070"/>
      <c r="BC3" s="1070"/>
      <c r="BD3" s="1070"/>
      <c r="BE3" s="1070"/>
      <c r="BF3" s="1070"/>
      <c r="BG3" s="1070"/>
      <c r="BH3" s="1070"/>
      <c r="BI3" s="1070"/>
      <c r="BJ3" s="1070"/>
      <c r="BK3" s="1070"/>
      <c r="BL3" s="1070"/>
      <c r="BM3" s="1070"/>
      <c r="BN3" s="1070"/>
      <c r="BO3" s="1070"/>
      <c r="BP3" s="1070"/>
      <c r="BQ3" s="1070"/>
      <c r="BR3" s="1070"/>
      <c r="BS3" s="1070"/>
      <c r="BT3" s="1070"/>
      <c r="BU3" s="1070"/>
      <c r="BV3" s="1070"/>
      <c r="BW3" s="1070"/>
      <c r="BX3" s="1070"/>
      <c r="BY3" s="1070"/>
    </row>
    <row r="4" spans="1:77" x14ac:dyDescent="0.3">
      <c r="A4" s="1082"/>
      <c r="B4" s="1070"/>
      <c r="C4" s="1070"/>
      <c r="D4" s="1070"/>
      <c r="E4" s="1070"/>
      <c r="F4" s="1070"/>
      <c r="G4" s="1070"/>
      <c r="H4" s="1070"/>
      <c r="I4" s="1070"/>
      <c r="J4" s="1070"/>
      <c r="K4" s="1070"/>
      <c r="L4" s="1070"/>
      <c r="M4" s="1070"/>
      <c r="N4" s="1070"/>
      <c r="O4" s="1070"/>
      <c r="P4" s="1070"/>
      <c r="Q4" s="1070"/>
      <c r="R4" s="1070"/>
      <c r="S4" s="1070"/>
      <c r="T4" s="1070"/>
      <c r="U4" s="1070"/>
      <c r="V4" s="1070"/>
      <c r="W4" s="1070"/>
      <c r="X4" s="1070"/>
      <c r="Y4" s="1070"/>
      <c r="Z4" s="1070"/>
      <c r="AA4" s="1070"/>
      <c r="AB4" s="1070"/>
      <c r="AC4" s="1070"/>
      <c r="AD4" s="1070"/>
      <c r="AE4" s="1070"/>
      <c r="AF4" s="1070"/>
      <c r="AG4" s="1070"/>
      <c r="AH4" s="1070"/>
      <c r="AI4" s="1070"/>
      <c r="AJ4" s="1070"/>
      <c r="AK4" s="1070"/>
      <c r="AL4" s="1070"/>
      <c r="AM4" s="1070"/>
      <c r="AN4" s="1070"/>
      <c r="AO4" s="1070"/>
      <c r="AP4" s="1070"/>
      <c r="AQ4" s="1070"/>
      <c r="AR4" s="1070"/>
      <c r="AS4" s="1070"/>
      <c r="AT4" s="1070"/>
      <c r="AU4" s="1070"/>
      <c r="AV4" s="1070"/>
      <c r="AW4" s="1070"/>
      <c r="AX4" s="1070"/>
      <c r="AY4" s="1070"/>
      <c r="AZ4" s="1070"/>
      <c r="BA4" s="1070"/>
      <c r="BB4" s="1070"/>
      <c r="BC4" s="1070"/>
      <c r="BD4" s="1070"/>
      <c r="BE4" s="1070"/>
      <c r="BF4" s="1070"/>
      <c r="BG4" s="1070"/>
      <c r="BH4" s="1070"/>
      <c r="BI4" s="1070"/>
      <c r="BJ4" s="1070"/>
      <c r="BK4" s="1070"/>
      <c r="BL4" s="1070"/>
      <c r="BM4" s="1070"/>
      <c r="BN4" s="1070"/>
      <c r="BO4" s="1070"/>
      <c r="BP4" s="1070"/>
      <c r="BQ4" s="1070"/>
      <c r="BR4" s="1070"/>
      <c r="BS4" s="1070"/>
      <c r="BT4" s="1070"/>
      <c r="BU4" s="1070"/>
      <c r="BV4" s="1070"/>
      <c r="BW4" s="1070"/>
      <c r="BX4" s="1070"/>
      <c r="BY4" s="1070"/>
    </row>
    <row r="5" spans="1:77" x14ac:dyDescent="0.3">
      <c r="A5" s="1082"/>
      <c r="B5" s="1734"/>
      <c r="C5" s="1070"/>
      <c r="D5" s="1070"/>
      <c r="E5" s="1070"/>
      <c r="F5" s="1070"/>
      <c r="G5" s="1070"/>
      <c r="H5" s="1070"/>
      <c r="I5" s="1070"/>
      <c r="J5" s="1070"/>
      <c r="K5" s="1070"/>
      <c r="L5" s="1070"/>
      <c r="M5" s="1070"/>
      <c r="N5" s="1070"/>
      <c r="O5" s="1070"/>
      <c r="P5" s="1070"/>
      <c r="Q5" s="1070"/>
      <c r="R5" s="1070"/>
      <c r="S5" s="1070"/>
      <c r="T5" s="1070"/>
      <c r="U5" s="1070"/>
      <c r="V5" s="1070"/>
      <c r="W5" s="1070"/>
      <c r="X5" s="1070"/>
      <c r="Y5" s="1070"/>
      <c r="Z5" s="1070"/>
      <c r="AA5" s="1070"/>
      <c r="AB5" s="1070"/>
      <c r="AC5" s="1070"/>
      <c r="AD5" s="1070"/>
      <c r="AE5" s="1070"/>
      <c r="AF5" s="1070"/>
      <c r="AG5" s="1070"/>
      <c r="AH5" s="1070"/>
      <c r="AI5" s="1070"/>
      <c r="AJ5" s="1070"/>
      <c r="AK5" s="1070"/>
      <c r="AL5" s="1070"/>
      <c r="AM5" s="1070"/>
      <c r="AN5" s="1070"/>
      <c r="AO5" s="1070"/>
      <c r="AP5" s="1070"/>
      <c r="AQ5" s="1070"/>
      <c r="AR5" s="1070"/>
      <c r="AS5" s="1070"/>
      <c r="AT5" s="1070"/>
      <c r="AU5" s="1070"/>
      <c r="AV5" s="1070"/>
      <c r="AW5" s="1070"/>
      <c r="AX5" s="1070"/>
      <c r="AY5" s="1070"/>
      <c r="AZ5" s="1070"/>
      <c r="BA5" s="1070"/>
      <c r="BB5" s="1070"/>
      <c r="BC5" s="1070"/>
      <c r="BD5" s="1070"/>
      <c r="BE5" s="1070"/>
      <c r="BF5" s="1070"/>
      <c r="BG5" s="1070"/>
      <c r="BH5" s="1070"/>
      <c r="BI5" s="1070"/>
      <c r="BJ5" s="1070"/>
      <c r="BK5" s="1070"/>
      <c r="BL5" s="1070"/>
      <c r="BM5" s="1070"/>
      <c r="BN5" s="1070"/>
      <c r="BO5" s="1070"/>
      <c r="BP5" s="1070"/>
      <c r="BQ5" s="1070"/>
      <c r="BR5" s="1070"/>
      <c r="BS5" s="1070"/>
      <c r="BT5" s="1070"/>
      <c r="BU5" s="1070"/>
      <c r="BV5" s="1070"/>
      <c r="BW5" s="1070"/>
      <c r="BX5" s="1070"/>
      <c r="BY5" s="1070"/>
    </row>
    <row r="6" spans="1:77" x14ac:dyDescent="0.3">
      <c r="A6" s="1070"/>
      <c r="B6" s="1077" t="s">
        <v>1441</v>
      </c>
      <c r="C6" s="1070"/>
      <c r="D6" s="1070"/>
      <c r="E6" s="1070"/>
      <c r="F6" s="1070"/>
      <c r="G6" s="1070"/>
      <c r="H6" s="1070"/>
      <c r="I6" s="1070"/>
      <c r="J6" s="1070"/>
      <c r="K6" s="1070"/>
      <c r="L6" s="1070"/>
      <c r="M6" s="1070"/>
      <c r="N6" s="1070"/>
      <c r="O6" s="1070"/>
      <c r="P6" s="1070"/>
      <c r="Q6" s="1070"/>
      <c r="R6" s="1070"/>
      <c r="S6" s="1070"/>
      <c r="T6" s="1070"/>
      <c r="U6" s="1070"/>
      <c r="V6" s="1070"/>
      <c r="W6" s="1070"/>
      <c r="X6" s="1070"/>
      <c r="Y6" s="1070"/>
      <c r="Z6" s="1070"/>
      <c r="AA6" s="1070"/>
      <c r="AB6" s="1070"/>
      <c r="AC6" s="1070"/>
      <c r="AD6" s="1070"/>
      <c r="AE6" s="1070"/>
      <c r="AF6" s="1070"/>
      <c r="AG6" s="1070"/>
      <c r="AH6" s="1070"/>
      <c r="AI6" s="1070"/>
      <c r="AJ6" s="1070"/>
      <c r="AK6" s="1070"/>
      <c r="AL6" s="1070"/>
      <c r="AM6" s="1070"/>
      <c r="AN6" s="1070"/>
      <c r="AO6" s="1070"/>
      <c r="AP6" s="1070"/>
      <c r="AQ6" s="1070"/>
      <c r="AR6" s="1070"/>
      <c r="AS6" s="1070"/>
      <c r="AT6" s="1070"/>
      <c r="AU6" s="1070"/>
      <c r="AV6" s="1070"/>
      <c r="AW6" s="1070"/>
      <c r="AX6" s="1070"/>
      <c r="AY6" s="1070"/>
      <c r="AZ6" s="1070"/>
      <c r="BA6" s="1070"/>
      <c r="BB6" s="1070"/>
      <c r="BC6" s="1070"/>
      <c r="BD6" s="1070"/>
      <c r="BE6" s="1070"/>
      <c r="BF6" s="1070"/>
      <c r="BG6" s="1070"/>
      <c r="BH6" s="1070"/>
      <c r="BI6" s="1070"/>
      <c r="BJ6" s="1070"/>
      <c r="BK6" s="1070"/>
      <c r="BL6" s="1070"/>
      <c r="BM6" s="1070"/>
      <c r="BN6" s="1070"/>
      <c r="BO6" s="1070"/>
      <c r="BP6" s="1070"/>
      <c r="BQ6" s="1070"/>
      <c r="BR6" s="1070"/>
      <c r="BS6" s="1070"/>
      <c r="BT6" s="1070"/>
      <c r="BU6" s="1070"/>
      <c r="BV6" s="1070"/>
      <c r="BW6" s="1070"/>
      <c r="BX6" s="1070"/>
      <c r="BY6" s="1070"/>
    </row>
    <row r="7" spans="1:77" x14ac:dyDescent="0.3">
      <c r="A7" s="1070"/>
      <c r="B7" s="1070"/>
      <c r="C7" s="1070"/>
      <c r="D7" s="1070"/>
      <c r="E7" s="1070"/>
      <c r="F7" s="1070"/>
      <c r="G7" s="1070"/>
      <c r="H7" s="1070"/>
      <c r="I7" s="1070"/>
      <c r="J7" s="1070"/>
      <c r="K7" s="1070"/>
      <c r="L7" s="1070"/>
      <c r="M7" s="1070"/>
      <c r="N7" s="1070"/>
      <c r="O7" s="1070"/>
      <c r="P7" s="1070"/>
      <c r="Q7" s="1070"/>
      <c r="R7" s="1070"/>
      <c r="S7" s="1070"/>
      <c r="T7" s="1070"/>
      <c r="U7" s="1070"/>
      <c r="V7" s="1070"/>
      <c r="W7" s="1070"/>
      <c r="X7" s="1070"/>
      <c r="Y7" s="1070"/>
      <c r="Z7" s="1070"/>
      <c r="AA7" s="1070"/>
      <c r="AB7" s="1070"/>
      <c r="AC7" s="1070"/>
      <c r="AD7" s="1070"/>
      <c r="AE7" s="1070"/>
      <c r="AF7" s="1070"/>
      <c r="AG7" s="1070"/>
      <c r="AH7" s="1070"/>
      <c r="AI7" s="1070"/>
      <c r="AJ7" s="1070"/>
      <c r="AK7" s="1070"/>
      <c r="AL7" s="1070"/>
      <c r="AM7" s="1070"/>
      <c r="AN7" s="1070"/>
      <c r="AO7" s="1070"/>
      <c r="AP7" s="1070"/>
      <c r="AQ7" s="1070"/>
      <c r="AR7" s="1070"/>
      <c r="AS7" s="1070"/>
      <c r="AT7" s="1070"/>
      <c r="AU7" s="1070"/>
      <c r="AV7" s="1070"/>
      <c r="AW7" s="1070"/>
      <c r="AX7" s="1070"/>
      <c r="AY7" s="1070"/>
      <c r="AZ7" s="1070"/>
      <c r="BA7" s="1070"/>
      <c r="BB7" s="1070"/>
      <c r="BC7" s="1070"/>
      <c r="BD7" s="1070"/>
      <c r="BE7" s="1070"/>
      <c r="BF7" s="1070"/>
      <c r="BG7" s="1070"/>
      <c r="BH7" s="1070"/>
      <c r="BI7" s="1070"/>
      <c r="BJ7" s="1070"/>
      <c r="BK7" s="1070"/>
      <c r="BL7" s="1070"/>
      <c r="BM7" s="1070"/>
      <c r="BN7" s="1070"/>
      <c r="BO7" s="1070"/>
      <c r="BP7" s="1070"/>
      <c r="BQ7" s="1070"/>
      <c r="BR7" s="1070"/>
      <c r="BS7" s="1070"/>
      <c r="BT7" s="1070"/>
      <c r="BU7" s="1070"/>
      <c r="BV7" s="1070"/>
      <c r="BW7" s="1070"/>
      <c r="BX7" s="1070"/>
      <c r="BY7" s="1070"/>
    </row>
    <row r="8" spans="1:77" x14ac:dyDescent="0.3">
      <c r="A8" s="1070"/>
      <c r="B8" s="1077" t="s">
        <v>757</v>
      </c>
      <c r="C8" s="1070"/>
      <c r="D8" s="1070"/>
      <c r="E8" s="1070"/>
      <c r="F8" s="1070"/>
      <c r="G8" s="1070"/>
      <c r="H8" s="1070"/>
      <c r="I8" s="1070"/>
      <c r="J8" s="1070"/>
      <c r="K8" s="1070"/>
      <c r="L8" s="1070"/>
      <c r="M8" s="1070"/>
      <c r="N8" s="1070"/>
      <c r="O8" s="1070"/>
      <c r="P8" s="1070"/>
      <c r="Q8" s="1070"/>
      <c r="R8" s="1070"/>
      <c r="S8" s="1070"/>
      <c r="T8" s="1070"/>
      <c r="U8" s="1070"/>
      <c r="V8" s="1070"/>
      <c r="W8" s="1070"/>
      <c r="X8" s="1070"/>
      <c r="Y8" s="1070"/>
      <c r="Z8" s="1070"/>
      <c r="AA8" s="1070"/>
      <c r="AB8" s="1070"/>
      <c r="AC8" s="1070"/>
      <c r="AD8" s="1070"/>
      <c r="AE8" s="1070"/>
      <c r="AF8" s="1070"/>
      <c r="AG8" s="1070"/>
      <c r="AH8" s="1070"/>
      <c r="AI8" s="1070"/>
      <c r="AJ8" s="1070"/>
      <c r="AK8" s="1070"/>
      <c r="AL8" s="1070"/>
      <c r="AM8" s="1070"/>
      <c r="AN8" s="1070"/>
      <c r="AO8" s="1070"/>
      <c r="AP8" s="1070"/>
      <c r="AQ8" s="1070"/>
      <c r="AR8" s="1070"/>
      <c r="AS8" s="1070"/>
      <c r="AT8" s="1070"/>
      <c r="AU8" s="1070"/>
      <c r="AV8" s="1070"/>
      <c r="AW8" s="1070"/>
      <c r="AX8" s="1070"/>
      <c r="AY8" s="1070"/>
      <c r="AZ8" s="1070"/>
      <c r="BA8" s="1070"/>
      <c r="BB8" s="1070"/>
      <c r="BC8" s="1070"/>
      <c r="BD8" s="1070"/>
      <c r="BE8" s="1070"/>
      <c r="BF8" s="1070"/>
      <c r="BG8" s="1070"/>
      <c r="BH8" s="1070"/>
      <c r="BI8" s="1070"/>
      <c r="BJ8" s="1070"/>
      <c r="BK8" s="1070"/>
      <c r="BL8" s="1070"/>
      <c r="BM8" s="1070"/>
      <c r="BN8" s="1070"/>
      <c r="BO8" s="1070"/>
      <c r="BP8" s="1070"/>
      <c r="BQ8" s="1070"/>
      <c r="BR8" s="1070"/>
      <c r="BS8" s="1070"/>
      <c r="BT8" s="1070"/>
      <c r="BU8" s="1070"/>
      <c r="BV8" s="1070"/>
      <c r="BW8" s="1070"/>
      <c r="BX8" s="1070"/>
      <c r="BY8" s="1070"/>
    </row>
    <row r="9" spans="1:77" x14ac:dyDescent="0.3">
      <c r="A9" s="1070"/>
      <c r="B9" s="1734"/>
      <c r="C9" s="1070"/>
      <c r="D9" s="1070"/>
      <c r="E9" s="1070"/>
      <c r="F9" s="1070"/>
      <c r="G9" s="1070"/>
      <c r="H9" s="1070"/>
      <c r="I9" s="1070"/>
      <c r="J9" s="1070"/>
      <c r="K9" s="1070"/>
      <c r="L9" s="1070"/>
      <c r="M9" s="1070"/>
      <c r="N9" s="1070"/>
      <c r="O9" s="1070"/>
      <c r="P9" s="1070"/>
      <c r="Q9" s="1070"/>
      <c r="R9" s="1070"/>
      <c r="S9" s="1070"/>
      <c r="T9" s="1070"/>
      <c r="U9" s="1070"/>
      <c r="V9" s="1070"/>
      <c r="W9" s="1070"/>
      <c r="X9" s="1070"/>
      <c r="Y9" s="1070"/>
      <c r="Z9" s="1070"/>
      <c r="AA9" s="1070"/>
      <c r="AB9" s="1070"/>
      <c r="AC9" s="1070"/>
      <c r="AD9" s="1070"/>
      <c r="AE9" s="1070"/>
      <c r="AF9" s="1070"/>
      <c r="AG9" s="1070"/>
      <c r="AH9" s="1070"/>
      <c r="AI9" s="1070"/>
      <c r="AJ9" s="1070"/>
      <c r="AK9" s="1070"/>
      <c r="AL9" s="1070"/>
      <c r="AM9" s="1070"/>
      <c r="AN9" s="1070"/>
      <c r="AO9" s="1070"/>
      <c r="AP9" s="1070"/>
      <c r="AQ9" s="1070"/>
      <c r="AR9" s="1070"/>
      <c r="AS9" s="1070"/>
      <c r="AT9" s="1070"/>
      <c r="AU9" s="1070"/>
      <c r="AV9" s="1070"/>
      <c r="AW9" s="1070"/>
      <c r="AX9" s="1070"/>
      <c r="AY9" s="1070"/>
      <c r="AZ9" s="1070"/>
      <c r="BA9" s="1070"/>
      <c r="BB9" s="1070"/>
      <c r="BC9" s="1070"/>
      <c r="BD9" s="1070"/>
      <c r="BE9" s="1070"/>
      <c r="BF9" s="1070"/>
      <c r="BG9" s="1070"/>
      <c r="BH9" s="1070"/>
      <c r="BI9" s="1070"/>
      <c r="BJ9" s="1070"/>
      <c r="BK9" s="1070"/>
      <c r="BL9" s="1070"/>
      <c r="BM9" s="1070"/>
      <c r="BN9" s="1070"/>
      <c r="BO9" s="1070"/>
      <c r="BP9" s="1070"/>
      <c r="BQ9" s="1070"/>
      <c r="BR9" s="1070"/>
      <c r="BS9" s="1070"/>
      <c r="BT9" s="1070"/>
      <c r="BU9" s="1070"/>
      <c r="BV9" s="1070"/>
      <c r="BW9" s="1070"/>
      <c r="BX9" s="1070"/>
      <c r="BY9" s="1070"/>
    </row>
    <row r="10" spans="1:77" hidden="1" outlineLevel="1" x14ac:dyDescent="0.3">
      <c r="A10" s="1082"/>
      <c r="B10" s="1734" t="s">
        <v>1442</v>
      </c>
      <c r="C10" s="1070"/>
      <c r="D10" s="1070"/>
      <c r="E10" s="1070"/>
      <c r="F10" s="1070"/>
      <c r="G10" s="1070"/>
      <c r="H10" s="1070"/>
      <c r="I10" s="1070"/>
      <c r="J10" s="1070"/>
      <c r="K10" s="1070"/>
      <c r="L10" s="1070"/>
      <c r="M10" s="1070"/>
      <c r="N10" s="1070"/>
      <c r="O10" s="1070"/>
      <c r="P10" s="1070"/>
      <c r="Q10" s="1070"/>
      <c r="R10" s="1070"/>
      <c r="S10" s="1070"/>
      <c r="T10" s="1070"/>
      <c r="U10" s="1070"/>
      <c r="V10" s="1070"/>
      <c r="W10" s="1070"/>
      <c r="X10" s="1070"/>
      <c r="Y10" s="1070"/>
      <c r="Z10" s="1070"/>
      <c r="AA10" s="1070"/>
      <c r="AB10" s="1070"/>
      <c r="AC10" s="1070"/>
      <c r="AD10" s="1070"/>
      <c r="AE10" s="1070"/>
      <c r="AF10" s="1070"/>
      <c r="AG10" s="1070"/>
      <c r="AH10" s="1070"/>
      <c r="AI10" s="1070"/>
      <c r="AJ10" s="1070"/>
      <c r="AK10" s="1070"/>
      <c r="AL10" s="1070"/>
      <c r="AM10" s="1070"/>
      <c r="AN10" s="1070"/>
      <c r="AO10" s="1070"/>
      <c r="AP10" s="1735"/>
      <c r="AQ10" s="1736" t="s">
        <v>1443</v>
      </c>
      <c r="AR10" s="1737"/>
      <c r="AS10" s="1737"/>
      <c r="AT10" s="1737"/>
      <c r="AU10" s="1737"/>
      <c r="AV10" s="1737"/>
      <c r="AW10" s="1737"/>
      <c r="AX10" s="1737"/>
      <c r="AY10" s="1737"/>
      <c r="AZ10" s="1737"/>
      <c r="BA10" s="1737"/>
      <c r="BB10" s="1737"/>
      <c r="BC10" s="1737"/>
      <c r="BD10" s="1737"/>
      <c r="BE10" s="1737"/>
      <c r="BF10" s="1737"/>
      <c r="BG10" s="1737"/>
      <c r="BH10" s="1737"/>
      <c r="BI10" s="1737"/>
      <c r="BJ10" s="1737"/>
      <c r="BK10" s="1737"/>
      <c r="BL10" s="1737"/>
      <c r="BM10" s="1737"/>
      <c r="BN10" s="1737"/>
      <c r="BO10" s="1737"/>
      <c r="BP10" s="1737"/>
      <c r="BQ10" s="1737"/>
      <c r="BR10" s="1737"/>
      <c r="BS10" s="1737"/>
      <c r="BT10" s="1737"/>
      <c r="BU10" s="1737"/>
      <c r="BV10" s="1737"/>
      <c r="BW10" s="1737"/>
      <c r="BX10" s="1738"/>
      <c r="BY10" s="1070"/>
    </row>
    <row r="11" spans="1:77" hidden="1" outlineLevel="1" x14ac:dyDescent="0.3">
      <c r="A11" s="1082"/>
      <c r="B11" s="1070"/>
      <c r="C11" s="1070"/>
      <c r="D11" s="1739" t="s">
        <v>1432</v>
      </c>
      <c r="E11" s="1740" t="s">
        <v>682</v>
      </c>
      <c r="F11" s="1070"/>
      <c r="G11" s="1070"/>
      <c r="H11" s="1070"/>
      <c r="I11" s="1070"/>
      <c r="J11" s="1070"/>
      <c r="K11" s="1070"/>
      <c r="L11" s="1070"/>
      <c r="M11" s="1070"/>
      <c r="N11" s="1070"/>
      <c r="O11" s="1070"/>
      <c r="P11" s="1070"/>
      <c r="Q11" s="1070"/>
      <c r="R11" s="1070"/>
      <c r="S11" s="1070"/>
      <c r="T11" s="1070"/>
      <c r="U11" s="1070"/>
      <c r="V11" s="1070"/>
      <c r="W11" s="1070"/>
      <c r="X11" s="1070"/>
      <c r="Y11" s="1070"/>
      <c r="Z11" s="1070"/>
      <c r="AA11" s="1070"/>
      <c r="AB11" s="1070"/>
      <c r="AC11" s="1070"/>
      <c r="AD11" s="1070"/>
      <c r="AE11" s="1070"/>
      <c r="AF11" s="1070"/>
      <c r="AG11" s="1070"/>
      <c r="AH11" s="1070"/>
      <c r="AI11" s="1070"/>
      <c r="AJ11" s="1070"/>
      <c r="AK11" s="1070"/>
      <c r="AL11" s="1070"/>
      <c r="AM11" s="1070"/>
      <c r="AN11" s="1070"/>
      <c r="AO11" s="1070"/>
      <c r="AP11" s="1741"/>
      <c r="AQ11" s="1142"/>
      <c r="AR11" s="1142"/>
      <c r="AS11" s="1142"/>
      <c r="AT11" s="1142"/>
      <c r="AU11" s="1142"/>
      <c r="AV11" s="1142"/>
      <c r="AW11" s="1142"/>
      <c r="AX11" s="1142"/>
      <c r="AY11" s="1142"/>
      <c r="AZ11" s="1142"/>
      <c r="BA11" s="1142"/>
      <c r="BB11" s="1142"/>
      <c r="BC11" s="1142"/>
      <c r="BD11" s="1142"/>
      <c r="BE11" s="1142"/>
      <c r="BF11" s="1142"/>
      <c r="BG11" s="1142"/>
      <c r="BH11" s="1142"/>
      <c r="BI11" s="1142"/>
      <c r="BJ11" s="1142"/>
      <c r="BK11" s="1142"/>
      <c r="BL11" s="1142"/>
      <c r="BM11" s="1142"/>
      <c r="BN11" s="1142"/>
      <c r="BO11" s="1142"/>
      <c r="BP11" s="1142"/>
      <c r="BQ11" s="1142"/>
      <c r="BR11" s="1142"/>
      <c r="BS11" s="1142"/>
      <c r="BT11" s="1142"/>
      <c r="BU11" s="1142"/>
      <c r="BV11" s="1142"/>
      <c r="BW11" s="1142"/>
      <c r="BX11" s="1742"/>
      <c r="BY11" s="1070"/>
    </row>
    <row r="12" spans="1:77" hidden="1" outlineLevel="1" x14ac:dyDescent="0.3">
      <c r="A12" s="1082"/>
      <c r="B12" s="1164" t="s">
        <v>1444</v>
      </c>
      <c r="C12" s="1146"/>
      <c r="D12" s="1743" t="s">
        <v>1445</v>
      </c>
      <c r="E12" s="1744" t="s">
        <v>1445</v>
      </c>
      <c r="F12" s="1070"/>
      <c r="G12" s="1153" t="s">
        <v>1446</v>
      </c>
      <c r="H12" s="1070"/>
      <c r="I12" s="1070"/>
      <c r="J12" s="1070"/>
      <c r="K12" s="1070"/>
      <c r="L12" s="1070"/>
      <c r="M12" s="1070"/>
      <c r="N12" s="1070"/>
      <c r="O12" s="1070"/>
      <c r="P12" s="1070"/>
      <c r="Q12" s="1070"/>
      <c r="R12" s="1070"/>
      <c r="S12" s="1070"/>
      <c r="T12" s="1070"/>
      <c r="U12" s="1070"/>
      <c r="V12" s="1070"/>
      <c r="W12" s="1070"/>
      <c r="X12" s="1070"/>
      <c r="Y12" s="1070"/>
      <c r="Z12" s="1070"/>
      <c r="AA12" s="1070"/>
      <c r="AB12" s="1070"/>
      <c r="AC12" s="1070"/>
      <c r="AD12" s="1070"/>
      <c r="AE12" s="1070"/>
      <c r="AF12" s="1070"/>
      <c r="AG12" s="1070"/>
      <c r="AH12" s="1070"/>
      <c r="AI12" s="1070"/>
      <c r="AJ12" s="1070"/>
      <c r="AK12" s="1070"/>
      <c r="AL12" s="1070"/>
      <c r="AM12" s="1070"/>
      <c r="AN12" s="1070"/>
      <c r="AO12" s="1070"/>
      <c r="AP12" s="1741"/>
      <c r="AQ12" s="1745" t="s">
        <v>1447</v>
      </c>
      <c r="AR12" s="1142"/>
      <c r="AS12" s="1142"/>
      <c r="AT12" s="1142"/>
      <c r="AU12" s="1142"/>
      <c r="AV12" s="1142"/>
      <c r="AW12" s="1142"/>
      <c r="AX12" s="1142"/>
      <c r="AY12" s="1142"/>
      <c r="AZ12" s="1142"/>
      <c r="BA12" s="1142"/>
      <c r="BB12" s="1142"/>
      <c r="BC12" s="1142"/>
      <c r="BD12" s="1142"/>
      <c r="BE12" s="1142"/>
      <c r="BF12" s="1142"/>
      <c r="BG12" s="1142"/>
      <c r="BH12" s="1142"/>
      <c r="BI12" s="1142"/>
      <c r="BJ12" s="1142"/>
      <c r="BK12" s="1142"/>
      <c r="BL12" s="1142"/>
      <c r="BM12" s="1142"/>
      <c r="BN12" s="1142"/>
      <c r="BO12" s="1142"/>
      <c r="BP12" s="1142"/>
      <c r="BQ12" s="1142"/>
      <c r="BR12" s="1142"/>
      <c r="BS12" s="1142"/>
      <c r="BT12" s="1142"/>
      <c r="BU12" s="1142"/>
      <c r="BV12" s="1142"/>
      <c r="BW12" s="1142"/>
      <c r="BX12" s="1742"/>
      <c r="BY12" s="1070"/>
    </row>
    <row r="13" spans="1:77" hidden="1" outlineLevel="1" x14ac:dyDescent="0.3">
      <c r="A13" s="1082"/>
      <c r="B13" s="1070"/>
      <c r="C13" s="1070"/>
      <c r="D13" s="1070"/>
      <c r="E13" s="1070"/>
      <c r="F13" s="1070"/>
      <c r="G13" s="1070"/>
      <c r="H13" s="1070"/>
      <c r="I13" s="1070"/>
      <c r="J13" s="1070"/>
      <c r="K13" s="1070"/>
      <c r="L13" s="1070"/>
      <c r="M13" s="1070"/>
      <c r="N13" s="1070"/>
      <c r="O13" s="1070"/>
      <c r="P13" s="1070"/>
      <c r="Q13" s="1070"/>
      <c r="R13" s="1070"/>
      <c r="S13" s="1070"/>
      <c r="T13" s="1070"/>
      <c r="U13" s="1070"/>
      <c r="V13" s="1070"/>
      <c r="W13" s="1070"/>
      <c r="X13" s="1070"/>
      <c r="Y13" s="1070"/>
      <c r="Z13" s="1070"/>
      <c r="AA13" s="1070"/>
      <c r="AB13" s="1070"/>
      <c r="AC13" s="1070"/>
      <c r="AD13" s="1070"/>
      <c r="AE13" s="1070"/>
      <c r="AF13" s="1070"/>
      <c r="AG13" s="1070"/>
      <c r="AH13" s="1070"/>
      <c r="AI13" s="1070"/>
      <c r="AJ13" s="1070"/>
      <c r="AK13" s="1070"/>
      <c r="AL13" s="1070"/>
      <c r="AM13" s="1070"/>
      <c r="AN13" s="1070"/>
      <c r="AO13" s="1070"/>
      <c r="AP13" s="1741"/>
      <c r="AQ13" s="1745" t="s">
        <v>1448</v>
      </c>
      <c r="AR13" s="1142"/>
      <c r="AS13" s="1142"/>
      <c r="AT13" s="1142"/>
      <c r="AU13" s="1142"/>
      <c r="AV13" s="1142"/>
      <c r="AW13" s="1142"/>
      <c r="AX13" s="1142"/>
      <c r="AY13" s="1142"/>
      <c r="AZ13" s="1142"/>
      <c r="BA13" s="1142"/>
      <c r="BB13" s="1142"/>
      <c r="BC13" s="1142"/>
      <c r="BD13" s="1142"/>
      <c r="BE13" s="1142"/>
      <c r="BF13" s="1142"/>
      <c r="BG13" s="1142"/>
      <c r="BH13" s="1142"/>
      <c r="BI13" s="1142"/>
      <c r="BJ13" s="1142"/>
      <c r="BK13" s="1142"/>
      <c r="BL13" s="1142"/>
      <c r="BM13" s="1142"/>
      <c r="BN13" s="1142"/>
      <c r="BO13" s="1142"/>
      <c r="BP13" s="1142"/>
      <c r="BQ13" s="1142"/>
      <c r="BR13" s="1142"/>
      <c r="BS13" s="1142"/>
      <c r="BT13" s="1142"/>
      <c r="BU13" s="1142"/>
      <c r="BV13" s="1142"/>
      <c r="BW13" s="1142"/>
      <c r="BX13" s="1742"/>
      <c r="BY13" s="1070"/>
    </row>
    <row r="14" spans="1:77" hidden="1" outlineLevel="1" x14ac:dyDescent="0.3">
      <c r="A14" s="1082"/>
      <c r="B14" s="1070"/>
      <c r="C14" s="1070"/>
      <c r="D14" s="1070"/>
      <c r="E14" s="1070"/>
      <c r="F14" s="1070"/>
      <c r="G14" s="1070"/>
      <c r="H14" s="1070"/>
      <c r="I14" s="1070"/>
      <c r="J14" s="1070"/>
      <c r="K14" s="1070"/>
      <c r="L14" s="1070"/>
      <c r="M14" s="1070"/>
      <c r="N14" s="1070"/>
      <c r="O14" s="1070"/>
      <c r="P14" s="1070"/>
      <c r="Q14" s="1070"/>
      <c r="R14" s="1070"/>
      <c r="S14" s="1070"/>
      <c r="T14" s="1070"/>
      <c r="U14" s="1070"/>
      <c r="V14" s="1070"/>
      <c r="W14" s="1070"/>
      <c r="X14" s="1070"/>
      <c r="Y14" s="1070"/>
      <c r="Z14" s="1070"/>
      <c r="AA14" s="1070"/>
      <c r="AB14" s="1070"/>
      <c r="AC14" s="1070"/>
      <c r="AD14" s="1070"/>
      <c r="AE14" s="1070"/>
      <c r="AF14" s="1070"/>
      <c r="AG14" s="1070"/>
      <c r="AH14" s="1070"/>
      <c r="AI14" s="1070"/>
      <c r="AJ14" s="1070"/>
      <c r="AK14" s="1070"/>
      <c r="AL14" s="1070"/>
      <c r="AM14" s="1070"/>
      <c r="AN14" s="1070"/>
      <c r="AO14" s="1070"/>
      <c r="AP14" s="1741"/>
      <c r="AQ14" s="1142"/>
      <c r="AR14" s="1142"/>
      <c r="AS14" s="1142"/>
      <c r="AT14" s="1142"/>
      <c r="AU14" s="1142"/>
      <c r="AV14" s="1142"/>
      <c r="AW14" s="1142"/>
      <c r="AX14" s="1142"/>
      <c r="AY14" s="1142"/>
      <c r="AZ14" s="1142"/>
      <c r="BA14" s="1142"/>
      <c r="BB14" s="1142"/>
      <c r="BC14" s="1142"/>
      <c r="BD14" s="1142"/>
      <c r="BE14" s="1142"/>
      <c r="BF14" s="1142"/>
      <c r="BG14" s="1142"/>
      <c r="BH14" s="1142"/>
      <c r="BI14" s="1142"/>
      <c r="BJ14" s="1142"/>
      <c r="BK14" s="1142"/>
      <c r="BL14" s="1142"/>
      <c r="BM14" s="1142"/>
      <c r="BN14" s="1142"/>
      <c r="BO14" s="1142"/>
      <c r="BP14" s="1142"/>
      <c r="BQ14" s="1142"/>
      <c r="BR14" s="1142"/>
      <c r="BS14" s="1142"/>
      <c r="BT14" s="1142"/>
      <c r="BU14" s="1142"/>
      <c r="BV14" s="1142"/>
      <c r="BW14" s="1142"/>
      <c r="BX14" s="1742"/>
      <c r="BY14" s="1070"/>
    </row>
    <row r="15" spans="1:77" ht="17.25" hidden="1" customHeight="1" outlineLevel="1" x14ac:dyDescent="0.3">
      <c r="A15" s="1082"/>
      <c r="B15" s="1240"/>
      <c r="C15" s="1241"/>
      <c r="D15" s="1241"/>
      <c r="E15" s="1241"/>
      <c r="F15" s="1746"/>
      <c r="G15" s="1746"/>
      <c r="H15" s="1746"/>
      <c r="I15" s="1746"/>
      <c r="J15" s="1746"/>
      <c r="K15" s="1747"/>
      <c r="L15" s="1747"/>
      <c r="M15" s="1747"/>
      <c r="N15" s="1747"/>
      <c r="O15" s="1747"/>
      <c r="P15" s="1747"/>
      <c r="Q15" s="1747"/>
      <c r="R15" s="1747"/>
      <c r="S15" s="1747"/>
      <c r="T15" s="1747"/>
      <c r="U15" s="1747"/>
      <c r="V15" s="1747"/>
      <c r="W15" s="1747"/>
      <c r="X15" s="1747"/>
      <c r="Y15" s="1747"/>
      <c r="Z15" s="1747"/>
      <c r="AA15" s="1747"/>
      <c r="AB15" s="1747"/>
      <c r="AC15" s="1747"/>
      <c r="AD15" s="1747"/>
      <c r="AE15" s="1747"/>
      <c r="AF15" s="1747"/>
      <c r="AG15" s="1747"/>
      <c r="AH15" s="1747"/>
      <c r="AI15" s="1747"/>
      <c r="AJ15" s="1748"/>
      <c r="AK15" s="1749"/>
      <c r="AL15" s="1750"/>
      <c r="AM15" s="1746"/>
      <c r="AN15" s="1070"/>
      <c r="AO15" s="1070"/>
      <c r="AP15" s="1741"/>
      <c r="AQ15" s="1242" t="s">
        <v>739</v>
      </c>
      <c r="AR15" s="1243">
        <f>G15</f>
        <v>0</v>
      </c>
      <c r="AS15" s="1243">
        <f t="shared" ref="AS15:BU15" si="0">H15</f>
        <v>0</v>
      </c>
      <c r="AT15" s="1243">
        <f t="shared" si="0"/>
        <v>0</v>
      </c>
      <c r="AU15" s="1243">
        <f t="shared" si="0"/>
        <v>0</v>
      </c>
      <c r="AV15" s="1244">
        <f t="shared" si="0"/>
        <v>0</v>
      </c>
      <c r="AW15" s="1244">
        <f t="shared" si="0"/>
        <v>0</v>
      </c>
      <c r="AX15" s="1244">
        <f t="shared" si="0"/>
        <v>0</v>
      </c>
      <c r="AY15" s="1244">
        <f t="shared" si="0"/>
        <v>0</v>
      </c>
      <c r="AZ15" s="1244">
        <f t="shared" si="0"/>
        <v>0</v>
      </c>
      <c r="BA15" s="1244">
        <f t="shared" si="0"/>
        <v>0</v>
      </c>
      <c r="BB15" s="1244">
        <f t="shared" si="0"/>
        <v>0</v>
      </c>
      <c r="BC15" s="1244">
        <f t="shared" si="0"/>
        <v>0</v>
      </c>
      <c r="BD15" s="1244">
        <f t="shared" si="0"/>
        <v>0</v>
      </c>
      <c r="BE15" s="1244">
        <f t="shared" si="0"/>
        <v>0</v>
      </c>
      <c r="BF15" s="1244">
        <f t="shared" si="0"/>
        <v>0</v>
      </c>
      <c r="BG15" s="1244">
        <f t="shared" si="0"/>
        <v>0</v>
      </c>
      <c r="BH15" s="1244">
        <f t="shared" si="0"/>
        <v>0</v>
      </c>
      <c r="BI15" s="1244">
        <f t="shared" si="0"/>
        <v>0</v>
      </c>
      <c r="BJ15" s="1244">
        <f t="shared" si="0"/>
        <v>0</v>
      </c>
      <c r="BK15" s="1244">
        <f t="shared" si="0"/>
        <v>0</v>
      </c>
      <c r="BL15" s="1244">
        <f t="shared" si="0"/>
        <v>0</v>
      </c>
      <c r="BM15" s="1244">
        <f t="shared" si="0"/>
        <v>0</v>
      </c>
      <c r="BN15" s="1244">
        <f t="shared" si="0"/>
        <v>0</v>
      </c>
      <c r="BO15" s="1244">
        <f t="shared" si="0"/>
        <v>0</v>
      </c>
      <c r="BP15" s="1244">
        <f t="shared" si="0"/>
        <v>0</v>
      </c>
      <c r="BQ15" s="1244">
        <f t="shared" si="0"/>
        <v>0</v>
      </c>
      <c r="BR15" s="1244">
        <f t="shared" si="0"/>
        <v>0</v>
      </c>
      <c r="BS15" s="1244">
        <f t="shared" si="0"/>
        <v>0</v>
      </c>
      <c r="BT15" s="1244">
        <f t="shared" si="0"/>
        <v>0</v>
      </c>
      <c r="BU15" s="1239">
        <f t="shared" si="0"/>
        <v>0</v>
      </c>
      <c r="BV15" s="1751"/>
      <c r="BW15" s="1752">
        <f>AM15</f>
        <v>0</v>
      </c>
      <c r="BX15" s="1742"/>
      <c r="BY15" s="1070"/>
    </row>
    <row r="16" spans="1:77" hidden="1" outlineLevel="1" x14ac:dyDescent="0.3">
      <c r="A16" s="1082"/>
      <c r="B16" s="1149"/>
      <c r="C16" s="1142"/>
      <c r="D16" s="1142"/>
      <c r="E16" s="1142"/>
      <c r="F16" s="1753"/>
      <c r="G16" s="1754"/>
      <c r="H16" s="1754"/>
      <c r="I16" s="1754"/>
      <c r="J16" s="1754"/>
      <c r="K16" s="1754"/>
      <c r="L16" s="1754"/>
      <c r="M16" s="1754"/>
      <c r="N16" s="1755"/>
      <c r="O16" s="1756"/>
      <c r="P16" s="1756"/>
      <c r="Q16" s="1756"/>
      <c r="R16" s="1756"/>
      <c r="S16" s="1756"/>
      <c r="T16" s="1756"/>
      <c r="U16" s="1756"/>
      <c r="V16" s="1756"/>
      <c r="W16" s="1756"/>
      <c r="X16" s="1756"/>
      <c r="Y16" s="1756"/>
      <c r="Z16" s="1756"/>
      <c r="AA16" s="1756"/>
      <c r="AB16" s="1756"/>
      <c r="AC16" s="1756"/>
      <c r="AD16" s="1756"/>
      <c r="AE16" s="1756"/>
      <c r="AF16" s="1756"/>
      <c r="AG16" s="1756"/>
      <c r="AH16" s="1756"/>
      <c r="AI16" s="1756"/>
      <c r="AJ16" s="1251"/>
      <c r="AK16" s="1252"/>
      <c r="AL16" s="1757"/>
      <c r="AN16" s="1070"/>
      <c r="AO16" s="1070"/>
      <c r="AP16" s="1741"/>
      <c r="AQ16" s="1145"/>
      <c r="AR16" s="1142"/>
      <c r="AS16" s="1142"/>
      <c r="AT16" s="1142"/>
      <c r="AU16" s="1142"/>
      <c r="AV16" s="1142"/>
      <c r="AW16" s="1142"/>
      <c r="AX16" s="1142"/>
      <c r="AY16" s="1758"/>
      <c r="AZ16" s="1759"/>
      <c r="BA16" s="1759"/>
      <c r="BB16" s="1759"/>
      <c r="BC16" s="1759"/>
      <c r="BD16" s="1759"/>
      <c r="BE16" s="1759"/>
      <c r="BF16" s="1759"/>
      <c r="BG16" s="1759"/>
      <c r="BH16" s="1759"/>
      <c r="BI16" s="1759"/>
      <c r="BJ16" s="1759"/>
      <c r="BK16" s="1759"/>
      <c r="BL16" s="1759"/>
      <c r="BM16" s="1759"/>
      <c r="BN16" s="1759"/>
      <c r="BO16" s="1759"/>
      <c r="BP16" s="1759"/>
      <c r="BQ16" s="1759"/>
      <c r="BR16" s="1759"/>
      <c r="BS16" s="1759"/>
      <c r="BT16" s="1759"/>
      <c r="BU16" s="1760"/>
      <c r="BV16" s="1142"/>
      <c r="BW16" s="1760"/>
      <c r="BX16" s="1742"/>
      <c r="BY16" s="1070"/>
    </row>
    <row r="17" spans="1:77" ht="18" hidden="1" outlineLevel="1" x14ac:dyDescent="0.3">
      <c r="A17" s="1082"/>
      <c r="B17" s="1253" t="s">
        <v>784</v>
      </c>
      <c r="C17" s="1254"/>
      <c r="D17" s="1254"/>
      <c r="E17" s="1255"/>
      <c r="F17" s="1261"/>
      <c r="G17" s="1263"/>
      <c r="H17" s="1262"/>
      <c r="I17" s="1262"/>
      <c r="J17" s="1262"/>
      <c r="K17" s="1262"/>
      <c r="L17" s="1262"/>
      <c r="M17" s="1262"/>
      <c r="N17" s="1262"/>
      <c r="O17" s="1262"/>
      <c r="P17" s="1262"/>
      <c r="Q17" s="1262"/>
      <c r="R17" s="1262"/>
      <c r="S17" s="1262"/>
      <c r="T17" s="1262"/>
      <c r="U17" s="1262"/>
      <c r="V17" s="1262"/>
      <c r="W17" s="1262"/>
      <c r="X17" s="1262"/>
      <c r="Y17" s="1262"/>
      <c r="Z17" s="1262"/>
      <c r="AA17" s="1262"/>
      <c r="AB17" s="1262"/>
      <c r="AC17" s="1262"/>
      <c r="AD17" s="1262"/>
      <c r="AE17" s="1262"/>
      <c r="AF17" s="1262"/>
      <c r="AG17" s="1262"/>
      <c r="AH17" s="1262"/>
      <c r="AI17" s="1262"/>
      <c r="AJ17" s="1263"/>
      <c r="AK17" s="1264"/>
      <c r="AL17" s="1761"/>
      <c r="AM17" s="1261"/>
      <c r="AN17" s="1070"/>
      <c r="AO17" s="1070"/>
      <c r="AP17" s="1741"/>
      <c r="AQ17" s="1256">
        <f>Calc!AP127-HistInfo!F17</f>
        <v>0</v>
      </c>
      <c r="AR17" s="1258">
        <f>Calc!AQ127-HistInfo!G17</f>
        <v>0</v>
      </c>
      <c r="AS17" s="1257">
        <f>Calc!AR127-HistInfo!H17</f>
        <v>0</v>
      </c>
      <c r="AT17" s="1257">
        <f>Calc!AS127-HistInfo!I17</f>
        <v>0</v>
      </c>
      <c r="AU17" s="1257">
        <f>Calc!AT127-HistInfo!J17</f>
        <v>0</v>
      </c>
      <c r="AV17" s="1257">
        <f>Calc!AU127-HistInfo!K17</f>
        <v>0</v>
      </c>
      <c r="AW17" s="1257">
        <f>Calc!AV127-HistInfo!L17</f>
        <v>0</v>
      </c>
      <c r="AX17" s="1257">
        <f>Calc!AW127-HistInfo!M17</f>
        <v>0</v>
      </c>
      <c r="AY17" s="1257">
        <f>Calc!AX127-HistInfo!N17</f>
        <v>0</v>
      </c>
      <c r="AZ17" s="1257">
        <f>Calc!AY127-HistInfo!O17</f>
        <v>0</v>
      </c>
      <c r="BA17" s="1257">
        <f>Calc!AZ127-HistInfo!P17</f>
        <v>0</v>
      </c>
      <c r="BB17" s="1257">
        <f>Calc!BA127-HistInfo!Q17</f>
        <v>0</v>
      </c>
      <c r="BC17" s="1257">
        <f>Calc!BB127-HistInfo!R17</f>
        <v>0</v>
      </c>
      <c r="BD17" s="1257">
        <f>Calc!BC127-HistInfo!S17</f>
        <v>0</v>
      </c>
      <c r="BE17" s="1257">
        <f>Calc!BD127-HistInfo!T17</f>
        <v>0</v>
      </c>
      <c r="BF17" s="1257">
        <f>Calc!BE127-HistInfo!U17</f>
        <v>0</v>
      </c>
      <c r="BG17" s="1257">
        <f>Calc!BF127-HistInfo!V17</f>
        <v>0</v>
      </c>
      <c r="BH17" s="1257">
        <f>Calc!BG127-HistInfo!W17</f>
        <v>0</v>
      </c>
      <c r="BI17" s="1257">
        <f>Calc!BH127-HistInfo!X17</f>
        <v>0</v>
      </c>
      <c r="BJ17" s="1257">
        <f>Calc!BI127-HistInfo!Y17</f>
        <v>0</v>
      </c>
      <c r="BK17" s="1257">
        <f>Calc!BJ127-HistInfo!Z17</f>
        <v>0</v>
      </c>
      <c r="BL17" s="1257">
        <f>Calc!BK127-HistInfo!AA17</f>
        <v>0</v>
      </c>
      <c r="BM17" s="1257">
        <f>Calc!BL127-HistInfo!AB17</f>
        <v>0</v>
      </c>
      <c r="BN17" s="1257">
        <f>Calc!BM127-HistInfo!AC17</f>
        <v>0</v>
      </c>
      <c r="BO17" s="1257">
        <f>Calc!BN127-HistInfo!AD17</f>
        <v>0</v>
      </c>
      <c r="BP17" s="1257">
        <f>Calc!BO127-HistInfo!AE17</f>
        <v>0</v>
      </c>
      <c r="BQ17" s="1257">
        <f>Calc!BP127-HistInfo!AF17</f>
        <v>0</v>
      </c>
      <c r="BR17" s="1257">
        <f>Calc!BQ127-HistInfo!AG17</f>
        <v>0</v>
      </c>
      <c r="BS17" s="1257">
        <f>Calc!BR127-HistInfo!AH17</f>
        <v>0</v>
      </c>
      <c r="BT17" s="1257">
        <f>Calc!BS127-HistInfo!AI17</f>
        <v>0</v>
      </c>
      <c r="BU17" s="1256">
        <f>Calc!BT127-HistInfo!AJ17</f>
        <v>0</v>
      </c>
      <c r="BV17" s="1344"/>
      <c r="BW17" s="1256">
        <f>Calc!BW127-HistInfo!AM17</f>
        <v>0</v>
      </c>
      <c r="BX17" s="1742"/>
      <c r="BY17" s="1070"/>
    </row>
    <row r="18" spans="1:77" ht="15.6" hidden="1" outlineLevel="1" x14ac:dyDescent="0.3">
      <c r="A18" s="1082"/>
      <c r="B18" s="1266" t="s">
        <v>1317</v>
      </c>
      <c r="C18" s="1267"/>
      <c r="D18" s="1267"/>
      <c r="E18" s="1267"/>
      <c r="F18" s="1274"/>
      <c r="G18" s="1276"/>
      <c r="H18" s="1275"/>
      <c r="I18" s="1275"/>
      <c r="J18" s="1275"/>
      <c r="K18" s="1275"/>
      <c r="L18" s="1275"/>
      <c r="M18" s="1275"/>
      <c r="N18" s="1275"/>
      <c r="O18" s="1275"/>
      <c r="P18" s="1275"/>
      <c r="Q18" s="1275"/>
      <c r="R18" s="1275"/>
      <c r="S18" s="1275"/>
      <c r="T18" s="1275"/>
      <c r="U18" s="1275"/>
      <c r="V18" s="1275"/>
      <c r="W18" s="1275"/>
      <c r="X18" s="1275"/>
      <c r="Y18" s="1275"/>
      <c r="Z18" s="1275"/>
      <c r="AA18" s="1275"/>
      <c r="AB18" s="1275"/>
      <c r="AC18" s="1275"/>
      <c r="AD18" s="1275"/>
      <c r="AE18" s="1275"/>
      <c r="AF18" s="1275"/>
      <c r="AG18" s="1275"/>
      <c r="AH18" s="1275"/>
      <c r="AI18" s="1275"/>
      <c r="AJ18" s="1276"/>
      <c r="AK18" s="1277"/>
      <c r="AL18" s="1762"/>
      <c r="AM18" s="1279"/>
      <c r="AN18" s="1070"/>
      <c r="AO18" s="1070"/>
      <c r="AP18" s="1741"/>
      <c r="AQ18" s="1268"/>
      <c r="AR18" s="1763"/>
      <c r="AS18" s="1764"/>
      <c r="AT18" s="1764"/>
      <c r="AU18" s="1764"/>
      <c r="AV18" s="1764"/>
      <c r="AW18" s="1764"/>
      <c r="AX18" s="1764"/>
      <c r="AY18" s="1764"/>
      <c r="AZ18" s="1764"/>
      <c r="BA18" s="1764"/>
      <c r="BB18" s="1764"/>
      <c r="BC18" s="1764"/>
      <c r="BD18" s="1764"/>
      <c r="BE18" s="1764"/>
      <c r="BF18" s="1764"/>
      <c r="BG18" s="1764"/>
      <c r="BH18" s="1764"/>
      <c r="BI18" s="1764"/>
      <c r="BJ18" s="1764"/>
      <c r="BK18" s="1764"/>
      <c r="BL18" s="1764"/>
      <c r="BM18" s="1764"/>
      <c r="BN18" s="1764"/>
      <c r="BO18" s="1764"/>
      <c r="BP18" s="1764"/>
      <c r="BQ18" s="1764"/>
      <c r="BR18" s="1764"/>
      <c r="BS18" s="1764"/>
      <c r="BT18" s="1764"/>
      <c r="BU18" s="1765"/>
      <c r="BV18" s="1488"/>
      <c r="BW18" s="1765"/>
      <c r="BX18" s="1742"/>
      <c r="BY18" s="1070"/>
    </row>
    <row r="19" spans="1:77" ht="15.6" hidden="1" outlineLevel="1" x14ac:dyDescent="0.3">
      <c r="A19" s="1082"/>
      <c r="B19" s="1266" t="s">
        <v>1319</v>
      </c>
      <c r="C19" s="1766" t="s">
        <v>1449</v>
      </c>
      <c r="D19" s="1767"/>
      <c r="E19" s="1267"/>
      <c r="F19" s="1274"/>
      <c r="G19" s="1276"/>
      <c r="H19" s="1275"/>
      <c r="I19" s="1275"/>
      <c r="J19" s="1275"/>
      <c r="K19" s="1275"/>
      <c r="L19" s="1275"/>
      <c r="M19" s="1275"/>
      <c r="N19" s="1275"/>
      <c r="O19" s="1275"/>
      <c r="P19" s="1275"/>
      <c r="Q19" s="1275"/>
      <c r="R19" s="1275"/>
      <c r="S19" s="1275"/>
      <c r="T19" s="1275"/>
      <c r="U19" s="1275"/>
      <c r="V19" s="1275"/>
      <c r="W19" s="1275"/>
      <c r="X19" s="1275"/>
      <c r="Y19" s="1275"/>
      <c r="Z19" s="1275"/>
      <c r="AA19" s="1275"/>
      <c r="AB19" s="1275"/>
      <c r="AC19" s="1275"/>
      <c r="AD19" s="1275"/>
      <c r="AE19" s="1275"/>
      <c r="AF19" s="1275"/>
      <c r="AG19" s="1275"/>
      <c r="AH19" s="1275"/>
      <c r="AI19" s="1275"/>
      <c r="AJ19" s="1276"/>
      <c r="AK19" s="1277"/>
      <c r="AL19" s="1762"/>
      <c r="AM19" s="1279"/>
      <c r="AN19" s="1070"/>
      <c r="AO19" s="1070"/>
      <c r="AP19" s="1741"/>
      <c r="AQ19" s="1268"/>
      <c r="AR19" s="1763"/>
      <c r="AS19" s="1764"/>
      <c r="AT19" s="1764"/>
      <c r="AU19" s="1764"/>
      <c r="AV19" s="1764"/>
      <c r="AW19" s="1764"/>
      <c r="AX19" s="1764"/>
      <c r="AY19" s="1764"/>
      <c r="AZ19" s="1764"/>
      <c r="BA19" s="1764"/>
      <c r="BB19" s="1764"/>
      <c r="BC19" s="1764"/>
      <c r="BD19" s="1764"/>
      <c r="BE19" s="1764"/>
      <c r="BF19" s="1764"/>
      <c r="BG19" s="1764"/>
      <c r="BH19" s="1764"/>
      <c r="BI19" s="1764"/>
      <c r="BJ19" s="1764"/>
      <c r="BK19" s="1764"/>
      <c r="BL19" s="1764"/>
      <c r="BM19" s="1764"/>
      <c r="BN19" s="1764"/>
      <c r="BO19" s="1764"/>
      <c r="BP19" s="1764"/>
      <c r="BQ19" s="1764"/>
      <c r="BR19" s="1764"/>
      <c r="BS19" s="1764"/>
      <c r="BT19" s="1764"/>
      <c r="BU19" s="1765"/>
      <c r="BV19" s="1488"/>
      <c r="BW19" s="1765"/>
      <c r="BX19" s="1742"/>
      <c r="BY19" s="1070"/>
    </row>
    <row r="20" spans="1:77" ht="18" hidden="1" outlineLevel="1" x14ac:dyDescent="0.3">
      <c r="A20" s="1082"/>
      <c r="B20" s="1283" t="s">
        <v>1320</v>
      </c>
      <c r="C20" s="1284"/>
      <c r="D20" s="1284"/>
      <c r="E20" s="1286"/>
      <c r="F20" s="1292"/>
      <c r="G20" s="1768"/>
      <c r="H20" s="1769"/>
      <c r="I20" s="1769"/>
      <c r="J20" s="1769"/>
      <c r="K20" s="1769"/>
      <c r="L20" s="1769"/>
      <c r="M20" s="1769"/>
      <c r="N20" s="1769"/>
      <c r="O20" s="1769"/>
      <c r="P20" s="1769"/>
      <c r="Q20" s="1769"/>
      <c r="R20" s="1769"/>
      <c r="S20" s="1769"/>
      <c r="T20" s="1769"/>
      <c r="U20" s="1769"/>
      <c r="V20" s="1769"/>
      <c r="W20" s="1769"/>
      <c r="X20" s="1769"/>
      <c r="Y20" s="1769"/>
      <c r="Z20" s="1769"/>
      <c r="AA20" s="1769"/>
      <c r="AB20" s="1769"/>
      <c r="AC20" s="1769"/>
      <c r="AD20" s="1769"/>
      <c r="AE20" s="1769"/>
      <c r="AF20" s="1769"/>
      <c r="AG20" s="1769"/>
      <c r="AH20" s="1769"/>
      <c r="AI20" s="1769"/>
      <c r="AJ20" s="1768"/>
      <c r="AK20" s="1295"/>
      <c r="AL20" s="1761"/>
      <c r="AM20" s="1296"/>
      <c r="AN20" s="1070"/>
      <c r="AO20" s="1070"/>
      <c r="AP20" s="1741"/>
      <c r="AQ20" s="1287"/>
      <c r="AR20" s="1289"/>
      <c r="AS20" s="1288"/>
      <c r="AT20" s="1288"/>
      <c r="AU20" s="1288"/>
      <c r="AV20" s="1288"/>
      <c r="AW20" s="1288"/>
      <c r="AX20" s="1288"/>
      <c r="AY20" s="1288"/>
      <c r="AZ20" s="1288"/>
      <c r="BA20" s="1288"/>
      <c r="BB20" s="1288"/>
      <c r="BC20" s="1288"/>
      <c r="BD20" s="1288"/>
      <c r="BE20" s="1288"/>
      <c r="BF20" s="1288"/>
      <c r="BG20" s="1288"/>
      <c r="BH20" s="1288"/>
      <c r="BI20" s="1288"/>
      <c r="BJ20" s="1288"/>
      <c r="BK20" s="1288"/>
      <c r="BL20" s="1288"/>
      <c r="BM20" s="1288"/>
      <c r="BN20" s="1288"/>
      <c r="BO20" s="1288"/>
      <c r="BP20" s="1288"/>
      <c r="BQ20" s="1288"/>
      <c r="BR20" s="1288"/>
      <c r="BS20" s="1288"/>
      <c r="BT20" s="1288"/>
      <c r="BU20" s="1291"/>
      <c r="BV20" s="1488"/>
      <c r="BW20" s="1291"/>
      <c r="BX20" s="1742"/>
      <c r="BY20" s="1070"/>
    </row>
    <row r="21" spans="1:77" ht="18" hidden="1" outlineLevel="1" x14ac:dyDescent="0.3">
      <c r="A21" s="1082"/>
      <c r="B21" s="1297" t="s">
        <v>1321</v>
      </c>
      <c r="C21" s="1298"/>
      <c r="D21" s="1298"/>
      <c r="E21" s="1298"/>
      <c r="F21" s="1304"/>
      <c r="G21" s="1306"/>
      <c r="H21" s="1305"/>
      <c r="I21" s="1305"/>
      <c r="J21" s="1305"/>
      <c r="K21" s="1305"/>
      <c r="L21" s="1305"/>
      <c r="M21" s="1305"/>
      <c r="N21" s="1305"/>
      <c r="O21" s="1305"/>
      <c r="P21" s="1305"/>
      <c r="Q21" s="1305"/>
      <c r="R21" s="1305"/>
      <c r="S21" s="1305"/>
      <c r="T21" s="1305"/>
      <c r="U21" s="1305"/>
      <c r="V21" s="1305"/>
      <c r="W21" s="1305"/>
      <c r="X21" s="1305"/>
      <c r="Y21" s="1305"/>
      <c r="Z21" s="1305"/>
      <c r="AA21" s="1305"/>
      <c r="AB21" s="1305"/>
      <c r="AC21" s="1305"/>
      <c r="AD21" s="1305"/>
      <c r="AE21" s="1305"/>
      <c r="AF21" s="1305"/>
      <c r="AG21" s="1305"/>
      <c r="AH21" s="1305"/>
      <c r="AI21" s="1305"/>
      <c r="AJ21" s="1306"/>
      <c r="AK21" s="1307"/>
      <c r="AL21" s="1770"/>
      <c r="AM21" s="1304"/>
      <c r="AN21" s="1070"/>
      <c r="AO21" s="1070"/>
      <c r="AP21" s="1741"/>
      <c r="AQ21" s="1299">
        <f>Calc!AP131-HistInfo!F21</f>
        <v>0</v>
      </c>
      <c r="AR21" s="1301">
        <f>Calc!AQ131-HistInfo!G21</f>
        <v>0</v>
      </c>
      <c r="AS21" s="1300">
        <f>Calc!AR131-HistInfo!H21</f>
        <v>0</v>
      </c>
      <c r="AT21" s="1300">
        <f>Calc!AS131-HistInfo!I21</f>
        <v>0</v>
      </c>
      <c r="AU21" s="1300">
        <f>Calc!AT131-HistInfo!J21</f>
        <v>0</v>
      </c>
      <c r="AV21" s="1300">
        <f>Calc!AU131-HistInfo!K21</f>
        <v>0</v>
      </c>
      <c r="AW21" s="1300">
        <f>Calc!AV131-HistInfo!L21</f>
        <v>0</v>
      </c>
      <c r="AX21" s="1300">
        <f>Calc!AW131-HistInfo!M21</f>
        <v>0</v>
      </c>
      <c r="AY21" s="1300">
        <f>Calc!AX131-HistInfo!N21</f>
        <v>0</v>
      </c>
      <c r="AZ21" s="1300">
        <f>Calc!AY131-HistInfo!O21</f>
        <v>0</v>
      </c>
      <c r="BA21" s="1300">
        <f>Calc!AZ131-HistInfo!P21</f>
        <v>0</v>
      </c>
      <c r="BB21" s="1300">
        <f>Calc!BA131-HistInfo!Q21</f>
        <v>0</v>
      </c>
      <c r="BC21" s="1300">
        <f>Calc!BB131-HistInfo!R21</f>
        <v>0</v>
      </c>
      <c r="BD21" s="1300">
        <f>Calc!BC131-HistInfo!S21</f>
        <v>0</v>
      </c>
      <c r="BE21" s="1300">
        <f>Calc!BD131-HistInfo!T21</f>
        <v>0</v>
      </c>
      <c r="BF21" s="1300">
        <f>Calc!BE131-HistInfo!U21</f>
        <v>0</v>
      </c>
      <c r="BG21" s="1300">
        <f>Calc!BF131-HistInfo!V21</f>
        <v>0</v>
      </c>
      <c r="BH21" s="1300">
        <f>Calc!BG131-HistInfo!W21</f>
        <v>0</v>
      </c>
      <c r="BI21" s="1300">
        <f>Calc!BH131-HistInfo!X21</f>
        <v>0</v>
      </c>
      <c r="BJ21" s="1300">
        <f>Calc!BI131-HistInfo!Y21</f>
        <v>0</v>
      </c>
      <c r="BK21" s="1300">
        <f>Calc!BJ131-HistInfo!Z21</f>
        <v>0</v>
      </c>
      <c r="BL21" s="1300">
        <f>Calc!BK131-HistInfo!AA21</f>
        <v>0</v>
      </c>
      <c r="BM21" s="1300">
        <f>Calc!BL131-HistInfo!AB21</f>
        <v>0</v>
      </c>
      <c r="BN21" s="1300">
        <f>Calc!BM131-HistInfo!AC21</f>
        <v>0</v>
      </c>
      <c r="BO21" s="1300">
        <f>Calc!BN131-HistInfo!AD21</f>
        <v>0</v>
      </c>
      <c r="BP21" s="1300">
        <f>Calc!BO131-HistInfo!AE21</f>
        <v>0</v>
      </c>
      <c r="BQ21" s="1300">
        <f>Calc!BP131-HistInfo!AF21</f>
        <v>0</v>
      </c>
      <c r="BR21" s="1300">
        <f>Calc!BQ131-HistInfo!AG21</f>
        <v>0</v>
      </c>
      <c r="BS21" s="1300">
        <f>Calc!BR131-HistInfo!AH21</f>
        <v>0</v>
      </c>
      <c r="BT21" s="1300">
        <f>Calc!BS131-HistInfo!AI21</f>
        <v>0</v>
      </c>
      <c r="BU21" s="1299">
        <f>Calc!BT131-HistInfo!AJ21</f>
        <v>0</v>
      </c>
      <c r="BV21" s="1344"/>
      <c r="BW21" s="1299">
        <f>Calc!BW131-HistInfo!AM21</f>
        <v>0</v>
      </c>
      <c r="BX21" s="1742"/>
      <c r="BY21" s="1070"/>
    </row>
    <row r="22" spans="1:77" ht="18" hidden="1" outlineLevel="1" x14ac:dyDescent="0.3">
      <c r="A22" s="1082"/>
      <c r="B22" s="1297" t="s">
        <v>1322</v>
      </c>
      <c r="C22" s="1298"/>
      <c r="D22" s="1298"/>
      <c r="E22" s="1298"/>
      <c r="F22" s="1304"/>
      <c r="G22" s="1306"/>
      <c r="H22" s="1305"/>
      <c r="I22" s="1305"/>
      <c r="J22" s="1305"/>
      <c r="K22" s="1305"/>
      <c r="L22" s="1305"/>
      <c r="M22" s="1305"/>
      <c r="N22" s="1305"/>
      <c r="O22" s="1305"/>
      <c r="P22" s="1305"/>
      <c r="Q22" s="1305"/>
      <c r="R22" s="1305"/>
      <c r="S22" s="1305"/>
      <c r="T22" s="1305"/>
      <c r="U22" s="1305"/>
      <c r="V22" s="1305"/>
      <c r="W22" s="1305"/>
      <c r="X22" s="1305"/>
      <c r="Y22" s="1305"/>
      <c r="Z22" s="1305"/>
      <c r="AA22" s="1305"/>
      <c r="AB22" s="1305"/>
      <c r="AC22" s="1305"/>
      <c r="AD22" s="1305"/>
      <c r="AE22" s="1305"/>
      <c r="AF22" s="1305"/>
      <c r="AG22" s="1305"/>
      <c r="AH22" s="1305"/>
      <c r="AI22" s="1305"/>
      <c r="AJ22" s="1306"/>
      <c r="AK22" s="1307"/>
      <c r="AL22" s="1770"/>
      <c r="AM22" s="1304"/>
      <c r="AN22" s="1070"/>
      <c r="AO22" s="1070"/>
      <c r="AP22" s="1741"/>
      <c r="AQ22" s="1299">
        <f>Calc!AP132-HistInfo!F22</f>
        <v>0</v>
      </c>
      <c r="AR22" s="1301">
        <f>Calc!AQ132-HistInfo!G22</f>
        <v>0</v>
      </c>
      <c r="AS22" s="1300">
        <f>Calc!AR132-HistInfo!H22</f>
        <v>0</v>
      </c>
      <c r="AT22" s="1300">
        <f>Calc!AS132-HistInfo!I22</f>
        <v>0</v>
      </c>
      <c r="AU22" s="1300">
        <f>Calc!AT132-HistInfo!J22</f>
        <v>0</v>
      </c>
      <c r="AV22" s="1300">
        <f>Calc!AU132-HistInfo!K22</f>
        <v>0</v>
      </c>
      <c r="AW22" s="1300">
        <f>Calc!AV132-HistInfo!L22</f>
        <v>0</v>
      </c>
      <c r="AX22" s="1300">
        <f>Calc!AW132-HistInfo!M22</f>
        <v>0</v>
      </c>
      <c r="AY22" s="1300">
        <f>Calc!AX132-HistInfo!N22</f>
        <v>0</v>
      </c>
      <c r="AZ22" s="1300">
        <f>Calc!AY132-HistInfo!O22</f>
        <v>0</v>
      </c>
      <c r="BA22" s="1300">
        <f>Calc!AZ132-HistInfo!P22</f>
        <v>0</v>
      </c>
      <c r="BB22" s="1300">
        <f>Calc!BA132-HistInfo!Q22</f>
        <v>0</v>
      </c>
      <c r="BC22" s="1300">
        <f>Calc!BB132-HistInfo!R22</f>
        <v>0</v>
      </c>
      <c r="BD22" s="1300">
        <f>Calc!BC132-HistInfo!S22</f>
        <v>0</v>
      </c>
      <c r="BE22" s="1300">
        <f>Calc!BD132-HistInfo!T22</f>
        <v>0</v>
      </c>
      <c r="BF22" s="1300">
        <f>Calc!BE132-HistInfo!U22</f>
        <v>0</v>
      </c>
      <c r="BG22" s="1300">
        <f>Calc!BF132-HistInfo!V22</f>
        <v>0</v>
      </c>
      <c r="BH22" s="1300">
        <f>Calc!BG132-HistInfo!W22</f>
        <v>0</v>
      </c>
      <c r="BI22" s="1300">
        <f>Calc!BH132-HistInfo!X22</f>
        <v>0</v>
      </c>
      <c r="BJ22" s="1300">
        <f>Calc!BI132-HistInfo!Y22</f>
        <v>0</v>
      </c>
      <c r="BK22" s="1300">
        <f>Calc!BJ132-HistInfo!Z22</f>
        <v>0</v>
      </c>
      <c r="BL22" s="1300">
        <f>Calc!BK132-HistInfo!AA22</f>
        <v>0</v>
      </c>
      <c r="BM22" s="1300">
        <f>Calc!BL132-HistInfo!AB22</f>
        <v>0</v>
      </c>
      <c r="BN22" s="1300">
        <f>Calc!BM132-HistInfo!AC22</f>
        <v>0</v>
      </c>
      <c r="BO22" s="1300">
        <f>Calc!BN132-HistInfo!AD22</f>
        <v>0</v>
      </c>
      <c r="BP22" s="1300">
        <f>Calc!BO132-HistInfo!AE22</f>
        <v>0</v>
      </c>
      <c r="BQ22" s="1300">
        <f>Calc!BP132-HistInfo!AF22</f>
        <v>0</v>
      </c>
      <c r="BR22" s="1300">
        <f>Calc!BQ132-HistInfo!AG22</f>
        <v>0</v>
      </c>
      <c r="BS22" s="1300">
        <f>Calc!BR132-HistInfo!AH22</f>
        <v>0</v>
      </c>
      <c r="BT22" s="1300">
        <f>Calc!BS132-HistInfo!AI22</f>
        <v>0</v>
      </c>
      <c r="BU22" s="1299">
        <f>Calc!BT132-HistInfo!AJ22</f>
        <v>0</v>
      </c>
      <c r="BV22" s="1344"/>
      <c r="BW22" s="1299">
        <f>Calc!BW132-HistInfo!AM22</f>
        <v>0</v>
      </c>
      <c r="BX22" s="1742"/>
      <c r="BY22" s="1070"/>
    </row>
    <row r="23" spans="1:77" ht="18" hidden="1" outlineLevel="1" x14ac:dyDescent="0.3">
      <c r="A23" s="1082"/>
      <c r="B23" s="1308" t="s">
        <v>286</v>
      </c>
      <c r="C23" s="1309"/>
      <c r="D23" s="1309"/>
      <c r="E23" s="1309"/>
      <c r="F23" s="1315"/>
      <c r="G23" s="1317"/>
      <c r="H23" s="1316"/>
      <c r="I23" s="1316"/>
      <c r="J23" s="1316"/>
      <c r="K23" s="1316"/>
      <c r="L23" s="1316"/>
      <c r="M23" s="1316"/>
      <c r="N23" s="1316"/>
      <c r="O23" s="1316"/>
      <c r="P23" s="1316"/>
      <c r="Q23" s="1316"/>
      <c r="R23" s="1316"/>
      <c r="S23" s="1316"/>
      <c r="T23" s="1316"/>
      <c r="U23" s="1316"/>
      <c r="V23" s="1316"/>
      <c r="W23" s="1316"/>
      <c r="X23" s="1316"/>
      <c r="Y23" s="1316"/>
      <c r="Z23" s="1316"/>
      <c r="AA23" s="1316"/>
      <c r="AB23" s="1316"/>
      <c r="AC23" s="1316"/>
      <c r="AD23" s="1316"/>
      <c r="AE23" s="1316"/>
      <c r="AF23" s="1316"/>
      <c r="AG23" s="1316"/>
      <c r="AH23" s="1316"/>
      <c r="AI23" s="1316"/>
      <c r="AJ23" s="1317"/>
      <c r="AK23" s="1318"/>
      <c r="AL23" s="1761"/>
      <c r="AM23" s="1315"/>
      <c r="AN23" s="1070"/>
      <c r="AO23" s="1070"/>
      <c r="AP23" s="1741"/>
      <c r="AQ23" s="1310">
        <f>Calc!AP133-HistInfo!F23</f>
        <v>0</v>
      </c>
      <c r="AR23" s="1312">
        <f>Calc!AQ133-HistInfo!G23</f>
        <v>0</v>
      </c>
      <c r="AS23" s="1311">
        <f>Calc!AR133-HistInfo!H23</f>
        <v>0</v>
      </c>
      <c r="AT23" s="1311">
        <f>Calc!AS133-HistInfo!I23</f>
        <v>0</v>
      </c>
      <c r="AU23" s="1311">
        <f>Calc!AT133-HistInfo!J23</f>
        <v>0</v>
      </c>
      <c r="AV23" s="1311">
        <f>Calc!AU133-HistInfo!K23</f>
        <v>0</v>
      </c>
      <c r="AW23" s="1311">
        <f>Calc!AV133-HistInfo!L23</f>
        <v>0</v>
      </c>
      <c r="AX23" s="1311">
        <f>Calc!AW133-HistInfo!M23</f>
        <v>0</v>
      </c>
      <c r="AY23" s="1311">
        <f>Calc!AX133-HistInfo!N23</f>
        <v>0</v>
      </c>
      <c r="AZ23" s="1311">
        <f>Calc!AY133-HistInfo!O23</f>
        <v>0</v>
      </c>
      <c r="BA23" s="1311">
        <f>Calc!AZ133-HistInfo!P23</f>
        <v>0</v>
      </c>
      <c r="BB23" s="1311">
        <f>Calc!BA133-HistInfo!Q23</f>
        <v>0</v>
      </c>
      <c r="BC23" s="1311">
        <f>Calc!BB133-HistInfo!R23</f>
        <v>0</v>
      </c>
      <c r="BD23" s="1311">
        <f>Calc!BC133-HistInfo!S23</f>
        <v>0</v>
      </c>
      <c r="BE23" s="1311">
        <f>Calc!BD133-HistInfo!T23</f>
        <v>0</v>
      </c>
      <c r="BF23" s="1311">
        <f>Calc!BE133-HistInfo!U23</f>
        <v>0</v>
      </c>
      <c r="BG23" s="1311">
        <f>Calc!BF133-HistInfo!V23</f>
        <v>0</v>
      </c>
      <c r="BH23" s="1311">
        <f>Calc!BG133-HistInfo!W23</f>
        <v>0</v>
      </c>
      <c r="BI23" s="1311">
        <f>Calc!BH133-HistInfo!X23</f>
        <v>0</v>
      </c>
      <c r="BJ23" s="1311">
        <f>Calc!BI133-HistInfo!Y23</f>
        <v>0</v>
      </c>
      <c r="BK23" s="1311">
        <f>Calc!BJ133-HistInfo!Z23</f>
        <v>0</v>
      </c>
      <c r="BL23" s="1311">
        <f>Calc!BK133-HistInfo!AA23</f>
        <v>0</v>
      </c>
      <c r="BM23" s="1311">
        <f>Calc!BL133-HistInfo!AB23</f>
        <v>0</v>
      </c>
      <c r="BN23" s="1311">
        <f>Calc!BM133-HistInfo!AC23</f>
        <v>0</v>
      </c>
      <c r="BO23" s="1311">
        <f>Calc!BN133-HistInfo!AD23</f>
        <v>0</v>
      </c>
      <c r="BP23" s="1311">
        <f>Calc!BO133-HistInfo!AE23</f>
        <v>0</v>
      </c>
      <c r="BQ23" s="1311">
        <f>Calc!BP133-HistInfo!AF23</f>
        <v>0</v>
      </c>
      <c r="BR23" s="1311">
        <f>Calc!BQ133-HistInfo!AG23</f>
        <v>0</v>
      </c>
      <c r="BS23" s="1311">
        <f>Calc!BR133-HistInfo!AH23</f>
        <v>0</v>
      </c>
      <c r="BT23" s="1311">
        <f>Calc!BS133-HistInfo!AI23</f>
        <v>0</v>
      </c>
      <c r="BU23" s="1310">
        <f>Calc!BT133-HistInfo!AJ23</f>
        <v>0</v>
      </c>
      <c r="BV23" s="1344"/>
      <c r="BW23" s="1310">
        <f>Calc!BW133-HistInfo!AM23</f>
        <v>0</v>
      </c>
      <c r="BX23" s="1742"/>
      <c r="BY23" s="1070"/>
    </row>
    <row r="24" spans="1:77" hidden="1" outlineLevel="1" x14ac:dyDescent="0.3">
      <c r="A24" s="1082"/>
      <c r="B24" s="1320"/>
      <c r="C24" s="1321" t="s">
        <v>1323</v>
      </c>
      <c r="D24" s="1321"/>
      <c r="E24" s="1323"/>
      <c r="F24" s="1330"/>
      <c r="G24" s="1332"/>
      <c r="H24" s="1331"/>
      <c r="I24" s="1331"/>
      <c r="J24" s="1331"/>
      <c r="K24" s="1331"/>
      <c r="L24" s="1331"/>
      <c r="M24" s="1331"/>
      <c r="N24" s="1331"/>
      <c r="O24" s="1331"/>
      <c r="P24" s="1331"/>
      <c r="Q24" s="1331"/>
      <c r="R24" s="1331"/>
      <c r="S24" s="1331"/>
      <c r="T24" s="1331"/>
      <c r="U24" s="1331"/>
      <c r="V24" s="1331"/>
      <c r="W24" s="1331"/>
      <c r="X24" s="1331"/>
      <c r="Y24" s="1331"/>
      <c r="Z24" s="1331"/>
      <c r="AA24" s="1331"/>
      <c r="AB24" s="1331"/>
      <c r="AC24" s="1331"/>
      <c r="AD24" s="1331"/>
      <c r="AE24" s="1331"/>
      <c r="AF24" s="1331"/>
      <c r="AG24" s="1331"/>
      <c r="AH24" s="1331"/>
      <c r="AI24" s="1331"/>
      <c r="AJ24" s="1332"/>
      <c r="AK24" s="1333"/>
      <c r="AL24" s="1771"/>
      <c r="AM24" s="1335"/>
      <c r="AN24" s="1070"/>
      <c r="AO24" s="1070"/>
      <c r="AP24" s="1741"/>
      <c r="AQ24" s="1324"/>
      <c r="AR24" s="1772"/>
      <c r="AS24" s="1773"/>
      <c r="AT24" s="1773"/>
      <c r="AU24" s="1773"/>
      <c r="AV24" s="1773"/>
      <c r="AW24" s="1773"/>
      <c r="AX24" s="1773"/>
      <c r="AY24" s="1773"/>
      <c r="AZ24" s="1773"/>
      <c r="BA24" s="1773"/>
      <c r="BB24" s="1773"/>
      <c r="BC24" s="1773"/>
      <c r="BD24" s="1773"/>
      <c r="BE24" s="1773"/>
      <c r="BF24" s="1773"/>
      <c r="BG24" s="1773"/>
      <c r="BH24" s="1773"/>
      <c r="BI24" s="1773"/>
      <c r="BJ24" s="1773"/>
      <c r="BK24" s="1773"/>
      <c r="BL24" s="1773"/>
      <c r="BM24" s="1773"/>
      <c r="BN24" s="1773"/>
      <c r="BO24" s="1773"/>
      <c r="BP24" s="1773"/>
      <c r="BQ24" s="1773"/>
      <c r="BR24" s="1773"/>
      <c r="BS24" s="1773"/>
      <c r="BT24" s="1773"/>
      <c r="BU24" s="1774"/>
      <c r="BV24" s="1356"/>
      <c r="BW24" s="1774"/>
      <c r="BX24" s="1742"/>
      <c r="BY24" s="1070"/>
    </row>
    <row r="25" spans="1:77" ht="18" hidden="1" outlineLevel="1" x14ac:dyDescent="0.3">
      <c r="A25" s="1082"/>
      <c r="B25" s="1336" t="s">
        <v>1324</v>
      </c>
      <c r="C25" s="1337"/>
      <c r="D25" s="1337"/>
      <c r="E25" s="1337"/>
      <c r="F25" s="1304"/>
      <c r="G25" s="1306"/>
      <c r="H25" s="1305"/>
      <c r="I25" s="1305"/>
      <c r="J25" s="1305"/>
      <c r="K25" s="1305"/>
      <c r="L25" s="1305"/>
      <c r="M25" s="1305"/>
      <c r="N25" s="1305"/>
      <c r="O25" s="1305"/>
      <c r="P25" s="1305"/>
      <c r="Q25" s="1305"/>
      <c r="R25" s="1305"/>
      <c r="S25" s="1305"/>
      <c r="T25" s="1305"/>
      <c r="U25" s="1305"/>
      <c r="V25" s="1305"/>
      <c r="W25" s="1305"/>
      <c r="X25" s="1305"/>
      <c r="Y25" s="1305"/>
      <c r="Z25" s="1305"/>
      <c r="AA25" s="1305"/>
      <c r="AB25" s="1305"/>
      <c r="AC25" s="1305"/>
      <c r="AD25" s="1305"/>
      <c r="AE25" s="1305"/>
      <c r="AF25" s="1305"/>
      <c r="AG25" s="1305"/>
      <c r="AH25" s="1305"/>
      <c r="AI25" s="1305"/>
      <c r="AJ25" s="1306"/>
      <c r="AK25" s="1307"/>
      <c r="AL25" s="1770"/>
      <c r="AM25" s="1304"/>
      <c r="AN25" s="1070"/>
      <c r="AO25" s="1070"/>
      <c r="AP25" s="1741"/>
      <c r="AQ25" s="1299">
        <f>Calc!AP135-HistInfo!F25</f>
        <v>0</v>
      </c>
      <c r="AR25" s="1301">
        <f>Calc!AQ135-HistInfo!G25</f>
        <v>0</v>
      </c>
      <c r="AS25" s="1300">
        <f>Calc!AR135-HistInfo!H25</f>
        <v>0</v>
      </c>
      <c r="AT25" s="1300">
        <f>Calc!AS135-HistInfo!I25</f>
        <v>0</v>
      </c>
      <c r="AU25" s="1300">
        <f>Calc!AT135-HistInfo!J25</f>
        <v>0</v>
      </c>
      <c r="AV25" s="1300">
        <f>Calc!AU135-HistInfo!K25</f>
        <v>0</v>
      </c>
      <c r="AW25" s="1300">
        <f>Calc!AV135-HistInfo!L25</f>
        <v>0</v>
      </c>
      <c r="AX25" s="1300">
        <f>Calc!AW135-HistInfo!M25</f>
        <v>0</v>
      </c>
      <c r="AY25" s="1300">
        <f>Calc!AX135-HistInfo!N25</f>
        <v>0</v>
      </c>
      <c r="AZ25" s="1300">
        <f>Calc!AY135-HistInfo!O25</f>
        <v>0</v>
      </c>
      <c r="BA25" s="1300">
        <f>Calc!AZ135-HistInfo!P25</f>
        <v>0</v>
      </c>
      <c r="BB25" s="1300">
        <f>Calc!BA135-HistInfo!Q25</f>
        <v>0</v>
      </c>
      <c r="BC25" s="1300">
        <f>Calc!BB135-HistInfo!R25</f>
        <v>0</v>
      </c>
      <c r="BD25" s="1300">
        <f>Calc!BC135-HistInfo!S25</f>
        <v>0</v>
      </c>
      <c r="BE25" s="1300">
        <f>Calc!BD135-HistInfo!T25</f>
        <v>0</v>
      </c>
      <c r="BF25" s="1300">
        <f>Calc!BE135-HistInfo!U25</f>
        <v>0</v>
      </c>
      <c r="BG25" s="1300">
        <f>Calc!BF135-HistInfo!V25</f>
        <v>0</v>
      </c>
      <c r="BH25" s="1300">
        <f>Calc!BG135-HistInfo!W25</f>
        <v>0</v>
      </c>
      <c r="BI25" s="1300">
        <f>Calc!BH135-HistInfo!X25</f>
        <v>0</v>
      </c>
      <c r="BJ25" s="1300">
        <f>Calc!BI135-HistInfo!Y25</f>
        <v>0</v>
      </c>
      <c r="BK25" s="1300">
        <f>Calc!BJ135-HistInfo!Z25</f>
        <v>0</v>
      </c>
      <c r="BL25" s="1300">
        <f>Calc!BK135-HistInfo!AA25</f>
        <v>0</v>
      </c>
      <c r="BM25" s="1300">
        <f>Calc!BL135-HistInfo!AB25</f>
        <v>0</v>
      </c>
      <c r="BN25" s="1300">
        <f>Calc!BM135-HistInfo!AC25</f>
        <v>0</v>
      </c>
      <c r="BO25" s="1300">
        <f>Calc!BN135-HistInfo!AD25</f>
        <v>0</v>
      </c>
      <c r="BP25" s="1300">
        <f>Calc!BO135-HistInfo!AE25</f>
        <v>0</v>
      </c>
      <c r="BQ25" s="1300">
        <f>Calc!BP135-HistInfo!AF25</f>
        <v>0</v>
      </c>
      <c r="BR25" s="1300">
        <f>Calc!BQ135-HistInfo!AG25</f>
        <v>0</v>
      </c>
      <c r="BS25" s="1300">
        <f>Calc!BR135-HistInfo!AH25</f>
        <v>0</v>
      </c>
      <c r="BT25" s="1300">
        <f>Calc!BS135-HistInfo!AI25</f>
        <v>0</v>
      </c>
      <c r="BU25" s="1299">
        <f>Calc!BT135-HistInfo!AJ25</f>
        <v>0</v>
      </c>
      <c r="BV25" s="1344"/>
      <c r="BW25" s="1299">
        <f>Calc!BW135-HistInfo!AM25</f>
        <v>0</v>
      </c>
      <c r="BX25" s="1742"/>
      <c r="BY25" s="1070"/>
    </row>
    <row r="26" spans="1:77" ht="18" hidden="1" outlineLevel="1" x14ac:dyDescent="0.3">
      <c r="A26" s="1082"/>
      <c r="B26" s="1336" t="s">
        <v>1325</v>
      </c>
      <c r="C26" s="1337"/>
      <c r="D26" s="1337"/>
      <c r="E26" s="1337"/>
      <c r="F26" s="1304"/>
      <c r="G26" s="1306"/>
      <c r="H26" s="1305"/>
      <c r="I26" s="1305"/>
      <c r="J26" s="1305"/>
      <c r="K26" s="1305"/>
      <c r="L26" s="1305"/>
      <c r="M26" s="1305"/>
      <c r="N26" s="1305"/>
      <c r="O26" s="1305"/>
      <c r="P26" s="1305"/>
      <c r="Q26" s="1305"/>
      <c r="R26" s="1305"/>
      <c r="S26" s="1305"/>
      <c r="T26" s="1305"/>
      <c r="U26" s="1305"/>
      <c r="V26" s="1305"/>
      <c r="W26" s="1305"/>
      <c r="X26" s="1305"/>
      <c r="Y26" s="1305"/>
      <c r="Z26" s="1305"/>
      <c r="AA26" s="1305"/>
      <c r="AB26" s="1305"/>
      <c r="AC26" s="1305"/>
      <c r="AD26" s="1305"/>
      <c r="AE26" s="1305"/>
      <c r="AF26" s="1305"/>
      <c r="AG26" s="1305"/>
      <c r="AH26" s="1305"/>
      <c r="AI26" s="1305"/>
      <c r="AJ26" s="1306"/>
      <c r="AK26" s="1307"/>
      <c r="AL26" s="1770"/>
      <c r="AM26" s="1304"/>
      <c r="AN26" s="1070"/>
      <c r="AO26" s="1070"/>
      <c r="AP26" s="1741"/>
      <c r="AQ26" s="1299">
        <f>Calc!AP136-HistInfo!F26</f>
        <v>0</v>
      </c>
      <c r="AR26" s="1301">
        <f>Calc!AQ136-HistInfo!G26</f>
        <v>0</v>
      </c>
      <c r="AS26" s="1300">
        <f>Calc!AR136-HistInfo!H26</f>
        <v>0</v>
      </c>
      <c r="AT26" s="1300">
        <f>Calc!AS136-HistInfo!I26</f>
        <v>0</v>
      </c>
      <c r="AU26" s="1300">
        <f>Calc!AT136-HistInfo!J26</f>
        <v>0</v>
      </c>
      <c r="AV26" s="1300">
        <f>Calc!AU136-HistInfo!K26</f>
        <v>0</v>
      </c>
      <c r="AW26" s="1300">
        <f>Calc!AV136-HistInfo!L26</f>
        <v>0</v>
      </c>
      <c r="AX26" s="1300">
        <f>Calc!AW136-HistInfo!M26</f>
        <v>0</v>
      </c>
      <c r="AY26" s="1300">
        <f>Calc!AX136-HistInfo!N26</f>
        <v>0</v>
      </c>
      <c r="AZ26" s="1300">
        <f>Calc!AY136-HistInfo!O26</f>
        <v>0</v>
      </c>
      <c r="BA26" s="1300">
        <f>Calc!AZ136-HistInfo!P26</f>
        <v>0</v>
      </c>
      <c r="BB26" s="1300">
        <f>Calc!BA136-HistInfo!Q26</f>
        <v>0</v>
      </c>
      <c r="BC26" s="1300">
        <f>Calc!BB136-HistInfo!R26</f>
        <v>0</v>
      </c>
      <c r="BD26" s="1300">
        <f>Calc!BC136-HistInfo!S26</f>
        <v>0</v>
      </c>
      <c r="BE26" s="1300">
        <f>Calc!BD136-HistInfo!T26</f>
        <v>0</v>
      </c>
      <c r="BF26" s="1300">
        <f>Calc!BE136-HistInfo!U26</f>
        <v>0</v>
      </c>
      <c r="BG26" s="1300">
        <f>Calc!BF136-HistInfo!V26</f>
        <v>0</v>
      </c>
      <c r="BH26" s="1300">
        <f>Calc!BG136-HistInfo!W26</f>
        <v>0</v>
      </c>
      <c r="BI26" s="1300">
        <f>Calc!BH136-HistInfo!X26</f>
        <v>0</v>
      </c>
      <c r="BJ26" s="1300">
        <f>Calc!BI136-HistInfo!Y26</f>
        <v>0</v>
      </c>
      <c r="BK26" s="1300">
        <f>Calc!BJ136-HistInfo!Z26</f>
        <v>0</v>
      </c>
      <c r="BL26" s="1300">
        <f>Calc!BK136-HistInfo!AA26</f>
        <v>0</v>
      </c>
      <c r="BM26" s="1300">
        <f>Calc!BL136-HistInfo!AB26</f>
        <v>0</v>
      </c>
      <c r="BN26" s="1300">
        <f>Calc!BM136-HistInfo!AC26</f>
        <v>0</v>
      </c>
      <c r="BO26" s="1300">
        <f>Calc!BN136-HistInfo!AD26</f>
        <v>0</v>
      </c>
      <c r="BP26" s="1300">
        <f>Calc!BO136-HistInfo!AE26</f>
        <v>0</v>
      </c>
      <c r="BQ26" s="1300">
        <f>Calc!BP136-HistInfo!AF26</f>
        <v>0</v>
      </c>
      <c r="BR26" s="1300">
        <f>Calc!BQ136-HistInfo!AG26</f>
        <v>0</v>
      </c>
      <c r="BS26" s="1300">
        <f>Calc!BR136-HistInfo!AH26</f>
        <v>0</v>
      </c>
      <c r="BT26" s="1300">
        <f>Calc!BS136-HistInfo!AI26</f>
        <v>0</v>
      </c>
      <c r="BU26" s="1299">
        <f>Calc!BT136-HistInfo!AJ26</f>
        <v>0</v>
      </c>
      <c r="BV26" s="1344"/>
      <c r="BW26" s="1299">
        <f>Calc!BW136-HistInfo!AM26</f>
        <v>0</v>
      </c>
      <c r="BX26" s="1742"/>
      <c r="BY26" s="1070"/>
    </row>
    <row r="27" spans="1:77" ht="18.600000000000001" hidden="1" outlineLevel="1" thickBot="1" x14ac:dyDescent="0.35">
      <c r="A27" s="1082"/>
      <c r="B27" s="1338" t="s">
        <v>660</v>
      </c>
      <c r="C27" s="1339"/>
      <c r="D27" s="1339"/>
      <c r="E27" s="1339"/>
      <c r="F27" s="1345"/>
      <c r="G27" s="1347"/>
      <c r="H27" s="1346"/>
      <c r="I27" s="1346"/>
      <c r="J27" s="1346"/>
      <c r="K27" s="1346"/>
      <c r="L27" s="1346"/>
      <c r="M27" s="1346"/>
      <c r="N27" s="1346"/>
      <c r="O27" s="1346"/>
      <c r="P27" s="1346"/>
      <c r="Q27" s="1346"/>
      <c r="R27" s="1346"/>
      <c r="S27" s="1346"/>
      <c r="T27" s="1346"/>
      <c r="U27" s="1346"/>
      <c r="V27" s="1346"/>
      <c r="W27" s="1346"/>
      <c r="X27" s="1346"/>
      <c r="Y27" s="1346"/>
      <c r="Z27" s="1346"/>
      <c r="AA27" s="1346"/>
      <c r="AB27" s="1346"/>
      <c r="AC27" s="1346"/>
      <c r="AD27" s="1346"/>
      <c r="AE27" s="1346"/>
      <c r="AF27" s="1346"/>
      <c r="AG27" s="1346"/>
      <c r="AH27" s="1346"/>
      <c r="AI27" s="1346"/>
      <c r="AJ27" s="1347"/>
      <c r="AK27" s="1348"/>
      <c r="AL27" s="1761"/>
      <c r="AM27" s="1345"/>
      <c r="AN27" s="1070"/>
      <c r="AO27" s="1070"/>
      <c r="AP27" s="1741"/>
      <c r="AQ27" s="1340">
        <f>Calc!AP137-HistInfo!F27</f>
        <v>0</v>
      </c>
      <c r="AR27" s="1342">
        <f>Calc!AQ137-HistInfo!G27</f>
        <v>0</v>
      </c>
      <c r="AS27" s="1341">
        <f>Calc!AR137-HistInfo!H27</f>
        <v>0</v>
      </c>
      <c r="AT27" s="1341">
        <f>Calc!AS137-HistInfo!I27</f>
        <v>0</v>
      </c>
      <c r="AU27" s="1341">
        <f>Calc!AT137-HistInfo!J27</f>
        <v>0</v>
      </c>
      <c r="AV27" s="1341">
        <f>Calc!AU137-HistInfo!K27</f>
        <v>0</v>
      </c>
      <c r="AW27" s="1341">
        <f>Calc!AV137-HistInfo!L27</f>
        <v>0</v>
      </c>
      <c r="AX27" s="1341">
        <f>Calc!AW137-HistInfo!M27</f>
        <v>0</v>
      </c>
      <c r="AY27" s="1341">
        <f>Calc!AX137-HistInfo!N27</f>
        <v>0</v>
      </c>
      <c r="AZ27" s="1341">
        <f>Calc!AY137-HistInfo!O27</f>
        <v>0</v>
      </c>
      <c r="BA27" s="1341">
        <f>Calc!AZ137-HistInfo!P27</f>
        <v>0</v>
      </c>
      <c r="BB27" s="1341">
        <f>Calc!BA137-HistInfo!Q27</f>
        <v>0</v>
      </c>
      <c r="BC27" s="1341">
        <f>Calc!BB137-HistInfo!R27</f>
        <v>0</v>
      </c>
      <c r="BD27" s="1341">
        <f>Calc!BC137-HistInfo!S27</f>
        <v>0</v>
      </c>
      <c r="BE27" s="1341">
        <f>Calc!BD137-HistInfo!T27</f>
        <v>0</v>
      </c>
      <c r="BF27" s="1341">
        <f>Calc!BE137-HistInfo!U27</f>
        <v>0</v>
      </c>
      <c r="BG27" s="1341">
        <f>Calc!BF137-HistInfo!V27</f>
        <v>0</v>
      </c>
      <c r="BH27" s="1341">
        <f>Calc!BG137-HistInfo!W27</f>
        <v>0</v>
      </c>
      <c r="BI27" s="1341">
        <f>Calc!BH137-HistInfo!X27</f>
        <v>0</v>
      </c>
      <c r="BJ27" s="1341">
        <f>Calc!BI137-HistInfo!Y27</f>
        <v>0</v>
      </c>
      <c r="BK27" s="1341">
        <f>Calc!BJ137-HistInfo!Z27</f>
        <v>0</v>
      </c>
      <c r="BL27" s="1341">
        <f>Calc!BK137-HistInfo!AA27</f>
        <v>0</v>
      </c>
      <c r="BM27" s="1341">
        <f>Calc!BL137-HistInfo!AB27</f>
        <v>0</v>
      </c>
      <c r="BN27" s="1341">
        <f>Calc!BM137-HistInfo!AC27</f>
        <v>0</v>
      </c>
      <c r="BO27" s="1341">
        <f>Calc!BN137-HistInfo!AD27</f>
        <v>0</v>
      </c>
      <c r="BP27" s="1341">
        <f>Calc!BO137-HistInfo!AE27</f>
        <v>0</v>
      </c>
      <c r="BQ27" s="1341">
        <f>Calc!BP137-HistInfo!AF27</f>
        <v>0</v>
      </c>
      <c r="BR27" s="1341">
        <f>Calc!BQ137-HistInfo!AG27</f>
        <v>0</v>
      </c>
      <c r="BS27" s="1341">
        <f>Calc!BR137-HistInfo!AH27</f>
        <v>0</v>
      </c>
      <c r="BT27" s="1341">
        <f>Calc!BS137-HistInfo!AI27</f>
        <v>0</v>
      </c>
      <c r="BU27" s="1340">
        <f>Calc!BT137-HistInfo!AJ27</f>
        <v>0</v>
      </c>
      <c r="BV27" s="1344"/>
      <c r="BW27" s="1340">
        <f>Calc!BW137-HistInfo!AM27</f>
        <v>0</v>
      </c>
      <c r="BX27" s="1742"/>
      <c r="BY27" s="1070"/>
    </row>
    <row r="28" spans="1:77" hidden="1" outlineLevel="1" x14ac:dyDescent="0.3">
      <c r="A28" s="1082"/>
      <c r="B28" s="1350"/>
      <c r="C28" s="1351" t="s">
        <v>1323</v>
      </c>
      <c r="D28" s="1351"/>
      <c r="E28" s="1353"/>
      <c r="F28" s="1357"/>
      <c r="G28" s="1276"/>
      <c r="H28" s="1275"/>
      <c r="I28" s="1275"/>
      <c r="J28" s="1275"/>
      <c r="K28" s="1275"/>
      <c r="L28" s="1275"/>
      <c r="M28" s="1275"/>
      <c r="N28" s="1275"/>
      <c r="O28" s="1275"/>
      <c r="P28" s="1275"/>
      <c r="Q28" s="1275"/>
      <c r="R28" s="1275"/>
      <c r="S28" s="1275"/>
      <c r="T28" s="1275"/>
      <c r="U28" s="1275"/>
      <c r="V28" s="1275"/>
      <c r="W28" s="1275"/>
      <c r="X28" s="1275"/>
      <c r="Y28" s="1275"/>
      <c r="Z28" s="1275"/>
      <c r="AA28" s="1275"/>
      <c r="AB28" s="1275"/>
      <c r="AC28" s="1275"/>
      <c r="AD28" s="1275"/>
      <c r="AE28" s="1275"/>
      <c r="AF28" s="1275"/>
      <c r="AG28" s="1275"/>
      <c r="AH28" s="1275"/>
      <c r="AI28" s="1275"/>
      <c r="AJ28" s="1276"/>
      <c r="AK28" s="1358"/>
      <c r="AL28" s="1771"/>
      <c r="AM28" s="1279"/>
      <c r="AN28" s="1070"/>
      <c r="AO28" s="1070"/>
      <c r="AP28" s="1741"/>
      <c r="AQ28" s="1354"/>
      <c r="AR28" s="1763"/>
      <c r="AS28" s="1764"/>
      <c r="AT28" s="1764"/>
      <c r="AU28" s="1764"/>
      <c r="AV28" s="1764"/>
      <c r="AW28" s="1764"/>
      <c r="AX28" s="1764"/>
      <c r="AY28" s="1764"/>
      <c r="AZ28" s="1764"/>
      <c r="BA28" s="1764"/>
      <c r="BB28" s="1764"/>
      <c r="BC28" s="1764"/>
      <c r="BD28" s="1764"/>
      <c r="BE28" s="1764"/>
      <c r="BF28" s="1764"/>
      <c r="BG28" s="1764"/>
      <c r="BH28" s="1764"/>
      <c r="BI28" s="1764"/>
      <c r="BJ28" s="1764"/>
      <c r="BK28" s="1764"/>
      <c r="BL28" s="1764"/>
      <c r="BM28" s="1764"/>
      <c r="BN28" s="1764"/>
      <c r="BO28" s="1764"/>
      <c r="BP28" s="1764"/>
      <c r="BQ28" s="1764"/>
      <c r="BR28" s="1764"/>
      <c r="BS28" s="1764"/>
      <c r="BT28" s="1764"/>
      <c r="BU28" s="1775"/>
      <c r="BV28" s="1356"/>
      <c r="BW28" s="1775"/>
      <c r="BX28" s="1742"/>
      <c r="BY28" s="1070"/>
    </row>
    <row r="29" spans="1:77" ht="18" hidden="1" outlineLevel="1" x14ac:dyDescent="0.3">
      <c r="A29" s="1082"/>
      <c r="B29" s="1336" t="s">
        <v>1326</v>
      </c>
      <c r="C29" s="1351"/>
      <c r="D29" s="1351"/>
      <c r="E29" s="1353"/>
      <c r="F29" s="1304"/>
      <c r="G29" s="1306"/>
      <c r="H29" s="1305"/>
      <c r="I29" s="1305"/>
      <c r="J29" s="1305"/>
      <c r="K29" s="1305"/>
      <c r="L29" s="1305"/>
      <c r="M29" s="1305"/>
      <c r="N29" s="1305"/>
      <c r="O29" s="1305"/>
      <c r="P29" s="1305"/>
      <c r="Q29" s="1305"/>
      <c r="R29" s="1305"/>
      <c r="S29" s="1305"/>
      <c r="T29" s="1305"/>
      <c r="U29" s="1305"/>
      <c r="V29" s="1305"/>
      <c r="W29" s="1305"/>
      <c r="X29" s="1305"/>
      <c r="Y29" s="1305"/>
      <c r="Z29" s="1305"/>
      <c r="AA29" s="1305"/>
      <c r="AB29" s="1305"/>
      <c r="AC29" s="1305"/>
      <c r="AD29" s="1305"/>
      <c r="AE29" s="1305"/>
      <c r="AF29" s="1305"/>
      <c r="AG29" s="1305"/>
      <c r="AH29" s="1305"/>
      <c r="AI29" s="1305"/>
      <c r="AJ29" s="1306"/>
      <c r="AK29" s="1358"/>
      <c r="AL29" s="1771"/>
      <c r="AM29" s="1304"/>
      <c r="AN29" s="1070"/>
      <c r="AO29" s="1070"/>
      <c r="AP29" s="1741"/>
      <c r="AQ29" s="1299">
        <f>Calc!AP139-HistInfo!F29</f>
        <v>0</v>
      </c>
      <c r="AR29" s="1301">
        <f>Calc!AQ139-HistInfo!G29</f>
        <v>0</v>
      </c>
      <c r="AS29" s="1300">
        <f>Calc!AR139-HistInfo!H29</f>
        <v>0</v>
      </c>
      <c r="AT29" s="1300">
        <f>Calc!AS139-HistInfo!I29</f>
        <v>0</v>
      </c>
      <c r="AU29" s="1300">
        <f>Calc!AT139-HistInfo!J29</f>
        <v>0</v>
      </c>
      <c r="AV29" s="1300">
        <f>Calc!AU139-HistInfo!K29</f>
        <v>0</v>
      </c>
      <c r="AW29" s="1300">
        <f>Calc!AV139-HistInfo!L29</f>
        <v>0</v>
      </c>
      <c r="AX29" s="1300">
        <f>Calc!AW139-HistInfo!M29</f>
        <v>0</v>
      </c>
      <c r="AY29" s="1300">
        <f>Calc!AX139-HistInfo!N29</f>
        <v>0</v>
      </c>
      <c r="AZ29" s="1300">
        <f>Calc!AY139-HistInfo!O29</f>
        <v>0</v>
      </c>
      <c r="BA29" s="1300">
        <f>Calc!AZ139-HistInfo!P29</f>
        <v>0</v>
      </c>
      <c r="BB29" s="1300">
        <f>Calc!BA139-HistInfo!Q29</f>
        <v>0</v>
      </c>
      <c r="BC29" s="1300">
        <f>Calc!BB139-HistInfo!R29</f>
        <v>0</v>
      </c>
      <c r="BD29" s="1300">
        <f>Calc!BC139-HistInfo!S29</f>
        <v>0</v>
      </c>
      <c r="BE29" s="1300">
        <f>Calc!BD139-HistInfo!T29</f>
        <v>0</v>
      </c>
      <c r="BF29" s="1300">
        <f>Calc!BE139-HistInfo!U29</f>
        <v>0</v>
      </c>
      <c r="BG29" s="1300">
        <f>Calc!BF139-HistInfo!V29</f>
        <v>0</v>
      </c>
      <c r="BH29" s="1300">
        <f>Calc!BG139-HistInfo!W29</f>
        <v>0</v>
      </c>
      <c r="BI29" s="1300">
        <f>Calc!BH139-HistInfo!X29</f>
        <v>0</v>
      </c>
      <c r="BJ29" s="1300">
        <f>Calc!BI139-HistInfo!Y29</f>
        <v>0</v>
      </c>
      <c r="BK29" s="1300">
        <f>Calc!BJ139-HistInfo!Z29</f>
        <v>0</v>
      </c>
      <c r="BL29" s="1300">
        <f>Calc!BK139-HistInfo!AA29</f>
        <v>0</v>
      </c>
      <c r="BM29" s="1300">
        <f>Calc!BL139-HistInfo!AB29</f>
        <v>0</v>
      </c>
      <c r="BN29" s="1300">
        <f>Calc!BM139-HistInfo!AC29</f>
        <v>0</v>
      </c>
      <c r="BO29" s="1300">
        <f>Calc!BN139-HistInfo!AD29</f>
        <v>0</v>
      </c>
      <c r="BP29" s="1300">
        <f>Calc!BO139-HistInfo!AE29</f>
        <v>0</v>
      </c>
      <c r="BQ29" s="1300">
        <f>Calc!BP139-HistInfo!AF29</f>
        <v>0</v>
      </c>
      <c r="BR29" s="1300">
        <f>Calc!BQ139-HistInfo!AG29</f>
        <v>0</v>
      </c>
      <c r="BS29" s="1300">
        <f>Calc!BR139-HistInfo!AH29</f>
        <v>0</v>
      </c>
      <c r="BT29" s="1300">
        <f>Calc!BS139-HistInfo!AI29</f>
        <v>0</v>
      </c>
      <c r="BU29" s="1299">
        <f>Calc!BT139-HistInfo!AJ29</f>
        <v>0</v>
      </c>
      <c r="BV29" s="1356"/>
      <c r="BW29" s="1299">
        <f>Calc!BW139-HistInfo!AM29</f>
        <v>0</v>
      </c>
      <c r="BX29" s="1742"/>
      <c r="BY29" s="1070"/>
    </row>
    <row r="30" spans="1:77" ht="18" hidden="1" outlineLevel="1" x14ac:dyDescent="0.3">
      <c r="A30" s="1082"/>
      <c r="B30" s="1336" t="s">
        <v>1327</v>
      </c>
      <c r="C30" s="1360"/>
      <c r="D30" s="1360"/>
      <c r="E30" s="1360"/>
      <c r="F30" s="1304"/>
      <c r="G30" s="1306"/>
      <c r="H30" s="1305"/>
      <c r="I30" s="1305"/>
      <c r="J30" s="1305"/>
      <c r="K30" s="1305"/>
      <c r="L30" s="1305"/>
      <c r="M30" s="1305"/>
      <c r="N30" s="1305"/>
      <c r="O30" s="1305"/>
      <c r="P30" s="1305"/>
      <c r="Q30" s="1305"/>
      <c r="R30" s="1305"/>
      <c r="S30" s="1305"/>
      <c r="T30" s="1305"/>
      <c r="U30" s="1305"/>
      <c r="V30" s="1305"/>
      <c r="W30" s="1305"/>
      <c r="X30" s="1305"/>
      <c r="Y30" s="1305"/>
      <c r="Z30" s="1305"/>
      <c r="AA30" s="1305"/>
      <c r="AB30" s="1305"/>
      <c r="AC30" s="1305"/>
      <c r="AD30" s="1305"/>
      <c r="AE30" s="1305"/>
      <c r="AF30" s="1305"/>
      <c r="AG30" s="1305"/>
      <c r="AH30" s="1305"/>
      <c r="AI30" s="1305"/>
      <c r="AJ30" s="1306"/>
      <c r="AK30" s="1307"/>
      <c r="AL30" s="1770"/>
      <c r="AM30" s="1304"/>
      <c r="AN30" s="1070"/>
      <c r="AO30" s="1070"/>
      <c r="AP30" s="1741"/>
      <c r="AQ30" s="1299">
        <f>Calc!AP140-HistInfo!F30</f>
        <v>0</v>
      </c>
      <c r="AR30" s="1301">
        <f>Calc!AQ140-HistInfo!G30</f>
        <v>0</v>
      </c>
      <c r="AS30" s="1300">
        <f>Calc!AR140-HistInfo!H30</f>
        <v>0</v>
      </c>
      <c r="AT30" s="1300">
        <f>Calc!AS140-HistInfo!I30</f>
        <v>0</v>
      </c>
      <c r="AU30" s="1300">
        <f>Calc!AT140-HistInfo!J30</f>
        <v>0</v>
      </c>
      <c r="AV30" s="1300">
        <f>Calc!AU140-HistInfo!K30</f>
        <v>0</v>
      </c>
      <c r="AW30" s="1300">
        <f>Calc!AV140-HistInfo!L30</f>
        <v>0</v>
      </c>
      <c r="AX30" s="1300">
        <f>Calc!AW140-HistInfo!M30</f>
        <v>0</v>
      </c>
      <c r="AY30" s="1300">
        <f>Calc!AX140-HistInfo!N30</f>
        <v>0</v>
      </c>
      <c r="AZ30" s="1300">
        <f>Calc!AY140-HistInfo!O30</f>
        <v>0</v>
      </c>
      <c r="BA30" s="1300">
        <f>Calc!AZ140-HistInfo!P30</f>
        <v>0</v>
      </c>
      <c r="BB30" s="1300">
        <f>Calc!BA140-HistInfo!Q30</f>
        <v>0</v>
      </c>
      <c r="BC30" s="1300">
        <f>Calc!BB140-HistInfo!R30</f>
        <v>0</v>
      </c>
      <c r="BD30" s="1300">
        <f>Calc!BC140-HistInfo!S30</f>
        <v>0</v>
      </c>
      <c r="BE30" s="1300">
        <f>Calc!BD140-HistInfo!T30</f>
        <v>0</v>
      </c>
      <c r="BF30" s="1300">
        <f>Calc!BE140-HistInfo!U30</f>
        <v>0</v>
      </c>
      <c r="BG30" s="1300">
        <f>Calc!BF140-HistInfo!V30</f>
        <v>0</v>
      </c>
      <c r="BH30" s="1300">
        <f>Calc!BG140-HistInfo!W30</f>
        <v>0</v>
      </c>
      <c r="BI30" s="1300">
        <f>Calc!BH140-HistInfo!X30</f>
        <v>0</v>
      </c>
      <c r="BJ30" s="1300">
        <f>Calc!BI140-HistInfo!Y30</f>
        <v>0</v>
      </c>
      <c r="BK30" s="1300">
        <f>Calc!BJ140-HistInfo!Z30</f>
        <v>0</v>
      </c>
      <c r="BL30" s="1300">
        <f>Calc!BK140-HistInfo!AA30</f>
        <v>0</v>
      </c>
      <c r="BM30" s="1300">
        <f>Calc!BL140-HistInfo!AB30</f>
        <v>0</v>
      </c>
      <c r="BN30" s="1300">
        <f>Calc!BM140-HistInfo!AC30</f>
        <v>0</v>
      </c>
      <c r="BO30" s="1300">
        <f>Calc!BN140-HistInfo!AD30</f>
        <v>0</v>
      </c>
      <c r="BP30" s="1300">
        <f>Calc!BO140-HistInfo!AE30</f>
        <v>0</v>
      </c>
      <c r="BQ30" s="1300">
        <f>Calc!BP140-HistInfo!AF30</f>
        <v>0</v>
      </c>
      <c r="BR30" s="1300">
        <f>Calc!BQ140-HistInfo!AG30</f>
        <v>0</v>
      </c>
      <c r="BS30" s="1300">
        <f>Calc!BR140-HistInfo!AH30</f>
        <v>0</v>
      </c>
      <c r="BT30" s="1300">
        <f>Calc!BS140-HistInfo!AI30</f>
        <v>0</v>
      </c>
      <c r="BU30" s="1299">
        <f>Calc!BT140-HistInfo!AJ30</f>
        <v>0</v>
      </c>
      <c r="BV30" s="1344"/>
      <c r="BW30" s="1299">
        <f>Calc!BW140-HistInfo!AM30</f>
        <v>0</v>
      </c>
      <c r="BX30" s="1742"/>
      <c r="BY30" s="1070"/>
    </row>
    <row r="31" spans="1:77" ht="18" hidden="1" outlineLevel="1" x14ac:dyDescent="0.3">
      <c r="A31" s="1082"/>
      <c r="B31" s="1308" t="s">
        <v>674</v>
      </c>
      <c r="C31" s="1362"/>
      <c r="D31" s="1362"/>
      <c r="E31" s="1362"/>
      <c r="F31" s="1315"/>
      <c r="G31" s="1317"/>
      <c r="H31" s="1316"/>
      <c r="I31" s="1316"/>
      <c r="J31" s="1316"/>
      <c r="K31" s="1316"/>
      <c r="L31" s="1316"/>
      <c r="M31" s="1316"/>
      <c r="N31" s="1316"/>
      <c r="O31" s="1316"/>
      <c r="P31" s="1316"/>
      <c r="Q31" s="1316"/>
      <c r="R31" s="1316"/>
      <c r="S31" s="1316"/>
      <c r="T31" s="1316"/>
      <c r="U31" s="1316"/>
      <c r="V31" s="1316"/>
      <c r="W31" s="1316"/>
      <c r="X31" s="1316"/>
      <c r="Y31" s="1316"/>
      <c r="Z31" s="1316"/>
      <c r="AA31" s="1316"/>
      <c r="AB31" s="1316"/>
      <c r="AC31" s="1316"/>
      <c r="AD31" s="1316"/>
      <c r="AE31" s="1316"/>
      <c r="AF31" s="1316"/>
      <c r="AG31" s="1316"/>
      <c r="AH31" s="1316"/>
      <c r="AI31" s="1316"/>
      <c r="AJ31" s="1317"/>
      <c r="AK31" s="1318"/>
      <c r="AL31" s="1761"/>
      <c r="AM31" s="1315"/>
      <c r="AN31" s="1070"/>
      <c r="AO31" s="1070"/>
      <c r="AP31" s="1741"/>
      <c r="AQ31" s="1310">
        <f>Calc!AP141-HistInfo!F31</f>
        <v>0</v>
      </c>
      <c r="AR31" s="1312">
        <f>Calc!AQ141-HistInfo!G31</f>
        <v>0</v>
      </c>
      <c r="AS31" s="1311">
        <f>Calc!AR141-HistInfo!H31</f>
        <v>0</v>
      </c>
      <c r="AT31" s="1311">
        <f>Calc!AS141-HistInfo!I31</f>
        <v>0</v>
      </c>
      <c r="AU31" s="1311">
        <f>Calc!AT141-HistInfo!J31</f>
        <v>0</v>
      </c>
      <c r="AV31" s="1311">
        <f>Calc!AU141-HistInfo!K31</f>
        <v>0</v>
      </c>
      <c r="AW31" s="1311">
        <f>Calc!AV141-HistInfo!L31</f>
        <v>0</v>
      </c>
      <c r="AX31" s="1311">
        <f>Calc!AW141-HistInfo!M31</f>
        <v>0</v>
      </c>
      <c r="AY31" s="1311">
        <f>Calc!AX141-HistInfo!N31</f>
        <v>0</v>
      </c>
      <c r="AZ31" s="1311">
        <f>Calc!AY141-HistInfo!O31</f>
        <v>0</v>
      </c>
      <c r="BA31" s="1311">
        <f>Calc!AZ141-HistInfo!P31</f>
        <v>0</v>
      </c>
      <c r="BB31" s="1311">
        <f>Calc!BA141-HistInfo!Q31</f>
        <v>0</v>
      </c>
      <c r="BC31" s="1311">
        <f>Calc!BB141-HistInfo!R31</f>
        <v>0</v>
      </c>
      <c r="BD31" s="1311">
        <f>Calc!BC141-HistInfo!S31</f>
        <v>0</v>
      </c>
      <c r="BE31" s="1311">
        <f>Calc!BD141-HistInfo!T31</f>
        <v>0</v>
      </c>
      <c r="BF31" s="1311">
        <f>Calc!BE141-HistInfo!U31</f>
        <v>0</v>
      </c>
      <c r="BG31" s="1311">
        <f>Calc!BF141-HistInfo!V31</f>
        <v>0</v>
      </c>
      <c r="BH31" s="1311">
        <f>Calc!BG141-HistInfo!W31</f>
        <v>0</v>
      </c>
      <c r="BI31" s="1311">
        <f>Calc!BH141-HistInfo!X31</f>
        <v>0</v>
      </c>
      <c r="BJ31" s="1311">
        <f>Calc!BI141-HistInfo!Y31</f>
        <v>0</v>
      </c>
      <c r="BK31" s="1311">
        <f>Calc!BJ141-HistInfo!Z31</f>
        <v>0</v>
      </c>
      <c r="BL31" s="1311">
        <f>Calc!BK141-HistInfo!AA31</f>
        <v>0</v>
      </c>
      <c r="BM31" s="1311">
        <f>Calc!BL141-HistInfo!AB31</f>
        <v>0</v>
      </c>
      <c r="BN31" s="1311">
        <f>Calc!BM141-HistInfo!AC31</f>
        <v>0</v>
      </c>
      <c r="BO31" s="1311">
        <f>Calc!BN141-HistInfo!AD31</f>
        <v>0</v>
      </c>
      <c r="BP31" s="1311">
        <f>Calc!BO141-HistInfo!AE31</f>
        <v>0</v>
      </c>
      <c r="BQ31" s="1311">
        <f>Calc!BP141-HistInfo!AF31</f>
        <v>0</v>
      </c>
      <c r="BR31" s="1311">
        <f>Calc!BQ141-HistInfo!AG31</f>
        <v>0</v>
      </c>
      <c r="BS31" s="1311">
        <f>Calc!BR141-HistInfo!AH31</f>
        <v>0</v>
      </c>
      <c r="BT31" s="1311">
        <f>Calc!BS141-HistInfo!AI31</f>
        <v>0</v>
      </c>
      <c r="BU31" s="1310">
        <f>Calc!BT141-HistInfo!AJ31</f>
        <v>0</v>
      </c>
      <c r="BV31" s="1344"/>
      <c r="BW31" s="1310">
        <f>Calc!BW141-HistInfo!AM31</f>
        <v>0</v>
      </c>
      <c r="BX31" s="1742"/>
      <c r="BY31" s="1070"/>
    </row>
    <row r="32" spans="1:77" ht="15.6" hidden="1" outlineLevel="1" x14ac:dyDescent="0.3">
      <c r="A32" s="1082"/>
      <c r="B32" s="1363"/>
      <c r="C32" s="1321" t="s">
        <v>1323</v>
      </c>
      <c r="D32" s="1321"/>
      <c r="E32" s="1364"/>
      <c r="F32" s="1367"/>
      <c r="G32" s="1332"/>
      <c r="H32" s="1331"/>
      <c r="I32" s="1331"/>
      <c r="J32" s="1331"/>
      <c r="K32" s="1331"/>
      <c r="L32" s="1331"/>
      <c r="M32" s="1331"/>
      <c r="N32" s="1331"/>
      <c r="O32" s="1331"/>
      <c r="P32" s="1331"/>
      <c r="Q32" s="1331"/>
      <c r="R32" s="1331"/>
      <c r="S32" s="1331"/>
      <c r="T32" s="1331"/>
      <c r="U32" s="1331"/>
      <c r="V32" s="1331"/>
      <c r="W32" s="1331"/>
      <c r="X32" s="1331"/>
      <c r="Y32" s="1331"/>
      <c r="Z32" s="1331"/>
      <c r="AA32" s="1331"/>
      <c r="AB32" s="1331"/>
      <c r="AC32" s="1331"/>
      <c r="AD32" s="1331"/>
      <c r="AE32" s="1331"/>
      <c r="AF32" s="1331"/>
      <c r="AG32" s="1331"/>
      <c r="AH32" s="1331"/>
      <c r="AI32" s="1331"/>
      <c r="AJ32" s="1332"/>
      <c r="AK32" s="1368"/>
      <c r="AL32" s="1776"/>
      <c r="AM32" s="1335"/>
      <c r="AN32" s="1070"/>
      <c r="AO32" s="1070"/>
      <c r="AP32" s="1741"/>
      <c r="AQ32" s="1365"/>
      <c r="AR32" s="1772"/>
      <c r="AS32" s="1773"/>
      <c r="AT32" s="1773"/>
      <c r="AU32" s="1773"/>
      <c r="AV32" s="1773"/>
      <c r="AW32" s="1773"/>
      <c r="AX32" s="1773"/>
      <c r="AY32" s="1773"/>
      <c r="AZ32" s="1773"/>
      <c r="BA32" s="1773"/>
      <c r="BB32" s="1773"/>
      <c r="BC32" s="1773"/>
      <c r="BD32" s="1773"/>
      <c r="BE32" s="1773"/>
      <c r="BF32" s="1773"/>
      <c r="BG32" s="1773"/>
      <c r="BH32" s="1773"/>
      <c r="BI32" s="1773"/>
      <c r="BJ32" s="1773"/>
      <c r="BK32" s="1773"/>
      <c r="BL32" s="1773"/>
      <c r="BM32" s="1773"/>
      <c r="BN32" s="1773"/>
      <c r="BO32" s="1773"/>
      <c r="BP32" s="1773"/>
      <c r="BQ32" s="1773"/>
      <c r="BR32" s="1773"/>
      <c r="BS32" s="1773"/>
      <c r="BT32" s="1773"/>
      <c r="BU32" s="1774"/>
      <c r="BV32" s="1344"/>
      <c r="BW32" s="1774"/>
      <c r="BX32" s="1742"/>
      <c r="BY32" s="1070"/>
    </row>
    <row r="33" spans="1:77" ht="18" hidden="1" outlineLevel="1" x14ac:dyDescent="0.3">
      <c r="A33" s="1082"/>
      <c r="B33" s="1336" t="s">
        <v>1328</v>
      </c>
      <c r="C33" s="1337"/>
      <c r="D33" s="1337"/>
      <c r="E33" s="1337"/>
      <c r="F33" s="1304"/>
      <c r="G33" s="1306"/>
      <c r="H33" s="1305"/>
      <c r="I33" s="1305"/>
      <c r="J33" s="1305"/>
      <c r="K33" s="1305"/>
      <c r="L33" s="1305"/>
      <c r="M33" s="1305"/>
      <c r="N33" s="1305"/>
      <c r="O33" s="1305"/>
      <c r="P33" s="1305"/>
      <c r="Q33" s="1305"/>
      <c r="R33" s="1305"/>
      <c r="S33" s="1305"/>
      <c r="T33" s="1305"/>
      <c r="U33" s="1305"/>
      <c r="V33" s="1305"/>
      <c r="W33" s="1305"/>
      <c r="X33" s="1305"/>
      <c r="Y33" s="1305"/>
      <c r="Z33" s="1305"/>
      <c r="AA33" s="1305"/>
      <c r="AB33" s="1305"/>
      <c r="AC33" s="1305"/>
      <c r="AD33" s="1305"/>
      <c r="AE33" s="1305"/>
      <c r="AF33" s="1305"/>
      <c r="AG33" s="1305"/>
      <c r="AH33" s="1305"/>
      <c r="AI33" s="1305"/>
      <c r="AJ33" s="1306"/>
      <c r="AK33" s="1307"/>
      <c r="AL33" s="1770"/>
      <c r="AM33" s="1304"/>
      <c r="AN33" s="1070"/>
      <c r="AO33" s="1070"/>
      <c r="AP33" s="1741"/>
      <c r="AQ33" s="1299">
        <f>Calc!AP143-HistInfo!F33</f>
        <v>0</v>
      </c>
      <c r="AR33" s="1301">
        <f>Calc!AQ143-HistInfo!G33</f>
        <v>0</v>
      </c>
      <c r="AS33" s="1300">
        <f>Calc!AR143-HistInfo!H33</f>
        <v>0</v>
      </c>
      <c r="AT33" s="1300">
        <f>Calc!AS143-HistInfo!I33</f>
        <v>0</v>
      </c>
      <c r="AU33" s="1300">
        <f>Calc!AT143-HistInfo!J33</f>
        <v>0</v>
      </c>
      <c r="AV33" s="1300">
        <f>Calc!AU143-HistInfo!K33</f>
        <v>0</v>
      </c>
      <c r="AW33" s="1300">
        <f>Calc!AV143-HistInfo!L33</f>
        <v>0</v>
      </c>
      <c r="AX33" s="1300">
        <f>Calc!AW143-HistInfo!M33</f>
        <v>0</v>
      </c>
      <c r="AY33" s="1300">
        <f>Calc!AX143-HistInfo!N33</f>
        <v>0</v>
      </c>
      <c r="AZ33" s="1300">
        <f>Calc!AY143-HistInfo!O33</f>
        <v>0</v>
      </c>
      <c r="BA33" s="1300">
        <f>Calc!AZ143-HistInfo!P33</f>
        <v>0</v>
      </c>
      <c r="BB33" s="1300">
        <f>Calc!BA143-HistInfo!Q33</f>
        <v>0</v>
      </c>
      <c r="BC33" s="1300">
        <f>Calc!BB143-HistInfo!R33</f>
        <v>0</v>
      </c>
      <c r="BD33" s="1300">
        <f>Calc!BC143-HistInfo!S33</f>
        <v>0</v>
      </c>
      <c r="BE33" s="1300">
        <f>Calc!BD143-HistInfo!T33</f>
        <v>0</v>
      </c>
      <c r="BF33" s="1300">
        <f>Calc!BE143-HistInfo!U33</f>
        <v>0</v>
      </c>
      <c r="BG33" s="1300">
        <f>Calc!BF143-HistInfo!V33</f>
        <v>0</v>
      </c>
      <c r="BH33" s="1300">
        <f>Calc!BG143-HistInfo!W33</f>
        <v>0</v>
      </c>
      <c r="BI33" s="1300">
        <f>Calc!BH143-HistInfo!X33</f>
        <v>0</v>
      </c>
      <c r="BJ33" s="1300">
        <f>Calc!BI143-HistInfo!Y33</f>
        <v>0</v>
      </c>
      <c r="BK33" s="1300">
        <f>Calc!BJ143-HistInfo!Z33</f>
        <v>0</v>
      </c>
      <c r="BL33" s="1300">
        <f>Calc!BK143-HistInfo!AA33</f>
        <v>0</v>
      </c>
      <c r="BM33" s="1300">
        <f>Calc!BL143-HistInfo!AB33</f>
        <v>0</v>
      </c>
      <c r="BN33" s="1300">
        <f>Calc!BM143-HistInfo!AC33</f>
        <v>0</v>
      </c>
      <c r="BO33" s="1300">
        <f>Calc!BN143-HistInfo!AD33</f>
        <v>0</v>
      </c>
      <c r="BP33" s="1300">
        <f>Calc!BO143-HistInfo!AE33</f>
        <v>0</v>
      </c>
      <c r="BQ33" s="1300">
        <f>Calc!BP143-HistInfo!AF33</f>
        <v>0</v>
      </c>
      <c r="BR33" s="1300">
        <f>Calc!BQ143-HistInfo!AG33</f>
        <v>0</v>
      </c>
      <c r="BS33" s="1300">
        <f>Calc!BR143-HistInfo!AH33</f>
        <v>0</v>
      </c>
      <c r="BT33" s="1300">
        <f>Calc!BS143-HistInfo!AI33</f>
        <v>0</v>
      </c>
      <c r="BU33" s="1299">
        <f>Calc!BT143-HistInfo!AJ33</f>
        <v>0</v>
      </c>
      <c r="BV33" s="1344"/>
      <c r="BW33" s="1299">
        <f>Calc!BW143-HistInfo!AM33</f>
        <v>0</v>
      </c>
      <c r="BX33" s="1742"/>
      <c r="BY33" s="1070"/>
    </row>
    <row r="34" spans="1:77" ht="18" hidden="1" outlineLevel="1" x14ac:dyDescent="0.3">
      <c r="A34" s="1082"/>
      <c r="B34" s="1336" t="s">
        <v>1329</v>
      </c>
      <c r="C34" s="1337"/>
      <c r="D34" s="1337"/>
      <c r="E34" s="1337"/>
      <c r="F34" s="1304"/>
      <c r="G34" s="1306"/>
      <c r="H34" s="1305"/>
      <c r="I34" s="1305"/>
      <c r="J34" s="1305"/>
      <c r="K34" s="1305"/>
      <c r="L34" s="1305"/>
      <c r="M34" s="1305"/>
      <c r="N34" s="1305"/>
      <c r="O34" s="1305"/>
      <c r="P34" s="1305"/>
      <c r="Q34" s="1305"/>
      <c r="R34" s="1305"/>
      <c r="S34" s="1305"/>
      <c r="T34" s="1305"/>
      <c r="U34" s="1305"/>
      <c r="V34" s="1305"/>
      <c r="W34" s="1305"/>
      <c r="X34" s="1305"/>
      <c r="Y34" s="1305"/>
      <c r="Z34" s="1305"/>
      <c r="AA34" s="1305"/>
      <c r="AB34" s="1305"/>
      <c r="AC34" s="1305"/>
      <c r="AD34" s="1305"/>
      <c r="AE34" s="1305"/>
      <c r="AF34" s="1305"/>
      <c r="AG34" s="1305"/>
      <c r="AH34" s="1305"/>
      <c r="AI34" s="1777"/>
      <c r="AJ34" s="1306"/>
      <c r="AK34" s="1307"/>
      <c r="AL34" s="1770"/>
      <c r="AM34" s="1304"/>
      <c r="AN34" s="1070"/>
      <c r="AO34" s="1070"/>
      <c r="AP34" s="1741"/>
      <c r="AQ34" s="1299">
        <f>Calc!AP144-HistInfo!F34</f>
        <v>0</v>
      </c>
      <c r="AR34" s="1301">
        <f>Calc!AQ144-HistInfo!G34</f>
        <v>0</v>
      </c>
      <c r="AS34" s="1300">
        <f>Calc!AR144-HistInfo!H34</f>
        <v>0</v>
      </c>
      <c r="AT34" s="1300">
        <f>Calc!AS144-HistInfo!I34</f>
        <v>0</v>
      </c>
      <c r="AU34" s="1300">
        <f>Calc!AT144-HistInfo!J34</f>
        <v>0</v>
      </c>
      <c r="AV34" s="1300">
        <f>Calc!AU144-HistInfo!K34</f>
        <v>0</v>
      </c>
      <c r="AW34" s="1300">
        <f>Calc!AV144-HistInfo!L34</f>
        <v>0</v>
      </c>
      <c r="AX34" s="1300">
        <f>Calc!AW144-HistInfo!M34</f>
        <v>0</v>
      </c>
      <c r="AY34" s="1300">
        <f>Calc!AX144-HistInfo!N34</f>
        <v>0</v>
      </c>
      <c r="AZ34" s="1300">
        <f>Calc!AY144-HistInfo!O34</f>
        <v>0</v>
      </c>
      <c r="BA34" s="1300">
        <f>Calc!AZ144-HistInfo!P34</f>
        <v>0</v>
      </c>
      <c r="BB34" s="1300">
        <f>Calc!BA144-HistInfo!Q34</f>
        <v>0</v>
      </c>
      <c r="BC34" s="1300">
        <f>Calc!BB144-HistInfo!R34</f>
        <v>0</v>
      </c>
      <c r="BD34" s="1300">
        <f>Calc!BC144-HistInfo!S34</f>
        <v>0</v>
      </c>
      <c r="BE34" s="1300">
        <f>Calc!BD144-HistInfo!T34</f>
        <v>0</v>
      </c>
      <c r="BF34" s="1300">
        <f>Calc!BE144-HistInfo!U34</f>
        <v>0</v>
      </c>
      <c r="BG34" s="1300">
        <f>Calc!BF144-HistInfo!V34</f>
        <v>0</v>
      </c>
      <c r="BH34" s="1300">
        <f>Calc!BG144-HistInfo!W34</f>
        <v>0</v>
      </c>
      <c r="BI34" s="1300">
        <f>Calc!BH144-HistInfo!X34</f>
        <v>0</v>
      </c>
      <c r="BJ34" s="1300">
        <f>Calc!BI144-HistInfo!Y34</f>
        <v>0</v>
      </c>
      <c r="BK34" s="1300">
        <f>Calc!BJ144-HistInfo!Z34</f>
        <v>0</v>
      </c>
      <c r="BL34" s="1300">
        <f>Calc!BK144-HistInfo!AA34</f>
        <v>0</v>
      </c>
      <c r="BM34" s="1300">
        <f>Calc!BL144-HistInfo!AB34</f>
        <v>0</v>
      </c>
      <c r="BN34" s="1300">
        <f>Calc!BM144-HistInfo!AC34</f>
        <v>0</v>
      </c>
      <c r="BO34" s="1300">
        <f>Calc!BN144-HistInfo!AD34</f>
        <v>0</v>
      </c>
      <c r="BP34" s="1300">
        <f>Calc!BO144-HistInfo!AE34</f>
        <v>0</v>
      </c>
      <c r="BQ34" s="1300">
        <f>Calc!BP144-HistInfo!AF34</f>
        <v>0</v>
      </c>
      <c r="BR34" s="1300">
        <f>Calc!BQ144-HistInfo!AG34</f>
        <v>0</v>
      </c>
      <c r="BS34" s="1300">
        <f>Calc!BR144-HistInfo!AH34</f>
        <v>0</v>
      </c>
      <c r="BT34" s="1300">
        <f>Calc!BS144-HistInfo!AI34</f>
        <v>0</v>
      </c>
      <c r="BU34" s="1299">
        <f>Calc!BT144-HistInfo!AJ34</f>
        <v>0</v>
      </c>
      <c r="BV34" s="1344"/>
      <c r="BW34" s="1299">
        <f>Calc!BW144-HistInfo!AM34</f>
        <v>0</v>
      </c>
      <c r="BX34" s="1742"/>
      <c r="BY34" s="1070"/>
    </row>
    <row r="35" spans="1:77" ht="18" hidden="1" outlineLevel="1" x14ac:dyDescent="0.3">
      <c r="A35" s="1082"/>
      <c r="B35" s="1369" t="s">
        <v>1450</v>
      </c>
      <c r="C35" s="1298"/>
      <c r="D35" s="1298"/>
      <c r="E35" s="1298"/>
      <c r="F35" s="1374"/>
      <c r="G35" s="1376"/>
      <c r="H35" s="1375"/>
      <c r="I35" s="1375"/>
      <c r="J35" s="1375"/>
      <c r="K35" s="1375"/>
      <c r="L35" s="1375"/>
      <c r="M35" s="1375"/>
      <c r="N35" s="1375"/>
      <c r="O35" s="1375"/>
      <c r="P35" s="1375"/>
      <c r="Q35" s="1375"/>
      <c r="R35" s="1375"/>
      <c r="S35" s="1375"/>
      <c r="T35" s="1375"/>
      <c r="U35" s="1375"/>
      <c r="V35" s="1375"/>
      <c r="W35" s="1375"/>
      <c r="X35" s="1375"/>
      <c r="Y35" s="1375"/>
      <c r="Z35" s="1375"/>
      <c r="AA35" s="1375"/>
      <c r="AB35" s="1375"/>
      <c r="AC35" s="1375"/>
      <c r="AD35" s="1375"/>
      <c r="AE35" s="1375"/>
      <c r="AF35" s="1375"/>
      <c r="AG35" s="1375"/>
      <c r="AH35" s="1375"/>
      <c r="AI35" s="1375"/>
      <c r="AJ35" s="1376"/>
      <c r="AK35" s="1377"/>
      <c r="AL35" s="1761"/>
      <c r="AM35" s="1374"/>
      <c r="AN35" s="1070"/>
      <c r="AO35" s="1070"/>
      <c r="AP35" s="1741"/>
      <c r="AQ35" s="1370">
        <f>Calc!AP145-HistInfo!F35</f>
        <v>0</v>
      </c>
      <c r="AR35" s="1372">
        <f>Calc!AQ145-HistInfo!G35</f>
        <v>0</v>
      </c>
      <c r="AS35" s="1371">
        <f>Calc!AR145-HistInfo!H35</f>
        <v>0</v>
      </c>
      <c r="AT35" s="1371">
        <f>Calc!AS145-HistInfo!I35</f>
        <v>0</v>
      </c>
      <c r="AU35" s="1371">
        <f>Calc!AT145-HistInfo!J35</f>
        <v>0</v>
      </c>
      <c r="AV35" s="1371">
        <f>Calc!AU145-HistInfo!K35</f>
        <v>0</v>
      </c>
      <c r="AW35" s="1371">
        <f>Calc!AV145-HistInfo!L35</f>
        <v>0</v>
      </c>
      <c r="AX35" s="1371">
        <f>Calc!AW145-HistInfo!M35</f>
        <v>0</v>
      </c>
      <c r="AY35" s="1371">
        <f>Calc!AX145-HistInfo!N35</f>
        <v>0</v>
      </c>
      <c r="AZ35" s="1371">
        <f>Calc!AY145-HistInfo!O35</f>
        <v>0</v>
      </c>
      <c r="BA35" s="1371">
        <f>Calc!AZ145-HistInfo!P35</f>
        <v>0</v>
      </c>
      <c r="BB35" s="1371">
        <f>Calc!BA145-HistInfo!Q35</f>
        <v>0</v>
      </c>
      <c r="BC35" s="1371">
        <f>Calc!BB145-HistInfo!R35</f>
        <v>0</v>
      </c>
      <c r="BD35" s="1371">
        <f>Calc!BC145-HistInfo!S35</f>
        <v>0</v>
      </c>
      <c r="BE35" s="1371">
        <f>Calc!BD145-HistInfo!T35</f>
        <v>0</v>
      </c>
      <c r="BF35" s="1371">
        <f>Calc!BE145-HistInfo!U35</f>
        <v>0</v>
      </c>
      <c r="BG35" s="1371">
        <f>Calc!BF145-HistInfo!V35</f>
        <v>0</v>
      </c>
      <c r="BH35" s="1371">
        <f>Calc!BG145-HistInfo!W35</f>
        <v>0</v>
      </c>
      <c r="BI35" s="1371">
        <f>Calc!BH145-HistInfo!X35</f>
        <v>0</v>
      </c>
      <c r="BJ35" s="1371">
        <f>Calc!BI145-HistInfo!Y35</f>
        <v>0</v>
      </c>
      <c r="BK35" s="1371">
        <f>Calc!BJ145-HistInfo!Z35</f>
        <v>0</v>
      </c>
      <c r="BL35" s="1371">
        <f>Calc!BK145-HistInfo!AA35</f>
        <v>0</v>
      </c>
      <c r="BM35" s="1371">
        <f>Calc!BL145-HistInfo!AB35</f>
        <v>0</v>
      </c>
      <c r="BN35" s="1371">
        <f>Calc!BM145-HistInfo!AC35</f>
        <v>0</v>
      </c>
      <c r="BO35" s="1371">
        <f>Calc!BN145-HistInfo!AD35</f>
        <v>0</v>
      </c>
      <c r="BP35" s="1371">
        <f>Calc!BO145-HistInfo!AE35</f>
        <v>0</v>
      </c>
      <c r="BQ35" s="1371">
        <f>Calc!BP145-HistInfo!AF35</f>
        <v>0</v>
      </c>
      <c r="BR35" s="1371">
        <f>Calc!BQ145-HistInfo!AG35</f>
        <v>0</v>
      </c>
      <c r="BS35" s="1371">
        <f>Calc!BR145-HistInfo!AH35</f>
        <v>0</v>
      </c>
      <c r="BT35" s="1371">
        <f>Calc!BS145-HistInfo!AI35</f>
        <v>0</v>
      </c>
      <c r="BU35" s="1370">
        <f>Calc!BT145-HistInfo!AJ35</f>
        <v>0</v>
      </c>
      <c r="BV35" s="1344"/>
      <c r="BW35" s="1370">
        <f>Calc!BW145-HistInfo!AM35</f>
        <v>0</v>
      </c>
      <c r="BX35" s="1742"/>
      <c r="BY35" s="1070"/>
    </row>
    <row r="36" spans="1:77" ht="18" hidden="1" outlineLevel="1" x14ac:dyDescent="0.3">
      <c r="A36" s="1082"/>
      <c r="B36" s="1369"/>
      <c r="C36" s="1351" t="s">
        <v>1323</v>
      </c>
      <c r="D36" s="1351"/>
      <c r="E36" s="1351"/>
      <c r="F36" s="1381"/>
      <c r="G36" s="1276"/>
      <c r="H36" s="1275"/>
      <c r="I36" s="1275"/>
      <c r="J36" s="1275"/>
      <c r="K36" s="1275"/>
      <c r="L36" s="1275"/>
      <c r="M36" s="1275"/>
      <c r="N36" s="1275"/>
      <c r="O36" s="1275"/>
      <c r="P36" s="1275"/>
      <c r="Q36" s="1275"/>
      <c r="R36" s="1275"/>
      <c r="S36" s="1275"/>
      <c r="T36" s="1275"/>
      <c r="U36" s="1275"/>
      <c r="V36" s="1275"/>
      <c r="W36" s="1275"/>
      <c r="X36" s="1275"/>
      <c r="Y36" s="1275"/>
      <c r="Z36" s="1275"/>
      <c r="AA36" s="1275"/>
      <c r="AB36" s="1275"/>
      <c r="AC36" s="1275"/>
      <c r="AD36" s="1275"/>
      <c r="AE36" s="1275"/>
      <c r="AF36" s="1275"/>
      <c r="AG36" s="1275"/>
      <c r="AH36" s="1275"/>
      <c r="AI36" s="1275"/>
      <c r="AJ36" s="1276"/>
      <c r="AK36" s="1377"/>
      <c r="AL36" s="1761"/>
      <c r="AM36" s="1279"/>
      <c r="AN36" s="1070"/>
      <c r="AO36" s="1070"/>
      <c r="AP36" s="1741"/>
      <c r="AQ36" s="1378"/>
      <c r="AR36" s="1763"/>
      <c r="AS36" s="1764"/>
      <c r="AT36" s="1764"/>
      <c r="AU36" s="1764"/>
      <c r="AV36" s="1764"/>
      <c r="AW36" s="1764"/>
      <c r="AX36" s="1764"/>
      <c r="AY36" s="1764"/>
      <c r="AZ36" s="1764"/>
      <c r="BA36" s="1764"/>
      <c r="BB36" s="1764"/>
      <c r="BC36" s="1764"/>
      <c r="BD36" s="1764"/>
      <c r="BE36" s="1764"/>
      <c r="BF36" s="1764"/>
      <c r="BG36" s="1764"/>
      <c r="BH36" s="1764"/>
      <c r="BI36" s="1764"/>
      <c r="BJ36" s="1764"/>
      <c r="BK36" s="1764"/>
      <c r="BL36" s="1764"/>
      <c r="BM36" s="1764"/>
      <c r="BN36" s="1764"/>
      <c r="BO36" s="1764"/>
      <c r="BP36" s="1764"/>
      <c r="BQ36" s="1764"/>
      <c r="BR36" s="1764"/>
      <c r="BS36" s="1764"/>
      <c r="BT36" s="1764"/>
      <c r="BU36" s="1765"/>
      <c r="BV36" s="1344"/>
      <c r="BW36" s="1765"/>
      <c r="BX36" s="1742"/>
      <c r="BY36" s="1070"/>
    </row>
    <row r="37" spans="1:77" ht="18.600000000000001" hidden="1" outlineLevel="1" thickBot="1" x14ac:dyDescent="0.35">
      <c r="A37" s="1082"/>
      <c r="B37" s="1778"/>
      <c r="C37" s="1779"/>
      <c r="D37" s="1779"/>
      <c r="E37" s="1779"/>
      <c r="F37" s="1780"/>
      <c r="G37" s="1781"/>
      <c r="H37" s="1781"/>
      <c r="I37" s="1781"/>
      <c r="J37" s="1781"/>
      <c r="K37" s="1781"/>
      <c r="L37" s="1781"/>
      <c r="M37" s="1781"/>
      <c r="N37" s="1781"/>
      <c r="O37" s="1781"/>
      <c r="P37" s="1781"/>
      <c r="Q37" s="1781"/>
      <c r="R37" s="1781"/>
      <c r="S37" s="1781"/>
      <c r="T37" s="1781"/>
      <c r="U37" s="1781"/>
      <c r="V37" s="1781"/>
      <c r="W37" s="1781"/>
      <c r="X37" s="1781"/>
      <c r="Y37" s="1781"/>
      <c r="Z37" s="1781"/>
      <c r="AA37" s="1781"/>
      <c r="AB37" s="1781"/>
      <c r="AC37" s="1781"/>
      <c r="AD37" s="1781"/>
      <c r="AE37" s="1781"/>
      <c r="AF37" s="1781"/>
      <c r="AG37" s="1781"/>
      <c r="AH37" s="1781"/>
      <c r="AI37" s="1781"/>
      <c r="AJ37" s="1782"/>
      <c r="AK37" s="1783"/>
      <c r="AL37" s="1784"/>
      <c r="AM37" s="1785"/>
      <c r="AN37" s="1070"/>
      <c r="AO37" s="1070"/>
      <c r="AP37" s="1741"/>
      <c r="AQ37" s="1786"/>
      <c r="AR37" s="1787"/>
      <c r="AS37" s="1788"/>
      <c r="AT37" s="1788"/>
      <c r="AU37" s="1788"/>
      <c r="AV37" s="1788"/>
      <c r="AW37" s="1788"/>
      <c r="AX37" s="1788"/>
      <c r="AY37" s="1788"/>
      <c r="AZ37" s="1788"/>
      <c r="BA37" s="1788"/>
      <c r="BB37" s="1788"/>
      <c r="BC37" s="1788"/>
      <c r="BD37" s="1788"/>
      <c r="BE37" s="1788"/>
      <c r="BF37" s="1788"/>
      <c r="BG37" s="1788"/>
      <c r="BH37" s="1788"/>
      <c r="BI37" s="1788"/>
      <c r="BJ37" s="1788"/>
      <c r="BK37" s="1788"/>
      <c r="BL37" s="1788"/>
      <c r="BM37" s="1788"/>
      <c r="BN37" s="1788"/>
      <c r="BO37" s="1788"/>
      <c r="BP37" s="1788"/>
      <c r="BQ37" s="1788"/>
      <c r="BR37" s="1788"/>
      <c r="BS37" s="1788"/>
      <c r="BT37" s="1788"/>
      <c r="BU37" s="1789"/>
      <c r="BV37" s="1790"/>
      <c r="BW37" s="1789"/>
      <c r="BX37" s="1742"/>
      <c r="BY37" s="1070"/>
    </row>
    <row r="38" spans="1:77" ht="18" hidden="1" outlineLevel="1" x14ac:dyDescent="0.3">
      <c r="A38" s="1070"/>
      <c r="B38" s="1082"/>
      <c r="C38" s="1082"/>
      <c r="D38" s="1082"/>
      <c r="E38" s="1082"/>
      <c r="F38" s="1371"/>
      <c r="G38" s="1300"/>
      <c r="H38" s="1300"/>
      <c r="I38" s="1300"/>
      <c r="J38" s="1300"/>
      <c r="K38" s="1300"/>
      <c r="L38" s="1300"/>
      <c r="M38" s="1300"/>
      <c r="N38" s="1300"/>
      <c r="O38" s="1300"/>
      <c r="P38" s="1300"/>
      <c r="Q38" s="1300"/>
      <c r="R38" s="1300"/>
      <c r="S38" s="1300"/>
      <c r="T38" s="1300"/>
      <c r="U38" s="1300"/>
      <c r="V38" s="1300"/>
      <c r="W38" s="1300"/>
      <c r="X38" s="1300"/>
      <c r="Y38" s="1300"/>
      <c r="Z38" s="1300"/>
      <c r="AA38" s="1300"/>
      <c r="AB38" s="1300"/>
      <c r="AC38" s="1300"/>
      <c r="AD38" s="1300"/>
      <c r="AE38" s="1300"/>
      <c r="AF38" s="1300"/>
      <c r="AG38" s="1300"/>
      <c r="AH38" s="1300"/>
      <c r="AI38" s="1300"/>
      <c r="AJ38" s="1300"/>
      <c r="AK38" s="1791"/>
      <c r="AL38" s="1791"/>
      <c r="AM38" s="1300"/>
      <c r="AN38" s="1070"/>
      <c r="AO38" s="1070"/>
      <c r="AP38" s="1792"/>
      <c r="AQ38" s="1793"/>
      <c r="AR38" s="1793"/>
      <c r="AS38" s="1793"/>
      <c r="AT38" s="1793"/>
      <c r="AU38" s="1793"/>
      <c r="AV38" s="1793"/>
      <c r="AW38" s="1793"/>
      <c r="AX38" s="1793"/>
      <c r="AY38" s="1793"/>
      <c r="AZ38" s="1793"/>
      <c r="BA38" s="1793"/>
      <c r="BB38" s="1793"/>
      <c r="BC38" s="1793"/>
      <c r="BD38" s="1793"/>
      <c r="BE38" s="1793"/>
      <c r="BF38" s="1793"/>
      <c r="BG38" s="1793"/>
      <c r="BH38" s="1793"/>
      <c r="BI38" s="1793"/>
      <c r="BJ38" s="1793"/>
      <c r="BK38" s="1793"/>
      <c r="BL38" s="1793"/>
      <c r="BM38" s="1793"/>
      <c r="BN38" s="1793"/>
      <c r="BO38" s="1793"/>
      <c r="BP38" s="1793"/>
      <c r="BQ38" s="1793"/>
      <c r="BR38" s="1793"/>
      <c r="BS38" s="1793"/>
      <c r="BT38" s="1793"/>
      <c r="BU38" s="1793"/>
      <c r="BV38" s="1793"/>
      <c r="BW38" s="1793"/>
      <c r="BX38" s="1794"/>
      <c r="BY38" s="1070"/>
    </row>
    <row r="39" spans="1:77" s="1236" customFormat="1" ht="18" hidden="1" outlineLevel="1" x14ac:dyDescent="0.3">
      <c r="A39" s="1082"/>
      <c r="B39" s="1082"/>
      <c r="C39" s="1082"/>
      <c r="D39" s="1082"/>
      <c r="E39" s="1082"/>
      <c r="F39" s="1371"/>
      <c r="G39" s="1300"/>
      <c r="H39" s="1300"/>
      <c r="I39" s="1300"/>
      <c r="J39" s="1300"/>
      <c r="K39" s="1300"/>
      <c r="L39" s="1300"/>
      <c r="M39" s="1300"/>
      <c r="N39" s="1300"/>
      <c r="O39" s="1300"/>
      <c r="P39" s="1300"/>
      <c r="Q39" s="1300"/>
      <c r="R39" s="1300"/>
      <c r="S39" s="1300"/>
      <c r="T39" s="1300"/>
      <c r="U39" s="1300"/>
      <c r="V39" s="1300"/>
      <c r="W39" s="1300"/>
      <c r="X39" s="1300"/>
      <c r="Y39" s="1300"/>
      <c r="Z39" s="1300"/>
      <c r="AA39" s="1795"/>
      <c r="AB39" s="1795"/>
      <c r="AC39" s="1795"/>
      <c r="AD39" s="1795"/>
      <c r="AE39" s="1795"/>
      <c r="AF39" s="1795"/>
      <c r="AG39" s="1795"/>
      <c r="AH39" s="1795"/>
      <c r="AI39" s="1795"/>
      <c r="AJ39" s="1795"/>
      <c r="AK39" s="1796"/>
      <c r="AL39" s="1796"/>
      <c r="AM39" s="1795"/>
    </row>
    <row r="40" spans="1:77" ht="15" hidden="1" customHeight="1" outlineLevel="1" x14ac:dyDescent="0.3">
      <c r="A40" s="1070"/>
      <c r="B40" s="1070"/>
      <c r="C40" s="1070"/>
      <c r="D40" s="1070"/>
      <c r="E40" s="1070"/>
      <c r="F40" s="1070"/>
      <c r="G40" s="1070"/>
      <c r="H40" s="3144" t="s">
        <v>1451</v>
      </c>
      <c r="I40" s="3145"/>
      <c r="J40" s="3145"/>
      <c r="K40" s="3145"/>
      <c r="L40" s="3146"/>
      <c r="M40" s="1070"/>
      <c r="N40" s="1070"/>
      <c r="O40" s="3274" t="s">
        <v>1452</v>
      </c>
      <c r="P40" s="3275"/>
      <c r="Q40" s="3275"/>
      <c r="R40" s="3276"/>
      <c r="S40" s="1300"/>
      <c r="T40" s="1300"/>
      <c r="U40" s="1082"/>
      <c r="V40" s="3277" t="s">
        <v>1453</v>
      </c>
      <c r="W40" s="3278"/>
      <c r="X40" s="3278"/>
      <c r="Y40" s="3279"/>
      <c r="Z40" s="1082"/>
    </row>
    <row r="41" spans="1:77" ht="18" hidden="1" outlineLevel="1" x14ac:dyDescent="0.3">
      <c r="A41" s="1070"/>
      <c r="B41" s="1070"/>
      <c r="C41" s="1070"/>
      <c r="D41" s="1070"/>
      <c r="E41" s="1070"/>
      <c r="F41" s="1070"/>
      <c r="G41" s="1070"/>
      <c r="H41" s="1217" t="s">
        <v>1299</v>
      </c>
      <c r="I41" s="1218"/>
      <c r="J41" s="1218"/>
      <c r="K41" s="1218"/>
      <c r="L41" s="1412"/>
      <c r="M41" s="1070"/>
      <c r="N41" s="1070"/>
      <c r="O41" s="1797"/>
      <c r="P41" s="1798"/>
      <c r="Q41" s="1799" t="s">
        <v>1313</v>
      </c>
      <c r="R41" s="1799" t="s">
        <v>1314</v>
      </c>
      <c r="S41" s="1300"/>
      <c r="T41" s="1300"/>
      <c r="U41" s="1082"/>
      <c r="V41" s="3280"/>
      <c r="W41" s="3281"/>
      <c r="X41" s="3281"/>
      <c r="Y41" s="3282"/>
      <c r="Z41" s="1082"/>
    </row>
    <row r="42" spans="1:77" ht="18" hidden="1" outlineLevel="1" x14ac:dyDescent="0.3">
      <c r="A42" s="1070"/>
      <c r="B42" s="1070"/>
      <c r="C42" s="1070"/>
      <c r="D42" s="1070"/>
      <c r="E42" s="1070"/>
      <c r="F42" s="1070"/>
      <c r="G42" s="1070"/>
      <c r="H42" s="1800" t="s">
        <v>1301</v>
      </c>
      <c r="I42" s="1801"/>
      <c r="J42" s="1801"/>
      <c r="K42" s="1802" t="s">
        <v>1432</v>
      </c>
      <c r="L42" s="1803" t="s">
        <v>682</v>
      </c>
      <c r="M42" s="1070"/>
      <c r="N42" s="1070"/>
      <c r="O42" s="1804"/>
      <c r="P42" s="1805"/>
      <c r="Q42" s="1806" t="s">
        <v>1342</v>
      </c>
      <c r="R42" s="1806" t="s">
        <v>1342</v>
      </c>
      <c r="S42" s="1300"/>
      <c r="T42" s="1300"/>
      <c r="U42" s="1082"/>
      <c r="V42" s="1807" t="s">
        <v>1454</v>
      </c>
      <c r="W42" s="1143"/>
      <c r="X42" s="1414" t="s">
        <v>1432</v>
      </c>
      <c r="Y42" s="1415" t="s">
        <v>682</v>
      </c>
      <c r="Z42" s="1082"/>
      <c r="AA42" s="1808" t="s">
        <v>1455</v>
      </c>
    </row>
    <row r="43" spans="1:77" ht="18" hidden="1" outlineLevel="1" x14ac:dyDescent="0.3">
      <c r="A43" s="1070"/>
      <c r="B43" s="1070"/>
      <c r="C43" s="1070"/>
      <c r="D43" s="1070"/>
      <c r="E43" s="1070"/>
      <c r="F43" s="1070"/>
      <c r="G43" s="1070"/>
      <c r="H43" s="1440" t="s">
        <v>1456</v>
      </c>
      <c r="I43" s="1441"/>
      <c r="J43" s="1441"/>
      <c r="K43" s="1809" t="s">
        <v>1445</v>
      </c>
      <c r="L43" s="1443" t="s">
        <v>1445</v>
      </c>
      <c r="M43" s="1070"/>
      <c r="N43" s="1070"/>
      <c r="O43" s="1422" t="s">
        <v>794</v>
      </c>
      <c r="P43" s="1412"/>
      <c r="Q43" s="1810"/>
      <c r="R43" s="1428"/>
      <c r="S43" s="1300"/>
      <c r="T43" s="1300"/>
      <c r="U43" s="1082"/>
      <c r="V43" s="1147" t="s">
        <v>756</v>
      </c>
      <c r="W43" s="1186"/>
      <c r="X43" s="1811" t="s">
        <v>1229</v>
      </c>
      <c r="Y43" s="1812" t="s">
        <v>1229</v>
      </c>
      <c r="Z43" s="1082"/>
      <c r="AA43" s="1171" t="str">
        <f>"FY"&amp;IF(OR(X43="Oct",X43="Nov",X43="Dec"),Y43+1,Y43)</f>
        <v>FYN/A</v>
      </c>
    </row>
    <row r="44" spans="1:77" ht="18" hidden="1" outlineLevel="1" x14ac:dyDescent="0.3">
      <c r="A44" s="1070"/>
      <c r="B44" s="1070"/>
      <c r="C44" s="1070"/>
      <c r="D44" s="1070"/>
      <c r="E44" s="1070"/>
      <c r="F44" s="1070"/>
      <c r="G44" s="1070"/>
      <c r="H44" s="1800" t="s">
        <v>730</v>
      </c>
      <c r="I44" s="1801"/>
      <c r="J44" s="1801"/>
      <c r="K44" s="1813"/>
      <c r="L44" s="1814"/>
      <c r="M44" s="1070"/>
      <c r="N44" s="1070"/>
      <c r="O44" s="1434" t="s">
        <v>725</v>
      </c>
      <c r="P44" s="1435"/>
      <c r="Q44" s="1815"/>
      <c r="R44" s="1446"/>
      <c r="S44" s="1300"/>
      <c r="T44" s="1300"/>
      <c r="U44" s="1082"/>
      <c r="V44" s="1149" t="s">
        <v>757</v>
      </c>
      <c r="W44" s="1437"/>
      <c r="X44" s="1816" t="s">
        <v>1229</v>
      </c>
      <c r="Y44" s="1817" t="s">
        <v>1229</v>
      </c>
      <c r="Z44" s="1082"/>
      <c r="AA44" s="1181" t="str">
        <f>"FY"&amp;IF(OR(X44="Oct",X44="Nov",X44="Dec"),Y44+1,Y44)</f>
        <v>FYN/A</v>
      </c>
      <c r="AB44" s="1818" t="e">
        <f>RIGHT(AA44,2)*1</f>
        <v>#VALUE!</v>
      </c>
    </row>
    <row r="45" spans="1:77" ht="18" hidden="1" outlineLevel="1" x14ac:dyDescent="0.3">
      <c r="A45" s="1070"/>
      <c r="B45" s="1070"/>
      <c r="C45" s="1070"/>
      <c r="D45" s="1070"/>
      <c r="E45" s="1070"/>
      <c r="F45" s="1070"/>
      <c r="G45" s="1070"/>
      <c r="H45" s="1440" t="s">
        <v>1456</v>
      </c>
      <c r="I45" s="1441"/>
      <c r="J45" s="1441"/>
      <c r="K45" s="1809" t="s">
        <v>1445</v>
      </c>
      <c r="L45" s="1443" t="s">
        <v>1445</v>
      </c>
      <c r="M45" s="1070"/>
      <c r="N45" s="1070"/>
      <c r="O45" s="1422" t="s">
        <v>1348</v>
      </c>
      <c r="P45" s="1412"/>
      <c r="Q45" s="1457"/>
      <c r="R45" s="1300"/>
      <c r="S45" s="1300"/>
      <c r="T45" s="1300"/>
      <c r="U45" s="1082"/>
      <c r="V45" s="1149"/>
      <c r="W45" s="1437"/>
      <c r="X45" s="3182" t="s">
        <v>1457</v>
      </c>
      <c r="Y45" s="3183"/>
      <c r="Z45" s="1082"/>
      <c r="AA45" s="1819"/>
    </row>
    <row r="46" spans="1:77" ht="18" hidden="1" outlineLevel="1" x14ac:dyDescent="0.3">
      <c r="A46" s="1070"/>
      <c r="B46" s="1070"/>
      <c r="C46" s="1070"/>
      <c r="D46" s="1070"/>
      <c r="E46" s="1070"/>
      <c r="F46" s="1070"/>
      <c r="G46" s="1070"/>
      <c r="H46" s="1800" t="s">
        <v>446</v>
      </c>
      <c r="I46" s="1801"/>
      <c r="J46" s="1801"/>
      <c r="K46" s="1813"/>
      <c r="L46" s="1814"/>
      <c r="M46" s="1070"/>
      <c r="N46" s="1070"/>
      <c r="O46" s="1434" t="s">
        <v>1349</v>
      </c>
      <c r="P46" s="1435"/>
      <c r="Q46" s="1820"/>
      <c r="R46" s="1300"/>
      <c r="S46" s="1300"/>
      <c r="T46" s="1300"/>
      <c r="U46" s="1082"/>
      <c r="V46" s="1149" t="s">
        <v>758</v>
      </c>
      <c r="W46" s="1437"/>
      <c r="X46" s="1811" t="s">
        <v>1229</v>
      </c>
      <c r="Y46" s="1812" t="s">
        <v>1229</v>
      </c>
      <c r="Z46" s="1082"/>
      <c r="AA46" s="1171" t="str">
        <f>"FY"&amp;IF(OR(X46="Oct",X46="Nov",X46="Dec"),Y46+1,Y46)</f>
        <v>FYN/A</v>
      </c>
    </row>
    <row r="47" spans="1:77" ht="18" hidden="1" outlineLevel="1" x14ac:dyDescent="0.3">
      <c r="A47" s="1070"/>
      <c r="B47" s="1070"/>
      <c r="C47" s="1070"/>
      <c r="D47" s="1070"/>
      <c r="E47" s="1070"/>
      <c r="F47" s="1070"/>
      <c r="G47" s="1070"/>
      <c r="H47" s="1440" t="s">
        <v>1456</v>
      </c>
      <c r="I47" s="1441"/>
      <c r="J47" s="1441"/>
      <c r="K47" s="1809" t="s">
        <v>1445</v>
      </c>
      <c r="L47" s="1443" t="s">
        <v>1445</v>
      </c>
      <c r="M47" s="1070"/>
      <c r="N47" s="1070"/>
      <c r="R47" s="1070"/>
      <c r="S47" s="1300"/>
      <c r="T47" s="1300"/>
      <c r="U47" s="1082"/>
      <c r="V47" s="1149" t="s">
        <v>759</v>
      </c>
      <c r="W47" s="1437"/>
      <c r="X47" s="1811" t="s">
        <v>1229</v>
      </c>
      <c r="Y47" s="1812" t="s">
        <v>1229</v>
      </c>
      <c r="Z47" s="1082"/>
      <c r="AA47" s="1177" t="str">
        <f>"FY"&amp;IF(OR(X47="Oct",X47="Nov",X47="Dec"),Y47+1,Y47)</f>
        <v>FYN/A</v>
      </c>
    </row>
    <row r="48" spans="1:77" ht="18" hidden="1" outlineLevel="1" x14ac:dyDescent="0.3">
      <c r="A48" s="1070"/>
      <c r="B48" s="1070"/>
      <c r="C48" s="1070"/>
      <c r="D48" s="1070"/>
      <c r="E48" s="1070"/>
      <c r="F48" s="1070"/>
      <c r="G48" s="1070"/>
      <c r="H48" s="1800" t="s">
        <v>1305</v>
      </c>
      <c r="I48" s="1801"/>
      <c r="J48" s="1801"/>
      <c r="K48" s="1813"/>
      <c r="L48" s="1814"/>
      <c r="M48" s="1070"/>
      <c r="N48" s="1070"/>
      <c r="O48" s="1422" t="s">
        <v>3</v>
      </c>
      <c r="P48" s="1186"/>
      <c r="Q48" s="1821"/>
      <c r="R48" s="1070"/>
      <c r="S48" s="1300"/>
      <c r="T48" s="1300"/>
      <c r="U48" s="1082"/>
      <c r="V48" s="1184" t="s">
        <v>1268</v>
      </c>
      <c r="W48" s="1459"/>
      <c r="X48" s="1816" t="s">
        <v>1229</v>
      </c>
      <c r="Y48" s="1817" t="s">
        <v>1229</v>
      </c>
      <c r="Z48" s="1082"/>
      <c r="AA48" s="1181" t="str">
        <f>"FY"&amp;IF(OR(X48="Oct",X48="Nov",X48="Dec"),Y48+1,Y48)</f>
        <v>FYN/A</v>
      </c>
      <c r="AB48" s="1818" t="e">
        <f>RIGHT(AA48,2)*1</f>
        <v>#VALUE!</v>
      </c>
    </row>
    <row r="49" spans="1:40" ht="18" hidden="1" outlineLevel="1" x14ac:dyDescent="0.3">
      <c r="A49" s="1070"/>
      <c r="B49" s="1070"/>
      <c r="C49" s="1070"/>
      <c r="D49" s="1070"/>
      <c r="E49" s="1070"/>
      <c r="F49" s="1070"/>
      <c r="G49" s="1070"/>
      <c r="H49" s="1465" t="s">
        <v>1456</v>
      </c>
      <c r="I49" s="1466"/>
      <c r="J49" s="1466"/>
      <c r="K49" s="1822" t="s">
        <v>1445</v>
      </c>
      <c r="L49" s="1448" t="s">
        <v>1445</v>
      </c>
      <c r="M49" s="1070"/>
      <c r="N49" s="1070"/>
      <c r="O49" s="1434" t="s">
        <v>1458</v>
      </c>
      <c r="P49" s="1459"/>
      <c r="Q49" s="1402"/>
      <c r="R49" s="1070"/>
      <c r="S49" s="1300"/>
      <c r="T49" s="1300"/>
      <c r="U49" s="1082"/>
      <c r="V49" s="1082"/>
      <c r="W49" s="1082"/>
      <c r="X49" s="1082"/>
      <c r="Y49" s="1082"/>
      <c r="Z49" s="1082"/>
    </row>
    <row r="50" spans="1:40" hidden="1" outlineLevel="1" x14ac:dyDescent="0.3">
      <c r="A50" s="1070"/>
      <c r="B50" s="1070"/>
      <c r="C50" s="1070"/>
      <c r="D50" s="1070"/>
      <c r="E50" s="1070"/>
      <c r="F50" s="1070"/>
      <c r="G50" s="1070"/>
      <c r="H50" s="1115"/>
      <c r="I50" s="1116"/>
      <c r="J50" s="1116"/>
      <c r="K50" s="1212"/>
      <c r="L50" s="1823"/>
      <c r="M50" s="1082"/>
      <c r="N50" s="1082"/>
      <c r="R50" s="1476"/>
      <c r="S50" s="1070"/>
      <c r="T50" s="1070"/>
      <c r="U50" s="1082"/>
      <c r="V50" s="1082"/>
      <c r="W50" s="1082"/>
      <c r="X50" s="1082"/>
      <c r="Y50" s="1082"/>
      <c r="Z50" s="1082"/>
    </row>
    <row r="51" spans="1:40" collapsed="1" x14ac:dyDescent="0.3">
      <c r="A51" s="1070"/>
      <c r="B51" s="1070"/>
      <c r="C51" s="1070"/>
      <c r="D51" s="1070"/>
      <c r="E51" s="1070"/>
      <c r="F51" s="1070"/>
      <c r="G51" s="1070"/>
      <c r="H51" s="1115"/>
      <c r="I51" s="1116"/>
      <c r="J51" s="1116"/>
      <c r="K51" s="1212"/>
      <c r="L51" s="1823"/>
      <c r="M51" s="1082"/>
      <c r="N51" s="1082"/>
      <c r="R51" s="1476"/>
      <c r="S51" s="1082"/>
      <c r="T51" s="1070"/>
      <c r="U51" s="1082"/>
      <c r="V51" s="1082"/>
      <c r="W51" s="1082"/>
      <c r="X51" s="1082"/>
      <c r="Y51" s="1082"/>
      <c r="Z51" s="1082"/>
    </row>
    <row r="52" spans="1:40" s="1831" customFormat="1" ht="9.9" customHeight="1" x14ac:dyDescent="0.3">
      <c r="A52" s="1824"/>
      <c r="B52" s="1824"/>
      <c r="C52" s="1824"/>
      <c r="D52" s="1824"/>
      <c r="E52" s="1824"/>
      <c r="F52" s="1824"/>
      <c r="G52" s="1824"/>
      <c r="H52" s="1825"/>
      <c r="I52" s="1826"/>
      <c r="J52" s="1826"/>
      <c r="K52" s="1827"/>
      <c r="L52" s="1828"/>
      <c r="M52" s="1824"/>
      <c r="N52" s="1824"/>
      <c r="O52" s="1829"/>
      <c r="P52" s="1826"/>
      <c r="Q52" s="1830"/>
      <c r="R52" s="1830"/>
      <c r="S52" s="1824"/>
      <c r="T52" s="1824"/>
      <c r="U52" s="1824"/>
      <c r="V52" s="1824"/>
      <c r="W52" s="1824"/>
      <c r="X52" s="1824"/>
      <c r="Y52" s="1824"/>
      <c r="Z52" s="1824"/>
    </row>
    <row r="53" spans="1:40" x14ac:dyDescent="0.3">
      <c r="A53" s="1070"/>
      <c r="B53" s="1070"/>
      <c r="C53" s="1070"/>
      <c r="D53" s="1070"/>
      <c r="E53" s="1070"/>
      <c r="F53" s="1070"/>
      <c r="G53" s="1070"/>
      <c r="H53" s="1115"/>
      <c r="I53" s="1116"/>
      <c r="J53" s="1116"/>
      <c r="K53" s="1212"/>
      <c r="L53" s="1823"/>
      <c r="M53" s="1082"/>
      <c r="N53" s="1082"/>
      <c r="O53" s="1692"/>
      <c r="P53" s="1116"/>
      <c r="Q53" s="1476"/>
      <c r="R53" s="1476"/>
      <c r="S53" s="1070"/>
      <c r="T53" s="1070"/>
      <c r="U53" s="1082"/>
      <c r="V53" s="1082"/>
      <c r="W53" s="1082"/>
      <c r="X53" s="1082"/>
      <c r="Y53" s="1082"/>
      <c r="Z53" s="1082"/>
    </row>
    <row r="54" spans="1:40" x14ac:dyDescent="0.3">
      <c r="A54" s="1070"/>
      <c r="B54" s="1077" t="s">
        <v>758</v>
      </c>
      <c r="C54" s="1070"/>
      <c r="D54" s="1070"/>
      <c r="E54" s="1070"/>
      <c r="F54" s="1070"/>
      <c r="G54" s="1070"/>
      <c r="H54" s="1070"/>
      <c r="I54" s="1070"/>
      <c r="J54" s="1070"/>
      <c r="K54" s="1070"/>
      <c r="L54" s="1070"/>
      <c r="M54" s="1070"/>
      <c r="N54" s="1070"/>
      <c r="O54" s="1070"/>
      <c r="P54" s="1070"/>
      <c r="Q54" s="1070"/>
      <c r="R54" s="1070"/>
      <c r="S54" s="1070"/>
      <c r="T54" s="1070"/>
      <c r="U54" s="1070"/>
      <c r="V54" s="1070"/>
      <c r="W54" s="1070"/>
      <c r="X54" s="1070"/>
      <c r="Y54" s="1070"/>
      <c r="Z54" s="1070"/>
    </row>
    <row r="55" spans="1:40" x14ac:dyDescent="0.3">
      <c r="A55" s="1070"/>
      <c r="B55" s="1734"/>
      <c r="C55" s="1070"/>
      <c r="D55" s="1070"/>
      <c r="E55" s="1070"/>
      <c r="F55" s="1070"/>
      <c r="G55" s="1070"/>
      <c r="H55" s="1070"/>
      <c r="I55" s="1070"/>
      <c r="J55" s="1070"/>
      <c r="K55" s="1070"/>
      <c r="L55" s="1070"/>
      <c r="M55" s="1070"/>
      <c r="N55" s="1070"/>
      <c r="O55" s="1070"/>
      <c r="P55" s="1070"/>
      <c r="Q55" s="1070"/>
      <c r="R55" s="1070"/>
      <c r="S55" s="1070"/>
      <c r="T55" s="1070"/>
      <c r="U55" s="1070"/>
      <c r="V55" s="1070"/>
      <c r="W55" s="1070"/>
      <c r="X55" s="1070"/>
      <c r="Y55" s="1070"/>
      <c r="Z55" s="1070"/>
    </row>
    <row r="56" spans="1:40" hidden="1" outlineLevel="1" x14ac:dyDescent="0.3">
      <c r="A56" s="1082"/>
      <c r="B56" s="1734" t="s">
        <v>1442</v>
      </c>
      <c r="C56" s="1070"/>
      <c r="D56" s="1070"/>
      <c r="E56" s="1070"/>
      <c r="F56" s="1070"/>
      <c r="G56" s="1070"/>
      <c r="H56" s="1070"/>
      <c r="I56" s="1070"/>
      <c r="J56" s="1070"/>
      <c r="K56" s="1070"/>
      <c r="L56" s="1070"/>
      <c r="M56" s="1070"/>
      <c r="N56" s="1070"/>
      <c r="O56" s="1070"/>
      <c r="P56" s="1070"/>
      <c r="Q56" s="1070"/>
      <c r="R56" s="1070"/>
      <c r="S56" s="1070"/>
      <c r="T56" s="1070"/>
      <c r="U56" s="1070"/>
      <c r="V56" s="1070"/>
      <c r="W56" s="1070"/>
      <c r="X56" s="1070"/>
      <c r="Y56" s="1070"/>
      <c r="Z56" s="1070"/>
    </row>
    <row r="57" spans="1:40" hidden="1" outlineLevel="1" x14ac:dyDescent="0.3">
      <c r="A57" s="1082"/>
      <c r="B57" s="1070"/>
      <c r="C57" s="1070"/>
      <c r="D57" s="1739" t="s">
        <v>1432</v>
      </c>
      <c r="E57" s="1740" t="s">
        <v>682</v>
      </c>
      <c r="F57" s="1070"/>
      <c r="G57" s="1070"/>
      <c r="H57" s="1070"/>
      <c r="I57" s="1070"/>
      <c r="J57" s="1070"/>
      <c r="K57" s="1070"/>
      <c r="L57" s="1070"/>
      <c r="M57" s="1070"/>
      <c r="N57" s="1070"/>
      <c r="O57" s="1070"/>
      <c r="P57" s="1070"/>
      <c r="Q57" s="1070"/>
      <c r="R57" s="1070"/>
      <c r="S57" s="1070"/>
      <c r="T57" s="1070"/>
      <c r="U57" s="1070"/>
      <c r="V57" s="1070"/>
      <c r="W57" s="1070"/>
      <c r="X57" s="1070"/>
      <c r="Y57" s="1070"/>
      <c r="Z57" s="1070"/>
    </row>
    <row r="58" spans="1:40" hidden="1" outlineLevel="1" x14ac:dyDescent="0.3">
      <c r="A58" s="1082"/>
      <c r="B58" s="1164" t="s">
        <v>1459</v>
      </c>
      <c r="C58" s="1146"/>
      <c r="D58" s="1743" t="s">
        <v>1445</v>
      </c>
      <c r="E58" s="1744" t="s">
        <v>1445</v>
      </c>
      <c r="F58" s="1070"/>
      <c r="G58" s="1153" t="s">
        <v>1460</v>
      </c>
      <c r="H58" s="1070"/>
      <c r="I58" s="1070"/>
      <c r="J58" s="1070"/>
      <c r="K58" s="1070"/>
      <c r="L58" s="1070"/>
      <c r="M58" s="1070"/>
      <c r="N58" s="1070"/>
      <c r="O58" s="1070"/>
      <c r="P58" s="1070"/>
      <c r="Q58" s="1070"/>
      <c r="R58" s="1070"/>
      <c r="S58" s="1070"/>
      <c r="T58" s="1070"/>
      <c r="U58" s="1070"/>
      <c r="V58" s="1070"/>
      <c r="W58" s="1070"/>
      <c r="X58" s="1070"/>
      <c r="Y58" s="1070"/>
      <c r="Z58" s="1070"/>
    </row>
    <row r="59" spans="1:40" hidden="1" outlineLevel="1" x14ac:dyDescent="0.3">
      <c r="A59" s="1082"/>
      <c r="B59" s="1070"/>
      <c r="C59" s="1070"/>
      <c r="D59" s="1070"/>
      <c r="E59" s="1070"/>
      <c r="F59" s="1070"/>
      <c r="G59" s="1070"/>
      <c r="H59" s="1070"/>
      <c r="I59" s="1070"/>
      <c r="J59" s="1070"/>
      <c r="K59" s="1070"/>
      <c r="L59" s="1070"/>
      <c r="M59" s="1070"/>
      <c r="N59" s="1070"/>
      <c r="O59" s="1070"/>
      <c r="P59" s="1070"/>
      <c r="Q59" s="1070"/>
      <c r="R59" s="1070"/>
      <c r="S59" s="1070"/>
      <c r="T59" s="1070"/>
      <c r="U59" s="1070"/>
      <c r="V59" s="1070"/>
      <c r="W59" s="1070"/>
      <c r="X59" s="1070"/>
      <c r="Y59" s="1070"/>
      <c r="Z59" s="1070"/>
    </row>
    <row r="60" spans="1:40" hidden="1" outlineLevel="1" x14ac:dyDescent="0.3">
      <c r="A60" s="1082"/>
      <c r="B60" s="1070"/>
      <c r="C60" s="1070"/>
      <c r="D60" s="1070"/>
      <c r="E60" s="1070"/>
      <c r="F60" s="1070"/>
      <c r="G60" s="1070"/>
      <c r="H60" s="1070"/>
      <c r="I60" s="1070"/>
      <c r="J60" s="1070"/>
      <c r="K60" s="1070"/>
      <c r="L60" s="1070"/>
      <c r="M60" s="1070"/>
      <c r="N60" s="1070"/>
      <c r="O60" s="1070"/>
      <c r="P60" s="1070"/>
      <c r="Q60" s="1070"/>
      <c r="R60" s="1070"/>
      <c r="S60" s="1070"/>
      <c r="T60" s="1070"/>
      <c r="U60" s="1070"/>
      <c r="V60" s="1070"/>
      <c r="W60" s="1070"/>
      <c r="X60" s="1070"/>
      <c r="Y60" s="1070"/>
      <c r="Z60" s="1070"/>
      <c r="AA60" s="1070"/>
      <c r="AB60" s="1070"/>
      <c r="AC60" s="1070"/>
      <c r="AD60" s="1070"/>
      <c r="AE60" s="1070"/>
      <c r="AF60" s="1070"/>
      <c r="AG60" s="1070"/>
      <c r="AH60" s="1070"/>
      <c r="AI60" s="1070"/>
      <c r="AJ60" s="1070"/>
      <c r="AK60" s="1070"/>
      <c r="AL60" s="1070"/>
      <c r="AM60" s="1070"/>
      <c r="AN60" s="1070"/>
    </row>
    <row r="61" spans="1:40" ht="17.25" hidden="1" customHeight="1" outlineLevel="1" x14ac:dyDescent="0.3">
      <c r="A61" s="1082"/>
      <c r="B61" s="1240"/>
      <c r="C61" s="1241"/>
      <c r="D61" s="1241"/>
      <c r="E61" s="1241"/>
      <c r="F61" s="1746" t="s">
        <v>739</v>
      </c>
      <c r="G61" s="1746" t="s">
        <v>1461</v>
      </c>
      <c r="H61" s="1746" t="s">
        <v>1461</v>
      </c>
      <c r="I61" s="1746" t="s">
        <v>1461</v>
      </c>
      <c r="J61" s="1746" t="s">
        <v>1461</v>
      </c>
      <c r="K61" s="1747" t="s">
        <v>1461</v>
      </c>
      <c r="L61" s="1747" t="s">
        <v>1461</v>
      </c>
      <c r="M61" s="1747" t="s">
        <v>1461</v>
      </c>
      <c r="N61" s="1747" t="s">
        <v>1461</v>
      </c>
      <c r="O61" s="1747" t="s">
        <v>1461</v>
      </c>
      <c r="P61" s="1747" t="s">
        <v>1461</v>
      </c>
      <c r="Q61" s="1747" t="s">
        <v>1461</v>
      </c>
      <c r="R61" s="1747" t="s">
        <v>1461</v>
      </c>
      <c r="S61" s="1747" t="s">
        <v>1461</v>
      </c>
      <c r="T61" s="1747" t="s">
        <v>1461</v>
      </c>
      <c r="U61" s="1747" t="s">
        <v>1461</v>
      </c>
      <c r="V61" s="1747" t="s">
        <v>1461</v>
      </c>
      <c r="W61" s="1747" t="s">
        <v>1461</v>
      </c>
      <c r="X61" s="1747" t="s">
        <v>1461</v>
      </c>
      <c r="Y61" s="1747" t="s">
        <v>1461</v>
      </c>
      <c r="Z61" s="1747" t="s">
        <v>1461</v>
      </c>
      <c r="AA61" s="1747" t="s">
        <v>1461</v>
      </c>
      <c r="AB61" s="1747" t="s">
        <v>1461</v>
      </c>
      <c r="AC61" s="1747" t="s">
        <v>1461</v>
      </c>
      <c r="AD61" s="1747" t="s">
        <v>1461</v>
      </c>
      <c r="AE61" s="1747" t="s">
        <v>1461</v>
      </c>
      <c r="AF61" s="1747" t="s">
        <v>1461</v>
      </c>
      <c r="AG61" s="1747" t="s">
        <v>1461</v>
      </c>
      <c r="AH61" s="1747" t="s">
        <v>1461</v>
      </c>
      <c r="AI61" s="1747" t="s">
        <v>1461</v>
      </c>
      <c r="AJ61" s="1748" t="s">
        <v>1316</v>
      </c>
      <c r="AK61" s="1749" t="s">
        <v>1315</v>
      </c>
      <c r="AL61" s="1750"/>
      <c r="AM61" s="1746" t="s">
        <v>1316</v>
      </c>
      <c r="AN61" s="1070"/>
    </row>
    <row r="62" spans="1:40" hidden="1" outlineLevel="1" x14ac:dyDescent="0.3">
      <c r="A62" s="1082"/>
      <c r="B62" s="1149"/>
      <c r="C62" s="1142"/>
      <c r="D62" s="1142"/>
      <c r="E62" s="1142"/>
      <c r="F62" s="1753"/>
      <c r="G62" s="1754"/>
      <c r="H62" s="1754"/>
      <c r="I62" s="1754"/>
      <c r="J62" s="1754"/>
      <c r="K62" s="1754"/>
      <c r="L62" s="1754"/>
      <c r="M62" s="1754"/>
      <c r="N62" s="1755"/>
      <c r="O62" s="1756"/>
      <c r="P62" s="1756"/>
      <c r="Q62" s="1756"/>
      <c r="R62" s="1756"/>
      <c r="S62" s="1756"/>
      <c r="T62" s="1756"/>
      <c r="U62" s="1756"/>
      <c r="V62" s="1756"/>
      <c r="W62" s="1756"/>
      <c r="X62" s="1756"/>
      <c r="Y62" s="1756"/>
      <c r="Z62" s="1756"/>
      <c r="AA62" s="1756"/>
      <c r="AB62" s="1756"/>
      <c r="AC62" s="1756"/>
      <c r="AD62" s="1756"/>
      <c r="AE62" s="1756"/>
      <c r="AF62" s="1756"/>
      <c r="AG62" s="1756"/>
      <c r="AH62" s="1756"/>
      <c r="AI62" s="1756"/>
      <c r="AJ62" s="1251"/>
      <c r="AK62" s="1252"/>
      <c r="AL62" s="1757"/>
      <c r="AN62" s="1070"/>
    </row>
    <row r="63" spans="1:40" ht="18" hidden="1" outlineLevel="1" x14ac:dyDescent="0.3">
      <c r="A63" s="1082"/>
      <c r="B63" s="1253" t="s">
        <v>784</v>
      </c>
      <c r="C63" s="1254"/>
      <c r="D63" s="1254"/>
      <c r="E63" s="1255"/>
      <c r="F63" s="1261">
        <v>0</v>
      </c>
      <c r="G63" s="1263">
        <v>0</v>
      </c>
      <c r="H63" s="1262">
        <v>0</v>
      </c>
      <c r="I63" s="1262">
        <v>0</v>
      </c>
      <c r="J63" s="1262">
        <v>0</v>
      </c>
      <c r="K63" s="1262">
        <v>0</v>
      </c>
      <c r="L63" s="1262">
        <v>0</v>
      </c>
      <c r="M63" s="1262">
        <v>0</v>
      </c>
      <c r="N63" s="1262">
        <v>0</v>
      </c>
      <c r="O63" s="1262">
        <v>0</v>
      </c>
      <c r="P63" s="1262">
        <v>0</v>
      </c>
      <c r="Q63" s="1262">
        <v>0</v>
      </c>
      <c r="R63" s="1262">
        <v>0</v>
      </c>
      <c r="S63" s="1262">
        <v>0</v>
      </c>
      <c r="T63" s="1262">
        <v>0</v>
      </c>
      <c r="U63" s="1262">
        <v>0</v>
      </c>
      <c r="V63" s="1262">
        <v>0</v>
      </c>
      <c r="W63" s="1262">
        <v>0</v>
      </c>
      <c r="X63" s="1262">
        <v>0</v>
      </c>
      <c r="Y63" s="1262">
        <v>0</v>
      </c>
      <c r="Z63" s="1262">
        <v>0</v>
      </c>
      <c r="AA63" s="1262">
        <v>0</v>
      </c>
      <c r="AB63" s="1262">
        <v>0</v>
      </c>
      <c r="AC63" s="1262">
        <v>0</v>
      </c>
      <c r="AD63" s="1262">
        <v>0</v>
      </c>
      <c r="AE63" s="1262">
        <v>0</v>
      </c>
      <c r="AF63" s="1262">
        <v>0</v>
      </c>
      <c r="AG63" s="1262">
        <v>0</v>
      </c>
      <c r="AH63" s="1262">
        <v>0</v>
      </c>
      <c r="AI63" s="1262">
        <v>0</v>
      </c>
      <c r="AJ63" s="1263">
        <v>0</v>
      </c>
      <c r="AK63" s="1264"/>
      <c r="AL63" s="1761"/>
      <c r="AM63" s="1261">
        <v>0</v>
      </c>
      <c r="AN63" s="1070"/>
    </row>
    <row r="64" spans="1:40" hidden="1" outlineLevel="1" x14ac:dyDescent="0.3">
      <c r="A64" s="1082"/>
      <c r="B64" s="1266" t="s">
        <v>1317</v>
      </c>
      <c r="C64" s="1267"/>
      <c r="D64" s="1267"/>
      <c r="E64" s="1267"/>
      <c r="F64" s="1274"/>
      <c r="G64" s="1276">
        <v>0</v>
      </c>
      <c r="H64" s="1275">
        <v>0</v>
      </c>
      <c r="I64" s="1275">
        <v>0</v>
      </c>
      <c r="J64" s="1275">
        <v>0</v>
      </c>
      <c r="K64" s="1275">
        <v>0</v>
      </c>
      <c r="L64" s="1275">
        <v>0</v>
      </c>
      <c r="M64" s="1275">
        <v>0</v>
      </c>
      <c r="N64" s="1275">
        <v>0</v>
      </c>
      <c r="O64" s="1275">
        <v>0</v>
      </c>
      <c r="P64" s="1275">
        <v>0</v>
      </c>
      <c r="Q64" s="1275">
        <v>0</v>
      </c>
      <c r="R64" s="1275">
        <v>0</v>
      </c>
      <c r="S64" s="1275">
        <v>0</v>
      </c>
      <c r="T64" s="1275">
        <v>0</v>
      </c>
      <c r="U64" s="1275">
        <v>0</v>
      </c>
      <c r="V64" s="1275">
        <v>0</v>
      </c>
      <c r="W64" s="1275">
        <v>0</v>
      </c>
      <c r="X64" s="1275">
        <v>0</v>
      </c>
      <c r="Y64" s="1275">
        <v>0</v>
      </c>
      <c r="Z64" s="1275">
        <v>0</v>
      </c>
      <c r="AA64" s="1275">
        <v>0</v>
      </c>
      <c r="AB64" s="1275">
        <v>0</v>
      </c>
      <c r="AC64" s="1275">
        <v>0</v>
      </c>
      <c r="AD64" s="1275">
        <v>0</v>
      </c>
      <c r="AE64" s="1275">
        <v>0</v>
      </c>
      <c r="AF64" s="1275">
        <v>0</v>
      </c>
      <c r="AG64" s="1275">
        <v>0</v>
      </c>
      <c r="AH64" s="1275">
        <v>0</v>
      </c>
      <c r="AI64" s="1275">
        <v>0</v>
      </c>
      <c r="AJ64" s="1276">
        <v>0</v>
      </c>
      <c r="AK64" s="1277" t="s">
        <v>1318</v>
      </c>
      <c r="AL64" s="1762"/>
      <c r="AM64" s="1279"/>
      <c r="AN64" s="1070"/>
    </row>
    <row r="65" spans="1:40" hidden="1" outlineLevel="1" x14ac:dyDescent="0.3">
      <c r="A65" s="1082"/>
      <c r="B65" s="1266" t="s">
        <v>1319</v>
      </c>
      <c r="C65" s="1766" t="s">
        <v>1449</v>
      </c>
      <c r="D65" s="1767"/>
      <c r="E65" s="1267"/>
      <c r="F65" s="1274"/>
      <c r="G65" s="1276">
        <v>0</v>
      </c>
      <c r="H65" s="1275">
        <v>0</v>
      </c>
      <c r="I65" s="1275">
        <v>0</v>
      </c>
      <c r="J65" s="1275">
        <v>0</v>
      </c>
      <c r="K65" s="1275">
        <v>0</v>
      </c>
      <c r="L65" s="1275">
        <v>0</v>
      </c>
      <c r="M65" s="1275">
        <v>0</v>
      </c>
      <c r="N65" s="1275">
        <v>0</v>
      </c>
      <c r="O65" s="1275">
        <v>0</v>
      </c>
      <c r="P65" s="1275">
        <v>0</v>
      </c>
      <c r="Q65" s="1275">
        <v>0</v>
      </c>
      <c r="R65" s="1275">
        <v>0</v>
      </c>
      <c r="S65" s="1275">
        <v>0</v>
      </c>
      <c r="T65" s="1275">
        <v>0</v>
      </c>
      <c r="U65" s="1275">
        <v>0</v>
      </c>
      <c r="V65" s="1275">
        <v>0</v>
      </c>
      <c r="W65" s="1275">
        <v>0</v>
      </c>
      <c r="X65" s="1275">
        <v>0</v>
      </c>
      <c r="Y65" s="1275">
        <v>0</v>
      </c>
      <c r="Z65" s="1275">
        <v>0</v>
      </c>
      <c r="AA65" s="1275">
        <v>0</v>
      </c>
      <c r="AB65" s="1275">
        <v>0</v>
      </c>
      <c r="AC65" s="1275">
        <v>0</v>
      </c>
      <c r="AD65" s="1275">
        <v>0</v>
      </c>
      <c r="AE65" s="1275">
        <v>0</v>
      </c>
      <c r="AF65" s="1275">
        <v>0</v>
      </c>
      <c r="AG65" s="1275">
        <v>0</v>
      </c>
      <c r="AH65" s="1275">
        <v>0</v>
      </c>
      <c r="AI65" s="1275">
        <v>0</v>
      </c>
      <c r="AJ65" s="1276">
        <v>0</v>
      </c>
      <c r="AK65" s="1277"/>
      <c r="AL65" s="1762"/>
      <c r="AM65" s="1279"/>
      <c r="AN65" s="1070"/>
    </row>
    <row r="66" spans="1:40" ht="18" hidden="1" outlineLevel="1" x14ac:dyDescent="0.3">
      <c r="A66" s="1082"/>
      <c r="B66" s="1283" t="s">
        <v>1320</v>
      </c>
      <c r="C66" s="1284"/>
      <c r="D66" s="1284"/>
      <c r="E66" s="1286"/>
      <c r="F66" s="1292"/>
      <c r="G66" s="1768">
        <v>0</v>
      </c>
      <c r="H66" s="1769">
        <v>0</v>
      </c>
      <c r="I66" s="1769">
        <v>0</v>
      </c>
      <c r="J66" s="1769">
        <v>0</v>
      </c>
      <c r="K66" s="1769">
        <v>0</v>
      </c>
      <c r="L66" s="1769">
        <v>0</v>
      </c>
      <c r="M66" s="1769">
        <v>0</v>
      </c>
      <c r="N66" s="1769">
        <v>0</v>
      </c>
      <c r="O66" s="1769">
        <v>0</v>
      </c>
      <c r="P66" s="1769">
        <v>0</v>
      </c>
      <c r="Q66" s="1769">
        <v>0</v>
      </c>
      <c r="R66" s="1769">
        <v>0</v>
      </c>
      <c r="S66" s="1769">
        <v>0</v>
      </c>
      <c r="T66" s="1769">
        <v>0</v>
      </c>
      <c r="U66" s="1769">
        <v>0</v>
      </c>
      <c r="V66" s="1769">
        <v>0</v>
      </c>
      <c r="W66" s="1769">
        <v>0</v>
      </c>
      <c r="X66" s="1769">
        <v>0</v>
      </c>
      <c r="Y66" s="1769">
        <v>0</v>
      </c>
      <c r="Z66" s="1769">
        <v>0</v>
      </c>
      <c r="AA66" s="1769">
        <v>0</v>
      </c>
      <c r="AB66" s="1769">
        <v>0</v>
      </c>
      <c r="AC66" s="1769">
        <v>0</v>
      </c>
      <c r="AD66" s="1769">
        <v>0</v>
      </c>
      <c r="AE66" s="1769">
        <v>0</v>
      </c>
      <c r="AF66" s="1769">
        <v>0</v>
      </c>
      <c r="AG66" s="1769">
        <v>0</v>
      </c>
      <c r="AH66" s="1769">
        <v>0</v>
      </c>
      <c r="AI66" s="1769">
        <v>0</v>
      </c>
      <c r="AJ66" s="1768">
        <v>0</v>
      </c>
      <c r="AK66" s="1295"/>
      <c r="AL66" s="1761"/>
      <c r="AM66" s="1296">
        <v>0</v>
      </c>
      <c r="AN66" s="1070"/>
    </row>
    <row r="67" spans="1:40" ht="18" hidden="1" outlineLevel="1" x14ac:dyDescent="0.3">
      <c r="A67" s="1082"/>
      <c r="B67" s="1297" t="s">
        <v>1321</v>
      </c>
      <c r="C67" s="1298"/>
      <c r="D67" s="1298"/>
      <c r="E67" s="1298"/>
      <c r="F67" s="1304">
        <v>0</v>
      </c>
      <c r="G67" s="1306">
        <v>0</v>
      </c>
      <c r="H67" s="1305">
        <v>0</v>
      </c>
      <c r="I67" s="1305">
        <v>0</v>
      </c>
      <c r="J67" s="1305">
        <v>0</v>
      </c>
      <c r="K67" s="1305">
        <v>0</v>
      </c>
      <c r="L67" s="1305">
        <v>0</v>
      </c>
      <c r="M67" s="1305">
        <v>0</v>
      </c>
      <c r="N67" s="1305">
        <v>0</v>
      </c>
      <c r="O67" s="1305">
        <v>0</v>
      </c>
      <c r="P67" s="1305">
        <v>0</v>
      </c>
      <c r="Q67" s="1305">
        <v>0</v>
      </c>
      <c r="R67" s="1305">
        <v>0</v>
      </c>
      <c r="S67" s="1305">
        <v>0</v>
      </c>
      <c r="T67" s="1305">
        <v>0</v>
      </c>
      <c r="U67" s="1305">
        <v>0</v>
      </c>
      <c r="V67" s="1305">
        <v>0</v>
      </c>
      <c r="W67" s="1305">
        <v>0</v>
      </c>
      <c r="X67" s="1305">
        <v>0</v>
      </c>
      <c r="Y67" s="1305">
        <v>0</v>
      </c>
      <c r="Z67" s="1305">
        <v>0</v>
      </c>
      <c r="AA67" s="1305">
        <v>0</v>
      </c>
      <c r="AB67" s="1305">
        <v>0</v>
      </c>
      <c r="AC67" s="1305">
        <v>0</v>
      </c>
      <c r="AD67" s="1305">
        <v>0</v>
      </c>
      <c r="AE67" s="1305">
        <v>0</v>
      </c>
      <c r="AF67" s="1305">
        <v>0</v>
      </c>
      <c r="AG67" s="1305">
        <v>0</v>
      </c>
      <c r="AH67" s="1305">
        <v>0</v>
      </c>
      <c r="AI67" s="1305">
        <v>0</v>
      </c>
      <c r="AJ67" s="1306">
        <v>0</v>
      </c>
      <c r="AK67" s="1307">
        <v>0</v>
      </c>
      <c r="AL67" s="1770"/>
      <c r="AM67" s="1304">
        <v>0</v>
      </c>
      <c r="AN67" s="1070"/>
    </row>
    <row r="68" spans="1:40" ht="18" hidden="1" outlineLevel="1" x14ac:dyDescent="0.3">
      <c r="A68" s="1082"/>
      <c r="B68" s="1297" t="s">
        <v>1322</v>
      </c>
      <c r="C68" s="1298"/>
      <c r="D68" s="1298"/>
      <c r="E68" s="1298"/>
      <c r="F68" s="1304">
        <v>0</v>
      </c>
      <c r="G68" s="1306">
        <v>0</v>
      </c>
      <c r="H68" s="1305">
        <v>0</v>
      </c>
      <c r="I68" s="1305">
        <v>0</v>
      </c>
      <c r="J68" s="1305">
        <v>0</v>
      </c>
      <c r="K68" s="1305">
        <v>0</v>
      </c>
      <c r="L68" s="1305">
        <v>0</v>
      </c>
      <c r="M68" s="1305">
        <v>0</v>
      </c>
      <c r="N68" s="1305">
        <v>0</v>
      </c>
      <c r="O68" s="1305">
        <v>0</v>
      </c>
      <c r="P68" s="1305">
        <v>0</v>
      </c>
      <c r="Q68" s="1305">
        <v>0</v>
      </c>
      <c r="R68" s="1305">
        <v>0</v>
      </c>
      <c r="S68" s="1305">
        <v>0</v>
      </c>
      <c r="T68" s="1305">
        <v>0</v>
      </c>
      <c r="U68" s="1305">
        <v>0</v>
      </c>
      <c r="V68" s="1305">
        <v>0</v>
      </c>
      <c r="W68" s="1305">
        <v>0</v>
      </c>
      <c r="X68" s="1305">
        <v>0</v>
      </c>
      <c r="Y68" s="1305">
        <v>0</v>
      </c>
      <c r="Z68" s="1305">
        <v>0</v>
      </c>
      <c r="AA68" s="1305">
        <v>0</v>
      </c>
      <c r="AB68" s="1305">
        <v>0</v>
      </c>
      <c r="AC68" s="1305">
        <v>0</v>
      </c>
      <c r="AD68" s="1305">
        <v>0</v>
      </c>
      <c r="AE68" s="1305">
        <v>0</v>
      </c>
      <c r="AF68" s="1305">
        <v>0</v>
      </c>
      <c r="AG68" s="1305">
        <v>0</v>
      </c>
      <c r="AH68" s="1305">
        <v>0</v>
      </c>
      <c r="AI68" s="1305">
        <v>0</v>
      </c>
      <c r="AJ68" s="1306">
        <v>0</v>
      </c>
      <c r="AK68" s="1307">
        <v>0</v>
      </c>
      <c r="AL68" s="1770"/>
      <c r="AM68" s="1304">
        <v>0</v>
      </c>
      <c r="AN68" s="1070"/>
    </row>
    <row r="69" spans="1:40" ht="18" hidden="1" outlineLevel="1" x14ac:dyDescent="0.3">
      <c r="A69" s="1082"/>
      <c r="B69" s="1308" t="s">
        <v>286</v>
      </c>
      <c r="C69" s="1309"/>
      <c r="D69" s="1309"/>
      <c r="E69" s="1309"/>
      <c r="F69" s="1315">
        <v>0</v>
      </c>
      <c r="G69" s="1317">
        <v>0</v>
      </c>
      <c r="H69" s="1316">
        <v>0</v>
      </c>
      <c r="I69" s="1316">
        <v>0</v>
      </c>
      <c r="J69" s="1316">
        <v>0</v>
      </c>
      <c r="K69" s="1316">
        <v>0</v>
      </c>
      <c r="L69" s="1316">
        <v>0</v>
      </c>
      <c r="M69" s="1316">
        <v>0</v>
      </c>
      <c r="N69" s="1316">
        <v>0</v>
      </c>
      <c r="O69" s="1316">
        <v>0</v>
      </c>
      <c r="P69" s="1316">
        <v>0</v>
      </c>
      <c r="Q69" s="1316">
        <v>0</v>
      </c>
      <c r="R69" s="1316">
        <v>0</v>
      </c>
      <c r="S69" s="1316">
        <v>0</v>
      </c>
      <c r="T69" s="1316">
        <v>0</v>
      </c>
      <c r="U69" s="1316">
        <v>0</v>
      </c>
      <c r="V69" s="1316">
        <v>0</v>
      </c>
      <c r="W69" s="1316">
        <v>0</v>
      </c>
      <c r="X69" s="1316">
        <v>0</v>
      </c>
      <c r="Y69" s="1316">
        <v>0</v>
      </c>
      <c r="Z69" s="1316">
        <v>0</v>
      </c>
      <c r="AA69" s="1316">
        <v>0</v>
      </c>
      <c r="AB69" s="1316">
        <v>0</v>
      </c>
      <c r="AC69" s="1316">
        <v>0</v>
      </c>
      <c r="AD69" s="1316">
        <v>0</v>
      </c>
      <c r="AE69" s="1316">
        <v>0</v>
      </c>
      <c r="AF69" s="1316">
        <v>0</v>
      </c>
      <c r="AG69" s="1316">
        <v>0</v>
      </c>
      <c r="AH69" s="1316">
        <v>0</v>
      </c>
      <c r="AI69" s="1316">
        <v>0</v>
      </c>
      <c r="AJ69" s="1317">
        <v>0</v>
      </c>
      <c r="AK69" s="1318"/>
      <c r="AL69" s="1761"/>
      <c r="AM69" s="1315">
        <v>0</v>
      </c>
      <c r="AN69" s="1070"/>
    </row>
    <row r="70" spans="1:40" hidden="1" outlineLevel="1" x14ac:dyDescent="0.3">
      <c r="A70" s="1082"/>
      <c r="B70" s="1320"/>
      <c r="C70" s="1321" t="s">
        <v>1323</v>
      </c>
      <c r="D70" s="1321"/>
      <c r="E70" s="1323"/>
      <c r="F70" s="1330"/>
      <c r="G70" s="1332">
        <v>0</v>
      </c>
      <c r="H70" s="1331">
        <v>0</v>
      </c>
      <c r="I70" s="1331">
        <v>0</v>
      </c>
      <c r="J70" s="1331">
        <v>0</v>
      </c>
      <c r="K70" s="1331">
        <v>0</v>
      </c>
      <c r="L70" s="1331">
        <v>0</v>
      </c>
      <c r="M70" s="1331">
        <v>0</v>
      </c>
      <c r="N70" s="1331">
        <v>0</v>
      </c>
      <c r="O70" s="1331">
        <v>0</v>
      </c>
      <c r="P70" s="1331">
        <v>0</v>
      </c>
      <c r="Q70" s="1331">
        <v>0</v>
      </c>
      <c r="R70" s="1331">
        <v>0</v>
      </c>
      <c r="S70" s="1331">
        <v>0</v>
      </c>
      <c r="T70" s="1331">
        <v>0</v>
      </c>
      <c r="U70" s="1331">
        <v>0</v>
      </c>
      <c r="V70" s="1331">
        <v>0</v>
      </c>
      <c r="W70" s="1331">
        <v>0</v>
      </c>
      <c r="X70" s="1331">
        <v>0</v>
      </c>
      <c r="Y70" s="1331">
        <v>0</v>
      </c>
      <c r="Z70" s="1331">
        <v>0</v>
      </c>
      <c r="AA70" s="1331">
        <v>0</v>
      </c>
      <c r="AB70" s="1331">
        <v>0</v>
      </c>
      <c r="AC70" s="1331">
        <v>0</v>
      </c>
      <c r="AD70" s="1331">
        <v>0</v>
      </c>
      <c r="AE70" s="1331">
        <v>0</v>
      </c>
      <c r="AF70" s="1331">
        <v>0</v>
      </c>
      <c r="AG70" s="1331">
        <v>0</v>
      </c>
      <c r="AH70" s="1331">
        <v>0</v>
      </c>
      <c r="AI70" s="1331">
        <v>0</v>
      </c>
      <c r="AJ70" s="1332">
        <v>0</v>
      </c>
      <c r="AK70" s="1333"/>
      <c r="AL70" s="1771"/>
      <c r="AM70" s="1335"/>
      <c r="AN70" s="1070"/>
    </row>
    <row r="71" spans="1:40" ht="18" hidden="1" outlineLevel="1" x14ac:dyDescent="0.3">
      <c r="A71" s="1082"/>
      <c r="B71" s="1336" t="s">
        <v>1324</v>
      </c>
      <c r="C71" s="1337"/>
      <c r="D71" s="1337"/>
      <c r="E71" s="1337"/>
      <c r="F71" s="1304">
        <v>0</v>
      </c>
      <c r="G71" s="1306">
        <v>0</v>
      </c>
      <c r="H71" s="1305">
        <v>0</v>
      </c>
      <c r="I71" s="1305">
        <v>0</v>
      </c>
      <c r="J71" s="1305">
        <v>0</v>
      </c>
      <c r="K71" s="1305">
        <v>0</v>
      </c>
      <c r="L71" s="1305">
        <v>0</v>
      </c>
      <c r="M71" s="1305">
        <v>0</v>
      </c>
      <c r="N71" s="1305">
        <v>0</v>
      </c>
      <c r="O71" s="1305">
        <v>0</v>
      </c>
      <c r="P71" s="1305">
        <v>0</v>
      </c>
      <c r="Q71" s="1305">
        <v>0</v>
      </c>
      <c r="R71" s="1305">
        <v>0</v>
      </c>
      <c r="S71" s="1305">
        <v>0</v>
      </c>
      <c r="T71" s="1305">
        <v>0</v>
      </c>
      <c r="U71" s="1305">
        <v>0</v>
      </c>
      <c r="V71" s="1305">
        <v>0</v>
      </c>
      <c r="W71" s="1305">
        <v>0</v>
      </c>
      <c r="X71" s="1305">
        <v>0</v>
      </c>
      <c r="Y71" s="1305">
        <v>0</v>
      </c>
      <c r="Z71" s="1305">
        <v>0</v>
      </c>
      <c r="AA71" s="1305">
        <v>0</v>
      </c>
      <c r="AB71" s="1305">
        <v>0</v>
      </c>
      <c r="AC71" s="1305">
        <v>0</v>
      </c>
      <c r="AD71" s="1305">
        <v>0</v>
      </c>
      <c r="AE71" s="1305">
        <v>0</v>
      </c>
      <c r="AF71" s="1305">
        <v>0</v>
      </c>
      <c r="AG71" s="1305">
        <v>0</v>
      </c>
      <c r="AH71" s="1305">
        <v>0</v>
      </c>
      <c r="AI71" s="1305">
        <v>0</v>
      </c>
      <c r="AJ71" s="1306">
        <v>0</v>
      </c>
      <c r="AK71" s="1307">
        <v>0</v>
      </c>
      <c r="AL71" s="1770"/>
      <c r="AM71" s="1304">
        <v>0</v>
      </c>
      <c r="AN71" s="1070"/>
    </row>
    <row r="72" spans="1:40" ht="18" hidden="1" outlineLevel="1" x14ac:dyDescent="0.3">
      <c r="A72" s="1082"/>
      <c r="B72" s="1336" t="s">
        <v>1325</v>
      </c>
      <c r="C72" s="1337"/>
      <c r="D72" s="1337"/>
      <c r="E72" s="1337"/>
      <c r="F72" s="1304">
        <v>0</v>
      </c>
      <c r="G72" s="1306">
        <v>0</v>
      </c>
      <c r="H72" s="1305">
        <v>0</v>
      </c>
      <c r="I72" s="1305">
        <v>0</v>
      </c>
      <c r="J72" s="1305">
        <v>0</v>
      </c>
      <c r="K72" s="1305">
        <v>0</v>
      </c>
      <c r="L72" s="1305">
        <v>0</v>
      </c>
      <c r="M72" s="1305">
        <v>0</v>
      </c>
      <c r="N72" s="1305">
        <v>0</v>
      </c>
      <c r="O72" s="1305">
        <v>0</v>
      </c>
      <c r="P72" s="1305">
        <v>0</v>
      </c>
      <c r="Q72" s="1305">
        <v>0</v>
      </c>
      <c r="R72" s="1305">
        <v>0</v>
      </c>
      <c r="S72" s="1305">
        <v>0</v>
      </c>
      <c r="T72" s="1305">
        <v>0</v>
      </c>
      <c r="U72" s="1305">
        <v>0</v>
      </c>
      <c r="V72" s="1305">
        <v>0</v>
      </c>
      <c r="W72" s="1305">
        <v>0</v>
      </c>
      <c r="X72" s="1305">
        <v>0</v>
      </c>
      <c r="Y72" s="1305">
        <v>0</v>
      </c>
      <c r="Z72" s="1305">
        <v>0</v>
      </c>
      <c r="AA72" s="1305">
        <v>0</v>
      </c>
      <c r="AB72" s="1305">
        <v>0</v>
      </c>
      <c r="AC72" s="1305">
        <v>0</v>
      </c>
      <c r="AD72" s="1305">
        <v>0</v>
      </c>
      <c r="AE72" s="1305">
        <v>0</v>
      </c>
      <c r="AF72" s="1305">
        <v>0</v>
      </c>
      <c r="AG72" s="1305">
        <v>0</v>
      </c>
      <c r="AH72" s="1305">
        <v>0</v>
      </c>
      <c r="AI72" s="1305">
        <v>0</v>
      </c>
      <c r="AJ72" s="1306">
        <v>0</v>
      </c>
      <c r="AK72" s="1307">
        <v>0</v>
      </c>
      <c r="AL72" s="1770"/>
      <c r="AM72" s="1304">
        <v>0</v>
      </c>
      <c r="AN72" s="1070"/>
    </row>
    <row r="73" spans="1:40" ht="18.600000000000001" hidden="1" outlineLevel="1" thickBot="1" x14ac:dyDescent="0.35">
      <c r="A73" s="1082"/>
      <c r="B73" s="1338" t="s">
        <v>660</v>
      </c>
      <c r="C73" s="1339"/>
      <c r="D73" s="1339"/>
      <c r="E73" s="1339"/>
      <c r="F73" s="1345">
        <v>0</v>
      </c>
      <c r="G73" s="1347">
        <v>0</v>
      </c>
      <c r="H73" s="1346">
        <v>0</v>
      </c>
      <c r="I73" s="1346">
        <v>0</v>
      </c>
      <c r="J73" s="1346">
        <v>0</v>
      </c>
      <c r="K73" s="1346">
        <v>0</v>
      </c>
      <c r="L73" s="1346">
        <v>0</v>
      </c>
      <c r="M73" s="1346">
        <v>0</v>
      </c>
      <c r="N73" s="1346">
        <v>0</v>
      </c>
      <c r="O73" s="1346">
        <v>0</v>
      </c>
      <c r="P73" s="1346">
        <v>0</v>
      </c>
      <c r="Q73" s="1346">
        <v>0</v>
      </c>
      <c r="R73" s="1346">
        <v>0</v>
      </c>
      <c r="S73" s="1346">
        <v>0</v>
      </c>
      <c r="T73" s="1346">
        <v>0</v>
      </c>
      <c r="U73" s="1346">
        <v>0</v>
      </c>
      <c r="V73" s="1346">
        <v>0</v>
      </c>
      <c r="W73" s="1346">
        <v>0</v>
      </c>
      <c r="X73" s="1346">
        <v>0</v>
      </c>
      <c r="Y73" s="1346">
        <v>0</v>
      </c>
      <c r="Z73" s="1346">
        <v>0</v>
      </c>
      <c r="AA73" s="1346">
        <v>0</v>
      </c>
      <c r="AB73" s="1346">
        <v>0</v>
      </c>
      <c r="AC73" s="1346">
        <v>0</v>
      </c>
      <c r="AD73" s="1346">
        <v>0</v>
      </c>
      <c r="AE73" s="1346">
        <v>0</v>
      </c>
      <c r="AF73" s="1346">
        <v>0</v>
      </c>
      <c r="AG73" s="1346">
        <v>0</v>
      </c>
      <c r="AH73" s="1346">
        <v>0</v>
      </c>
      <c r="AI73" s="1346">
        <v>0</v>
      </c>
      <c r="AJ73" s="1347">
        <v>0</v>
      </c>
      <c r="AK73" s="1348"/>
      <c r="AL73" s="1761"/>
      <c r="AM73" s="1345">
        <v>0</v>
      </c>
      <c r="AN73" s="1070"/>
    </row>
    <row r="74" spans="1:40" hidden="1" outlineLevel="1" x14ac:dyDescent="0.3">
      <c r="A74" s="1082"/>
      <c r="B74" s="1350"/>
      <c r="C74" s="1351" t="s">
        <v>1323</v>
      </c>
      <c r="D74" s="1351"/>
      <c r="E74" s="1353"/>
      <c r="F74" s="1357"/>
      <c r="G74" s="1276">
        <v>0</v>
      </c>
      <c r="H74" s="1275">
        <v>0</v>
      </c>
      <c r="I74" s="1275">
        <v>0</v>
      </c>
      <c r="J74" s="1275">
        <v>0</v>
      </c>
      <c r="K74" s="1275">
        <v>0</v>
      </c>
      <c r="L74" s="1275">
        <v>0</v>
      </c>
      <c r="M74" s="1275">
        <v>0</v>
      </c>
      <c r="N74" s="1275">
        <v>0</v>
      </c>
      <c r="O74" s="1275">
        <v>0</v>
      </c>
      <c r="P74" s="1275">
        <v>0</v>
      </c>
      <c r="Q74" s="1275">
        <v>0</v>
      </c>
      <c r="R74" s="1275">
        <v>0</v>
      </c>
      <c r="S74" s="1275">
        <v>0</v>
      </c>
      <c r="T74" s="1275">
        <v>0</v>
      </c>
      <c r="U74" s="1275">
        <v>0</v>
      </c>
      <c r="V74" s="1275">
        <v>0</v>
      </c>
      <c r="W74" s="1275">
        <v>0</v>
      </c>
      <c r="X74" s="1275">
        <v>0</v>
      </c>
      <c r="Y74" s="1275">
        <v>0</v>
      </c>
      <c r="Z74" s="1275">
        <v>0</v>
      </c>
      <c r="AA74" s="1275">
        <v>0</v>
      </c>
      <c r="AB74" s="1275">
        <v>0</v>
      </c>
      <c r="AC74" s="1275">
        <v>0</v>
      </c>
      <c r="AD74" s="1275">
        <v>0</v>
      </c>
      <c r="AE74" s="1275">
        <v>0</v>
      </c>
      <c r="AF74" s="1275">
        <v>0</v>
      </c>
      <c r="AG74" s="1275">
        <v>0</v>
      </c>
      <c r="AH74" s="1275">
        <v>0</v>
      </c>
      <c r="AI74" s="1275">
        <v>0</v>
      </c>
      <c r="AJ74" s="1276">
        <v>0</v>
      </c>
      <c r="AK74" s="1358"/>
      <c r="AL74" s="1771"/>
      <c r="AM74" s="1279"/>
      <c r="AN74" s="1070"/>
    </row>
    <row r="75" spans="1:40" ht="18" hidden="1" outlineLevel="1" x14ac:dyDescent="0.3">
      <c r="A75" s="1082"/>
      <c r="B75" s="1336" t="s">
        <v>1326</v>
      </c>
      <c r="C75" s="1351"/>
      <c r="D75" s="1351"/>
      <c r="E75" s="1353"/>
      <c r="F75" s="1304">
        <v>0</v>
      </c>
      <c r="G75" s="1306">
        <v>0</v>
      </c>
      <c r="H75" s="1305">
        <v>0</v>
      </c>
      <c r="I75" s="1305">
        <v>0</v>
      </c>
      <c r="J75" s="1305">
        <v>0</v>
      </c>
      <c r="K75" s="1305">
        <v>0</v>
      </c>
      <c r="L75" s="1305">
        <v>0</v>
      </c>
      <c r="M75" s="1305">
        <v>0</v>
      </c>
      <c r="N75" s="1305">
        <v>0</v>
      </c>
      <c r="O75" s="1305">
        <v>0</v>
      </c>
      <c r="P75" s="1305">
        <v>0</v>
      </c>
      <c r="Q75" s="1305">
        <v>0</v>
      </c>
      <c r="R75" s="1305">
        <v>0</v>
      </c>
      <c r="S75" s="1305">
        <v>0</v>
      </c>
      <c r="T75" s="1305">
        <v>0</v>
      </c>
      <c r="U75" s="1305">
        <v>0</v>
      </c>
      <c r="V75" s="1305">
        <v>0</v>
      </c>
      <c r="W75" s="1305">
        <v>0</v>
      </c>
      <c r="X75" s="1305">
        <v>0</v>
      </c>
      <c r="Y75" s="1305">
        <v>0</v>
      </c>
      <c r="Z75" s="1305">
        <v>0</v>
      </c>
      <c r="AA75" s="1305">
        <v>0</v>
      </c>
      <c r="AB75" s="1305">
        <v>0</v>
      </c>
      <c r="AC75" s="1305">
        <v>0</v>
      </c>
      <c r="AD75" s="1305">
        <v>0</v>
      </c>
      <c r="AE75" s="1305">
        <v>0</v>
      </c>
      <c r="AF75" s="1305">
        <v>0</v>
      </c>
      <c r="AG75" s="1305">
        <v>0</v>
      </c>
      <c r="AH75" s="1305">
        <v>0</v>
      </c>
      <c r="AI75" s="1305">
        <v>0</v>
      </c>
      <c r="AJ75" s="1306">
        <v>0</v>
      </c>
      <c r="AK75" s="1358" t="s">
        <v>3</v>
      </c>
      <c r="AL75" s="1771"/>
      <c r="AM75" s="1304">
        <v>0</v>
      </c>
      <c r="AN75" s="1070"/>
    </row>
    <row r="76" spans="1:40" ht="18" hidden="1" outlineLevel="1" x14ac:dyDescent="0.3">
      <c r="A76" s="1082"/>
      <c r="B76" s="1336" t="s">
        <v>1327</v>
      </c>
      <c r="C76" s="1360"/>
      <c r="D76" s="1360"/>
      <c r="E76" s="1360"/>
      <c r="F76" s="1304">
        <v>0</v>
      </c>
      <c r="G76" s="1306">
        <v>0</v>
      </c>
      <c r="H76" s="1305">
        <v>0</v>
      </c>
      <c r="I76" s="1305">
        <v>0</v>
      </c>
      <c r="J76" s="1305">
        <v>0</v>
      </c>
      <c r="K76" s="1305">
        <v>0</v>
      </c>
      <c r="L76" s="1305">
        <v>0</v>
      </c>
      <c r="M76" s="1305">
        <v>0</v>
      </c>
      <c r="N76" s="1305">
        <v>0</v>
      </c>
      <c r="O76" s="1305">
        <v>0</v>
      </c>
      <c r="P76" s="1305">
        <v>0</v>
      </c>
      <c r="Q76" s="1305">
        <v>0</v>
      </c>
      <c r="R76" s="1305">
        <v>0</v>
      </c>
      <c r="S76" s="1305">
        <v>0</v>
      </c>
      <c r="T76" s="1305">
        <v>0</v>
      </c>
      <c r="U76" s="1305">
        <v>0</v>
      </c>
      <c r="V76" s="1305">
        <v>0</v>
      </c>
      <c r="W76" s="1305">
        <v>0</v>
      </c>
      <c r="X76" s="1305">
        <v>0</v>
      </c>
      <c r="Y76" s="1305">
        <v>0</v>
      </c>
      <c r="Z76" s="1305">
        <v>0</v>
      </c>
      <c r="AA76" s="1305">
        <v>0</v>
      </c>
      <c r="AB76" s="1305">
        <v>0</v>
      </c>
      <c r="AC76" s="1305">
        <v>0</v>
      </c>
      <c r="AD76" s="1305">
        <v>0</v>
      </c>
      <c r="AE76" s="1305">
        <v>0</v>
      </c>
      <c r="AF76" s="1305">
        <v>0</v>
      </c>
      <c r="AG76" s="1305">
        <v>0</v>
      </c>
      <c r="AH76" s="1305">
        <v>0</v>
      </c>
      <c r="AI76" s="1305">
        <v>0</v>
      </c>
      <c r="AJ76" s="1306">
        <v>0</v>
      </c>
      <c r="AK76" s="1307">
        <v>0</v>
      </c>
      <c r="AL76" s="1770"/>
      <c r="AM76" s="1304">
        <v>0</v>
      </c>
      <c r="AN76" s="1070"/>
    </row>
    <row r="77" spans="1:40" ht="18" hidden="1" outlineLevel="1" x14ac:dyDescent="0.3">
      <c r="A77" s="1082"/>
      <c r="B77" s="1308" t="s">
        <v>674</v>
      </c>
      <c r="C77" s="1362"/>
      <c r="D77" s="1362"/>
      <c r="E77" s="1362"/>
      <c r="F77" s="1315">
        <v>0</v>
      </c>
      <c r="G77" s="1317">
        <v>0</v>
      </c>
      <c r="H77" s="1316">
        <v>0</v>
      </c>
      <c r="I77" s="1316">
        <v>0</v>
      </c>
      <c r="J77" s="1316">
        <v>0</v>
      </c>
      <c r="K77" s="1316">
        <v>0</v>
      </c>
      <c r="L77" s="1316">
        <v>0</v>
      </c>
      <c r="M77" s="1316">
        <v>0</v>
      </c>
      <c r="N77" s="1316">
        <v>0</v>
      </c>
      <c r="O77" s="1316">
        <v>0</v>
      </c>
      <c r="P77" s="1316">
        <v>0</v>
      </c>
      <c r="Q77" s="1316">
        <v>0</v>
      </c>
      <c r="R77" s="1316">
        <v>0</v>
      </c>
      <c r="S77" s="1316">
        <v>0</v>
      </c>
      <c r="T77" s="1316">
        <v>0</v>
      </c>
      <c r="U77" s="1316">
        <v>0</v>
      </c>
      <c r="V77" s="1316">
        <v>0</v>
      </c>
      <c r="W77" s="1316">
        <v>0</v>
      </c>
      <c r="X77" s="1316">
        <v>0</v>
      </c>
      <c r="Y77" s="1316">
        <v>0</v>
      </c>
      <c r="Z77" s="1316">
        <v>0</v>
      </c>
      <c r="AA77" s="1316">
        <v>0</v>
      </c>
      <c r="AB77" s="1316">
        <v>0</v>
      </c>
      <c r="AC77" s="1316">
        <v>0</v>
      </c>
      <c r="AD77" s="1316">
        <v>0</v>
      </c>
      <c r="AE77" s="1316">
        <v>0</v>
      </c>
      <c r="AF77" s="1316">
        <v>0</v>
      </c>
      <c r="AG77" s="1316">
        <v>0</v>
      </c>
      <c r="AH77" s="1316">
        <v>0</v>
      </c>
      <c r="AI77" s="1316">
        <v>0</v>
      </c>
      <c r="AJ77" s="1317">
        <v>0</v>
      </c>
      <c r="AK77" s="1318"/>
      <c r="AL77" s="1761"/>
      <c r="AM77" s="1315">
        <v>0</v>
      </c>
      <c r="AN77" s="1070"/>
    </row>
    <row r="78" spans="1:40" hidden="1" outlineLevel="1" x14ac:dyDescent="0.3">
      <c r="A78" s="1082"/>
      <c r="B78" s="1363"/>
      <c r="C78" s="1321" t="s">
        <v>1323</v>
      </c>
      <c r="D78" s="1321"/>
      <c r="E78" s="1364"/>
      <c r="F78" s="1367"/>
      <c r="G78" s="1332">
        <v>0</v>
      </c>
      <c r="H78" s="1331">
        <v>0</v>
      </c>
      <c r="I78" s="1331">
        <v>0</v>
      </c>
      <c r="J78" s="1331">
        <v>0</v>
      </c>
      <c r="K78" s="1331">
        <v>0</v>
      </c>
      <c r="L78" s="1331">
        <v>0</v>
      </c>
      <c r="M78" s="1331">
        <v>0</v>
      </c>
      <c r="N78" s="1331">
        <v>0</v>
      </c>
      <c r="O78" s="1331">
        <v>0</v>
      </c>
      <c r="P78" s="1331">
        <v>0</v>
      </c>
      <c r="Q78" s="1331">
        <v>0</v>
      </c>
      <c r="R78" s="1331">
        <v>0</v>
      </c>
      <c r="S78" s="1331">
        <v>0</v>
      </c>
      <c r="T78" s="1331">
        <v>0</v>
      </c>
      <c r="U78" s="1331">
        <v>0</v>
      </c>
      <c r="V78" s="1331">
        <v>0</v>
      </c>
      <c r="W78" s="1331">
        <v>0</v>
      </c>
      <c r="X78" s="1331">
        <v>0</v>
      </c>
      <c r="Y78" s="1331">
        <v>0</v>
      </c>
      <c r="Z78" s="1331">
        <v>0</v>
      </c>
      <c r="AA78" s="1331">
        <v>0</v>
      </c>
      <c r="AB78" s="1331">
        <v>0</v>
      </c>
      <c r="AC78" s="1331">
        <v>0</v>
      </c>
      <c r="AD78" s="1331">
        <v>0</v>
      </c>
      <c r="AE78" s="1331">
        <v>0</v>
      </c>
      <c r="AF78" s="1331">
        <v>0</v>
      </c>
      <c r="AG78" s="1331">
        <v>0</v>
      </c>
      <c r="AH78" s="1331">
        <v>0</v>
      </c>
      <c r="AI78" s="1331">
        <v>0</v>
      </c>
      <c r="AJ78" s="1332">
        <v>0</v>
      </c>
      <c r="AK78" s="1368"/>
      <c r="AL78" s="1776"/>
      <c r="AM78" s="1335"/>
      <c r="AN78" s="1070"/>
    </row>
    <row r="79" spans="1:40" ht="18" hidden="1" outlineLevel="1" x14ac:dyDescent="0.3">
      <c r="A79" s="1082"/>
      <c r="B79" s="1336" t="s">
        <v>1328</v>
      </c>
      <c r="C79" s="1337"/>
      <c r="D79" s="1337"/>
      <c r="E79" s="1337"/>
      <c r="F79" s="1304">
        <v>0</v>
      </c>
      <c r="G79" s="1306">
        <v>0</v>
      </c>
      <c r="H79" s="1305">
        <v>0</v>
      </c>
      <c r="I79" s="1305">
        <v>0</v>
      </c>
      <c r="J79" s="1305">
        <v>0</v>
      </c>
      <c r="K79" s="1305">
        <v>0</v>
      </c>
      <c r="L79" s="1305">
        <v>0</v>
      </c>
      <c r="M79" s="1305">
        <v>0</v>
      </c>
      <c r="N79" s="1305">
        <v>0</v>
      </c>
      <c r="O79" s="1305">
        <v>0</v>
      </c>
      <c r="P79" s="1305">
        <v>0</v>
      </c>
      <c r="Q79" s="1305">
        <v>0</v>
      </c>
      <c r="R79" s="1305">
        <v>0</v>
      </c>
      <c r="S79" s="1305">
        <v>0</v>
      </c>
      <c r="T79" s="1305">
        <v>0</v>
      </c>
      <c r="U79" s="1305">
        <v>0</v>
      </c>
      <c r="V79" s="1305">
        <v>0</v>
      </c>
      <c r="W79" s="1305">
        <v>0</v>
      </c>
      <c r="X79" s="1305">
        <v>0</v>
      </c>
      <c r="Y79" s="1305">
        <v>0</v>
      </c>
      <c r="Z79" s="1305">
        <v>0</v>
      </c>
      <c r="AA79" s="1305">
        <v>0</v>
      </c>
      <c r="AB79" s="1305">
        <v>0</v>
      </c>
      <c r="AC79" s="1305">
        <v>0</v>
      </c>
      <c r="AD79" s="1305">
        <v>0</v>
      </c>
      <c r="AE79" s="1305">
        <v>0</v>
      </c>
      <c r="AF79" s="1305">
        <v>0</v>
      </c>
      <c r="AG79" s="1305">
        <v>0</v>
      </c>
      <c r="AH79" s="1305">
        <v>0</v>
      </c>
      <c r="AI79" s="1305">
        <v>0</v>
      </c>
      <c r="AJ79" s="1306">
        <v>0</v>
      </c>
      <c r="AK79" s="1307">
        <v>0</v>
      </c>
      <c r="AL79" s="1770"/>
      <c r="AM79" s="1304">
        <v>0</v>
      </c>
      <c r="AN79" s="1070"/>
    </row>
    <row r="80" spans="1:40" ht="18" hidden="1" outlineLevel="1" x14ac:dyDescent="0.3">
      <c r="A80" s="1082"/>
      <c r="B80" s="1336" t="s">
        <v>1329</v>
      </c>
      <c r="C80" s="1337"/>
      <c r="D80" s="1337"/>
      <c r="E80" s="1337"/>
      <c r="F80" s="1304">
        <v>0</v>
      </c>
      <c r="G80" s="1306">
        <v>0</v>
      </c>
      <c r="H80" s="1305">
        <v>0</v>
      </c>
      <c r="I80" s="1305">
        <v>0</v>
      </c>
      <c r="J80" s="1305">
        <v>0</v>
      </c>
      <c r="K80" s="1305">
        <v>0</v>
      </c>
      <c r="L80" s="1305">
        <v>0</v>
      </c>
      <c r="M80" s="1305">
        <v>0</v>
      </c>
      <c r="N80" s="1305">
        <v>0</v>
      </c>
      <c r="O80" s="1305">
        <v>0</v>
      </c>
      <c r="P80" s="1305">
        <v>0</v>
      </c>
      <c r="Q80" s="1305">
        <v>0</v>
      </c>
      <c r="R80" s="1305">
        <v>0</v>
      </c>
      <c r="S80" s="1305">
        <v>0</v>
      </c>
      <c r="T80" s="1305">
        <v>0</v>
      </c>
      <c r="U80" s="1305">
        <v>0</v>
      </c>
      <c r="V80" s="1305">
        <v>0</v>
      </c>
      <c r="W80" s="1305">
        <v>0</v>
      </c>
      <c r="X80" s="1305">
        <v>0</v>
      </c>
      <c r="Y80" s="1305">
        <v>0</v>
      </c>
      <c r="Z80" s="1305">
        <v>0</v>
      </c>
      <c r="AA80" s="1305">
        <v>0</v>
      </c>
      <c r="AB80" s="1305">
        <v>0</v>
      </c>
      <c r="AC80" s="1305">
        <v>0</v>
      </c>
      <c r="AD80" s="1305">
        <v>0</v>
      </c>
      <c r="AE80" s="1305">
        <v>0</v>
      </c>
      <c r="AF80" s="1305">
        <v>0</v>
      </c>
      <c r="AG80" s="1305">
        <v>0</v>
      </c>
      <c r="AH80" s="1305">
        <v>0</v>
      </c>
      <c r="AI80" s="1777">
        <v>0</v>
      </c>
      <c r="AJ80" s="1306">
        <v>0</v>
      </c>
      <c r="AK80" s="1307">
        <v>0</v>
      </c>
      <c r="AL80" s="1770"/>
      <c r="AM80" s="1304">
        <v>0</v>
      </c>
      <c r="AN80" s="1070"/>
    </row>
    <row r="81" spans="1:40" ht="18" hidden="1" outlineLevel="1" x14ac:dyDescent="0.3">
      <c r="A81" s="1082"/>
      <c r="B81" s="1369" t="s">
        <v>1450</v>
      </c>
      <c r="C81" s="1298"/>
      <c r="D81" s="1298"/>
      <c r="E81" s="1298"/>
      <c r="F81" s="1374">
        <v>0</v>
      </c>
      <c r="G81" s="1376">
        <v>0</v>
      </c>
      <c r="H81" s="1375">
        <v>0</v>
      </c>
      <c r="I81" s="1375">
        <v>0</v>
      </c>
      <c r="J81" s="1375">
        <v>0</v>
      </c>
      <c r="K81" s="1375">
        <v>0</v>
      </c>
      <c r="L81" s="1375">
        <v>0</v>
      </c>
      <c r="M81" s="1375">
        <v>0</v>
      </c>
      <c r="N81" s="1375">
        <v>0</v>
      </c>
      <c r="O81" s="1375">
        <v>0</v>
      </c>
      <c r="P81" s="1375">
        <v>0</v>
      </c>
      <c r="Q81" s="1375">
        <v>0</v>
      </c>
      <c r="R81" s="1375">
        <v>0</v>
      </c>
      <c r="S81" s="1375">
        <v>0</v>
      </c>
      <c r="T81" s="1375">
        <v>0</v>
      </c>
      <c r="U81" s="1375">
        <v>0</v>
      </c>
      <c r="V81" s="1375">
        <v>0</v>
      </c>
      <c r="W81" s="1375">
        <v>0</v>
      </c>
      <c r="X81" s="1375">
        <v>0</v>
      </c>
      <c r="Y81" s="1375">
        <v>0</v>
      </c>
      <c r="Z81" s="1375">
        <v>0</v>
      </c>
      <c r="AA81" s="1375">
        <v>0</v>
      </c>
      <c r="AB81" s="1375">
        <v>0</v>
      </c>
      <c r="AC81" s="1375">
        <v>0</v>
      </c>
      <c r="AD81" s="1375">
        <v>0</v>
      </c>
      <c r="AE81" s="1375">
        <v>0</v>
      </c>
      <c r="AF81" s="1375">
        <v>0</v>
      </c>
      <c r="AG81" s="1375">
        <v>0</v>
      </c>
      <c r="AH81" s="1375">
        <v>0</v>
      </c>
      <c r="AI81" s="1375">
        <v>0</v>
      </c>
      <c r="AJ81" s="1376">
        <v>0</v>
      </c>
      <c r="AK81" s="1377"/>
      <c r="AL81" s="1761"/>
      <c r="AM81" s="1374">
        <v>0</v>
      </c>
      <c r="AN81" s="1070"/>
    </row>
    <row r="82" spans="1:40" ht="18" hidden="1" outlineLevel="1" x14ac:dyDescent="0.3">
      <c r="A82" s="1082"/>
      <c r="B82" s="1369"/>
      <c r="C82" s="1351" t="s">
        <v>1323</v>
      </c>
      <c r="D82" s="1351"/>
      <c r="E82" s="1351"/>
      <c r="F82" s="1381"/>
      <c r="G82" s="1276">
        <v>0</v>
      </c>
      <c r="H82" s="1275">
        <v>0</v>
      </c>
      <c r="I82" s="1275">
        <v>0</v>
      </c>
      <c r="J82" s="1275">
        <v>0</v>
      </c>
      <c r="K82" s="1275">
        <v>0</v>
      </c>
      <c r="L82" s="1275">
        <v>0</v>
      </c>
      <c r="M82" s="1275">
        <v>0</v>
      </c>
      <c r="N82" s="1275">
        <v>0</v>
      </c>
      <c r="O82" s="1275">
        <v>0</v>
      </c>
      <c r="P82" s="1275">
        <v>0</v>
      </c>
      <c r="Q82" s="1275">
        <v>0</v>
      </c>
      <c r="R82" s="1275">
        <v>0</v>
      </c>
      <c r="S82" s="1275">
        <v>0</v>
      </c>
      <c r="T82" s="1275">
        <v>0</v>
      </c>
      <c r="U82" s="1275">
        <v>0</v>
      </c>
      <c r="V82" s="1275">
        <v>0</v>
      </c>
      <c r="W82" s="1275">
        <v>0</v>
      </c>
      <c r="X82" s="1275">
        <v>0</v>
      </c>
      <c r="Y82" s="1275">
        <v>0</v>
      </c>
      <c r="Z82" s="1275">
        <v>0</v>
      </c>
      <c r="AA82" s="1275">
        <v>0</v>
      </c>
      <c r="AB82" s="1275">
        <v>0</v>
      </c>
      <c r="AC82" s="1275">
        <v>0</v>
      </c>
      <c r="AD82" s="1275">
        <v>0</v>
      </c>
      <c r="AE82" s="1275">
        <v>0</v>
      </c>
      <c r="AF82" s="1275">
        <v>0</v>
      </c>
      <c r="AG82" s="1275">
        <v>0</v>
      </c>
      <c r="AH82" s="1275">
        <v>0</v>
      </c>
      <c r="AI82" s="1275">
        <v>0</v>
      </c>
      <c r="AJ82" s="1276">
        <v>0</v>
      </c>
      <c r="AK82" s="1377"/>
      <c r="AL82" s="1761"/>
      <c r="AM82" s="1279"/>
      <c r="AN82" s="1070"/>
    </row>
    <row r="83" spans="1:40" s="1236" customFormat="1" ht="18.600000000000001" hidden="1" outlineLevel="1" thickBot="1" x14ac:dyDescent="0.35">
      <c r="A83" s="1082"/>
      <c r="B83" s="1778"/>
      <c r="C83" s="1779"/>
      <c r="D83" s="1779"/>
      <c r="E83" s="1779"/>
      <c r="F83" s="1780"/>
      <c r="G83" s="1781"/>
      <c r="H83" s="1781"/>
      <c r="I83" s="1781"/>
      <c r="J83" s="1781"/>
      <c r="K83" s="1781"/>
      <c r="L83" s="1781"/>
      <c r="M83" s="1781"/>
      <c r="N83" s="1781"/>
      <c r="O83" s="1781"/>
      <c r="P83" s="1781"/>
      <c r="Q83" s="1781"/>
      <c r="R83" s="1781"/>
      <c r="S83" s="1781"/>
      <c r="T83" s="1781"/>
      <c r="U83" s="1781"/>
      <c r="V83" s="1781"/>
      <c r="W83" s="1781"/>
      <c r="X83" s="1781"/>
      <c r="Y83" s="1781"/>
      <c r="Z83" s="1781"/>
      <c r="AA83" s="1781"/>
      <c r="AB83" s="1781"/>
      <c r="AC83" s="1781"/>
      <c r="AD83" s="1781"/>
      <c r="AE83" s="1781"/>
      <c r="AF83" s="1781"/>
      <c r="AG83" s="1781"/>
      <c r="AH83" s="1781"/>
      <c r="AI83" s="1781"/>
      <c r="AJ83" s="1782"/>
      <c r="AK83" s="1783"/>
      <c r="AL83" s="1784"/>
      <c r="AM83" s="1785"/>
      <c r="AN83" s="1082"/>
    </row>
    <row r="84" spans="1:40" s="1236" customFormat="1" ht="18" hidden="1" outlineLevel="1" x14ac:dyDescent="0.3">
      <c r="A84" s="1082"/>
      <c r="B84" s="1082"/>
      <c r="C84" s="1082"/>
      <c r="D84" s="1082"/>
      <c r="E84" s="1082"/>
      <c r="F84" s="1371"/>
      <c r="G84" s="1300"/>
      <c r="H84" s="1300"/>
      <c r="I84" s="1300"/>
      <c r="J84" s="1300"/>
      <c r="K84" s="1300"/>
      <c r="L84" s="1300"/>
      <c r="M84" s="1300"/>
      <c r="N84" s="1300"/>
      <c r="O84" s="1300"/>
      <c r="P84" s="1300"/>
      <c r="Q84" s="1300"/>
      <c r="R84" s="1300"/>
      <c r="S84" s="1300"/>
      <c r="T84" s="1079"/>
      <c r="U84" s="1300"/>
      <c r="V84" s="1300"/>
      <c r="W84" s="1300"/>
      <c r="X84" s="1300"/>
      <c r="Y84" s="1300"/>
      <c r="Z84" s="1300"/>
      <c r="AA84" s="1300"/>
      <c r="AB84" s="1300"/>
      <c r="AC84" s="1300"/>
      <c r="AD84" s="1300"/>
      <c r="AE84" s="1300"/>
      <c r="AF84" s="1300"/>
      <c r="AG84" s="1300"/>
      <c r="AH84" s="1300"/>
      <c r="AI84" s="1300"/>
      <c r="AJ84" s="1300"/>
      <c r="AK84" s="1791"/>
      <c r="AL84" s="1791"/>
      <c r="AM84" s="1300"/>
      <c r="AN84" s="1082"/>
    </row>
    <row r="85" spans="1:40" s="1236" customFormat="1" ht="18" hidden="1" outlineLevel="1" x14ac:dyDescent="0.3">
      <c r="A85" s="1082"/>
      <c r="B85" s="1082"/>
      <c r="C85" s="1082"/>
      <c r="D85" s="1082"/>
      <c r="E85" s="1082"/>
      <c r="F85" s="1371"/>
      <c r="G85" s="1300"/>
      <c r="H85" s="1300"/>
      <c r="I85" s="1300"/>
      <c r="J85" s="1300"/>
      <c r="K85" s="1300"/>
      <c r="L85" s="1300"/>
      <c r="M85" s="1300"/>
      <c r="N85" s="1300"/>
      <c r="O85" s="1300"/>
      <c r="P85" s="1300"/>
      <c r="Q85" s="1300"/>
      <c r="R85" s="1300"/>
      <c r="S85" s="1079"/>
      <c r="T85" s="1079"/>
      <c r="U85" s="1300"/>
      <c r="V85" s="1300"/>
      <c r="W85" s="1300"/>
      <c r="X85" s="1300"/>
      <c r="Y85" s="1300"/>
      <c r="Z85" s="1300"/>
      <c r="AA85" s="1795"/>
      <c r="AB85" s="1795"/>
      <c r="AC85" s="1795"/>
      <c r="AD85" s="1795"/>
      <c r="AE85" s="1795"/>
      <c r="AF85" s="1795"/>
      <c r="AG85" s="1795"/>
      <c r="AH85" s="1795"/>
      <c r="AI85" s="1795"/>
      <c r="AJ85" s="1795"/>
      <c r="AK85" s="1796"/>
      <c r="AL85" s="1796"/>
      <c r="AM85" s="1795"/>
    </row>
    <row r="86" spans="1:40" ht="15" hidden="1" customHeight="1" outlineLevel="1" x14ac:dyDescent="0.3">
      <c r="A86" s="1070"/>
      <c r="B86" s="1070"/>
      <c r="C86" s="1070"/>
      <c r="D86" s="1070"/>
      <c r="E86" s="1070"/>
      <c r="F86" s="1070"/>
      <c r="G86" s="1070"/>
      <c r="H86" s="3144" t="s">
        <v>1462</v>
      </c>
      <c r="I86" s="3145"/>
      <c r="J86" s="3145"/>
      <c r="K86" s="3145"/>
      <c r="L86" s="3146"/>
      <c r="M86" s="1070"/>
      <c r="N86" s="1070"/>
      <c r="O86" s="3274" t="s">
        <v>1463</v>
      </c>
      <c r="P86" s="3275"/>
      <c r="Q86" s="3275"/>
      <c r="R86" s="3276"/>
      <c r="S86" s="1079"/>
      <c r="T86" s="1079"/>
      <c r="U86" s="1082"/>
      <c r="V86" s="3277" t="s">
        <v>1464</v>
      </c>
      <c r="W86" s="3278"/>
      <c r="X86" s="3278"/>
      <c r="Y86" s="3279"/>
      <c r="Z86" s="1082"/>
    </row>
    <row r="87" spans="1:40" hidden="1" outlineLevel="1" x14ac:dyDescent="0.3">
      <c r="A87" s="1070"/>
      <c r="B87" s="1070"/>
      <c r="C87" s="1070"/>
      <c r="D87" s="1070"/>
      <c r="E87" s="1070"/>
      <c r="F87" s="1070"/>
      <c r="G87" s="1070"/>
      <c r="H87" s="1217" t="s">
        <v>1299</v>
      </c>
      <c r="I87" s="1218"/>
      <c r="J87" s="1218"/>
      <c r="K87" s="1218"/>
      <c r="L87" s="1412"/>
      <c r="M87" s="1070"/>
      <c r="N87" s="1070"/>
      <c r="O87" s="1797"/>
      <c r="P87" s="1798"/>
      <c r="Q87" s="1799" t="s">
        <v>1313</v>
      </c>
      <c r="R87" s="1799" t="s">
        <v>1314</v>
      </c>
      <c r="T87" s="1079"/>
      <c r="U87" s="1082"/>
      <c r="V87" s="3280"/>
      <c r="W87" s="3281"/>
      <c r="X87" s="3281"/>
      <c r="Y87" s="3282"/>
      <c r="Z87" s="1082"/>
    </row>
    <row r="88" spans="1:40" hidden="1" outlineLevel="1" x14ac:dyDescent="0.3">
      <c r="A88" s="1070"/>
      <c r="B88" s="1070"/>
      <c r="C88" s="1070"/>
      <c r="D88" s="1070"/>
      <c r="E88" s="1070"/>
      <c r="F88" s="1070"/>
      <c r="G88" s="1070"/>
      <c r="H88" s="1800" t="s">
        <v>1301</v>
      </c>
      <c r="I88" s="1801"/>
      <c r="J88" s="1801"/>
      <c r="K88" s="1802" t="s">
        <v>1432</v>
      </c>
      <c r="L88" s="1803" t="s">
        <v>682</v>
      </c>
      <c r="M88" s="1070"/>
      <c r="N88" s="1070"/>
      <c r="O88" s="1804"/>
      <c r="P88" s="1805"/>
      <c r="Q88" s="1806" t="s">
        <v>1465</v>
      </c>
      <c r="R88" s="1806" t="s">
        <v>1465</v>
      </c>
      <c r="T88" s="1079"/>
      <c r="U88" s="1082"/>
      <c r="V88" s="1807" t="s">
        <v>1454</v>
      </c>
      <c r="W88" s="1143"/>
      <c r="X88" s="1414" t="s">
        <v>1432</v>
      </c>
      <c r="Y88" s="1415" t="s">
        <v>682</v>
      </c>
      <c r="Z88" s="1082"/>
    </row>
    <row r="89" spans="1:40" hidden="1" outlineLevel="1" x14ac:dyDescent="0.3">
      <c r="A89" s="1070"/>
      <c r="B89" s="1070"/>
      <c r="C89" s="1070"/>
      <c r="D89" s="1070"/>
      <c r="E89" s="1070"/>
      <c r="F89" s="1070"/>
      <c r="G89" s="1070"/>
      <c r="H89" s="1440" t="s">
        <v>1456</v>
      </c>
      <c r="I89" s="1441"/>
      <c r="J89" s="1441"/>
      <c r="K89" s="1809" t="s">
        <v>1445</v>
      </c>
      <c r="L89" s="1443" t="s">
        <v>1445</v>
      </c>
      <c r="M89" s="1070"/>
      <c r="N89" s="1070"/>
      <c r="O89" s="1422" t="s">
        <v>794</v>
      </c>
      <c r="P89" s="1412"/>
      <c r="Q89" s="1832"/>
      <c r="R89" s="1833"/>
      <c r="T89" s="1079"/>
      <c r="U89" s="1082"/>
      <c r="V89" s="1147" t="s">
        <v>756</v>
      </c>
      <c r="W89" s="1186"/>
      <c r="X89" s="1811" t="s">
        <v>1445</v>
      </c>
      <c r="Y89" s="1812" t="s">
        <v>1445</v>
      </c>
      <c r="Z89" s="1082"/>
    </row>
    <row r="90" spans="1:40" hidden="1" outlineLevel="1" x14ac:dyDescent="0.3">
      <c r="A90" s="1070"/>
      <c r="B90" s="1070"/>
      <c r="C90" s="1070"/>
      <c r="D90" s="1070"/>
      <c r="E90" s="1070"/>
      <c r="F90" s="1070"/>
      <c r="G90" s="1070"/>
      <c r="H90" s="1800" t="s">
        <v>730</v>
      </c>
      <c r="I90" s="1801"/>
      <c r="J90" s="1801"/>
      <c r="K90" s="1813"/>
      <c r="L90" s="1814"/>
      <c r="M90" s="1070"/>
      <c r="N90" s="1070"/>
      <c r="O90" s="1434" t="s">
        <v>725</v>
      </c>
      <c r="P90" s="1435"/>
      <c r="Q90" s="1834"/>
      <c r="R90" s="1835"/>
      <c r="T90" s="1079"/>
      <c r="U90" s="1082"/>
      <c r="V90" s="1149" t="s">
        <v>757</v>
      </c>
      <c r="W90" s="1437"/>
      <c r="X90" s="1816" t="s">
        <v>1445</v>
      </c>
      <c r="Y90" s="1817" t="s">
        <v>1445</v>
      </c>
      <c r="Z90" s="1082"/>
    </row>
    <row r="91" spans="1:40" hidden="1" outlineLevel="1" x14ac:dyDescent="0.3">
      <c r="A91" s="1070"/>
      <c r="B91" s="1070"/>
      <c r="C91" s="1070"/>
      <c r="D91" s="1070"/>
      <c r="E91" s="1070"/>
      <c r="F91" s="1070"/>
      <c r="G91" s="1070"/>
      <c r="H91" s="1440" t="s">
        <v>1456</v>
      </c>
      <c r="I91" s="1441"/>
      <c r="J91" s="1441"/>
      <c r="K91" s="1809" t="s">
        <v>1445</v>
      </c>
      <c r="L91" s="1443" t="s">
        <v>1445</v>
      </c>
      <c r="M91" s="1070"/>
      <c r="N91" s="1070"/>
      <c r="O91" s="1422" t="s">
        <v>1348</v>
      </c>
      <c r="P91" s="1412"/>
      <c r="Q91" s="1836"/>
      <c r="R91" s="1079"/>
      <c r="S91" s="1079"/>
      <c r="T91" s="1079"/>
      <c r="U91" s="1082"/>
      <c r="V91" s="1149"/>
      <c r="W91" s="1437"/>
      <c r="X91" s="3182"/>
      <c r="Y91" s="3183"/>
      <c r="Z91" s="1082"/>
    </row>
    <row r="92" spans="1:40" hidden="1" outlineLevel="1" x14ac:dyDescent="0.3">
      <c r="A92" s="1070"/>
      <c r="B92" s="1070"/>
      <c r="C92" s="1070"/>
      <c r="D92" s="1070"/>
      <c r="E92" s="1070"/>
      <c r="F92" s="1070"/>
      <c r="G92" s="1070"/>
      <c r="H92" s="1800" t="s">
        <v>446</v>
      </c>
      <c r="I92" s="1801"/>
      <c r="J92" s="1801"/>
      <c r="K92" s="1813"/>
      <c r="L92" s="1814"/>
      <c r="M92" s="1070"/>
      <c r="N92" s="1070"/>
      <c r="O92" s="1434" t="s">
        <v>1349</v>
      </c>
      <c r="P92" s="1435"/>
      <c r="Q92" s="1837"/>
      <c r="R92" s="1079"/>
      <c r="S92" s="1079"/>
      <c r="T92" s="1079"/>
      <c r="U92" s="1082"/>
      <c r="V92" s="1149" t="s">
        <v>758</v>
      </c>
      <c r="W92" s="1437"/>
      <c r="X92" s="1811" t="s">
        <v>1445</v>
      </c>
      <c r="Y92" s="1812" t="s">
        <v>1445</v>
      </c>
      <c r="Z92" s="1082"/>
    </row>
    <row r="93" spans="1:40" hidden="1" outlineLevel="1" x14ac:dyDescent="0.3">
      <c r="A93" s="1070"/>
      <c r="B93" s="1070"/>
      <c r="C93" s="1070"/>
      <c r="D93" s="1070"/>
      <c r="E93" s="1070"/>
      <c r="F93" s="1070"/>
      <c r="G93" s="1070"/>
      <c r="H93" s="1440" t="s">
        <v>1456</v>
      </c>
      <c r="I93" s="1441"/>
      <c r="J93" s="1441"/>
      <c r="K93" s="1809" t="s">
        <v>1445</v>
      </c>
      <c r="L93" s="1443" t="s">
        <v>1445</v>
      </c>
      <c r="M93" s="1070"/>
      <c r="N93" s="1070"/>
      <c r="O93" s="1070"/>
      <c r="P93" s="1070"/>
      <c r="Q93" s="1079"/>
      <c r="R93" s="1079"/>
      <c r="S93" s="1079"/>
      <c r="T93" s="1079"/>
      <c r="U93" s="1082"/>
      <c r="V93" s="1149" t="s">
        <v>759</v>
      </c>
      <c r="W93" s="1437"/>
      <c r="X93" s="1811" t="s">
        <v>1445</v>
      </c>
      <c r="Y93" s="1812" t="s">
        <v>1445</v>
      </c>
      <c r="Z93" s="1082"/>
    </row>
    <row r="94" spans="1:40" hidden="1" outlineLevel="1" x14ac:dyDescent="0.3">
      <c r="A94" s="1070"/>
      <c r="B94" s="1070"/>
      <c r="C94" s="1070"/>
      <c r="D94" s="1070"/>
      <c r="E94" s="1070"/>
      <c r="F94" s="1070"/>
      <c r="G94" s="1070"/>
      <c r="H94" s="1800" t="s">
        <v>1305</v>
      </c>
      <c r="I94" s="1801"/>
      <c r="J94" s="1801"/>
      <c r="K94" s="1813"/>
      <c r="L94" s="1814"/>
      <c r="M94" s="1070"/>
      <c r="N94" s="1070"/>
      <c r="O94" s="1422" t="s">
        <v>3</v>
      </c>
      <c r="P94" s="1186"/>
      <c r="Q94" s="1838"/>
      <c r="R94" s="1079"/>
      <c r="S94" s="1079"/>
      <c r="T94" s="1079"/>
      <c r="U94" s="1082"/>
      <c r="V94" s="1184" t="s">
        <v>1268</v>
      </c>
      <c r="W94" s="1459"/>
      <c r="X94" s="1816" t="s">
        <v>1445</v>
      </c>
      <c r="Y94" s="1817" t="s">
        <v>1445</v>
      </c>
      <c r="Z94" s="1082"/>
    </row>
    <row r="95" spans="1:40" hidden="1" outlineLevel="1" x14ac:dyDescent="0.3">
      <c r="A95" s="1070"/>
      <c r="B95" s="1070"/>
      <c r="C95" s="1070"/>
      <c r="D95" s="1070"/>
      <c r="E95" s="1070"/>
      <c r="F95" s="1070"/>
      <c r="G95" s="1070"/>
      <c r="H95" s="1465" t="s">
        <v>1456</v>
      </c>
      <c r="I95" s="1466"/>
      <c r="J95" s="1466"/>
      <c r="K95" s="1822" t="s">
        <v>1445</v>
      </c>
      <c r="L95" s="1448" t="s">
        <v>1445</v>
      </c>
      <c r="M95" s="1070"/>
      <c r="N95" s="1070"/>
      <c r="O95" s="1434" t="s">
        <v>1458</v>
      </c>
      <c r="P95" s="1459"/>
      <c r="Q95" s="1839"/>
      <c r="R95" s="1079"/>
      <c r="S95" s="1079"/>
      <c r="T95" s="1079"/>
      <c r="U95" s="1082"/>
      <c r="V95" s="1082"/>
      <c r="W95" s="1082"/>
      <c r="X95" s="1082"/>
      <c r="Y95" s="1082"/>
      <c r="Z95" s="1082"/>
    </row>
    <row r="96" spans="1:40" hidden="1" outlineLevel="1" x14ac:dyDescent="0.3">
      <c r="A96" s="1070"/>
      <c r="B96" s="1070"/>
      <c r="C96" s="1070"/>
      <c r="D96" s="1070"/>
      <c r="E96" s="1070"/>
      <c r="F96" s="1070"/>
      <c r="G96" s="1070"/>
      <c r="H96" s="1070"/>
      <c r="I96" s="1070"/>
      <c r="J96" s="1070"/>
      <c r="K96" s="1070"/>
      <c r="L96" s="1070"/>
      <c r="M96" s="1070"/>
      <c r="N96" s="1070"/>
      <c r="R96" s="1070"/>
      <c r="S96" s="1070"/>
      <c r="T96" s="1070"/>
      <c r="U96" s="1082"/>
      <c r="V96" s="1082"/>
      <c r="W96" s="1082"/>
      <c r="X96" s="1082"/>
      <c r="Y96" s="1082"/>
      <c r="Z96" s="1082"/>
    </row>
    <row r="97" spans="1:40" collapsed="1" x14ac:dyDescent="0.3">
      <c r="A97" s="1070"/>
      <c r="B97" s="1070"/>
      <c r="C97" s="1070"/>
      <c r="D97" s="1070"/>
      <c r="E97" s="1070"/>
      <c r="F97" s="1070"/>
      <c r="G97" s="1070"/>
      <c r="H97" s="1070"/>
      <c r="I97" s="1070"/>
      <c r="J97" s="1070"/>
      <c r="K97" s="1070"/>
      <c r="L97" s="1070"/>
      <c r="M97" s="1070"/>
      <c r="N97" s="1070"/>
      <c r="R97" s="1070"/>
      <c r="S97" s="1070"/>
      <c r="T97" s="1070"/>
      <c r="U97" s="1082"/>
      <c r="V97" s="1082"/>
      <c r="W97" s="1082"/>
      <c r="X97" s="1082"/>
      <c r="Y97" s="1082"/>
      <c r="Z97" s="1082"/>
    </row>
    <row r="98" spans="1:40" s="1831" customFormat="1" ht="9.9" customHeight="1" x14ac:dyDescent="0.3">
      <c r="A98" s="1824"/>
      <c r="B98" s="1824"/>
      <c r="C98" s="1824"/>
      <c r="D98" s="1824"/>
      <c r="E98" s="1824"/>
      <c r="F98" s="1824"/>
      <c r="G98" s="1824"/>
      <c r="H98" s="1824"/>
      <c r="I98" s="1824"/>
      <c r="J98" s="1824"/>
      <c r="K98" s="1824"/>
      <c r="L98" s="1824"/>
      <c r="M98" s="1824"/>
      <c r="N98" s="1824"/>
      <c r="O98" s="1824"/>
      <c r="P98" s="1824"/>
      <c r="Q98" s="1824"/>
      <c r="R98" s="1824"/>
      <c r="S98" s="1824"/>
      <c r="T98" s="1824"/>
      <c r="U98" s="1824"/>
      <c r="V98" s="1824"/>
      <c r="W98" s="1824"/>
      <c r="X98" s="1824"/>
      <c r="Y98" s="1824"/>
      <c r="Z98" s="1824"/>
    </row>
    <row r="99" spans="1:40" x14ac:dyDescent="0.3">
      <c r="A99" s="1070"/>
      <c r="B99" s="1070"/>
      <c r="C99" s="1070"/>
      <c r="D99" s="1070"/>
      <c r="E99" s="1070"/>
      <c r="F99" s="1070"/>
      <c r="G99" s="1070"/>
      <c r="H99" s="1070"/>
      <c r="I99" s="1070"/>
      <c r="J99" s="1070"/>
      <c r="K99" s="1070"/>
      <c r="L99" s="1070"/>
      <c r="M99" s="1070"/>
      <c r="N99" s="1070"/>
      <c r="O99" s="1070"/>
      <c r="P99" s="1070"/>
      <c r="Q99" s="1070"/>
      <c r="R99" s="1070"/>
      <c r="S99" s="1070"/>
      <c r="T99" s="1070"/>
      <c r="U99" s="1082"/>
      <c r="V99" s="1082"/>
      <c r="W99" s="1082"/>
      <c r="X99" s="1082"/>
      <c r="Y99" s="1082"/>
      <c r="Z99" s="1082"/>
    </row>
    <row r="100" spans="1:40" x14ac:dyDescent="0.3">
      <c r="A100" s="1070"/>
      <c r="B100" s="1077" t="s">
        <v>759</v>
      </c>
      <c r="C100" s="1070"/>
      <c r="D100" s="1070"/>
      <c r="E100" s="1070"/>
      <c r="F100" s="1070"/>
      <c r="G100" s="1070"/>
      <c r="H100" s="1070"/>
      <c r="I100" s="1070"/>
      <c r="J100" s="1070"/>
      <c r="K100" s="1070"/>
      <c r="L100" s="1070"/>
      <c r="M100" s="1070"/>
      <c r="N100" s="1070"/>
      <c r="O100" s="1070"/>
      <c r="P100" s="1070"/>
      <c r="Q100" s="1070"/>
      <c r="R100" s="1070"/>
      <c r="S100" s="1070"/>
      <c r="T100" s="1070"/>
      <c r="U100" s="1070"/>
      <c r="V100" s="1070"/>
      <c r="W100" s="1070"/>
      <c r="X100" s="1070"/>
      <c r="Y100" s="1070"/>
      <c r="Z100" s="1070"/>
    </row>
    <row r="101" spans="1:40" x14ac:dyDescent="0.3">
      <c r="A101" s="1070"/>
      <c r="B101" s="1734"/>
      <c r="C101" s="1070"/>
      <c r="D101" s="1070"/>
      <c r="E101" s="1070"/>
      <c r="F101" s="1070"/>
      <c r="G101" s="1070"/>
      <c r="H101" s="1070"/>
      <c r="I101" s="1070"/>
      <c r="J101" s="1070"/>
      <c r="K101" s="1070"/>
      <c r="L101" s="1070"/>
      <c r="M101" s="1070"/>
      <c r="N101" s="1070"/>
      <c r="O101" s="1070"/>
      <c r="P101" s="1070"/>
      <c r="Q101" s="1070"/>
      <c r="R101" s="1070"/>
      <c r="S101" s="1070"/>
      <c r="T101" s="1070"/>
      <c r="U101" s="1070"/>
      <c r="V101" s="1070"/>
      <c r="W101" s="1070"/>
      <c r="X101" s="1070"/>
      <c r="Y101" s="1070"/>
      <c r="Z101" s="1070"/>
    </row>
    <row r="102" spans="1:40" hidden="1" outlineLevel="1" x14ac:dyDescent="0.3">
      <c r="A102" s="1082"/>
      <c r="B102" s="1734" t="s">
        <v>1442</v>
      </c>
      <c r="C102" s="1070"/>
      <c r="D102" s="1070"/>
      <c r="E102" s="1070"/>
      <c r="F102" s="1070"/>
      <c r="G102" s="1070"/>
      <c r="H102" s="1070"/>
      <c r="I102" s="1070"/>
      <c r="J102" s="1070"/>
      <c r="K102" s="1070"/>
      <c r="L102" s="1070"/>
      <c r="M102" s="1070"/>
      <c r="N102" s="1070"/>
      <c r="O102" s="1070"/>
      <c r="P102" s="1070"/>
      <c r="Q102" s="1070"/>
      <c r="R102" s="1070"/>
      <c r="S102" s="1070"/>
      <c r="T102" s="1070"/>
      <c r="U102" s="1070"/>
      <c r="V102" s="1070"/>
      <c r="W102" s="1070"/>
      <c r="X102" s="1070"/>
      <c r="Y102" s="1070"/>
      <c r="Z102" s="1070"/>
    </row>
    <row r="103" spans="1:40" hidden="1" outlineLevel="1" x14ac:dyDescent="0.3">
      <c r="A103" s="1082"/>
      <c r="B103" s="1070"/>
      <c r="C103" s="1070"/>
      <c r="D103" s="1739" t="s">
        <v>1432</v>
      </c>
      <c r="E103" s="1740" t="s">
        <v>682</v>
      </c>
      <c r="F103" s="1070"/>
      <c r="G103" s="1070"/>
      <c r="H103" s="1070"/>
      <c r="I103" s="1070"/>
      <c r="J103" s="1070"/>
      <c r="K103" s="1070"/>
      <c r="L103" s="1070"/>
      <c r="M103" s="1070"/>
      <c r="N103" s="1070"/>
      <c r="O103" s="1070"/>
      <c r="P103" s="1070"/>
      <c r="Q103" s="1070"/>
      <c r="R103" s="1070"/>
      <c r="S103" s="1070"/>
      <c r="T103" s="1070"/>
      <c r="U103" s="1070"/>
      <c r="V103" s="1070"/>
      <c r="W103" s="1070"/>
      <c r="X103" s="1070"/>
      <c r="Y103" s="1070"/>
      <c r="Z103" s="1070"/>
    </row>
    <row r="104" spans="1:40" hidden="1" outlineLevel="1" x14ac:dyDescent="0.3">
      <c r="A104" s="1082"/>
      <c r="B104" s="1164" t="s">
        <v>1466</v>
      </c>
      <c r="C104" s="1146"/>
      <c r="D104" s="1743" t="s">
        <v>1445</v>
      </c>
      <c r="E104" s="1744" t="s">
        <v>1445</v>
      </c>
      <c r="F104" s="1070"/>
      <c r="G104" s="1153" t="s">
        <v>1467</v>
      </c>
      <c r="H104" s="1070"/>
      <c r="I104" s="1070"/>
      <c r="J104" s="1070"/>
      <c r="K104" s="1070"/>
      <c r="L104" s="1070"/>
      <c r="M104" s="1070"/>
      <c r="N104" s="1070"/>
      <c r="O104" s="1070"/>
      <c r="P104" s="1070"/>
      <c r="Q104" s="1070"/>
      <c r="R104" s="1070"/>
      <c r="S104" s="1070"/>
      <c r="T104" s="1070"/>
      <c r="U104" s="1070"/>
      <c r="V104" s="1070"/>
      <c r="W104" s="1070"/>
      <c r="X104" s="1070"/>
      <c r="Y104" s="1070"/>
      <c r="Z104" s="1070"/>
    </row>
    <row r="105" spans="1:40" hidden="1" outlineLevel="1" x14ac:dyDescent="0.3">
      <c r="A105" s="1082"/>
      <c r="B105" s="1070"/>
      <c r="C105" s="1070"/>
      <c r="D105" s="1070"/>
      <c r="E105" s="1070"/>
      <c r="F105" s="1070"/>
      <c r="G105" s="1070"/>
      <c r="H105" s="1070"/>
      <c r="I105" s="1070"/>
      <c r="J105" s="1070"/>
      <c r="K105" s="1070"/>
      <c r="L105" s="1070"/>
      <c r="M105" s="1070"/>
      <c r="N105" s="1070"/>
      <c r="O105" s="1070"/>
      <c r="P105" s="1070"/>
      <c r="Q105" s="1070"/>
      <c r="R105" s="1070"/>
      <c r="S105" s="1070"/>
      <c r="T105" s="1070"/>
      <c r="U105" s="1070"/>
      <c r="V105" s="1070"/>
      <c r="W105" s="1070"/>
      <c r="X105" s="1070"/>
      <c r="Y105" s="1070"/>
      <c r="Z105" s="1070"/>
    </row>
    <row r="106" spans="1:40" hidden="1" outlineLevel="1" x14ac:dyDescent="0.3">
      <c r="A106" s="1082"/>
      <c r="B106" s="1070"/>
      <c r="C106" s="1070"/>
      <c r="D106" s="1070"/>
      <c r="E106" s="1070"/>
      <c r="F106" s="1070"/>
      <c r="G106" s="1070"/>
      <c r="H106" s="1070"/>
      <c r="I106" s="1070"/>
      <c r="J106" s="1070"/>
      <c r="K106" s="1070"/>
      <c r="L106" s="1070"/>
      <c r="M106" s="1070"/>
      <c r="N106" s="1070"/>
      <c r="O106" s="1070"/>
      <c r="P106" s="1070"/>
      <c r="Q106" s="1070"/>
      <c r="R106" s="1070"/>
      <c r="S106" s="1070"/>
      <c r="T106" s="1070"/>
      <c r="U106" s="1070"/>
      <c r="V106" s="1070"/>
      <c r="W106" s="1070"/>
      <c r="X106" s="1070"/>
      <c r="Y106" s="1070"/>
      <c r="Z106" s="1070"/>
      <c r="AA106" s="1070"/>
      <c r="AB106" s="1070"/>
      <c r="AC106" s="1070"/>
      <c r="AD106" s="1070"/>
      <c r="AE106" s="1070"/>
      <c r="AF106" s="1070"/>
      <c r="AG106" s="1070"/>
      <c r="AH106" s="1070"/>
      <c r="AI106" s="1070"/>
      <c r="AJ106" s="1070"/>
      <c r="AK106" s="1070"/>
      <c r="AL106" s="1070"/>
      <c r="AM106" s="1070"/>
      <c r="AN106" s="1070"/>
    </row>
    <row r="107" spans="1:40" ht="17.25" hidden="1" customHeight="1" outlineLevel="1" x14ac:dyDescent="0.3">
      <c r="A107" s="1082"/>
      <c r="B107" s="1240"/>
      <c r="C107" s="1241"/>
      <c r="D107" s="1241"/>
      <c r="E107" s="1241"/>
      <c r="F107" s="1746" t="s">
        <v>739</v>
      </c>
      <c r="G107" s="1746" t="s">
        <v>1461</v>
      </c>
      <c r="H107" s="1746" t="s">
        <v>1461</v>
      </c>
      <c r="I107" s="1746" t="s">
        <v>1461</v>
      </c>
      <c r="J107" s="1746" t="s">
        <v>1461</v>
      </c>
      <c r="K107" s="1747" t="s">
        <v>1461</v>
      </c>
      <c r="L107" s="1747" t="s">
        <v>1461</v>
      </c>
      <c r="M107" s="1747" t="s">
        <v>1461</v>
      </c>
      <c r="N107" s="1747" t="s">
        <v>1461</v>
      </c>
      <c r="O107" s="1747" t="s">
        <v>1461</v>
      </c>
      <c r="P107" s="1747" t="s">
        <v>1461</v>
      </c>
      <c r="Q107" s="1747" t="s">
        <v>1461</v>
      </c>
      <c r="R107" s="1747" t="s">
        <v>1461</v>
      </c>
      <c r="S107" s="1747" t="s">
        <v>1461</v>
      </c>
      <c r="T107" s="1747" t="s">
        <v>1461</v>
      </c>
      <c r="U107" s="1747" t="s">
        <v>1461</v>
      </c>
      <c r="V107" s="1747" t="s">
        <v>1461</v>
      </c>
      <c r="W107" s="1747" t="s">
        <v>1461</v>
      </c>
      <c r="X107" s="1747" t="s">
        <v>1461</v>
      </c>
      <c r="Y107" s="1747" t="s">
        <v>1461</v>
      </c>
      <c r="Z107" s="1747" t="s">
        <v>1461</v>
      </c>
      <c r="AA107" s="1747" t="s">
        <v>1461</v>
      </c>
      <c r="AB107" s="1747" t="s">
        <v>1461</v>
      </c>
      <c r="AC107" s="1747" t="s">
        <v>1461</v>
      </c>
      <c r="AD107" s="1747" t="s">
        <v>1461</v>
      </c>
      <c r="AE107" s="1747" t="s">
        <v>1461</v>
      </c>
      <c r="AF107" s="1747" t="s">
        <v>1461</v>
      </c>
      <c r="AG107" s="1747" t="s">
        <v>1461</v>
      </c>
      <c r="AH107" s="1747" t="s">
        <v>1461</v>
      </c>
      <c r="AI107" s="1747" t="s">
        <v>1461</v>
      </c>
      <c r="AJ107" s="1748" t="s">
        <v>1316</v>
      </c>
      <c r="AK107" s="1749" t="s">
        <v>1315</v>
      </c>
      <c r="AL107" s="1750"/>
      <c r="AM107" s="1746" t="s">
        <v>1316</v>
      </c>
      <c r="AN107" s="1070"/>
    </row>
    <row r="108" spans="1:40" hidden="1" outlineLevel="1" x14ac:dyDescent="0.3">
      <c r="A108" s="1082"/>
      <c r="B108" s="1149"/>
      <c r="C108" s="1142"/>
      <c r="D108" s="1142"/>
      <c r="E108" s="1142"/>
      <c r="F108" s="1753"/>
      <c r="G108" s="1754"/>
      <c r="H108" s="1754"/>
      <c r="I108" s="1754"/>
      <c r="J108" s="1754"/>
      <c r="K108" s="1754"/>
      <c r="L108" s="1754"/>
      <c r="M108" s="1754"/>
      <c r="N108" s="1755"/>
      <c r="O108" s="1756"/>
      <c r="P108" s="1756"/>
      <c r="Q108" s="1756"/>
      <c r="R108" s="1756"/>
      <c r="S108" s="1756"/>
      <c r="T108" s="1756"/>
      <c r="U108" s="1756"/>
      <c r="V108" s="1756"/>
      <c r="W108" s="1756"/>
      <c r="X108" s="1756"/>
      <c r="Y108" s="1756"/>
      <c r="Z108" s="1756"/>
      <c r="AA108" s="1756"/>
      <c r="AB108" s="1756"/>
      <c r="AC108" s="1756"/>
      <c r="AD108" s="1756"/>
      <c r="AE108" s="1756"/>
      <c r="AF108" s="1756"/>
      <c r="AG108" s="1756"/>
      <c r="AH108" s="1756"/>
      <c r="AI108" s="1756"/>
      <c r="AJ108" s="1251"/>
      <c r="AK108" s="1252"/>
      <c r="AL108" s="1757"/>
      <c r="AN108" s="1070"/>
    </row>
    <row r="109" spans="1:40" ht="18" hidden="1" outlineLevel="1" x14ac:dyDescent="0.3">
      <c r="A109" s="1082"/>
      <c r="B109" s="1253" t="s">
        <v>784</v>
      </c>
      <c r="C109" s="1254"/>
      <c r="D109" s="1254"/>
      <c r="E109" s="1255"/>
      <c r="F109" s="1261">
        <v>0</v>
      </c>
      <c r="G109" s="1263">
        <v>0</v>
      </c>
      <c r="H109" s="1262">
        <v>0</v>
      </c>
      <c r="I109" s="1262">
        <v>0</v>
      </c>
      <c r="J109" s="1262">
        <v>0</v>
      </c>
      <c r="K109" s="1262">
        <v>0</v>
      </c>
      <c r="L109" s="1262">
        <v>0</v>
      </c>
      <c r="M109" s="1262">
        <v>0</v>
      </c>
      <c r="N109" s="1262">
        <v>0</v>
      </c>
      <c r="O109" s="1262">
        <v>0</v>
      </c>
      <c r="P109" s="1262">
        <v>0</v>
      </c>
      <c r="Q109" s="1262">
        <v>0</v>
      </c>
      <c r="R109" s="1262">
        <v>0</v>
      </c>
      <c r="S109" s="1262">
        <v>0</v>
      </c>
      <c r="T109" s="1262">
        <v>0</v>
      </c>
      <c r="U109" s="1262">
        <v>0</v>
      </c>
      <c r="V109" s="1262">
        <v>0</v>
      </c>
      <c r="W109" s="1262">
        <v>0</v>
      </c>
      <c r="X109" s="1262">
        <v>0</v>
      </c>
      <c r="Y109" s="1262">
        <v>0</v>
      </c>
      <c r="Z109" s="1262">
        <v>0</v>
      </c>
      <c r="AA109" s="1262">
        <v>0</v>
      </c>
      <c r="AB109" s="1262">
        <v>0</v>
      </c>
      <c r="AC109" s="1262">
        <v>0</v>
      </c>
      <c r="AD109" s="1262">
        <v>0</v>
      </c>
      <c r="AE109" s="1262">
        <v>0</v>
      </c>
      <c r="AF109" s="1262">
        <v>0</v>
      </c>
      <c r="AG109" s="1262">
        <v>0</v>
      </c>
      <c r="AH109" s="1262">
        <v>0</v>
      </c>
      <c r="AI109" s="1262">
        <v>0</v>
      </c>
      <c r="AJ109" s="1263">
        <v>0</v>
      </c>
      <c r="AK109" s="1264"/>
      <c r="AL109" s="1761"/>
      <c r="AM109" s="1261">
        <v>0</v>
      </c>
      <c r="AN109" s="1070"/>
    </row>
    <row r="110" spans="1:40" hidden="1" outlineLevel="1" x14ac:dyDescent="0.3">
      <c r="A110" s="1082"/>
      <c r="B110" s="1266" t="s">
        <v>1317</v>
      </c>
      <c r="C110" s="1267"/>
      <c r="D110" s="1267"/>
      <c r="E110" s="1267"/>
      <c r="F110" s="1274"/>
      <c r="G110" s="1276">
        <v>0</v>
      </c>
      <c r="H110" s="1275">
        <v>0</v>
      </c>
      <c r="I110" s="1275">
        <v>0</v>
      </c>
      <c r="J110" s="1275">
        <v>0</v>
      </c>
      <c r="K110" s="1275">
        <v>0</v>
      </c>
      <c r="L110" s="1275">
        <v>0</v>
      </c>
      <c r="M110" s="1275">
        <v>0</v>
      </c>
      <c r="N110" s="1275">
        <v>0</v>
      </c>
      <c r="O110" s="1275">
        <v>0</v>
      </c>
      <c r="P110" s="1275">
        <v>0</v>
      </c>
      <c r="Q110" s="1275">
        <v>0</v>
      </c>
      <c r="R110" s="1275">
        <v>0</v>
      </c>
      <c r="S110" s="1275">
        <v>0</v>
      </c>
      <c r="T110" s="1275">
        <v>0</v>
      </c>
      <c r="U110" s="1275">
        <v>0</v>
      </c>
      <c r="V110" s="1275">
        <v>0</v>
      </c>
      <c r="W110" s="1275">
        <v>0</v>
      </c>
      <c r="X110" s="1275">
        <v>0</v>
      </c>
      <c r="Y110" s="1275">
        <v>0</v>
      </c>
      <c r="Z110" s="1275">
        <v>0</v>
      </c>
      <c r="AA110" s="1275">
        <v>0</v>
      </c>
      <c r="AB110" s="1275">
        <v>0</v>
      </c>
      <c r="AC110" s="1275">
        <v>0</v>
      </c>
      <c r="AD110" s="1275">
        <v>0</v>
      </c>
      <c r="AE110" s="1275">
        <v>0</v>
      </c>
      <c r="AF110" s="1275">
        <v>0</v>
      </c>
      <c r="AG110" s="1275">
        <v>0</v>
      </c>
      <c r="AH110" s="1275">
        <v>0</v>
      </c>
      <c r="AI110" s="1275">
        <v>0</v>
      </c>
      <c r="AJ110" s="1276">
        <v>0</v>
      </c>
      <c r="AK110" s="1277" t="s">
        <v>1318</v>
      </c>
      <c r="AL110" s="1762"/>
      <c r="AM110" s="1279"/>
      <c r="AN110" s="1070"/>
    </row>
    <row r="111" spans="1:40" hidden="1" outlineLevel="1" x14ac:dyDescent="0.3">
      <c r="A111" s="1082"/>
      <c r="B111" s="1266" t="s">
        <v>1319</v>
      </c>
      <c r="C111" s="1766" t="s">
        <v>1449</v>
      </c>
      <c r="D111" s="1767"/>
      <c r="E111" s="1267"/>
      <c r="F111" s="1274"/>
      <c r="G111" s="1276">
        <v>0</v>
      </c>
      <c r="H111" s="1275">
        <v>0</v>
      </c>
      <c r="I111" s="1275">
        <v>0</v>
      </c>
      <c r="J111" s="1275">
        <v>0</v>
      </c>
      <c r="K111" s="1275">
        <v>0</v>
      </c>
      <c r="L111" s="1275">
        <v>0</v>
      </c>
      <c r="M111" s="1275">
        <v>0</v>
      </c>
      <c r="N111" s="1275">
        <v>0</v>
      </c>
      <c r="O111" s="1275">
        <v>0</v>
      </c>
      <c r="P111" s="1275">
        <v>0</v>
      </c>
      <c r="Q111" s="1275">
        <v>0</v>
      </c>
      <c r="R111" s="1275">
        <v>0</v>
      </c>
      <c r="S111" s="1275">
        <v>0</v>
      </c>
      <c r="T111" s="1275">
        <v>0</v>
      </c>
      <c r="U111" s="1275">
        <v>0</v>
      </c>
      <c r="V111" s="1275">
        <v>0</v>
      </c>
      <c r="W111" s="1275">
        <v>0</v>
      </c>
      <c r="X111" s="1275">
        <v>0</v>
      </c>
      <c r="Y111" s="1275">
        <v>0</v>
      </c>
      <c r="Z111" s="1275">
        <v>0</v>
      </c>
      <c r="AA111" s="1275">
        <v>0</v>
      </c>
      <c r="AB111" s="1275">
        <v>0</v>
      </c>
      <c r="AC111" s="1275">
        <v>0</v>
      </c>
      <c r="AD111" s="1275">
        <v>0</v>
      </c>
      <c r="AE111" s="1275">
        <v>0</v>
      </c>
      <c r="AF111" s="1275">
        <v>0</v>
      </c>
      <c r="AG111" s="1275">
        <v>0</v>
      </c>
      <c r="AH111" s="1275">
        <v>0</v>
      </c>
      <c r="AI111" s="1275">
        <v>0</v>
      </c>
      <c r="AJ111" s="1276">
        <v>0</v>
      </c>
      <c r="AK111" s="1277"/>
      <c r="AL111" s="1762"/>
      <c r="AM111" s="1279"/>
      <c r="AN111" s="1070"/>
    </row>
    <row r="112" spans="1:40" ht="18" hidden="1" outlineLevel="1" x14ac:dyDescent="0.3">
      <c r="A112" s="1082"/>
      <c r="B112" s="1283" t="s">
        <v>1320</v>
      </c>
      <c r="C112" s="1284"/>
      <c r="D112" s="1284"/>
      <c r="E112" s="1286"/>
      <c r="F112" s="1292"/>
      <c r="G112" s="1768">
        <v>0</v>
      </c>
      <c r="H112" s="1769">
        <v>0</v>
      </c>
      <c r="I112" s="1769">
        <v>0</v>
      </c>
      <c r="J112" s="1769">
        <v>0</v>
      </c>
      <c r="K112" s="1769">
        <v>0</v>
      </c>
      <c r="L112" s="1769">
        <v>0</v>
      </c>
      <c r="M112" s="1769">
        <v>0</v>
      </c>
      <c r="N112" s="1769">
        <v>0</v>
      </c>
      <c r="O112" s="1769">
        <v>0</v>
      </c>
      <c r="P112" s="1769">
        <v>0</v>
      </c>
      <c r="Q112" s="1769">
        <v>0</v>
      </c>
      <c r="R112" s="1769">
        <v>0</v>
      </c>
      <c r="S112" s="1769">
        <v>0</v>
      </c>
      <c r="T112" s="1769">
        <v>0</v>
      </c>
      <c r="U112" s="1769">
        <v>0</v>
      </c>
      <c r="V112" s="1769">
        <v>0</v>
      </c>
      <c r="W112" s="1769">
        <v>0</v>
      </c>
      <c r="X112" s="1769">
        <v>0</v>
      </c>
      <c r="Y112" s="1769">
        <v>0</v>
      </c>
      <c r="Z112" s="1769">
        <v>0</v>
      </c>
      <c r="AA112" s="1769">
        <v>0</v>
      </c>
      <c r="AB112" s="1769">
        <v>0</v>
      </c>
      <c r="AC112" s="1769">
        <v>0</v>
      </c>
      <c r="AD112" s="1769">
        <v>0</v>
      </c>
      <c r="AE112" s="1769">
        <v>0</v>
      </c>
      <c r="AF112" s="1769">
        <v>0</v>
      </c>
      <c r="AG112" s="1769">
        <v>0</v>
      </c>
      <c r="AH112" s="1769">
        <v>0</v>
      </c>
      <c r="AI112" s="1769">
        <v>0</v>
      </c>
      <c r="AJ112" s="1768">
        <v>0</v>
      </c>
      <c r="AK112" s="1295"/>
      <c r="AL112" s="1761"/>
      <c r="AM112" s="1296">
        <v>0</v>
      </c>
      <c r="AN112" s="1070"/>
    </row>
    <row r="113" spans="1:40" ht="18" hidden="1" outlineLevel="1" x14ac:dyDescent="0.3">
      <c r="A113" s="1082"/>
      <c r="B113" s="1297" t="s">
        <v>1321</v>
      </c>
      <c r="C113" s="1298"/>
      <c r="D113" s="1298"/>
      <c r="E113" s="1298"/>
      <c r="F113" s="1304">
        <v>0</v>
      </c>
      <c r="G113" s="1306">
        <v>0</v>
      </c>
      <c r="H113" s="1305">
        <v>0</v>
      </c>
      <c r="I113" s="1305">
        <v>0</v>
      </c>
      <c r="J113" s="1305">
        <v>0</v>
      </c>
      <c r="K113" s="1305">
        <v>0</v>
      </c>
      <c r="L113" s="1305">
        <v>0</v>
      </c>
      <c r="M113" s="1305">
        <v>0</v>
      </c>
      <c r="N113" s="1305">
        <v>0</v>
      </c>
      <c r="O113" s="1305">
        <v>0</v>
      </c>
      <c r="P113" s="1305">
        <v>0</v>
      </c>
      <c r="Q113" s="1305">
        <v>0</v>
      </c>
      <c r="R113" s="1305">
        <v>0</v>
      </c>
      <c r="S113" s="1305">
        <v>0</v>
      </c>
      <c r="T113" s="1305">
        <v>0</v>
      </c>
      <c r="U113" s="1305">
        <v>0</v>
      </c>
      <c r="V113" s="1305">
        <v>0</v>
      </c>
      <c r="W113" s="1305">
        <v>0</v>
      </c>
      <c r="X113" s="1305">
        <v>0</v>
      </c>
      <c r="Y113" s="1305">
        <v>0</v>
      </c>
      <c r="Z113" s="1305">
        <v>0</v>
      </c>
      <c r="AA113" s="1305">
        <v>0</v>
      </c>
      <c r="AB113" s="1305">
        <v>0</v>
      </c>
      <c r="AC113" s="1305">
        <v>0</v>
      </c>
      <c r="AD113" s="1305">
        <v>0</v>
      </c>
      <c r="AE113" s="1305">
        <v>0</v>
      </c>
      <c r="AF113" s="1305">
        <v>0</v>
      </c>
      <c r="AG113" s="1305">
        <v>0</v>
      </c>
      <c r="AH113" s="1305">
        <v>0</v>
      </c>
      <c r="AI113" s="1305">
        <v>0</v>
      </c>
      <c r="AJ113" s="1306">
        <v>0</v>
      </c>
      <c r="AK113" s="1307">
        <v>0</v>
      </c>
      <c r="AL113" s="1770"/>
      <c r="AM113" s="1304">
        <v>0</v>
      </c>
      <c r="AN113" s="1070"/>
    </row>
    <row r="114" spans="1:40" ht="18" hidden="1" outlineLevel="1" x14ac:dyDescent="0.3">
      <c r="A114" s="1082"/>
      <c r="B114" s="1297" t="s">
        <v>1322</v>
      </c>
      <c r="C114" s="1298"/>
      <c r="D114" s="1298"/>
      <c r="E114" s="1298"/>
      <c r="F114" s="1304">
        <v>0</v>
      </c>
      <c r="G114" s="1306">
        <v>0</v>
      </c>
      <c r="H114" s="1305">
        <v>0</v>
      </c>
      <c r="I114" s="1305">
        <v>0</v>
      </c>
      <c r="J114" s="1305">
        <v>0</v>
      </c>
      <c r="K114" s="1305">
        <v>0</v>
      </c>
      <c r="L114" s="1305">
        <v>0</v>
      </c>
      <c r="M114" s="1305">
        <v>0</v>
      </c>
      <c r="N114" s="1305">
        <v>0</v>
      </c>
      <c r="O114" s="1305">
        <v>0</v>
      </c>
      <c r="P114" s="1305">
        <v>0</v>
      </c>
      <c r="Q114" s="1305">
        <v>0</v>
      </c>
      <c r="R114" s="1305">
        <v>0</v>
      </c>
      <c r="S114" s="1305">
        <v>0</v>
      </c>
      <c r="T114" s="1305">
        <v>0</v>
      </c>
      <c r="U114" s="1305">
        <v>0</v>
      </c>
      <c r="V114" s="1305">
        <v>0</v>
      </c>
      <c r="W114" s="1305">
        <v>0</v>
      </c>
      <c r="X114" s="1305">
        <v>0</v>
      </c>
      <c r="Y114" s="1305">
        <v>0</v>
      </c>
      <c r="Z114" s="1305">
        <v>0</v>
      </c>
      <c r="AA114" s="1305">
        <v>0</v>
      </c>
      <c r="AB114" s="1305">
        <v>0</v>
      </c>
      <c r="AC114" s="1305">
        <v>0</v>
      </c>
      <c r="AD114" s="1305">
        <v>0</v>
      </c>
      <c r="AE114" s="1305">
        <v>0</v>
      </c>
      <c r="AF114" s="1305">
        <v>0</v>
      </c>
      <c r="AG114" s="1305">
        <v>0</v>
      </c>
      <c r="AH114" s="1305">
        <v>0</v>
      </c>
      <c r="AI114" s="1305">
        <v>0</v>
      </c>
      <c r="AJ114" s="1306">
        <v>0</v>
      </c>
      <c r="AK114" s="1307">
        <v>0</v>
      </c>
      <c r="AL114" s="1770"/>
      <c r="AM114" s="1304">
        <v>0</v>
      </c>
      <c r="AN114" s="1070"/>
    </row>
    <row r="115" spans="1:40" ht="18" hidden="1" outlineLevel="1" x14ac:dyDescent="0.3">
      <c r="A115" s="1082"/>
      <c r="B115" s="1308" t="s">
        <v>286</v>
      </c>
      <c r="C115" s="1309"/>
      <c r="D115" s="1309"/>
      <c r="E115" s="1309"/>
      <c r="F115" s="1315">
        <v>0</v>
      </c>
      <c r="G115" s="1317">
        <v>0</v>
      </c>
      <c r="H115" s="1316">
        <v>0</v>
      </c>
      <c r="I115" s="1316">
        <v>0</v>
      </c>
      <c r="J115" s="1316">
        <v>0</v>
      </c>
      <c r="K115" s="1316">
        <v>0</v>
      </c>
      <c r="L115" s="1316">
        <v>0</v>
      </c>
      <c r="M115" s="1316">
        <v>0</v>
      </c>
      <c r="N115" s="1316">
        <v>0</v>
      </c>
      <c r="O115" s="1316">
        <v>0</v>
      </c>
      <c r="P115" s="1316">
        <v>0</v>
      </c>
      <c r="Q115" s="1316">
        <v>0</v>
      </c>
      <c r="R115" s="1316">
        <v>0</v>
      </c>
      <c r="S115" s="1316">
        <v>0</v>
      </c>
      <c r="T115" s="1316">
        <v>0</v>
      </c>
      <c r="U115" s="1316">
        <v>0</v>
      </c>
      <c r="V115" s="1316">
        <v>0</v>
      </c>
      <c r="W115" s="1316">
        <v>0</v>
      </c>
      <c r="X115" s="1316">
        <v>0</v>
      </c>
      <c r="Y115" s="1316">
        <v>0</v>
      </c>
      <c r="Z115" s="1316">
        <v>0</v>
      </c>
      <c r="AA115" s="1316">
        <v>0</v>
      </c>
      <c r="AB115" s="1316">
        <v>0</v>
      </c>
      <c r="AC115" s="1316">
        <v>0</v>
      </c>
      <c r="AD115" s="1316">
        <v>0</v>
      </c>
      <c r="AE115" s="1316">
        <v>0</v>
      </c>
      <c r="AF115" s="1316">
        <v>0</v>
      </c>
      <c r="AG115" s="1316">
        <v>0</v>
      </c>
      <c r="AH115" s="1316">
        <v>0</v>
      </c>
      <c r="AI115" s="1316">
        <v>0</v>
      </c>
      <c r="AJ115" s="1317">
        <v>0</v>
      </c>
      <c r="AK115" s="1318"/>
      <c r="AL115" s="1761"/>
      <c r="AM115" s="1315">
        <v>0</v>
      </c>
      <c r="AN115" s="1070"/>
    </row>
    <row r="116" spans="1:40" hidden="1" outlineLevel="1" x14ac:dyDescent="0.3">
      <c r="A116" s="1082"/>
      <c r="B116" s="1320"/>
      <c r="C116" s="1321" t="s">
        <v>1323</v>
      </c>
      <c r="D116" s="1321"/>
      <c r="E116" s="1323"/>
      <c r="F116" s="1330"/>
      <c r="G116" s="1332">
        <v>0</v>
      </c>
      <c r="H116" s="1331">
        <v>0</v>
      </c>
      <c r="I116" s="1331">
        <v>0</v>
      </c>
      <c r="J116" s="1331">
        <v>0</v>
      </c>
      <c r="K116" s="1331">
        <v>0</v>
      </c>
      <c r="L116" s="1331">
        <v>0</v>
      </c>
      <c r="M116" s="1331">
        <v>0</v>
      </c>
      <c r="N116" s="1331">
        <v>0</v>
      </c>
      <c r="O116" s="1331">
        <v>0</v>
      </c>
      <c r="P116" s="1331">
        <v>0</v>
      </c>
      <c r="Q116" s="1331">
        <v>0</v>
      </c>
      <c r="R116" s="1331">
        <v>0</v>
      </c>
      <c r="S116" s="1331">
        <v>0</v>
      </c>
      <c r="T116" s="1331">
        <v>0</v>
      </c>
      <c r="U116" s="1331">
        <v>0</v>
      </c>
      <c r="V116" s="1331">
        <v>0</v>
      </c>
      <c r="W116" s="1331">
        <v>0</v>
      </c>
      <c r="X116" s="1331">
        <v>0</v>
      </c>
      <c r="Y116" s="1331">
        <v>0</v>
      </c>
      <c r="Z116" s="1331">
        <v>0</v>
      </c>
      <c r="AA116" s="1331">
        <v>0</v>
      </c>
      <c r="AB116" s="1331">
        <v>0</v>
      </c>
      <c r="AC116" s="1331">
        <v>0</v>
      </c>
      <c r="AD116" s="1331">
        <v>0</v>
      </c>
      <c r="AE116" s="1331">
        <v>0</v>
      </c>
      <c r="AF116" s="1331">
        <v>0</v>
      </c>
      <c r="AG116" s="1331">
        <v>0</v>
      </c>
      <c r="AH116" s="1331">
        <v>0</v>
      </c>
      <c r="AI116" s="1331">
        <v>0</v>
      </c>
      <c r="AJ116" s="1332">
        <v>0</v>
      </c>
      <c r="AK116" s="1333"/>
      <c r="AL116" s="1771"/>
      <c r="AM116" s="1335"/>
      <c r="AN116" s="1070"/>
    </row>
    <row r="117" spans="1:40" ht="18" hidden="1" outlineLevel="1" x14ac:dyDescent="0.3">
      <c r="A117" s="1082"/>
      <c r="B117" s="1336" t="s">
        <v>1324</v>
      </c>
      <c r="C117" s="1337"/>
      <c r="D117" s="1337"/>
      <c r="E117" s="1337"/>
      <c r="F117" s="1304">
        <v>0</v>
      </c>
      <c r="G117" s="1306">
        <v>0</v>
      </c>
      <c r="H117" s="1305">
        <v>0</v>
      </c>
      <c r="I117" s="1305">
        <v>0</v>
      </c>
      <c r="J117" s="1305">
        <v>0</v>
      </c>
      <c r="K117" s="1305">
        <v>0</v>
      </c>
      <c r="L117" s="1305">
        <v>0</v>
      </c>
      <c r="M117" s="1305">
        <v>0</v>
      </c>
      <c r="N117" s="1305">
        <v>0</v>
      </c>
      <c r="O117" s="1305">
        <v>0</v>
      </c>
      <c r="P117" s="1305">
        <v>0</v>
      </c>
      <c r="Q117" s="1305">
        <v>0</v>
      </c>
      <c r="R117" s="1305">
        <v>0</v>
      </c>
      <c r="S117" s="1305">
        <v>0</v>
      </c>
      <c r="T117" s="1305">
        <v>0</v>
      </c>
      <c r="U117" s="1305">
        <v>0</v>
      </c>
      <c r="V117" s="1305">
        <v>0</v>
      </c>
      <c r="W117" s="1305">
        <v>0</v>
      </c>
      <c r="X117" s="1305">
        <v>0</v>
      </c>
      <c r="Y117" s="1305">
        <v>0</v>
      </c>
      <c r="Z117" s="1305">
        <v>0</v>
      </c>
      <c r="AA117" s="1305">
        <v>0</v>
      </c>
      <c r="AB117" s="1305">
        <v>0</v>
      </c>
      <c r="AC117" s="1305">
        <v>0</v>
      </c>
      <c r="AD117" s="1305">
        <v>0</v>
      </c>
      <c r="AE117" s="1305">
        <v>0</v>
      </c>
      <c r="AF117" s="1305">
        <v>0</v>
      </c>
      <c r="AG117" s="1305">
        <v>0</v>
      </c>
      <c r="AH117" s="1305">
        <v>0</v>
      </c>
      <c r="AI117" s="1305">
        <v>0</v>
      </c>
      <c r="AJ117" s="1306">
        <v>0</v>
      </c>
      <c r="AK117" s="1307">
        <v>0</v>
      </c>
      <c r="AL117" s="1770"/>
      <c r="AM117" s="1304">
        <v>0</v>
      </c>
      <c r="AN117" s="1070"/>
    </row>
    <row r="118" spans="1:40" ht="18" hidden="1" outlineLevel="1" x14ac:dyDescent="0.3">
      <c r="A118" s="1082"/>
      <c r="B118" s="1336" t="s">
        <v>1325</v>
      </c>
      <c r="C118" s="1337"/>
      <c r="D118" s="1337"/>
      <c r="E118" s="1337"/>
      <c r="F118" s="1304">
        <v>0</v>
      </c>
      <c r="G118" s="1306">
        <v>0</v>
      </c>
      <c r="H118" s="1305">
        <v>0</v>
      </c>
      <c r="I118" s="1305">
        <v>0</v>
      </c>
      <c r="J118" s="1305">
        <v>0</v>
      </c>
      <c r="K118" s="1305">
        <v>0</v>
      </c>
      <c r="L118" s="1305">
        <v>0</v>
      </c>
      <c r="M118" s="1305">
        <v>0</v>
      </c>
      <c r="N118" s="1305">
        <v>0</v>
      </c>
      <c r="O118" s="1305">
        <v>0</v>
      </c>
      <c r="P118" s="1305">
        <v>0</v>
      </c>
      <c r="Q118" s="1305">
        <v>0</v>
      </c>
      <c r="R118" s="1305">
        <v>0</v>
      </c>
      <c r="S118" s="1305">
        <v>0</v>
      </c>
      <c r="T118" s="1305">
        <v>0</v>
      </c>
      <c r="U118" s="1305">
        <v>0</v>
      </c>
      <c r="V118" s="1305">
        <v>0</v>
      </c>
      <c r="W118" s="1305">
        <v>0</v>
      </c>
      <c r="X118" s="1305">
        <v>0</v>
      </c>
      <c r="Y118" s="1305">
        <v>0</v>
      </c>
      <c r="Z118" s="1305">
        <v>0</v>
      </c>
      <c r="AA118" s="1305">
        <v>0</v>
      </c>
      <c r="AB118" s="1305">
        <v>0</v>
      </c>
      <c r="AC118" s="1305">
        <v>0</v>
      </c>
      <c r="AD118" s="1305">
        <v>0</v>
      </c>
      <c r="AE118" s="1305">
        <v>0</v>
      </c>
      <c r="AF118" s="1305">
        <v>0</v>
      </c>
      <c r="AG118" s="1305">
        <v>0</v>
      </c>
      <c r="AH118" s="1305">
        <v>0</v>
      </c>
      <c r="AI118" s="1305">
        <v>0</v>
      </c>
      <c r="AJ118" s="1306">
        <v>0</v>
      </c>
      <c r="AK118" s="1307">
        <v>0</v>
      </c>
      <c r="AL118" s="1770"/>
      <c r="AM118" s="1304">
        <v>0</v>
      </c>
      <c r="AN118" s="1070"/>
    </row>
    <row r="119" spans="1:40" ht="18.600000000000001" hidden="1" outlineLevel="1" thickBot="1" x14ac:dyDescent="0.35">
      <c r="A119" s="1082"/>
      <c r="B119" s="1338" t="s">
        <v>660</v>
      </c>
      <c r="C119" s="1339"/>
      <c r="D119" s="1339"/>
      <c r="E119" s="1339"/>
      <c r="F119" s="1345">
        <v>0</v>
      </c>
      <c r="G119" s="1347">
        <v>0</v>
      </c>
      <c r="H119" s="1346">
        <v>0</v>
      </c>
      <c r="I119" s="1346">
        <v>0</v>
      </c>
      <c r="J119" s="1346">
        <v>0</v>
      </c>
      <c r="K119" s="1346">
        <v>0</v>
      </c>
      <c r="L119" s="1346">
        <v>0</v>
      </c>
      <c r="M119" s="1346">
        <v>0</v>
      </c>
      <c r="N119" s="1346">
        <v>0</v>
      </c>
      <c r="O119" s="1346">
        <v>0</v>
      </c>
      <c r="P119" s="1346">
        <v>0</v>
      </c>
      <c r="Q119" s="1346">
        <v>0</v>
      </c>
      <c r="R119" s="1346">
        <v>0</v>
      </c>
      <c r="S119" s="1346">
        <v>0</v>
      </c>
      <c r="T119" s="1346">
        <v>0</v>
      </c>
      <c r="U119" s="1346">
        <v>0</v>
      </c>
      <c r="V119" s="1346">
        <v>0</v>
      </c>
      <c r="W119" s="1346">
        <v>0</v>
      </c>
      <c r="X119" s="1346">
        <v>0</v>
      </c>
      <c r="Y119" s="1346">
        <v>0</v>
      </c>
      <c r="Z119" s="1346">
        <v>0</v>
      </c>
      <c r="AA119" s="1346">
        <v>0</v>
      </c>
      <c r="AB119" s="1346">
        <v>0</v>
      </c>
      <c r="AC119" s="1346">
        <v>0</v>
      </c>
      <c r="AD119" s="1346">
        <v>0</v>
      </c>
      <c r="AE119" s="1346">
        <v>0</v>
      </c>
      <c r="AF119" s="1346">
        <v>0</v>
      </c>
      <c r="AG119" s="1346">
        <v>0</v>
      </c>
      <c r="AH119" s="1346">
        <v>0</v>
      </c>
      <c r="AI119" s="1346">
        <v>0</v>
      </c>
      <c r="AJ119" s="1347">
        <v>0</v>
      </c>
      <c r="AK119" s="1348"/>
      <c r="AL119" s="1761"/>
      <c r="AM119" s="1345">
        <v>0</v>
      </c>
      <c r="AN119" s="1070"/>
    </row>
    <row r="120" spans="1:40" hidden="1" outlineLevel="1" x14ac:dyDescent="0.3">
      <c r="A120" s="1082"/>
      <c r="B120" s="1350"/>
      <c r="C120" s="1351" t="s">
        <v>1323</v>
      </c>
      <c r="D120" s="1351"/>
      <c r="E120" s="1353"/>
      <c r="F120" s="1357"/>
      <c r="G120" s="1276">
        <v>0</v>
      </c>
      <c r="H120" s="1275">
        <v>0</v>
      </c>
      <c r="I120" s="1275">
        <v>0</v>
      </c>
      <c r="J120" s="1275">
        <v>0</v>
      </c>
      <c r="K120" s="1275">
        <v>0</v>
      </c>
      <c r="L120" s="1275">
        <v>0</v>
      </c>
      <c r="M120" s="1275">
        <v>0</v>
      </c>
      <c r="N120" s="1275">
        <v>0</v>
      </c>
      <c r="O120" s="1275">
        <v>0</v>
      </c>
      <c r="P120" s="1275">
        <v>0</v>
      </c>
      <c r="Q120" s="1275">
        <v>0</v>
      </c>
      <c r="R120" s="1275">
        <v>0</v>
      </c>
      <c r="S120" s="1275">
        <v>0</v>
      </c>
      <c r="T120" s="1275">
        <v>0</v>
      </c>
      <c r="U120" s="1275">
        <v>0</v>
      </c>
      <c r="V120" s="1275">
        <v>0</v>
      </c>
      <c r="W120" s="1275">
        <v>0</v>
      </c>
      <c r="X120" s="1275">
        <v>0</v>
      </c>
      <c r="Y120" s="1275">
        <v>0</v>
      </c>
      <c r="Z120" s="1275">
        <v>0</v>
      </c>
      <c r="AA120" s="1275">
        <v>0</v>
      </c>
      <c r="AB120" s="1275">
        <v>0</v>
      </c>
      <c r="AC120" s="1275">
        <v>0</v>
      </c>
      <c r="AD120" s="1275">
        <v>0</v>
      </c>
      <c r="AE120" s="1275">
        <v>0</v>
      </c>
      <c r="AF120" s="1275">
        <v>0</v>
      </c>
      <c r="AG120" s="1275">
        <v>0</v>
      </c>
      <c r="AH120" s="1275">
        <v>0</v>
      </c>
      <c r="AI120" s="1275">
        <v>0</v>
      </c>
      <c r="AJ120" s="1276">
        <v>0</v>
      </c>
      <c r="AK120" s="1358"/>
      <c r="AL120" s="1771"/>
      <c r="AM120" s="1279"/>
      <c r="AN120" s="1070"/>
    </row>
    <row r="121" spans="1:40" ht="18" hidden="1" outlineLevel="1" x14ac:dyDescent="0.3">
      <c r="A121" s="1082"/>
      <c r="B121" s="1336" t="s">
        <v>1326</v>
      </c>
      <c r="C121" s="1351"/>
      <c r="D121" s="1351"/>
      <c r="E121" s="1353"/>
      <c r="F121" s="1304">
        <v>0</v>
      </c>
      <c r="G121" s="1306">
        <v>0</v>
      </c>
      <c r="H121" s="1305">
        <v>0</v>
      </c>
      <c r="I121" s="1305">
        <v>0</v>
      </c>
      <c r="J121" s="1305">
        <v>0</v>
      </c>
      <c r="K121" s="1305">
        <v>0</v>
      </c>
      <c r="L121" s="1305">
        <v>0</v>
      </c>
      <c r="M121" s="1305">
        <v>0</v>
      </c>
      <c r="N121" s="1305">
        <v>0</v>
      </c>
      <c r="O121" s="1305">
        <v>0</v>
      </c>
      <c r="P121" s="1305">
        <v>0</v>
      </c>
      <c r="Q121" s="1305">
        <v>0</v>
      </c>
      <c r="R121" s="1305">
        <v>0</v>
      </c>
      <c r="S121" s="1305">
        <v>0</v>
      </c>
      <c r="T121" s="1305">
        <v>0</v>
      </c>
      <c r="U121" s="1305">
        <v>0</v>
      </c>
      <c r="V121" s="1305">
        <v>0</v>
      </c>
      <c r="W121" s="1305">
        <v>0</v>
      </c>
      <c r="X121" s="1305">
        <v>0</v>
      </c>
      <c r="Y121" s="1305">
        <v>0</v>
      </c>
      <c r="Z121" s="1305">
        <v>0</v>
      </c>
      <c r="AA121" s="1305">
        <v>0</v>
      </c>
      <c r="AB121" s="1305">
        <v>0</v>
      </c>
      <c r="AC121" s="1305">
        <v>0</v>
      </c>
      <c r="AD121" s="1305">
        <v>0</v>
      </c>
      <c r="AE121" s="1305">
        <v>0</v>
      </c>
      <c r="AF121" s="1305">
        <v>0</v>
      </c>
      <c r="AG121" s="1305">
        <v>0</v>
      </c>
      <c r="AH121" s="1305">
        <v>0</v>
      </c>
      <c r="AI121" s="1305">
        <v>0</v>
      </c>
      <c r="AJ121" s="1306">
        <v>0</v>
      </c>
      <c r="AK121" s="1358" t="s">
        <v>3</v>
      </c>
      <c r="AL121" s="1771"/>
      <c r="AM121" s="1304">
        <v>0</v>
      </c>
      <c r="AN121" s="1070"/>
    </row>
    <row r="122" spans="1:40" ht="18" hidden="1" outlineLevel="1" x14ac:dyDescent="0.3">
      <c r="A122" s="1082"/>
      <c r="B122" s="1336" t="s">
        <v>1327</v>
      </c>
      <c r="C122" s="1360"/>
      <c r="D122" s="1360"/>
      <c r="E122" s="1360"/>
      <c r="F122" s="1304">
        <v>0</v>
      </c>
      <c r="G122" s="1306">
        <v>0</v>
      </c>
      <c r="H122" s="1305">
        <v>0</v>
      </c>
      <c r="I122" s="1305">
        <v>0</v>
      </c>
      <c r="J122" s="1305">
        <v>0</v>
      </c>
      <c r="K122" s="1305">
        <v>0</v>
      </c>
      <c r="L122" s="1305">
        <v>0</v>
      </c>
      <c r="M122" s="1305">
        <v>0</v>
      </c>
      <c r="N122" s="1305">
        <v>0</v>
      </c>
      <c r="O122" s="1305">
        <v>0</v>
      </c>
      <c r="P122" s="1305">
        <v>0</v>
      </c>
      <c r="Q122" s="1305">
        <v>0</v>
      </c>
      <c r="R122" s="1305">
        <v>0</v>
      </c>
      <c r="S122" s="1305">
        <v>0</v>
      </c>
      <c r="T122" s="1305">
        <v>0</v>
      </c>
      <c r="U122" s="1305">
        <v>0</v>
      </c>
      <c r="V122" s="1305">
        <v>0</v>
      </c>
      <c r="W122" s="1305">
        <v>0</v>
      </c>
      <c r="X122" s="1305">
        <v>0</v>
      </c>
      <c r="Y122" s="1305">
        <v>0</v>
      </c>
      <c r="Z122" s="1305">
        <v>0</v>
      </c>
      <c r="AA122" s="1305">
        <v>0</v>
      </c>
      <c r="AB122" s="1305">
        <v>0</v>
      </c>
      <c r="AC122" s="1305">
        <v>0</v>
      </c>
      <c r="AD122" s="1305">
        <v>0</v>
      </c>
      <c r="AE122" s="1305">
        <v>0</v>
      </c>
      <c r="AF122" s="1305">
        <v>0</v>
      </c>
      <c r="AG122" s="1305">
        <v>0</v>
      </c>
      <c r="AH122" s="1305">
        <v>0</v>
      </c>
      <c r="AI122" s="1305">
        <v>0</v>
      </c>
      <c r="AJ122" s="1306">
        <v>0</v>
      </c>
      <c r="AK122" s="1307">
        <v>0</v>
      </c>
      <c r="AL122" s="1770"/>
      <c r="AM122" s="1304">
        <v>0</v>
      </c>
      <c r="AN122" s="1070"/>
    </row>
    <row r="123" spans="1:40" ht="18" hidden="1" outlineLevel="1" x14ac:dyDescent="0.3">
      <c r="A123" s="1082"/>
      <c r="B123" s="1308" t="s">
        <v>674</v>
      </c>
      <c r="C123" s="1362"/>
      <c r="D123" s="1362"/>
      <c r="E123" s="1362"/>
      <c r="F123" s="1315">
        <v>0</v>
      </c>
      <c r="G123" s="1317">
        <v>0</v>
      </c>
      <c r="H123" s="1316">
        <v>0</v>
      </c>
      <c r="I123" s="1316">
        <v>0</v>
      </c>
      <c r="J123" s="1316">
        <v>0</v>
      </c>
      <c r="K123" s="1316">
        <v>0</v>
      </c>
      <c r="L123" s="1316">
        <v>0</v>
      </c>
      <c r="M123" s="1316">
        <v>0</v>
      </c>
      <c r="N123" s="1316">
        <v>0</v>
      </c>
      <c r="O123" s="1316">
        <v>0</v>
      </c>
      <c r="P123" s="1316">
        <v>0</v>
      </c>
      <c r="Q123" s="1316">
        <v>0</v>
      </c>
      <c r="R123" s="1316">
        <v>0</v>
      </c>
      <c r="S123" s="1316">
        <v>0</v>
      </c>
      <c r="T123" s="1316">
        <v>0</v>
      </c>
      <c r="U123" s="1316">
        <v>0</v>
      </c>
      <c r="V123" s="1316">
        <v>0</v>
      </c>
      <c r="W123" s="1316">
        <v>0</v>
      </c>
      <c r="X123" s="1316">
        <v>0</v>
      </c>
      <c r="Y123" s="1316">
        <v>0</v>
      </c>
      <c r="Z123" s="1316">
        <v>0</v>
      </c>
      <c r="AA123" s="1316">
        <v>0</v>
      </c>
      <c r="AB123" s="1316">
        <v>0</v>
      </c>
      <c r="AC123" s="1316">
        <v>0</v>
      </c>
      <c r="AD123" s="1316">
        <v>0</v>
      </c>
      <c r="AE123" s="1316">
        <v>0</v>
      </c>
      <c r="AF123" s="1316">
        <v>0</v>
      </c>
      <c r="AG123" s="1316">
        <v>0</v>
      </c>
      <c r="AH123" s="1316">
        <v>0</v>
      </c>
      <c r="AI123" s="1316">
        <v>0</v>
      </c>
      <c r="AJ123" s="1317">
        <v>0</v>
      </c>
      <c r="AK123" s="1318"/>
      <c r="AL123" s="1761"/>
      <c r="AM123" s="1315">
        <v>0</v>
      </c>
      <c r="AN123" s="1070"/>
    </row>
    <row r="124" spans="1:40" hidden="1" outlineLevel="1" x14ac:dyDescent="0.3">
      <c r="A124" s="1082"/>
      <c r="B124" s="1363"/>
      <c r="C124" s="1321" t="s">
        <v>1323</v>
      </c>
      <c r="D124" s="1321"/>
      <c r="E124" s="1364"/>
      <c r="F124" s="1367"/>
      <c r="G124" s="1332">
        <v>0</v>
      </c>
      <c r="H124" s="1331">
        <v>0</v>
      </c>
      <c r="I124" s="1331">
        <v>0</v>
      </c>
      <c r="J124" s="1331">
        <v>0</v>
      </c>
      <c r="K124" s="1331">
        <v>0</v>
      </c>
      <c r="L124" s="1331">
        <v>0</v>
      </c>
      <c r="M124" s="1331">
        <v>0</v>
      </c>
      <c r="N124" s="1331">
        <v>0</v>
      </c>
      <c r="O124" s="1331">
        <v>0</v>
      </c>
      <c r="P124" s="1331">
        <v>0</v>
      </c>
      <c r="Q124" s="1331">
        <v>0</v>
      </c>
      <c r="R124" s="1331">
        <v>0</v>
      </c>
      <c r="S124" s="1331">
        <v>0</v>
      </c>
      <c r="T124" s="1331">
        <v>0</v>
      </c>
      <c r="U124" s="1331">
        <v>0</v>
      </c>
      <c r="V124" s="1331">
        <v>0</v>
      </c>
      <c r="W124" s="1331">
        <v>0</v>
      </c>
      <c r="X124" s="1331">
        <v>0</v>
      </c>
      <c r="Y124" s="1331">
        <v>0</v>
      </c>
      <c r="Z124" s="1331">
        <v>0</v>
      </c>
      <c r="AA124" s="1331">
        <v>0</v>
      </c>
      <c r="AB124" s="1331">
        <v>0</v>
      </c>
      <c r="AC124" s="1331">
        <v>0</v>
      </c>
      <c r="AD124" s="1331">
        <v>0</v>
      </c>
      <c r="AE124" s="1331">
        <v>0</v>
      </c>
      <c r="AF124" s="1331">
        <v>0</v>
      </c>
      <c r="AG124" s="1331">
        <v>0</v>
      </c>
      <c r="AH124" s="1331">
        <v>0</v>
      </c>
      <c r="AI124" s="1331">
        <v>0</v>
      </c>
      <c r="AJ124" s="1332">
        <v>0</v>
      </c>
      <c r="AK124" s="1368"/>
      <c r="AL124" s="1776"/>
      <c r="AM124" s="1335"/>
      <c r="AN124" s="1070"/>
    </row>
    <row r="125" spans="1:40" ht="18" hidden="1" outlineLevel="1" x14ac:dyDescent="0.3">
      <c r="A125" s="1082"/>
      <c r="B125" s="1336" t="s">
        <v>1328</v>
      </c>
      <c r="C125" s="1337"/>
      <c r="D125" s="1337"/>
      <c r="E125" s="1337"/>
      <c r="F125" s="1304">
        <v>0</v>
      </c>
      <c r="G125" s="1306">
        <v>0</v>
      </c>
      <c r="H125" s="1305">
        <v>0</v>
      </c>
      <c r="I125" s="1305">
        <v>0</v>
      </c>
      <c r="J125" s="1305">
        <v>0</v>
      </c>
      <c r="K125" s="1305">
        <v>0</v>
      </c>
      <c r="L125" s="1305">
        <v>0</v>
      </c>
      <c r="M125" s="1305">
        <v>0</v>
      </c>
      <c r="N125" s="1305">
        <v>0</v>
      </c>
      <c r="O125" s="1305">
        <v>0</v>
      </c>
      <c r="P125" s="1305">
        <v>0</v>
      </c>
      <c r="Q125" s="1305">
        <v>0</v>
      </c>
      <c r="R125" s="1305">
        <v>0</v>
      </c>
      <c r="S125" s="1305">
        <v>0</v>
      </c>
      <c r="T125" s="1305">
        <v>0</v>
      </c>
      <c r="U125" s="1305">
        <v>0</v>
      </c>
      <c r="V125" s="1305">
        <v>0</v>
      </c>
      <c r="W125" s="1305">
        <v>0</v>
      </c>
      <c r="X125" s="1305">
        <v>0</v>
      </c>
      <c r="Y125" s="1305">
        <v>0</v>
      </c>
      <c r="Z125" s="1305">
        <v>0</v>
      </c>
      <c r="AA125" s="1305">
        <v>0</v>
      </c>
      <c r="AB125" s="1305">
        <v>0</v>
      </c>
      <c r="AC125" s="1305">
        <v>0</v>
      </c>
      <c r="AD125" s="1305">
        <v>0</v>
      </c>
      <c r="AE125" s="1305">
        <v>0</v>
      </c>
      <c r="AF125" s="1305">
        <v>0</v>
      </c>
      <c r="AG125" s="1305">
        <v>0</v>
      </c>
      <c r="AH125" s="1305">
        <v>0</v>
      </c>
      <c r="AI125" s="1305">
        <v>0</v>
      </c>
      <c r="AJ125" s="1306">
        <v>0</v>
      </c>
      <c r="AK125" s="1307">
        <v>0</v>
      </c>
      <c r="AL125" s="1770"/>
      <c r="AM125" s="1304">
        <v>0</v>
      </c>
      <c r="AN125" s="1070"/>
    </row>
    <row r="126" spans="1:40" ht="18" hidden="1" outlineLevel="1" x14ac:dyDescent="0.3">
      <c r="A126" s="1082"/>
      <c r="B126" s="1336" t="s">
        <v>1329</v>
      </c>
      <c r="C126" s="1337"/>
      <c r="D126" s="1337"/>
      <c r="E126" s="1337"/>
      <c r="F126" s="1304">
        <v>0</v>
      </c>
      <c r="G126" s="1306">
        <v>0</v>
      </c>
      <c r="H126" s="1305">
        <v>0</v>
      </c>
      <c r="I126" s="1305">
        <v>0</v>
      </c>
      <c r="J126" s="1305">
        <v>0</v>
      </c>
      <c r="K126" s="1305">
        <v>0</v>
      </c>
      <c r="L126" s="1305">
        <v>0</v>
      </c>
      <c r="M126" s="1305">
        <v>0</v>
      </c>
      <c r="N126" s="1305">
        <v>0</v>
      </c>
      <c r="O126" s="1305">
        <v>0</v>
      </c>
      <c r="P126" s="1305">
        <v>0</v>
      </c>
      <c r="Q126" s="1305">
        <v>0</v>
      </c>
      <c r="R126" s="1305">
        <v>0</v>
      </c>
      <c r="S126" s="1305">
        <v>0</v>
      </c>
      <c r="T126" s="1305">
        <v>0</v>
      </c>
      <c r="U126" s="1305">
        <v>0</v>
      </c>
      <c r="V126" s="1305">
        <v>0</v>
      </c>
      <c r="W126" s="1305">
        <v>0</v>
      </c>
      <c r="X126" s="1305">
        <v>0</v>
      </c>
      <c r="Y126" s="1305">
        <v>0</v>
      </c>
      <c r="Z126" s="1305">
        <v>0</v>
      </c>
      <c r="AA126" s="1305">
        <v>0</v>
      </c>
      <c r="AB126" s="1305">
        <v>0</v>
      </c>
      <c r="AC126" s="1305">
        <v>0</v>
      </c>
      <c r="AD126" s="1305">
        <v>0</v>
      </c>
      <c r="AE126" s="1305">
        <v>0</v>
      </c>
      <c r="AF126" s="1305">
        <v>0</v>
      </c>
      <c r="AG126" s="1305">
        <v>0</v>
      </c>
      <c r="AH126" s="1305">
        <v>0</v>
      </c>
      <c r="AI126" s="1777">
        <v>0</v>
      </c>
      <c r="AJ126" s="1306">
        <v>0</v>
      </c>
      <c r="AK126" s="1307">
        <v>0</v>
      </c>
      <c r="AL126" s="1770"/>
      <c r="AM126" s="1304">
        <v>0</v>
      </c>
      <c r="AN126" s="1070"/>
    </row>
    <row r="127" spans="1:40" ht="18" hidden="1" outlineLevel="1" x14ac:dyDescent="0.3">
      <c r="A127" s="1082"/>
      <c r="B127" s="1369" t="s">
        <v>1450</v>
      </c>
      <c r="C127" s="1298"/>
      <c r="D127" s="1298"/>
      <c r="E127" s="1298"/>
      <c r="F127" s="1374">
        <v>0</v>
      </c>
      <c r="G127" s="1376">
        <v>0</v>
      </c>
      <c r="H127" s="1375">
        <v>0</v>
      </c>
      <c r="I127" s="1375">
        <v>0</v>
      </c>
      <c r="J127" s="1375">
        <v>0</v>
      </c>
      <c r="K127" s="1375">
        <v>0</v>
      </c>
      <c r="L127" s="1375">
        <v>0</v>
      </c>
      <c r="M127" s="1375">
        <v>0</v>
      </c>
      <c r="N127" s="1375">
        <v>0</v>
      </c>
      <c r="O127" s="1375">
        <v>0</v>
      </c>
      <c r="P127" s="1375">
        <v>0</v>
      </c>
      <c r="Q127" s="1375">
        <v>0</v>
      </c>
      <c r="R127" s="1375">
        <v>0</v>
      </c>
      <c r="S127" s="1375">
        <v>0</v>
      </c>
      <c r="T127" s="1375">
        <v>0</v>
      </c>
      <c r="U127" s="1375">
        <v>0</v>
      </c>
      <c r="V127" s="1375">
        <v>0</v>
      </c>
      <c r="W127" s="1375">
        <v>0</v>
      </c>
      <c r="X127" s="1375">
        <v>0</v>
      </c>
      <c r="Y127" s="1375">
        <v>0</v>
      </c>
      <c r="Z127" s="1375">
        <v>0</v>
      </c>
      <c r="AA127" s="1375">
        <v>0</v>
      </c>
      <c r="AB127" s="1375">
        <v>0</v>
      </c>
      <c r="AC127" s="1375">
        <v>0</v>
      </c>
      <c r="AD127" s="1375">
        <v>0</v>
      </c>
      <c r="AE127" s="1375">
        <v>0</v>
      </c>
      <c r="AF127" s="1375">
        <v>0</v>
      </c>
      <c r="AG127" s="1375">
        <v>0</v>
      </c>
      <c r="AH127" s="1375">
        <v>0</v>
      </c>
      <c r="AI127" s="1375">
        <v>0</v>
      </c>
      <c r="AJ127" s="1376">
        <v>0</v>
      </c>
      <c r="AK127" s="1377"/>
      <c r="AL127" s="1761"/>
      <c r="AM127" s="1374">
        <v>0</v>
      </c>
      <c r="AN127" s="1070"/>
    </row>
    <row r="128" spans="1:40" ht="18" hidden="1" outlineLevel="1" x14ac:dyDescent="0.3">
      <c r="A128" s="1082"/>
      <c r="B128" s="1369"/>
      <c r="C128" s="1351" t="s">
        <v>1323</v>
      </c>
      <c r="D128" s="1351"/>
      <c r="E128" s="1351"/>
      <c r="F128" s="1381"/>
      <c r="G128" s="1276">
        <v>0</v>
      </c>
      <c r="H128" s="1275">
        <v>0</v>
      </c>
      <c r="I128" s="1275">
        <v>0</v>
      </c>
      <c r="J128" s="1275">
        <v>0</v>
      </c>
      <c r="K128" s="1275">
        <v>0</v>
      </c>
      <c r="L128" s="1275">
        <v>0</v>
      </c>
      <c r="M128" s="1275">
        <v>0</v>
      </c>
      <c r="N128" s="1275">
        <v>0</v>
      </c>
      <c r="O128" s="1275">
        <v>0</v>
      </c>
      <c r="P128" s="1275">
        <v>0</v>
      </c>
      <c r="Q128" s="1275">
        <v>0</v>
      </c>
      <c r="R128" s="1275">
        <v>0</v>
      </c>
      <c r="S128" s="1275">
        <v>0</v>
      </c>
      <c r="T128" s="1275">
        <v>0</v>
      </c>
      <c r="U128" s="1275">
        <v>0</v>
      </c>
      <c r="V128" s="1275">
        <v>0</v>
      </c>
      <c r="W128" s="1275">
        <v>0</v>
      </c>
      <c r="X128" s="1275">
        <v>0</v>
      </c>
      <c r="Y128" s="1275">
        <v>0</v>
      </c>
      <c r="Z128" s="1275">
        <v>0</v>
      </c>
      <c r="AA128" s="1275">
        <v>0</v>
      </c>
      <c r="AB128" s="1275">
        <v>0</v>
      </c>
      <c r="AC128" s="1275">
        <v>0</v>
      </c>
      <c r="AD128" s="1275">
        <v>0</v>
      </c>
      <c r="AE128" s="1275">
        <v>0</v>
      </c>
      <c r="AF128" s="1275">
        <v>0</v>
      </c>
      <c r="AG128" s="1275">
        <v>0</v>
      </c>
      <c r="AH128" s="1275">
        <v>0</v>
      </c>
      <c r="AI128" s="1275">
        <v>0</v>
      </c>
      <c r="AJ128" s="1276">
        <v>0</v>
      </c>
      <c r="AK128" s="1377"/>
      <c r="AL128" s="1761"/>
      <c r="AM128" s="1279"/>
      <c r="AN128" s="1070"/>
    </row>
    <row r="129" spans="1:40" s="1236" customFormat="1" ht="18.600000000000001" hidden="1" outlineLevel="1" thickBot="1" x14ac:dyDescent="0.35">
      <c r="A129" s="1082"/>
      <c r="B129" s="1778"/>
      <c r="C129" s="1779"/>
      <c r="D129" s="1779"/>
      <c r="E129" s="1779"/>
      <c r="F129" s="1780"/>
      <c r="G129" s="1781"/>
      <c r="H129" s="1781"/>
      <c r="I129" s="1781"/>
      <c r="J129" s="1781"/>
      <c r="K129" s="1781"/>
      <c r="L129" s="1781"/>
      <c r="M129" s="1781"/>
      <c r="N129" s="1781"/>
      <c r="O129" s="1781"/>
      <c r="P129" s="1781"/>
      <c r="Q129" s="1781"/>
      <c r="R129" s="1781"/>
      <c r="S129" s="1781"/>
      <c r="T129" s="1781"/>
      <c r="U129" s="1781"/>
      <c r="V129" s="1781"/>
      <c r="W129" s="1781"/>
      <c r="X129" s="1781"/>
      <c r="Y129" s="1781"/>
      <c r="Z129" s="1781"/>
      <c r="AA129" s="1781"/>
      <c r="AB129" s="1781"/>
      <c r="AC129" s="1781"/>
      <c r="AD129" s="1781"/>
      <c r="AE129" s="1781"/>
      <c r="AF129" s="1781"/>
      <c r="AG129" s="1781"/>
      <c r="AH129" s="1781"/>
      <c r="AI129" s="1781"/>
      <c r="AJ129" s="1782"/>
      <c r="AK129" s="1783"/>
      <c r="AL129" s="1784"/>
      <c r="AM129" s="1785"/>
      <c r="AN129" s="1082"/>
    </row>
    <row r="130" spans="1:40" s="1236" customFormat="1" ht="18" hidden="1" outlineLevel="1" x14ac:dyDescent="0.3">
      <c r="A130" s="1082"/>
      <c r="B130" s="1082"/>
      <c r="C130" s="1082"/>
      <c r="D130" s="1082"/>
      <c r="E130" s="1082"/>
      <c r="F130" s="1371"/>
      <c r="G130" s="1300"/>
      <c r="H130" s="1300"/>
      <c r="I130" s="1300"/>
      <c r="J130" s="1300"/>
      <c r="K130" s="1300"/>
      <c r="L130" s="1300"/>
      <c r="M130" s="1300"/>
      <c r="N130" s="1300"/>
      <c r="O130" s="1300"/>
      <c r="P130" s="1300"/>
      <c r="Q130" s="1300"/>
      <c r="R130" s="1300"/>
      <c r="S130" s="1300"/>
      <c r="T130" s="1300"/>
      <c r="U130" s="1300"/>
      <c r="V130" s="1300"/>
      <c r="W130" s="1300"/>
      <c r="X130" s="1300"/>
      <c r="Y130" s="1300"/>
      <c r="Z130" s="1300"/>
      <c r="AA130" s="1300"/>
      <c r="AB130" s="1300"/>
      <c r="AC130" s="1300"/>
      <c r="AD130" s="1300"/>
      <c r="AE130" s="1300"/>
      <c r="AF130" s="1300"/>
      <c r="AG130" s="1300"/>
      <c r="AH130" s="1300"/>
      <c r="AI130" s="1300"/>
      <c r="AJ130" s="1300"/>
      <c r="AK130" s="1791"/>
      <c r="AL130" s="1791"/>
      <c r="AM130" s="1300"/>
      <c r="AN130" s="1082"/>
    </row>
    <row r="131" spans="1:40" s="1236" customFormat="1" ht="18" hidden="1" outlineLevel="1" x14ac:dyDescent="0.3">
      <c r="A131" s="1082"/>
      <c r="B131" s="1082"/>
      <c r="C131" s="1082"/>
      <c r="D131" s="1082"/>
      <c r="E131" s="1082"/>
      <c r="F131" s="1371"/>
      <c r="G131" s="1300"/>
      <c r="H131" s="1300"/>
      <c r="I131" s="1300"/>
      <c r="J131" s="1300"/>
      <c r="K131" s="1300"/>
      <c r="L131" s="1300"/>
      <c r="M131" s="1300"/>
      <c r="N131" s="1300"/>
      <c r="O131" s="1300"/>
      <c r="P131" s="1300"/>
      <c r="Q131" s="1300"/>
      <c r="R131" s="1300"/>
      <c r="S131" s="1300"/>
      <c r="T131" s="1300"/>
      <c r="U131" s="1300"/>
      <c r="V131" s="1300"/>
      <c r="W131" s="1300"/>
      <c r="X131" s="1300"/>
      <c r="Y131" s="1300"/>
      <c r="Z131" s="1300"/>
      <c r="AA131" s="1795"/>
      <c r="AB131" s="1795"/>
      <c r="AC131" s="1795"/>
      <c r="AD131" s="1795"/>
      <c r="AE131" s="1795"/>
      <c r="AF131" s="1795"/>
      <c r="AG131" s="1795"/>
      <c r="AH131" s="1795"/>
      <c r="AI131" s="1795"/>
      <c r="AJ131" s="1795"/>
      <c r="AK131" s="1796"/>
      <c r="AL131" s="1796"/>
      <c r="AM131" s="1795"/>
    </row>
    <row r="132" spans="1:40" ht="15" hidden="1" customHeight="1" outlineLevel="1" x14ac:dyDescent="0.3">
      <c r="A132" s="1070"/>
      <c r="B132" s="1070"/>
      <c r="C132" s="1070"/>
      <c r="D132" s="1070"/>
      <c r="E132" s="1070"/>
      <c r="F132" s="1070"/>
      <c r="G132" s="1070"/>
      <c r="H132" s="3144" t="s">
        <v>1468</v>
      </c>
      <c r="I132" s="3145"/>
      <c r="J132" s="3145"/>
      <c r="K132" s="3145"/>
      <c r="L132" s="3146"/>
      <c r="M132" s="1070"/>
      <c r="N132" s="1070"/>
      <c r="O132" s="3283" t="s">
        <v>1469</v>
      </c>
      <c r="P132" s="3283"/>
      <c r="Q132" s="3283"/>
      <c r="R132" s="3283"/>
      <c r="S132" s="3283"/>
      <c r="T132" s="3283"/>
      <c r="U132" s="1082"/>
      <c r="V132" s="3277" t="s">
        <v>1464</v>
      </c>
      <c r="W132" s="3278"/>
      <c r="X132" s="3278"/>
      <c r="Y132" s="3279"/>
      <c r="Z132" s="1082"/>
    </row>
    <row r="133" spans="1:40" hidden="1" outlineLevel="1" x14ac:dyDescent="0.3">
      <c r="A133" s="1070"/>
      <c r="B133" s="1070"/>
      <c r="C133" s="1070"/>
      <c r="D133" s="1070"/>
      <c r="E133" s="1070"/>
      <c r="F133" s="1070"/>
      <c r="G133" s="1070"/>
      <c r="H133" s="1217" t="s">
        <v>1299</v>
      </c>
      <c r="I133" s="1218"/>
      <c r="J133" s="1218"/>
      <c r="K133" s="1218"/>
      <c r="L133" s="1412"/>
      <c r="M133" s="1070"/>
      <c r="N133" s="1070"/>
      <c r="O133" s="1797"/>
      <c r="P133" s="1798"/>
      <c r="Q133" s="3284" t="s">
        <v>1313</v>
      </c>
      <c r="R133" s="3284"/>
      <c r="S133" s="3284" t="s">
        <v>1314</v>
      </c>
      <c r="T133" s="3284"/>
      <c r="U133" s="1082"/>
      <c r="V133" s="3280"/>
      <c r="W133" s="3281"/>
      <c r="X133" s="3281"/>
      <c r="Y133" s="3282"/>
      <c r="Z133" s="1082"/>
    </row>
    <row r="134" spans="1:40" hidden="1" outlineLevel="1" x14ac:dyDescent="0.3">
      <c r="A134" s="1070"/>
      <c r="B134" s="1070"/>
      <c r="C134" s="1070"/>
      <c r="D134" s="1070"/>
      <c r="E134" s="1070"/>
      <c r="F134" s="1070"/>
      <c r="G134" s="1070"/>
      <c r="H134" s="1800" t="s">
        <v>1301</v>
      </c>
      <c r="I134" s="1801"/>
      <c r="J134" s="1801"/>
      <c r="K134" s="1802" t="s">
        <v>1432</v>
      </c>
      <c r="L134" s="1803" t="s">
        <v>682</v>
      </c>
      <c r="M134" s="1070"/>
      <c r="N134" s="1070"/>
      <c r="O134" s="1804"/>
      <c r="P134" s="1805"/>
      <c r="Q134" s="3285" t="s">
        <v>1465</v>
      </c>
      <c r="R134" s="3285"/>
      <c r="S134" s="3285" t="s">
        <v>1465</v>
      </c>
      <c r="T134" s="3285"/>
      <c r="U134" s="1082"/>
      <c r="V134" s="1807" t="s">
        <v>1454</v>
      </c>
      <c r="W134" s="1143"/>
      <c r="X134" s="1414" t="s">
        <v>1432</v>
      </c>
      <c r="Y134" s="1415" t="s">
        <v>682</v>
      </c>
      <c r="Z134" s="1082"/>
    </row>
    <row r="135" spans="1:40" hidden="1" outlineLevel="1" x14ac:dyDescent="0.3">
      <c r="A135" s="1070"/>
      <c r="B135" s="1070"/>
      <c r="C135" s="1070"/>
      <c r="D135" s="1070"/>
      <c r="E135" s="1070"/>
      <c r="F135" s="1070"/>
      <c r="G135" s="1070"/>
      <c r="H135" s="1440" t="s">
        <v>1456</v>
      </c>
      <c r="I135" s="1441"/>
      <c r="J135" s="1441"/>
      <c r="K135" s="1809" t="s">
        <v>1445</v>
      </c>
      <c r="L135" s="1443" t="s">
        <v>1445</v>
      </c>
      <c r="M135" s="1070"/>
      <c r="N135" s="1070"/>
      <c r="O135" s="1422" t="s">
        <v>794</v>
      </c>
      <c r="P135" s="1412"/>
      <c r="Q135" s="1840"/>
      <c r="R135" s="1841"/>
      <c r="S135" s="1840"/>
      <c r="T135" s="1841"/>
      <c r="U135" s="1082"/>
      <c r="V135" s="1147" t="s">
        <v>756</v>
      </c>
      <c r="W135" s="1186"/>
      <c r="X135" s="1811" t="s">
        <v>1445</v>
      </c>
      <c r="Y135" s="1812" t="s">
        <v>1445</v>
      </c>
      <c r="Z135" s="1082"/>
    </row>
    <row r="136" spans="1:40" hidden="1" outlineLevel="1" x14ac:dyDescent="0.3">
      <c r="A136" s="1070"/>
      <c r="B136" s="1070"/>
      <c r="C136" s="1070"/>
      <c r="D136" s="1070"/>
      <c r="E136" s="1070"/>
      <c r="F136" s="1070"/>
      <c r="G136" s="1070"/>
      <c r="H136" s="1800" t="s">
        <v>730</v>
      </c>
      <c r="I136" s="1801"/>
      <c r="J136" s="1801"/>
      <c r="K136" s="1813"/>
      <c r="L136" s="1814"/>
      <c r="M136" s="1070"/>
      <c r="N136" s="1070"/>
      <c r="O136" s="1434" t="s">
        <v>725</v>
      </c>
      <c r="P136" s="1435"/>
      <c r="Q136" s="1842"/>
      <c r="R136" s="1843"/>
      <c r="S136" s="1842"/>
      <c r="T136" s="1843"/>
      <c r="U136" s="1082"/>
      <c r="V136" s="1149" t="s">
        <v>757</v>
      </c>
      <c r="W136" s="1437"/>
      <c r="X136" s="1816" t="s">
        <v>1445</v>
      </c>
      <c r="Y136" s="1817" t="s">
        <v>1445</v>
      </c>
      <c r="Z136" s="1082"/>
    </row>
    <row r="137" spans="1:40" hidden="1" outlineLevel="1" x14ac:dyDescent="0.3">
      <c r="A137" s="1070"/>
      <c r="B137" s="1070"/>
      <c r="C137" s="1070"/>
      <c r="D137" s="1070"/>
      <c r="E137" s="1070"/>
      <c r="F137" s="1070"/>
      <c r="G137" s="1070"/>
      <c r="H137" s="1440" t="s">
        <v>1456</v>
      </c>
      <c r="I137" s="1441"/>
      <c r="J137" s="1441"/>
      <c r="K137" s="1809" t="s">
        <v>1445</v>
      </c>
      <c r="L137" s="1443" t="s">
        <v>1445</v>
      </c>
      <c r="M137" s="1070"/>
      <c r="N137" s="1070"/>
      <c r="O137" s="1422" t="s">
        <v>1348</v>
      </c>
      <c r="P137" s="1412"/>
      <c r="Q137" s="1844"/>
      <c r="R137" s="1845"/>
      <c r="S137" s="1070"/>
      <c r="T137" s="1070"/>
      <c r="U137" s="1082"/>
      <c r="V137" s="1149"/>
      <c r="W137" s="1437"/>
      <c r="X137" s="3182"/>
      <c r="Y137" s="3183"/>
      <c r="Z137" s="1082"/>
    </row>
    <row r="138" spans="1:40" hidden="1" outlineLevel="1" x14ac:dyDescent="0.3">
      <c r="A138" s="1070"/>
      <c r="B138" s="1070"/>
      <c r="C138" s="1070"/>
      <c r="D138" s="1070"/>
      <c r="E138" s="1070"/>
      <c r="F138" s="1070"/>
      <c r="G138" s="1070"/>
      <c r="H138" s="1800" t="s">
        <v>446</v>
      </c>
      <c r="I138" s="1801"/>
      <c r="J138" s="1801"/>
      <c r="K138" s="1813"/>
      <c r="L138" s="1814"/>
      <c r="M138" s="1070"/>
      <c r="N138" s="1070"/>
      <c r="O138" s="1434" t="s">
        <v>1349</v>
      </c>
      <c r="P138" s="1435"/>
      <c r="Q138" s="1846"/>
      <c r="R138" s="1847"/>
      <c r="S138" s="1070"/>
      <c r="T138" s="1070"/>
      <c r="U138" s="1082"/>
      <c r="V138" s="1149" t="s">
        <v>758</v>
      </c>
      <c r="W138" s="1437"/>
      <c r="X138" s="1811" t="s">
        <v>1445</v>
      </c>
      <c r="Y138" s="1812" t="s">
        <v>1445</v>
      </c>
      <c r="Z138" s="1082"/>
    </row>
    <row r="139" spans="1:40" hidden="1" outlineLevel="1" x14ac:dyDescent="0.3">
      <c r="A139" s="1070"/>
      <c r="B139" s="1070"/>
      <c r="C139" s="1070"/>
      <c r="D139" s="1070"/>
      <c r="E139" s="1070"/>
      <c r="F139" s="1070"/>
      <c r="G139" s="1070"/>
      <c r="H139" s="1440" t="s">
        <v>1456</v>
      </c>
      <c r="I139" s="1441"/>
      <c r="J139" s="1441"/>
      <c r="K139" s="1809" t="s">
        <v>1445</v>
      </c>
      <c r="L139" s="1443" t="s">
        <v>1445</v>
      </c>
      <c r="M139" s="1070"/>
      <c r="N139" s="1070"/>
      <c r="O139" s="1070"/>
      <c r="P139" s="1070"/>
      <c r="Q139" s="1070"/>
      <c r="R139" s="1070"/>
      <c r="S139" s="1070"/>
      <c r="T139" s="1070"/>
      <c r="U139" s="1082"/>
      <c r="V139" s="1149" t="s">
        <v>759</v>
      </c>
      <c r="W139" s="1437"/>
      <c r="X139" s="1811" t="s">
        <v>1445</v>
      </c>
      <c r="Y139" s="1812" t="s">
        <v>1445</v>
      </c>
      <c r="Z139" s="1082"/>
    </row>
    <row r="140" spans="1:40" hidden="1" outlineLevel="1" x14ac:dyDescent="0.3">
      <c r="A140" s="1070"/>
      <c r="B140" s="1070"/>
      <c r="C140" s="1070"/>
      <c r="D140" s="1070"/>
      <c r="E140" s="1070"/>
      <c r="F140" s="1070"/>
      <c r="G140" s="1070"/>
      <c r="H140" s="1800" t="s">
        <v>1305</v>
      </c>
      <c r="I140" s="1801"/>
      <c r="J140" s="1801"/>
      <c r="K140" s="1813"/>
      <c r="L140" s="1814"/>
      <c r="M140" s="1070"/>
      <c r="N140" s="1070"/>
      <c r="O140" s="1422" t="s">
        <v>1458</v>
      </c>
      <c r="P140" s="1186"/>
      <c r="Q140" s="3286"/>
      <c r="R140" s="3287"/>
      <c r="S140" s="1070"/>
      <c r="T140" s="1070"/>
      <c r="U140" s="1082"/>
      <c r="V140" s="1184" t="s">
        <v>1268</v>
      </c>
      <c r="W140" s="1459"/>
      <c r="X140" s="1816" t="s">
        <v>1445</v>
      </c>
      <c r="Y140" s="1817" t="s">
        <v>1445</v>
      </c>
      <c r="Z140" s="1082"/>
    </row>
    <row r="141" spans="1:40" hidden="1" outlineLevel="1" x14ac:dyDescent="0.3">
      <c r="A141" s="1070"/>
      <c r="B141" s="1070"/>
      <c r="C141" s="1070"/>
      <c r="D141" s="1070"/>
      <c r="E141" s="1070"/>
      <c r="F141" s="1070"/>
      <c r="G141" s="1070"/>
      <c r="H141" s="1465" t="s">
        <v>1456</v>
      </c>
      <c r="I141" s="1466"/>
      <c r="J141" s="1466"/>
      <c r="K141" s="1822" t="s">
        <v>1445</v>
      </c>
      <c r="L141" s="1448" t="s">
        <v>1445</v>
      </c>
      <c r="M141" s="1070"/>
      <c r="N141" s="1070"/>
      <c r="O141" s="1434" t="s">
        <v>3</v>
      </c>
      <c r="P141" s="1459"/>
      <c r="Q141" s="3288"/>
      <c r="R141" s="3289"/>
      <c r="S141" s="1070"/>
      <c r="T141" s="1070"/>
      <c r="U141" s="1082"/>
      <c r="V141" s="1082"/>
      <c r="W141" s="1082"/>
      <c r="X141" s="1082"/>
      <c r="Y141" s="1082"/>
      <c r="Z141" s="1082"/>
    </row>
    <row r="142" spans="1:40" hidden="1" outlineLevel="1" x14ac:dyDescent="0.3">
      <c r="A142" s="1070"/>
      <c r="B142" s="1070"/>
      <c r="C142" s="1070"/>
      <c r="D142" s="1070"/>
      <c r="E142" s="1070"/>
      <c r="F142" s="1070"/>
      <c r="G142" s="1070"/>
      <c r="H142" s="1070"/>
      <c r="I142" s="1070"/>
      <c r="J142" s="1070"/>
      <c r="K142" s="1070"/>
      <c r="L142" s="1070"/>
      <c r="M142" s="1070"/>
      <c r="N142" s="1070"/>
      <c r="O142" s="1070"/>
      <c r="P142" s="1070"/>
      <c r="Q142" s="1070"/>
      <c r="R142" s="1070"/>
      <c r="S142" s="1070"/>
      <c r="T142" s="1070"/>
      <c r="U142" s="1082"/>
      <c r="V142" s="1082"/>
      <c r="W142" s="1082"/>
      <c r="X142" s="1082"/>
      <c r="Y142" s="1082"/>
      <c r="Z142" s="1082"/>
    </row>
    <row r="143" spans="1:40" collapsed="1" x14ac:dyDescent="0.3">
      <c r="A143" s="1070"/>
      <c r="B143" s="1070"/>
      <c r="C143" s="1070"/>
      <c r="D143" s="1070"/>
      <c r="E143" s="1070"/>
      <c r="F143" s="1070"/>
      <c r="G143" s="1070"/>
      <c r="H143" s="1070"/>
      <c r="I143" s="1070"/>
      <c r="J143" s="1070"/>
      <c r="K143" s="1070"/>
      <c r="L143" s="1070"/>
      <c r="M143" s="1070"/>
      <c r="N143" s="1070"/>
      <c r="O143" s="1070"/>
      <c r="P143" s="1070"/>
      <c r="Q143" s="1070"/>
      <c r="R143" s="1070"/>
      <c r="S143" s="1070"/>
      <c r="T143" s="1070"/>
      <c r="U143" s="1082"/>
      <c r="V143" s="1082"/>
      <c r="W143" s="1082"/>
      <c r="X143" s="1082"/>
      <c r="Y143" s="1082"/>
      <c r="Z143" s="1082"/>
    </row>
    <row r="144" spans="1:40" s="1831" customFormat="1" ht="9.9" customHeight="1" x14ac:dyDescent="0.3">
      <c r="A144" s="1824"/>
      <c r="B144" s="1824"/>
      <c r="C144" s="1824"/>
      <c r="D144" s="1824"/>
      <c r="E144" s="1824"/>
      <c r="F144" s="1824"/>
      <c r="G144" s="1824"/>
      <c r="H144" s="1824"/>
      <c r="I144" s="1824"/>
      <c r="J144" s="1824"/>
      <c r="K144" s="1824"/>
      <c r="L144" s="1824"/>
      <c r="M144" s="1824"/>
      <c r="N144" s="1824"/>
      <c r="O144" s="1824"/>
      <c r="P144" s="1824"/>
      <c r="Q144" s="1824"/>
      <c r="R144" s="1824"/>
      <c r="S144" s="1824"/>
      <c r="T144" s="1824"/>
      <c r="U144" s="1824"/>
      <c r="V144" s="1824"/>
      <c r="W144" s="1824"/>
      <c r="X144" s="1824"/>
      <c r="Y144" s="1824"/>
      <c r="Z144" s="1824"/>
    </row>
    <row r="145" spans="1:42" s="1236" customFormat="1" x14ac:dyDescent="0.3">
      <c r="A145" s="1070"/>
      <c r="B145" s="1070"/>
      <c r="C145" s="1070"/>
      <c r="D145" s="1070"/>
      <c r="E145" s="1070"/>
      <c r="F145" s="1070"/>
      <c r="G145" s="1070"/>
      <c r="H145" s="1070"/>
      <c r="I145" s="1070"/>
      <c r="J145" s="1070"/>
      <c r="K145" s="1070"/>
      <c r="L145" s="1070"/>
      <c r="M145" s="1070"/>
      <c r="N145" s="1070"/>
      <c r="O145" s="1070"/>
      <c r="P145" s="1070"/>
      <c r="Q145" s="1070"/>
      <c r="R145" s="1070"/>
      <c r="S145" s="1070"/>
      <c r="T145" s="1070"/>
      <c r="U145" s="1082"/>
      <c r="V145" s="1082"/>
      <c r="W145" s="1082"/>
      <c r="X145" s="1082"/>
      <c r="Y145" s="1082"/>
      <c r="Z145" s="1082"/>
      <c r="AA145" s="1071"/>
      <c r="AB145" s="1071"/>
      <c r="AC145" s="1071"/>
      <c r="AD145" s="1071"/>
      <c r="AE145" s="1071"/>
      <c r="AF145" s="1071"/>
      <c r="AG145" s="1071"/>
      <c r="AH145" s="1071"/>
      <c r="AI145" s="1071"/>
      <c r="AJ145" s="1071"/>
      <c r="AK145" s="1071"/>
      <c r="AL145" s="1071"/>
      <c r="AM145" s="1071"/>
      <c r="AN145" s="1071"/>
      <c r="AO145" s="1071"/>
      <c r="AP145" s="1071"/>
    </row>
    <row r="146" spans="1:42" s="1236" customFormat="1" x14ac:dyDescent="0.3">
      <c r="A146" s="1070"/>
      <c r="B146" s="1077" t="s">
        <v>1268</v>
      </c>
      <c r="C146" s="1070"/>
      <c r="D146" s="1070"/>
      <c r="E146" s="1070"/>
      <c r="F146" s="1070"/>
      <c r="G146" s="1070"/>
      <c r="H146" s="1070"/>
      <c r="I146" s="1070"/>
      <c r="J146" s="1070"/>
      <c r="K146" s="1070"/>
      <c r="L146" s="1070"/>
      <c r="M146" s="1070"/>
      <c r="N146" s="1070"/>
      <c r="O146" s="1070"/>
      <c r="P146" s="1070"/>
      <c r="Q146" s="1070"/>
      <c r="R146" s="1070"/>
      <c r="S146" s="1070"/>
      <c r="T146" s="1070"/>
      <c r="U146" s="1070"/>
      <c r="V146" s="1070"/>
      <c r="W146" s="1070"/>
      <c r="X146" s="1070"/>
      <c r="Y146" s="1070"/>
      <c r="Z146" s="1070"/>
      <c r="AA146" s="1071"/>
      <c r="AB146" s="1071"/>
      <c r="AC146" s="1071"/>
      <c r="AD146" s="1071"/>
      <c r="AE146" s="1071"/>
      <c r="AF146" s="1071"/>
      <c r="AG146" s="1071"/>
      <c r="AH146" s="1071"/>
      <c r="AI146" s="1071"/>
      <c r="AJ146" s="1071"/>
      <c r="AK146" s="1071"/>
      <c r="AL146" s="1071"/>
      <c r="AM146" s="1071"/>
      <c r="AN146" s="1071"/>
      <c r="AO146" s="1071"/>
      <c r="AP146" s="1071"/>
    </row>
    <row r="147" spans="1:42" s="1236" customFormat="1" x14ac:dyDescent="0.3">
      <c r="A147" s="1070"/>
      <c r="B147" s="1734"/>
      <c r="C147" s="1070"/>
      <c r="D147" s="1070"/>
      <c r="E147" s="1070"/>
      <c r="F147" s="1070"/>
      <c r="G147" s="1070"/>
      <c r="H147" s="1070"/>
      <c r="I147" s="1070"/>
      <c r="J147" s="1070"/>
      <c r="K147" s="1070"/>
      <c r="L147" s="1070"/>
      <c r="M147" s="1070"/>
      <c r="N147" s="1070"/>
      <c r="O147" s="1070"/>
      <c r="P147" s="1070"/>
      <c r="Q147" s="1070"/>
      <c r="R147" s="1070"/>
      <c r="S147" s="1070"/>
      <c r="T147" s="1070"/>
      <c r="U147" s="1070"/>
      <c r="V147" s="1070"/>
      <c r="W147" s="1070"/>
      <c r="X147" s="1070"/>
      <c r="Y147" s="1070"/>
      <c r="Z147" s="1070"/>
      <c r="AA147" s="1071"/>
      <c r="AB147" s="1071"/>
      <c r="AC147" s="1071"/>
      <c r="AD147" s="1071"/>
      <c r="AE147" s="1071"/>
      <c r="AF147" s="1071"/>
      <c r="AG147" s="1071"/>
      <c r="AH147" s="1071"/>
      <c r="AI147" s="1071"/>
      <c r="AJ147" s="1071"/>
      <c r="AK147" s="1071"/>
      <c r="AL147" s="1071"/>
      <c r="AM147" s="1071"/>
      <c r="AN147" s="1071"/>
      <c r="AO147" s="1071"/>
      <c r="AP147" s="1071"/>
    </row>
    <row r="148" spans="1:42" s="1236" customFormat="1" hidden="1" outlineLevel="1" x14ac:dyDescent="0.3">
      <c r="A148" s="1082"/>
      <c r="B148" s="1734" t="s">
        <v>1442</v>
      </c>
      <c r="C148" s="1070"/>
      <c r="D148" s="1070"/>
      <c r="E148" s="1070"/>
      <c r="F148" s="1070"/>
      <c r="G148" s="1070"/>
      <c r="H148" s="1070"/>
      <c r="I148" s="1070"/>
      <c r="J148" s="1070"/>
      <c r="K148" s="1070"/>
      <c r="L148" s="1070"/>
      <c r="M148" s="1070"/>
      <c r="N148" s="1070"/>
      <c r="O148" s="1070"/>
      <c r="P148" s="1070"/>
      <c r="Q148" s="1070"/>
      <c r="R148" s="1070"/>
      <c r="S148" s="1070"/>
      <c r="T148" s="1070"/>
      <c r="U148" s="1070"/>
      <c r="V148" s="1070"/>
      <c r="W148" s="1070"/>
      <c r="X148" s="1070"/>
      <c r="Y148" s="1070"/>
      <c r="Z148" s="1070"/>
      <c r="AA148" s="1071"/>
      <c r="AB148" s="1071"/>
      <c r="AC148" s="1071"/>
      <c r="AD148" s="1071"/>
      <c r="AE148" s="1071"/>
      <c r="AF148" s="1071"/>
      <c r="AG148" s="1071"/>
      <c r="AH148" s="1071"/>
      <c r="AI148" s="1071"/>
      <c r="AJ148" s="1071"/>
      <c r="AK148" s="1071"/>
      <c r="AL148" s="1071"/>
      <c r="AM148" s="1071"/>
      <c r="AN148" s="1071"/>
      <c r="AO148" s="1071"/>
      <c r="AP148" s="1071"/>
    </row>
    <row r="149" spans="1:42" s="1236" customFormat="1" hidden="1" outlineLevel="1" x14ac:dyDescent="0.3">
      <c r="A149" s="1082"/>
      <c r="B149" s="1070"/>
      <c r="C149" s="1070"/>
      <c r="D149" s="1739" t="s">
        <v>1432</v>
      </c>
      <c r="E149" s="1740" t="s">
        <v>682</v>
      </c>
      <c r="F149" s="1070"/>
      <c r="G149" s="1070"/>
      <c r="H149" s="1070"/>
      <c r="I149" s="1070"/>
      <c r="J149" s="1070"/>
      <c r="K149" s="1070"/>
      <c r="L149" s="1070"/>
      <c r="M149" s="1070"/>
      <c r="N149" s="1070"/>
      <c r="O149" s="1070"/>
      <c r="P149" s="1070"/>
      <c r="Q149" s="1070"/>
      <c r="R149" s="1070"/>
      <c r="S149" s="1070"/>
      <c r="T149" s="1070"/>
      <c r="U149" s="1070"/>
      <c r="V149" s="1070"/>
      <c r="W149" s="1070"/>
      <c r="X149" s="1070"/>
      <c r="Y149" s="1070"/>
      <c r="Z149" s="1070"/>
      <c r="AA149" s="1071"/>
      <c r="AB149" s="1071"/>
      <c r="AC149" s="1071"/>
      <c r="AD149" s="1071"/>
      <c r="AE149" s="1071"/>
      <c r="AF149" s="1071"/>
      <c r="AG149" s="1071"/>
      <c r="AH149" s="1071"/>
      <c r="AI149" s="1071"/>
      <c r="AJ149" s="1071"/>
      <c r="AK149" s="1071"/>
      <c r="AL149" s="1071"/>
      <c r="AM149" s="1071"/>
      <c r="AN149" s="1071"/>
      <c r="AO149" s="1071"/>
      <c r="AP149" s="1071"/>
    </row>
    <row r="150" spans="1:42" s="1236" customFormat="1" hidden="1" outlineLevel="1" x14ac:dyDescent="0.3">
      <c r="A150" s="1082"/>
      <c r="B150" s="1164" t="s">
        <v>1470</v>
      </c>
      <c r="C150" s="1146"/>
      <c r="D150" s="1743" t="s">
        <v>1445</v>
      </c>
      <c r="E150" s="1744" t="s">
        <v>1445</v>
      </c>
      <c r="F150" s="1070"/>
      <c r="G150" s="1153" t="s">
        <v>1471</v>
      </c>
      <c r="H150" s="1070"/>
      <c r="I150" s="1070"/>
      <c r="J150" s="1070"/>
      <c r="K150" s="1070"/>
      <c r="L150" s="1070"/>
      <c r="M150" s="1070"/>
      <c r="N150" s="1070"/>
      <c r="O150" s="1070"/>
      <c r="P150" s="1070"/>
      <c r="Q150" s="1070"/>
      <c r="R150" s="1070"/>
      <c r="S150" s="1070"/>
      <c r="T150" s="1070"/>
      <c r="U150" s="1070"/>
      <c r="V150" s="1070"/>
      <c r="W150" s="1070"/>
      <c r="X150" s="1070"/>
      <c r="Y150" s="1070"/>
      <c r="Z150" s="1070"/>
      <c r="AA150" s="1071"/>
      <c r="AB150" s="1071"/>
      <c r="AC150" s="1071"/>
      <c r="AD150" s="1071"/>
      <c r="AE150" s="1071"/>
      <c r="AF150" s="1071"/>
      <c r="AG150" s="1071"/>
      <c r="AH150" s="1071"/>
      <c r="AI150" s="1071"/>
      <c r="AJ150" s="1071"/>
      <c r="AK150" s="1071"/>
      <c r="AL150" s="1071"/>
      <c r="AM150" s="1071"/>
      <c r="AN150" s="1071"/>
      <c r="AO150" s="1071"/>
      <c r="AP150" s="1071"/>
    </row>
    <row r="151" spans="1:42" s="1236" customFormat="1" hidden="1" outlineLevel="1" x14ac:dyDescent="0.3">
      <c r="A151" s="1082"/>
      <c r="B151" s="1070"/>
      <c r="C151" s="1070"/>
      <c r="D151" s="1070"/>
      <c r="E151" s="1070"/>
      <c r="F151" s="1070"/>
      <c r="G151" s="1070"/>
      <c r="H151" s="1070"/>
      <c r="I151" s="1070"/>
      <c r="J151" s="1070"/>
      <c r="K151" s="1070"/>
      <c r="L151" s="1070"/>
      <c r="M151" s="1070"/>
      <c r="N151" s="1070"/>
      <c r="O151" s="1070"/>
      <c r="P151" s="1070"/>
      <c r="Q151" s="1070"/>
      <c r="R151" s="1070"/>
      <c r="S151" s="1070"/>
      <c r="T151" s="1070"/>
      <c r="U151" s="1070"/>
      <c r="V151" s="1070"/>
      <c r="W151" s="1070"/>
      <c r="X151" s="1070"/>
      <c r="Y151" s="1070"/>
      <c r="Z151" s="1070"/>
      <c r="AA151" s="1071"/>
      <c r="AB151" s="1071"/>
      <c r="AC151" s="1071"/>
      <c r="AD151" s="1071"/>
      <c r="AE151" s="1071"/>
      <c r="AF151" s="1071"/>
      <c r="AG151" s="1071"/>
      <c r="AH151" s="1071"/>
      <c r="AI151" s="1071"/>
      <c r="AJ151" s="1071"/>
      <c r="AK151" s="1071"/>
      <c r="AL151" s="1071"/>
      <c r="AM151" s="1071"/>
      <c r="AN151" s="1071"/>
      <c r="AO151" s="1071"/>
      <c r="AP151" s="1071"/>
    </row>
    <row r="152" spans="1:42" s="1236" customFormat="1" hidden="1" outlineLevel="1" x14ac:dyDescent="0.3">
      <c r="A152" s="1082"/>
      <c r="B152" s="1070"/>
      <c r="C152" s="1070"/>
      <c r="D152" s="1070"/>
      <c r="E152" s="1070"/>
      <c r="F152" s="1070"/>
      <c r="G152" s="1070"/>
      <c r="H152" s="1070"/>
      <c r="I152" s="1070"/>
      <c r="J152" s="1070"/>
      <c r="K152" s="1070"/>
      <c r="L152" s="1070"/>
      <c r="M152" s="1070"/>
      <c r="N152" s="1070"/>
      <c r="O152" s="1070"/>
      <c r="P152" s="1070"/>
      <c r="Q152" s="1070"/>
      <c r="R152" s="1070"/>
      <c r="S152" s="1070"/>
      <c r="T152" s="1070"/>
      <c r="U152" s="1070"/>
      <c r="V152" s="1070"/>
      <c r="W152" s="1070"/>
      <c r="X152" s="1070"/>
      <c r="Y152" s="1070"/>
      <c r="Z152" s="1070"/>
      <c r="AA152" s="1070"/>
      <c r="AB152" s="1070"/>
      <c r="AC152" s="1070"/>
      <c r="AD152" s="1070"/>
      <c r="AE152" s="1070"/>
      <c r="AF152" s="1070"/>
      <c r="AG152" s="1070"/>
      <c r="AH152" s="1070"/>
      <c r="AI152" s="1070"/>
      <c r="AJ152" s="1070"/>
      <c r="AK152" s="1070"/>
      <c r="AL152" s="1070"/>
      <c r="AM152" s="1070"/>
      <c r="AN152" s="1070"/>
      <c r="AO152" s="1071"/>
      <c r="AP152" s="1071"/>
    </row>
    <row r="153" spans="1:42" s="1236" customFormat="1" ht="36" hidden="1" outlineLevel="1" x14ac:dyDescent="0.3">
      <c r="A153" s="1082"/>
      <c r="B153" s="1240"/>
      <c r="C153" s="1241"/>
      <c r="D153" s="1241"/>
      <c r="E153" s="1241"/>
      <c r="F153" s="1746" t="s">
        <v>739</v>
      </c>
      <c r="G153" s="1746" t="s">
        <v>1461</v>
      </c>
      <c r="H153" s="1746" t="s">
        <v>1461</v>
      </c>
      <c r="I153" s="1746" t="s">
        <v>1461</v>
      </c>
      <c r="J153" s="1746" t="s">
        <v>1461</v>
      </c>
      <c r="K153" s="1747" t="s">
        <v>1461</v>
      </c>
      <c r="L153" s="1747" t="s">
        <v>1461</v>
      </c>
      <c r="M153" s="1747" t="s">
        <v>1461</v>
      </c>
      <c r="N153" s="1747" t="s">
        <v>1461</v>
      </c>
      <c r="O153" s="1747" t="s">
        <v>1461</v>
      </c>
      <c r="P153" s="1747" t="s">
        <v>1461</v>
      </c>
      <c r="Q153" s="1747" t="s">
        <v>1461</v>
      </c>
      <c r="R153" s="1747" t="s">
        <v>1461</v>
      </c>
      <c r="S153" s="1747" t="s">
        <v>1461</v>
      </c>
      <c r="T153" s="1747" t="s">
        <v>1461</v>
      </c>
      <c r="U153" s="1747" t="s">
        <v>1461</v>
      </c>
      <c r="V153" s="1747" t="s">
        <v>1461</v>
      </c>
      <c r="W153" s="1747" t="s">
        <v>1461</v>
      </c>
      <c r="X153" s="1747" t="s">
        <v>1461</v>
      </c>
      <c r="Y153" s="1747" t="s">
        <v>1461</v>
      </c>
      <c r="Z153" s="1747" t="s">
        <v>1461</v>
      </c>
      <c r="AA153" s="1747" t="s">
        <v>1461</v>
      </c>
      <c r="AB153" s="1747" t="s">
        <v>1461</v>
      </c>
      <c r="AC153" s="1747" t="s">
        <v>1461</v>
      </c>
      <c r="AD153" s="1747" t="s">
        <v>1461</v>
      </c>
      <c r="AE153" s="1747" t="s">
        <v>1461</v>
      </c>
      <c r="AF153" s="1747" t="s">
        <v>1461</v>
      </c>
      <c r="AG153" s="1747" t="s">
        <v>1461</v>
      </c>
      <c r="AH153" s="1747" t="s">
        <v>1461</v>
      </c>
      <c r="AI153" s="1747" t="s">
        <v>1461</v>
      </c>
      <c r="AJ153" s="1748" t="s">
        <v>1316</v>
      </c>
      <c r="AK153" s="1749" t="s">
        <v>1315</v>
      </c>
      <c r="AL153" s="1750"/>
      <c r="AM153" s="1746" t="s">
        <v>1316</v>
      </c>
      <c r="AN153" s="1070"/>
      <c r="AO153" s="1071"/>
      <c r="AP153" s="1071"/>
    </row>
    <row r="154" spans="1:42" s="1236" customFormat="1" hidden="1" outlineLevel="1" x14ac:dyDescent="0.3">
      <c r="A154" s="1082"/>
      <c r="B154" s="1149"/>
      <c r="C154" s="1142"/>
      <c r="D154" s="1142"/>
      <c r="E154" s="1142"/>
      <c r="F154" s="1753"/>
      <c r="G154" s="1754"/>
      <c r="H154" s="1754"/>
      <c r="I154" s="1754"/>
      <c r="J154" s="1754"/>
      <c r="K154" s="1754"/>
      <c r="L154" s="1754"/>
      <c r="M154" s="1754"/>
      <c r="N154" s="1755"/>
      <c r="O154" s="1756"/>
      <c r="P154" s="1756"/>
      <c r="Q154" s="1756"/>
      <c r="R154" s="1756"/>
      <c r="S154" s="1756"/>
      <c r="T154" s="1756"/>
      <c r="U154" s="1756"/>
      <c r="V154" s="1756"/>
      <c r="W154" s="1756"/>
      <c r="X154" s="1756"/>
      <c r="Y154" s="1756"/>
      <c r="Z154" s="1756"/>
      <c r="AA154" s="1756"/>
      <c r="AB154" s="1756"/>
      <c r="AC154" s="1756"/>
      <c r="AD154" s="1756"/>
      <c r="AE154" s="1756"/>
      <c r="AF154" s="1756"/>
      <c r="AG154" s="1756"/>
      <c r="AH154" s="1756"/>
      <c r="AI154" s="1756"/>
      <c r="AJ154" s="1251"/>
      <c r="AK154" s="1252"/>
      <c r="AL154" s="1757"/>
      <c r="AM154" s="1071"/>
      <c r="AN154" s="1070"/>
      <c r="AO154" s="1071"/>
      <c r="AP154" s="1071"/>
    </row>
    <row r="155" spans="1:42" s="1236" customFormat="1" ht="18" hidden="1" outlineLevel="1" x14ac:dyDescent="0.3">
      <c r="A155" s="1082"/>
      <c r="B155" s="1253" t="s">
        <v>784</v>
      </c>
      <c r="C155" s="1254"/>
      <c r="D155" s="1254"/>
      <c r="E155" s="1255"/>
      <c r="F155" s="1261">
        <v>0</v>
      </c>
      <c r="G155" s="1263">
        <v>0</v>
      </c>
      <c r="H155" s="1262">
        <v>0</v>
      </c>
      <c r="I155" s="1262">
        <v>0</v>
      </c>
      <c r="J155" s="1262">
        <v>0</v>
      </c>
      <c r="K155" s="1262">
        <v>0</v>
      </c>
      <c r="L155" s="1262">
        <v>0</v>
      </c>
      <c r="M155" s="1262">
        <v>0</v>
      </c>
      <c r="N155" s="1262">
        <v>0</v>
      </c>
      <c r="O155" s="1262">
        <v>0</v>
      </c>
      <c r="P155" s="1262">
        <v>0</v>
      </c>
      <c r="Q155" s="1262">
        <v>0</v>
      </c>
      <c r="R155" s="1262">
        <v>0</v>
      </c>
      <c r="S155" s="1262">
        <v>0</v>
      </c>
      <c r="T155" s="1262">
        <v>0</v>
      </c>
      <c r="U155" s="1262">
        <v>0</v>
      </c>
      <c r="V155" s="1262">
        <v>0</v>
      </c>
      <c r="W155" s="1262">
        <v>0</v>
      </c>
      <c r="X155" s="1262">
        <v>0</v>
      </c>
      <c r="Y155" s="1262">
        <v>0</v>
      </c>
      <c r="Z155" s="1262">
        <v>0</v>
      </c>
      <c r="AA155" s="1262">
        <v>0</v>
      </c>
      <c r="AB155" s="1262">
        <v>0</v>
      </c>
      <c r="AC155" s="1262">
        <v>0</v>
      </c>
      <c r="AD155" s="1262">
        <v>0</v>
      </c>
      <c r="AE155" s="1262">
        <v>0</v>
      </c>
      <c r="AF155" s="1262">
        <v>0</v>
      </c>
      <c r="AG155" s="1262">
        <v>0</v>
      </c>
      <c r="AH155" s="1262">
        <v>0</v>
      </c>
      <c r="AI155" s="1262">
        <v>0</v>
      </c>
      <c r="AJ155" s="1263">
        <v>0</v>
      </c>
      <c r="AK155" s="1264"/>
      <c r="AL155" s="1761"/>
      <c r="AM155" s="1261">
        <v>0</v>
      </c>
      <c r="AN155" s="1070"/>
      <c r="AO155" s="1071"/>
      <c r="AP155" s="1071"/>
    </row>
    <row r="156" spans="1:42" s="1236" customFormat="1" hidden="1" outlineLevel="1" x14ac:dyDescent="0.3">
      <c r="A156" s="1082"/>
      <c r="B156" s="1266" t="s">
        <v>1317</v>
      </c>
      <c r="C156" s="1267"/>
      <c r="D156" s="1267"/>
      <c r="E156" s="1267"/>
      <c r="F156" s="1274"/>
      <c r="G156" s="1276">
        <v>0</v>
      </c>
      <c r="H156" s="1275">
        <v>0</v>
      </c>
      <c r="I156" s="1275">
        <v>0</v>
      </c>
      <c r="J156" s="1275">
        <v>0</v>
      </c>
      <c r="K156" s="1275">
        <v>0</v>
      </c>
      <c r="L156" s="1275">
        <v>0</v>
      </c>
      <c r="M156" s="1275">
        <v>0</v>
      </c>
      <c r="N156" s="1275">
        <v>0</v>
      </c>
      <c r="O156" s="1275">
        <v>0</v>
      </c>
      <c r="P156" s="1275">
        <v>0</v>
      </c>
      <c r="Q156" s="1275">
        <v>0</v>
      </c>
      <c r="R156" s="1275">
        <v>0</v>
      </c>
      <c r="S156" s="1275">
        <v>0</v>
      </c>
      <c r="T156" s="1275">
        <v>0</v>
      </c>
      <c r="U156" s="1275">
        <v>0</v>
      </c>
      <c r="V156" s="1275">
        <v>0</v>
      </c>
      <c r="W156" s="1275">
        <v>0</v>
      </c>
      <c r="X156" s="1275">
        <v>0</v>
      </c>
      <c r="Y156" s="1275">
        <v>0</v>
      </c>
      <c r="Z156" s="1275">
        <v>0</v>
      </c>
      <c r="AA156" s="1275">
        <v>0</v>
      </c>
      <c r="AB156" s="1275">
        <v>0</v>
      </c>
      <c r="AC156" s="1275">
        <v>0</v>
      </c>
      <c r="AD156" s="1275">
        <v>0</v>
      </c>
      <c r="AE156" s="1275">
        <v>0</v>
      </c>
      <c r="AF156" s="1275">
        <v>0</v>
      </c>
      <c r="AG156" s="1275">
        <v>0</v>
      </c>
      <c r="AH156" s="1275">
        <v>0</v>
      </c>
      <c r="AI156" s="1275">
        <v>0</v>
      </c>
      <c r="AJ156" s="1276">
        <v>0</v>
      </c>
      <c r="AK156" s="1277" t="s">
        <v>1318</v>
      </c>
      <c r="AL156" s="1762"/>
      <c r="AM156" s="1279"/>
      <c r="AN156" s="1070"/>
      <c r="AO156" s="1071"/>
      <c r="AP156" s="1071"/>
    </row>
    <row r="157" spans="1:42" s="1236" customFormat="1" hidden="1" outlineLevel="1" x14ac:dyDescent="0.3">
      <c r="A157" s="1082"/>
      <c r="B157" s="1266" t="s">
        <v>1319</v>
      </c>
      <c r="C157" s="1766" t="s">
        <v>1449</v>
      </c>
      <c r="D157" s="1767"/>
      <c r="E157" s="1267"/>
      <c r="F157" s="1274"/>
      <c r="G157" s="1276">
        <v>0</v>
      </c>
      <c r="H157" s="1275">
        <v>0</v>
      </c>
      <c r="I157" s="1275">
        <v>0</v>
      </c>
      <c r="J157" s="1275">
        <v>0</v>
      </c>
      <c r="K157" s="1275">
        <v>0</v>
      </c>
      <c r="L157" s="1275">
        <v>0</v>
      </c>
      <c r="M157" s="1275">
        <v>0</v>
      </c>
      <c r="N157" s="1275">
        <v>0</v>
      </c>
      <c r="O157" s="1275">
        <v>0</v>
      </c>
      <c r="P157" s="1275">
        <v>0</v>
      </c>
      <c r="Q157" s="1275">
        <v>0</v>
      </c>
      <c r="R157" s="1275">
        <v>0</v>
      </c>
      <c r="S157" s="1275">
        <v>0</v>
      </c>
      <c r="T157" s="1275">
        <v>0</v>
      </c>
      <c r="U157" s="1275">
        <v>0</v>
      </c>
      <c r="V157" s="1275">
        <v>0</v>
      </c>
      <c r="W157" s="1275">
        <v>0</v>
      </c>
      <c r="X157" s="1275">
        <v>0</v>
      </c>
      <c r="Y157" s="1275">
        <v>0</v>
      </c>
      <c r="Z157" s="1275">
        <v>0</v>
      </c>
      <c r="AA157" s="1275">
        <v>0</v>
      </c>
      <c r="AB157" s="1275">
        <v>0</v>
      </c>
      <c r="AC157" s="1275">
        <v>0</v>
      </c>
      <c r="AD157" s="1275">
        <v>0</v>
      </c>
      <c r="AE157" s="1275">
        <v>0</v>
      </c>
      <c r="AF157" s="1275">
        <v>0</v>
      </c>
      <c r="AG157" s="1275">
        <v>0</v>
      </c>
      <c r="AH157" s="1275">
        <v>0</v>
      </c>
      <c r="AI157" s="1275">
        <v>0</v>
      </c>
      <c r="AJ157" s="1276">
        <v>0</v>
      </c>
      <c r="AK157" s="1277"/>
      <c r="AL157" s="1762"/>
      <c r="AM157" s="1279"/>
      <c r="AN157" s="1070"/>
      <c r="AO157" s="1071"/>
      <c r="AP157" s="1071"/>
    </row>
    <row r="158" spans="1:42" s="1236" customFormat="1" ht="18" hidden="1" outlineLevel="1" x14ac:dyDescent="0.3">
      <c r="A158" s="1082"/>
      <c r="B158" s="1283" t="s">
        <v>1320</v>
      </c>
      <c r="C158" s="1284"/>
      <c r="D158" s="1284"/>
      <c r="E158" s="1286"/>
      <c r="F158" s="1292"/>
      <c r="G158" s="1768">
        <v>0</v>
      </c>
      <c r="H158" s="1769">
        <v>0</v>
      </c>
      <c r="I158" s="1769">
        <v>0</v>
      </c>
      <c r="J158" s="1769">
        <v>0</v>
      </c>
      <c r="K158" s="1769">
        <v>0</v>
      </c>
      <c r="L158" s="1769">
        <v>0</v>
      </c>
      <c r="M158" s="1769">
        <v>0</v>
      </c>
      <c r="N158" s="1769">
        <v>0</v>
      </c>
      <c r="O158" s="1769">
        <v>0</v>
      </c>
      <c r="P158" s="1769">
        <v>0</v>
      </c>
      <c r="Q158" s="1769">
        <v>0</v>
      </c>
      <c r="R158" s="1769">
        <v>0</v>
      </c>
      <c r="S158" s="1769">
        <v>0</v>
      </c>
      <c r="T158" s="1769">
        <v>0</v>
      </c>
      <c r="U158" s="1769">
        <v>0</v>
      </c>
      <c r="V158" s="1769">
        <v>0</v>
      </c>
      <c r="W158" s="1769">
        <v>0</v>
      </c>
      <c r="X158" s="1769">
        <v>0</v>
      </c>
      <c r="Y158" s="1769">
        <v>0</v>
      </c>
      <c r="Z158" s="1769">
        <v>0</v>
      </c>
      <c r="AA158" s="1769">
        <v>0</v>
      </c>
      <c r="AB158" s="1769">
        <v>0</v>
      </c>
      <c r="AC158" s="1769">
        <v>0</v>
      </c>
      <c r="AD158" s="1769">
        <v>0</v>
      </c>
      <c r="AE158" s="1769">
        <v>0</v>
      </c>
      <c r="AF158" s="1769">
        <v>0</v>
      </c>
      <c r="AG158" s="1769">
        <v>0</v>
      </c>
      <c r="AH158" s="1769">
        <v>0</v>
      </c>
      <c r="AI158" s="1769">
        <v>0</v>
      </c>
      <c r="AJ158" s="1768">
        <v>0</v>
      </c>
      <c r="AK158" s="1295"/>
      <c r="AL158" s="1761"/>
      <c r="AM158" s="1296">
        <v>0</v>
      </c>
      <c r="AN158" s="1070"/>
      <c r="AO158" s="1071"/>
      <c r="AP158" s="1071"/>
    </row>
    <row r="159" spans="1:42" s="1236" customFormat="1" ht="18" hidden="1" outlineLevel="1" x14ac:dyDescent="0.3">
      <c r="A159" s="1082"/>
      <c r="B159" s="1297" t="s">
        <v>1321</v>
      </c>
      <c r="C159" s="1298"/>
      <c r="D159" s="1298"/>
      <c r="E159" s="1298"/>
      <c r="F159" s="1304">
        <v>0</v>
      </c>
      <c r="G159" s="1306">
        <v>0</v>
      </c>
      <c r="H159" s="1305">
        <v>0</v>
      </c>
      <c r="I159" s="1305">
        <v>0</v>
      </c>
      <c r="J159" s="1305">
        <v>0</v>
      </c>
      <c r="K159" s="1305">
        <v>0</v>
      </c>
      <c r="L159" s="1305">
        <v>0</v>
      </c>
      <c r="M159" s="1305">
        <v>0</v>
      </c>
      <c r="N159" s="1305">
        <v>0</v>
      </c>
      <c r="O159" s="1305">
        <v>0</v>
      </c>
      <c r="P159" s="1305">
        <v>0</v>
      </c>
      <c r="Q159" s="1305">
        <v>0</v>
      </c>
      <c r="R159" s="1305">
        <v>0</v>
      </c>
      <c r="S159" s="1305">
        <v>0</v>
      </c>
      <c r="T159" s="1305">
        <v>0</v>
      </c>
      <c r="U159" s="1305">
        <v>0</v>
      </c>
      <c r="V159" s="1305">
        <v>0</v>
      </c>
      <c r="W159" s="1305">
        <v>0</v>
      </c>
      <c r="X159" s="1305">
        <v>0</v>
      </c>
      <c r="Y159" s="1305">
        <v>0</v>
      </c>
      <c r="Z159" s="1305">
        <v>0</v>
      </c>
      <c r="AA159" s="1305">
        <v>0</v>
      </c>
      <c r="AB159" s="1305">
        <v>0</v>
      </c>
      <c r="AC159" s="1305">
        <v>0</v>
      </c>
      <c r="AD159" s="1305">
        <v>0</v>
      </c>
      <c r="AE159" s="1305">
        <v>0</v>
      </c>
      <c r="AF159" s="1305">
        <v>0</v>
      </c>
      <c r="AG159" s="1305">
        <v>0</v>
      </c>
      <c r="AH159" s="1305">
        <v>0</v>
      </c>
      <c r="AI159" s="1305">
        <v>0</v>
      </c>
      <c r="AJ159" s="1306">
        <v>0</v>
      </c>
      <c r="AK159" s="1307">
        <v>0</v>
      </c>
      <c r="AL159" s="1770"/>
      <c r="AM159" s="1304">
        <v>0</v>
      </c>
      <c r="AN159" s="1070"/>
      <c r="AO159" s="1071"/>
      <c r="AP159" s="1071"/>
    </row>
    <row r="160" spans="1:42" s="1236" customFormat="1" ht="18" hidden="1" outlineLevel="1" x14ac:dyDescent="0.3">
      <c r="A160" s="1082"/>
      <c r="B160" s="1297" t="s">
        <v>1322</v>
      </c>
      <c r="C160" s="1298"/>
      <c r="D160" s="1298"/>
      <c r="E160" s="1298"/>
      <c r="F160" s="1304">
        <v>0</v>
      </c>
      <c r="G160" s="1306">
        <v>0</v>
      </c>
      <c r="H160" s="1305">
        <v>0</v>
      </c>
      <c r="I160" s="1305">
        <v>0</v>
      </c>
      <c r="J160" s="1305">
        <v>0</v>
      </c>
      <c r="K160" s="1305">
        <v>0</v>
      </c>
      <c r="L160" s="1305">
        <v>0</v>
      </c>
      <c r="M160" s="1305">
        <v>0</v>
      </c>
      <c r="N160" s="1305">
        <v>0</v>
      </c>
      <c r="O160" s="1305">
        <v>0</v>
      </c>
      <c r="P160" s="1305">
        <v>0</v>
      </c>
      <c r="Q160" s="1305">
        <v>0</v>
      </c>
      <c r="R160" s="1305">
        <v>0</v>
      </c>
      <c r="S160" s="1305">
        <v>0</v>
      </c>
      <c r="T160" s="1305">
        <v>0</v>
      </c>
      <c r="U160" s="1305">
        <v>0</v>
      </c>
      <c r="V160" s="1305">
        <v>0</v>
      </c>
      <c r="W160" s="1305">
        <v>0</v>
      </c>
      <c r="X160" s="1305">
        <v>0</v>
      </c>
      <c r="Y160" s="1305">
        <v>0</v>
      </c>
      <c r="Z160" s="1305">
        <v>0</v>
      </c>
      <c r="AA160" s="1305">
        <v>0</v>
      </c>
      <c r="AB160" s="1305">
        <v>0</v>
      </c>
      <c r="AC160" s="1305">
        <v>0</v>
      </c>
      <c r="AD160" s="1305">
        <v>0</v>
      </c>
      <c r="AE160" s="1305">
        <v>0</v>
      </c>
      <c r="AF160" s="1305">
        <v>0</v>
      </c>
      <c r="AG160" s="1305">
        <v>0</v>
      </c>
      <c r="AH160" s="1305">
        <v>0</v>
      </c>
      <c r="AI160" s="1305">
        <v>0</v>
      </c>
      <c r="AJ160" s="1306">
        <v>0</v>
      </c>
      <c r="AK160" s="1307">
        <v>0</v>
      </c>
      <c r="AL160" s="1770"/>
      <c r="AM160" s="1304">
        <v>0</v>
      </c>
      <c r="AN160" s="1070"/>
      <c r="AO160" s="1071"/>
      <c r="AP160" s="1071"/>
    </row>
    <row r="161" spans="1:42" s="1236" customFormat="1" ht="18" hidden="1" outlineLevel="1" x14ac:dyDescent="0.3">
      <c r="A161" s="1082"/>
      <c r="B161" s="1308" t="s">
        <v>286</v>
      </c>
      <c r="C161" s="1309"/>
      <c r="D161" s="1309"/>
      <c r="E161" s="1309"/>
      <c r="F161" s="1315">
        <v>0</v>
      </c>
      <c r="G161" s="1317">
        <v>0</v>
      </c>
      <c r="H161" s="1316">
        <v>0</v>
      </c>
      <c r="I161" s="1316">
        <v>0</v>
      </c>
      <c r="J161" s="1316">
        <v>0</v>
      </c>
      <c r="K161" s="1316">
        <v>0</v>
      </c>
      <c r="L161" s="1316">
        <v>0</v>
      </c>
      <c r="M161" s="1316">
        <v>0</v>
      </c>
      <c r="N161" s="1316">
        <v>0</v>
      </c>
      <c r="O161" s="1316">
        <v>0</v>
      </c>
      <c r="P161" s="1316">
        <v>0</v>
      </c>
      <c r="Q161" s="1316">
        <v>0</v>
      </c>
      <c r="R161" s="1316">
        <v>0</v>
      </c>
      <c r="S161" s="1316">
        <v>0</v>
      </c>
      <c r="T161" s="1316">
        <v>0</v>
      </c>
      <c r="U161" s="1316">
        <v>0</v>
      </c>
      <c r="V161" s="1316">
        <v>0</v>
      </c>
      <c r="W161" s="1316">
        <v>0</v>
      </c>
      <c r="X161" s="1316">
        <v>0</v>
      </c>
      <c r="Y161" s="1316">
        <v>0</v>
      </c>
      <c r="Z161" s="1316">
        <v>0</v>
      </c>
      <c r="AA161" s="1316">
        <v>0</v>
      </c>
      <c r="AB161" s="1316">
        <v>0</v>
      </c>
      <c r="AC161" s="1316">
        <v>0</v>
      </c>
      <c r="AD161" s="1316">
        <v>0</v>
      </c>
      <c r="AE161" s="1316">
        <v>0</v>
      </c>
      <c r="AF161" s="1316">
        <v>0</v>
      </c>
      <c r="AG161" s="1316">
        <v>0</v>
      </c>
      <c r="AH161" s="1316">
        <v>0</v>
      </c>
      <c r="AI161" s="1316">
        <v>0</v>
      </c>
      <c r="AJ161" s="1317">
        <v>0</v>
      </c>
      <c r="AK161" s="1318"/>
      <c r="AL161" s="1761"/>
      <c r="AM161" s="1315">
        <v>0</v>
      </c>
      <c r="AN161" s="1070"/>
      <c r="AO161" s="1071"/>
      <c r="AP161" s="1071"/>
    </row>
    <row r="162" spans="1:42" s="1236" customFormat="1" hidden="1" outlineLevel="1" x14ac:dyDescent="0.3">
      <c r="A162" s="1082"/>
      <c r="B162" s="1320"/>
      <c r="C162" s="1321" t="s">
        <v>1323</v>
      </c>
      <c r="D162" s="1321"/>
      <c r="E162" s="1323"/>
      <c r="F162" s="1330"/>
      <c r="G162" s="1332">
        <v>0</v>
      </c>
      <c r="H162" s="1331">
        <v>0</v>
      </c>
      <c r="I162" s="1331">
        <v>0</v>
      </c>
      <c r="J162" s="1331">
        <v>0</v>
      </c>
      <c r="K162" s="1331">
        <v>0</v>
      </c>
      <c r="L162" s="1331">
        <v>0</v>
      </c>
      <c r="M162" s="1331">
        <v>0</v>
      </c>
      <c r="N162" s="1331">
        <v>0</v>
      </c>
      <c r="O162" s="1331">
        <v>0</v>
      </c>
      <c r="P162" s="1331">
        <v>0</v>
      </c>
      <c r="Q162" s="1331">
        <v>0</v>
      </c>
      <c r="R162" s="1331">
        <v>0</v>
      </c>
      <c r="S162" s="1331">
        <v>0</v>
      </c>
      <c r="T162" s="1331">
        <v>0</v>
      </c>
      <c r="U162" s="1331">
        <v>0</v>
      </c>
      <c r="V162" s="1331">
        <v>0</v>
      </c>
      <c r="W162" s="1331">
        <v>0</v>
      </c>
      <c r="X162" s="1331">
        <v>0</v>
      </c>
      <c r="Y162" s="1331">
        <v>0</v>
      </c>
      <c r="Z162" s="1331">
        <v>0</v>
      </c>
      <c r="AA162" s="1331">
        <v>0</v>
      </c>
      <c r="AB162" s="1331">
        <v>0</v>
      </c>
      <c r="AC162" s="1331">
        <v>0</v>
      </c>
      <c r="AD162" s="1331">
        <v>0</v>
      </c>
      <c r="AE162" s="1331">
        <v>0</v>
      </c>
      <c r="AF162" s="1331">
        <v>0</v>
      </c>
      <c r="AG162" s="1331">
        <v>0</v>
      </c>
      <c r="AH162" s="1331">
        <v>0</v>
      </c>
      <c r="AI162" s="1331">
        <v>0</v>
      </c>
      <c r="AJ162" s="1332">
        <v>0</v>
      </c>
      <c r="AK162" s="1333"/>
      <c r="AL162" s="1771"/>
      <c r="AM162" s="1335"/>
      <c r="AN162" s="1070"/>
      <c r="AO162" s="1071"/>
      <c r="AP162" s="1071"/>
    </row>
    <row r="163" spans="1:42" s="1236" customFormat="1" ht="18" hidden="1" outlineLevel="1" x14ac:dyDescent="0.3">
      <c r="A163" s="1082"/>
      <c r="B163" s="1336" t="s">
        <v>1324</v>
      </c>
      <c r="C163" s="1337"/>
      <c r="D163" s="1337"/>
      <c r="E163" s="1337"/>
      <c r="F163" s="1304">
        <v>0</v>
      </c>
      <c r="G163" s="1306">
        <v>0</v>
      </c>
      <c r="H163" s="1305">
        <v>0</v>
      </c>
      <c r="I163" s="1305">
        <v>0</v>
      </c>
      <c r="J163" s="1305">
        <v>0</v>
      </c>
      <c r="K163" s="1305">
        <v>0</v>
      </c>
      <c r="L163" s="1305">
        <v>0</v>
      </c>
      <c r="M163" s="1305">
        <v>0</v>
      </c>
      <c r="N163" s="1305">
        <v>0</v>
      </c>
      <c r="O163" s="1305">
        <v>0</v>
      </c>
      <c r="P163" s="1305">
        <v>0</v>
      </c>
      <c r="Q163" s="1305">
        <v>0</v>
      </c>
      <c r="R163" s="1305">
        <v>0</v>
      </c>
      <c r="S163" s="1305">
        <v>0</v>
      </c>
      <c r="T163" s="1305">
        <v>0</v>
      </c>
      <c r="U163" s="1305">
        <v>0</v>
      </c>
      <c r="V163" s="1305">
        <v>0</v>
      </c>
      <c r="W163" s="1305">
        <v>0</v>
      </c>
      <c r="X163" s="1305">
        <v>0</v>
      </c>
      <c r="Y163" s="1305">
        <v>0</v>
      </c>
      <c r="Z163" s="1305">
        <v>0</v>
      </c>
      <c r="AA163" s="1305">
        <v>0</v>
      </c>
      <c r="AB163" s="1305">
        <v>0</v>
      </c>
      <c r="AC163" s="1305">
        <v>0</v>
      </c>
      <c r="AD163" s="1305">
        <v>0</v>
      </c>
      <c r="AE163" s="1305">
        <v>0</v>
      </c>
      <c r="AF163" s="1305">
        <v>0</v>
      </c>
      <c r="AG163" s="1305">
        <v>0</v>
      </c>
      <c r="AH163" s="1305">
        <v>0</v>
      </c>
      <c r="AI163" s="1305">
        <v>0</v>
      </c>
      <c r="AJ163" s="1306">
        <v>0</v>
      </c>
      <c r="AK163" s="1307">
        <v>0</v>
      </c>
      <c r="AL163" s="1770"/>
      <c r="AM163" s="1304">
        <v>0</v>
      </c>
      <c r="AN163" s="1070"/>
      <c r="AO163" s="1071"/>
      <c r="AP163" s="1071"/>
    </row>
    <row r="164" spans="1:42" s="1236" customFormat="1" ht="18" hidden="1" outlineLevel="1" x14ac:dyDescent="0.3">
      <c r="A164" s="1082"/>
      <c r="B164" s="1336" t="s">
        <v>1325</v>
      </c>
      <c r="C164" s="1337"/>
      <c r="D164" s="1337"/>
      <c r="E164" s="1337"/>
      <c r="F164" s="1304">
        <v>0</v>
      </c>
      <c r="G164" s="1306">
        <v>0</v>
      </c>
      <c r="H164" s="1305">
        <v>0</v>
      </c>
      <c r="I164" s="1305">
        <v>0</v>
      </c>
      <c r="J164" s="1305">
        <v>0</v>
      </c>
      <c r="K164" s="1305">
        <v>0</v>
      </c>
      <c r="L164" s="1305">
        <v>0</v>
      </c>
      <c r="M164" s="1305">
        <v>0</v>
      </c>
      <c r="N164" s="1305">
        <v>0</v>
      </c>
      <c r="O164" s="1305">
        <v>0</v>
      </c>
      <c r="P164" s="1305">
        <v>0</v>
      </c>
      <c r="Q164" s="1305">
        <v>0</v>
      </c>
      <c r="R164" s="1305">
        <v>0</v>
      </c>
      <c r="S164" s="1305">
        <v>0</v>
      </c>
      <c r="T164" s="1305">
        <v>0</v>
      </c>
      <c r="U164" s="1305">
        <v>0</v>
      </c>
      <c r="V164" s="1305">
        <v>0</v>
      </c>
      <c r="W164" s="1305">
        <v>0</v>
      </c>
      <c r="X164" s="1305">
        <v>0</v>
      </c>
      <c r="Y164" s="1305">
        <v>0</v>
      </c>
      <c r="Z164" s="1305">
        <v>0</v>
      </c>
      <c r="AA164" s="1305">
        <v>0</v>
      </c>
      <c r="AB164" s="1305">
        <v>0</v>
      </c>
      <c r="AC164" s="1305">
        <v>0</v>
      </c>
      <c r="AD164" s="1305">
        <v>0</v>
      </c>
      <c r="AE164" s="1305">
        <v>0</v>
      </c>
      <c r="AF164" s="1305">
        <v>0</v>
      </c>
      <c r="AG164" s="1305">
        <v>0</v>
      </c>
      <c r="AH164" s="1305">
        <v>0</v>
      </c>
      <c r="AI164" s="1305">
        <v>0</v>
      </c>
      <c r="AJ164" s="1306">
        <v>0</v>
      </c>
      <c r="AK164" s="1307">
        <v>0</v>
      </c>
      <c r="AL164" s="1770"/>
      <c r="AM164" s="1304">
        <v>0</v>
      </c>
      <c r="AN164" s="1070"/>
      <c r="AO164" s="1071"/>
      <c r="AP164" s="1071"/>
    </row>
    <row r="165" spans="1:42" s="1236" customFormat="1" ht="18.600000000000001" hidden="1" outlineLevel="1" thickBot="1" x14ac:dyDescent="0.35">
      <c r="A165" s="1082"/>
      <c r="B165" s="1338" t="s">
        <v>660</v>
      </c>
      <c r="C165" s="1339"/>
      <c r="D165" s="1339"/>
      <c r="E165" s="1339"/>
      <c r="F165" s="1345">
        <v>0</v>
      </c>
      <c r="G165" s="1347">
        <v>0</v>
      </c>
      <c r="H165" s="1346">
        <v>0</v>
      </c>
      <c r="I165" s="1346">
        <v>0</v>
      </c>
      <c r="J165" s="1346">
        <v>0</v>
      </c>
      <c r="K165" s="1346">
        <v>0</v>
      </c>
      <c r="L165" s="1346">
        <v>0</v>
      </c>
      <c r="M165" s="1346">
        <v>0</v>
      </c>
      <c r="N165" s="1346">
        <v>0</v>
      </c>
      <c r="O165" s="1346">
        <v>0</v>
      </c>
      <c r="P165" s="1346">
        <v>0</v>
      </c>
      <c r="Q165" s="1346">
        <v>0</v>
      </c>
      <c r="R165" s="1346">
        <v>0</v>
      </c>
      <c r="S165" s="1346">
        <v>0</v>
      </c>
      <c r="T165" s="1346">
        <v>0</v>
      </c>
      <c r="U165" s="1346">
        <v>0</v>
      </c>
      <c r="V165" s="1346">
        <v>0</v>
      </c>
      <c r="W165" s="1346">
        <v>0</v>
      </c>
      <c r="X165" s="1346">
        <v>0</v>
      </c>
      <c r="Y165" s="1346">
        <v>0</v>
      </c>
      <c r="Z165" s="1346">
        <v>0</v>
      </c>
      <c r="AA165" s="1346">
        <v>0</v>
      </c>
      <c r="AB165" s="1346">
        <v>0</v>
      </c>
      <c r="AC165" s="1346">
        <v>0</v>
      </c>
      <c r="AD165" s="1346">
        <v>0</v>
      </c>
      <c r="AE165" s="1346">
        <v>0</v>
      </c>
      <c r="AF165" s="1346">
        <v>0</v>
      </c>
      <c r="AG165" s="1346">
        <v>0</v>
      </c>
      <c r="AH165" s="1346">
        <v>0</v>
      </c>
      <c r="AI165" s="1346">
        <v>0</v>
      </c>
      <c r="AJ165" s="1347">
        <v>0</v>
      </c>
      <c r="AK165" s="1348"/>
      <c r="AL165" s="1761"/>
      <c r="AM165" s="1345">
        <v>0</v>
      </c>
      <c r="AN165" s="1070"/>
      <c r="AO165" s="1071"/>
      <c r="AP165" s="1071"/>
    </row>
    <row r="166" spans="1:42" s="1236" customFormat="1" hidden="1" outlineLevel="1" x14ac:dyDescent="0.3">
      <c r="A166" s="1082"/>
      <c r="B166" s="1350"/>
      <c r="C166" s="1351" t="s">
        <v>1323</v>
      </c>
      <c r="D166" s="1351"/>
      <c r="E166" s="1353"/>
      <c r="F166" s="1357"/>
      <c r="G166" s="1276">
        <v>0</v>
      </c>
      <c r="H166" s="1275">
        <v>0</v>
      </c>
      <c r="I166" s="1275">
        <v>0</v>
      </c>
      <c r="J166" s="1275">
        <v>0</v>
      </c>
      <c r="K166" s="1275">
        <v>0</v>
      </c>
      <c r="L166" s="1275">
        <v>0</v>
      </c>
      <c r="M166" s="1275">
        <v>0</v>
      </c>
      <c r="N166" s="1275">
        <v>0</v>
      </c>
      <c r="O166" s="1275">
        <v>0</v>
      </c>
      <c r="P166" s="1275">
        <v>0</v>
      </c>
      <c r="Q166" s="1275">
        <v>0</v>
      </c>
      <c r="R166" s="1275">
        <v>0</v>
      </c>
      <c r="S166" s="1275">
        <v>0</v>
      </c>
      <c r="T166" s="1275">
        <v>0</v>
      </c>
      <c r="U166" s="1275">
        <v>0</v>
      </c>
      <c r="V166" s="1275">
        <v>0</v>
      </c>
      <c r="W166" s="1275">
        <v>0</v>
      </c>
      <c r="X166" s="1275">
        <v>0</v>
      </c>
      <c r="Y166" s="1275">
        <v>0</v>
      </c>
      <c r="Z166" s="1275">
        <v>0</v>
      </c>
      <c r="AA166" s="1275">
        <v>0</v>
      </c>
      <c r="AB166" s="1275">
        <v>0</v>
      </c>
      <c r="AC166" s="1275">
        <v>0</v>
      </c>
      <c r="AD166" s="1275">
        <v>0</v>
      </c>
      <c r="AE166" s="1275">
        <v>0</v>
      </c>
      <c r="AF166" s="1275">
        <v>0</v>
      </c>
      <c r="AG166" s="1275">
        <v>0</v>
      </c>
      <c r="AH166" s="1275">
        <v>0</v>
      </c>
      <c r="AI166" s="1275">
        <v>0</v>
      </c>
      <c r="AJ166" s="1276">
        <v>0</v>
      </c>
      <c r="AK166" s="1358"/>
      <c r="AL166" s="1771"/>
      <c r="AM166" s="1279"/>
      <c r="AN166" s="1070"/>
      <c r="AO166" s="1071"/>
      <c r="AP166" s="1071"/>
    </row>
    <row r="167" spans="1:42" s="1236" customFormat="1" ht="18" hidden="1" outlineLevel="1" x14ac:dyDescent="0.3">
      <c r="A167" s="1082"/>
      <c r="B167" s="1336" t="s">
        <v>1326</v>
      </c>
      <c r="C167" s="1351"/>
      <c r="D167" s="1351"/>
      <c r="E167" s="1353"/>
      <c r="F167" s="1304">
        <v>0</v>
      </c>
      <c r="G167" s="1306">
        <v>0</v>
      </c>
      <c r="H167" s="1305">
        <v>0</v>
      </c>
      <c r="I167" s="1305">
        <v>0</v>
      </c>
      <c r="J167" s="1305">
        <v>0</v>
      </c>
      <c r="K167" s="1305">
        <v>0</v>
      </c>
      <c r="L167" s="1305">
        <v>0</v>
      </c>
      <c r="M167" s="1305">
        <v>0</v>
      </c>
      <c r="N167" s="1305">
        <v>0</v>
      </c>
      <c r="O167" s="1305">
        <v>0</v>
      </c>
      <c r="P167" s="1305">
        <v>0</v>
      </c>
      <c r="Q167" s="1305">
        <v>0</v>
      </c>
      <c r="R167" s="1305">
        <v>0</v>
      </c>
      <c r="S167" s="1305">
        <v>0</v>
      </c>
      <c r="T167" s="1305">
        <v>0</v>
      </c>
      <c r="U167" s="1305">
        <v>0</v>
      </c>
      <c r="V167" s="1305">
        <v>0</v>
      </c>
      <c r="W167" s="1305">
        <v>0</v>
      </c>
      <c r="X167" s="1305">
        <v>0</v>
      </c>
      <c r="Y167" s="1305">
        <v>0</v>
      </c>
      <c r="Z167" s="1305">
        <v>0</v>
      </c>
      <c r="AA167" s="1305">
        <v>0</v>
      </c>
      <c r="AB167" s="1305">
        <v>0</v>
      </c>
      <c r="AC167" s="1305">
        <v>0</v>
      </c>
      <c r="AD167" s="1305">
        <v>0</v>
      </c>
      <c r="AE167" s="1305">
        <v>0</v>
      </c>
      <c r="AF167" s="1305">
        <v>0</v>
      </c>
      <c r="AG167" s="1305">
        <v>0</v>
      </c>
      <c r="AH167" s="1305">
        <v>0</v>
      </c>
      <c r="AI167" s="1305">
        <v>0</v>
      </c>
      <c r="AJ167" s="1306">
        <v>0</v>
      </c>
      <c r="AK167" s="1358" t="s">
        <v>3</v>
      </c>
      <c r="AL167" s="1771"/>
      <c r="AM167" s="1304">
        <v>0</v>
      </c>
      <c r="AN167" s="1070"/>
      <c r="AO167" s="1071"/>
      <c r="AP167" s="1071"/>
    </row>
    <row r="168" spans="1:42" s="1236" customFormat="1" ht="18" hidden="1" outlineLevel="1" x14ac:dyDescent="0.3">
      <c r="A168" s="1082"/>
      <c r="B168" s="1336" t="s">
        <v>1327</v>
      </c>
      <c r="C168" s="1360"/>
      <c r="D168" s="1360"/>
      <c r="E168" s="1360"/>
      <c r="F168" s="1304">
        <v>0</v>
      </c>
      <c r="G168" s="1306">
        <v>0</v>
      </c>
      <c r="H168" s="1305">
        <v>0</v>
      </c>
      <c r="I168" s="1305">
        <v>0</v>
      </c>
      <c r="J168" s="1305">
        <v>0</v>
      </c>
      <c r="K168" s="1305">
        <v>0</v>
      </c>
      <c r="L168" s="1305">
        <v>0</v>
      </c>
      <c r="M168" s="1305">
        <v>0</v>
      </c>
      <c r="N168" s="1305">
        <v>0</v>
      </c>
      <c r="O168" s="1305">
        <v>0</v>
      </c>
      <c r="P168" s="1305">
        <v>0</v>
      </c>
      <c r="Q168" s="1305">
        <v>0</v>
      </c>
      <c r="R168" s="1305">
        <v>0</v>
      </c>
      <c r="S168" s="1305">
        <v>0</v>
      </c>
      <c r="T168" s="1305">
        <v>0</v>
      </c>
      <c r="U168" s="1305">
        <v>0</v>
      </c>
      <c r="V168" s="1305">
        <v>0</v>
      </c>
      <c r="W168" s="1305">
        <v>0</v>
      </c>
      <c r="X168" s="1305">
        <v>0</v>
      </c>
      <c r="Y168" s="1305">
        <v>0</v>
      </c>
      <c r="Z168" s="1305">
        <v>0</v>
      </c>
      <c r="AA168" s="1305">
        <v>0</v>
      </c>
      <c r="AB168" s="1305">
        <v>0</v>
      </c>
      <c r="AC168" s="1305">
        <v>0</v>
      </c>
      <c r="AD168" s="1305">
        <v>0</v>
      </c>
      <c r="AE168" s="1305">
        <v>0</v>
      </c>
      <c r="AF168" s="1305">
        <v>0</v>
      </c>
      <c r="AG168" s="1305">
        <v>0</v>
      </c>
      <c r="AH168" s="1305">
        <v>0</v>
      </c>
      <c r="AI168" s="1305">
        <v>0</v>
      </c>
      <c r="AJ168" s="1306">
        <v>0</v>
      </c>
      <c r="AK168" s="1307">
        <v>0</v>
      </c>
      <c r="AL168" s="1770"/>
      <c r="AM168" s="1304">
        <v>0</v>
      </c>
      <c r="AN168" s="1070"/>
      <c r="AO168" s="1071"/>
      <c r="AP168" s="1071"/>
    </row>
    <row r="169" spans="1:42" s="1236" customFormat="1" ht="18" hidden="1" outlineLevel="1" x14ac:dyDescent="0.3">
      <c r="A169" s="1082"/>
      <c r="B169" s="1308" t="s">
        <v>674</v>
      </c>
      <c r="C169" s="1362"/>
      <c r="D169" s="1362"/>
      <c r="E169" s="1362"/>
      <c r="F169" s="1315">
        <v>0</v>
      </c>
      <c r="G169" s="1317">
        <v>0</v>
      </c>
      <c r="H169" s="1316">
        <v>0</v>
      </c>
      <c r="I169" s="1316">
        <v>0</v>
      </c>
      <c r="J169" s="1316">
        <v>0</v>
      </c>
      <c r="K169" s="1316">
        <v>0</v>
      </c>
      <c r="L169" s="1316">
        <v>0</v>
      </c>
      <c r="M169" s="1316">
        <v>0</v>
      </c>
      <c r="N169" s="1316">
        <v>0</v>
      </c>
      <c r="O169" s="1316">
        <v>0</v>
      </c>
      <c r="P169" s="1316">
        <v>0</v>
      </c>
      <c r="Q169" s="1316">
        <v>0</v>
      </c>
      <c r="R169" s="1316">
        <v>0</v>
      </c>
      <c r="S169" s="1316">
        <v>0</v>
      </c>
      <c r="T169" s="1316">
        <v>0</v>
      </c>
      <c r="U169" s="1316">
        <v>0</v>
      </c>
      <c r="V169" s="1316">
        <v>0</v>
      </c>
      <c r="W169" s="1316">
        <v>0</v>
      </c>
      <c r="X169" s="1316">
        <v>0</v>
      </c>
      <c r="Y169" s="1316">
        <v>0</v>
      </c>
      <c r="Z169" s="1316">
        <v>0</v>
      </c>
      <c r="AA169" s="1316">
        <v>0</v>
      </c>
      <c r="AB169" s="1316">
        <v>0</v>
      </c>
      <c r="AC169" s="1316">
        <v>0</v>
      </c>
      <c r="AD169" s="1316">
        <v>0</v>
      </c>
      <c r="AE169" s="1316">
        <v>0</v>
      </c>
      <c r="AF169" s="1316">
        <v>0</v>
      </c>
      <c r="AG169" s="1316">
        <v>0</v>
      </c>
      <c r="AH169" s="1316">
        <v>0</v>
      </c>
      <c r="AI169" s="1316">
        <v>0</v>
      </c>
      <c r="AJ169" s="1317">
        <v>0</v>
      </c>
      <c r="AK169" s="1318"/>
      <c r="AL169" s="1761"/>
      <c r="AM169" s="1315">
        <v>0</v>
      </c>
      <c r="AN169" s="1070"/>
      <c r="AO169" s="1071"/>
      <c r="AP169" s="1071"/>
    </row>
    <row r="170" spans="1:42" s="1236" customFormat="1" hidden="1" outlineLevel="1" x14ac:dyDescent="0.3">
      <c r="A170" s="1082"/>
      <c r="B170" s="1363"/>
      <c r="C170" s="1321" t="s">
        <v>1323</v>
      </c>
      <c r="D170" s="1321"/>
      <c r="E170" s="1364"/>
      <c r="F170" s="1367"/>
      <c r="G170" s="1332">
        <v>0</v>
      </c>
      <c r="H170" s="1331">
        <v>0</v>
      </c>
      <c r="I170" s="1331">
        <v>0</v>
      </c>
      <c r="J170" s="1331">
        <v>0</v>
      </c>
      <c r="K170" s="1331">
        <v>0</v>
      </c>
      <c r="L170" s="1331">
        <v>0</v>
      </c>
      <c r="M170" s="1331">
        <v>0</v>
      </c>
      <c r="N170" s="1331">
        <v>0</v>
      </c>
      <c r="O170" s="1331">
        <v>0</v>
      </c>
      <c r="P170" s="1331">
        <v>0</v>
      </c>
      <c r="Q170" s="1331">
        <v>0</v>
      </c>
      <c r="R170" s="1331">
        <v>0</v>
      </c>
      <c r="S170" s="1331">
        <v>0</v>
      </c>
      <c r="T170" s="1331">
        <v>0</v>
      </c>
      <c r="U170" s="1331">
        <v>0</v>
      </c>
      <c r="V170" s="1331">
        <v>0</v>
      </c>
      <c r="W170" s="1331">
        <v>0</v>
      </c>
      <c r="X170" s="1331">
        <v>0</v>
      </c>
      <c r="Y170" s="1331">
        <v>0</v>
      </c>
      <c r="Z170" s="1331">
        <v>0</v>
      </c>
      <c r="AA170" s="1331">
        <v>0</v>
      </c>
      <c r="AB170" s="1331">
        <v>0</v>
      </c>
      <c r="AC170" s="1331">
        <v>0</v>
      </c>
      <c r="AD170" s="1331">
        <v>0</v>
      </c>
      <c r="AE170" s="1331">
        <v>0</v>
      </c>
      <c r="AF170" s="1331">
        <v>0</v>
      </c>
      <c r="AG170" s="1331">
        <v>0</v>
      </c>
      <c r="AH170" s="1331">
        <v>0</v>
      </c>
      <c r="AI170" s="1331">
        <v>0</v>
      </c>
      <c r="AJ170" s="1332">
        <v>0</v>
      </c>
      <c r="AK170" s="1368"/>
      <c r="AL170" s="1776"/>
      <c r="AM170" s="1335"/>
      <c r="AN170" s="1070"/>
      <c r="AO170" s="1071"/>
      <c r="AP170" s="1071"/>
    </row>
    <row r="171" spans="1:42" s="1236" customFormat="1" ht="18" hidden="1" outlineLevel="1" x14ac:dyDescent="0.3">
      <c r="A171" s="1082"/>
      <c r="B171" s="1336" t="s">
        <v>1328</v>
      </c>
      <c r="C171" s="1337"/>
      <c r="D171" s="1337"/>
      <c r="E171" s="1337"/>
      <c r="F171" s="1304">
        <v>0</v>
      </c>
      <c r="G171" s="1306">
        <v>0</v>
      </c>
      <c r="H171" s="1305">
        <v>0</v>
      </c>
      <c r="I171" s="1305">
        <v>0</v>
      </c>
      <c r="J171" s="1305">
        <v>0</v>
      </c>
      <c r="K171" s="1305">
        <v>0</v>
      </c>
      <c r="L171" s="1305">
        <v>0</v>
      </c>
      <c r="M171" s="1305">
        <v>0</v>
      </c>
      <c r="N171" s="1305">
        <v>0</v>
      </c>
      <c r="O171" s="1305">
        <v>0</v>
      </c>
      <c r="P171" s="1305">
        <v>0</v>
      </c>
      <c r="Q171" s="1305">
        <v>0</v>
      </c>
      <c r="R171" s="1305">
        <v>0</v>
      </c>
      <c r="S171" s="1305">
        <v>0</v>
      </c>
      <c r="T171" s="1305">
        <v>0</v>
      </c>
      <c r="U171" s="1305">
        <v>0</v>
      </c>
      <c r="V171" s="1305">
        <v>0</v>
      </c>
      <c r="W171" s="1305">
        <v>0</v>
      </c>
      <c r="X171" s="1305">
        <v>0</v>
      </c>
      <c r="Y171" s="1305">
        <v>0</v>
      </c>
      <c r="Z171" s="1305">
        <v>0</v>
      </c>
      <c r="AA171" s="1305">
        <v>0</v>
      </c>
      <c r="AB171" s="1305">
        <v>0</v>
      </c>
      <c r="AC171" s="1305">
        <v>0</v>
      </c>
      <c r="AD171" s="1305">
        <v>0</v>
      </c>
      <c r="AE171" s="1305">
        <v>0</v>
      </c>
      <c r="AF171" s="1305">
        <v>0</v>
      </c>
      <c r="AG171" s="1305">
        <v>0</v>
      </c>
      <c r="AH171" s="1305">
        <v>0</v>
      </c>
      <c r="AI171" s="1305">
        <v>0</v>
      </c>
      <c r="AJ171" s="1306">
        <v>0</v>
      </c>
      <c r="AK171" s="1307">
        <v>0</v>
      </c>
      <c r="AL171" s="1770"/>
      <c r="AM171" s="1304">
        <v>0</v>
      </c>
      <c r="AN171" s="1070"/>
      <c r="AO171" s="1071"/>
      <c r="AP171" s="1071"/>
    </row>
    <row r="172" spans="1:42" s="1236" customFormat="1" ht="18" hidden="1" outlineLevel="1" x14ac:dyDescent="0.3">
      <c r="A172" s="1082"/>
      <c r="B172" s="1336" t="s">
        <v>1329</v>
      </c>
      <c r="C172" s="1337"/>
      <c r="D172" s="1337"/>
      <c r="E172" s="1337"/>
      <c r="F172" s="1304">
        <v>0</v>
      </c>
      <c r="G172" s="1306">
        <v>0</v>
      </c>
      <c r="H172" s="1305">
        <v>0</v>
      </c>
      <c r="I172" s="1305">
        <v>0</v>
      </c>
      <c r="J172" s="1305">
        <v>0</v>
      </c>
      <c r="K172" s="1305">
        <v>0</v>
      </c>
      <c r="L172" s="1305">
        <v>0</v>
      </c>
      <c r="M172" s="1305">
        <v>0</v>
      </c>
      <c r="N172" s="1305">
        <v>0</v>
      </c>
      <c r="O172" s="1305">
        <v>0</v>
      </c>
      <c r="P172" s="1305">
        <v>0</v>
      </c>
      <c r="Q172" s="1305">
        <v>0</v>
      </c>
      <c r="R172" s="1305">
        <v>0</v>
      </c>
      <c r="S172" s="1305">
        <v>0</v>
      </c>
      <c r="T172" s="1305">
        <v>0</v>
      </c>
      <c r="U172" s="1305">
        <v>0</v>
      </c>
      <c r="V172" s="1305">
        <v>0</v>
      </c>
      <c r="W172" s="1305">
        <v>0</v>
      </c>
      <c r="X172" s="1305">
        <v>0</v>
      </c>
      <c r="Y172" s="1305">
        <v>0</v>
      </c>
      <c r="Z172" s="1305">
        <v>0</v>
      </c>
      <c r="AA172" s="1305">
        <v>0</v>
      </c>
      <c r="AB172" s="1305">
        <v>0</v>
      </c>
      <c r="AC172" s="1305">
        <v>0</v>
      </c>
      <c r="AD172" s="1305">
        <v>0</v>
      </c>
      <c r="AE172" s="1305">
        <v>0</v>
      </c>
      <c r="AF172" s="1305">
        <v>0</v>
      </c>
      <c r="AG172" s="1305">
        <v>0</v>
      </c>
      <c r="AH172" s="1305">
        <v>0</v>
      </c>
      <c r="AI172" s="1777">
        <v>0</v>
      </c>
      <c r="AJ172" s="1306">
        <v>0</v>
      </c>
      <c r="AK172" s="1307">
        <v>0</v>
      </c>
      <c r="AL172" s="1770"/>
      <c r="AM172" s="1304">
        <v>0</v>
      </c>
      <c r="AN172" s="1070"/>
      <c r="AO172" s="1071"/>
      <c r="AP172" s="1071"/>
    </row>
    <row r="173" spans="1:42" s="1236" customFormat="1" ht="18" hidden="1" outlineLevel="1" x14ac:dyDescent="0.3">
      <c r="A173" s="1082"/>
      <c r="B173" s="1369" t="s">
        <v>1450</v>
      </c>
      <c r="C173" s="1298"/>
      <c r="D173" s="1298"/>
      <c r="E173" s="1298"/>
      <c r="F173" s="1374">
        <v>0</v>
      </c>
      <c r="G173" s="1376">
        <v>0</v>
      </c>
      <c r="H173" s="1375">
        <v>0</v>
      </c>
      <c r="I173" s="1375">
        <v>0</v>
      </c>
      <c r="J173" s="1375">
        <v>0</v>
      </c>
      <c r="K173" s="1375">
        <v>0</v>
      </c>
      <c r="L173" s="1375">
        <v>0</v>
      </c>
      <c r="M173" s="1375">
        <v>0</v>
      </c>
      <c r="N173" s="1375">
        <v>0</v>
      </c>
      <c r="O173" s="1375">
        <v>0</v>
      </c>
      <c r="P173" s="1375">
        <v>0</v>
      </c>
      <c r="Q173" s="1375">
        <v>0</v>
      </c>
      <c r="R173" s="1375">
        <v>0</v>
      </c>
      <c r="S173" s="1375">
        <v>0</v>
      </c>
      <c r="T173" s="1375">
        <v>0</v>
      </c>
      <c r="U173" s="1375">
        <v>0</v>
      </c>
      <c r="V173" s="1375">
        <v>0</v>
      </c>
      <c r="W173" s="1375">
        <v>0</v>
      </c>
      <c r="X173" s="1375">
        <v>0</v>
      </c>
      <c r="Y173" s="1375">
        <v>0</v>
      </c>
      <c r="Z173" s="1375">
        <v>0</v>
      </c>
      <c r="AA173" s="1375">
        <v>0</v>
      </c>
      <c r="AB173" s="1375">
        <v>0</v>
      </c>
      <c r="AC173" s="1375">
        <v>0</v>
      </c>
      <c r="AD173" s="1375">
        <v>0</v>
      </c>
      <c r="AE173" s="1375">
        <v>0</v>
      </c>
      <c r="AF173" s="1375">
        <v>0</v>
      </c>
      <c r="AG173" s="1375">
        <v>0</v>
      </c>
      <c r="AH173" s="1375">
        <v>0</v>
      </c>
      <c r="AI173" s="1375">
        <v>0</v>
      </c>
      <c r="AJ173" s="1376">
        <v>0</v>
      </c>
      <c r="AK173" s="1377"/>
      <c r="AL173" s="1761"/>
      <c r="AM173" s="1374">
        <v>0</v>
      </c>
      <c r="AN173" s="1070"/>
      <c r="AO173" s="1071"/>
      <c r="AP173" s="1071"/>
    </row>
    <row r="174" spans="1:42" s="1236" customFormat="1" ht="18" hidden="1" outlineLevel="1" x14ac:dyDescent="0.3">
      <c r="A174" s="1082"/>
      <c r="B174" s="1369"/>
      <c r="C174" s="1351" t="s">
        <v>1323</v>
      </c>
      <c r="D174" s="1351"/>
      <c r="E174" s="1351"/>
      <c r="F174" s="1381"/>
      <c r="G174" s="1276">
        <v>0</v>
      </c>
      <c r="H174" s="1275">
        <v>0</v>
      </c>
      <c r="I174" s="1275">
        <v>0</v>
      </c>
      <c r="J174" s="1275">
        <v>0</v>
      </c>
      <c r="K174" s="1275">
        <v>0</v>
      </c>
      <c r="L174" s="1275">
        <v>0</v>
      </c>
      <c r="M174" s="1275">
        <v>0</v>
      </c>
      <c r="N174" s="1275">
        <v>0</v>
      </c>
      <c r="O174" s="1275">
        <v>0</v>
      </c>
      <c r="P174" s="1275">
        <v>0</v>
      </c>
      <c r="Q174" s="1275">
        <v>0</v>
      </c>
      <c r="R174" s="1275">
        <v>0</v>
      </c>
      <c r="S174" s="1275">
        <v>0</v>
      </c>
      <c r="T174" s="1275">
        <v>0</v>
      </c>
      <c r="U174" s="1275">
        <v>0</v>
      </c>
      <c r="V174" s="1275">
        <v>0</v>
      </c>
      <c r="W174" s="1275">
        <v>0</v>
      </c>
      <c r="X174" s="1275">
        <v>0</v>
      </c>
      <c r="Y174" s="1275">
        <v>0</v>
      </c>
      <c r="Z174" s="1275">
        <v>0</v>
      </c>
      <c r="AA174" s="1275">
        <v>0</v>
      </c>
      <c r="AB174" s="1275">
        <v>0</v>
      </c>
      <c r="AC174" s="1275">
        <v>0</v>
      </c>
      <c r="AD174" s="1275">
        <v>0</v>
      </c>
      <c r="AE174" s="1275">
        <v>0</v>
      </c>
      <c r="AF174" s="1275">
        <v>0</v>
      </c>
      <c r="AG174" s="1275">
        <v>0</v>
      </c>
      <c r="AH174" s="1275">
        <v>0</v>
      </c>
      <c r="AI174" s="1275">
        <v>0</v>
      </c>
      <c r="AJ174" s="1276">
        <v>0</v>
      </c>
      <c r="AK174" s="1377"/>
      <c r="AL174" s="1761"/>
      <c r="AM174" s="1279"/>
      <c r="AN174" s="1070"/>
      <c r="AO174" s="1071"/>
      <c r="AP174" s="1071"/>
    </row>
    <row r="175" spans="1:42" s="1236" customFormat="1" ht="18.600000000000001" hidden="1" outlineLevel="1" thickBot="1" x14ac:dyDescent="0.35">
      <c r="A175" s="1082"/>
      <c r="B175" s="1778"/>
      <c r="C175" s="1779"/>
      <c r="D175" s="1779"/>
      <c r="E175" s="1779"/>
      <c r="F175" s="1780"/>
      <c r="G175" s="1781"/>
      <c r="H175" s="1781"/>
      <c r="I175" s="1781"/>
      <c r="J175" s="1781"/>
      <c r="K175" s="1781"/>
      <c r="L175" s="1781"/>
      <c r="M175" s="1781"/>
      <c r="N175" s="1781"/>
      <c r="O175" s="1781"/>
      <c r="P175" s="1781"/>
      <c r="Q175" s="1781"/>
      <c r="R175" s="1781"/>
      <c r="S175" s="1781"/>
      <c r="T175" s="1781"/>
      <c r="U175" s="1781"/>
      <c r="V175" s="1781"/>
      <c r="W175" s="1781"/>
      <c r="X175" s="1781"/>
      <c r="Y175" s="1781"/>
      <c r="Z175" s="1781"/>
      <c r="AA175" s="1781"/>
      <c r="AB175" s="1781"/>
      <c r="AC175" s="1781"/>
      <c r="AD175" s="1781"/>
      <c r="AE175" s="1781"/>
      <c r="AF175" s="1781"/>
      <c r="AG175" s="1781"/>
      <c r="AH175" s="1781"/>
      <c r="AI175" s="1781"/>
      <c r="AJ175" s="1782"/>
      <c r="AK175" s="1783"/>
      <c r="AL175" s="1784"/>
      <c r="AM175" s="1785"/>
      <c r="AN175" s="1082"/>
    </row>
    <row r="176" spans="1:42" s="1236" customFormat="1" ht="18" hidden="1" outlineLevel="1" x14ac:dyDescent="0.3">
      <c r="A176" s="1082"/>
      <c r="B176" s="1082"/>
      <c r="C176" s="1082"/>
      <c r="D176" s="1082"/>
      <c r="E176" s="1082"/>
      <c r="F176" s="1371"/>
      <c r="G176" s="1300"/>
      <c r="H176" s="1300"/>
      <c r="I176" s="1300"/>
      <c r="J176" s="1300"/>
      <c r="K176" s="1300"/>
      <c r="L176" s="1300"/>
      <c r="M176" s="1300"/>
      <c r="N176" s="1300"/>
      <c r="O176" s="1300"/>
      <c r="P176" s="1300"/>
      <c r="Q176" s="1300"/>
      <c r="R176" s="1300"/>
      <c r="S176" s="1300"/>
      <c r="T176" s="1300"/>
      <c r="U176" s="1300"/>
      <c r="V176" s="1300"/>
      <c r="W176" s="1300"/>
      <c r="X176" s="1300"/>
      <c r="Y176" s="1300"/>
      <c r="Z176" s="1300"/>
      <c r="AA176" s="1300"/>
      <c r="AB176" s="1300"/>
      <c r="AC176" s="1300"/>
      <c r="AD176" s="1300"/>
      <c r="AE176" s="1300"/>
      <c r="AF176" s="1300"/>
      <c r="AG176" s="1300"/>
      <c r="AH176" s="1300"/>
      <c r="AI176" s="1300"/>
      <c r="AJ176" s="1300"/>
      <c r="AK176" s="1791"/>
      <c r="AL176" s="1791"/>
      <c r="AM176" s="1300"/>
      <c r="AN176" s="1082"/>
    </row>
    <row r="177" spans="1:42" s="1236" customFormat="1" ht="18" hidden="1" outlineLevel="1" x14ac:dyDescent="0.3">
      <c r="A177" s="1082"/>
      <c r="B177" s="1082"/>
      <c r="C177" s="1082"/>
      <c r="D177" s="1082"/>
      <c r="E177" s="1082"/>
      <c r="F177" s="1371"/>
      <c r="G177" s="1300"/>
      <c r="H177" s="1300"/>
      <c r="I177" s="1300"/>
      <c r="J177" s="1300"/>
      <c r="K177" s="1300"/>
      <c r="L177" s="1300"/>
      <c r="M177" s="1300"/>
      <c r="N177" s="1300"/>
      <c r="O177" s="1300"/>
      <c r="P177" s="1300"/>
      <c r="Q177" s="1300"/>
      <c r="R177" s="1300"/>
      <c r="T177" s="1079"/>
      <c r="U177" s="1300"/>
      <c r="V177" s="1300"/>
      <c r="W177" s="1300"/>
      <c r="X177" s="1300"/>
      <c r="Y177" s="1300"/>
      <c r="Z177" s="1300"/>
      <c r="AA177" s="1795"/>
      <c r="AB177" s="1795"/>
      <c r="AC177" s="1795"/>
      <c r="AD177" s="1795"/>
      <c r="AE177" s="1795"/>
      <c r="AF177" s="1795"/>
      <c r="AG177" s="1795"/>
      <c r="AH177" s="1795"/>
      <c r="AI177" s="1795"/>
      <c r="AJ177" s="1795"/>
      <c r="AK177" s="1796"/>
      <c r="AL177" s="1796"/>
      <c r="AM177" s="1795"/>
    </row>
    <row r="178" spans="1:42" s="1236" customFormat="1" ht="15" hidden="1" customHeight="1" outlineLevel="1" x14ac:dyDescent="0.3">
      <c r="A178" s="1070"/>
      <c r="B178" s="1070"/>
      <c r="C178" s="1070"/>
      <c r="D178" s="1070"/>
      <c r="E178" s="1070"/>
      <c r="F178" s="1070"/>
      <c r="G178" s="1070"/>
      <c r="H178" s="3144" t="s">
        <v>1472</v>
      </c>
      <c r="I178" s="3145"/>
      <c r="J178" s="3145"/>
      <c r="K178" s="3145"/>
      <c r="L178" s="3146"/>
      <c r="M178" s="1070"/>
      <c r="N178" s="1070"/>
      <c r="O178" s="3274" t="s">
        <v>1473</v>
      </c>
      <c r="P178" s="3275"/>
      <c r="Q178" s="3275"/>
      <c r="R178" s="3276"/>
      <c r="T178" s="1079"/>
      <c r="U178" s="1082"/>
      <c r="V178" s="3277" t="s">
        <v>1474</v>
      </c>
      <c r="W178" s="3278"/>
      <c r="X178" s="3278"/>
      <c r="Y178" s="3279"/>
      <c r="Z178" s="1082"/>
      <c r="AA178" s="1071"/>
      <c r="AB178" s="1071"/>
      <c r="AC178" s="1071"/>
      <c r="AD178" s="1071"/>
      <c r="AE178" s="1071"/>
      <c r="AF178" s="1071"/>
      <c r="AG178" s="1071"/>
      <c r="AH178" s="1071"/>
      <c r="AI178" s="1071"/>
      <c r="AJ178" s="1071"/>
      <c r="AK178" s="1071"/>
      <c r="AL178" s="1071"/>
      <c r="AM178" s="1071"/>
      <c r="AN178" s="1071"/>
      <c r="AO178" s="1071"/>
      <c r="AP178" s="1071"/>
    </row>
    <row r="179" spans="1:42" s="1236" customFormat="1" hidden="1" outlineLevel="1" x14ac:dyDescent="0.3">
      <c r="A179" s="1070"/>
      <c r="B179" s="1070"/>
      <c r="C179" s="1070"/>
      <c r="D179" s="1070"/>
      <c r="E179" s="1070"/>
      <c r="F179" s="1070"/>
      <c r="G179" s="1070"/>
      <c r="H179" s="1217" t="s">
        <v>1299</v>
      </c>
      <c r="I179" s="1218"/>
      <c r="J179" s="1218"/>
      <c r="K179" s="1218"/>
      <c r="L179" s="1412"/>
      <c r="M179" s="1070"/>
      <c r="N179" s="1070"/>
      <c r="O179" s="1797"/>
      <c r="P179" s="1798"/>
      <c r="Q179" s="1799" t="s">
        <v>1313</v>
      </c>
      <c r="R179" s="1799" t="s">
        <v>1314</v>
      </c>
      <c r="T179" s="1079"/>
      <c r="U179" s="1082"/>
      <c r="V179" s="3280"/>
      <c r="W179" s="3281"/>
      <c r="X179" s="3281"/>
      <c r="Y179" s="3282"/>
      <c r="Z179" s="1082"/>
      <c r="AA179" s="1071"/>
      <c r="AB179" s="1071"/>
      <c r="AC179" s="1071"/>
      <c r="AD179" s="1071"/>
      <c r="AE179" s="1071"/>
      <c r="AF179" s="1071"/>
      <c r="AG179" s="1071"/>
      <c r="AH179" s="1071"/>
      <c r="AI179" s="1071"/>
      <c r="AJ179" s="1071"/>
      <c r="AK179" s="1071"/>
      <c r="AL179" s="1071"/>
      <c r="AM179" s="1071"/>
      <c r="AN179" s="1071"/>
      <c r="AO179" s="1071"/>
      <c r="AP179" s="1071"/>
    </row>
    <row r="180" spans="1:42" s="1236" customFormat="1" hidden="1" outlineLevel="1" x14ac:dyDescent="0.3">
      <c r="A180" s="1070"/>
      <c r="B180" s="1070"/>
      <c r="C180" s="1070"/>
      <c r="D180" s="1070"/>
      <c r="E180" s="1070"/>
      <c r="F180" s="1070"/>
      <c r="G180" s="1070"/>
      <c r="H180" s="1800" t="s">
        <v>1301</v>
      </c>
      <c r="I180" s="1801"/>
      <c r="J180" s="1801"/>
      <c r="K180" s="1802" t="s">
        <v>1432</v>
      </c>
      <c r="L180" s="1803" t="s">
        <v>682</v>
      </c>
      <c r="M180" s="1070"/>
      <c r="N180" s="1070"/>
      <c r="O180" s="1804"/>
      <c r="P180" s="1805"/>
      <c r="Q180" s="1806" t="s">
        <v>1465</v>
      </c>
      <c r="R180" s="1806" t="s">
        <v>1465</v>
      </c>
      <c r="T180" s="1079"/>
      <c r="U180" s="1082"/>
      <c r="V180" s="1807" t="s">
        <v>1454</v>
      </c>
      <c r="W180" s="1143"/>
      <c r="X180" s="1414" t="s">
        <v>1432</v>
      </c>
      <c r="Y180" s="1415" t="s">
        <v>682</v>
      </c>
      <c r="Z180" s="1082"/>
      <c r="AA180" s="1071"/>
      <c r="AB180" s="1071"/>
      <c r="AC180" s="1071"/>
      <c r="AD180" s="1071"/>
      <c r="AE180" s="1071"/>
      <c r="AF180" s="1071"/>
      <c r="AG180" s="1071"/>
      <c r="AH180" s="1071"/>
      <c r="AI180" s="1071"/>
      <c r="AJ180" s="1071"/>
      <c r="AK180" s="1071"/>
      <c r="AL180" s="1071"/>
      <c r="AM180" s="1071"/>
      <c r="AN180" s="1071"/>
      <c r="AO180" s="1071"/>
      <c r="AP180" s="1071"/>
    </row>
    <row r="181" spans="1:42" s="1236" customFormat="1" hidden="1" outlineLevel="1" x14ac:dyDescent="0.3">
      <c r="A181" s="1070"/>
      <c r="B181" s="1070"/>
      <c r="C181" s="1070"/>
      <c r="D181" s="1070"/>
      <c r="E181" s="1070"/>
      <c r="F181" s="1070"/>
      <c r="G181" s="1070"/>
      <c r="H181" s="1440" t="s">
        <v>1456</v>
      </c>
      <c r="I181" s="1441"/>
      <c r="J181" s="1441"/>
      <c r="K181" s="1809" t="s">
        <v>1445</v>
      </c>
      <c r="L181" s="1443" t="s">
        <v>1445</v>
      </c>
      <c r="M181" s="1070"/>
      <c r="N181" s="1070"/>
      <c r="O181" s="1422" t="s">
        <v>794</v>
      </c>
      <c r="P181" s="1412"/>
      <c r="Q181" s="1832"/>
      <c r="R181" s="1833"/>
      <c r="T181" s="1079"/>
      <c r="U181" s="1082"/>
      <c r="V181" s="1147" t="s">
        <v>756</v>
      </c>
      <c r="W181" s="1186"/>
      <c r="X181" s="1811" t="s">
        <v>1445</v>
      </c>
      <c r="Y181" s="1812" t="s">
        <v>1445</v>
      </c>
      <c r="Z181" s="1082"/>
      <c r="AA181" s="1071"/>
      <c r="AB181" s="1071"/>
      <c r="AC181" s="1071"/>
      <c r="AD181" s="1071"/>
      <c r="AE181" s="1071"/>
      <c r="AF181" s="1071"/>
      <c r="AG181" s="1071"/>
      <c r="AH181" s="1071"/>
      <c r="AI181" s="1071"/>
      <c r="AJ181" s="1071"/>
      <c r="AK181" s="1071"/>
      <c r="AL181" s="1071"/>
      <c r="AM181" s="1071"/>
      <c r="AN181" s="1071"/>
      <c r="AO181" s="1071"/>
      <c r="AP181" s="1071"/>
    </row>
    <row r="182" spans="1:42" s="1236" customFormat="1" hidden="1" outlineLevel="1" x14ac:dyDescent="0.3">
      <c r="A182" s="1070"/>
      <c r="B182" s="1070"/>
      <c r="C182" s="1070"/>
      <c r="D182" s="1070"/>
      <c r="E182" s="1070"/>
      <c r="F182" s="1070"/>
      <c r="G182" s="1070"/>
      <c r="H182" s="1800" t="s">
        <v>730</v>
      </c>
      <c r="I182" s="1801"/>
      <c r="J182" s="1801"/>
      <c r="K182" s="1813"/>
      <c r="L182" s="1814"/>
      <c r="M182" s="1070"/>
      <c r="N182" s="1070"/>
      <c r="O182" s="1434" t="s">
        <v>725</v>
      </c>
      <c r="P182" s="1435"/>
      <c r="Q182" s="1834"/>
      <c r="R182" s="1835"/>
      <c r="T182" s="1079"/>
      <c r="U182" s="1082"/>
      <c r="V182" s="1149" t="s">
        <v>757</v>
      </c>
      <c r="W182" s="1437"/>
      <c r="X182" s="1816" t="s">
        <v>1445</v>
      </c>
      <c r="Y182" s="1817" t="s">
        <v>1445</v>
      </c>
      <c r="Z182" s="1082"/>
      <c r="AA182" s="1071"/>
      <c r="AB182" s="1071"/>
      <c r="AC182" s="1071"/>
      <c r="AD182" s="1071"/>
      <c r="AE182" s="1071"/>
      <c r="AF182" s="1071"/>
      <c r="AG182" s="1071"/>
      <c r="AH182" s="1071"/>
      <c r="AI182" s="1071"/>
      <c r="AJ182" s="1071"/>
      <c r="AK182" s="1071"/>
      <c r="AL182" s="1071"/>
      <c r="AM182" s="1071"/>
      <c r="AN182" s="1071"/>
      <c r="AO182" s="1071"/>
      <c r="AP182" s="1071"/>
    </row>
    <row r="183" spans="1:42" s="1236" customFormat="1" hidden="1" outlineLevel="1" x14ac:dyDescent="0.3">
      <c r="A183" s="1070"/>
      <c r="B183" s="1070"/>
      <c r="C183" s="1070"/>
      <c r="D183" s="1070"/>
      <c r="E183" s="1070"/>
      <c r="F183" s="1070"/>
      <c r="G183" s="1070"/>
      <c r="H183" s="1440" t="s">
        <v>1456</v>
      </c>
      <c r="I183" s="1441"/>
      <c r="J183" s="1441"/>
      <c r="K183" s="1809" t="s">
        <v>1445</v>
      </c>
      <c r="L183" s="1443" t="s">
        <v>1445</v>
      </c>
      <c r="M183" s="1070"/>
      <c r="N183" s="1070"/>
      <c r="O183" s="1422" t="s">
        <v>1348</v>
      </c>
      <c r="P183" s="1412"/>
      <c r="Q183" s="1836"/>
      <c r="R183" s="1079"/>
      <c r="T183" s="1079"/>
      <c r="U183" s="1082"/>
      <c r="V183" s="1149"/>
      <c r="W183" s="1437"/>
      <c r="X183" s="3182"/>
      <c r="Y183" s="3183"/>
      <c r="Z183" s="1082"/>
      <c r="AA183" s="1071"/>
      <c r="AB183" s="1071"/>
      <c r="AC183" s="1071"/>
      <c r="AD183" s="1071"/>
      <c r="AE183" s="1071"/>
      <c r="AF183" s="1071"/>
      <c r="AG183" s="1071"/>
      <c r="AH183" s="1071"/>
      <c r="AI183" s="1071"/>
      <c r="AJ183" s="1071"/>
      <c r="AK183" s="1071"/>
      <c r="AL183" s="1071"/>
      <c r="AM183" s="1071"/>
      <c r="AN183" s="1071"/>
      <c r="AO183" s="1071"/>
      <c r="AP183" s="1071"/>
    </row>
    <row r="184" spans="1:42" s="1236" customFormat="1" hidden="1" outlineLevel="1" x14ac:dyDescent="0.3">
      <c r="A184" s="1070"/>
      <c r="B184" s="1070"/>
      <c r="C184" s="1070"/>
      <c r="D184" s="1070"/>
      <c r="E184" s="1070"/>
      <c r="F184" s="1070"/>
      <c r="G184" s="1070"/>
      <c r="H184" s="1800" t="s">
        <v>446</v>
      </c>
      <c r="I184" s="1801"/>
      <c r="J184" s="1801"/>
      <c r="K184" s="1813"/>
      <c r="L184" s="1814"/>
      <c r="M184" s="1070"/>
      <c r="N184" s="1070"/>
      <c r="O184" s="1434" t="s">
        <v>1349</v>
      </c>
      <c r="P184" s="1435"/>
      <c r="Q184" s="1837"/>
      <c r="R184" s="1079"/>
      <c r="T184" s="1079"/>
      <c r="U184" s="1082"/>
      <c r="V184" s="1149" t="s">
        <v>758</v>
      </c>
      <c r="W184" s="1437"/>
      <c r="X184" s="1811" t="s">
        <v>1445</v>
      </c>
      <c r="Y184" s="1812" t="s">
        <v>1445</v>
      </c>
      <c r="Z184" s="1082"/>
      <c r="AA184" s="1071"/>
      <c r="AB184" s="1071"/>
      <c r="AC184" s="1071"/>
      <c r="AD184" s="1071"/>
      <c r="AE184" s="1071"/>
      <c r="AF184" s="1071"/>
      <c r="AG184" s="1071"/>
      <c r="AH184" s="1071"/>
      <c r="AI184" s="1071"/>
      <c r="AJ184" s="1071"/>
      <c r="AK184" s="1071"/>
      <c r="AL184" s="1071"/>
      <c r="AM184" s="1071"/>
      <c r="AN184" s="1071"/>
      <c r="AO184" s="1071"/>
      <c r="AP184" s="1071"/>
    </row>
    <row r="185" spans="1:42" s="1236" customFormat="1" hidden="1" outlineLevel="1" x14ac:dyDescent="0.3">
      <c r="A185" s="1070"/>
      <c r="B185" s="1070"/>
      <c r="C185" s="1070"/>
      <c r="D185" s="1070"/>
      <c r="E185" s="1070"/>
      <c r="F185" s="1070"/>
      <c r="G185" s="1070"/>
      <c r="H185" s="1440" t="s">
        <v>1456</v>
      </c>
      <c r="I185" s="1441"/>
      <c r="J185" s="1441"/>
      <c r="K185" s="1809" t="s">
        <v>1445</v>
      </c>
      <c r="L185" s="1443" t="s">
        <v>1445</v>
      </c>
      <c r="M185" s="1070"/>
      <c r="N185" s="1070"/>
      <c r="O185" s="1070"/>
      <c r="P185" s="1070"/>
      <c r="Q185" s="1070"/>
      <c r="R185" s="1070"/>
      <c r="S185" s="1070"/>
      <c r="T185" s="1070"/>
      <c r="U185" s="1082"/>
      <c r="V185" s="1149" t="s">
        <v>759</v>
      </c>
      <c r="W185" s="1437"/>
      <c r="X185" s="1811" t="s">
        <v>1445</v>
      </c>
      <c r="Y185" s="1812" t="s">
        <v>1445</v>
      </c>
      <c r="Z185" s="1082"/>
      <c r="AA185" s="1071"/>
      <c r="AB185" s="1071"/>
      <c r="AC185" s="1071"/>
      <c r="AD185" s="1071"/>
      <c r="AE185" s="1071"/>
      <c r="AF185" s="1071"/>
      <c r="AG185" s="1071"/>
      <c r="AH185" s="1071"/>
      <c r="AI185" s="1071"/>
      <c r="AJ185" s="1071"/>
      <c r="AK185" s="1071"/>
      <c r="AL185" s="1071"/>
      <c r="AM185" s="1071"/>
      <c r="AN185" s="1071"/>
      <c r="AO185" s="1071"/>
      <c r="AP185" s="1071"/>
    </row>
    <row r="186" spans="1:42" s="1236" customFormat="1" hidden="1" outlineLevel="1" x14ac:dyDescent="0.3">
      <c r="A186" s="1070"/>
      <c r="B186" s="1070"/>
      <c r="C186" s="1070"/>
      <c r="D186" s="1070"/>
      <c r="E186" s="1070"/>
      <c r="F186" s="1070"/>
      <c r="G186" s="1070"/>
      <c r="H186" s="1800" t="s">
        <v>1305</v>
      </c>
      <c r="I186" s="1801"/>
      <c r="J186" s="1801"/>
      <c r="K186" s="1813"/>
      <c r="L186" s="1814"/>
      <c r="M186" s="1070"/>
      <c r="N186" s="1070"/>
      <c r="O186" s="1422" t="s">
        <v>3</v>
      </c>
      <c r="P186" s="1186"/>
      <c r="Q186" s="1848"/>
      <c r="R186" s="1070"/>
      <c r="S186" s="1070"/>
      <c r="T186" s="1070"/>
      <c r="U186" s="1082"/>
      <c r="V186" s="1184" t="s">
        <v>1268</v>
      </c>
      <c r="W186" s="1459"/>
      <c r="X186" s="1816" t="s">
        <v>1445</v>
      </c>
      <c r="Y186" s="1817" t="s">
        <v>1445</v>
      </c>
      <c r="Z186" s="1082"/>
      <c r="AA186" s="1071"/>
      <c r="AB186" s="1071"/>
      <c r="AC186" s="1071"/>
      <c r="AD186" s="1071"/>
      <c r="AE186" s="1071"/>
      <c r="AF186" s="1071"/>
      <c r="AG186" s="1071"/>
      <c r="AH186" s="1071"/>
      <c r="AI186" s="1071"/>
      <c r="AJ186" s="1071"/>
      <c r="AK186" s="1071"/>
      <c r="AL186" s="1071"/>
      <c r="AM186" s="1071"/>
      <c r="AN186" s="1071"/>
      <c r="AO186" s="1071"/>
      <c r="AP186" s="1071"/>
    </row>
    <row r="187" spans="1:42" s="1236" customFormat="1" hidden="1" outlineLevel="1" x14ac:dyDescent="0.3">
      <c r="A187" s="1070"/>
      <c r="B187" s="1070"/>
      <c r="C187" s="1070"/>
      <c r="D187" s="1070"/>
      <c r="E187" s="1070"/>
      <c r="F187" s="1070"/>
      <c r="G187" s="1070"/>
      <c r="H187" s="1465" t="s">
        <v>1456</v>
      </c>
      <c r="I187" s="1466"/>
      <c r="J187" s="1466"/>
      <c r="K187" s="1822" t="s">
        <v>1445</v>
      </c>
      <c r="L187" s="1448" t="s">
        <v>1445</v>
      </c>
      <c r="M187" s="1070"/>
      <c r="N187" s="1070"/>
      <c r="O187" s="1434" t="s">
        <v>1458</v>
      </c>
      <c r="P187" s="1459"/>
      <c r="Q187" s="1849"/>
      <c r="R187" s="1070"/>
      <c r="S187" s="1070"/>
      <c r="T187" s="1070"/>
      <c r="U187" s="1082"/>
      <c r="V187" s="1082"/>
      <c r="W187" s="1082"/>
      <c r="X187" s="1082"/>
      <c r="Y187" s="1082"/>
      <c r="Z187" s="1082"/>
      <c r="AA187" s="1071"/>
      <c r="AB187" s="1071"/>
      <c r="AC187" s="1071"/>
      <c r="AD187" s="1071"/>
      <c r="AE187" s="1071"/>
      <c r="AF187" s="1071"/>
      <c r="AG187" s="1071"/>
      <c r="AH187" s="1071"/>
      <c r="AI187" s="1071"/>
      <c r="AJ187" s="1071"/>
      <c r="AK187" s="1071"/>
      <c r="AL187" s="1071"/>
      <c r="AM187" s="1071"/>
      <c r="AN187" s="1071"/>
      <c r="AO187" s="1071"/>
      <c r="AP187" s="1071"/>
    </row>
    <row r="188" spans="1:42" s="1236" customFormat="1" collapsed="1" x14ac:dyDescent="0.3">
      <c r="A188" s="1070"/>
      <c r="B188" s="1070"/>
      <c r="C188" s="1070"/>
      <c r="D188" s="1070"/>
      <c r="E188" s="1070"/>
      <c r="F188" s="1070"/>
      <c r="G188" s="1070"/>
      <c r="H188" s="1070"/>
      <c r="I188" s="1070"/>
      <c r="J188" s="1070"/>
      <c r="K188" s="1070"/>
      <c r="L188" s="1070"/>
      <c r="M188" s="1070"/>
      <c r="N188" s="1070"/>
      <c r="R188" s="1070"/>
      <c r="S188" s="1070"/>
      <c r="T188" s="1070"/>
      <c r="U188" s="1070"/>
      <c r="V188" s="1070"/>
      <c r="W188" s="1070"/>
      <c r="X188" s="1070"/>
      <c r="Y188" s="1070"/>
      <c r="Z188" s="1070"/>
      <c r="AA188" s="1071"/>
      <c r="AB188" s="1071"/>
      <c r="AC188" s="1071"/>
      <c r="AD188" s="1071"/>
      <c r="AE188" s="1071"/>
      <c r="AF188" s="1071"/>
      <c r="AG188" s="1071"/>
      <c r="AH188" s="1071"/>
      <c r="AI188" s="1071"/>
      <c r="AJ188" s="1071"/>
      <c r="AK188" s="1071"/>
      <c r="AL188" s="1071"/>
      <c r="AM188" s="1071"/>
      <c r="AN188" s="1071"/>
      <c r="AO188" s="1071"/>
      <c r="AP188" s="1071"/>
    </row>
    <row r="189" spans="1:42" s="1236" customFormat="1" x14ac:dyDescent="0.3">
      <c r="A189" s="1070"/>
      <c r="B189" s="1070"/>
      <c r="C189" s="1070"/>
      <c r="D189" s="1070"/>
      <c r="E189" s="1070"/>
      <c r="F189" s="1070"/>
      <c r="G189" s="1070"/>
      <c r="H189" s="1070"/>
      <c r="I189" s="1070"/>
      <c r="J189" s="1070"/>
      <c r="K189" s="1070"/>
      <c r="L189" s="1070"/>
      <c r="M189" s="1070"/>
      <c r="N189" s="1070"/>
      <c r="R189" s="1070"/>
      <c r="S189" s="1070"/>
      <c r="T189" s="1070"/>
      <c r="U189" s="1070"/>
      <c r="V189" s="1070"/>
      <c r="W189" s="1070"/>
      <c r="X189" s="1070"/>
      <c r="Y189" s="1070"/>
      <c r="Z189" s="1070"/>
      <c r="AA189" s="1071"/>
      <c r="AB189" s="1071"/>
      <c r="AC189" s="1071"/>
      <c r="AD189" s="1071"/>
      <c r="AE189" s="1071"/>
      <c r="AF189" s="1071"/>
      <c r="AG189" s="1071"/>
      <c r="AH189" s="1071"/>
      <c r="AI189" s="1071"/>
      <c r="AJ189" s="1071"/>
      <c r="AK189" s="1071"/>
      <c r="AL189" s="1071"/>
      <c r="AM189" s="1071"/>
      <c r="AN189" s="1071"/>
      <c r="AO189" s="1071"/>
      <c r="AP189" s="1071"/>
    </row>
    <row r="190" spans="1:42" s="1831" customFormat="1" x14ac:dyDescent="0.3">
      <c r="A190" s="1824"/>
      <c r="B190" s="1824"/>
      <c r="C190" s="1824"/>
      <c r="D190" s="1824"/>
      <c r="E190" s="1824"/>
      <c r="F190" s="1824"/>
      <c r="G190" s="1824"/>
      <c r="H190" s="1824"/>
      <c r="I190" s="1824"/>
      <c r="J190" s="1824"/>
      <c r="K190" s="1824"/>
      <c r="L190" s="1824"/>
      <c r="M190" s="1824"/>
      <c r="N190" s="1824"/>
      <c r="O190" s="1824"/>
      <c r="P190" s="1824"/>
      <c r="Q190" s="1824"/>
      <c r="R190" s="1824"/>
      <c r="S190" s="1824"/>
      <c r="T190" s="1824"/>
      <c r="U190" s="1824"/>
      <c r="V190" s="1824"/>
      <c r="W190" s="1824"/>
      <c r="X190" s="1824"/>
      <c r="Y190" s="1824"/>
      <c r="Z190" s="1824"/>
    </row>
    <row r="191" spans="1:42" x14ac:dyDescent="0.3">
      <c r="A191" s="1070"/>
      <c r="B191" s="1070"/>
      <c r="C191" s="1070"/>
      <c r="D191" s="1070"/>
      <c r="E191" s="1070"/>
      <c r="F191" s="1070"/>
      <c r="G191" s="1070"/>
      <c r="H191" s="1070"/>
      <c r="I191" s="1070"/>
      <c r="J191" s="1070"/>
      <c r="K191" s="1070"/>
      <c r="L191" s="1070"/>
      <c r="M191" s="1070"/>
      <c r="N191" s="1070"/>
      <c r="O191" s="1070"/>
      <c r="P191" s="1070"/>
      <c r="Q191" s="1070"/>
      <c r="R191" s="1070"/>
      <c r="S191" s="1070"/>
      <c r="T191" s="1070"/>
      <c r="U191" s="1082"/>
      <c r="V191" s="1082"/>
      <c r="W191" s="1082"/>
      <c r="X191" s="1082"/>
      <c r="Y191" s="1082"/>
      <c r="Z191" s="1082"/>
    </row>
    <row r="192" spans="1:42" x14ac:dyDescent="0.3">
      <c r="A192" s="1070"/>
      <c r="B192" s="1077" t="s">
        <v>1475</v>
      </c>
      <c r="C192" s="1070"/>
      <c r="D192" s="1070"/>
      <c r="E192" s="1070"/>
      <c r="F192" s="1070"/>
      <c r="G192" s="1070"/>
      <c r="H192" s="1070"/>
      <c r="I192" s="1070"/>
      <c r="J192" s="1070"/>
      <c r="K192" s="1070"/>
      <c r="L192" s="1070"/>
      <c r="M192" s="1070"/>
      <c r="N192" s="1070"/>
      <c r="O192" s="1070"/>
      <c r="P192" s="1070"/>
      <c r="Q192" s="1070"/>
      <c r="R192" s="1070"/>
      <c r="S192" s="1070"/>
      <c r="T192" s="1070"/>
      <c r="U192" s="1070"/>
      <c r="V192" s="1070"/>
      <c r="W192" s="1070"/>
      <c r="X192" s="1070"/>
      <c r="Y192" s="1070"/>
      <c r="Z192" s="1070"/>
    </row>
    <row r="193" spans="1:40" x14ac:dyDescent="0.3">
      <c r="A193" s="1070"/>
      <c r="B193" s="1734"/>
      <c r="C193" s="1070"/>
      <c r="D193" s="1070"/>
      <c r="E193" s="1070"/>
      <c r="F193" s="1070"/>
      <c r="G193" s="1070"/>
      <c r="H193" s="1070"/>
      <c r="I193" s="1070"/>
      <c r="J193" s="1070"/>
      <c r="K193" s="1070"/>
      <c r="L193" s="1070"/>
      <c r="M193" s="1070"/>
      <c r="N193" s="1070"/>
      <c r="O193" s="1070"/>
      <c r="P193" s="1070"/>
      <c r="Q193" s="1070"/>
      <c r="R193" s="1070"/>
      <c r="S193" s="1070"/>
      <c r="T193" s="1070"/>
      <c r="U193" s="1070"/>
      <c r="V193" s="1070"/>
      <c r="W193" s="1070"/>
      <c r="X193" s="1070"/>
      <c r="Y193" s="1070"/>
      <c r="Z193" s="1070"/>
    </row>
    <row r="194" spans="1:40" hidden="1" outlineLevel="1" x14ac:dyDescent="0.3">
      <c r="A194" s="1082"/>
      <c r="B194" s="1734" t="s">
        <v>1442</v>
      </c>
      <c r="C194" s="1070"/>
      <c r="D194" s="1070"/>
      <c r="E194" s="1070"/>
      <c r="F194" s="1070"/>
      <c r="G194" s="1070"/>
      <c r="H194" s="1070"/>
      <c r="I194" s="1070"/>
      <c r="J194" s="1070"/>
      <c r="K194" s="1070"/>
      <c r="L194" s="1070"/>
      <c r="M194" s="1070"/>
      <c r="N194" s="1070"/>
      <c r="O194" s="1070"/>
      <c r="P194" s="1070"/>
      <c r="Q194" s="1070"/>
      <c r="R194" s="1070"/>
      <c r="S194" s="1070"/>
      <c r="T194" s="1070"/>
      <c r="U194" s="1070"/>
      <c r="V194" s="1070"/>
      <c r="W194" s="1070"/>
      <c r="X194" s="1070"/>
      <c r="Y194" s="1070"/>
      <c r="Z194" s="1070"/>
    </row>
    <row r="195" spans="1:40" hidden="1" outlineLevel="1" x14ac:dyDescent="0.3">
      <c r="A195" s="1082"/>
      <c r="B195" s="1070"/>
      <c r="C195" s="1070"/>
      <c r="D195" s="1739" t="s">
        <v>1432</v>
      </c>
      <c r="E195" s="1740" t="s">
        <v>682</v>
      </c>
      <c r="F195" s="1070"/>
      <c r="G195" s="1070"/>
      <c r="H195" s="1070"/>
      <c r="I195" s="1070"/>
      <c r="J195" s="1070"/>
      <c r="K195" s="1070"/>
      <c r="L195" s="1070"/>
      <c r="M195" s="1070"/>
      <c r="N195" s="1070"/>
      <c r="O195" s="1070"/>
      <c r="P195" s="1070"/>
      <c r="Q195" s="1070"/>
      <c r="R195" s="1070"/>
      <c r="S195" s="1070"/>
      <c r="T195" s="1070"/>
      <c r="U195" s="1070"/>
      <c r="V195" s="1070"/>
      <c r="W195" s="1070"/>
      <c r="X195" s="1070"/>
      <c r="Y195" s="1070"/>
      <c r="Z195" s="1070"/>
    </row>
    <row r="196" spans="1:40" hidden="1" outlineLevel="1" x14ac:dyDescent="0.3">
      <c r="A196" s="1082"/>
      <c r="B196" s="1164" t="s">
        <v>1476</v>
      </c>
      <c r="C196" s="1146"/>
      <c r="D196" s="1743" t="s">
        <v>1445</v>
      </c>
      <c r="E196" s="1744" t="s">
        <v>1445</v>
      </c>
      <c r="F196" s="1070"/>
      <c r="G196" s="1153" t="s">
        <v>1471</v>
      </c>
      <c r="H196" s="1070"/>
      <c r="I196" s="1070"/>
      <c r="J196" s="1070"/>
      <c r="K196" s="1070"/>
      <c r="L196" s="1070"/>
      <c r="M196" s="1070"/>
      <c r="N196" s="1070"/>
      <c r="O196" s="1070"/>
      <c r="P196" s="1070"/>
      <c r="Q196" s="1070"/>
      <c r="R196" s="1070"/>
      <c r="S196" s="1070"/>
      <c r="T196" s="1070"/>
      <c r="U196" s="1070"/>
      <c r="V196" s="1070"/>
      <c r="W196" s="1070"/>
      <c r="X196" s="1070"/>
      <c r="Y196" s="1070"/>
      <c r="Z196" s="1070"/>
    </row>
    <row r="197" spans="1:40" hidden="1" outlineLevel="1" x14ac:dyDescent="0.3">
      <c r="A197" s="1082"/>
      <c r="B197" s="1070"/>
      <c r="C197" s="1070"/>
      <c r="D197" s="1070"/>
      <c r="E197" s="1070"/>
      <c r="F197" s="1070"/>
      <c r="G197" s="1070"/>
      <c r="H197" s="1070"/>
      <c r="I197" s="1070"/>
      <c r="J197" s="1070"/>
      <c r="K197" s="1070"/>
      <c r="L197" s="1070"/>
      <c r="M197" s="1070"/>
      <c r="N197" s="1070"/>
      <c r="O197" s="1070"/>
      <c r="P197" s="1070"/>
      <c r="Q197" s="1070"/>
      <c r="R197" s="1070"/>
      <c r="S197" s="1070"/>
      <c r="T197" s="1070"/>
      <c r="U197" s="1070"/>
      <c r="V197" s="1070"/>
      <c r="W197" s="1070"/>
      <c r="X197" s="1070"/>
      <c r="Y197" s="1070"/>
      <c r="Z197" s="1070"/>
    </row>
    <row r="198" spans="1:40" hidden="1" outlineLevel="1" x14ac:dyDescent="0.3">
      <c r="A198" s="1082"/>
      <c r="B198" s="1070"/>
      <c r="C198" s="1070"/>
      <c r="D198" s="1070"/>
      <c r="E198" s="1070"/>
      <c r="F198" s="1070"/>
      <c r="G198" s="1070"/>
      <c r="H198" s="1070"/>
      <c r="I198" s="1070"/>
      <c r="J198" s="1070"/>
      <c r="K198" s="1070"/>
      <c r="L198" s="1070"/>
      <c r="M198" s="1070"/>
      <c r="N198" s="1070"/>
      <c r="O198" s="1070"/>
      <c r="P198" s="1070"/>
      <c r="Q198" s="1070"/>
      <c r="R198" s="1070"/>
      <c r="S198" s="1070"/>
      <c r="T198" s="1070"/>
      <c r="U198" s="1070"/>
      <c r="V198" s="1070"/>
      <c r="W198" s="1070"/>
      <c r="X198" s="1070"/>
      <c r="Y198" s="1070"/>
      <c r="Z198" s="1070"/>
      <c r="AA198" s="1070"/>
      <c r="AB198" s="1070"/>
      <c r="AC198" s="1070"/>
      <c r="AD198" s="1070"/>
      <c r="AE198" s="1070"/>
      <c r="AF198" s="1070"/>
      <c r="AG198" s="1070"/>
      <c r="AH198" s="1070"/>
      <c r="AI198" s="1070"/>
      <c r="AJ198" s="1070"/>
      <c r="AK198" s="1070"/>
      <c r="AL198" s="1070"/>
      <c r="AM198" s="1070"/>
      <c r="AN198" s="1070"/>
    </row>
    <row r="199" spans="1:40" ht="36" hidden="1" outlineLevel="1" x14ac:dyDescent="0.3">
      <c r="A199" s="1082"/>
      <c r="B199" s="1240"/>
      <c r="C199" s="1241"/>
      <c r="D199" s="1241"/>
      <c r="E199" s="1241"/>
      <c r="F199" s="1746" t="s">
        <v>739</v>
      </c>
      <c r="G199" s="1746" t="s">
        <v>1461</v>
      </c>
      <c r="H199" s="1746" t="s">
        <v>1461</v>
      </c>
      <c r="I199" s="1746" t="s">
        <v>1461</v>
      </c>
      <c r="J199" s="1746" t="s">
        <v>1461</v>
      </c>
      <c r="K199" s="1747" t="s">
        <v>1461</v>
      </c>
      <c r="L199" s="1747" t="s">
        <v>1461</v>
      </c>
      <c r="M199" s="1747" t="s">
        <v>1461</v>
      </c>
      <c r="N199" s="1747" t="s">
        <v>1461</v>
      </c>
      <c r="O199" s="1747" t="s">
        <v>1461</v>
      </c>
      <c r="P199" s="1747" t="s">
        <v>1461</v>
      </c>
      <c r="Q199" s="1747" t="s">
        <v>1461</v>
      </c>
      <c r="R199" s="1747" t="s">
        <v>1461</v>
      </c>
      <c r="S199" s="1747" t="s">
        <v>1461</v>
      </c>
      <c r="T199" s="1747" t="s">
        <v>1461</v>
      </c>
      <c r="U199" s="1747" t="s">
        <v>1461</v>
      </c>
      <c r="V199" s="1747" t="s">
        <v>1461</v>
      </c>
      <c r="W199" s="1747" t="s">
        <v>1461</v>
      </c>
      <c r="X199" s="1747" t="s">
        <v>1461</v>
      </c>
      <c r="Y199" s="1747" t="s">
        <v>1461</v>
      </c>
      <c r="Z199" s="1747" t="s">
        <v>1461</v>
      </c>
      <c r="AA199" s="1747" t="s">
        <v>1461</v>
      </c>
      <c r="AB199" s="1747" t="s">
        <v>1461</v>
      </c>
      <c r="AC199" s="1747" t="s">
        <v>1461</v>
      </c>
      <c r="AD199" s="1747" t="s">
        <v>1461</v>
      </c>
      <c r="AE199" s="1747" t="s">
        <v>1461</v>
      </c>
      <c r="AF199" s="1747" t="s">
        <v>1461</v>
      </c>
      <c r="AG199" s="1747" t="s">
        <v>1461</v>
      </c>
      <c r="AH199" s="1747" t="s">
        <v>1461</v>
      </c>
      <c r="AI199" s="1747" t="s">
        <v>1461</v>
      </c>
      <c r="AJ199" s="1748" t="s">
        <v>1316</v>
      </c>
      <c r="AK199" s="1749" t="s">
        <v>1315</v>
      </c>
      <c r="AL199" s="1750"/>
      <c r="AM199" s="1746" t="s">
        <v>1316</v>
      </c>
      <c r="AN199" s="1070"/>
    </row>
    <row r="200" spans="1:40" hidden="1" outlineLevel="1" x14ac:dyDescent="0.3">
      <c r="A200" s="1082"/>
      <c r="B200" s="1149"/>
      <c r="C200" s="1142"/>
      <c r="D200" s="1142"/>
      <c r="E200" s="1142"/>
      <c r="F200" s="1753"/>
      <c r="G200" s="1754"/>
      <c r="H200" s="1754"/>
      <c r="I200" s="1754"/>
      <c r="J200" s="1754"/>
      <c r="K200" s="1754"/>
      <c r="L200" s="1754"/>
      <c r="M200" s="1754"/>
      <c r="N200" s="1755"/>
      <c r="O200" s="1756"/>
      <c r="P200" s="1756"/>
      <c r="Q200" s="1756"/>
      <c r="R200" s="1756"/>
      <c r="S200" s="1756"/>
      <c r="T200" s="1756"/>
      <c r="U200" s="1756"/>
      <c r="V200" s="1756"/>
      <c r="W200" s="1756"/>
      <c r="X200" s="1756"/>
      <c r="Y200" s="1756"/>
      <c r="Z200" s="1756"/>
      <c r="AA200" s="1756"/>
      <c r="AB200" s="1756"/>
      <c r="AC200" s="1756"/>
      <c r="AD200" s="1756"/>
      <c r="AE200" s="1756"/>
      <c r="AF200" s="1756"/>
      <c r="AG200" s="1756"/>
      <c r="AH200" s="1756"/>
      <c r="AI200" s="1756"/>
      <c r="AJ200" s="1251"/>
      <c r="AK200" s="1252"/>
      <c r="AL200" s="1757"/>
      <c r="AN200" s="1070"/>
    </row>
    <row r="201" spans="1:40" ht="18" hidden="1" outlineLevel="1" x14ac:dyDescent="0.3">
      <c r="A201" s="1082"/>
      <c r="B201" s="1253" t="s">
        <v>784</v>
      </c>
      <c r="C201" s="1254"/>
      <c r="D201" s="1254"/>
      <c r="E201" s="1255"/>
      <c r="F201" s="1261">
        <v>0</v>
      </c>
      <c r="G201" s="1263">
        <v>0</v>
      </c>
      <c r="H201" s="1262">
        <v>0</v>
      </c>
      <c r="I201" s="1262">
        <v>0</v>
      </c>
      <c r="J201" s="1262">
        <v>0</v>
      </c>
      <c r="K201" s="1262">
        <v>0</v>
      </c>
      <c r="L201" s="1262">
        <v>0</v>
      </c>
      <c r="M201" s="1262">
        <v>0</v>
      </c>
      <c r="N201" s="1262">
        <v>0</v>
      </c>
      <c r="O201" s="1262">
        <v>0</v>
      </c>
      <c r="P201" s="1262">
        <v>0</v>
      </c>
      <c r="Q201" s="1262">
        <v>0</v>
      </c>
      <c r="R201" s="1262">
        <v>0</v>
      </c>
      <c r="S201" s="1262">
        <v>0</v>
      </c>
      <c r="T201" s="1262">
        <v>0</v>
      </c>
      <c r="U201" s="1262">
        <v>0</v>
      </c>
      <c r="V201" s="1262">
        <v>0</v>
      </c>
      <c r="W201" s="1262">
        <v>0</v>
      </c>
      <c r="X201" s="1262">
        <v>0</v>
      </c>
      <c r="Y201" s="1262">
        <v>0</v>
      </c>
      <c r="Z201" s="1262">
        <v>0</v>
      </c>
      <c r="AA201" s="1262">
        <v>0</v>
      </c>
      <c r="AB201" s="1262">
        <v>0</v>
      </c>
      <c r="AC201" s="1262">
        <v>0</v>
      </c>
      <c r="AD201" s="1262">
        <v>0</v>
      </c>
      <c r="AE201" s="1262">
        <v>0</v>
      </c>
      <c r="AF201" s="1262">
        <v>0</v>
      </c>
      <c r="AG201" s="1262">
        <v>0</v>
      </c>
      <c r="AH201" s="1262">
        <v>0</v>
      </c>
      <c r="AI201" s="1262">
        <v>0</v>
      </c>
      <c r="AJ201" s="1263">
        <v>0</v>
      </c>
      <c r="AK201" s="1264"/>
      <c r="AL201" s="1761"/>
      <c r="AM201" s="1261">
        <v>0</v>
      </c>
      <c r="AN201" s="1070"/>
    </row>
    <row r="202" spans="1:40" hidden="1" outlineLevel="1" x14ac:dyDescent="0.3">
      <c r="A202" s="1082"/>
      <c r="B202" s="1266" t="s">
        <v>1317</v>
      </c>
      <c r="C202" s="1267"/>
      <c r="D202" s="1267"/>
      <c r="E202" s="1267"/>
      <c r="F202" s="1274"/>
      <c r="G202" s="1276">
        <v>0</v>
      </c>
      <c r="H202" s="1275">
        <v>0</v>
      </c>
      <c r="I202" s="1275">
        <v>0</v>
      </c>
      <c r="J202" s="1275">
        <v>0</v>
      </c>
      <c r="K202" s="1275">
        <v>0</v>
      </c>
      <c r="L202" s="1275">
        <v>0</v>
      </c>
      <c r="M202" s="1275">
        <v>0</v>
      </c>
      <c r="N202" s="1275">
        <v>0</v>
      </c>
      <c r="O202" s="1275">
        <v>0</v>
      </c>
      <c r="P202" s="1275">
        <v>0</v>
      </c>
      <c r="Q202" s="1275">
        <v>0</v>
      </c>
      <c r="R202" s="1275">
        <v>0</v>
      </c>
      <c r="S202" s="1275">
        <v>0</v>
      </c>
      <c r="T202" s="1275">
        <v>0</v>
      </c>
      <c r="U202" s="1275">
        <v>0</v>
      </c>
      <c r="V202" s="1275">
        <v>0</v>
      </c>
      <c r="W202" s="1275">
        <v>0</v>
      </c>
      <c r="X202" s="1275">
        <v>0</v>
      </c>
      <c r="Y202" s="1275">
        <v>0</v>
      </c>
      <c r="Z202" s="1275">
        <v>0</v>
      </c>
      <c r="AA202" s="1275">
        <v>0</v>
      </c>
      <c r="AB202" s="1275">
        <v>0</v>
      </c>
      <c r="AC202" s="1275">
        <v>0</v>
      </c>
      <c r="AD202" s="1275">
        <v>0</v>
      </c>
      <c r="AE202" s="1275">
        <v>0</v>
      </c>
      <c r="AF202" s="1275">
        <v>0</v>
      </c>
      <c r="AG202" s="1275">
        <v>0</v>
      </c>
      <c r="AH202" s="1275">
        <v>0</v>
      </c>
      <c r="AI202" s="1275">
        <v>0</v>
      </c>
      <c r="AJ202" s="1276">
        <v>0</v>
      </c>
      <c r="AK202" s="1277" t="s">
        <v>1318</v>
      </c>
      <c r="AL202" s="1762"/>
      <c r="AM202" s="1279"/>
      <c r="AN202" s="1070"/>
    </row>
    <row r="203" spans="1:40" hidden="1" outlineLevel="1" x14ac:dyDescent="0.3">
      <c r="A203" s="1082"/>
      <c r="B203" s="1266" t="s">
        <v>1319</v>
      </c>
      <c r="C203" s="1766" t="s">
        <v>1449</v>
      </c>
      <c r="D203" s="1767"/>
      <c r="E203" s="1267"/>
      <c r="F203" s="1274"/>
      <c r="G203" s="1276">
        <v>0</v>
      </c>
      <c r="H203" s="1275">
        <v>0</v>
      </c>
      <c r="I203" s="1275">
        <v>0</v>
      </c>
      <c r="J203" s="1275">
        <v>0</v>
      </c>
      <c r="K203" s="1275">
        <v>0</v>
      </c>
      <c r="L203" s="1275">
        <v>0</v>
      </c>
      <c r="M203" s="1275">
        <v>0</v>
      </c>
      <c r="N203" s="1275">
        <v>0</v>
      </c>
      <c r="O203" s="1275">
        <v>0</v>
      </c>
      <c r="P203" s="1275">
        <v>0</v>
      </c>
      <c r="Q203" s="1275">
        <v>0</v>
      </c>
      <c r="R203" s="1275">
        <v>0</v>
      </c>
      <c r="S203" s="1275">
        <v>0</v>
      </c>
      <c r="T203" s="1275">
        <v>0</v>
      </c>
      <c r="U203" s="1275">
        <v>0</v>
      </c>
      <c r="V203" s="1275">
        <v>0</v>
      </c>
      <c r="W203" s="1275">
        <v>0</v>
      </c>
      <c r="X203" s="1275">
        <v>0</v>
      </c>
      <c r="Y203" s="1275">
        <v>0</v>
      </c>
      <c r="Z203" s="1275">
        <v>0</v>
      </c>
      <c r="AA203" s="1275">
        <v>0</v>
      </c>
      <c r="AB203" s="1275">
        <v>0</v>
      </c>
      <c r="AC203" s="1275">
        <v>0</v>
      </c>
      <c r="AD203" s="1275">
        <v>0</v>
      </c>
      <c r="AE203" s="1275">
        <v>0</v>
      </c>
      <c r="AF203" s="1275">
        <v>0</v>
      </c>
      <c r="AG203" s="1275">
        <v>0</v>
      </c>
      <c r="AH203" s="1275">
        <v>0</v>
      </c>
      <c r="AI203" s="1275">
        <v>0</v>
      </c>
      <c r="AJ203" s="1276">
        <v>0</v>
      </c>
      <c r="AK203" s="1277"/>
      <c r="AL203" s="1762"/>
      <c r="AM203" s="1279"/>
      <c r="AN203" s="1070"/>
    </row>
    <row r="204" spans="1:40" ht="18" hidden="1" outlineLevel="1" x14ac:dyDescent="0.3">
      <c r="A204" s="1082"/>
      <c r="B204" s="1283" t="s">
        <v>1320</v>
      </c>
      <c r="C204" s="1284"/>
      <c r="D204" s="1284"/>
      <c r="E204" s="1286"/>
      <c r="F204" s="1292"/>
      <c r="G204" s="1768">
        <v>0</v>
      </c>
      <c r="H204" s="1769">
        <v>0</v>
      </c>
      <c r="I204" s="1769">
        <v>0</v>
      </c>
      <c r="J204" s="1769">
        <v>0</v>
      </c>
      <c r="K204" s="1769">
        <v>0</v>
      </c>
      <c r="L204" s="1769">
        <v>0</v>
      </c>
      <c r="M204" s="1769">
        <v>0</v>
      </c>
      <c r="N204" s="1769">
        <v>0</v>
      </c>
      <c r="O204" s="1769">
        <v>0</v>
      </c>
      <c r="P204" s="1769">
        <v>0</v>
      </c>
      <c r="Q204" s="1769">
        <v>0</v>
      </c>
      <c r="R204" s="1769">
        <v>0</v>
      </c>
      <c r="S204" s="1769">
        <v>0</v>
      </c>
      <c r="T204" s="1769">
        <v>0</v>
      </c>
      <c r="U204" s="1769">
        <v>0</v>
      </c>
      <c r="V204" s="1769">
        <v>0</v>
      </c>
      <c r="W204" s="1769">
        <v>0</v>
      </c>
      <c r="X204" s="1769">
        <v>0</v>
      </c>
      <c r="Y204" s="1769">
        <v>0</v>
      </c>
      <c r="Z204" s="1769">
        <v>0</v>
      </c>
      <c r="AA204" s="1769">
        <v>0</v>
      </c>
      <c r="AB204" s="1769">
        <v>0</v>
      </c>
      <c r="AC204" s="1769">
        <v>0</v>
      </c>
      <c r="AD204" s="1769">
        <v>0</v>
      </c>
      <c r="AE204" s="1769">
        <v>0</v>
      </c>
      <c r="AF204" s="1769">
        <v>0</v>
      </c>
      <c r="AG204" s="1769">
        <v>0</v>
      </c>
      <c r="AH204" s="1769">
        <v>0</v>
      </c>
      <c r="AI204" s="1769">
        <v>0</v>
      </c>
      <c r="AJ204" s="1768">
        <v>0</v>
      </c>
      <c r="AK204" s="1295"/>
      <c r="AL204" s="1761"/>
      <c r="AM204" s="1296">
        <v>0</v>
      </c>
      <c r="AN204" s="1070"/>
    </row>
    <row r="205" spans="1:40" ht="18" hidden="1" outlineLevel="1" x14ac:dyDescent="0.3">
      <c r="A205" s="1082"/>
      <c r="B205" s="1297" t="s">
        <v>1321</v>
      </c>
      <c r="C205" s="1298"/>
      <c r="D205" s="1298"/>
      <c r="E205" s="1298"/>
      <c r="F205" s="1304">
        <v>0</v>
      </c>
      <c r="G205" s="1306">
        <v>0</v>
      </c>
      <c r="H205" s="1305">
        <v>0</v>
      </c>
      <c r="I205" s="1305">
        <v>0</v>
      </c>
      <c r="J205" s="1305">
        <v>0</v>
      </c>
      <c r="K205" s="1305">
        <v>0</v>
      </c>
      <c r="L205" s="1305">
        <v>0</v>
      </c>
      <c r="M205" s="1305">
        <v>0</v>
      </c>
      <c r="N205" s="1305">
        <v>0</v>
      </c>
      <c r="O205" s="1305">
        <v>0</v>
      </c>
      <c r="P205" s="1305">
        <v>0</v>
      </c>
      <c r="Q205" s="1305">
        <v>0</v>
      </c>
      <c r="R205" s="1305">
        <v>0</v>
      </c>
      <c r="S205" s="1305">
        <v>0</v>
      </c>
      <c r="T205" s="1305">
        <v>0</v>
      </c>
      <c r="U205" s="1305">
        <v>0</v>
      </c>
      <c r="V205" s="1305">
        <v>0</v>
      </c>
      <c r="W205" s="1305">
        <v>0</v>
      </c>
      <c r="X205" s="1305">
        <v>0</v>
      </c>
      <c r="Y205" s="1305">
        <v>0</v>
      </c>
      <c r="Z205" s="1305">
        <v>0</v>
      </c>
      <c r="AA205" s="1305">
        <v>0</v>
      </c>
      <c r="AB205" s="1305">
        <v>0</v>
      </c>
      <c r="AC205" s="1305">
        <v>0</v>
      </c>
      <c r="AD205" s="1305">
        <v>0</v>
      </c>
      <c r="AE205" s="1305">
        <v>0</v>
      </c>
      <c r="AF205" s="1305">
        <v>0</v>
      </c>
      <c r="AG205" s="1305">
        <v>0</v>
      </c>
      <c r="AH205" s="1305">
        <v>0</v>
      </c>
      <c r="AI205" s="1305">
        <v>0</v>
      </c>
      <c r="AJ205" s="1306">
        <v>0</v>
      </c>
      <c r="AK205" s="1307">
        <v>0</v>
      </c>
      <c r="AL205" s="1770"/>
      <c r="AM205" s="1304">
        <v>0</v>
      </c>
      <c r="AN205" s="1070"/>
    </row>
    <row r="206" spans="1:40" ht="18" hidden="1" outlineLevel="1" x14ac:dyDescent="0.3">
      <c r="A206" s="1082"/>
      <c r="B206" s="1297" t="s">
        <v>1322</v>
      </c>
      <c r="C206" s="1298"/>
      <c r="D206" s="1298"/>
      <c r="E206" s="1298"/>
      <c r="F206" s="1304">
        <v>0</v>
      </c>
      <c r="G206" s="1306">
        <v>0</v>
      </c>
      <c r="H206" s="1305">
        <v>0</v>
      </c>
      <c r="I206" s="1305">
        <v>0</v>
      </c>
      <c r="J206" s="1305">
        <v>0</v>
      </c>
      <c r="K206" s="1305">
        <v>0</v>
      </c>
      <c r="L206" s="1305">
        <v>0</v>
      </c>
      <c r="M206" s="1305">
        <v>0</v>
      </c>
      <c r="N206" s="1305">
        <v>0</v>
      </c>
      <c r="O206" s="1305">
        <v>0</v>
      </c>
      <c r="P206" s="1305">
        <v>0</v>
      </c>
      <c r="Q206" s="1305">
        <v>0</v>
      </c>
      <c r="R206" s="1305">
        <v>0</v>
      </c>
      <c r="S206" s="1305">
        <v>0</v>
      </c>
      <c r="T206" s="1305">
        <v>0</v>
      </c>
      <c r="U206" s="1305">
        <v>0</v>
      </c>
      <c r="V206" s="1305">
        <v>0</v>
      </c>
      <c r="W206" s="1305">
        <v>0</v>
      </c>
      <c r="X206" s="1305">
        <v>0</v>
      </c>
      <c r="Y206" s="1305">
        <v>0</v>
      </c>
      <c r="Z206" s="1305">
        <v>0</v>
      </c>
      <c r="AA206" s="1305">
        <v>0</v>
      </c>
      <c r="AB206" s="1305">
        <v>0</v>
      </c>
      <c r="AC206" s="1305">
        <v>0</v>
      </c>
      <c r="AD206" s="1305">
        <v>0</v>
      </c>
      <c r="AE206" s="1305">
        <v>0</v>
      </c>
      <c r="AF206" s="1305">
        <v>0</v>
      </c>
      <c r="AG206" s="1305">
        <v>0</v>
      </c>
      <c r="AH206" s="1305">
        <v>0</v>
      </c>
      <c r="AI206" s="1305">
        <v>0</v>
      </c>
      <c r="AJ206" s="1306">
        <v>0</v>
      </c>
      <c r="AK206" s="1307">
        <v>0</v>
      </c>
      <c r="AL206" s="1770"/>
      <c r="AM206" s="1304">
        <v>0</v>
      </c>
      <c r="AN206" s="1070"/>
    </row>
    <row r="207" spans="1:40" ht="18" hidden="1" outlineLevel="1" x14ac:dyDescent="0.3">
      <c r="A207" s="1082"/>
      <c r="B207" s="1308" t="s">
        <v>286</v>
      </c>
      <c r="C207" s="1309"/>
      <c r="D207" s="1309"/>
      <c r="E207" s="1309"/>
      <c r="F207" s="1315">
        <v>0</v>
      </c>
      <c r="G207" s="1317">
        <v>0</v>
      </c>
      <c r="H207" s="1316">
        <v>0</v>
      </c>
      <c r="I207" s="1316">
        <v>0</v>
      </c>
      <c r="J207" s="1316">
        <v>0</v>
      </c>
      <c r="K207" s="1316">
        <v>0</v>
      </c>
      <c r="L207" s="1316">
        <v>0</v>
      </c>
      <c r="M207" s="1316">
        <v>0</v>
      </c>
      <c r="N207" s="1316">
        <v>0</v>
      </c>
      <c r="O207" s="1316">
        <v>0</v>
      </c>
      <c r="P207" s="1316">
        <v>0</v>
      </c>
      <c r="Q207" s="1316">
        <v>0</v>
      </c>
      <c r="R207" s="1316">
        <v>0</v>
      </c>
      <c r="S207" s="1316">
        <v>0</v>
      </c>
      <c r="T207" s="1316">
        <v>0</v>
      </c>
      <c r="U207" s="1316">
        <v>0</v>
      </c>
      <c r="V207" s="1316">
        <v>0</v>
      </c>
      <c r="W207" s="1316">
        <v>0</v>
      </c>
      <c r="X207" s="1316">
        <v>0</v>
      </c>
      <c r="Y207" s="1316">
        <v>0</v>
      </c>
      <c r="Z207" s="1316">
        <v>0</v>
      </c>
      <c r="AA207" s="1316">
        <v>0</v>
      </c>
      <c r="AB207" s="1316">
        <v>0</v>
      </c>
      <c r="AC207" s="1316">
        <v>0</v>
      </c>
      <c r="AD207" s="1316">
        <v>0</v>
      </c>
      <c r="AE207" s="1316">
        <v>0</v>
      </c>
      <c r="AF207" s="1316">
        <v>0</v>
      </c>
      <c r="AG207" s="1316">
        <v>0</v>
      </c>
      <c r="AH207" s="1316">
        <v>0</v>
      </c>
      <c r="AI207" s="1316">
        <v>0</v>
      </c>
      <c r="AJ207" s="1317">
        <v>0</v>
      </c>
      <c r="AK207" s="1318"/>
      <c r="AL207" s="1761"/>
      <c r="AM207" s="1315">
        <v>0</v>
      </c>
      <c r="AN207" s="1070"/>
    </row>
    <row r="208" spans="1:40" hidden="1" outlineLevel="1" x14ac:dyDescent="0.3">
      <c r="A208" s="1082"/>
      <c r="B208" s="1320"/>
      <c r="C208" s="1321" t="s">
        <v>1323</v>
      </c>
      <c r="D208" s="1321"/>
      <c r="E208" s="1323"/>
      <c r="F208" s="1330"/>
      <c r="G208" s="1332">
        <v>0</v>
      </c>
      <c r="H208" s="1331">
        <v>0</v>
      </c>
      <c r="I208" s="1331">
        <v>0</v>
      </c>
      <c r="J208" s="1331">
        <v>0</v>
      </c>
      <c r="K208" s="1331">
        <v>0</v>
      </c>
      <c r="L208" s="1331">
        <v>0</v>
      </c>
      <c r="M208" s="1331">
        <v>0</v>
      </c>
      <c r="N208" s="1331">
        <v>0</v>
      </c>
      <c r="O208" s="1331">
        <v>0</v>
      </c>
      <c r="P208" s="1331">
        <v>0</v>
      </c>
      <c r="Q208" s="1331">
        <v>0</v>
      </c>
      <c r="R208" s="1331">
        <v>0</v>
      </c>
      <c r="S208" s="1331">
        <v>0</v>
      </c>
      <c r="T208" s="1331">
        <v>0</v>
      </c>
      <c r="U208" s="1331">
        <v>0</v>
      </c>
      <c r="V208" s="1331">
        <v>0</v>
      </c>
      <c r="W208" s="1331">
        <v>0</v>
      </c>
      <c r="X208" s="1331">
        <v>0</v>
      </c>
      <c r="Y208" s="1331">
        <v>0</v>
      </c>
      <c r="Z208" s="1331">
        <v>0</v>
      </c>
      <c r="AA208" s="1331">
        <v>0</v>
      </c>
      <c r="AB208" s="1331">
        <v>0</v>
      </c>
      <c r="AC208" s="1331">
        <v>0</v>
      </c>
      <c r="AD208" s="1331">
        <v>0</v>
      </c>
      <c r="AE208" s="1331">
        <v>0</v>
      </c>
      <c r="AF208" s="1331">
        <v>0</v>
      </c>
      <c r="AG208" s="1331">
        <v>0</v>
      </c>
      <c r="AH208" s="1331">
        <v>0</v>
      </c>
      <c r="AI208" s="1331">
        <v>0</v>
      </c>
      <c r="AJ208" s="1332">
        <v>0</v>
      </c>
      <c r="AK208" s="1333"/>
      <c r="AL208" s="1771"/>
      <c r="AM208" s="1335"/>
      <c r="AN208" s="1070"/>
    </row>
    <row r="209" spans="1:40" ht="18" hidden="1" outlineLevel="1" x14ac:dyDescent="0.3">
      <c r="A209" s="1082"/>
      <c r="B209" s="1336" t="s">
        <v>1324</v>
      </c>
      <c r="C209" s="1337"/>
      <c r="D209" s="1337"/>
      <c r="E209" s="1337"/>
      <c r="F209" s="1304">
        <v>0</v>
      </c>
      <c r="G209" s="1306">
        <v>0</v>
      </c>
      <c r="H209" s="1305">
        <v>0</v>
      </c>
      <c r="I209" s="1305">
        <v>0</v>
      </c>
      <c r="J209" s="1305">
        <v>0</v>
      </c>
      <c r="K209" s="1305">
        <v>0</v>
      </c>
      <c r="L209" s="1305">
        <v>0</v>
      </c>
      <c r="M209" s="1305">
        <v>0</v>
      </c>
      <c r="N209" s="1305">
        <v>0</v>
      </c>
      <c r="O209" s="1305">
        <v>0</v>
      </c>
      <c r="P209" s="1305">
        <v>0</v>
      </c>
      <c r="Q209" s="1305">
        <v>0</v>
      </c>
      <c r="R209" s="1305">
        <v>0</v>
      </c>
      <c r="S209" s="1305">
        <v>0</v>
      </c>
      <c r="T209" s="1305">
        <v>0</v>
      </c>
      <c r="U209" s="1305">
        <v>0</v>
      </c>
      <c r="V209" s="1305">
        <v>0</v>
      </c>
      <c r="W209" s="1305">
        <v>0</v>
      </c>
      <c r="X209" s="1305">
        <v>0</v>
      </c>
      <c r="Y209" s="1305">
        <v>0</v>
      </c>
      <c r="Z209" s="1305">
        <v>0</v>
      </c>
      <c r="AA209" s="1305">
        <v>0</v>
      </c>
      <c r="AB209" s="1305">
        <v>0</v>
      </c>
      <c r="AC209" s="1305">
        <v>0</v>
      </c>
      <c r="AD209" s="1305">
        <v>0</v>
      </c>
      <c r="AE209" s="1305">
        <v>0</v>
      </c>
      <c r="AF209" s="1305">
        <v>0</v>
      </c>
      <c r="AG209" s="1305">
        <v>0</v>
      </c>
      <c r="AH209" s="1305">
        <v>0</v>
      </c>
      <c r="AI209" s="1305">
        <v>0</v>
      </c>
      <c r="AJ209" s="1306">
        <v>0</v>
      </c>
      <c r="AK209" s="1307">
        <v>0</v>
      </c>
      <c r="AL209" s="1770"/>
      <c r="AM209" s="1304">
        <v>0</v>
      </c>
      <c r="AN209" s="1070"/>
    </row>
    <row r="210" spans="1:40" ht="18" hidden="1" outlineLevel="1" x14ac:dyDescent="0.3">
      <c r="A210" s="1082"/>
      <c r="B210" s="1336" t="s">
        <v>1325</v>
      </c>
      <c r="C210" s="1337"/>
      <c r="D210" s="1337"/>
      <c r="E210" s="1337"/>
      <c r="F210" s="1304">
        <v>0</v>
      </c>
      <c r="G210" s="1306">
        <v>0</v>
      </c>
      <c r="H210" s="1305">
        <v>0</v>
      </c>
      <c r="I210" s="1305">
        <v>0</v>
      </c>
      <c r="J210" s="1305">
        <v>0</v>
      </c>
      <c r="K210" s="1305">
        <v>0</v>
      </c>
      <c r="L210" s="1305">
        <v>0</v>
      </c>
      <c r="M210" s="1305">
        <v>0</v>
      </c>
      <c r="N210" s="1305">
        <v>0</v>
      </c>
      <c r="O210" s="1305">
        <v>0</v>
      </c>
      <c r="P210" s="1305">
        <v>0</v>
      </c>
      <c r="Q210" s="1305">
        <v>0</v>
      </c>
      <c r="R210" s="1305">
        <v>0</v>
      </c>
      <c r="S210" s="1305">
        <v>0</v>
      </c>
      <c r="T210" s="1305">
        <v>0</v>
      </c>
      <c r="U210" s="1305">
        <v>0</v>
      </c>
      <c r="V210" s="1305">
        <v>0</v>
      </c>
      <c r="W210" s="1305">
        <v>0</v>
      </c>
      <c r="X210" s="1305">
        <v>0</v>
      </c>
      <c r="Y210" s="1305">
        <v>0</v>
      </c>
      <c r="Z210" s="1305">
        <v>0</v>
      </c>
      <c r="AA210" s="1305">
        <v>0</v>
      </c>
      <c r="AB210" s="1305">
        <v>0</v>
      </c>
      <c r="AC210" s="1305">
        <v>0</v>
      </c>
      <c r="AD210" s="1305">
        <v>0</v>
      </c>
      <c r="AE210" s="1305">
        <v>0</v>
      </c>
      <c r="AF210" s="1305">
        <v>0</v>
      </c>
      <c r="AG210" s="1305">
        <v>0</v>
      </c>
      <c r="AH210" s="1305">
        <v>0</v>
      </c>
      <c r="AI210" s="1305">
        <v>0</v>
      </c>
      <c r="AJ210" s="1306">
        <v>0</v>
      </c>
      <c r="AK210" s="1307">
        <v>0</v>
      </c>
      <c r="AL210" s="1770"/>
      <c r="AM210" s="1304">
        <v>0</v>
      </c>
      <c r="AN210" s="1070"/>
    </row>
    <row r="211" spans="1:40" ht="18.600000000000001" hidden="1" outlineLevel="1" thickBot="1" x14ac:dyDescent="0.35">
      <c r="A211" s="1082"/>
      <c r="B211" s="1338" t="s">
        <v>660</v>
      </c>
      <c r="C211" s="1339"/>
      <c r="D211" s="1339"/>
      <c r="E211" s="1339"/>
      <c r="F211" s="1345">
        <v>0</v>
      </c>
      <c r="G211" s="1347">
        <v>0</v>
      </c>
      <c r="H211" s="1346">
        <v>0</v>
      </c>
      <c r="I211" s="1346">
        <v>0</v>
      </c>
      <c r="J211" s="1346">
        <v>0</v>
      </c>
      <c r="K211" s="1346">
        <v>0</v>
      </c>
      <c r="L211" s="1346">
        <v>0</v>
      </c>
      <c r="M211" s="1346">
        <v>0</v>
      </c>
      <c r="N211" s="1346">
        <v>0</v>
      </c>
      <c r="O211" s="1346">
        <v>0</v>
      </c>
      <c r="P211" s="1346">
        <v>0</v>
      </c>
      <c r="Q211" s="1346">
        <v>0</v>
      </c>
      <c r="R211" s="1346">
        <v>0</v>
      </c>
      <c r="S211" s="1346">
        <v>0</v>
      </c>
      <c r="T211" s="1346">
        <v>0</v>
      </c>
      <c r="U211" s="1346">
        <v>0</v>
      </c>
      <c r="V211" s="1346">
        <v>0</v>
      </c>
      <c r="W211" s="1346">
        <v>0</v>
      </c>
      <c r="X211" s="1346">
        <v>0</v>
      </c>
      <c r="Y211" s="1346">
        <v>0</v>
      </c>
      <c r="Z211" s="1346">
        <v>0</v>
      </c>
      <c r="AA211" s="1346">
        <v>0</v>
      </c>
      <c r="AB211" s="1346">
        <v>0</v>
      </c>
      <c r="AC211" s="1346">
        <v>0</v>
      </c>
      <c r="AD211" s="1346">
        <v>0</v>
      </c>
      <c r="AE211" s="1346">
        <v>0</v>
      </c>
      <c r="AF211" s="1346">
        <v>0</v>
      </c>
      <c r="AG211" s="1346">
        <v>0</v>
      </c>
      <c r="AH211" s="1346">
        <v>0</v>
      </c>
      <c r="AI211" s="1346">
        <v>0</v>
      </c>
      <c r="AJ211" s="1347">
        <v>0</v>
      </c>
      <c r="AK211" s="1348"/>
      <c r="AL211" s="1761"/>
      <c r="AM211" s="1345">
        <v>0</v>
      </c>
      <c r="AN211" s="1070"/>
    </row>
    <row r="212" spans="1:40" hidden="1" outlineLevel="1" x14ac:dyDescent="0.3">
      <c r="A212" s="1082"/>
      <c r="B212" s="1350"/>
      <c r="C212" s="1351" t="s">
        <v>1323</v>
      </c>
      <c r="D212" s="1351"/>
      <c r="E212" s="1353"/>
      <c r="F212" s="1357"/>
      <c r="G212" s="1276">
        <v>0</v>
      </c>
      <c r="H212" s="1275">
        <v>0</v>
      </c>
      <c r="I212" s="1275">
        <v>0</v>
      </c>
      <c r="J212" s="1275">
        <v>0</v>
      </c>
      <c r="K212" s="1275">
        <v>0</v>
      </c>
      <c r="L212" s="1275">
        <v>0</v>
      </c>
      <c r="M212" s="1275">
        <v>0</v>
      </c>
      <c r="N212" s="1275">
        <v>0</v>
      </c>
      <c r="O212" s="1275">
        <v>0</v>
      </c>
      <c r="P212" s="1275">
        <v>0</v>
      </c>
      <c r="Q212" s="1275">
        <v>0</v>
      </c>
      <c r="R212" s="1275">
        <v>0</v>
      </c>
      <c r="S212" s="1275">
        <v>0</v>
      </c>
      <c r="T212" s="1275">
        <v>0</v>
      </c>
      <c r="U212" s="1275">
        <v>0</v>
      </c>
      <c r="V212" s="1275">
        <v>0</v>
      </c>
      <c r="W212" s="1275">
        <v>0</v>
      </c>
      <c r="X212" s="1275">
        <v>0</v>
      </c>
      <c r="Y212" s="1275">
        <v>0</v>
      </c>
      <c r="Z212" s="1275">
        <v>0</v>
      </c>
      <c r="AA212" s="1275">
        <v>0</v>
      </c>
      <c r="AB212" s="1275">
        <v>0</v>
      </c>
      <c r="AC212" s="1275">
        <v>0</v>
      </c>
      <c r="AD212" s="1275">
        <v>0</v>
      </c>
      <c r="AE212" s="1275">
        <v>0</v>
      </c>
      <c r="AF212" s="1275">
        <v>0</v>
      </c>
      <c r="AG212" s="1275">
        <v>0</v>
      </c>
      <c r="AH212" s="1275">
        <v>0</v>
      </c>
      <c r="AI212" s="1275">
        <v>0</v>
      </c>
      <c r="AJ212" s="1276">
        <v>0</v>
      </c>
      <c r="AK212" s="1358"/>
      <c r="AL212" s="1771"/>
      <c r="AM212" s="1279"/>
      <c r="AN212" s="1070"/>
    </row>
    <row r="213" spans="1:40" ht="18" hidden="1" outlineLevel="1" x14ac:dyDescent="0.3">
      <c r="A213" s="1082"/>
      <c r="B213" s="1336" t="s">
        <v>1326</v>
      </c>
      <c r="C213" s="1351"/>
      <c r="D213" s="1351"/>
      <c r="E213" s="1353"/>
      <c r="F213" s="1304">
        <v>0</v>
      </c>
      <c r="G213" s="1306">
        <v>0</v>
      </c>
      <c r="H213" s="1305">
        <v>0</v>
      </c>
      <c r="I213" s="1305">
        <v>0</v>
      </c>
      <c r="J213" s="1305">
        <v>0</v>
      </c>
      <c r="K213" s="1305">
        <v>0</v>
      </c>
      <c r="L213" s="1305">
        <v>0</v>
      </c>
      <c r="M213" s="1305">
        <v>0</v>
      </c>
      <c r="N213" s="1305">
        <v>0</v>
      </c>
      <c r="O213" s="1305">
        <v>0</v>
      </c>
      <c r="P213" s="1305">
        <v>0</v>
      </c>
      <c r="Q213" s="1305">
        <v>0</v>
      </c>
      <c r="R213" s="1305">
        <v>0</v>
      </c>
      <c r="S213" s="1305">
        <v>0</v>
      </c>
      <c r="T213" s="1305">
        <v>0</v>
      </c>
      <c r="U213" s="1305">
        <v>0</v>
      </c>
      <c r="V213" s="1305">
        <v>0</v>
      </c>
      <c r="W213" s="1305">
        <v>0</v>
      </c>
      <c r="X213" s="1305">
        <v>0</v>
      </c>
      <c r="Y213" s="1305">
        <v>0</v>
      </c>
      <c r="Z213" s="1305">
        <v>0</v>
      </c>
      <c r="AA213" s="1305">
        <v>0</v>
      </c>
      <c r="AB213" s="1305">
        <v>0</v>
      </c>
      <c r="AC213" s="1305">
        <v>0</v>
      </c>
      <c r="AD213" s="1305">
        <v>0</v>
      </c>
      <c r="AE213" s="1305">
        <v>0</v>
      </c>
      <c r="AF213" s="1305">
        <v>0</v>
      </c>
      <c r="AG213" s="1305">
        <v>0</v>
      </c>
      <c r="AH213" s="1305">
        <v>0</v>
      </c>
      <c r="AI213" s="1305">
        <v>0</v>
      </c>
      <c r="AJ213" s="1306">
        <v>0</v>
      </c>
      <c r="AK213" s="1358" t="s">
        <v>3</v>
      </c>
      <c r="AL213" s="1771"/>
      <c r="AM213" s="1304">
        <v>0</v>
      </c>
      <c r="AN213" s="1070"/>
    </row>
    <row r="214" spans="1:40" ht="18" hidden="1" outlineLevel="1" x14ac:dyDescent="0.3">
      <c r="A214" s="1082"/>
      <c r="B214" s="1336" t="s">
        <v>1327</v>
      </c>
      <c r="C214" s="1360"/>
      <c r="D214" s="1360"/>
      <c r="E214" s="1360"/>
      <c r="F214" s="1304">
        <v>0</v>
      </c>
      <c r="G214" s="1306">
        <v>0</v>
      </c>
      <c r="H214" s="1305">
        <v>0</v>
      </c>
      <c r="I214" s="1305">
        <v>0</v>
      </c>
      <c r="J214" s="1305">
        <v>0</v>
      </c>
      <c r="K214" s="1305">
        <v>0</v>
      </c>
      <c r="L214" s="1305">
        <v>0</v>
      </c>
      <c r="M214" s="1305">
        <v>0</v>
      </c>
      <c r="N214" s="1305">
        <v>0</v>
      </c>
      <c r="O214" s="1305">
        <v>0</v>
      </c>
      <c r="P214" s="1305">
        <v>0</v>
      </c>
      <c r="Q214" s="1305">
        <v>0</v>
      </c>
      <c r="R214" s="1305">
        <v>0</v>
      </c>
      <c r="S214" s="1305">
        <v>0</v>
      </c>
      <c r="T214" s="1305">
        <v>0</v>
      </c>
      <c r="U214" s="1305">
        <v>0</v>
      </c>
      <c r="V214" s="1305">
        <v>0</v>
      </c>
      <c r="W214" s="1305">
        <v>0</v>
      </c>
      <c r="X214" s="1305">
        <v>0</v>
      </c>
      <c r="Y214" s="1305">
        <v>0</v>
      </c>
      <c r="Z214" s="1305">
        <v>0</v>
      </c>
      <c r="AA214" s="1305">
        <v>0</v>
      </c>
      <c r="AB214" s="1305">
        <v>0</v>
      </c>
      <c r="AC214" s="1305">
        <v>0</v>
      </c>
      <c r="AD214" s="1305">
        <v>0</v>
      </c>
      <c r="AE214" s="1305">
        <v>0</v>
      </c>
      <c r="AF214" s="1305">
        <v>0</v>
      </c>
      <c r="AG214" s="1305">
        <v>0</v>
      </c>
      <c r="AH214" s="1305">
        <v>0</v>
      </c>
      <c r="AI214" s="1305">
        <v>0</v>
      </c>
      <c r="AJ214" s="1306">
        <v>0</v>
      </c>
      <c r="AK214" s="1307">
        <v>0</v>
      </c>
      <c r="AL214" s="1770"/>
      <c r="AM214" s="1304">
        <v>0</v>
      </c>
      <c r="AN214" s="1070"/>
    </row>
    <row r="215" spans="1:40" ht="18" hidden="1" outlineLevel="1" x14ac:dyDescent="0.3">
      <c r="A215" s="1082"/>
      <c r="B215" s="1308" t="s">
        <v>674</v>
      </c>
      <c r="C215" s="1362"/>
      <c r="D215" s="1362"/>
      <c r="E215" s="1362"/>
      <c r="F215" s="1315">
        <v>0</v>
      </c>
      <c r="G215" s="1317">
        <v>0</v>
      </c>
      <c r="H215" s="1316">
        <v>0</v>
      </c>
      <c r="I215" s="1316">
        <v>0</v>
      </c>
      <c r="J215" s="1316">
        <v>0</v>
      </c>
      <c r="K215" s="1316">
        <v>0</v>
      </c>
      <c r="L215" s="1316">
        <v>0</v>
      </c>
      <c r="M215" s="1316">
        <v>0</v>
      </c>
      <c r="N215" s="1316">
        <v>0</v>
      </c>
      <c r="O215" s="1316">
        <v>0</v>
      </c>
      <c r="P215" s="1316">
        <v>0</v>
      </c>
      <c r="Q215" s="1316">
        <v>0</v>
      </c>
      <c r="R215" s="1316">
        <v>0</v>
      </c>
      <c r="S215" s="1316">
        <v>0</v>
      </c>
      <c r="T215" s="1316">
        <v>0</v>
      </c>
      <c r="U215" s="1316">
        <v>0</v>
      </c>
      <c r="V215" s="1316">
        <v>0</v>
      </c>
      <c r="W215" s="1316">
        <v>0</v>
      </c>
      <c r="X215" s="1316">
        <v>0</v>
      </c>
      <c r="Y215" s="1316">
        <v>0</v>
      </c>
      <c r="Z215" s="1316">
        <v>0</v>
      </c>
      <c r="AA215" s="1316">
        <v>0</v>
      </c>
      <c r="AB215" s="1316">
        <v>0</v>
      </c>
      <c r="AC215" s="1316">
        <v>0</v>
      </c>
      <c r="AD215" s="1316">
        <v>0</v>
      </c>
      <c r="AE215" s="1316">
        <v>0</v>
      </c>
      <c r="AF215" s="1316">
        <v>0</v>
      </c>
      <c r="AG215" s="1316">
        <v>0</v>
      </c>
      <c r="AH215" s="1316">
        <v>0</v>
      </c>
      <c r="AI215" s="1316">
        <v>0</v>
      </c>
      <c r="AJ215" s="1317">
        <v>0</v>
      </c>
      <c r="AK215" s="1318"/>
      <c r="AL215" s="1761"/>
      <c r="AM215" s="1315">
        <v>0</v>
      </c>
      <c r="AN215" s="1070"/>
    </row>
    <row r="216" spans="1:40" hidden="1" outlineLevel="1" x14ac:dyDescent="0.3">
      <c r="A216" s="1082"/>
      <c r="B216" s="1363"/>
      <c r="C216" s="1321" t="s">
        <v>1323</v>
      </c>
      <c r="D216" s="1321"/>
      <c r="E216" s="1364"/>
      <c r="F216" s="1367"/>
      <c r="G216" s="1332">
        <v>0</v>
      </c>
      <c r="H216" s="1331">
        <v>0</v>
      </c>
      <c r="I216" s="1331">
        <v>0</v>
      </c>
      <c r="J216" s="1331">
        <v>0</v>
      </c>
      <c r="K216" s="1331">
        <v>0</v>
      </c>
      <c r="L216" s="1331">
        <v>0</v>
      </c>
      <c r="M216" s="1331">
        <v>0</v>
      </c>
      <c r="N216" s="1331">
        <v>0</v>
      </c>
      <c r="O216" s="1331">
        <v>0</v>
      </c>
      <c r="P216" s="1331">
        <v>0</v>
      </c>
      <c r="Q216" s="1331">
        <v>0</v>
      </c>
      <c r="R216" s="1331">
        <v>0</v>
      </c>
      <c r="S216" s="1331">
        <v>0</v>
      </c>
      <c r="T216" s="1331">
        <v>0</v>
      </c>
      <c r="U216" s="1331">
        <v>0</v>
      </c>
      <c r="V216" s="1331">
        <v>0</v>
      </c>
      <c r="W216" s="1331">
        <v>0</v>
      </c>
      <c r="X216" s="1331">
        <v>0</v>
      </c>
      <c r="Y216" s="1331">
        <v>0</v>
      </c>
      <c r="Z216" s="1331">
        <v>0</v>
      </c>
      <c r="AA216" s="1331">
        <v>0</v>
      </c>
      <c r="AB216" s="1331">
        <v>0</v>
      </c>
      <c r="AC216" s="1331">
        <v>0</v>
      </c>
      <c r="AD216" s="1331">
        <v>0</v>
      </c>
      <c r="AE216" s="1331">
        <v>0</v>
      </c>
      <c r="AF216" s="1331">
        <v>0</v>
      </c>
      <c r="AG216" s="1331">
        <v>0</v>
      </c>
      <c r="AH216" s="1331">
        <v>0</v>
      </c>
      <c r="AI216" s="1331">
        <v>0</v>
      </c>
      <c r="AJ216" s="1332">
        <v>0</v>
      </c>
      <c r="AK216" s="1368"/>
      <c r="AL216" s="1776"/>
      <c r="AM216" s="1335"/>
      <c r="AN216" s="1070"/>
    </row>
    <row r="217" spans="1:40" ht="18" hidden="1" outlineLevel="1" x14ac:dyDescent="0.3">
      <c r="A217" s="1082"/>
      <c r="B217" s="1336" t="s">
        <v>1328</v>
      </c>
      <c r="C217" s="1337"/>
      <c r="D217" s="1337"/>
      <c r="E217" s="1337"/>
      <c r="F217" s="1304">
        <v>0</v>
      </c>
      <c r="G217" s="1306">
        <v>0</v>
      </c>
      <c r="H217" s="1305">
        <v>0</v>
      </c>
      <c r="I217" s="1305">
        <v>0</v>
      </c>
      <c r="J217" s="1305">
        <v>0</v>
      </c>
      <c r="K217" s="1305">
        <v>0</v>
      </c>
      <c r="L217" s="1305">
        <v>0</v>
      </c>
      <c r="M217" s="1305">
        <v>0</v>
      </c>
      <c r="N217" s="1305">
        <v>0</v>
      </c>
      <c r="O217" s="1305">
        <v>0</v>
      </c>
      <c r="P217" s="1305">
        <v>0</v>
      </c>
      <c r="Q217" s="1305">
        <v>0</v>
      </c>
      <c r="R217" s="1305">
        <v>0</v>
      </c>
      <c r="S217" s="1305">
        <v>0</v>
      </c>
      <c r="T217" s="1305">
        <v>0</v>
      </c>
      <c r="U217" s="1305">
        <v>0</v>
      </c>
      <c r="V217" s="1305">
        <v>0</v>
      </c>
      <c r="W217" s="1305">
        <v>0</v>
      </c>
      <c r="X217" s="1305">
        <v>0</v>
      </c>
      <c r="Y217" s="1305">
        <v>0</v>
      </c>
      <c r="Z217" s="1305">
        <v>0</v>
      </c>
      <c r="AA217" s="1305">
        <v>0</v>
      </c>
      <c r="AB217" s="1305">
        <v>0</v>
      </c>
      <c r="AC217" s="1305">
        <v>0</v>
      </c>
      <c r="AD217" s="1305">
        <v>0</v>
      </c>
      <c r="AE217" s="1305">
        <v>0</v>
      </c>
      <c r="AF217" s="1305">
        <v>0</v>
      </c>
      <c r="AG217" s="1305">
        <v>0</v>
      </c>
      <c r="AH217" s="1305">
        <v>0</v>
      </c>
      <c r="AI217" s="1305">
        <v>0</v>
      </c>
      <c r="AJ217" s="1306">
        <v>0</v>
      </c>
      <c r="AK217" s="1307">
        <v>0</v>
      </c>
      <c r="AL217" s="1770"/>
      <c r="AM217" s="1304">
        <v>0</v>
      </c>
      <c r="AN217" s="1070"/>
    </row>
    <row r="218" spans="1:40" ht="18" hidden="1" outlineLevel="1" x14ac:dyDescent="0.3">
      <c r="A218" s="1082"/>
      <c r="B218" s="1336" t="s">
        <v>1329</v>
      </c>
      <c r="C218" s="1337"/>
      <c r="D218" s="1337"/>
      <c r="E218" s="1337"/>
      <c r="F218" s="1304">
        <v>0</v>
      </c>
      <c r="G218" s="1306">
        <v>0</v>
      </c>
      <c r="H218" s="1305">
        <v>0</v>
      </c>
      <c r="I218" s="1305">
        <v>0</v>
      </c>
      <c r="J218" s="1305">
        <v>0</v>
      </c>
      <c r="K218" s="1305">
        <v>0</v>
      </c>
      <c r="L218" s="1305">
        <v>0</v>
      </c>
      <c r="M218" s="1305">
        <v>0</v>
      </c>
      <c r="N218" s="1305">
        <v>0</v>
      </c>
      <c r="O218" s="1305">
        <v>0</v>
      </c>
      <c r="P218" s="1305">
        <v>0</v>
      </c>
      <c r="Q218" s="1305">
        <v>0</v>
      </c>
      <c r="R218" s="1305">
        <v>0</v>
      </c>
      <c r="S218" s="1305">
        <v>0</v>
      </c>
      <c r="T218" s="1305">
        <v>0</v>
      </c>
      <c r="U218" s="1305">
        <v>0</v>
      </c>
      <c r="V218" s="1305">
        <v>0</v>
      </c>
      <c r="W218" s="1305">
        <v>0</v>
      </c>
      <c r="X218" s="1305">
        <v>0</v>
      </c>
      <c r="Y218" s="1305">
        <v>0</v>
      </c>
      <c r="Z218" s="1305">
        <v>0</v>
      </c>
      <c r="AA218" s="1305">
        <v>0</v>
      </c>
      <c r="AB218" s="1305">
        <v>0</v>
      </c>
      <c r="AC218" s="1305">
        <v>0</v>
      </c>
      <c r="AD218" s="1305">
        <v>0</v>
      </c>
      <c r="AE218" s="1305">
        <v>0</v>
      </c>
      <c r="AF218" s="1305">
        <v>0</v>
      </c>
      <c r="AG218" s="1305">
        <v>0</v>
      </c>
      <c r="AH218" s="1305">
        <v>0</v>
      </c>
      <c r="AI218" s="1777">
        <v>0</v>
      </c>
      <c r="AJ218" s="1306">
        <v>0</v>
      </c>
      <c r="AK218" s="1307">
        <v>0</v>
      </c>
      <c r="AL218" s="1770"/>
      <c r="AM218" s="1304">
        <v>0</v>
      </c>
      <c r="AN218" s="1070"/>
    </row>
    <row r="219" spans="1:40" ht="18" hidden="1" outlineLevel="1" x14ac:dyDescent="0.3">
      <c r="A219" s="1082"/>
      <c r="B219" s="1369" t="s">
        <v>1450</v>
      </c>
      <c r="C219" s="1298"/>
      <c r="D219" s="1298"/>
      <c r="E219" s="1298"/>
      <c r="F219" s="1374">
        <v>0</v>
      </c>
      <c r="G219" s="1376">
        <v>0</v>
      </c>
      <c r="H219" s="1375">
        <v>0</v>
      </c>
      <c r="I219" s="1375">
        <v>0</v>
      </c>
      <c r="J219" s="1375">
        <v>0</v>
      </c>
      <c r="K219" s="1375">
        <v>0</v>
      </c>
      <c r="L219" s="1375">
        <v>0</v>
      </c>
      <c r="M219" s="1375">
        <v>0</v>
      </c>
      <c r="N219" s="1375">
        <v>0</v>
      </c>
      <c r="O219" s="1375">
        <v>0</v>
      </c>
      <c r="P219" s="1375">
        <v>0</v>
      </c>
      <c r="Q219" s="1375">
        <v>0</v>
      </c>
      <c r="R219" s="1375">
        <v>0</v>
      </c>
      <c r="S219" s="1375">
        <v>0</v>
      </c>
      <c r="T219" s="1375">
        <v>0</v>
      </c>
      <c r="U219" s="1375">
        <v>0</v>
      </c>
      <c r="V219" s="1375">
        <v>0</v>
      </c>
      <c r="W219" s="1375">
        <v>0</v>
      </c>
      <c r="X219" s="1375">
        <v>0</v>
      </c>
      <c r="Y219" s="1375">
        <v>0</v>
      </c>
      <c r="Z219" s="1375">
        <v>0</v>
      </c>
      <c r="AA219" s="1375">
        <v>0</v>
      </c>
      <c r="AB219" s="1375">
        <v>0</v>
      </c>
      <c r="AC219" s="1375">
        <v>0</v>
      </c>
      <c r="AD219" s="1375">
        <v>0</v>
      </c>
      <c r="AE219" s="1375">
        <v>0</v>
      </c>
      <c r="AF219" s="1375">
        <v>0</v>
      </c>
      <c r="AG219" s="1375">
        <v>0</v>
      </c>
      <c r="AH219" s="1375">
        <v>0</v>
      </c>
      <c r="AI219" s="1375">
        <v>0</v>
      </c>
      <c r="AJ219" s="1376">
        <v>0</v>
      </c>
      <c r="AK219" s="1377"/>
      <c r="AL219" s="1761"/>
      <c r="AM219" s="1374">
        <v>0</v>
      </c>
      <c r="AN219" s="1070"/>
    </row>
    <row r="220" spans="1:40" ht="18" hidden="1" outlineLevel="1" x14ac:dyDescent="0.3">
      <c r="A220" s="1082"/>
      <c r="B220" s="1369"/>
      <c r="C220" s="1351" t="s">
        <v>1323</v>
      </c>
      <c r="D220" s="1351"/>
      <c r="E220" s="1351"/>
      <c r="F220" s="1381"/>
      <c r="G220" s="1276">
        <v>0</v>
      </c>
      <c r="H220" s="1275">
        <v>0</v>
      </c>
      <c r="I220" s="1275">
        <v>0</v>
      </c>
      <c r="J220" s="1275">
        <v>0</v>
      </c>
      <c r="K220" s="1275">
        <v>0</v>
      </c>
      <c r="L220" s="1275">
        <v>0</v>
      </c>
      <c r="M220" s="1275">
        <v>0</v>
      </c>
      <c r="N220" s="1275">
        <v>0</v>
      </c>
      <c r="O220" s="1275">
        <v>0</v>
      </c>
      <c r="P220" s="1275">
        <v>0</v>
      </c>
      <c r="Q220" s="1275">
        <v>0</v>
      </c>
      <c r="R220" s="1275">
        <v>0</v>
      </c>
      <c r="S220" s="1275">
        <v>0</v>
      </c>
      <c r="T220" s="1275">
        <v>0</v>
      </c>
      <c r="U220" s="1275">
        <v>0</v>
      </c>
      <c r="V220" s="1275">
        <v>0</v>
      </c>
      <c r="W220" s="1275">
        <v>0</v>
      </c>
      <c r="X220" s="1275">
        <v>0</v>
      </c>
      <c r="Y220" s="1275">
        <v>0</v>
      </c>
      <c r="Z220" s="1275">
        <v>0</v>
      </c>
      <c r="AA220" s="1275">
        <v>0</v>
      </c>
      <c r="AB220" s="1275">
        <v>0</v>
      </c>
      <c r="AC220" s="1275">
        <v>0</v>
      </c>
      <c r="AD220" s="1275">
        <v>0</v>
      </c>
      <c r="AE220" s="1275">
        <v>0</v>
      </c>
      <c r="AF220" s="1275">
        <v>0</v>
      </c>
      <c r="AG220" s="1275">
        <v>0</v>
      </c>
      <c r="AH220" s="1275">
        <v>0</v>
      </c>
      <c r="AI220" s="1275">
        <v>0</v>
      </c>
      <c r="AJ220" s="1276">
        <v>0</v>
      </c>
      <c r="AK220" s="1377"/>
      <c r="AL220" s="1761"/>
      <c r="AM220" s="1279"/>
      <c r="AN220" s="1070"/>
    </row>
    <row r="221" spans="1:40" s="1236" customFormat="1" ht="18.600000000000001" hidden="1" outlineLevel="1" thickBot="1" x14ac:dyDescent="0.35">
      <c r="A221" s="1082"/>
      <c r="B221" s="1778"/>
      <c r="C221" s="1779"/>
      <c r="D221" s="1779"/>
      <c r="E221" s="1779"/>
      <c r="F221" s="1780"/>
      <c r="G221" s="1781"/>
      <c r="H221" s="1781"/>
      <c r="I221" s="1781"/>
      <c r="J221" s="1781"/>
      <c r="K221" s="1781"/>
      <c r="L221" s="1781"/>
      <c r="M221" s="1781"/>
      <c r="N221" s="1781"/>
      <c r="O221" s="1781"/>
      <c r="P221" s="1781"/>
      <c r="Q221" s="1781"/>
      <c r="R221" s="1781"/>
      <c r="S221" s="1781"/>
      <c r="T221" s="1781"/>
      <c r="U221" s="1781"/>
      <c r="V221" s="1781"/>
      <c r="W221" s="1781"/>
      <c r="X221" s="1781"/>
      <c r="Y221" s="1781"/>
      <c r="Z221" s="1781"/>
      <c r="AA221" s="1781"/>
      <c r="AB221" s="1781"/>
      <c r="AC221" s="1781"/>
      <c r="AD221" s="1781"/>
      <c r="AE221" s="1781"/>
      <c r="AF221" s="1781"/>
      <c r="AG221" s="1781"/>
      <c r="AH221" s="1781"/>
      <c r="AI221" s="1781"/>
      <c r="AJ221" s="1782"/>
      <c r="AK221" s="1783"/>
      <c r="AL221" s="1784"/>
      <c r="AM221" s="1785"/>
      <c r="AN221" s="1082"/>
    </row>
    <row r="222" spans="1:40" s="1236" customFormat="1" ht="18" hidden="1" outlineLevel="1" x14ac:dyDescent="0.3">
      <c r="A222" s="1082"/>
      <c r="B222" s="1082"/>
      <c r="C222" s="1082"/>
      <c r="D222" s="1082"/>
      <c r="E222" s="1082"/>
      <c r="F222" s="1371"/>
      <c r="G222" s="1300"/>
      <c r="H222" s="1300"/>
      <c r="I222" s="1300"/>
      <c r="J222" s="1300"/>
      <c r="K222" s="1300"/>
      <c r="L222" s="1300"/>
      <c r="M222" s="1300"/>
      <c r="N222" s="1300"/>
      <c r="O222" s="1300"/>
      <c r="P222" s="1300"/>
      <c r="Q222" s="1300"/>
      <c r="R222" s="1300"/>
      <c r="S222" s="1300"/>
      <c r="T222" s="1300"/>
      <c r="U222" s="1300"/>
      <c r="V222" s="1300"/>
      <c r="W222" s="1300"/>
      <c r="X222" s="1300"/>
      <c r="Y222" s="1300"/>
      <c r="Z222" s="1300"/>
      <c r="AA222" s="1300"/>
      <c r="AB222" s="1300"/>
      <c r="AC222" s="1300"/>
      <c r="AD222" s="1300"/>
      <c r="AE222" s="1300"/>
      <c r="AF222" s="1300"/>
      <c r="AG222" s="1300"/>
      <c r="AH222" s="1300"/>
      <c r="AI222" s="1300"/>
      <c r="AJ222" s="1300"/>
      <c r="AK222" s="1791"/>
      <c r="AL222" s="1791"/>
      <c r="AM222" s="1300"/>
      <c r="AN222" s="1082"/>
    </row>
    <row r="223" spans="1:40" s="1236" customFormat="1" ht="18" hidden="1" outlineLevel="1" x14ac:dyDescent="0.3">
      <c r="A223" s="1082"/>
      <c r="B223" s="1082"/>
      <c r="C223" s="1082"/>
      <c r="D223" s="1082"/>
      <c r="E223" s="1082"/>
      <c r="F223" s="1371"/>
      <c r="G223" s="1300"/>
      <c r="H223" s="1300"/>
      <c r="I223" s="1300"/>
      <c r="J223" s="1300"/>
      <c r="K223" s="1300"/>
      <c r="L223" s="1300"/>
      <c r="M223" s="1300"/>
      <c r="N223" s="1300"/>
      <c r="O223" s="1300"/>
      <c r="P223" s="1300"/>
      <c r="Q223" s="1300"/>
      <c r="R223" s="1300"/>
      <c r="S223" s="1300"/>
      <c r="T223" s="1300"/>
      <c r="U223" s="1300"/>
      <c r="V223" s="1300"/>
      <c r="W223" s="1300"/>
      <c r="X223" s="1300"/>
      <c r="Y223" s="1300"/>
      <c r="Z223" s="1300"/>
      <c r="AA223" s="1795"/>
      <c r="AB223" s="1795"/>
      <c r="AC223" s="1795"/>
      <c r="AD223" s="1795"/>
      <c r="AE223" s="1795"/>
      <c r="AF223" s="1795"/>
      <c r="AG223" s="1795"/>
      <c r="AH223" s="1795"/>
      <c r="AI223" s="1795"/>
      <c r="AJ223" s="1795"/>
      <c r="AK223" s="1796"/>
      <c r="AL223" s="1796"/>
      <c r="AM223" s="1795"/>
    </row>
    <row r="224" spans="1:40" ht="15" hidden="1" customHeight="1" outlineLevel="1" x14ac:dyDescent="0.3">
      <c r="A224" s="1070"/>
      <c r="B224" s="1070"/>
      <c r="C224" s="1070"/>
      <c r="D224" s="1070"/>
      <c r="E224" s="1070"/>
      <c r="F224" s="1070"/>
      <c r="G224" s="1070"/>
      <c r="H224" s="3144" t="s">
        <v>1472</v>
      </c>
      <c r="I224" s="3145"/>
      <c r="J224" s="3145"/>
      <c r="K224" s="3145"/>
      <c r="L224" s="3146"/>
      <c r="M224" s="1070"/>
      <c r="N224" s="1070"/>
      <c r="O224" s="3274" t="s">
        <v>1477</v>
      </c>
      <c r="P224" s="3275"/>
      <c r="Q224" s="3275"/>
      <c r="R224" s="3276"/>
      <c r="T224" s="1079"/>
      <c r="U224" s="1082"/>
      <c r="V224" s="3277" t="s">
        <v>1474</v>
      </c>
      <c r="W224" s="3278"/>
      <c r="X224" s="3278"/>
      <c r="Y224" s="3279"/>
      <c r="Z224" s="1082"/>
    </row>
    <row r="225" spans="1:26" hidden="1" outlineLevel="1" x14ac:dyDescent="0.3">
      <c r="A225" s="1070"/>
      <c r="B225" s="1070"/>
      <c r="C225" s="1070"/>
      <c r="D225" s="1070"/>
      <c r="E225" s="1070"/>
      <c r="F225" s="1070"/>
      <c r="G225" s="1070"/>
      <c r="H225" s="1217" t="s">
        <v>1299</v>
      </c>
      <c r="I225" s="1218"/>
      <c r="J225" s="1218"/>
      <c r="K225" s="1218"/>
      <c r="L225" s="1412"/>
      <c r="M225" s="1070"/>
      <c r="N225" s="1070"/>
      <c r="O225" s="1797"/>
      <c r="P225" s="1798"/>
      <c r="Q225" s="1799" t="s">
        <v>1313</v>
      </c>
      <c r="R225" s="1799" t="s">
        <v>1314</v>
      </c>
      <c r="T225" s="1079"/>
      <c r="U225" s="1082"/>
      <c r="V225" s="3280"/>
      <c r="W225" s="3281"/>
      <c r="X225" s="3281"/>
      <c r="Y225" s="3282"/>
      <c r="Z225" s="1082"/>
    </row>
    <row r="226" spans="1:26" hidden="1" outlineLevel="1" x14ac:dyDescent="0.3">
      <c r="A226" s="1070"/>
      <c r="B226" s="1070"/>
      <c r="C226" s="1070"/>
      <c r="D226" s="1070"/>
      <c r="E226" s="1070"/>
      <c r="F226" s="1070"/>
      <c r="G226" s="1070"/>
      <c r="H226" s="1800" t="s">
        <v>1301</v>
      </c>
      <c r="I226" s="1801"/>
      <c r="J226" s="1801"/>
      <c r="K226" s="1802" t="s">
        <v>1432</v>
      </c>
      <c r="L226" s="1803" t="s">
        <v>682</v>
      </c>
      <c r="M226" s="1070"/>
      <c r="N226" s="1070"/>
      <c r="O226" s="1804"/>
      <c r="P226" s="1805"/>
      <c r="Q226" s="1806" t="s">
        <v>1465</v>
      </c>
      <c r="R226" s="1806" t="s">
        <v>1465</v>
      </c>
      <c r="T226" s="1079"/>
      <c r="U226" s="1082"/>
      <c r="V226" s="1807" t="s">
        <v>1454</v>
      </c>
      <c r="W226" s="1143"/>
      <c r="X226" s="1414" t="s">
        <v>1432</v>
      </c>
      <c r="Y226" s="1415" t="s">
        <v>682</v>
      </c>
      <c r="Z226" s="1082"/>
    </row>
    <row r="227" spans="1:26" hidden="1" outlineLevel="1" x14ac:dyDescent="0.3">
      <c r="A227" s="1070"/>
      <c r="B227" s="1070"/>
      <c r="C227" s="1070"/>
      <c r="D227" s="1070"/>
      <c r="E227" s="1070"/>
      <c r="F227" s="1070"/>
      <c r="G227" s="1070"/>
      <c r="H227" s="1440" t="s">
        <v>1456</v>
      </c>
      <c r="I227" s="1441"/>
      <c r="J227" s="1441"/>
      <c r="K227" s="1809" t="s">
        <v>1445</v>
      </c>
      <c r="L227" s="1443" t="s">
        <v>1445</v>
      </c>
      <c r="M227" s="1070"/>
      <c r="N227" s="1070"/>
      <c r="O227" s="1422" t="s">
        <v>794</v>
      </c>
      <c r="P227" s="1412"/>
      <c r="Q227" s="1832"/>
      <c r="R227" s="1833"/>
      <c r="T227" s="1079"/>
      <c r="U227" s="1082"/>
      <c r="V227" s="1147" t="s">
        <v>756</v>
      </c>
      <c r="W227" s="1186"/>
      <c r="X227" s="1811" t="s">
        <v>1445</v>
      </c>
      <c r="Y227" s="1812" t="s">
        <v>1445</v>
      </c>
      <c r="Z227" s="1082"/>
    </row>
    <row r="228" spans="1:26" hidden="1" outlineLevel="1" x14ac:dyDescent="0.3">
      <c r="A228" s="1070"/>
      <c r="B228" s="1070"/>
      <c r="C228" s="1070"/>
      <c r="D228" s="1070"/>
      <c r="E228" s="1070"/>
      <c r="F228" s="1070"/>
      <c r="G228" s="1070"/>
      <c r="H228" s="1800" t="s">
        <v>730</v>
      </c>
      <c r="I228" s="1801"/>
      <c r="J228" s="1801"/>
      <c r="K228" s="1813"/>
      <c r="L228" s="1814"/>
      <c r="M228" s="1070"/>
      <c r="N228" s="1070"/>
      <c r="O228" s="1434" t="s">
        <v>725</v>
      </c>
      <c r="P228" s="1435"/>
      <c r="Q228" s="1834"/>
      <c r="R228" s="1835"/>
      <c r="T228" s="1079"/>
      <c r="U228" s="1082"/>
      <c r="V228" s="1149" t="s">
        <v>757</v>
      </c>
      <c r="W228" s="1437"/>
      <c r="X228" s="1816" t="s">
        <v>1445</v>
      </c>
      <c r="Y228" s="1817" t="s">
        <v>1445</v>
      </c>
      <c r="Z228" s="1082"/>
    </row>
    <row r="229" spans="1:26" hidden="1" outlineLevel="1" x14ac:dyDescent="0.3">
      <c r="A229" s="1070"/>
      <c r="B229" s="1070"/>
      <c r="C229" s="1070"/>
      <c r="D229" s="1070"/>
      <c r="E229" s="1070"/>
      <c r="F229" s="1070"/>
      <c r="G229" s="1070"/>
      <c r="H229" s="1440" t="s">
        <v>1456</v>
      </c>
      <c r="I229" s="1441"/>
      <c r="J229" s="1441"/>
      <c r="K229" s="1809" t="s">
        <v>1445</v>
      </c>
      <c r="L229" s="1443" t="s">
        <v>1445</v>
      </c>
      <c r="M229" s="1070"/>
      <c r="N229" s="1070"/>
      <c r="O229" s="1422" t="s">
        <v>1348</v>
      </c>
      <c r="P229" s="1412"/>
      <c r="Q229" s="1836"/>
      <c r="R229" s="1079"/>
      <c r="T229" s="1079"/>
      <c r="U229" s="1082"/>
      <c r="V229" s="1149"/>
      <c r="W229" s="1437"/>
      <c r="X229" s="3182"/>
      <c r="Y229" s="3183"/>
      <c r="Z229" s="1082"/>
    </row>
    <row r="230" spans="1:26" hidden="1" outlineLevel="1" x14ac:dyDescent="0.3">
      <c r="A230" s="1070"/>
      <c r="B230" s="1070"/>
      <c r="C230" s="1070"/>
      <c r="D230" s="1070"/>
      <c r="E230" s="1070"/>
      <c r="F230" s="1070"/>
      <c r="G230" s="1070"/>
      <c r="H230" s="1800" t="s">
        <v>446</v>
      </c>
      <c r="I230" s="1801"/>
      <c r="J230" s="1801"/>
      <c r="K230" s="1813"/>
      <c r="L230" s="1814"/>
      <c r="M230" s="1070"/>
      <c r="N230" s="1070"/>
      <c r="O230" s="1434" t="s">
        <v>1349</v>
      </c>
      <c r="P230" s="1435"/>
      <c r="Q230" s="1837"/>
      <c r="R230" s="1079"/>
      <c r="T230" s="1079"/>
      <c r="U230" s="1082"/>
      <c r="V230" s="1149" t="s">
        <v>758</v>
      </c>
      <c r="W230" s="1437"/>
      <c r="X230" s="1811" t="s">
        <v>1445</v>
      </c>
      <c r="Y230" s="1812" t="s">
        <v>1445</v>
      </c>
      <c r="Z230" s="1082"/>
    </row>
    <row r="231" spans="1:26" hidden="1" outlineLevel="1" x14ac:dyDescent="0.3">
      <c r="A231" s="1070"/>
      <c r="B231" s="1070"/>
      <c r="C231" s="1070"/>
      <c r="D231" s="1070"/>
      <c r="E231" s="1070"/>
      <c r="F231" s="1070"/>
      <c r="G231" s="1070"/>
      <c r="H231" s="1440" t="s">
        <v>1456</v>
      </c>
      <c r="I231" s="1441"/>
      <c r="J231" s="1441"/>
      <c r="K231" s="1809" t="s">
        <v>1445</v>
      </c>
      <c r="L231" s="1443" t="s">
        <v>1445</v>
      </c>
      <c r="M231" s="1070"/>
      <c r="N231" s="1070"/>
      <c r="O231" s="1070"/>
      <c r="P231" s="1070"/>
      <c r="Q231" s="1070"/>
      <c r="R231" s="1070"/>
      <c r="S231" s="1070"/>
      <c r="T231" s="1070"/>
      <c r="U231" s="1082"/>
      <c r="V231" s="1149" t="s">
        <v>759</v>
      </c>
      <c r="W231" s="1437"/>
      <c r="X231" s="1811" t="s">
        <v>1445</v>
      </c>
      <c r="Y231" s="1812" t="s">
        <v>1445</v>
      </c>
      <c r="Z231" s="1082"/>
    </row>
    <row r="232" spans="1:26" hidden="1" outlineLevel="1" x14ac:dyDescent="0.3">
      <c r="A232" s="1070"/>
      <c r="B232" s="1070"/>
      <c r="C232" s="1070"/>
      <c r="D232" s="1070"/>
      <c r="E232" s="1070"/>
      <c r="F232" s="1070"/>
      <c r="G232" s="1070"/>
      <c r="H232" s="1800" t="s">
        <v>1305</v>
      </c>
      <c r="I232" s="1801"/>
      <c r="J232" s="1801"/>
      <c r="K232" s="1813"/>
      <c r="L232" s="1814"/>
      <c r="M232" s="1070"/>
      <c r="N232" s="1070"/>
      <c r="O232" s="1422" t="s">
        <v>3</v>
      </c>
      <c r="P232" s="1186"/>
      <c r="Q232" s="1848"/>
      <c r="R232" s="1070"/>
      <c r="S232" s="1070"/>
      <c r="T232" s="1070"/>
      <c r="U232" s="1082"/>
      <c r="V232" s="1184" t="s">
        <v>1268</v>
      </c>
      <c r="W232" s="1459"/>
      <c r="X232" s="1816" t="s">
        <v>1445</v>
      </c>
      <c r="Y232" s="1817" t="s">
        <v>1445</v>
      </c>
      <c r="Z232" s="1082"/>
    </row>
    <row r="233" spans="1:26" hidden="1" outlineLevel="1" x14ac:dyDescent="0.3">
      <c r="A233" s="1070"/>
      <c r="B233" s="1070"/>
      <c r="C233" s="1070"/>
      <c r="D233" s="1070"/>
      <c r="E233" s="1070"/>
      <c r="F233" s="1070"/>
      <c r="G233" s="1070"/>
      <c r="H233" s="1465" t="s">
        <v>1456</v>
      </c>
      <c r="I233" s="1466"/>
      <c r="J233" s="1466"/>
      <c r="K233" s="1822" t="s">
        <v>1445</v>
      </c>
      <c r="L233" s="1448" t="s">
        <v>1445</v>
      </c>
      <c r="M233" s="1070"/>
      <c r="N233" s="1070"/>
      <c r="O233" s="1434" t="s">
        <v>1458</v>
      </c>
      <c r="P233" s="1459"/>
      <c r="Q233" s="1849"/>
      <c r="R233" s="1070"/>
      <c r="S233" s="1070"/>
      <c r="T233" s="1070"/>
      <c r="U233" s="1082"/>
      <c r="V233" s="1082"/>
      <c r="W233" s="1082"/>
      <c r="X233" s="1082"/>
      <c r="Y233" s="1082"/>
      <c r="Z233" s="1082"/>
    </row>
    <row r="234" spans="1:26" collapsed="1" x14ac:dyDescent="0.3">
      <c r="A234" s="1070"/>
      <c r="B234" s="1070"/>
      <c r="C234" s="1070"/>
      <c r="D234" s="1070"/>
      <c r="E234" s="1070"/>
      <c r="F234" s="1070"/>
      <c r="G234" s="1070"/>
      <c r="H234" s="1070"/>
      <c r="I234" s="1070"/>
      <c r="J234" s="1070"/>
      <c r="K234" s="1070"/>
      <c r="L234" s="1070"/>
      <c r="M234" s="1070"/>
      <c r="N234" s="1070"/>
      <c r="R234" s="1070"/>
      <c r="S234" s="1070"/>
      <c r="T234" s="1070"/>
      <c r="U234" s="1070"/>
      <c r="V234" s="1070"/>
      <c r="W234" s="1070"/>
      <c r="X234" s="1070"/>
      <c r="Y234" s="1070"/>
      <c r="Z234" s="1070"/>
    </row>
    <row r="235" spans="1:26" x14ac:dyDescent="0.3">
      <c r="A235" s="1070"/>
      <c r="B235" s="1070"/>
      <c r="C235" s="1070"/>
      <c r="D235" s="1070"/>
      <c r="E235" s="1070"/>
      <c r="F235" s="1070"/>
      <c r="G235" s="1070"/>
      <c r="H235" s="1070"/>
      <c r="I235" s="1070"/>
      <c r="J235" s="1070"/>
      <c r="K235" s="1070"/>
      <c r="L235" s="1070"/>
      <c r="M235" s="1070"/>
      <c r="N235" s="1070"/>
      <c r="R235" s="1070"/>
      <c r="S235" s="1070"/>
      <c r="T235" s="1070"/>
      <c r="U235" s="1070"/>
      <c r="V235" s="1070"/>
      <c r="W235" s="1070"/>
      <c r="X235" s="1070"/>
      <c r="Y235" s="1070"/>
      <c r="Z235" s="1070"/>
    </row>
    <row r="236" spans="1:26" s="1831" customFormat="1" ht="9.9" customHeight="1" x14ac:dyDescent="0.3">
      <c r="A236" s="1824"/>
      <c r="B236" s="1824"/>
      <c r="C236" s="1824"/>
      <c r="D236" s="1824"/>
      <c r="E236" s="1824"/>
      <c r="F236" s="1824"/>
      <c r="G236" s="1824"/>
      <c r="H236" s="1824"/>
      <c r="I236" s="1824"/>
      <c r="J236" s="1824"/>
      <c r="K236" s="1824"/>
      <c r="L236" s="1824"/>
      <c r="M236" s="1824"/>
      <c r="N236" s="1824"/>
      <c r="O236" s="1824"/>
      <c r="P236" s="1824"/>
      <c r="Q236" s="1824"/>
      <c r="R236" s="1824"/>
      <c r="S236" s="1824"/>
      <c r="T236" s="1824"/>
      <c r="U236" s="1824"/>
      <c r="V236" s="1824"/>
      <c r="W236" s="1824"/>
      <c r="X236" s="1824"/>
      <c r="Y236" s="1824"/>
      <c r="Z236" s="1824"/>
    </row>
    <row r="237" spans="1:26" x14ac:dyDescent="0.3">
      <c r="A237" s="1070"/>
      <c r="B237" s="1070"/>
      <c r="C237" s="1070"/>
      <c r="D237" s="1070"/>
      <c r="E237" s="1070"/>
      <c r="F237" s="1070"/>
      <c r="G237" s="1070"/>
      <c r="H237" s="1070"/>
      <c r="I237" s="1070"/>
      <c r="J237" s="1070"/>
      <c r="K237" s="1070"/>
      <c r="L237" s="1070"/>
      <c r="M237" s="1070"/>
      <c r="N237" s="1070"/>
      <c r="O237" s="1070"/>
      <c r="P237" s="1070"/>
      <c r="Q237" s="1070"/>
      <c r="R237" s="1070"/>
      <c r="S237" s="1070"/>
      <c r="T237" s="1070"/>
      <c r="U237" s="1082"/>
      <c r="V237" s="1082"/>
      <c r="W237" s="1082"/>
      <c r="X237" s="1082"/>
      <c r="Y237" s="1082"/>
      <c r="Z237" s="1082"/>
    </row>
    <row r="238" spans="1:26" x14ac:dyDescent="0.3">
      <c r="A238" s="1070"/>
      <c r="B238" s="1077" t="s">
        <v>1478</v>
      </c>
      <c r="C238" s="1070"/>
      <c r="D238" s="1070"/>
      <c r="E238" s="1070"/>
      <c r="F238" s="1070"/>
      <c r="G238" s="1070"/>
      <c r="H238" s="1070"/>
      <c r="I238" s="1070"/>
      <c r="J238" s="1070"/>
      <c r="K238" s="1070"/>
      <c r="L238" s="1070"/>
      <c r="M238" s="1070"/>
      <c r="N238" s="1070"/>
      <c r="O238" s="1070"/>
      <c r="P238" s="1070"/>
      <c r="Q238" s="1070"/>
      <c r="R238" s="1070"/>
      <c r="S238" s="1070"/>
      <c r="T238" s="1070"/>
      <c r="U238" s="1070"/>
      <c r="V238" s="1070"/>
      <c r="W238" s="1070"/>
      <c r="X238" s="1070"/>
      <c r="Y238" s="1070"/>
      <c r="Z238" s="1070"/>
    </row>
    <row r="239" spans="1:26" x14ac:dyDescent="0.3">
      <c r="A239" s="1070"/>
      <c r="B239" s="1734"/>
      <c r="C239" s="1070"/>
      <c r="D239" s="1070"/>
      <c r="E239" s="1070"/>
      <c r="F239" s="1070"/>
      <c r="G239" s="1070"/>
      <c r="H239" s="1070"/>
      <c r="I239" s="1070"/>
      <c r="J239" s="1070"/>
      <c r="K239" s="1070"/>
      <c r="L239" s="1070"/>
      <c r="M239" s="1070"/>
      <c r="N239" s="1070"/>
      <c r="O239" s="1070"/>
      <c r="P239" s="1070"/>
      <c r="Q239" s="1070"/>
      <c r="R239" s="1070"/>
      <c r="S239" s="1070"/>
      <c r="T239" s="1070"/>
      <c r="U239" s="1070"/>
      <c r="V239" s="1070"/>
      <c r="W239" s="1070"/>
      <c r="X239" s="1070"/>
      <c r="Y239" s="1070"/>
      <c r="Z239" s="1070"/>
    </row>
    <row r="240" spans="1:26" hidden="1" outlineLevel="1" x14ac:dyDescent="0.3">
      <c r="A240" s="1082"/>
      <c r="B240" s="1734" t="s">
        <v>1442</v>
      </c>
      <c r="C240" s="1070"/>
      <c r="D240" s="1070"/>
      <c r="E240" s="1070"/>
      <c r="F240" s="1070"/>
      <c r="G240" s="1070"/>
      <c r="H240" s="1070"/>
      <c r="I240" s="1070"/>
      <c r="J240" s="1070"/>
      <c r="K240" s="1070"/>
      <c r="L240" s="1070"/>
      <c r="M240" s="1070"/>
      <c r="N240" s="1070"/>
      <c r="O240" s="1070"/>
      <c r="P240" s="1070"/>
      <c r="Q240" s="1070"/>
      <c r="R240" s="1070"/>
      <c r="S240" s="1070"/>
      <c r="T240" s="1070"/>
      <c r="U240" s="1070"/>
      <c r="V240" s="1070"/>
      <c r="W240" s="1070"/>
      <c r="X240" s="1070"/>
      <c r="Y240" s="1070"/>
      <c r="Z240" s="1070"/>
    </row>
    <row r="241" spans="1:40" hidden="1" outlineLevel="1" x14ac:dyDescent="0.3">
      <c r="A241" s="1082"/>
      <c r="B241" s="1070"/>
      <c r="C241" s="1070"/>
      <c r="D241" s="1739" t="s">
        <v>1432</v>
      </c>
      <c r="E241" s="1740" t="s">
        <v>682</v>
      </c>
      <c r="F241" s="1070"/>
      <c r="G241" s="1070"/>
      <c r="H241" s="1070"/>
      <c r="I241" s="1070"/>
      <c r="J241" s="1070"/>
      <c r="K241" s="1070"/>
      <c r="L241" s="1070"/>
      <c r="M241" s="1070"/>
      <c r="N241" s="1070"/>
      <c r="O241" s="1070"/>
      <c r="P241" s="1070"/>
      <c r="Q241" s="1070"/>
      <c r="R241" s="1070"/>
      <c r="S241" s="1070"/>
      <c r="T241" s="1070"/>
      <c r="U241" s="1070"/>
      <c r="V241" s="1070"/>
      <c r="W241" s="1070"/>
      <c r="X241" s="1070"/>
      <c r="Y241" s="1070"/>
      <c r="Z241" s="1070"/>
    </row>
    <row r="242" spans="1:40" hidden="1" outlineLevel="1" x14ac:dyDescent="0.3">
      <c r="A242" s="1082"/>
      <c r="B242" s="1164" t="s">
        <v>1479</v>
      </c>
      <c r="C242" s="1146"/>
      <c r="D242" s="1743" t="s">
        <v>1445</v>
      </c>
      <c r="E242" s="1744" t="s">
        <v>1445</v>
      </c>
      <c r="F242" s="1070"/>
      <c r="G242" s="1153" t="s">
        <v>1471</v>
      </c>
      <c r="H242" s="1070"/>
      <c r="I242" s="1070"/>
      <c r="J242" s="1070"/>
      <c r="K242" s="1070"/>
      <c r="L242" s="1070"/>
      <c r="M242" s="1070"/>
      <c r="N242" s="1070"/>
      <c r="O242" s="1070"/>
      <c r="P242" s="1070"/>
      <c r="Q242" s="1070"/>
      <c r="R242" s="1070"/>
      <c r="S242" s="1070"/>
      <c r="T242" s="1070"/>
      <c r="U242" s="1070"/>
      <c r="V242" s="1070"/>
      <c r="W242" s="1070"/>
      <c r="X242" s="1070"/>
      <c r="Y242" s="1070"/>
      <c r="Z242" s="1070"/>
    </row>
    <row r="243" spans="1:40" hidden="1" outlineLevel="1" x14ac:dyDescent="0.3">
      <c r="A243" s="1082"/>
      <c r="B243" s="1070"/>
      <c r="C243" s="1070"/>
      <c r="D243" s="1070"/>
      <c r="E243" s="1070"/>
      <c r="F243" s="1070"/>
      <c r="G243" s="1070"/>
      <c r="H243" s="1070"/>
      <c r="I243" s="1070"/>
      <c r="J243" s="1070"/>
      <c r="K243" s="1070"/>
      <c r="L243" s="1070"/>
      <c r="M243" s="1070"/>
      <c r="N243" s="1070"/>
      <c r="O243" s="1070"/>
      <c r="P243" s="1070"/>
      <c r="Q243" s="1070"/>
      <c r="R243" s="1070"/>
      <c r="S243" s="1070"/>
      <c r="T243" s="1070"/>
      <c r="U243" s="1070"/>
      <c r="V243" s="1070"/>
      <c r="W243" s="1070"/>
      <c r="X243" s="1070"/>
      <c r="Y243" s="1070"/>
      <c r="Z243" s="1070"/>
    </row>
    <row r="244" spans="1:40" hidden="1" outlineLevel="1" x14ac:dyDescent="0.3">
      <c r="A244" s="1082"/>
      <c r="B244" s="1070"/>
      <c r="C244" s="1070"/>
      <c r="D244" s="1070"/>
      <c r="E244" s="1070"/>
      <c r="F244" s="1070"/>
      <c r="G244" s="1070"/>
      <c r="H244" s="1070"/>
      <c r="I244" s="1070"/>
      <c r="J244" s="1070"/>
      <c r="K244" s="1070"/>
      <c r="L244" s="1070"/>
      <c r="M244" s="1070"/>
      <c r="N244" s="1070"/>
      <c r="O244" s="1070"/>
      <c r="P244" s="1070"/>
      <c r="Q244" s="1070"/>
      <c r="R244" s="1070"/>
      <c r="S244" s="1070"/>
      <c r="T244" s="1070"/>
      <c r="U244" s="1070"/>
      <c r="V244" s="1070"/>
      <c r="W244" s="1070"/>
      <c r="X244" s="1070"/>
      <c r="Y244" s="1070"/>
      <c r="Z244" s="1070"/>
      <c r="AA244" s="1070"/>
      <c r="AB244" s="1070"/>
      <c r="AC244" s="1070"/>
      <c r="AD244" s="1070"/>
      <c r="AE244" s="1070"/>
      <c r="AF244" s="1070"/>
      <c r="AG244" s="1070"/>
      <c r="AH244" s="1070"/>
      <c r="AI244" s="1070"/>
      <c r="AJ244" s="1070"/>
      <c r="AK244" s="1070"/>
      <c r="AL244" s="1070"/>
      <c r="AM244" s="1070"/>
      <c r="AN244" s="1070"/>
    </row>
    <row r="245" spans="1:40" ht="17.25" hidden="1" customHeight="1" outlineLevel="1" x14ac:dyDescent="0.3">
      <c r="A245" s="1082"/>
      <c r="B245" s="1240"/>
      <c r="C245" s="1241"/>
      <c r="D245" s="1241"/>
      <c r="E245" s="1241"/>
      <c r="F245" s="1746" t="s">
        <v>739</v>
      </c>
      <c r="G245" s="1746" t="s">
        <v>1461</v>
      </c>
      <c r="H245" s="1746" t="s">
        <v>1461</v>
      </c>
      <c r="I245" s="1746" t="s">
        <v>1461</v>
      </c>
      <c r="J245" s="1746" t="s">
        <v>1461</v>
      </c>
      <c r="K245" s="1747" t="s">
        <v>1461</v>
      </c>
      <c r="L245" s="1747" t="s">
        <v>1461</v>
      </c>
      <c r="M245" s="1747" t="s">
        <v>1461</v>
      </c>
      <c r="N245" s="1747" t="s">
        <v>1461</v>
      </c>
      <c r="O245" s="1747" t="s">
        <v>1461</v>
      </c>
      <c r="P245" s="1747" t="s">
        <v>1461</v>
      </c>
      <c r="Q245" s="1747" t="s">
        <v>1461</v>
      </c>
      <c r="R245" s="1747" t="s">
        <v>1461</v>
      </c>
      <c r="S245" s="1747" t="s">
        <v>1461</v>
      </c>
      <c r="T245" s="1747" t="s">
        <v>1461</v>
      </c>
      <c r="U245" s="1747" t="s">
        <v>1461</v>
      </c>
      <c r="V245" s="1747" t="s">
        <v>1461</v>
      </c>
      <c r="W245" s="1747" t="s">
        <v>1461</v>
      </c>
      <c r="X245" s="1747" t="s">
        <v>1461</v>
      </c>
      <c r="Y245" s="1747" t="s">
        <v>1461</v>
      </c>
      <c r="Z245" s="1747" t="s">
        <v>1461</v>
      </c>
      <c r="AA245" s="1747" t="s">
        <v>1461</v>
      </c>
      <c r="AB245" s="1747" t="s">
        <v>1461</v>
      </c>
      <c r="AC245" s="1747" t="s">
        <v>1461</v>
      </c>
      <c r="AD245" s="1747" t="s">
        <v>1461</v>
      </c>
      <c r="AE245" s="1747" t="s">
        <v>1461</v>
      </c>
      <c r="AF245" s="1747" t="s">
        <v>1461</v>
      </c>
      <c r="AG245" s="1747" t="s">
        <v>1461</v>
      </c>
      <c r="AH245" s="1747" t="s">
        <v>1461</v>
      </c>
      <c r="AI245" s="1747" t="s">
        <v>1461</v>
      </c>
      <c r="AJ245" s="1748" t="s">
        <v>1316</v>
      </c>
      <c r="AK245" s="1749" t="s">
        <v>1315</v>
      </c>
      <c r="AL245" s="1750"/>
      <c r="AM245" s="1746" t="s">
        <v>1316</v>
      </c>
      <c r="AN245" s="1070"/>
    </row>
    <row r="246" spans="1:40" hidden="1" outlineLevel="1" x14ac:dyDescent="0.3">
      <c r="A246" s="1082"/>
      <c r="B246" s="1149"/>
      <c r="C246" s="1142"/>
      <c r="D246" s="1142"/>
      <c r="E246" s="1142"/>
      <c r="F246" s="1753"/>
      <c r="G246" s="1754"/>
      <c r="H246" s="1754"/>
      <c r="I246" s="1754"/>
      <c r="J246" s="1754"/>
      <c r="K246" s="1754"/>
      <c r="L246" s="1754"/>
      <c r="M246" s="1754"/>
      <c r="N246" s="1755"/>
      <c r="O246" s="1756"/>
      <c r="P246" s="1756"/>
      <c r="Q246" s="1756"/>
      <c r="R246" s="1756"/>
      <c r="S246" s="1756"/>
      <c r="T246" s="1756"/>
      <c r="U246" s="1756"/>
      <c r="V246" s="1756"/>
      <c r="W246" s="1756"/>
      <c r="X246" s="1756"/>
      <c r="Y246" s="1756"/>
      <c r="Z246" s="1756"/>
      <c r="AA246" s="1756"/>
      <c r="AB246" s="1756"/>
      <c r="AC246" s="1756"/>
      <c r="AD246" s="1756"/>
      <c r="AE246" s="1756"/>
      <c r="AF246" s="1756"/>
      <c r="AG246" s="1756"/>
      <c r="AH246" s="1756"/>
      <c r="AI246" s="1756"/>
      <c r="AJ246" s="1251"/>
      <c r="AK246" s="1252"/>
      <c r="AL246" s="1757"/>
      <c r="AN246" s="1070"/>
    </row>
    <row r="247" spans="1:40" ht="18" hidden="1" outlineLevel="1" x14ac:dyDescent="0.3">
      <c r="A247" s="1082"/>
      <c r="B247" s="1253" t="s">
        <v>784</v>
      </c>
      <c r="C247" s="1254"/>
      <c r="D247" s="1254"/>
      <c r="E247" s="1255"/>
      <c r="F247" s="1261">
        <v>0</v>
      </c>
      <c r="G247" s="1263">
        <v>0</v>
      </c>
      <c r="H247" s="1262">
        <v>0</v>
      </c>
      <c r="I247" s="1262">
        <v>0</v>
      </c>
      <c r="J247" s="1262">
        <v>0</v>
      </c>
      <c r="K247" s="1262">
        <v>0</v>
      </c>
      <c r="L247" s="1262">
        <v>0</v>
      </c>
      <c r="M247" s="1262">
        <v>0</v>
      </c>
      <c r="N247" s="1262">
        <v>0</v>
      </c>
      <c r="O247" s="1262">
        <v>0</v>
      </c>
      <c r="P247" s="1262">
        <v>0</v>
      </c>
      <c r="Q247" s="1262">
        <v>0</v>
      </c>
      <c r="R247" s="1262">
        <v>0</v>
      </c>
      <c r="S247" s="1262">
        <v>0</v>
      </c>
      <c r="T247" s="1262">
        <v>0</v>
      </c>
      <c r="U247" s="1262">
        <v>0</v>
      </c>
      <c r="V247" s="1262">
        <v>0</v>
      </c>
      <c r="W247" s="1262">
        <v>0</v>
      </c>
      <c r="X247" s="1262">
        <v>0</v>
      </c>
      <c r="Y247" s="1262">
        <v>0</v>
      </c>
      <c r="Z247" s="1262">
        <v>0</v>
      </c>
      <c r="AA247" s="1262">
        <v>0</v>
      </c>
      <c r="AB247" s="1262">
        <v>0</v>
      </c>
      <c r="AC247" s="1262">
        <v>0</v>
      </c>
      <c r="AD247" s="1262">
        <v>0</v>
      </c>
      <c r="AE247" s="1262">
        <v>0</v>
      </c>
      <c r="AF247" s="1262">
        <v>0</v>
      </c>
      <c r="AG247" s="1262">
        <v>0</v>
      </c>
      <c r="AH247" s="1262">
        <v>0</v>
      </c>
      <c r="AI247" s="1262">
        <v>0</v>
      </c>
      <c r="AJ247" s="1263">
        <v>0</v>
      </c>
      <c r="AK247" s="1264"/>
      <c r="AL247" s="1761"/>
      <c r="AM247" s="1261">
        <v>0</v>
      </c>
      <c r="AN247" s="1070"/>
    </row>
    <row r="248" spans="1:40" hidden="1" outlineLevel="1" x14ac:dyDescent="0.3">
      <c r="A248" s="1082"/>
      <c r="B248" s="1266" t="s">
        <v>1317</v>
      </c>
      <c r="C248" s="1267"/>
      <c r="D248" s="1267"/>
      <c r="E248" s="1267"/>
      <c r="F248" s="1274"/>
      <c r="G248" s="1276">
        <v>0</v>
      </c>
      <c r="H248" s="1275">
        <v>0</v>
      </c>
      <c r="I248" s="1275">
        <v>0</v>
      </c>
      <c r="J248" s="1275">
        <v>0</v>
      </c>
      <c r="K248" s="1275">
        <v>0</v>
      </c>
      <c r="L248" s="1275">
        <v>0</v>
      </c>
      <c r="M248" s="1275">
        <v>0</v>
      </c>
      <c r="N248" s="1275">
        <v>0</v>
      </c>
      <c r="O248" s="1275">
        <v>0</v>
      </c>
      <c r="P248" s="1275">
        <v>0</v>
      </c>
      <c r="Q248" s="1275">
        <v>0</v>
      </c>
      <c r="R248" s="1275">
        <v>0</v>
      </c>
      <c r="S248" s="1275">
        <v>0</v>
      </c>
      <c r="T248" s="1275">
        <v>0</v>
      </c>
      <c r="U248" s="1275">
        <v>0</v>
      </c>
      <c r="V248" s="1275">
        <v>0</v>
      </c>
      <c r="W248" s="1275">
        <v>0</v>
      </c>
      <c r="X248" s="1275">
        <v>0</v>
      </c>
      <c r="Y248" s="1275">
        <v>0</v>
      </c>
      <c r="Z248" s="1275">
        <v>0</v>
      </c>
      <c r="AA248" s="1275">
        <v>0</v>
      </c>
      <c r="AB248" s="1275">
        <v>0</v>
      </c>
      <c r="AC248" s="1275">
        <v>0</v>
      </c>
      <c r="AD248" s="1275">
        <v>0</v>
      </c>
      <c r="AE248" s="1275">
        <v>0</v>
      </c>
      <c r="AF248" s="1275">
        <v>0</v>
      </c>
      <c r="AG248" s="1275">
        <v>0</v>
      </c>
      <c r="AH248" s="1275">
        <v>0</v>
      </c>
      <c r="AI248" s="1275">
        <v>0</v>
      </c>
      <c r="AJ248" s="1276">
        <v>0</v>
      </c>
      <c r="AK248" s="1277" t="s">
        <v>1318</v>
      </c>
      <c r="AL248" s="1762"/>
      <c r="AM248" s="1279"/>
      <c r="AN248" s="1070"/>
    </row>
    <row r="249" spans="1:40" hidden="1" outlineLevel="1" x14ac:dyDescent="0.3">
      <c r="A249" s="1082"/>
      <c r="B249" s="1266" t="s">
        <v>1319</v>
      </c>
      <c r="C249" s="1766" t="s">
        <v>1449</v>
      </c>
      <c r="D249" s="1767"/>
      <c r="E249" s="1267"/>
      <c r="F249" s="1274"/>
      <c r="G249" s="1276">
        <v>0</v>
      </c>
      <c r="H249" s="1275">
        <v>0</v>
      </c>
      <c r="I249" s="1275">
        <v>0</v>
      </c>
      <c r="J249" s="1275">
        <v>0</v>
      </c>
      <c r="K249" s="1275">
        <v>0</v>
      </c>
      <c r="L249" s="1275">
        <v>0</v>
      </c>
      <c r="M249" s="1275">
        <v>0</v>
      </c>
      <c r="N249" s="1275">
        <v>0</v>
      </c>
      <c r="O249" s="1275">
        <v>0</v>
      </c>
      <c r="P249" s="1275">
        <v>0</v>
      </c>
      <c r="Q249" s="1275">
        <v>0</v>
      </c>
      <c r="R249" s="1275">
        <v>0</v>
      </c>
      <c r="S249" s="1275">
        <v>0</v>
      </c>
      <c r="T249" s="1275">
        <v>0</v>
      </c>
      <c r="U249" s="1275">
        <v>0</v>
      </c>
      <c r="V249" s="1275">
        <v>0</v>
      </c>
      <c r="W249" s="1275">
        <v>0</v>
      </c>
      <c r="X249" s="1275">
        <v>0</v>
      </c>
      <c r="Y249" s="1275">
        <v>0</v>
      </c>
      <c r="Z249" s="1275">
        <v>0</v>
      </c>
      <c r="AA249" s="1275">
        <v>0</v>
      </c>
      <c r="AB249" s="1275">
        <v>0</v>
      </c>
      <c r="AC249" s="1275">
        <v>0</v>
      </c>
      <c r="AD249" s="1275">
        <v>0</v>
      </c>
      <c r="AE249" s="1275">
        <v>0</v>
      </c>
      <c r="AF249" s="1275">
        <v>0</v>
      </c>
      <c r="AG249" s="1275">
        <v>0</v>
      </c>
      <c r="AH249" s="1275">
        <v>0</v>
      </c>
      <c r="AI249" s="1275">
        <v>0</v>
      </c>
      <c r="AJ249" s="1276">
        <v>0</v>
      </c>
      <c r="AK249" s="1277"/>
      <c r="AL249" s="1762"/>
      <c r="AM249" s="1279"/>
      <c r="AN249" s="1070"/>
    </row>
    <row r="250" spans="1:40" ht="18" hidden="1" outlineLevel="1" x14ac:dyDescent="0.3">
      <c r="A250" s="1082"/>
      <c r="B250" s="1283" t="s">
        <v>1320</v>
      </c>
      <c r="C250" s="1284"/>
      <c r="D250" s="1284"/>
      <c r="E250" s="1286"/>
      <c r="F250" s="1292"/>
      <c r="G250" s="1768">
        <v>0</v>
      </c>
      <c r="H250" s="1769">
        <v>0</v>
      </c>
      <c r="I250" s="1769">
        <v>0</v>
      </c>
      <c r="J250" s="1769">
        <v>0</v>
      </c>
      <c r="K250" s="1769">
        <v>0</v>
      </c>
      <c r="L250" s="1769">
        <v>0</v>
      </c>
      <c r="M250" s="1769">
        <v>0</v>
      </c>
      <c r="N250" s="1769">
        <v>0</v>
      </c>
      <c r="O250" s="1769">
        <v>0</v>
      </c>
      <c r="P250" s="1769">
        <v>0</v>
      </c>
      <c r="Q250" s="1769">
        <v>0</v>
      </c>
      <c r="R250" s="1769">
        <v>0</v>
      </c>
      <c r="S250" s="1769">
        <v>0</v>
      </c>
      <c r="T250" s="1769">
        <v>0</v>
      </c>
      <c r="U250" s="1769">
        <v>0</v>
      </c>
      <c r="V250" s="1769">
        <v>0</v>
      </c>
      <c r="W250" s="1769">
        <v>0</v>
      </c>
      <c r="X250" s="1769">
        <v>0</v>
      </c>
      <c r="Y250" s="1769">
        <v>0</v>
      </c>
      <c r="Z250" s="1769">
        <v>0</v>
      </c>
      <c r="AA250" s="1769">
        <v>0</v>
      </c>
      <c r="AB250" s="1769">
        <v>0</v>
      </c>
      <c r="AC250" s="1769">
        <v>0</v>
      </c>
      <c r="AD250" s="1769">
        <v>0</v>
      </c>
      <c r="AE250" s="1769">
        <v>0</v>
      </c>
      <c r="AF250" s="1769">
        <v>0</v>
      </c>
      <c r="AG250" s="1769">
        <v>0</v>
      </c>
      <c r="AH250" s="1769">
        <v>0</v>
      </c>
      <c r="AI250" s="1769">
        <v>0</v>
      </c>
      <c r="AJ250" s="1768">
        <v>0</v>
      </c>
      <c r="AK250" s="1295"/>
      <c r="AL250" s="1761"/>
      <c r="AM250" s="1296">
        <v>0</v>
      </c>
      <c r="AN250" s="1070"/>
    </row>
    <row r="251" spans="1:40" ht="18" hidden="1" outlineLevel="1" x14ac:dyDescent="0.3">
      <c r="A251" s="1082"/>
      <c r="B251" s="1297" t="s">
        <v>1321</v>
      </c>
      <c r="C251" s="1298"/>
      <c r="D251" s="1298"/>
      <c r="E251" s="1298"/>
      <c r="F251" s="1304">
        <v>0</v>
      </c>
      <c r="G251" s="1306">
        <v>0</v>
      </c>
      <c r="H251" s="1305">
        <v>0</v>
      </c>
      <c r="I251" s="1305">
        <v>0</v>
      </c>
      <c r="J251" s="1305">
        <v>0</v>
      </c>
      <c r="K251" s="1305">
        <v>0</v>
      </c>
      <c r="L251" s="1305">
        <v>0</v>
      </c>
      <c r="M251" s="1305">
        <v>0</v>
      </c>
      <c r="N251" s="1305">
        <v>0</v>
      </c>
      <c r="O251" s="1305">
        <v>0</v>
      </c>
      <c r="P251" s="1305">
        <v>0</v>
      </c>
      <c r="Q251" s="1305">
        <v>0</v>
      </c>
      <c r="R251" s="1305">
        <v>0</v>
      </c>
      <c r="S251" s="1305">
        <v>0</v>
      </c>
      <c r="T251" s="1305">
        <v>0</v>
      </c>
      <c r="U251" s="1305">
        <v>0</v>
      </c>
      <c r="V251" s="1305">
        <v>0</v>
      </c>
      <c r="W251" s="1305">
        <v>0</v>
      </c>
      <c r="X251" s="1305">
        <v>0</v>
      </c>
      <c r="Y251" s="1305">
        <v>0</v>
      </c>
      <c r="Z251" s="1305">
        <v>0</v>
      </c>
      <c r="AA251" s="1305">
        <v>0</v>
      </c>
      <c r="AB251" s="1305">
        <v>0</v>
      </c>
      <c r="AC251" s="1305">
        <v>0</v>
      </c>
      <c r="AD251" s="1305">
        <v>0</v>
      </c>
      <c r="AE251" s="1305">
        <v>0</v>
      </c>
      <c r="AF251" s="1305">
        <v>0</v>
      </c>
      <c r="AG251" s="1305">
        <v>0</v>
      </c>
      <c r="AH251" s="1305">
        <v>0</v>
      </c>
      <c r="AI251" s="1305">
        <v>0</v>
      </c>
      <c r="AJ251" s="1306">
        <v>0</v>
      </c>
      <c r="AK251" s="1307">
        <v>0</v>
      </c>
      <c r="AL251" s="1770"/>
      <c r="AM251" s="1304">
        <v>0</v>
      </c>
      <c r="AN251" s="1070"/>
    </row>
    <row r="252" spans="1:40" ht="18" hidden="1" outlineLevel="1" x14ac:dyDescent="0.3">
      <c r="A252" s="1082"/>
      <c r="B252" s="1297" t="s">
        <v>1322</v>
      </c>
      <c r="C252" s="1298"/>
      <c r="D252" s="1298"/>
      <c r="E252" s="1298"/>
      <c r="F252" s="1304">
        <v>0</v>
      </c>
      <c r="G252" s="1306">
        <v>0</v>
      </c>
      <c r="H252" s="1305">
        <v>0</v>
      </c>
      <c r="I252" s="1305">
        <v>0</v>
      </c>
      <c r="J252" s="1305">
        <v>0</v>
      </c>
      <c r="K252" s="1305">
        <v>0</v>
      </c>
      <c r="L252" s="1305">
        <v>0</v>
      </c>
      <c r="M252" s="1305">
        <v>0</v>
      </c>
      <c r="N252" s="1305">
        <v>0</v>
      </c>
      <c r="O252" s="1305">
        <v>0</v>
      </c>
      <c r="P252" s="1305">
        <v>0</v>
      </c>
      <c r="Q252" s="1305">
        <v>0</v>
      </c>
      <c r="R252" s="1305">
        <v>0</v>
      </c>
      <c r="S252" s="1305">
        <v>0</v>
      </c>
      <c r="T252" s="1305">
        <v>0</v>
      </c>
      <c r="U252" s="1305">
        <v>0</v>
      </c>
      <c r="V252" s="1305">
        <v>0</v>
      </c>
      <c r="W252" s="1305">
        <v>0</v>
      </c>
      <c r="X252" s="1305">
        <v>0</v>
      </c>
      <c r="Y252" s="1305">
        <v>0</v>
      </c>
      <c r="Z252" s="1305">
        <v>0</v>
      </c>
      <c r="AA252" s="1305">
        <v>0</v>
      </c>
      <c r="AB252" s="1305">
        <v>0</v>
      </c>
      <c r="AC252" s="1305">
        <v>0</v>
      </c>
      <c r="AD252" s="1305">
        <v>0</v>
      </c>
      <c r="AE252" s="1305">
        <v>0</v>
      </c>
      <c r="AF252" s="1305">
        <v>0</v>
      </c>
      <c r="AG252" s="1305">
        <v>0</v>
      </c>
      <c r="AH252" s="1305">
        <v>0</v>
      </c>
      <c r="AI252" s="1305">
        <v>0</v>
      </c>
      <c r="AJ252" s="1306">
        <v>0</v>
      </c>
      <c r="AK252" s="1307">
        <v>0</v>
      </c>
      <c r="AL252" s="1770"/>
      <c r="AM252" s="1304">
        <v>0</v>
      </c>
      <c r="AN252" s="1070"/>
    </row>
    <row r="253" spans="1:40" ht="18" hidden="1" outlineLevel="1" x14ac:dyDescent="0.3">
      <c r="A253" s="1082"/>
      <c r="B253" s="1308" t="s">
        <v>286</v>
      </c>
      <c r="C253" s="1309"/>
      <c r="D253" s="1309"/>
      <c r="E253" s="1309"/>
      <c r="F253" s="1315">
        <v>0</v>
      </c>
      <c r="G253" s="1317">
        <v>0</v>
      </c>
      <c r="H253" s="1316">
        <v>0</v>
      </c>
      <c r="I253" s="1316">
        <v>0</v>
      </c>
      <c r="J253" s="1316">
        <v>0</v>
      </c>
      <c r="K253" s="1316">
        <v>0</v>
      </c>
      <c r="L253" s="1316">
        <v>0</v>
      </c>
      <c r="M253" s="1316">
        <v>0</v>
      </c>
      <c r="N253" s="1316">
        <v>0</v>
      </c>
      <c r="O253" s="1316">
        <v>0</v>
      </c>
      <c r="P253" s="1316">
        <v>0</v>
      </c>
      <c r="Q253" s="1316">
        <v>0</v>
      </c>
      <c r="R253" s="1316">
        <v>0</v>
      </c>
      <c r="S253" s="1316">
        <v>0</v>
      </c>
      <c r="T253" s="1316">
        <v>0</v>
      </c>
      <c r="U253" s="1316">
        <v>0</v>
      </c>
      <c r="V253" s="1316">
        <v>0</v>
      </c>
      <c r="W253" s="1316">
        <v>0</v>
      </c>
      <c r="X253" s="1316">
        <v>0</v>
      </c>
      <c r="Y253" s="1316">
        <v>0</v>
      </c>
      <c r="Z253" s="1316">
        <v>0</v>
      </c>
      <c r="AA253" s="1316">
        <v>0</v>
      </c>
      <c r="AB253" s="1316">
        <v>0</v>
      </c>
      <c r="AC253" s="1316">
        <v>0</v>
      </c>
      <c r="AD253" s="1316">
        <v>0</v>
      </c>
      <c r="AE253" s="1316">
        <v>0</v>
      </c>
      <c r="AF253" s="1316">
        <v>0</v>
      </c>
      <c r="AG253" s="1316">
        <v>0</v>
      </c>
      <c r="AH253" s="1316">
        <v>0</v>
      </c>
      <c r="AI253" s="1316">
        <v>0</v>
      </c>
      <c r="AJ253" s="1317">
        <v>0</v>
      </c>
      <c r="AK253" s="1318"/>
      <c r="AL253" s="1761"/>
      <c r="AM253" s="1315">
        <v>0</v>
      </c>
      <c r="AN253" s="1070"/>
    </row>
    <row r="254" spans="1:40" hidden="1" outlineLevel="1" x14ac:dyDescent="0.3">
      <c r="A254" s="1082"/>
      <c r="B254" s="1320"/>
      <c r="C254" s="1321" t="s">
        <v>1323</v>
      </c>
      <c r="D254" s="1321"/>
      <c r="E254" s="1323"/>
      <c r="F254" s="1330"/>
      <c r="G254" s="1332">
        <v>0</v>
      </c>
      <c r="H254" s="1331">
        <v>0</v>
      </c>
      <c r="I254" s="1331">
        <v>0</v>
      </c>
      <c r="J254" s="1331">
        <v>0</v>
      </c>
      <c r="K254" s="1331">
        <v>0</v>
      </c>
      <c r="L254" s="1331">
        <v>0</v>
      </c>
      <c r="M254" s="1331">
        <v>0</v>
      </c>
      <c r="N254" s="1331">
        <v>0</v>
      </c>
      <c r="O254" s="1331">
        <v>0</v>
      </c>
      <c r="P254" s="1331">
        <v>0</v>
      </c>
      <c r="Q254" s="1331">
        <v>0</v>
      </c>
      <c r="R254" s="1331">
        <v>0</v>
      </c>
      <c r="S254" s="1331">
        <v>0</v>
      </c>
      <c r="T254" s="1331">
        <v>0</v>
      </c>
      <c r="U254" s="1331">
        <v>0</v>
      </c>
      <c r="V254" s="1331">
        <v>0</v>
      </c>
      <c r="W254" s="1331">
        <v>0</v>
      </c>
      <c r="X254" s="1331">
        <v>0</v>
      </c>
      <c r="Y254" s="1331">
        <v>0</v>
      </c>
      <c r="Z254" s="1331">
        <v>0</v>
      </c>
      <c r="AA254" s="1331">
        <v>0</v>
      </c>
      <c r="AB254" s="1331">
        <v>0</v>
      </c>
      <c r="AC254" s="1331">
        <v>0</v>
      </c>
      <c r="AD254" s="1331">
        <v>0</v>
      </c>
      <c r="AE254" s="1331">
        <v>0</v>
      </c>
      <c r="AF254" s="1331">
        <v>0</v>
      </c>
      <c r="AG254" s="1331">
        <v>0</v>
      </c>
      <c r="AH254" s="1331">
        <v>0</v>
      </c>
      <c r="AI254" s="1331">
        <v>0</v>
      </c>
      <c r="AJ254" s="1332">
        <v>0</v>
      </c>
      <c r="AK254" s="1333"/>
      <c r="AL254" s="1771"/>
      <c r="AM254" s="1335"/>
      <c r="AN254" s="1070"/>
    </row>
    <row r="255" spans="1:40" ht="18" hidden="1" outlineLevel="1" x14ac:dyDescent="0.3">
      <c r="A255" s="1082"/>
      <c r="B255" s="1336" t="s">
        <v>1324</v>
      </c>
      <c r="C255" s="1337"/>
      <c r="D255" s="1337"/>
      <c r="E255" s="1337"/>
      <c r="F255" s="1304">
        <v>0</v>
      </c>
      <c r="G255" s="1306">
        <v>0</v>
      </c>
      <c r="H255" s="1305">
        <v>0</v>
      </c>
      <c r="I255" s="1305">
        <v>0</v>
      </c>
      <c r="J255" s="1305">
        <v>0</v>
      </c>
      <c r="K255" s="1305">
        <v>0</v>
      </c>
      <c r="L255" s="1305">
        <v>0</v>
      </c>
      <c r="M255" s="1305">
        <v>0</v>
      </c>
      <c r="N255" s="1305">
        <v>0</v>
      </c>
      <c r="O255" s="1305">
        <v>0</v>
      </c>
      <c r="P255" s="1305">
        <v>0</v>
      </c>
      <c r="Q255" s="1305">
        <v>0</v>
      </c>
      <c r="R255" s="1305">
        <v>0</v>
      </c>
      <c r="S255" s="1305">
        <v>0</v>
      </c>
      <c r="T255" s="1305">
        <v>0</v>
      </c>
      <c r="U255" s="1305">
        <v>0</v>
      </c>
      <c r="V255" s="1305">
        <v>0</v>
      </c>
      <c r="W255" s="1305">
        <v>0</v>
      </c>
      <c r="X255" s="1305">
        <v>0</v>
      </c>
      <c r="Y255" s="1305">
        <v>0</v>
      </c>
      <c r="Z255" s="1305">
        <v>0</v>
      </c>
      <c r="AA255" s="1305">
        <v>0</v>
      </c>
      <c r="AB255" s="1305">
        <v>0</v>
      </c>
      <c r="AC255" s="1305">
        <v>0</v>
      </c>
      <c r="AD255" s="1305">
        <v>0</v>
      </c>
      <c r="AE255" s="1305">
        <v>0</v>
      </c>
      <c r="AF255" s="1305">
        <v>0</v>
      </c>
      <c r="AG255" s="1305">
        <v>0</v>
      </c>
      <c r="AH255" s="1305">
        <v>0</v>
      </c>
      <c r="AI255" s="1305">
        <v>0</v>
      </c>
      <c r="AJ255" s="1306">
        <v>0</v>
      </c>
      <c r="AK255" s="1307">
        <v>0</v>
      </c>
      <c r="AL255" s="1770"/>
      <c r="AM255" s="1304">
        <v>0</v>
      </c>
      <c r="AN255" s="1070"/>
    </row>
    <row r="256" spans="1:40" ht="18" hidden="1" outlineLevel="1" x14ac:dyDescent="0.3">
      <c r="A256" s="1082"/>
      <c r="B256" s="1336" t="s">
        <v>1325</v>
      </c>
      <c r="C256" s="1337"/>
      <c r="D256" s="1337"/>
      <c r="E256" s="1337"/>
      <c r="F256" s="1304">
        <v>0</v>
      </c>
      <c r="G256" s="1306">
        <v>0</v>
      </c>
      <c r="H256" s="1305">
        <v>0</v>
      </c>
      <c r="I256" s="1305">
        <v>0</v>
      </c>
      <c r="J256" s="1305">
        <v>0</v>
      </c>
      <c r="K256" s="1305">
        <v>0</v>
      </c>
      <c r="L256" s="1305">
        <v>0</v>
      </c>
      <c r="M256" s="1305">
        <v>0</v>
      </c>
      <c r="N256" s="1305">
        <v>0</v>
      </c>
      <c r="O256" s="1305">
        <v>0</v>
      </c>
      <c r="P256" s="1305">
        <v>0</v>
      </c>
      <c r="Q256" s="1305">
        <v>0</v>
      </c>
      <c r="R256" s="1305">
        <v>0</v>
      </c>
      <c r="S256" s="1305">
        <v>0</v>
      </c>
      <c r="T256" s="1305">
        <v>0</v>
      </c>
      <c r="U256" s="1305">
        <v>0</v>
      </c>
      <c r="V256" s="1305">
        <v>0</v>
      </c>
      <c r="W256" s="1305">
        <v>0</v>
      </c>
      <c r="X256" s="1305">
        <v>0</v>
      </c>
      <c r="Y256" s="1305">
        <v>0</v>
      </c>
      <c r="Z256" s="1305">
        <v>0</v>
      </c>
      <c r="AA256" s="1305">
        <v>0</v>
      </c>
      <c r="AB256" s="1305">
        <v>0</v>
      </c>
      <c r="AC256" s="1305">
        <v>0</v>
      </c>
      <c r="AD256" s="1305">
        <v>0</v>
      </c>
      <c r="AE256" s="1305">
        <v>0</v>
      </c>
      <c r="AF256" s="1305">
        <v>0</v>
      </c>
      <c r="AG256" s="1305">
        <v>0</v>
      </c>
      <c r="AH256" s="1305">
        <v>0</v>
      </c>
      <c r="AI256" s="1305">
        <v>0</v>
      </c>
      <c r="AJ256" s="1306">
        <v>0</v>
      </c>
      <c r="AK256" s="1307">
        <v>0</v>
      </c>
      <c r="AL256" s="1770"/>
      <c r="AM256" s="1304">
        <v>0</v>
      </c>
      <c r="AN256" s="1070"/>
    </row>
    <row r="257" spans="1:40" ht="18.600000000000001" hidden="1" outlineLevel="1" thickBot="1" x14ac:dyDescent="0.35">
      <c r="A257" s="1082"/>
      <c r="B257" s="1338" t="s">
        <v>660</v>
      </c>
      <c r="C257" s="1339"/>
      <c r="D257" s="1339"/>
      <c r="E257" s="1339"/>
      <c r="F257" s="1345">
        <v>0</v>
      </c>
      <c r="G257" s="1347">
        <v>0</v>
      </c>
      <c r="H257" s="1346">
        <v>0</v>
      </c>
      <c r="I257" s="1346">
        <v>0</v>
      </c>
      <c r="J257" s="1346">
        <v>0</v>
      </c>
      <c r="K257" s="1346">
        <v>0</v>
      </c>
      <c r="L257" s="1346">
        <v>0</v>
      </c>
      <c r="M257" s="1346">
        <v>0</v>
      </c>
      <c r="N257" s="1346">
        <v>0</v>
      </c>
      <c r="O257" s="1346">
        <v>0</v>
      </c>
      <c r="P257" s="1346">
        <v>0</v>
      </c>
      <c r="Q257" s="1346">
        <v>0</v>
      </c>
      <c r="R257" s="1346">
        <v>0</v>
      </c>
      <c r="S257" s="1346">
        <v>0</v>
      </c>
      <c r="T257" s="1346">
        <v>0</v>
      </c>
      <c r="U257" s="1346">
        <v>0</v>
      </c>
      <c r="V257" s="1346">
        <v>0</v>
      </c>
      <c r="W257" s="1346">
        <v>0</v>
      </c>
      <c r="X257" s="1346">
        <v>0</v>
      </c>
      <c r="Y257" s="1346">
        <v>0</v>
      </c>
      <c r="Z257" s="1346">
        <v>0</v>
      </c>
      <c r="AA257" s="1346">
        <v>0</v>
      </c>
      <c r="AB257" s="1346">
        <v>0</v>
      </c>
      <c r="AC257" s="1346">
        <v>0</v>
      </c>
      <c r="AD257" s="1346">
        <v>0</v>
      </c>
      <c r="AE257" s="1346">
        <v>0</v>
      </c>
      <c r="AF257" s="1346">
        <v>0</v>
      </c>
      <c r="AG257" s="1346">
        <v>0</v>
      </c>
      <c r="AH257" s="1346">
        <v>0</v>
      </c>
      <c r="AI257" s="1346">
        <v>0</v>
      </c>
      <c r="AJ257" s="1347">
        <v>0</v>
      </c>
      <c r="AK257" s="1348"/>
      <c r="AL257" s="1761"/>
      <c r="AM257" s="1345">
        <v>0</v>
      </c>
      <c r="AN257" s="1070"/>
    </row>
    <row r="258" spans="1:40" hidden="1" outlineLevel="1" x14ac:dyDescent="0.3">
      <c r="A258" s="1082"/>
      <c r="B258" s="1350"/>
      <c r="C258" s="1351" t="s">
        <v>1323</v>
      </c>
      <c r="D258" s="1351"/>
      <c r="E258" s="1353"/>
      <c r="F258" s="1357"/>
      <c r="G258" s="1276">
        <v>0</v>
      </c>
      <c r="H258" s="1275">
        <v>0</v>
      </c>
      <c r="I258" s="1275">
        <v>0</v>
      </c>
      <c r="J258" s="1275">
        <v>0</v>
      </c>
      <c r="K258" s="1275">
        <v>0</v>
      </c>
      <c r="L258" s="1275">
        <v>0</v>
      </c>
      <c r="M258" s="1275">
        <v>0</v>
      </c>
      <c r="N258" s="1275">
        <v>0</v>
      </c>
      <c r="O258" s="1275">
        <v>0</v>
      </c>
      <c r="P258" s="1275">
        <v>0</v>
      </c>
      <c r="Q258" s="1275">
        <v>0</v>
      </c>
      <c r="R258" s="1275">
        <v>0</v>
      </c>
      <c r="S258" s="1275">
        <v>0</v>
      </c>
      <c r="T258" s="1275">
        <v>0</v>
      </c>
      <c r="U258" s="1275">
        <v>0</v>
      </c>
      <c r="V258" s="1275">
        <v>0</v>
      </c>
      <c r="W258" s="1275">
        <v>0</v>
      </c>
      <c r="X258" s="1275">
        <v>0</v>
      </c>
      <c r="Y258" s="1275">
        <v>0</v>
      </c>
      <c r="Z258" s="1275">
        <v>0</v>
      </c>
      <c r="AA258" s="1275">
        <v>0</v>
      </c>
      <c r="AB258" s="1275">
        <v>0</v>
      </c>
      <c r="AC258" s="1275">
        <v>0</v>
      </c>
      <c r="AD258" s="1275">
        <v>0</v>
      </c>
      <c r="AE258" s="1275">
        <v>0</v>
      </c>
      <c r="AF258" s="1275">
        <v>0</v>
      </c>
      <c r="AG258" s="1275">
        <v>0</v>
      </c>
      <c r="AH258" s="1275">
        <v>0</v>
      </c>
      <c r="AI258" s="1275">
        <v>0</v>
      </c>
      <c r="AJ258" s="1276">
        <v>0</v>
      </c>
      <c r="AK258" s="1358"/>
      <c r="AL258" s="1771"/>
      <c r="AM258" s="1279"/>
      <c r="AN258" s="1070"/>
    </row>
    <row r="259" spans="1:40" ht="18" hidden="1" outlineLevel="1" x14ac:dyDescent="0.3">
      <c r="A259" s="1082"/>
      <c r="B259" s="1336" t="s">
        <v>1326</v>
      </c>
      <c r="C259" s="1351"/>
      <c r="D259" s="1351"/>
      <c r="E259" s="1353"/>
      <c r="F259" s="1304">
        <v>0</v>
      </c>
      <c r="G259" s="1306">
        <v>0</v>
      </c>
      <c r="H259" s="1305">
        <v>0</v>
      </c>
      <c r="I259" s="1305">
        <v>0</v>
      </c>
      <c r="J259" s="1305">
        <v>0</v>
      </c>
      <c r="K259" s="1305">
        <v>0</v>
      </c>
      <c r="L259" s="1305">
        <v>0</v>
      </c>
      <c r="M259" s="1305">
        <v>0</v>
      </c>
      <c r="N259" s="1305">
        <v>0</v>
      </c>
      <c r="O259" s="1305">
        <v>0</v>
      </c>
      <c r="P259" s="1305">
        <v>0</v>
      </c>
      <c r="Q259" s="1305">
        <v>0</v>
      </c>
      <c r="R259" s="1305">
        <v>0</v>
      </c>
      <c r="S259" s="1305">
        <v>0</v>
      </c>
      <c r="T259" s="1305">
        <v>0</v>
      </c>
      <c r="U259" s="1305">
        <v>0</v>
      </c>
      <c r="V259" s="1305">
        <v>0</v>
      </c>
      <c r="W259" s="1305">
        <v>0</v>
      </c>
      <c r="X259" s="1305">
        <v>0</v>
      </c>
      <c r="Y259" s="1305">
        <v>0</v>
      </c>
      <c r="Z259" s="1305">
        <v>0</v>
      </c>
      <c r="AA259" s="1305">
        <v>0</v>
      </c>
      <c r="AB259" s="1305">
        <v>0</v>
      </c>
      <c r="AC259" s="1305">
        <v>0</v>
      </c>
      <c r="AD259" s="1305">
        <v>0</v>
      </c>
      <c r="AE259" s="1305">
        <v>0</v>
      </c>
      <c r="AF259" s="1305">
        <v>0</v>
      </c>
      <c r="AG259" s="1305">
        <v>0</v>
      </c>
      <c r="AH259" s="1305">
        <v>0</v>
      </c>
      <c r="AI259" s="1305">
        <v>0</v>
      </c>
      <c r="AJ259" s="1306">
        <v>0</v>
      </c>
      <c r="AK259" s="1358" t="s">
        <v>3</v>
      </c>
      <c r="AL259" s="1771"/>
      <c r="AM259" s="1304">
        <v>0</v>
      </c>
      <c r="AN259" s="1070"/>
    </row>
    <row r="260" spans="1:40" ht="18" hidden="1" outlineLevel="1" x14ac:dyDescent="0.3">
      <c r="A260" s="1082"/>
      <c r="B260" s="1336" t="s">
        <v>1327</v>
      </c>
      <c r="C260" s="1360"/>
      <c r="D260" s="1360"/>
      <c r="E260" s="1360"/>
      <c r="F260" s="1304">
        <v>0</v>
      </c>
      <c r="G260" s="1306">
        <v>0</v>
      </c>
      <c r="H260" s="1305">
        <v>0</v>
      </c>
      <c r="I260" s="1305">
        <v>0</v>
      </c>
      <c r="J260" s="1305">
        <v>0</v>
      </c>
      <c r="K260" s="1305">
        <v>0</v>
      </c>
      <c r="L260" s="1305">
        <v>0</v>
      </c>
      <c r="M260" s="1305">
        <v>0</v>
      </c>
      <c r="N260" s="1305">
        <v>0</v>
      </c>
      <c r="O260" s="1305">
        <v>0</v>
      </c>
      <c r="P260" s="1305">
        <v>0</v>
      </c>
      <c r="Q260" s="1305">
        <v>0</v>
      </c>
      <c r="R260" s="1305">
        <v>0</v>
      </c>
      <c r="S260" s="1305">
        <v>0</v>
      </c>
      <c r="T260" s="1305">
        <v>0</v>
      </c>
      <c r="U260" s="1305">
        <v>0</v>
      </c>
      <c r="V260" s="1305">
        <v>0</v>
      </c>
      <c r="W260" s="1305">
        <v>0</v>
      </c>
      <c r="X260" s="1305">
        <v>0</v>
      </c>
      <c r="Y260" s="1305">
        <v>0</v>
      </c>
      <c r="Z260" s="1305">
        <v>0</v>
      </c>
      <c r="AA260" s="1305">
        <v>0</v>
      </c>
      <c r="AB260" s="1305">
        <v>0</v>
      </c>
      <c r="AC260" s="1305">
        <v>0</v>
      </c>
      <c r="AD260" s="1305">
        <v>0</v>
      </c>
      <c r="AE260" s="1305">
        <v>0</v>
      </c>
      <c r="AF260" s="1305">
        <v>0</v>
      </c>
      <c r="AG260" s="1305">
        <v>0</v>
      </c>
      <c r="AH260" s="1305">
        <v>0</v>
      </c>
      <c r="AI260" s="1305">
        <v>0</v>
      </c>
      <c r="AJ260" s="1306">
        <v>0</v>
      </c>
      <c r="AK260" s="1307">
        <v>0</v>
      </c>
      <c r="AL260" s="1770"/>
      <c r="AM260" s="1304">
        <v>0</v>
      </c>
      <c r="AN260" s="1070"/>
    </row>
    <row r="261" spans="1:40" ht="18" hidden="1" outlineLevel="1" x14ac:dyDescent="0.3">
      <c r="A261" s="1082"/>
      <c r="B261" s="1308" t="s">
        <v>674</v>
      </c>
      <c r="C261" s="1362"/>
      <c r="D261" s="1362"/>
      <c r="E261" s="1362"/>
      <c r="F261" s="1315">
        <v>0</v>
      </c>
      <c r="G261" s="1317">
        <v>0</v>
      </c>
      <c r="H261" s="1316">
        <v>0</v>
      </c>
      <c r="I261" s="1316">
        <v>0</v>
      </c>
      <c r="J261" s="1316">
        <v>0</v>
      </c>
      <c r="K261" s="1316">
        <v>0</v>
      </c>
      <c r="L261" s="1316">
        <v>0</v>
      </c>
      <c r="M261" s="1316">
        <v>0</v>
      </c>
      <c r="N261" s="1316">
        <v>0</v>
      </c>
      <c r="O261" s="1316">
        <v>0</v>
      </c>
      <c r="P261" s="1316">
        <v>0</v>
      </c>
      <c r="Q261" s="1316">
        <v>0</v>
      </c>
      <c r="R261" s="1316">
        <v>0</v>
      </c>
      <c r="S261" s="1316">
        <v>0</v>
      </c>
      <c r="T261" s="1316">
        <v>0</v>
      </c>
      <c r="U261" s="1316">
        <v>0</v>
      </c>
      <c r="V261" s="1316">
        <v>0</v>
      </c>
      <c r="W261" s="1316">
        <v>0</v>
      </c>
      <c r="X261" s="1316">
        <v>0</v>
      </c>
      <c r="Y261" s="1316">
        <v>0</v>
      </c>
      <c r="Z261" s="1316">
        <v>0</v>
      </c>
      <c r="AA261" s="1316">
        <v>0</v>
      </c>
      <c r="AB261" s="1316">
        <v>0</v>
      </c>
      <c r="AC261" s="1316">
        <v>0</v>
      </c>
      <c r="AD261" s="1316">
        <v>0</v>
      </c>
      <c r="AE261" s="1316">
        <v>0</v>
      </c>
      <c r="AF261" s="1316">
        <v>0</v>
      </c>
      <c r="AG261" s="1316">
        <v>0</v>
      </c>
      <c r="AH261" s="1316">
        <v>0</v>
      </c>
      <c r="AI261" s="1316">
        <v>0</v>
      </c>
      <c r="AJ261" s="1317">
        <v>0</v>
      </c>
      <c r="AK261" s="1318"/>
      <c r="AL261" s="1761"/>
      <c r="AM261" s="1315">
        <v>0</v>
      </c>
      <c r="AN261" s="1070"/>
    </row>
    <row r="262" spans="1:40" hidden="1" outlineLevel="1" x14ac:dyDescent="0.3">
      <c r="A262" s="1082"/>
      <c r="B262" s="1363"/>
      <c r="C262" s="1321" t="s">
        <v>1323</v>
      </c>
      <c r="D262" s="1321"/>
      <c r="E262" s="1364"/>
      <c r="F262" s="1367"/>
      <c r="G262" s="1332">
        <v>0</v>
      </c>
      <c r="H262" s="1331">
        <v>0</v>
      </c>
      <c r="I262" s="1331">
        <v>0</v>
      </c>
      <c r="J262" s="1331">
        <v>0</v>
      </c>
      <c r="K262" s="1331">
        <v>0</v>
      </c>
      <c r="L262" s="1331">
        <v>0</v>
      </c>
      <c r="M262" s="1331">
        <v>0</v>
      </c>
      <c r="N262" s="1331">
        <v>0</v>
      </c>
      <c r="O262" s="1331">
        <v>0</v>
      </c>
      <c r="P262" s="1331">
        <v>0</v>
      </c>
      <c r="Q262" s="1331">
        <v>0</v>
      </c>
      <c r="R262" s="1331">
        <v>0</v>
      </c>
      <c r="S262" s="1331">
        <v>0</v>
      </c>
      <c r="T262" s="1331">
        <v>0</v>
      </c>
      <c r="U262" s="1331">
        <v>0</v>
      </c>
      <c r="V262" s="1331">
        <v>0</v>
      </c>
      <c r="W262" s="1331">
        <v>0</v>
      </c>
      <c r="X262" s="1331">
        <v>0</v>
      </c>
      <c r="Y262" s="1331">
        <v>0</v>
      </c>
      <c r="Z262" s="1331">
        <v>0</v>
      </c>
      <c r="AA262" s="1331">
        <v>0</v>
      </c>
      <c r="AB262" s="1331">
        <v>0</v>
      </c>
      <c r="AC262" s="1331">
        <v>0</v>
      </c>
      <c r="AD262" s="1331">
        <v>0</v>
      </c>
      <c r="AE262" s="1331">
        <v>0</v>
      </c>
      <c r="AF262" s="1331">
        <v>0</v>
      </c>
      <c r="AG262" s="1331">
        <v>0</v>
      </c>
      <c r="AH262" s="1331">
        <v>0</v>
      </c>
      <c r="AI262" s="1331">
        <v>0</v>
      </c>
      <c r="AJ262" s="1332">
        <v>0</v>
      </c>
      <c r="AK262" s="1368"/>
      <c r="AL262" s="1776"/>
      <c r="AM262" s="1335"/>
      <c r="AN262" s="1070"/>
    </row>
    <row r="263" spans="1:40" ht="18" hidden="1" outlineLevel="1" x14ac:dyDescent="0.3">
      <c r="A263" s="1082"/>
      <c r="B263" s="1336" t="s">
        <v>1328</v>
      </c>
      <c r="C263" s="1337"/>
      <c r="D263" s="1337"/>
      <c r="E263" s="1337"/>
      <c r="F263" s="1304">
        <v>0</v>
      </c>
      <c r="G263" s="1306">
        <v>0</v>
      </c>
      <c r="H263" s="1305">
        <v>0</v>
      </c>
      <c r="I263" s="1305">
        <v>0</v>
      </c>
      <c r="J263" s="1305">
        <v>0</v>
      </c>
      <c r="K263" s="1305">
        <v>0</v>
      </c>
      <c r="L263" s="1305">
        <v>0</v>
      </c>
      <c r="M263" s="1305">
        <v>0</v>
      </c>
      <c r="N263" s="1305">
        <v>0</v>
      </c>
      <c r="O263" s="1305">
        <v>0</v>
      </c>
      <c r="P263" s="1305">
        <v>0</v>
      </c>
      <c r="Q263" s="1305">
        <v>0</v>
      </c>
      <c r="R263" s="1305">
        <v>0</v>
      </c>
      <c r="S263" s="1305">
        <v>0</v>
      </c>
      <c r="T263" s="1305">
        <v>0</v>
      </c>
      <c r="U263" s="1305">
        <v>0</v>
      </c>
      <c r="V263" s="1305">
        <v>0</v>
      </c>
      <c r="W263" s="1305">
        <v>0</v>
      </c>
      <c r="X263" s="1305">
        <v>0</v>
      </c>
      <c r="Y263" s="1305">
        <v>0</v>
      </c>
      <c r="Z263" s="1305">
        <v>0</v>
      </c>
      <c r="AA263" s="1305">
        <v>0</v>
      </c>
      <c r="AB263" s="1305">
        <v>0</v>
      </c>
      <c r="AC263" s="1305">
        <v>0</v>
      </c>
      <c r="AD263" s="1305">
        <v>0</v>
      </c>
      <c r="AE263" s="1305">
        <v>0</v>
      </c>
      <c r="AF263" s="1305">
        <v>0</v>
      </c>
      <c r="AG263" s="1305">
        <v>0</v>
      </c>
      <c r="AH263" s="1305">
        <v>0</v>
      </c>
      <c r="AI263" s="1305">
        <v>0</v>
      </c>
      <c r="AJ263" s="1306">
        <v>0</v>
      </c>
      <c r="AK263" s="1307">
        <v>0</v>
      </c>
      <c r="AL263" s="1770"/>
      <c r="AM263" s="1304">
        <v>0</v>
      </c>
      <c r="AN263" s="1070"/>
    </row>
    <row r="264" spans="1:40" ht="18" hidden="1" outlineLevel="1" x14ac:dyDescent="0.3">
      <c r="A264" s="1082"/>
      <c r="B264" s="1336" t="s">
        <v>1329</v>
      </c>
      <c r="C264" s="1337"/>
      <c r="D264" s="1337"/>
      <c r="E264" s="1337"/>
      <c r="F264" s="1304">
        <v>0</v>
      </c>
      <c r="G264" s="1306">
        <v>0</v>
      </c>
      <c r="H264" s="1305">
        <v>0</v>
      </c>
      <c r="I264" s="1305">
        <v>0</v>
      </c>
      <c r="J264" s="1305">
        <v>0</v>
      </c>
      <c r="K264" s="1305">
        <v>0</v>
      </c>
      <c r="L264" s="1305">
        <v>0</v>
      </c>
      <c r="M264" s="1305">
        <v>0</v>
      </c>
      <c r="N264" s="1305">
        <v>0</v>
      </c>
      <c r="O264" s="1305">
        <v>0</v>
      </c>
      <c r="P264" s="1305">
        <v>0</v>
      </c>
      <c r="Q264" s="1305">
        <v>0</v>
      </c>
      <c r="R264" s="1305">
        <v>0</v>
      </c>
      <c r="S264" s="1305">
        <v>0</v>
      </c>
      <c r="T264" s="1305">
        <v>0</v>
      </c>
      <c r="U264" s="1305">
        <v>0</v>
      </c>
      <c r="V264" s="1305">
        <v>0</v>
      </c>
      <c r="W264" s="1305">
        <v>0</v>
      </c>
      <c r="X264" s="1305">
        <v>0</v>
      </c>
      <c r="Y264" s="1305">
        <v>0</v>
      </c>
      <c r="Z264" s="1305">
        <v>0</v>
      </c>
      <c r="AA264" s="1305">
        <v>0</v>
      </c>
      <c r="AB264" s="1305">
        <v>0</v>
      </c>
      <c r="AC264" s="1305">
        <v>0</v>
      </c>
      <c r="AD264" s="1305">
        <v>0</v>
      </c>
      <c r="AE264" s="1305">
        <v>0</v>
      </c>
      <c r="AF264" s="1305">
        <v>0</v>
      </c>
      <c r="AG264" s="1305">
        <v>0</v>
      </c>
      <c r="AH264" s="1305">
        <v>0</v>
      </c>
      <c r="AI264" s="1777">
        <v>0</v>
      </c>
      <c r="AJ264" s="1306">
        <v>0</v>
      </c>
      <c r="AK264" s="1307">
        <v>0</v>
      </c>
      <c r="AL264" s="1770"/>
      <c r="AM264" s="1304">
        <v>0</v>
      </c>
      <c r="AN264" s="1070"/>
    </row>
    <row r="265" spans="1:40" ht="18" hidden="1" outlineLevel="1" x14ac:dyDescent="0.3">
      <c r="A265" s="1082"/>
      <c r="B265" s="1369" t="s">
        <v>1450</v>
      </c>
      <c r="C265" s="1298"/>
      <c r="D265" s="1298"/>
      <c r="E265" s="1298"/>
      <c r="F265" s="1374">
        <v>0</v>
      </c>
      <c r="G265" s="1376">
        <v>0</v>
      </c>
      <c r="H265" s="1375">
        <v>0</v>
      </c>
      <c r="I265" s="1375">
        <v>0</v>
      </c>
      <c r="J265" s="1375">
        <v>0</v>
      </c>
      <c r="K265" s="1375">
        <v>0</v>
      </c>
      <c r="L265" s="1375">
        <v>0</v>
      </c>
      <c r="M265" s="1375">
        <v>0</v>
      </c>
      <c r="N265" s="1375">
        <v>0</v>
      </c>
      <c r="O265" s="1375">
        <v>0</v>
      </c>
      <c r="P265" s="1375">
        <v>0</v>
      </c>
      <c r="Q265" s="1375">
        <v>0</v>
      </c>
      <c r="R265" s="1375">
        <v>0</v>
      </c>
      <c r="S265" s="1375">
        <v>0</v>
      </c>
      <c r="T265" s="1375">
        <v>0</v>
      </c>
      <c r="U265" s="1375">
        <v>0</v>
      </c>
      <c r="V265" s="1375">
        <v>0</v>
      </c>
      <c r="W265" s="1375">
        <v>0</v>
      </c>
      <c r="X265" s="1375">
        <v>0</v>
      </c>
      <c r="Y265" s="1375">
        <v>0</v>
      </c>
      <c r="Z265" s="1375">
        <v>0</v>
      </c>
      <c r="AA265" s="1375">
        <v>0</v>
      </c>
      <c r="AB265" s="1375">
        <v>0</v>
      </c>
      <c r="AC265" s="1375">
        <v>0</v>
      </c>
      <c r="AD265" s="1375">
        <v>0</v>
      </c>
      <c r="AE265" s="1375">
        <v>0</v>
      </c>
      <c r="AF265" s="1375">
        <v>0</v>
      </c>
      <c r="AG265" s="1375">
        <v>0</v>
      </c>
      <c r="AH265" s="1375">
        <v>0</v>
      </c>
      <c r="AI265" s="1375">
        <v>0</v>
      </c>
      <c r="AJ265" s="1376">
        <v>0</v>
      </c>
      <c r="AK265" s="1377"/>
      <c r="AL265" s="1761"/>
      <c r="AM265" s="1374">
        <v>0</v>
      </c>
      <c r="AN265" s="1070"/>
    </row>
    <row r="266" spans="1:40" ht="18" hidden="1" outlineLevel="1" x14ac:dyDescent="0.3">
      <c r="A266" s="1082"/>
      <c r="B266" s="1369"/>
      <c r="C266" s="1351" t="s">
        <v>1323</v>
      </c>
      <c r="D266" s="1351"/>
      <c r="E266" s="1351"/>
      <c r="F266" s="1381"/>
      <c r="G266" s="1276">
        <v>0</v>
      </c>
      <c r="H266" s="1275">
        <v>0</v>
      </c>
      <c r="I266" s="1275">
        <v>0</v>
      </c>
      <c r="J266" s="1275">
        <v>0</v>
      </c>
      <c r="K266" s="1275">
        <v>0</v>
      </c>
      <c r="L266" s="1275">
        <v>0</v>
      </c>
      <c r="M266" s="1275">
        <v>0</v>
      </c>
      <c r="N266" s="1275">
        <v>0</v>
      </c>
      <c r="O266" s="1275">
        <v>0</v>
      </c>
      <c r="P266" s="1275">
        <v>0</v>
      </c>
      <c r="Q266" s="1275">
        <v>0</v>
      </c>
      <c r="R266" s="1275">
        <v>0</v>
      </c>
      <c r="S266" s="1275">
        <v>0</v>
      </c>
      <c r="T266" s="1275">
        <v>0</v>
      </c>
      <c r="U266" s="1275">
        <v>0</v>
      </c>
      <c r="V266" s="1275">
        <v>0</v>
      </c>
      <c r="W266" s="1275">
        <v>0</v>
      </c>
      <c r="X266" s="1275">
        <v>0</v>
      </c>
      <c r="Y266" s="1275">
        <v>0</v>
      </c>
      <c r="Z266" s="1275">
        <v>0</v>
      </c>
      <c r="AA266" s="1275">
        <v>0</v>
      </c>
      <c r="AB266" s="1275">
        <v>0</v>
      </c>
      <c r="AC266" s="1275">
        <v>0</v>
      </c>
      <c r="AD266" s="1275">
        <v>0</v>
      </c>
      <c r="AE266" s="1275">
        <v>0</v>
      </c>
      <c r="AF266" s="1275">
        <v>0</v>
      </c>
      <c r="AG266" s="1275">
        <v>0</v>
      </c>
      <c r="AH266" s="1275">
        <v>0</v>
      </c>
      <c r="AI266" s="1275">
        <v>0</v>
      </c>
      <c r="AJ266" s="1276">
        <v>0</v>
      </c>
      <c r="AK266" s="1377"/>
      <c r="AL266" s="1761"/>
      <c r="AM266" s="1279"/>
      <c r="AN266" s="1070"/>
    </row>
    <row r="267" spans="1:40" s="1236" customFormat="1" ht="18.600000000000001" hidden="1" outlineLevel="1" thickBot="1" x14ac:dyDescent="0.35">
      <c r="A267" s="1082"/>
      <c r="B267" s="1778"/>
      <c r="C267" s="1779"/>
      <c r="D267" s="1779"/>
      <c r="E267" s="1779"/>
      <c r="F267" s="1780"/>
      <c r="G267" s="1781"/>
      <c r="H267" s="1781"/>
      <c r="I267" s="1781"/>
      <c r="J267" s="1781"/>
      <c r="K267" s="1781"/>
      <c r="L267" s="1781"/>
      <c r="M267" s="1781"/>
      <c r="N267" s="1781"/>
      <c r="O267" s="1781"/>
      <c r="P267" s="1781"/>
      <c r="Q267" s="1781"/>
      <c r="R267" s="1781"/>
      <c r="S267" s="1781"/>
      <c r="T267" s="1781"/>
      <c r="U267" s="1781"/>
      <c r="V267" s="1781"/>
      <c r="W267" s="1781"/>
      <c r="X267" s="1781"/>
      <c r="Y267" s="1781"/>
      <c r="Z267" s="1781"/>
      <c r="AA267" s="1781"/>
      <c r="AB267" s="1781"/>
      <c r="AC267" s="1781"/>
      <c r="AD267" s="1781"/>
      <c r="AE267" s="1781"/>
      <c r="AF267" s="1781"/>
      <c r="AG267" s="1781"/>
      <c r="AH267" s="1781"/>
      <c r="AI267" s="1781"/>
      <c r="AJ267" s="1782"/>
      <c r="AK267" s="1783"/>
      <c r="AL267" s="1784"/>
      <c r="AM267" s="1785"/>
      <c r="AN267" s="1082"/>
    </row>
    <row r="268" spans="1:40" s="1236" customFormat="1" ht="18" hidden="1" outlineLevel="1" x14ac:dyDescent="0.3">
      <c r="A268" s="1082"/>
      <c r="B268" s="1082"/>
      <c r="C268" s="1082"/>
      <c r="D268" s="1082"/>
      <c r="E268" s="1082"/>
      <c r="F268" s="1371"/>
      <c r="G268" s="1300"/>
      <c r="H268" s="1300"/>
      <c r="I268" s="1300"/>
      <c r="J268" s="1300"/>
      <c r="K268" s="1300"/>
      <c r="L268" s="1300"/>
      <c r="M268" s="1300"/>
      <c r="N268" s="1300"/>
      <c r="O268" s="1300"/>
      <c r="P268" s="1300"/>
      <c r="Q268" s="1300"/>
      <c r="R268" s="1300"/>
      <c r="S268" s="1300"/>
      <c r="T268" s="1300"/>
      <c r="U268" s="1300"/>
      <c r="V268" s="1300"/>
      <c r="W268" s="1300"/>
      <c r="X268" s="1300"/>
      <c r="Y268" s="1300"/>
      <c r="Z268" s="1300"/>
      <c r="AA268" s="1300"/>
      <c r="AB268" s="1300"/>
      <c r="AC268" s="1300"/>
      <c r="AD268" s="1300"/>
      <c r="AE268" s="1300"/>
      <c r="AF268" s="1300"/>
      <c r="AG268" s="1300"/>
      <c r="AH268" s="1300"/>
      <c r="AI268" s="1300"/>
      <c r="AJ268" s="1300"/>
      <c r="AK268" s="1791"/>
      <c r="AL268" s="1791"/>
      <c r="AM268" s="1300"/>
      <c r="AN268" s="1082"/>
    </row>
    <row r="269" spans="1:40" s="1236" customFormat="1" ht="18" hidden="1" outlineLevel="1" x14ac:dyDescent="0.3">
      <c r="A269" s="1082"/>
      <c r="B269" s="1082"/>
      <c r="C269" s="1082"/>
      <c r="D269" s="1082"/>
      <c r="E269" s="1082"/>
      <c r="F269" s="1371"/>
      <c r="G269" s="1300"/>
      <c r="H269" s="1300"/>
      <c r="I269" s="1300"/>
      <c r="J269" s="1300"/>
      <c r="K269" s="1300"/>
      <c r="L269" s="1300"/>
      <c r="M269" s="1300"/>
      <c r="N269" s="1300"/>
      <c r="O269" s="1300"/>
      <c r="P269" s="1300"/>
      <c r="Q269" s="1300"/>
      <c r="R269" s="1300"/>
      <c r="S269" s="1300"/>
      <c r="T269" s="1300"/>
      <c r="U269" s="1300"/>
      <c r="V269" s="1300"/>
      <c r="W269" s="1300"/>
      <c r="X269" s="1300"/>
      <c r="Y269" s="1300"/>
      <c r="Z269" s="1300"/>
      <c r="AA269" s="1795"/>
      <c r="AB269" s="1795"/>
      <c r="AC269" s="1795"/>
      <c r="AD269" s="1795"/>
      <c r="AE269" s="1795"/>
      <c r="AF269" s="1795"/>
      <c r="AG269" s="1795"/>
      <c r="AH269" s="1795"/>
      <c r="AI269" s="1795"/>
      <c r="AJ269" s="1795"/>
      <c r="AK269" s="1796"/>
      <c r="AL269" s="1796"/>
      <c r="AM269" s="1795"/>
    </row>
    <row r="270" spans="1:40" ht="15" hidden="1" customHeight="1" outlineLevel="1" x14ac:dyDescent="0.3">
      <c r="A270" s="1070"/>
      <c r="B270" s="1070"/>
      <c r="C270" s="1070"/>
      <c r="D270" s="1070"/>
      <c r="E270" s="1070"/>
      <c r="F270" s="1070"/>
      <c r="G270" s="1070"/>
      <c r="H270" s="3144" t="s">
        <v>1472</v>
      </c>
      <c r="I270" s="3145"/>
      <c r="J270" s="3145"/>
      <c r="K270" s="3145"/>
      <c r="L270" s="3146"/>
      <c r="M270" s="1070"/>
      <c r="N270" s="1070"/>
      <c r="O270" s="1850" t="s">
        <v>1480</v>
      </c>
      <c r="P270" s="1850"/>
      <c r="Q270" s="1850"/>
      <c r="R270" s="1850"/>
      <c r="T270" s="1079"/>
      <c r="U270" s="1082"/>
      <c r="V270" s="3277" t="s">
        <v>1474</v>
      </c>
      <c r="W270" s="3278"/>
      <c r="X270" s="3278"/>
      <c r="Y270" s="3279"/>
      <c r="Z270" s="1082"/>
    </row>
    <row r="271" spans="1:40" hidden="1" outlineLevel="1" x14ac:dyDescent="0.3">
      <c r="A271" s="1070"/>
      <c r="B271" s="1070"/>
      <c r="C271" s="1070"/>
      <c r="D271" s="1070"/>
      <c r="E271" s="1070"/>
      <c r="F271" s="1070"/>
      <c r="G271" s="1070"/>
      <c r="H271" s="1217" t="s">
        <v>1299</v>
      </c>
      <c r="I271" s="1218"/>
      <c r="J271" s="1218"/>
      <c r="K271" s="1218"/>
      <c r="L271" s="1412"/>
      <c r="M271" s="1070"/>
      <c r="N271" s="1070"/>
      <c r="O271" s="1797"/>
      <c r="P271" s="1798"/>
      <c r="Q271" s="1799" t="s">
        <v>1313</v>
      </c>
      <c r="R271" s="1799" t="s">
        <v>1314</v>
      </c>
      <c r="T271" s="1079"/>
      <c r="U271" s="1082"/>
      <c r="V271" s="3280"/>
      <c r="W271" s="3281"/>
      <c r="X271" s="3281"/>
      <c r="Y271" s="3282"/>
      <c r="Z271" s="1082"/>
    </row>
    <row r="272" spans="1:40" hidden="1" outlineLevel="1" x14ac:dyDescent="0.3">
      <c r="A272" s="1070"/>
      <c r="B272" s="1070"/>
      <c r="C272" s="1070"/>
      <c r="D272" s="1070"/>
      <c r="E272" s="1070"/>
      <c r="F272" s="1070"/>
      <c r="G272" s="1070"/>
      <c r="H272" s="1800" t="s">
        <v>1301</v>
      </c>
      <c r="I272" s="1801"/>
      <c r="J272" s="1801"/>
      <c r="K272" s="1802" t="s">
        <v>1432</v>
      </c>
      <c r="L272" s="1803" t="s">
        <v>682</v>
      </c>
      <c r="M272" s="1070"/>
      <c r="N272" s="1070"/>
      <c r="O272" s="1804"/>
      <c r="P272" s="1805"/>
      <c r="Q272" s="1806" t="s">
        <v>1465</v>
      </c>
      <c r="R272" s="1806" t="s">
        <v>1465</v>
      </c>
      <c r="T272" s="1079"/>
      <c r="U272" s="1082"/>
      <c r="V272" s="1807" t="s">
        <v>1454</v>
      </c>
      <c r="W272" s="1143"/>
      <c r="X272" s="1414" t="s">
        <v>1432</v>
      </c>
      <c r="Y272" s="1415" t="s">
        <v>682</v>
      </c>
      <c r="Z272" s="1082"/>
    </row>
    <row r="273" spans="1:16378" hidden="1" outlineLevel="1" x14ac:dyDescent="0.3">
      <c r="A273" s="1070"/>
      <c r="B273" s="1070"/>
      <c r="C273" s="1070"/>
      <c r="D273" s="1070"/>
      <c r="E273" s="1070"/>
      <c r="F273" s="1070"/>
      <c r="G273" s="1070"/>
      <c r="H273" s="1440" t="s">
        <v>1456</v>
      </c>
      <c r="I273" s="1441"/>
      <c r="J273" s="1441"/>
      <c r="K273" s="1809" t="s">
        <v>1445</v>
      </c>
      <c r="L273" s="1443" t="s">
        <v>1445</v>
      </c>
      <c r="M273" s="1070"/>
      <c r="N273" s="1070"/>
      <c r="O273" s="1422" t="s">
        <v>794</v>
      </c>
      <c r="P273" s="1412"/>
      <c r="Q273" s="1832"/>
      <c r="R273" s="1833"/>
      <c r="T273" s="1079"/>
      <c r="U273" s="1082"/>
      <c r="V273" s="1147" t="s">
        <v>756</v>
      </c>
      <c r="W273" s="1186"/>
      <c r="X273" s="1811" t="s">
        <v>1445</v>
      </c>
      <c r="Y273" s="1812" t="s">
        <v>1445</v>
      </c>
      <c r="Z273" s="1082"/>
    </row>
    <row r="274" spans="1:16378" hidden="1" outlineLevel="1" x14ac:dyDescent="0.3">
      <c r="A274" s="1070"/>
      <c r="B274" s="1070"/>
      <c r="C274" s="1070"/>
      <c r="D274" s="1070"/>
      <c r="E274" s="1070"/>
      <c r="F274" s="1070"/>
      <c r="G274" s="1070"/>
      <c r="H274" s="1800" t="s">
        <v>730</v>
      </c>
      <c r="I274" s="1801"/>
      <c r="J274" s="1801"/>
      <c r="K274" s="1813"/>
      <c r="L274" s="1814"/>
      <c r="M274" s="1070"/>
      <c r="N274" s="1070"/>
      <c r="O274" s="1434" t="s">
        <v>725</v>
      </c>
      <c r="P274" s="1435"/>
      <c r="Q274" s="1834"/>
      <c r="R274" s="1835"/>
      <c r="T274" s="1079"/>
      <c r="U274" s="1082"/>
      <c r="V274" s="1149" t="s">
        <v>757</v>
      </c>
      <c r="W274" s="1437"/>
      <c r="X274" s="1816" t="s">
        <v>1445</v>
      </c>
      <c r="Y274" s="1817" t="s">
        <v>1445</v>
      </c>
      <c r="Z274" s="1082"/>
    </row>
    <row r="275" spans="1:16378" hidden="1" outlineLevel="1" x14ac:dyDescent="0.3">
      <c r="A275" s="1070"/>
      <c r="B275" s="1070"/>
      <c r="C275" s="1070"/>
      <c r="D275" s="1070"/>
      <c r="E275" s="1070"/>
      <c r="F275" s="1070"/>
      <c r="G275" s="1070"/>
      <c r="H275" s="1440" t="s">
        <v>1456</v>
      </c>
      <c r="I275" s="1441"/>
      <c r="J275" s="1441"/>
      <c r="K275" s="1809" t="s">
        <v>1445</v>
      </c>
      <c r="L275" s="1443" t="s">
        <v>1445</v>
      </c>
      <c r="M275" s="1070"/>
      <c r="N275" s="1070"/>
      <c r="O275" s="1422" t="s">
        <v>1348</v>
      </c>
      <c r="P275" s="1412"/>
      <c r="Q275" s="1836"/>
      <c r="R275" s="1079"/>
      <c r="T275" s="1079"/>
      <c r="U275" s="1082"/>
      <c r="V275" s="1149"/>
      <c r="W275" s="1437"/>
      <c r="X275" s="3182"/>
      <c r="Y275" s="3183"/>
      <c r="Z275" s="1082"/>
    </row>
    <row r="276" spans="1:16378" hidden="1" outlineLevel="1" x14ac:dyDescent="0.3">
      <c r="A276" s="1070"/>
      <c r="B276" s="1070"/>
      <c r="C276" s="1070"/>
      <c r="D276" s="1070"/>
      <c r="E276" s="1070"/>
      <c r="F276" s="1070"/>
      <c r="G276" s="1070"/>
      <c r="H276" s="1800" t="s">
        <v>446</v>
      </c>
      <c r="I276" s="1801"/>
      <c r="J276" s="1801"/>
      <c r="K276" s="1813"/>
      <c r="L276" s="1814"/>
      <c r="M276" s="1070"/>
      <c r="N276" s="1070"/>
      <c r="O276" s="1434" t="s">
        <v>1349</v>
      </c>
      <c r="P276" s="1435"/>
      <c r="Q276" s="1837"/>
      <c r="R276" s="1079"/>
      <c r="T276" s="1079"/>
      <c r="U276" s="1082"/>
      <c r="V276" s="1149" t="s">
        <v>758</v>
      </c>
      <c r="W276" s="1437"/>
      <c r="X276" s="1811" t="s">
        <v>1445</v>
      </c>
      <c r="Y276" s="1812" t="s">
        <v>1445</v>
      </c>
      <c r="Z276" s="1082"/>
    </row>
    <row r="277" spans="1:16378" hidden="1" outlineLevel="1" x14ac:dyDescent="0.3">
      <c r="A277" s="1070"/>
      <c r="B277" s="1070"/>
      <c r="C277" s="1070"/>
      <c r="D277" s="1070"/>
      <c r="E277" s="1070"/>
      <c r="F277" s="1070"/>
      <c r="G277" s="1070"/>
      <c r="H277" s="1440" t="s">
        <v>1456</v>
      </c>
      <c r="I277" s="1441"/>
      <c r="J277" s="1441"/>
      <c r="K277" s="1809" t="s">
        <v>1445</v>
      </c>
      <c r="L277" s="1443" t="s">
        <v>1445</v>
      </c>
      <c r="M277" s="1070"/>
      <c r="N277" s="1070"/>
      <c r="O277" s="1070"/>
      <c r="P277" s="1070"/>
      <c r="Q277" s="1070"/>
      <c r="R277" s="1070"/>
      <c r="S277" s="1070"/>
      <c r="T277" s="1070"/>
      <c r="U277" s="1082"/>
      <c r="V277" s="1149" t="s">
        <v>759</v>
      </c>
      <c r="W277" s="1437"/>
      <c r="X277" s="1811" t="s">
        <v>1445</v>
      </c>
      <c r="Y277" s="1812" t="s">
        <v>1445</v>
      </c>
      <c r="Z277" s="1082"/>
    </row>
    <row r="278" spans="1:16378" hidden="1" outlineLevel="1" x14ac:dyDescent="0.3">
      <c r="A278" s="1070"/>
      <c r="B278" s="1070"/>
      <c r="C278" s="1070"/>
      <c r="D278" s="1070"/>
      <c r="E278" s="1070"/>
      <c r="F278" s="1070"/>
      <c r="G278" s="1070"/>
      <c r="H278" s="1800" t="s">
        <v>1305</v>
      </c>
      <c r="I278" s="1801"/>
      <c r="J278" s="1801"/>
      <c r="K278" s="1813"/>
      <c r="L278" s="1814"/>
      <c r="M278" s="1070"/>
      <c r="N278" s="1070"/>
      <c r="O278" s="1422" t="s">
        <v>3</v>
      </c>
      <c r="P278" s="1186"/>
      <c r="Q278" s="1848"/>
      <c r="R278" s="1070"/>
      <c r="S278" s="1070"/>
      <c r="T278" s="1070"/>
      <c r="U278" s="1082"/>
      <c r="V278" s="1184" t="s">
        <v>1268</v>
      </c>
      <c r="W278" s="1459"/>
      <c r="X278" s="1816" t="s">
        <v>1445</v>
      </c>
      <c r="Y278" s="1817" t="s">
        <v>1445</v>
      </c>
      <c r="Z278" s="1082"/>
    </row>
    <row r="279" spans="1:16378" hidden="1" outlineLevel="1" x14ac:dyDescent="0.3">
      <c r="A279" s="1070"/>
      <c r="B279" s="1070"/>
      <c r="C279" s="1070"/>
      <c r="D279" s="1070"/>
      <c r="E279" s="1070"/>
      <c r="F279" s="1070"/>
      <c r="G279" s="1070"/>
      <c r="H279" s="1465" t="s">
        <v>1456</v>
      </c>
      <c r="I279" s="1466"/>
      <c r="J279" s="1466"/>
      <c r="K279" s="1822" t="s">
        <v>1445</v>
      </c>
      <c r="L279" s="1448" t="s">
        <v>1445</v>
      </c>
      <c r="M279" s="1070"/>
      <c r="N279" s="1070"/>
      <c r="O279" s="1434" t="s">
        <v>1458</v>
      </c>
      <c r="P279" s="1459"/>
      <c r="Q279" s="1849"/>
      <c r="R279" s="1070"/>
      <c r="S279" s="1070"/>
      <c r="T279" s="1070"/>
      <c r="U279" s="1082"/>
      <c r="V279" s="1082"/>
      <c r="W279" s="1082"/>
      <c r="X279" s="1082"/>
      <c r="Y279" s="1082"/>
      <c r="Z279" s="1082"/>
    </row>
    <row r="280" spans="1:16378" collapsed="1" x14ac:dyDescent="0.3">
      <c r="A280" s="1070"/>
      <c r="B280" s="1070"/>
      <c r="C280" s="1070"/>
      <c r="D280" s="1070"/>
      <c r="E280" s="1070"/>
      <c r="F280" s="1070"/>
      <c r="G280" s="1070"/>
      <c r="H280" s="1070"/>
      <c r="I280" s="1070"/>
      <c r="J280" s="1070"/>
      <c r="K280" s="1070"/>
      <c r="L280" s="1070"/>
      <c r="M280" s="1070"/>
      <c r="N280" s="1070"/>
      <c r="R280" s="1070"/>
      <c r="S280" s="1070"/>
      <c r="T280" s="1070"/>
      <c r="U280" s="1070"/>
      <c r="V280" s="1070"/>
      <c r="W280" s="1070"/>
      <c r="X280" s="1070"/>
      <c r="Y280" s="1070"/>
      <c r="Z280" s="1070"/>
    </row>
    <row r="281" spans="1:16378" x14ac:dyDescent="0.3">
      <c r="A281" s="1070"/>
      <c r="B281" s="1070"/>
      <c r="C281" s="1070"/>
      <c r="D281" s="1070"/>
      <c r="E281" s="1070"/>
      <c r="F281" s="1070"/>
      <c r="G281" s="1070"/>
      <c r="H281" s="1070"/>
      <c r="I281" s="1070"/>
      <c r="J281" s="1070"/>
      <c r="K281" s="1070"/>
      <c r="L281" s="1070"/>
      <c r="M281" s="1070"/>
      <c r="N281" s="1070"/>
      <c r="R281" s="1070"/>
      <c r="S281" s="1070"/>
      <c r="T281" s="1070"/>
      <c r="U281" s="1070"/>
      <c r="V281" s="1070"/>
      <c r="W281" s="1070"/>
      <c r="X281" s="1070"/>
      <c r="Y281" s="1070"/>
      <c r="Z281" s="1070"/>
    </row>
    <row r="282" spans="1:16378" s="1070" customFormat="1" ht="9.9" customHeight="1" x14ac:dyDescent="0.3">
      <c r="A282" s="1824"/>
      <c r="B282" s="1824"/>
      <c r="C282" s="1824"/>
      <c r="D282" s="1824"/>
      <c r="E282" s="1824"/>
      <c r="F282" s="1824"/>
      <c r="G282" s="1824"/>
      <c r="H282" s="1824"/>
      <c r="I282" s="1824"/>
      <c r="J282" s="1824"/>
      <c r="K282" s="1824"/>
      <c r="L282" s="1824"/>
      <c r="M282" s="1824"/>
      <c r="N282" s="1824"/>
      <c r="O282" s="1824"/>
      <c r="P282" s="1824"/>
      <c r="Q282" s="1824"/>
      <c r="R282" s="1824"/>
      <c r="S282" s="1824"/>
      <c r="T282" s="1824"/>
      <c r="U282" s="1824"/>
      <c r="V282" s="1824"/>
      <c r="W282" s="1824"/>
      <c r="X282" s="1824"/>
      <c r="Y282" s="1824"/>
      <c r="Z282" s="1824"/>
      <c r="AA282" s="1824"/>
      <c r="AB282" s="1824"/>
      <c r="AC282" s="1824"/>
      <c r="AD282" s="1824"/>
      <c r="AE282" s="1824"/>
      <c r="AF282" s="1824"/>
      <c r="AG282" s="1824"/>
      <c r="AH282" s="1824"/>
      <c r="AI282" s="1824"/>
      <c r="AJ282" s="1824"/>
      <c r="AK282" s="1824"/>
      <c r="AL282" s="1824"/>
      <c r="AM282" s="1824"/>
      <c r="AN282" s="1824"/>
      <c r="AO282" s="1824"/>
      <c r="AP282" s="1824"/>
      <c r="AQ282" s="1824"/>
      <c r="AR282" s="1824"/>
      <c r="AS282" s="1824"/>
      <c r="AT282" s="1824"/>
      <c r="AU282" s="1824"/>
      <c r="AV282" s="1824"/>
      <c r="AW282" s="1824"/>
      <c r="AX282" s="1824"/>
      <c r="AY282" s="1824"/>
      <c r="AZ282" s="1824"/>
      <c r="BA282" s="1824"/>
      <c r="BB282" s="1824"/>
      <c r="BC282" s="1824"/>
      <c r="BD282" s="1824"/>
      <c r="BE282" s="1824"/>
      <c r="BF282" s="1824"/>
      <c r="BG282" s="1824"/>
      <c r="BH282" s="1824"/>
      <c r="BI282" s="1824"/>
      <c r="BJ282" s="1824"/>
      <c r="BK282" s="1824"/>
      <c r="BL282" s="1824"/>
      <c r="BM282" s="1824"/>
      <c r="BN282" s="1824"/>
      <c r="BO282" s="1824"/>
      <c r="BP282" s="1824"/>
      <c r="BQ282" s="1824"/>
      <c r="BR282" s="1824"/>
      <c r="BS282" s="1824"/>
      <c r="BT282" s="1824"/>
      <c r="BU282" s="1824"/>
      <c r="BV282" s="1824"/>
      <c r="BW282" s="1824"/>
      <c r="BX282" s="1824"/>
      <c r="BY282" s="1824"/>
      <c r="BZ282" s="1824"/>
      <c r="CA282" s="1824"/>
      <c r="CB282" s="1824"/>
      <c r="CC282" s="1824"/>
      <c r="CD282" s="1824"/>
      <c r="CE282" s="1824"/>
      <c r="CF282" s="1824"/>
      <c r="CG282" s="1824"/>
      <c r="CH282" s="1824"/>
      <c r="CI282" s="1824"/>
      <c r="CJ282" s="1824"/>
      <c r="CK282" s="1824"/>
      <c r="CL282" s="1824"/>
      <c r="CM282" s="1824"/>
      <c r="CN282" s="1824"/>
      <c r="CO282" s="1824"/>
      <c r="CP282" s="1824"/>
      <c r="CQ282" s="1824"/>
      <c r="CR282" s="1824"/>
      <c r="CS282" s="1824"/>
      <c r="CT282" s="1824"/>
      <c r="CU282" s="1824"/>
      <c r="CV282" s="1824"/>
      <c r="CW282" s="1824"/>
      <c r="CX282" s="1824"/>
      <c r="CY282" s="1824"/>
      <c r="CZ282" s="1824"/>
      <c r="DA282" s="1824"/>
      <c r="DB282" s="1824"/>
      <c r="DC282" s="1824"/>
      <c r="DD282" s="1824"/>
      <c r="DE282" s="1824"/>
      <c r="DF282" s="1824"/>
      <c r="DG282" s="1824"/>
      <c r="DH282" s="1824"/>
      <c r="DI282" s="1824"/>
      <c r="DJ282" s="1824"/>
      <c r="DK282" s="1824"/>
      <c r="DL282" s="1824"/>
      <c r="DM282" s="1824"/>
      <c r="DN282" s="1824"/>
      <c r="DO282" s="1824"/>
      <c r="DP282" s="1824"/>
      <c r="DQ282" s="1824"/>
      <c r="DR282" s="1824"/>
      <c r="DS282" s="1824"/>
      <c r="DT282" s="1824"/>
      <c r="DU282" s="1824"/>
      <c r="DV282" s="1824"/>
      <c r="DW282" s="1824"/>
      <c r="DX282" s="1824"/>
      <c r="DY282" s="1824"/>
      <c r="DZ282" s="1824"/>
      <c r="EA282" s="1824"/>
      <c r="EB282" s="1824"/>
      <c r="EC282" s="1824"/>
      <c r="ED282" s="1824"/>
      <c r="EE282" s="1824"/>
      <c r="EF282" s="1824"/>
      <c r="EG282" s="1824"/>
      <c r="EH282" s="1824"/>
      <c r="EI282" s="1824"/>
      <c r="EJ282" s="1824"/>
      <c r="EK282" s="1824"/>
      <c r="EL282" s="1824"/>
      <c r="EM282" s="1824"/>
      <c r="EN282" s="1824"/>
      <c r="EO282" s="1824"/>
      <c r="EP282" s="1824"/>
      <c r="EQ282" s="1824"/>
      <c r="ER282" s="1824"/>
      <c r="ES282" s="1824"/>
      <c r="ET282" s="1824"/>
      <c r="EU282" s="1824"/>
      <c r="EV282" s="1824"/>
      <c r="EW282" s="1824"/>
      <c r="EX282" s="1824"/>
      <c r="EY282" s="1824"/>
      <c r="EZ282" s="1824"/>
      <c r="FA282" s="1824"/>
      <c r="FB282" s="1824"/>
      <c r="FC282" s="1824"/>
      <c r="FD282" s="1824"/>
      <c r="FE282" s="1824"/>
      <c r="FF282" s="1824"/>
      <c r="FG282" s="1824"/>
      <c r="FH282" s="1824"/>
      <c r="FI282" s="1824"/>
      <c r="FJ282" s="1824"/>
      <c r="FK282" s="1824"/>
      <c r="FL282" s="1824"/>
      <c r="FM282" s="1824"/>
      <c r="FN282" s="1824"/>
      <c r="FO282" s="1824"/>
      <c r="FP282" s="1824"/>
      <c r="FQ282" s="1824"/>
      <c r="FR282" s="1824"/>
      <c r="FS282" s="1824"/>
      <c r="FT282" s="1824"/>
      <c r="FU282" s="1824"/>
      <c r="FV282" s="1824"/>
      <c r="FW282" s="1824"/>
      <c r="FX282" s="1824"/>
      <c r="FY282" s="1824"/>
      <c r="FZ282" s="1824"/>
      <c r="GA282" s="1824"/>
      <c r="GB282" s="1824"/>
      <c r="GC282" s="1824"/>
      <c r="GD282" s="1824"/>
      <c r="GE282" s="1824"/>
      <c r="GF282" s="1824"/>
      <c r="GG282" s="1824"/>
      <c r="GH282" s="1824"/>
      <c r="GI282" s="1824"/>
      <c r="GJ282" s="1824"/>
      <c r="GK282" s="1824"/>
      <c r="GL282" s="1824"/>
      <c r="GM282" s="1824"/>
      <c r="GN282" s="1824"/>
      <c r="GO282" s="1824"/>
      <c r="GP282" s="1824"/>
      <c r="GQ282" s="1824"/>
      <c r="GR282" s="1824"/>
      <c r="GS282" s="1824"/>
      <c r="GT282" s="1824"/>
      <c r="GU282" s="1824"/>
      <c r="GV282" s="1824"/>
      <c r="GW282" s="1824"/>
      <c r="GX282" s="1824"/>
      <c r="GY282" s="1824"/>
      <c r="GZ282" s="1824"/>
      <c r="HA282" s="1824"/>
      <c r="HB282" s="1824"/>
      <c r="HC282" s="1824"/>
      <c r="HD282" s="1824"/>
      <c r="HE282" s="1824"/>
      <c r="HF282" s="1824"/>
      <c r="HG282" s="1824"/>
      <c r="HH282" s="1824"/>
      <c r="HI282" s="1824"/>
      <c r="HJ282" s="1824"/>
      <c r="HK282" s="1824"/>
      <c r="HL282" s="1824"/>
      <c r="HM282" s="1824"/>
      <c r="HN282" s="1824"/>
      <c r="HO282" s="1824"/>
      <c r="HP282" s="1824"/>
      <c r="HQ282" s="1824"/>
      <c r="HR282" s="1824"/>
      <c r="HS282" s="1824"/>
      <c r="HT282" s="1824"/>
      <c r="HU282" s="1824"/>
      <c r="HV282" s="1824"/>
      <c r="HW282" s="1824"/>
      <c r="HX282" s="1824"/>
      <c r="HY282" s="1824"/>
      <c r="HZ282" s="1824"/>
      <c r="IA282" s="1824"/>
      <c r="IB282" s="1824"/>
      <c r="IC282" s="1824"/>
      <c r="ID282" s="1824"/>
      <c r="IE282" s="1824"/>
      <c r="IF282" s="1824"/>
      <c r="IG282" s="1824"/>
      <c r="IH282" s="1824"/>
      <c r="II282" s="1824"/>
      <c r="IJ282" s="1824"/>
      <c r="IK282" s="1824"/>
      <c r="IL282" s="1824"/>
      <c r="IM282" s="1824"/>
      <c r="IN282" s="1824"/>
      <c r="IO282" s="1824"/>
      <c r="IP282" s="1824"/>
      <c r="IQ282" s="1824"/>
      <c r="IR282" s="1824"/>
      <c r="IS282" s="1824"/>
      <c r="IT282" s="1824"/>
      <c r="IU282" s="1824"/>
      <c r="IV282" s="1824"/>
      <c r="IW282" s="1824"/>
      <c r="IX282" s="1824"/>
      <c r="IY282" s="1824"/>
      <c r="IZ282" s="1824"/>
      <c r="JA282" s="1824"/>
      <c r="JB282" s="1824"/>
      <c r="JC282" s="1824"/>
      <c r="JD282" s="1824"/>
      <c r="JE282" s="1824"/>
      <c r="JF282" s="1824"/>
      <c r="JG282" s="1824"/>
      <c r="JH282" s="1824"/>
      <c r="JI282" s="1824"/>
      <c r="JJ282" s="1824"/>
      <c r="JK282" s="1824"/>
      <c r="JL282" s="1824"/>
      <c r="JM282" s="1824"/>
      <c r="JN282" s="1824"/>
      <c r="JO282" s="1824"/>
      <c r="JP282" s="1824"/>
      <c r="JQ282" s="1824"/>
      <c r="JR282" s="1824"/>
      <c r="JS282" s="1824"/>
      <c r="JT282" s="1824"/>
      <c r="JU282" s="1824"/>
      <c r="JV282" s="1824"/>
      <c r="JW282" s="1824"/>
      <c r="JX282" s="1824"/>
      <c r="JY282" s="1824"/>
      <c r="JZ282" s="1824"/>
      <c r="KA282" s="1824"/>
      <c r="KB282" s="1824"/>
      <c r="KC282" s="1824"/>
      <c r="KD282" s="1824"/>
      <c r="KE282" s="1824"/>
      <c r="KF282" s="1824"/>
      <c r="KG282" s="1824"/>
      <c r="KH282" s="1824"/>
      <c r="KI282" s="1824"/>
      <c r="KJ282" s="1824"/>
      <c r="KK282" s="1824"/>
      <c r="KL282" s="1824"/>
      <c r="KM282" s="1824"/>
      <c r="KN282" s="1824"/>
      <c r="KO282" s="1824"/>
      <c r="KP282" s="1824"/>
      <c r="KQ282" s="1824"/>
      <c r="KR282" s="1824"/>
      <c r="KS282" s="1824"/>
      <c r="KT282" s="1824"/>
      <c r="KU282" s="1824"/>
      <c r="KV282" s="1824"/>
      <c r="KW282" s="1824"/>
      <c r="KX282" s="1824"/>
      <c r="KY282" s="1824"/>
      <c r="KZ282" s="1824"/>
      <c r="LA282" s="1824"/>
      <c r="LB282" s="1824"/>
      <c r="LC282" s="1824"/>
      <c r="LD282" s="1824"/>
      <c r="LE282" s="1824"/>
      <c r="LF282" s="1824"/>
      <c r="LG282" s="1824"/>
      <c r="LH282" s="1824"/>
      <c r="LI282" s="1824"/>
      <c r="LJ282" s="1824"/>
      <c r="LK282" s="1824"/>
      <c r="LL282" s="1824"/>
      <c r="LM282" s="1824"/>
      <c r="LN282" s="1824"/>
      <c r="LO282" s="1824"/>
      <c r="LP282" s="1824"/>
      <c r="LQ282" s="1824"/>
      <c r="LR282" s="1824"/>
      <c r="LS282" s="1824"/>
      <c r="LT282" s="1824"/>
      <c r="LU282" s="1824"/>
      <c r="LV282" s="1824"/>
      <c r="LW282" s="1824"/>
      <c r="LX282" s="1824"/>
      <c r="LY282" s="1824"/>
      <c r="LZ282" s="1824"/>
      <c r="MA282" s="1824"/>
      <c r="MB282" s="1824"/>
      <c r="MC282" s="1824"/>
      <c r="MD282" s="1824"/>
      <c r="ME282" s="1824"/>
      <c r="MF282" s="1824"/>
      <c r="MG282" s="1824"/>
      <c r="MH282" s="1824"/>
      <c r="MI282" s="1824"/>
      <c r="MJ282" s="1824"/>
      <c r="MK282" s="1824"/>
      <c r="ML282" s="1824"/>
      <c r="MM282" s="1824"/>
      <c r="MN282" s="1824"/>
      <c r="MO282" s="1824"/>
      <c r="MP282" s="1824"/>
      <c r="MQ282" s="1824"/>
      <c r="MR282" s="1824"/>
      <c r="MS282" s="1824"/>
      <c r="MT282" s="1824"/>
      <c r="MU282" s="1824"/>
      <c r="MV282" s="1824"/>
      <c r="MW282" s="1824"/>
      <c r="MX282" s="1824"/>
      <c r="MY282" s="1824"/>
      <c r="MZ282" s="1824"/>
      <c r="NA282" s="1824"/>
      <c r="NB282" s="1824"/>
      <c r="NC282" s="1824"/>
      <c r="ND282" s="1824"/>
      <c r="NE282" s="1824"/>
      <c r="NF282" s="1824"/>
      <c r="NG282" s="1824"/>
      <c r="NH282" s="1824"/>
      <c r="NI282" s="1824"/>
      <c r="NJ282" s="1824"/>
      <c r="NK282" s="1824"/>
      <c r="NL282" s="1824"/>
      <c r="NM282" s="1824"/>
      <c r="NN282" s="1824"/>
      <c r="NO282" s="1824"/>
      <c r="NP282" s="1824"/>
      <c r="NQ282" s="1824"/>
      <c r="NR282" s="1824"/>
      <c r="NS282" s="1824"/>
      <c r="NT282" s="1824"/>
      <c r="NU282" s="1824"/>
      <c r="NV282" s="1824"/>
      <c r="NW282" s="1824"/>
      <c r="NX282" s="1824"/>
      <c r="NY282" s="1824"/>
      <c r="NZ282" s="1824"/>
      <c r="OA282" s="1824"/>
      <c r="OB282" s="1824"/>
      <c r="OC282" s="1824"/>
      <c r="OD282" s="1824"/>
      <c r="OE282" s="1824"/>
      <c r="OF282" s="1824"/>
      <c r="OG282" s="1824"/>
      <c r="OH282" s="1824"/>
      <c r="OI282" s="1824"/>
      <c r="OJ282" s="1824"/>
      <c r="OK282" s="1824"/>
      <c r="OL282" s="1824"/>
      <c r="OM282" s="1824"/>
      <c r="ON282" s="1824"/>
      <c r="OO282" s="1824"/>
      <c r="OP282" s="1824"/>
      <c r="OQ282" s="1824"/>
      <c r="OR282" s="1824"/>
      <c r="OS282" s="1824"/>
      <c r="OT282" s="1824"/>
      <c r="OU282" s="1824"/>
      <c r="OV282" s="1824"/>
      <c r="OW282" s="1824"/>
      <c r="OX282" s="1824"/>
      <c r="OY282" s="1824"/>
      <c r="OZ282" s="1824"/>
      <c r="PA282" s="1824"/>
      <c r="PB282" s="1824"/>
      <c r="PC282" s="1824"/>
      <c r="PD282" s="1824"/>
      <c r="PE282" s="1824"/>
      <c r="PF282" s="1824"/>
      <c r="PG282" s="1824"/>
      <c r="PH282" s="1824"/>
      <c r="PI282" s="1824"/>
      <c r="PJ282" s="1824"/>
      <c r="PK282" s="1824"/>
      <c r="PL282" s="1824"/>
      <c r="PM282" s="1824"/>
      <c r="PN282" s="1824"/>
      <c r="PO282" s="1824"/>
      <c r="PP282" s="1824"/>
      <c r="PQ282" s="1824"/>
      <c r="PR282" s="1824"/>
      <c r="PS282" s="1824"/>
      <c r="PT282" s="1824"/>
      <c r="PU282" s="1824"/>
      <c r="PV282" s="1824"/>
      <c r="PW282" s="1824"/>
      <c r="PX282" s="1824"/>
      <c r="PY282" s="1824"/>
      <c r="PZ282" s="1824"/>
      <c r="QA282" s="1824"/>
      <c r="QB282" s="1824"/>
      <c r="QC282" s="1824"/>
      <c r="QD282" s="1824"/>
      <c r="QE282" s="1824"/>
      <c r="QF282" s="1824"/>
      <c r="QG282" s="1824"/>
      <c r="QH282" s="1824"/>
      <c r="QI282" s="1824"/>
      <c r="QJ282" s="1824"/>
      <c r="QK282" s="1824"/>
      <c r="QL282" s="1824"/>
      <c r="QM282" s="1824"/>
      <c r="QN282" s="1824"/>
      <c r="QO282" s="1824"/>
      <c r="QP282" s="1824"/>
      <c r="QQ282" s="1824"/>
      <c r="QR282" s="1824"/>
      <c r="QS282" s="1824"/>
      <c r="QT282" s="1824"/>
      <c r="QU282" s="1824"/>
      <c r="QV282" s="1824"/>
      <c r="QW282" s="1824"/>
      <c r="QX282" s="1824"/>
      <c r="QY282" s="1824"/>
      <c r="QZ282" s="1824"/>
      <c r="RA282" s="1824"/>
      <c r="RB282" s="1824"/>
      <c r="RC282" s="1824"/>
      <c r="RD282" s="1824"/>
      <c r="RE282" s="1824"/>
      <c r="RF282" s="1824"/>
      <c r="RG282" s="1824"/>
      <c r="RH282" s="1824"/>
      <c r="RI282" s="1824"/>
      <c r="RJ282" s="1824"/>
      <c r="RK282" s="1824"/>
      <c r="RL282" s="1824"/>
      <c r="RM282" s="1824"/>
      <c r="RN282" s="1824"/>
      <c r="RO282" s="1824"/>
      <c r="RP282" s="1824"/>
      <c r="RQ282" s="1824"/>
      <c r="RR282" s="1824"/>
      <c r="RS282" s="1824"/>
      <c r="RT282" s="1824"/>
      <c r="RU282" s="1824"/>
      <c r="RV282" s="1824"/>
      <c r="RW282" s="1824"/>
      <c r="RX282" s="1824"/>
      <c r="RY282" s="1824"/>
      <c r="RZ282" s="1824"/>
      <c r="SA282" s="1824"/>
      <c r="SB282" s="1824"/>
      <c r="SC282" s="1824"/>
      <c r="SD282" s="1824"/>
      <c r="SE282" s="1824"/>
      <c r="SF282" s="1824"/>
      <c r="SG282" s="1824"/>
      <c r="SH282" s="1824"/>
      <c r="SI282" s="1824"/>
      <c r="SJ282" s="1824"/>
      <c r="SK282" s="1824"/>
      <c r="SL282" s="1824"/>
      <c r="SM282" s="1824"/>
      <c r="SN282" s="1824"/>
      <c r="SO282" s="1824"/>
      <c r="SP282" s="1824"/>
      <c r="SQ282" s="1824"/>
      <c r="SR282" s="1824"/>
      <c r="SS282" s="1824"/>
      <c r="ST282" s="1824"/>
      <c r="SU282" s="1824"/>
      <c r="SV282" s="1824"/>
      <c r="SW282" s="1824"/>
      <c r="SX282" s="1824"/>
      <c r="SY282" s="1824"/>
      <c r="SZ282" s="1824"/>
      <c r="TA282" s="1824"/>
      <c r="TB282" s="1824"/>
      <c r="TC282" s="1824"/>
      <c r="TD282" s="1824"/>
      <c r="TE282" s="1824"/>
      <c r="TF282" s="1824"/>
      <c r="TG282" s="1824"/>
      <c r="TH282" s="1824"/>
      <c r="TI282" s="1824"/>
      <c r="TJ282" s="1824"/>
      <c r="TK282" s="1824"/>
      <c r="TL282" s="1824"/>
      <c r="TM282" s="1824"/>
      <c r="TN282" s="1824"/>
      <c r="TO282" s="1824"/>
      <c r="TP282" s="1824"/>
      <c r="TQ282" s="1824"/>
      <c r="TR282" s="1824"/>
      <c r="TS282" s="1824"/>
      <c r="TT282" s="1824"/>
      <c r="TU282" s="1824"/>
      <c r="TV282" s="1824"/>
      <c r="TW282" s="1824"/>
      <c r="TX282" s="1824"/>
      <c r="TY282" s="1824"/>
      <c r="TZ282" s="1824"/>
      <c r="UA282" s="1824"/>
      <c r="UB282" s="1824"/>
      <c r="UC282" s="1824"/>
      <c r="UD282" s="1824"/>
      <c r="UE282" s="1824"/>
      <c r="UF282" s="1824"/>
      <c r="UG282" s="1824"/>
      <c r="UH282" s="1824"/>
      <c r="UI282" s="1824"/>
      <c r="UJ282" s="1824"/>
      <c r="UK282" s="1824"/>
      <c r="UL282" s="1824"/>
      <c r="UM282" s="1824"/>
      <c r="UN282" s="1824"/>
      <c r="UO282" s="1824"/>
      <c r="UP282" s="1824"/>
      <c r="UQ282" s="1824"/>
      <c r="UR282" s="1824"/>
      <c r="US282" s="1824"/>
      <c r="UT282" s="1824"/>
      <c r="UU282" s="1824"/>
      <c r="UV282" s="1824"/>
      <c r="UW282" s="1824"/>
      <c r="UX282" s="1824"/>
      <c r="UY282" s="1824"/>
      <c r="UZ282" s="1824"/>
      <c r="VA282" s="1824"/>
      <c r="VB282" s="1824"/>
      <c r="VC282" s="1824"/>
      <c r="VD282" s="1824"/>
      <c r="VE282" s="1824"/>
      <c r="VF282" s="1824"/>
      <c r="VG282" s="1824"/>
      <c r="VH282" s="1824"/>
      <c r="VI282" s="1824"/>
      <c r="VJ282" s="1824"/>
      <c r="VK282" s="1824"/>
      <c r="VL282" s="1824"/>
      <c r="VM282" s="1824"/>
      <c r="VN282" s="1824"/>
      <c r="VO282" s="1824"/>
      <c r="VP282" s="1824"/>
      <c r="VQ282" s="1824"/>
      <c r="VR282" s="1824"/>
      <c r="VS282" s="1824"/>
      <c r="VT282" s="1824"/>
      <c r="VU282" s="1824"/>
      <c r="VV282" s="1824"/>
      <c r="VW282" s="1824"/>
      <c r="VX282" s="1824"/>
      <c r="VY282" s="1824"/>
      <c r="VZ282" s="1824"/>
      <c r="WA282" s="1824"/>
      <c r="WB282" s="1824"/>
      <c r="WC282" s="1824"/>
      <c r="WD282" s="1824"/>
      <c r="WE282" s="1824"/>
      <c r="WF282" s="1824"/>
      <c r="WG282" s="1824"/>
      <c r="WH282" s="1824"/>
      <c r="WI282" s="1824"/>
      <c r="WJ282" s="1824"/>
      <c r="WK282" s="1824"/>
      <c r="WL282" s="1824"/>
      <c r="WM282" s="1824"/>
      <c r="WN282" s="1824"/>
      <c r="WO282" s="1824"/>
      <c r="WP282" s="1824"/>
      <c r="WQ282" s="1824"/>
      <c r="WR282" s="1824"/>
      <c r="WS282" s="1824"/>
      <c r="WT282" s="1824"/>
      <c r="WU282" s="1824"/>
      <c r="WV282" s="1824"/>
      <c r="WW282" s="1824"/>
      <c r="WX282" s="1824"/>
      <c r="WY282" s="1824"/>
      <c r="WZ282" s="1824"/>
      <c r="XA282" s="1824"/>
      <c r="XB282" s="1824"/>
      <c r="XC282" s="1824"/>
      <c r="XD282" s="1824"/>
      <c r="XE282" s="1824"/>
      <c r="XF282" s="1824"/>
      <c r="XG282" s="1824"/>
      <c r="XH282" s="1824"/>
      <c r="XI282" s="1824"/>
      <c r="XJ282" s="1824"/>
      <c r="XK282" s="1824"/>
      <c r="XL282" s="1824"/>
      <c r="XM282" s="1824"/>
      <c r="XN282" s="1824"/>
      <c r="XO282" s="1824"/>
      <c r="XP282" s="1824"/>
      <c r="XQ282" s="1824"/>
      <c r="XR282" s="1824"/>
      <c r="XS282" s="1824"/>
      <c r="XT282" s="1824"/>
      <c r="XU282" s="1824"/>
      <c r="XV282" s="1824"/>
      <c r="XW282" s="1824"/>
      <c r="XX282" s="1824"/>
      <c r="XY282" s="1824"/>
      <c r="XZ282" s="1824"/>
      <c r="YA282" s="1824"/>
      <c r="YB282" s="1824"/>
      <c r="YC282" s="1824"/>
      <c r="YD282" s="1824"/>
      <c r="YE282" s="1824"/>
      <c r="YF282" s="1824"/>
      <c r="YG282" s="1824"/>
      <c r="YH282" s="1824"/>
      <c r="YI282" s="1824"/>
      <c r="YJ282" s="1824"/>
      <c r="YK282" s="1824"/>
      <c r="YL282" s="1824"/>
      <c r="YM282" s="1824"/>
      <c r="YN282" s="1824"/>
      <c r="YO282" s="1824"/>
      <c r="YP282" s="1824"/>
      <c r="YQ282" s="1824"/>
      <c r="YR282" s="1824"/>
      <c r="YS282" s="1824"/>
      <c r="YT282" s="1824"/>
      <c r="YU282" s="1824"/>
      <c r="YV282" s="1824"/>
      <c r="YW282" s="1824"/>
      <c r="YX282" s="1824"/>
      <c r="YY282" s="1824"/>
      <c r="YZ282" s="1824"/>
      <c r="ZA282" s="1824"/>
      <c r="ZB282" s="1824"/>
      <c r="ZC282" s="1824"/>
      <c r="ZD282" s="1824"/>
      <c r="ZE282" s="1824"/>
      <c r="ZF282" s="1824"/>
      <c r="ZG282" s="1824"/>
      <c r="ZH282" s="1824"/>
      <c r="ZI282" s="1824"/>
      <c r="ZJ282" s="1824"/>
      <c r="ZK282" s="1824"/>
      <c r="ZL282" s="1824"/>
      <c r="ZM282" s="1824"/>
      <c r="ZN282" s="1824"/>
      <c r="ZO282" s="1824"/>
      <c r="ZP282" s="1824"/>
      <c r="ZQ282" s="1824"/>
      <c r="ZR282" s="1824"/>
      <c r="ZS282" s="1824"/>
      <c r="ZT282" s="1824"/>
      <c r="ZU282" s="1824"/>
      <c r="ZV282" s="1824"/>
      <c r="ZW282" s="1824"/>
      <c r="ZX282" s="1824"/>
      <c r="ZY282" s="1824"/>
      <c r="ZZ282" s="1824"/>
      <c r="AAA282" s="1824"/>
      <c r="AAB282" s="1824"/>
      <c r="AAC282" s="1824"/>
      <c r="AAD282" s="1824"/>
      <c r="AAE282" s="1824"/>
      <c r="AAF282" s="1824"/>
      <c r="AAG282" s="1824"/>
      <c r="AAH282" s="1824"/>
      <c r="AAI282" s="1824"/>
      <c r="AAJ282" s="1824"/>
      <c r="AAK282" s="1824"/>
      <c r="AAL282" s="1824"/>
      <c r="AAM282" s="1824"/>
      <c r="AAN282" s="1824"/>
      <c r="AAO282" s="1824"/>
      <c r="AAP282" s="1824"/>
      <c r="AAQ282" s="1824"/>
      <c r="AAR282" s="1824"/>
      <c r="AAS282" s="1824"/>
      <c r="AAT282" s="1824"/>
      <c r="AAU282" s="1824"/>
      <c r="AAV282" s="1824"/>
      <c r="AAW282" s="1824"/>
      <c r="AAX282" s="1824"/>
      <c r="AAY282" s="1824"/>
      <c r="AAZ282" s="1824"/>
      <c r="ABA282" s="1824"/>
      <c r="ABB282" s="1824"/>
      <c r="ABC282" s="1824"/>
      <c r="ABD282" s="1824"/>
      <c r="ABE282" s="1824"/>
      <c r="ABF282" s="1824"/>
      <c r="ABG282" s="1824"/>
      <c r="ABH282" s="1824"/>
      <c r="ABI282" s="1824"/>
      <c r="ABJ282" s="1824"/>
      <c r="ABK282" s="1824"/>
      <c r="ABL282" s="1824"/>
      <c r="ABM282" s="1824"/>
      <c r="ABN282" s="1824"/>
      <c r="ABO282" s="1824"/>
      <c r="ABP282" s="1824"/>
      <c r="ABQ282" s="1824"/>
      <c r="ABR282" s="1824"/>
      <c r="ABS282" s="1824"/>
      <c r="ABT282" s="1824"/>
      <c r="ABU282" s="1824"/>
      <c r="ABV282" s="1824"/>
      <c r="ABW282" s="1824"/>
      <c r="ABX282" s="1824"/>
      <c r="ABY282" s="1824"/>
      <c r="ABZ282" s="1824"/>
      <c r="ACA282" s="1824"/>
      <c r="ACB282" s="1824"/>
      <c r="ACC282" s="1824"/>
      <c r="ACD282" s="1824"/>
      <c r="ACE282" s="1824"/>
      <c r="ACF282" s="1824"/>
      <c r="ACG282" s="1824"/>
      <c r="ACH282" s="1824"/>
      <c r="ACI282" s="1824"/>
      <c r="ACJ282" s="1824"/>
      <c r="ACK282" s="1824"/>
      <c r="ACL282" s="1824"/>
      <c r="ACM282" s="1824"/>
      <c r="ACN282" s="1824"/>
      <c r="ACO282" s="1824"/>
      <c r="ACP282" s="1824"/>
      <c r="ACQ282" s="1824"/>
      <c r="ACR282" s="1824"/>
      <c r="ACS282" s="1824"/>
      <c r="ACT282" s="1824"/>
      <c r="ACU282" s="1824"/>
      <c r="ACV282" s="1824"/>
      <c r="ACW282" s="1824"/>
      <c r="ACX282" s="1824"/>
      <c r="ACY282" s="1824"/>
      <c r="ACZ282" s="1824"/>
      <c r="ADA282" s="1824"/>
      <c r="ADB282" s="1824"/>
      <c r="ADC282" s="1824"/>
      <c r="ADD282" s="1824"/>
      <c r="ADE282" s="1824"/>
      <c r="ADF282" s="1824"/>
      <c r="ADG282" s="1824"/>
      <c r="ADH282" s="1824"/>
      <c r="ADI282" s="1824"/>
      <c r="ADJ282" s="1824"/>
      <c r="ADK282" s="1824"/>
      <c r="ADL282" s="1824"/>
      <c r="ADM282" s="1824"/>
      <c r="ADN282" s="1824"/>
      <c r="ADO282" s="1824"/>
      <c r="ADP282" s="1824"/>
      <c r="ADQ282" s="1824"/>
      <c r="ADR282" s="1824"/>
      <c r="ADS282" s="1824"/>
      <c r="ADT282" s="1824"/>
      <c r="ADU282" s="1824"/>
      <c r="ADV282" s="1824"/>
      <c r="ADW282" s="1824"/>
      <c r="ADX282" s="1824"/>
      <c r="ADY282" s="1824"/>
      <c r="ADZ282" s="1824"/>
      <c r="AEA282" s="1824"/>
      <c r="AEB282" s="1824"/>
      <c r="AEC282" s="1824"/>
      <c r="AED282" s="1824"/>
      <c r="AEE282" s="1824"/>
      <c r="AEF282" s="1824"/>
      <c r="AEG282" s="1824"/>
      <c r="AEH282" s="1824"/>
      <c r="AEI282" s="1824"/>
      <c r="AEJ282" s="1824"/>
      <c r="AEK282" s="1824"/>
      <c r="AEL282" s="1824"/>
      <c r="AEM282" s="1824"/>
      <c r="AEN282" s="1824"/>
      <c r="AEO282" s="1824"/>
      <c r="AEP282" s="1824"/>
      <c r="AEQ282" s="1824"/>
      <c r="AER282" s="1824"/>
      <c r="AES282" s="1824"/>
      <c r="AET282" s="1824"/>
      <c r="AEU282" s="1824"/>
      <c r="AEV282" s="1824"/>
      <c r="AEW282" s="1824"/>
      <c r="AEX282" s="1824"/>
      <c r="AEY282" s="1824"/>
      <c r="AEZ282" s="1824"/>
      <c r="AFA282" s="1824"/>
      <c r="AFB282" s="1824"/>
      <c r="AFC282" s="1824"/>
      <c r="AFD282" s="1824"/>
      <c r="AFE282" s="1824"/>
      <c r="AFF282" s="1824"/>
      <c r="AFG282" s="1824"/>
      <c r="AFH282" s="1824"/>
      <c r="AFI282" s="1824"/>
      <c r="AFJ282" s="1824"/>
      <c r="AFK282" s="1824"/>
      <c r="AFL282" s="1824"/>
      <c r="AFM282" s="1824"/>
      <c r="AFN282" s="1824"/>
      <c r="AFO282" s="1824"/>
      <c r="AFP282" s="1824"/>
      <c r="AFQ282" s="1824"/>
      <c r="AFR282" s="1824"/>
      <c r="AFS282" s="1824"/>
      <c r="AFT282" s="1824"/>
      <c r="AFU282" s="1824"/>
      <c r="AFV282" s="1824"/>
      <c r="AFW282" s="1824"/>
      <c r="AFX282" s="1824"/>
      <c r="AFY282" s="1824"/>
      <c r="AFZ282" s="1824"/>
      <c r="AGA282" s="1824"/>
      <c r="AGB282" s="1824"/>
      <c r="AGC282" s="1824"/>
      <c r="AGD282" s="1824"/>
      <c r="AGE282" s="1824"/>
      <c r="AGF282" s="1824"/>
      <c r="AGG282" s="1824"/>
      <c r="AGH282" s="1824"/>
      <c r="AGI282" s="1824"/>
      <c r="AGJ282" s="1824"/>
      <c r="AGK282" s="1824"/>
      <c r="AGL282" s="1824"/>
      <c r="AGM282" s="1824"/>
      <c r="AGN282" s="1824"/>
      <c r="AGO282" s="1824"/>
      <c r="AGP282" s="1824"/>
      <c r="AGQ282" s="1824"/>
      <c r="AGR282" s="1824"/>
      <c r="AGS282" s="1824"/>
      <c r="AGT282" s="1824"/>
      <c r="AGU282" s="1824"/>
      <c r="AGV282" s="1824"/>
      <c r="AGW282" s="1824"/>
      <c r="AGX282" s="1824"/>
      <c r="AGY282" s="1824"/>
      <c r="AGZ282" s="1824"/>
      <c r="AHA282" s="1824"/>
      <c r="AHB282" s="1824"/>
      <c r="AHC282" s="1824"/>
      <c r="AHD282" s="1824"/>
      <c r="AHE282" s="1824"/>
      <c r="AHF282" s="1824"/>
      <c r="AHG282" s="1824"/>
      <c r="AHH282" s="1824"/>
      <c r="AHI282" s="1824"/>
      <c r="AHJ282" s="1824"/>
      <c r="AHK282" s="1824"/>
      <c r="AHL282" s="1824"/>
      <c r="AHM282" s="1824"/>
      <c r="AHN282" s="1824"/>
      <c r="AHO282" s="1824"/>
      <c r="AHP282" s="1824"/>
      <c r="AHQ282" s="1824"/>
      <c r="AHR282" s="1824"/>
      <c r="AHS282" s="1824"/>
      <c r="AHT282" s="1824"/>
      <c r="AHU282" s="1824"/>
      <c r="AHV282" s="1824"/>
      <c r="AHW282" s="1824"/>
      <c r="AHX282" s="1824"/>
      <c r="AHY282" s="1824"/>
      <c r="AHZ282" s="1824"/>
      <c r="AIA282" s="1824"/>
      <c r="AIB282" s="1824"/>
      <c r="AIC282" s="1824"/>
      <c r="AID282" s="1824"/>
      <c r="AIE282" s="1824"/>
      <c r="AIF282" s="1824"/>
      <c r="AIG282" s="1824"/>
      <c r="AIH282" s="1824"/>
      <c r="AII282" s="1824"/>
      <c r="AIJ282" s="1824"/>
      <c r="AIK282" s="1824"/>
      <c r="AIL282" s="1824"/>
      <c r="AIM282" s="1824"/>
      <c r="AIN282" s="1824"/>
      <c r="AIO282" s="1824"/>
      <c r="AIP282" s="1824"/>
      <c r="AIQ282" s="1824"/>
      <c r="AIR282" s="1824"/>
      <c r="AIS282" s="1824"/>
      <c r="AIT282" s="1824"/>
      <c r="AIU282" s="1824"/>
      <c r="AIV282" s="1824"/>
      <c r="AIW282" s="1824"/>
      <c r="AIX282" s="1824"/>
      <c r="AIY282" s="1824"/>
      <c r="AIZ282" s="1824"/>
      <c r="AJA282" s="1824"/>
      <c r="AJB282" s="1824"/>
      <c r="AJC282" s="1824"/>
      <c r="AJD282" s="1824"/>
      <c r="AJE282" s="1824"/>
      <c r="AJF282" s="1824"/>
      <c r="AJG282" s="1824"/>
      <c r="AJH282" s="1824"/>
      <c r="AJI282" s="1824"/>
      <c r="AJJ282" s="1824"/>
      <c r="AJK282" s="1824"/>
      <c r="AJL282" s="1824"/>
      <c r="AJM282" s="1824"/>
      <c r="AJN282" s="1824"/>
      <c r="AJO282" s="1824"/>
      <c r="AJP282" s="1824"/>
      <c r="AJQ282" s="1824"/>
      <c r="AJR282" s="1824"/>
      <c r="AJS282" s="1824"/>
      <c r="AJT282" s="1824"/>
      <c r="AJU282" s="1824"/>
      <c r="AJV282" s="1824"/>
      <c r="AJW282" s="1824"/>
      <c r="AJX282" s="1824"/>
      <c r="AJY282" s="1824"/>
      <c r="AJZ282" s="1824"/>
      <c r="AKA282" s="1824"/>
      <c r="AKB282" s="1824"/>
      <c r="AKC282" s="1824"/>
      <c r="AKD282" s="1824"/>
      <c r="AKE282" s="1824"/>
      <c r="AKF282" s="1824"/>
      <c r="AKG282" s="1824"/>
      <c r="AKH282" s="1824"/>
      <c r="AKI282" s="1824"/>
      <c r="AKJ282" s="1824"/>
      <c r="AKK282" s="1824"/>
      <c r="AKL282" s="1824"/>
      <c r="AKM282" s="1824"/>
      <c r="AKN282" s="1824"/>
      <c r="AKO282" s="1824"/>
      <c r="AKP282" s="1824"/>
      <c r="AKQ282" s="1824"/>
      <c r="AKR282" s="1824"/>
      <c r="AKS282" s="1824"/>
      <c r="AKT282" s="1824"/>
      <c r="AKU282" s="1824"/>
      <c r="AKV282" s="1824"/>
      <c r="AKW282" s="1824"/>
      <c r="AKX282" s="1824"/>
      <c r="AKY282" s="1824"/>
      <c r="AKZ282" s="1824"/>
      <c r="ALA282" s="1824"/>
      <c r="ALB282" s="1824"/>
      <c r="ALC282" s="1824"/>
      <c r="ALD282" s="1824"/>
      <c r="ALE282" s="1824"/>
      <c r="ALF282" s="1824"/>
      <c r="ALG282" s="1824"/>
      <c r="ALH282" s="1824"/>
      <c r="ALI282" s="1824"/>
      <c r="ALJ282" s="1824"/>
      <c r="ALK282" s="1824"/>
      <c r="ALL282" s="1824"/>
      <c r="ALM282" s="1824"/>
      <c r="ALN282" s="1824"/>
      <c r="ALO282" s="1824"/>
      <c r="ALP282" s="1824"/>
      <c r="ALQ282" s="1824"/>
      <c r="ALR282" s="1824"/>
      <c r="ALS282" s="1824"/>
      <c r="ALT282" s="1824"/>
      <c r="ALU282" s="1824"/>
      <c r="ALV282" s="1824"/>
      <c r="ALW282" s="1824"/>
      <c r="ALX282" s="1824"/>
      <c r="ALY282" s="1824"/>
      <c r="ALZ282" s="1824"/>
      <c r="AMA282" s="1824"/>
      <c r="AMB282" s="1824"/>
      <c r="AMC282" s="1824"/>
      <c r="AMD282" s="1824"/>
      <c r="AME282" s="1824"/>
      <c r="AMF282" s="1824"/>
      <c r="AMG282" s="1824"/>
      <c r="AMH282" s="1824"/>
      <c r="AMI282" s="1824"/>
      <c r="AMJ282" s="1824"/>
      <c r="AMK282" s="1824"/>
      <c r="AML282" s="1824"/>
      <c r="AMM282" s="1824"/>
      <c r="AMN282" s="1824"/>
      <c r="AMO282" s="1824"/>
      <c r="AMP282" s="1824"/>
      <c r="AMQ282" s="1824"/>
      <c r="AMR282" s="1824"/>
      <c r="AMS282" s="1824"/>
      <c r="AMT282" s="1824"/>
      <c r="AMU282" s="1824"/>
      <c r="AMV282" s="1824"/>
      <c r="AMW282" s="1824"/>
      <c r="AMX282" s="1824"/>
      <c r="AMY282" s="1824"/>
      <c r="AMZ282" s="1824"/>
      <c r="ANA282" s="1824"/>
      <c r="ANB282" s="1824"/>
      <c r="ANC282" s="1824"/>
      <c r="AND282" s="1824"/>
      <c r="ANE282" s="1824"/>
      <c r="ANF282" s="1824"/>
      <c r="ANG282" s="1824"/>
      <c r="ANH282" s="1824"/>
      <c r="ANI282" s="1824"/>
      <c r="ANJ282" s="1824"/>
      <c r="ANK282" s="1824"/>
      <c r="ANL282" s="1824"/>
      <c r="ANM282" s="1824"/>
      <c r="ANN282" s="1824"/>
      <c r="ANO282" s="1824"/>
      <c r="ANP282" s="1824"/>
      <c r="ANQ282" s="1824"/>
      <c r="ANR282" s="1824"/>
      <c r="ANS282" s="1824"/>
      <c r="ANT282" s="1824"/>
      <c r="ANU282" s="1824"/>
      <c r="ANV282" s="1824"/>
      <c r="ANW282" s="1824"/>
      <c r="ANX282" s="1824"/>
      <c r="ANY282" s="1824"/>
      <c r="ANZ282" s="1824"/>
      <c r="AOA282" s="1824"/>
      <c r="AOB282" s="1824"/>
      <c r="AOC282" s="1824"/>
      <c r="AOD282" s="1824"/>
      <c r="AOE282" s="1824"/>
      <c r="AOF282" s="1824"/>
      <c r="AOG282" s="1824"/>
      <c r="AOH282" s="1824"/>
      <c r="AOI282" s="1824"/>
      <c r="AOJ282" s="1824"/>
      <c r="AOK282" s="1824"/>
      <c r="AOL282" s="1824"/>
      <c r="AOM282" s="1824"/>
      <c r="AON282" s="1824"/>
      <c r="AOO282" s="1824"/>
      <c r="AOP282" s="1824"/>
      <c r="AOQ282" s="1824"/>
      <c r="AOR282" s="1824"/>
      <c r="AOS282" s="1824"/>
      <c r="AOT282" s="1824"/>
      <c r="AOU282" s="1824"/>
      <c r="AOV282" s="1824"/>
      <c r="AOW282" s="1824"/>
      <c r="AOX282" s="1824"/>
      <c r="AOY282" s="1824"/>
      <c r="AOZ282" s="1824"/>
      <c r="APA282" s="1824"/>
      <c r="APB282" s="1824"/>
      <c r="APC282" s="1824"/>
      <c r="APD282" s="1824"/>
      <c r="APE282" s="1824"/>
      <c r="APF282" s="1824"/>
      <c r="APG282" s="1824"/>
      <c r="APH282" s="1824"/>
      <c r="API282" s="1824"/>
      <c r="APJ282" s="1824"/>
      <c r="APK282" s="1824"/>
      <c r="APL282" s="1824"/>
      <c r="APM282" s="1824"/>
      <c r="APN282" s="1824"/>
      <c r="APO282" s="1824"/>
      <c r="APP282" s="1824"/>
      <c r="APQ282" s="1824"/>
      <c r="APR282" s="1824"/>
      <c r="APS282" s="1824"/>
      <c r="APT282" s="1824"/>
      <c r="APU282" s="1824"/>
      <c r="APV282" s="1824"/>
      <c r="APW282" s="1824"/>
      <c r="APX282" s="1824"/>
      <c r="APY282" s="1824"/>
      <c r="APZ282" s="1824"/>
      <c r="AQA282" s="1824"/>
      <c r="AQB282" s="1824"/>
      <c r="AQC282" s="1824"/>
      <c r="AQD282" s="1824"/>
      <c r="AQE282" s="1824"/>
      <c r="AQF282" s="1824"/>
      <c r="AQG282" s="1824"/>
      <c r="AQH282" s="1824"/>
      <c r="AQI282" s="1824"/>
      <c r="AQJ282" s="1824"/>
      <c r="AQK282" s="1824"/>
      <c r="AQL282" s="1824"/>
      <c r="AQM282" s="1824"/>
      <c r="AQN282" s="1824"/>
      <c r="AQO282" s="1824"/>
      <c r="AQP282" s="1824"/>
      <c r="AQQ282" s="1824"/>
      <c r="AQR282" s="1824"/>
      <c r="AQS282" s="1824"/>
      <c r="AQT282" s="1824"/>
      <c r="AQU282" s="1824"/>
      <c r="AQV282" s="1824"/>
      <c r="AQW282" s="1824"/>
      <c r="AQX282" s="1824"/>
      <c r="AQY282" s="1824"/>
      <c r="AQZ282" s="1824"/>
      <c r="ARA282" s="1824"/>
      <c r="ARB282" s="1824"/>
      <c r="ARC282" s="1824"/>
      <c r="ARD282" s="1824"/>
      <c r="ARE282" s="1824"/>
      <c r="ARF282" s="1824"/>
      <c r="ARG282" s="1824"/>
      <c r="ARH282" s="1824"/>
      <c r="ARI282" s="1824"/>
      <c r="ARJ282" s="1824"/>
      <c r="ARK282" s="1824"/>
      <c r="ARL282" s="1824"/>
      <c r="ARM282" s="1824"/>
      <c r="ARN282" s="1824"/>
      <c r="ARO282" s="1824"/>
      <c r="ARP282" s="1824"/>
      <c r="ARQ282" s="1824"/>
      <c r="ARR282" s="1824"/>
      <c r="ARS282" s="1824"/>
      <c r="ART282" s="1824"/>
      <c r="ARU282" s="1824"/>
      <c r="ARV282" s="1824"/>
      <c r="ARW282" s="1824"/>
      <c r="ARX282" s="1824"/>
      <c r="ARY282" s="1824"/>
      <c r="ARZ282" s="1824"/>
      <c r="ASA282" s="1824"/>
      <c r="ASB282" s="1824"/>
      <c r="ASC282" s="1824"/>
      <c r="ASD282" s="1824"/>
      <c r="ASE282" s="1824"/>
      <c r="ASF282" s="1824"/>
      <c r="ASG282" s="1824"/>
      <c r="ASH282" s="1824"/>
      <c r="ASI282" s="1824"/>
      <c r="ASJ282" s="1824"/>
      <c r="ASK282" s="1824"/>
      <c r="ASL282" s="1824"/>
      <c r="ASM282" s="1824"/>
      <c r="ASN282" s="1824"/>
      <c r="ASO282" s="1824"/>
      <c r="ASP282" s="1824"/>
      <c r="ASQ282" s="1824"/>
      <c r="ASR282" s="1824"/>
      <c r="ASS282" s="1824"/>
      <c r="AST282" s="1824"/>
      <c r="ASU282" s="1824"/>
      <c r="ASV282" s="1824"/>
      <c r="ASW282" s="1824"/>
      <c r="ASX282" s="1824"/>
      <c r="ASY282" s="1824"/>
      <c r="ASZ282" s="1824"/>
      <c r="ATA282" s="1824"/>
      <c r="ATB282" s="1824"/>
      <c r="ATC282" s="1824"/>
      <c r="ATD282" s="1824"/>
      <c r="ATE282" s="1824"/>
      <c r="ATF282" s="1824"/>
      <c r="ATG282" s="1824"/>
      <c r="ATH282" s="1824"/>
      <c r="ATI282" s="1824"/>
      <c r="ATJ282" s="1824"/>
      <c r="ATK282" s="1824"/>
      <c r="ATL282" s="1824"/>
      <c r="ATM282" s="1824"/>
      <c r="ATN282" s="1824"/>
      <c r="ATO282" s="1824"/>
      <c r="ATP282" s="1824"/>
      <c r="ATQ282" s="1824"/>
      <c r="ATR282" s="1824"/>
      <c r="ATS282" s="1824"/>
      <c r="ATT282" s="1824"/>
      <c r="ATU282" s="1824"/>
      <c r="ATV282" s="1824"/>
      <c r="ATW282" s="1824"/>
      <c r="ATX282" s="1824"/>
      <c r="ATY282" s="1824"/>
      <c r="ATZ282" s="1824"/>
      <c r="AUA282" s="1824"/>
      <c r="AUB282" s="1824"/>
      <c r="AUC282" s="1824"/>
      <c r="AUD282" s="1824"/>
      <c r="AUE282" s="1824"/>
      <c r="AUF282" s="1824"/>
      <c r="AUG282" s="1824"/>
      <c r="AUH282" s="1824"/>
      <c r="AUI282" s="1824"/>
      <c r="AUJ282" s="1824"/>
      <c r="AUK282" s="1824"/>
      <c r="AUL282" s="1824"/>
      <c r="AUM282" s="1824"/>
      <c r="AUN282" s="1824"/>
      <c r="AUO282" s="1824"/>
      <c r="AUP282" s="1824"/>
      <c r="AUQ282" s="1824"/>
      <c r="AUR282" s="1824"/>
      <c r="AUS282" s="1824"/>
      <c r="AUT282" s="1824"/>
      <c r="AUU282" s="1824"/>
      <c r="AUV282" s="1824"/>
      <c r="AUW282" s="1824"/>
      <c r="AUX282" s="1824"/>
      <c r="AUY282" s="1824"/>
      <c r="AUZ282" s="1824"/>
      <c r="AVA282" s="1824"/>
      <c r="AVB282" s="1824"/>
      <c r="AVC282" s="1824"/>
      <c r="AVD282" s="1824"/>
      <c r="AVE282" s="1824"/>
      <c r="AVF282" s="1824"/>
      <c r="AVG282" s="1824"/>
      <c r="AVH282" s="1824"/>
      <c r="AVI282" s="1824"/>
      <c r="AVJ282" s="1824"/>
      <c r="AVK282" s="1824"/>
      <c r="AVL282" s="1824"/>
      <c r="AVM282" s="1824"/>
      <c r="AVN282" s="1824"/>
      <c r="AVO282" s="1824"/>
      <c r="AVP282" s="1824"/>
      <c r="AVQ282" s="1824"/>
      <c r="AVR282" s="1824"/>
      <c r="AVS282" s="1824"/>
      <c r="AVT282" s="1824"/>
      <c r="AVU282" s="1824"/>
      <c r="AVV282" s="1824"/>
      <c r="AVW282" s="1824"/>
      <c r="AVX282" s="1824"/>
      <c r="AVY282" s="1824"/>
      <c r="AVZ282" s="1824"/>
      <c r="AWA282" s="1824"/>
      <c r="AWB282" s="1824"/>
      <c r="AWC282" s="1824"/>
      <c r="AWD282" s="1824"/>
      <c r="AWE282" s="1824"/>
      <c r="AWF282" s="1824"/>
      <c r="AWG282" s="1824"/>
      <c r="AWH282" s="1824"/>
      <c r="AWI282" s="1824"/>
      <c r="AWJ282" s="1824"/>
      <c r="AWK282" s="1824"/>
      <c r="AWL282" s="1824"/>
      <c r="AWM282" s="1824"/>
      <c r="AWN282" s="1824"/>
      <c r="AWO282" s="1824"/>
      <c r="AWP282" s="1824"/>
      <c r="AWQ282" s="1824"/>
      <c r="AWR282" s="1824"/>
      <c r="AWS282" s="1824"/>
      <c r="AWT282" s="1824"/>
      <c r="AWU282" s="1824"/>
      <c r="AWV282" s="1824"/>
      <c r="AWW282" s="1824"/>
      <c r="AWX282" s="1824"/>
      <c r="AWY282" s="1824"/>
      <c r="AWZ282" s="1824"/>
      <c r="AXA282" s="1824"/>
      <c r="AXB282" s="1824"/>
      <c r="AXC282" s="1824"/>
      <c r="AXD282" s="1824"/>
      <c r="AXE282" s="1824"/>
      <c r="AXF282" s="1824"/>
      <c r="AXG282" s="1824"/>
      <c r="AXH282" s="1824"/>
      <c r="AXI282" s="1824"/>
      <c r="AXJ282" s="1824"/>
      <c r="AXK282" s="1824"/>
      <c r="AXL282" s="1824"/>
      <c r="AXM282" s="1824"/>
      <c r="AXN282" s="1824"/>
      <c r="AXO282" s="1824"/>
      <c r="AXP282" s="1824"/>
      <c r="AXQ282" s="1824"/>
      <c r="AXR282" s="1824"/>
      <c r="AXS282" s="1824"/>
      <c r="AXT282" s="1824"/>
      <c r="AXU282" s="1824"/>
      <c r="AXV282" s="1824"/>
      <c r="AXW282" s="1824"/>
      <c r="AXX282" s="1824"/>
      <c r="AXY282" s="1824"/>
      <c r="AXZ282" s="1824"/>
      <c r="AYA282" s="1824"/>
      <c r="AYB282" s="1824"/>
      <c r="AYC282" s="1824"/>
      <c r="AYD282" s="1824"/>
      <c r="AYE282" s="1824"/>
      <c r="AYF282" s="1824"/>
      <c r="AYG282" s="1824"/>
      <c r="AYH282" s="1824"/>
      <c r="AYI282" s="1824"/>
      <c r="AYJ282" s="1824"/>
      <c r="AYK282" s="1824"/>
      <c r="AYL282" s="1824"/>
      <c r="AYM282" s="1824"/>
      <c r="AYN282" s="1824"/>
      <c r="AYO282" s="1824"/>
      <c r="AYP282" s="1824"/>
      <c r="AYQ282" s="1824"/>
      <c r="AYR282" s="1824"/>
      <c r="AYS282" s="1824"/>
      <c r="AYT282" s="1824"/>
      <c r="AYU282" s="1824"/>
      <c r="AYV282" s="1824"/>
      <c r="AYW282" s="1824"/>
      <c r="AYX282" s="1824"/>
      <c r="AYY282" s="1824"/>
      <c r="AYZ282" s="1824"/>
      <c r="AZA282" s="1824"/>
      <c r="AZB282" s="1824"/>
      <c r="AZC282" s="1824"/>
      <c r="AZD282" s="1824"/>
      <c r="AZE282" s="1824"/>
      <c r="AZF282" s="1824"/>
      <c r="AZG282" s="1824"/>
      <c r="AZH282" s="1824"/>
      <c r="AZI282" s="1824"/>
      <c r="AZJ282" s="1824"/>
      <c r="AZK282" s="1824"/>
      <c r="AZL282" s="1824"/>
      <c r="AZM282" s="1824"/>
      <c r="AZN282" s="1824"/>
      <c r="AZO282" s="1824"/>
      <c r="AZP282" s="1824"/>
      <c r="AZQ282" s="1824"/>
      <c r="AZR282" s="1824"/>
      <c r="AZS282" s="1824"/>
      <c r="AZT282" s="1824"/>
      <c r="AZU282" s="1824"/>
      <c r="AZV282" s="1824"/>
      <c r="AZW282" s="1824"/>
      <c r="AZX282" s="1824"/>
      <c r="AZY282" s="1824"/>
      <c r="AZZ282" s="1824"/>
      <c r="BAA282" s="1824"/>
      <c r="BAB282" s="1824"/>
      <c r="BAC282" s="1824"/>
      <c r="BAD282" s="1824"/>
      <c r="BAE282" s="1824"/>
      <c r="BAF282" s="1824"/>
      <c r="BAG282" s="1824"/>
      <c r="BAH282" s="1824"/>
      <c r="BAI282" s="1824"/>
      <c r="BAJ282" s="1824"/>
      <c r="BAK282" s="1824"/>
      <c r="BAL282" s="1824"/>
      <c r="BAM282" s="1824"/>
      <c r="BAN282" s="1824"/>
      <c r="BAO282" s="1824"/>
      <c r="BAP282" s="1824"/>
      <c r="BAQ282" s="1824"/>
      <c r="BAR282" s="1824"/>
      <c r="BAS282" s="1824"/>
      <c r="BAT282" s="1824"/>
      <c r="BAU282" s="1824"/>
      <c r="BAV282" s="1824"/>
      <c r="BAW282" s="1824"/>
      <c r="BAX282" s="1824"/>
      <c r="BAY282" s="1824"/>
      <c r="BAZ282" s="1824"/>
      <c r="BBA282" s="1824"/>
      <c r="BBB282" s="1824"/>
      <c r="BBC282" s="1824"/>
      <c r="BBD282" s="1824"/>
      <c r="BBE282" s="1824"/>
      <c r="BBF282" s="1824"/>
      <c r="BBG282" s="1824"/>
      <c r="BBH282" s="1824"/>
      <c r="BBI282" s="1824"/>
      <c r="BBJ282" s="1824"/>
      <c r="BBK282" s="1824"/>
      <c r="BBL282" s="1824"/>
      <c r="BBM282" s="1824"/>
      <c r="BBN282" s="1824"/>
      <c r="BBO282" s="1824"/>
      <c r="BBP282" s="1824"/>
      <c r="BBQ282" s="1824"/>
      <c r="BBR282" s="1824"/>
      <c r="BBS282" s="1824"/>
      <c r="BBT282" s="1824"/>
      <c r="BBU282" s="1824"/>
      <c r="BBV282" s="1824"/>
      <c r="BBW282" s="1824"/>
      <c r="BBX282" s="1824"/>
      <c r="BBY282" s="1824"/>
      <c r="BBZ282" s="1824"/>
      <c r="BCA282" s="1824"/>
      <c r="BCB282" s="1824"/>
      <c r="BCC282" s="1824"/>
      <c r="BCD282" s="1824"/>
      <c r="BCE282" s="1824"/>
      <c r="BCF282" s="1824"/>
      <c r="BCG282" s="1824"/>
      <c r="BCH282" s="1824"/>
      <c r="BCI282" s="1824"/>
      <c r="BCJ282" s="1824"/>
      <c r="BCK282" s="1824"/>
      <c r="BCL282" s="1824"/>
      <c r="BCM282" s="1824"/>
      <c r="BCN282" s="1824"/>
      <c r="BCO282" s="1824"/>
      <c r="BCP282" s="1824"/>
      <c r="BCQ282" s="1824"/>
      <c r="BCR282" s="1824"/>
      <c r="BCS282" s="1824"/>
      <c r="BCT282" s="1824"/>
      <c r="BCU282" s="1824"/>
      <c r="BCV282" s="1824"/>
      <c r="BCW282" s="1824"/>
      <c r="BCX282" s="1824"/>
      <c r="BCY282" s="1824"/>
      <c r="BCZ282" s="1824"/>
      <c r="BDA282" s="1824"/>
      <c r="BDB282" s="1824"/>
      <c r="BDC282" s="1824"/>
      <c r="BDD282" s="1824"/>
      <c r="BDE282" s="1824"/>
      <c r="BDF282" s="1824"/>
      <c r="BDG282" s="1824"/>
      <c r="BDH282" s="1824"/>
      <c r="BDI282" s="1824"/>
      <c r="BDJ282" s="1824"/>
      <c r="BDK282" s="1824"/>
      <c r="BDL282" s="1824"/>
      <c r="BDM282" s="1824"/>
      <c r="BDN282" s="1824"/>
      <c r="BDO282" s="1824"/>
      <c r="BDP282" s="1824"/>
      <c r="BDQ282" s="1824"/>
      <c r="BDR282" s="1824"/>
      <c r="BDS282" s="1824"/>
      <c r="BDT282" s="1824"/>
      <c r="BDU282" s="1824"/>
      <c r="BDV282" s="1824"/>
      <c r="BDW282" s="1824"/>
      <c r="BDX282" s="1824"/>
      <c r="BDY282" s="1824"/>
      <c r="BDZ282" s="1824"/>
      <c r="BEA282" s="1824"/>
      <c r="BEB282" s="1824"/>
      <c r="BEC282" s="1824"/>
      <c r="BED282" s="1824"/>
      <c r="BEE282" s="1824"/>
      <c r="BEF282" s="1824"/>
      <c r="BEG282" s="1824"/>
      <c r="BEH282" s="1824"/>
      <c r="BEI282" s="1824"/>
      <c r="BEJ282" s="1824"/>
      <c r="BEK282" s="1824"/>
      <c r="BEL282" s="1824"/>
      <c r="BEM282" s="1824"/>
      <c r="BEN282" s="1824"/>
      <c r="BEO282" s="1824"/>
      <c r="BEP282" s="1824"/>
      <c r="BEQ282" s="1824"/>
      <c r="BER282" s="1824"/>
      <c r="BES282" s="1824"/>
      <c r="BET282" s="1824"/>
      <c r="BEU282" s="1824"/>
      <c r="BEV282" s="1824"/>
      <c r="BEW282" s="1824"/>
      <c r="BEX282" s="1824"/>
      <c r="BEY282" s="1824"/>
      <c r="BEZ282" s="1824"/>
      <c r="BFA282" s="1824"/>
      <c r="BFB282" s="1824"/>
      <c r="BFC282" s="1824"/>
      <c r="BFD282" s="1824"/>
      <c r="BFE282" s="1824"/>
      <c r="BFF282" s="1824"/>
      <c r="BFG282" s="1824"/>
      <c r="BFH282" s="1824"/>
      <c r="BFI282" s="1824"/>
      <c r="BFJ282" s="1824"/>
      <c r="BFK282" s="1824"/>
      <c r="BFL282" s="1824"/>
      <c r="BFM282" s="1824"/>
      <c r="BFN282" s="1824"/>
      <c r="BFO282" s="1824"/>
      <c r="BFP282" s="1824"/>
      <c r="BFQ282" s="1824"/>
      <c r="BFR282" s="1824"/>
      <c r="BFS282" s="1824"/>
      <c r="BFT282" s="1824"/>
      <c r="BFU282" s="1824"/>
      <c r="BFV282" s="1824"/>
      <c r="BFW282" s="1824"/>
      <c r="BFX282" s="1824"/>
      <c r="BFY282" s="1824"/>
      <c r="BFZ282" s="1824"/>
      <c r="BGA282" s="1824"/>
      <c r="BGB282" s="1824"/>
      <c r="BGC282" s="1824"/>
      <c r="BGD282" s="1824"/>
      <c r="BGE282" s="1824"/>
      <c r="BGF282" s="1824"/>
      <c r="BGG282" s="1824"/>
      <c r="BGH282" s="1824"/>
      <c r="BGI282" s="1824"/>
      <c r="BGJ282" s="1824"/>
      <c r="BGK282" s="1824"/>
      <c r="BGL282" s="1824"/>
      <c r="BGM282" s="1824"/>
      <c r="BGN282" s="1824"/>
      <c r="BGO282" s="1824"/>
      <c r="BGP282" s="1824"/>
      <c r="BGQ282" s="1824"/>
      <c r="BGR282" s="1824"/>
      <c r="BGS282" s="1824"/>
      <c r="BGT282" s="1824"/>
      <c r="BGU282" s="1824"/>
      <c r="BGV282" s="1824"/>
      <c r="BGW282" s="1824"/>
      <c r="BGX282" s="1824"/>
      <c r="BGY282" s="1824"/>
      <c r="BGZ282" s="1824"/>
      <c r="BHA282" s="1824"/>
      <c r="BHB282" s="1824"/>
      <c r="BHC282" s="1824"/>
      <c r="BHD282" s="1824"/>
      <c r="BHE282" s="1824"/>
      <c r="BHF282" s="1824"/>
      <c r="BHG282" s="1824"/>
      <c r="BHH282" s="1824"/>
      <c r="BHI282" s="1824"/>
      <c r="BHJ282" s="1824"/>
      <c r="BHK282" s="1824"/>
      <c r="BHL282" s="1824"/>
      <c r="BHM282" s="1824"/>
      <c r="BHN282" s="1824"/>
      <c r="BHO282" s="1824"/>
      <c r="BHP282" s="1824"/>
      <c r="BHQ282" s="1824"/>
      <c r="BHR282" s="1824"/>
      <c r="BHS282" s="1824"/>
      <c r="BHT282" s="1824"/>
      <c r="BHU282" s="1824"/>
      <c r="BHV282" s="1824"/>
      <c r="BHW282" s="1824"/>
      <c r="BHX282" s="1824"/>
      <c r="BHY282" s="1824"/>
      <c r="BHZ282" s="1824"/>
      <c r="BIA282" s="1824"/>
      <c r="BIB282" s="1824"/>
      <c r="BIC282" s="1824"/>
      <c r="BID282" s="1824"/>
      <c r="BIE282" s="1824"/>
      <c r="BIF282" s="1824"/>
      <c r="BIG282" s="1824"/>
      <c r="BIH282" s="1824"/>
      <c r="BII282" s="1824"/>
      <c r="BIJ282" s="1824"/>
      <c r="BIK282" s="1824"/>
      <c r="BIL282" s="1824"/>
      <c r="BIM282" s="1824"/>
      <c r="BIN282" s="1824"/>
      <c r="BIO282" s="1824"/>
      <c r="BIP282" s="1824"/>
      <c r="BIQ282" s="1824"/>
      <c r="BIR282" s="1824"/>
      <c r="BIS282" s="1824"/>
      <c r="BIT282" s="1824"/>
      <c r="BIU282" s="1824"/>
      <c r="BIV282" s="1824"/>
      <c r="BIW282" s="1824"/>
      <c r="BIX282" s="1824"/>
      <c r="BIY282" s="1824"/>
      <c r="BIZ282" s="1824"/>
      <c r="BJA282" s="1824"/>
      <c r="BJB282" s="1824"/>
      <c r="BJC282" s="1824"/>
      <c r="BJD282" s="1824"/>
      <c r="BJE282" s="1824"/>
      <c r="BJF282" s="1824"/>
      <c r="BJG282" s="1824"/>
      <c r="BJH282" s="1824"/>
      <c r="BJI282" s="1824"/>
      <c r="BJJ282" s="1824"/>
      <c r="BJK282" s="1824"/>
      <c r="BJL282" s="1824"/>
      <c r="BJM282" s="1824"/>
      <c r="BJN282" s="1824"/>
      <c r="BJO282" s="1824"/>
      <c r="BJP282" s="1824"/>
      <c r="BJQ282" s="1824"/>
      <c r="BJR282" s="1824"/>
      <c r="BJS282" s="1824"/>
      <c r="BJT282" s="1824"/>
      <c r="BJU282" s="1824"/>
      <c r="BJV282" s="1824"/>
      <c r="BJW282" s="1824"/>
      <c r="BJX282" s="1824"/>
      <c r="BJY282" s="1824"/>
      <c r="BJZ282" s="1824"/>
      <c r="BKA282" s="1824"/>
      <c r="BKB282" s="1824"/>
      <c r="BKC282" s="1824"/>
      <c r="BKD282" s="1824"/>
      <c r="BKE282" s="1824"/>
      <c r="BKF282" s="1824"/>
      <c r="BKG282" s="1824"/>
      <c r="BKH282" s="1824"/>
      <c r="BKI282" s="1824"/>
      <c r="BKJ282" s="1824"/>
      <c r="BKK282" s="1824"/>
      <c r="BKL282" s="1824"/>
      <c r="BKM282" s="1824"/>
      <c r="BKN282" s="1824"/>
      <c r="BKO282" s="1824"/>
      <c r="BKP282" s="1824"/>
      <c r="BKQ282" s="1824"/>
      <c r="BKR282" s="1824"/>
      <c r="BKS282" s="1824"/>
      <c r="BKT282" s="1824"/>
      <c r="BKU282" s="1824"/>
      <c r="BKV282" s="1824"/>
      <c r="BKW282" s="1824"/>
      <c r="BKX282" s="1824"/>
      <c r="BKY282" s="1824"/>
      <c r="BKZ282" s="1824"/>
      <c r="BLA282" s="1824"/>
      <c r="BLB282" s="1824"/>
      <c r="BLC282" s="1824"/>
      <c r="BLD282" s="1824"/>
      <c r="BLE282" s="1824"/>
      <c r="BLF282" s="1824"/>
      <c r="BLG282" s="1824"/>
      <c r="BLH282" s="1824"/>
      <c r="BLI282" s="1824"/>
      <c r="BLJ282" s="1824"/>
      <c r="BLK282" s="1824"/>
      <c r="BLL282" s="1824"/>
      <c r="BLM282" s="1824"/>
      <c r="BLN282" s="1824"/>
      <c r="BLO282" s="1824"/>
      <c r="BLP282" s="1824"/>
      <c r="BLQ282" s="1824"/>
      <c r="BLR282" s="1824"/>
      <c r="BLS282" s="1824"/>
      <c r="BLT282" s="1824"/>
      <c r="BLU282" s="1824"/>
      <c r="BLV282" s="1824"/>
      <c r="BLW282" s="1824"/>
      <c r="BLX282" s="1824"/>
      <c r="BLY282" s="1824"/>
      <c r="BLZ282" s="1824"/>
      <c r="BMA282" s="1824"/>
      <c r="BMB282" s="1824"/>
      <c r="BMC282" s="1824"/>
      <c r="BMD282" s="1824"/>
      <c r="BME282" s="1824"/>
      <c r="BMF282" s="1824"/>
      <c r="BMG282" s="1824"/>
      <c r="BMH282" s="1824"/>
      <c r="BMI282" s="1824"/>
      <c r="BMJ282" s="1824"/>
      <c r="BMK282" s="1824"/>
      <c r="BML282" s="1824"/>
      <c r="BMM282" s="1824"/>
      <c r="BMN282" s="1824"/>
      <c r="BMO282" s="1824"/>
      <c r="BMP282" s="1824"/>
      <c r="BMQ282" s="1824"/>
      <c r="BMR282" s="1824"/>
      <c r="BMS282" s="1824"/>
      <c r="BMT282" s="1824"/>
      <c r="BMU282" s="1824"/>
      <c r="BMV282" s="1824"/>
      <c r="BMW282" s="1824"/>
      <c r="BMX282" s="1824"/>
      <c r="BMY282" s="1824"/>
      <c r="BMZ282" s="1824"/>
      <c r="BNA282" s="1824"/>
      <c r="BNB282" s="1824"/>
      <c r="BNC282" s="1824"/>
      <c r="BND282" s="1824"/>
      <c r="BNE282" s="1824"/>
      <c r="BNF282" s="1824"/>
      <c r="BNG282" s="1824"/>
      <c r="BNH282" s="1824"/>
      <c r="BNI282" s="1824"/>
      <c r="BNJ282" s="1824"/>
      <c r="BNK282" s="1824"/>
      <c r="BNL282" s="1824"/>
      <c r="BNM282" s="1824"/>
      <c r="BNN282" s="1824"/>
      <c r="BNO282" s="1824"/>
      <c r="BNP282" s="1824"/>
      <c r="BNQ282" s="1824"/>
      <c r="BNR282" s="1824"/>
      <c r="BNS282" s="1824"/>
      <c r="BNT282" s="1824"/>
      <c r="BNU282" s="1824"/>
      <c r="BNV282" s="1824"/>
      <c r="BNW282" s="1824"/>
      <c r="BNX282" s="1824"/>
      <c r="BNY282" s="1824"/>
      <c r="BNZ282" s="1824"/>
      <c r="BOA282" s="1824"/>
      <c r="BOB282" s="1824"/>
      <c r="BOC282" s="1824"/>
      <c r="BOD282" s="1824"/>
      <c r="BOE282" s="1824"/>
      <c r="BOF282" s="1824"/>
      <c r="BOG282" s="1824"/>
      <c r="BOH282" s="1824"/>
      <c r="BOI282" s="1824"/>
      <c r="BOJ282" s="1824"/>
      <c r="BOK282" s="1824"/>
      <c r="BOL282" s="1824"/>
      <c r="BOM282" s="1824"/>
      <c r="BON282" s="1824"/>
      <c r="BOO282" s="1824"/>
      <c r="BOP282" s="1824"/>
      <c r="BOQ282" s="1824"/>
      <c r="BOR282" s="1824"/>
      <c r="BOS282" s="1824"/>
      <c r="BOT282" s="1824"/>
      <c r="BOU282" s="1824"/>
      <c r="BOV282" s="1824"/>
      <c r="BOW282" s="1824"/>
      <c r="BOX282" s="1824"/>
      <c r="BOY282" s="1824"/>
      <c r="BOZ282" s="1824"/>
      <c r="BPA282" s="1824"/>
      <c r="BPB282" s="1824"/>
      <c r="BPC282" s="1824"/>
      <c r="BPD282" s="1824"/>
      <c r="BPE282" s="1824"/>
      <c r="BPF282" s="1824"/>
      <c r="BPG282" s="1824"/>
      <c r="BPH282" s="1824"/>
      <c r="BPI282" s="1824"/>
      <c r="BPJ282" s="1824"/>
      <c r="BPK282" s="1824"/>
      <c r="BPL282" s="1824"/>
      <c r="BPM282" s="1824"/>
      <c r="BPN282" s="1824"/>
      <c r="BPO282" s="1824"/>
      <c r="BPP282" s="1824"/>
      <c r="BPQ282" s="1824"/>
      <c r="BPR282" s="1824"/>
      <c r="BPS282" s="1824"/>
      <c r="BPT282" s="1824"/>
      <c r="BPU282" s="1824"/>
      <c r="BPV282" s="1824"/>
      <c r="BPW282" s="1824"/>
      <c r="BPX282" s="1824"/>
      <c r="BPY282" s="1824"/>
      <c r="BPZ282" s="1824"/>
      <c r="BQA282" s="1824"/>
      <c r="BQB282" s="1824"/>
      <c r="BQC282" s="1824"/>
      <c r="BQD282" s="1824"/>
      <c r="BQE282" s="1824"/>
      <c r="BQF282" s="1824"/>
      <c r="BQG282" s="1824"/>
      <c r="BQH282" s="1824"/>
      <c r="BQI282" s="1824"/>
      <c r="BQJ282" s="1824"/>
      <c r="BQK282" s="1824"/>
      <c r="BQL282" s="1824"/>
      <c r="BQM282" s="1824"/>
      <c r="BQN282" s="1824"/>
      <c r="BQO282" s="1824"/>
      <c r="BQP282" s="1824"/>
      <c r="BQQ282" s="1824"/>
      <c r="BQR282" s="1824"/>
      <c r="BQS282" s="1824"/>
      <c r="BQT282" s="1824"/>
      <c r="BQU282" s="1824"/>
      <c r="BQV282" s="1824"/>
      <c r="BQW282" s="1824"/>
      <c r="BQX282" s="1824"/>
      <c r="BQY282" s="1824"/>
      <c r="BQZ282" s="1824"/>
      <c r="BRA282" s="1824"/>
      <c r="BRB282" s="1824"/>
      <c r="BRC282" s="1824"/>
      <c r="BRD282" s="1824"/>
      <c r="BRE282" s="1824"/>
      <c r="BRF282" s="1824"/>
      <c r="BRG282" s="1824"/>
      <c r="BRH282" s="1824"/>
      <c r="BRI282" s="1824"/>
      <c r="BRJ282" s="1824"/>
      <c r="BRK282" s="1824"/>
      <c r="BRL282" s="1824"/>
      <c r="BRM282" s="1824"/>
      <c r="BRN282" s="1824"/>
      <c r="BRO282" s="1824"/>
      <c r="BRP282" s="1824"/>
      <c r="BRQ282" s="1824"/>
      <c r="BRR282" s="1824"/>
      <c r="BRS282" s="1824"/>
      <c r="BRT282" s="1824"/>
      <c r="BRU282" s="1824"/>
      <c r="BRV282" s="1824"/>
      <c r="BRW282" s="1824"/>
      <c r="BRX282" s="1824"/>
      <c r="BRY282" s="1824"/>
      <c r="BRZ282" s="1824"/>
      <c r="BSA282" s="1824"/>
      <c r="BSB282" s="1824"/>
      <c r="BSC282" s="1824"/>
      <c r="BSD282" s="1824"/>
      <c r="BSE282" s="1824"/>
      <c r="BSF282" s="1824"/>
      <c r="BSG282" s="1824"/>
      <c r="BSH282" s="1824"/>
      <c r="BSI282" s="1824"/>
      <c r="BSJ282" s="1824"/>
      <c r="BSK282" s="1824"/>
      <c r="BSL282" s="1824"/>
      <c r="BSM282" s="1824"/>
      <c r="BSN282" s="1824"/>
      <c r="BSO282" s="1824"/>
      <c r="BSP282" s="1824"/>
      <c r="BSQ282" s="1824"/>
      <c r="BSR282" s="1824"/>
      <c r="BSS282" s="1824"/>
      <c r="BST282" s="1824"/>
      <c r="BSU282" s="1824"/>
      <c r="BSV282" s="1824"/>
      <c r="BSW282" s="1824"/>
      <c r="BSX282" s="1824"/>
      <c r="BSY282" s="1824"/>
      <c r="BSZ282" s="1824"/>
      <c r="BTA282" s="1824"/>
      <c r="BTB282" s="1824"/>
      <c r="BTC282" s="1824"/>
      <c r="BTD282" s="1824"/>
      <c r="BTE282" s="1824"/>
      <c r="BTF282" s="1824"/>
      <c r="BTG282" s="1824"/>
      <c r="BTH282" s="1824"/>
      <c r="BTI282" s="1824"/>
      <c r="BTJ282" s="1824"/>
      <c r="BTK282" s="1824"/>
      <c r="BTL282" s="1824"/>
      <c r="BTM282" s="1824"/>
      <c r="BTN282" s="1824"/>
      <c r="BTO282" s="1824"/>
      <c r="BTP282" s="1824"/>
      <c r="BTQ282" s="1824"/>
      <c r="BTR282" s="1824"/>
      <c r="BTS282" s="1824"/>
      <c r="BTT282" s="1824"/>
      <c r="BTU282" s="1824"/>
      <c r="BTV282" s="1824"/>
      <c r="BTW282" s="1824"/>
      <c r="BTX282" s="1824"/>
      <c r="BTY282" s="1824"/>
      <c r="BTZ282" s="1824"/>
      <c r="BUA282" s="1824"/>
      <c r="BUB282" s="1824"/>
      <c r="BUC282" s="1824"/>
      <c r="BUD282" s="1824"/>
      <c r="BUE282" s="1824"/>
      <c r="BUF282" s="1824"/>
      <c r="BUG282" s="1824"/>
      <c r="BUH282" s="1824"/>
      <c r="BUI282" s="1824"/>
      <c r="BUJ282" s="1824"/>
      <c r="BUK282" s="1824"/>
      <c r="BUL282" s="1824"/>
      <c r="BUM282" s="1824"/>
      <c r="BUN282" s="1824"/>
      <c r="BUO282" s="1824"/>
      <c r="BUP282" s="1824"/>
      <c r="BUQ282" s="1824"/>
      <c r="BUR282" s="1824"/>
      <c r="BUS282" s="1824"/>
      <c r="BUT282" s="1824"/>
      <c r="BUU282" s="1824"/>
      <c r="BUV282" s="1824"/>
      <c r="BUW282" s="1824"/>
      <c r="BUX282" s="1824"/>
      <c r="BUY282" s="1824"/>
      <c r="BUZ282" s="1824"/>
      <c r="BVA282" s="1824"/>
      <c r="BVB282" s="1824"/>
      <c r="BVC282" s="1824"/>
      <c r="BVD282" s="1824"/>
      <c r="BVE282" s="1824"/>
      <c r="BVF282" s="1824"/>
      <c r="BVG282" s="1824"/>
      <c r="BVH282" s="1824"/>
      <c r="BVI282" s="1824"/>
      <c r="BVJ282" s="1824"/>
      <c r="BVK282" s="1824"/>
      <c r="BVL282" s="1824"/>
      <c r="BVM282" s="1824"/>
      <c r="BVN282" s="1824"/>
      <c r="BVO282" s="1824"/>
      <c r="BVP282" s="1824"/>
      <c r="BVQ282" s="1824"/>
      <c r="BVR282" s="1824"/>
      <c r="BVS282" s="1824"/>
      <c r="BVT282" s="1824"/>
      <c r="BVU282" s="1824"/>
      <c r="BVV282" s="1824"/>
      <c r="BVW282" s="1824"/>
      <c r="BVX282" s="1824"/>
      <c r="BVY282" s="1824"/>
      <c r="BVZ282" s="1824"/>
      <c r="BWA282" s="1824"/>
      <c r="BWB282" s="1824"/>
      <c r="BWC282" s="1824"/>
      <c r="BWD282" s="1824"/>
      <c r="BWE282" s="1824"/>
      <c r="BWF282" s="1824"/>
      <c r="BWG282" s="1824"/>
      <c r="BWH282" s="1824"/>
      <c r="BWI282" s="1824"/>
      <c r="BWJ282" s="1824"/>
      <c r="BWK282" s="1824"/>
      <c r="BWL282" s="1824"/>
      <c r="BWM282" s="1824"/>
      <c r="BWN282" s="1824"/>
      <c r="BWO282" s="1824"/>
      <c r="BWP282" s="1824"/>
      <c r="BWQ282" s="1824"/>
      <c r="BWR282" s="1824"/>
      <c r="BWS282" s="1824"/>
      <c r="BWT282" s="1824"/>
      <c r="BWU282" s="1824"/>
      <c r="BWV282" s="1824"/>
      <c r="BWW282" s="1824"/>
      <c r="BWX282" s="1824"/>
      <c r="BWY282" s="1824"/>
      <c r="BWZ282" s="1824"/>
      <c r="BXA282" s="1824"/>
      <c r="BXB282" s="1824"/>
      <c r="BXC282" s="1824"/>
      <c r="BXD282" s="1824"/>
      <c r="BXE282" s="1824"/>
      <c r="BXF282" s="1824"/>
      <c r="BXG282" s="1824"/>
      <c r="BXH282" s="1824"/>
      <c r="BXI282" s="1824"/>
      <c r="BXJ282" s="1824"/>
      <c r="BXK282" s="1824"/>
      <c r="BXL282" s="1824"/>
      <c r="BXM282" s="1824"/>
      <c r="BXN282" s="1824"/>
      <c r="BXO282" s="1824"/>
      <c r="BXP282" s="1824"/>
      <c r="BXQ282" s="1824"/>
      <c r="BXR282" s="1824"/>
      <c r="BXS282" s="1824"/>
      <c r="BXT282" s="1824"/>
      <c r="BXU282" s="1824"/>
      <c r="BXV282" s="1824"/>
      <c r="BXW282" s="1824"/>
      <c r="BXX282" s="1824"/>
      <c r="BXY282" s="1824"/>
      <c r="BXZ282" s="1824"/>
      <c r="BYA282" s="1824"/>
      <c r="BYB282" s="1824"/>
      <c r="BYC282" s="1824"/>
      <c r="BYD282" s="1824"/>
      <c r="BYE282" s="1824"/>
      <c r="BYF282" s="1824"/>
      <c r="BYG282" s="1824"/>
      <c r="BYH282" s="1824"/>
      <c r="BYI282" s="1824"/>
      <c r="BYJ282" s="1824"/>
      <c r="BYK282" s="1824"/>
      <c r="BYL282" s="1824"/>
      <c r="BYM282" s="1824"/>
      <c r="BYN282" s="1824"/>
      <c r="BYO282" s="1824"/>
      <c r="BYP282" s="1824"/>
      <c r="BYQ282" s="1824"/>
      <c r="BYR282" s="1824"/>
      <c r="BYS282" s="1824"/>
      <c r="BYT282" s="1824"/>
      <c r="BYU282" s="1824"/>
      <c r="BYV282" s="1824"/>
      <c r="BYW282" s="1824"/>
      <c r="BYX282" s="1824"/>
      <c r="BYY282" s="1824"/>
      <c r="BYZ282" s="1824"/>
      <c r="BZA282" s="1824"/>
      <c r="BZB282" s="1824"/>
      <c r="BZC282" s="1824"/>
      <c r="BZD282" s="1824"/>
      <c r="BZE282" s="1824"/>
      <c r="BZF282" s="1824"/>
      <c r="BZG282" s="1824"/>
      <c r="BZH282" s="1824"/>
      <c r="BZI282" s="1824"/>
      <c r="BZJ282" s="1824"/>
      <c r="BZK282" s="1824"/>
      <c r="BZL282" s="1824"/>
      <c r="BZM282" s="1824"/>
      <c r="BZN282" s="1824"/>
      <c r="BZO282" s="1824"/>
      <c r="BZP282" s="1824"/>
      <c r="BZQ282" s="1824"/>
      <c r="BZR282" s="1824"/>
      <c r="BZS282" s="1824"/>
      <c r="BZT282" s="1824"/>
      <c r="BZU282" s="1824"/>
      <c r="BZV282" s="1824"/>
      <c r="BZW282" s="1824"/>
      <c r="BZX282" s="1824"/>
      <c r="BZY282" s="1824"/>
      <c r="BZZ282" s="1824"/>
      <c r="CAA282" s="1824"/>
      <c r="CAB282" s="1824"/>
      <c r="CAC282" s="1824"/>
      <c r="CAD282" s="1824"/>
      <c r="CAE282" s="1824"/>
      <c r="CAF282" s="1824"/>
      <c r="CAG282" s="1824"/>
      <c r="CAH282" s="1824"/>
      <c r="CAI282" s="1824"/>
      <c r="CAJ282" s="1824"/>
      <c r="CAK282" s="1824"/>
      <c r="CAL282" s="1824"/>
      <c r="CAM282" s="1824"/>
      <c r="CAN282" s="1824"/>
      <c r="CAO282" s="1824"/>
      <c r="CAP282" s="1824"/>
      <c r="CAQ282" s="1824"/>
      <c r="CAR282" s="1824"/>
      <c r="CAS282" s="1824"/>
      <c r="CAT282" s="1824"/>
      <c r="CAU282" s="1824"/>
      <c r="CAV282" s="1824"/>
      <c r="CAW282" s="1824"/>
      <c r="CAX282" s="1824"/>
      <c r="CAY282" s="1824"/>
      <c r="CAZ282" s="1824"/>
      <c r="CBA282" s="1824"/>
      <c r="CBB282" s="1824"/>
      <c r="CBC282" s="1824"/>
      <c r="CBD282" s="1824"/>
      <c r="CBE282" s="1824"/>
      <c r="CBF282" s="1824"/>
      <c r="CBG282" s="1824"/>
      <c r="CBH282" s="1824"/>
      <c r="CBI282" s="1824"/>
      <c r="CBJ282" s="1824"/>
      <c r="CBK282" s="1824"/>
      <c r="CBL282" s="1824"/>
      <c r="CBM282" s="1824"/>
      <c r="CBN282" s="1824"/>
      <c r="CBO282" s="1824"/>
      <c r="CBP282" s="1824"/>
      <c r="CBQ282" s="1824"/>
      <c r="CBR282" s="1824"/>
      <c r="CBS282" s="1824"/>
      <c r="CBT282" s="1824"/>
      <c r="CBU282" s="1824"/>
      <c r="CBV282" s="1824"/>
      <c r="CBW282" s="1824"/>
      <c r="CBX282" s="1824"/>
      <c r="CBY282" s="1824"/>
      <c r="CBZ282" s="1824"/>
      <c r="CCA282" s="1824"/>
      <c r="CCB282" s="1824"/>
      <c r="CCC282" s="1824"/>
      <c r="CCD282" s="1824"/>
      <c r="CCE282" s="1824"/>
      <c r="CCF282" s="1824"/>
      <c r="CCG282" s="1824"/>
      <c r="CCH282" s="1824"/>
      <c r="CCI282" s="1824"/>
      <c r="CCJ282" s="1824"/>
      <c r="CCK282" s="1824"/>
      <c r="CCL282" s="1824"/>
      <c r="CCM282" s="1824"/>
      <c r="CCN282" s="1824"/>
      <c r="CCO282" s="1824"/>
      <c r="CCP282" s="1824"/>
      <c r="CCQ282" s="1824"/>
      <c r="CCR282" s="1824"/>
      <c r="CCS282" s="1824"/>
      <c r="CCT282" s="1824"/>
      <c r="CCU282" s="1824"/>
      <c r="CCV282" s="1824"/>
      <c r="CCW282" s="1824"/>
      <c r="CCX282" s="1824"/>
      <c r="CCY282" s="1824"/>
      <c r="CCZ282" s="1824"/>
      <c r="CDA282" s="1824"/>
      <c r="CDB282" s="1824"/>
      <c r="CDC282" s="1824"/>
      <c r="CDD282" s="1824"/>
      <c r="CDE282" s="1824"/>
      <c r="CDF282" s="1824"/>
      <c r="CDG282" s="1824"/>
      <c r="CDH282" s="1824"/>
      <c r="CDI282" s="1824"/>
      <c r="CDJ282" s="1824"/>
      <c r="CDK282" s="1824"/>
      <c r="CDL282" s="1824"/>
      <c r="CDM282" s="1824"/>
      <c r="CDN282" s="1824"/>
      <c r="CDO282" s="1824"/>
      <c r="CDP282" s="1824"/>
      <c r="CDQ282" s="1824"/>
      <c r="CDR282" s="1824"/>
      <c r="CDS282" s="1824"/>
      <c r="CDT282" s="1824"/>
      <c r="CDU282" s="1824"/>
      <c r="CDV282" s="1824"/>
      <c r="CDW282" s="1824"/>
      <c r="CDX282" s="1824"/>
      <c r="CDY282" s="1824"/>
      <c r="CDZ282" s="1824"/>
      <c r="CEA282" s="1824"/>
      <c r="CEB282" s="1824"/>
      <c r="CEC282" s="1824"/>
      <c r="CED282" s="1824"/>
      <c r="CEE282" s="1824"/>
      <c r="CEF282" s="1824"/>
      <c r="CEG282" s="1824"/>
      <c r="CEH282" s="1824"/>
      <c r="CEI282" s="1824"/>
      <c r="CEJ282" s="1824"/>
      <c r="CEK282" s="1824"/>
      <c r="CEL282" s="1824"/>
      <c r="CEM282" s="1824"/>
      <c r="CEN282" s="1824"/>
      <c r="CEO282" s="1824"/>
      <c r="CEP282" s="1824"/>
      <c r="CEQ282" s="1824"/>
      <c r="CER282" s="1824"/>
      <c r="CES282" s="1824"/>
      <c r="CET282" s="1824"/>
      <c r="CEU282" s="1824"/>
      <c r="CEV282" s="1824"/>
      <c r="CEW282" s="1824"/>
      <c r="CEX282" s="1824"/>
      <c r="CEY282" s="1824"/>
      <c r="CEZ282" s="1824"/>
      <c r="CFA282" s="1824"/>
      <c r="CFB282" s="1824"/>
      <c r="CFC282" s="1824"/>
      <c r="CFD282" s="1824"/>
      <c r="CFE282" s="1824"/>
      <c r="CFF282" s="1824"/>
      <c r="CFG282" s="1824"/>
      <c r="CFH282" s="1824"/>
      <c r="CFI282" s="1824"/>
      <c r="CFJ282" s="1824"/>
      <c r="CFK282" s="1824"/>
      <c r="CFL282" s="1824"/>
      <c r="CFM282" s="1824"/>
      <c r="CFN282" s="1824"/>
      <c r="CFO282" s="1824"/>
      <c r="CFP282" s="1824"/>
      <c r="CFQ282" s="1824"/>
      <c r="CFR282" s="1824"/>
      <c r="CFS282" s="1824"/>
      <c r="CFT282" s="1824"/>
      <c r="CFU282" s="1824"/>
      <c r="CFV282" s="1824"/>
      <c r="CFW282" s="1824"/>
      <c r="CFX282" s="1824"/>
      <c r="CFY282" s="1824"/>
      <c r="CFZ282" s="1824"/>
      <c r="CGA282" s="1824"/>
      <c r="CGB282" s="1824"/>
      <c r="CGC282" s="1824"/>
      <c r="CGD282" s="1824"/>
      <c r="CGE282" s="1824"/>
      <c r="CGF282" s="1824"/>
      <c r="CGG282" s="1824"/>
      <c r="CGH282" s="1824"/>
      <c r="CGI282" s="1824"/>
      <c r="CGJ282" s="1824"/>
      <c r="CGK282" s="1824"/>
      <c r="CGL282" s="1824"/>
      <c r="CGM282" s="1824"/>
      <c r="CGN282" s="1824"/>
      <c r="CGO282" s="1824"/>
      <c r="CGP282" s="1824"/>
      <c r="CGQ282" s="1824"/>
      <c r="CGR282" s="1824"/>
      <c r="CGS282" s="1824"/>
      <c r="CGT282" s="1824"/>
      <c r="CGU282" s="1824"/>
      <c r="CGV282" s="1824"/>
      <c r="CGW282" s="1824"/>
      <c r="CGX282" s="1824"/>
      <c r="CGY282" s="1824"/>
      <c r="CGZ282" s="1824"/>
      <c r="CHA282" s="1824"/>
      <c r="CHB282" s="1824"/>
      <c r="CHC282" s="1824"/>
      <c r="CHD282" s="1824"/>
      <c r="CHE282" s="1824"/>
      <c r="CHF282" s="1824"/>
      <c r="CHG282" s="1824"/>
      <c r="CHH282" s="1824"/>
      <c r="CHI282" s="1824"/>
      <c r="CHJ282" s="1824"/>
      <c r="CHK282" s="1824"/>
      <c r="CHL282" s="1824"/>
      <c r="CHM282" s="1824"/>
      <c r="CHN282" s="1824"/>
      <c r="CHO282" s="1824"/>
      <c r="CHP282" s="1824"/>
      <c r="CHQ282" s="1824"/>
      <c r="CHR282" s="1824"/>
      <c r="CHS282" s="1824"/>
      <c r="CHT282" s="1824"/>
      <c r="CHU282" s="1824"/>
      <c r="CHV282" s="1824"/>
      <c r="CHW282" s="1824"/>
      <c r="CHX282" s="1824"/>
      <c r="CHY282" s="1824"/>
      <c r="CHZ282" s="1824"/>
      <c r="CIA282" s="1824"/>
      <c r="CIB282" s="1824"/>
      <c r="CIC282" s="1824"/>
      <c r="CID282" s="1824"/>
      <c r="CIE282" s="1824"/>
      <c r="CIF282" s="1824"/>
      <c r="CIG282" s="1824"/>
      <c r="CIH282" s="1824"/>
      <c r="CII282" s="1824"/>
      <c r="CIJ282" s="1824"/>
      <c r="CIK282" s="1824"/>
      <c r="CIL282" s="1824"/>
      <c r="CIM282" s="1824"/>
      <c r="CIN282" s="1824"/>
      <c r="CIO282" s="1824"/>
      <c r="CIP282" s="1824"/>
      <c r="CIQ282" s="1824"/>
      <c r="CIR282" s="1824"/>
      <c r="CIS282" s="1824"/>
      <c r="CIT282" s="1824"/>
      <c r="CIU282" s="1824"/>
      <c r="CIV282" s="1824"/>
      <c r="CIW282" s="1824"/>
      <c r="CIX282" s="1824"/>
      <c r="CIY282" s="1824"/>
      <c r="CIZ282" s="1824"/>
      <c r="CJA282" s="1824"/>
      <c r="CJB282" s="1824"/>
      <c r="CJC282" s="1824"/>
      <c r="CJD282" s="1824"/>
      <c r="CJE282" s="1824"/>
      <c r="CJF282" s="1824"/>
      <c r="CJG282" s="1824"/>
      <c r="CJH282" s="1824"/>
      <c r="CJI282" s="1824"/>
      <c r="CJJ282" s="1824"/>
      <c r="CJK282" s="1824"/>
      <c r="CJL282" s="1824"/>
      <c r="CJM282" s="1824"/>
      <c r="CJN282" s="1824"/>
      <c r="CJO282" s="1824"/>
      <c r="CJP282" s="1824"/>
      <c r="CJQ282" s="1824"/>
      <c r="CJR282" s="1824"/>
      <c r="CJS282" s="1824"/>
      <c r="CJT282" s="1824"/>
      <c r="CJU282" s="1824"/>
      <c r="CJV282" s="1824"/>
      <c r="CJW282" s="1824"/>
      <c r="CJX282" s="1824"/>
      <c r="CJY282" s="1824"/>
      <c r="CJZ282" s="1824"/>
      <c r="CKA282" s="1824"/>
      <c r="CKB282" s="1824"/>
      <c r="CKC282" s="1824"/>
      <c r="CKD282" s="1824"/>
      <c r="CKE282" s="1824"/>
      <c r="CKF282" s="1824"/>
      <c r="CKG282" s="1824"/>
      <c r="CKH282" s="1824"/>
      <c r="CKI282" s="1824"/>
      <c r="CKJ282" s="1824"/>
      <c r="CKK282" s="1824"/>
      <c r="CKL282" s="1824"/>
      <c r="CKM282" s="1824"/>
      <c r="CKN282" s="1824"/>
      <c r="CKO282" s="1824"/>
      <c r="CKP282" s="1824"/>
      <c r="CKQ282" s="1824"/>
      <c r="CKR282" s="1824"/>
      <c r="CKS282" s="1824"/>
      <c r="CKT282" s="1824"/>
      <c r="CKU282" s="1824"/>
      <c r="CKV282" s="1824"/>
      <c r="CKW282" s="1824"/>
      <c r="CKX282" s="1824"/>
      <c r="CKY282" s="1824"/>
      <c r="CKZ282" s="1824"/>
      <c r="CLA282" s="1824"/>
      <c r="CLB282" s="1824"/>
      <c r="CLC282" s="1824"/>
      <c r="CLD282" s="1824"/>
      <c r="CLE282" s="1824"/>
      <c r="CLF282" s="1824"/>
      <c r="CLG282" s="1824"/>
      <c r="CLH282" s="1824"/>
      <c r="CLI282" s="1824"/>
      <c r="CLJ282" s="1824"/>
      <c r="CLK282" s="1824"/>
      <c r="CLL282" s="1824"/>
      <c r="CLM282" s="1824"/>
      <c r="CLN282" s="1824"/>
      <c r="CLO282" s="1824"/>
      <c r="CLP282" s="1824"/>
      <c r="CLQ282" s="1824"/>
      <c r="CLR282" s="1824"/>
      <c r="CLS282" s="1824"/>
      <c r="CLT282" s="1824"/>
      <c r="CLU282" s="1824"/>
      <c r="CLV282" s="1824"/>
      <c r="CLW282" s="1824"/>
      <c r="CLX282" s="1824"/>
      <c r="CLY282" s="1824"/>
      <c r="CLZ282" s="1824"/>
      <c r="CMA282" s="1824"/>
      <c r="CMB282" s="1824"/>
      <c r="CMC282" s="1824"/>
      <c r="CMD282" s="1824"/>
      <c r="CME282" s="1824"/>
      <c r="CMF282" s="1824"/>
      <c r="CMG282" s="1824"/>
      <c r="CMH282" s="1824"/>
      <c r="CMI282" s="1824"/>
      <c r="CMJ282" s="1824"/>
      <c r="CMK282" s="1824"/>
      <c r="CML282" s="1824"/>
      <c r="CMM282" s="1824"/>
      <c r="CMN282" s="1824"/>
      <c r="CMO282" s="1824"/>
      <c r="CMP282" s="1824"/>
      <c r="CMQ282" s="1824"/>
      <c r="CMR282" s="1824"/>
      <c r="CMS282" s="1824"/>
      <c r="CMT282" s="1824"/>
      <c r="CMU282" s="1824"/>
      <c r="CMV282" s="1824"/>
      <c r="CMW282" s="1824"/>
      <c r="CMX282" s="1824"/>
      <c r="CMY282" s="1824"/>
      <c r="CMZ282" s="1824"/>
      <c r="CNA282" s="1824"/>
      <c r="CNB282" s="1824"/>
      <c r="CNC282" s="1824"/>
      <c r="CND282" s="1824"/>
      <c r="CNE282" s="1824"/>
      <c r="CNF282" s="1824"/>
      <c r="CNG282" s="1824"/>
      <c r="CNH282" s="1824"/>
      <c r="CNI282" s="1824"/>
      <c r="CNJ282" s="1824"/>
      <c r="CNK282" s="1824"/>
      <c r="CNL282" s="1824"/>
      <c r="CNM282" s="1824"/>
      <c r="CNN282" s="1824"/>
      <c r="CNO282" s="1824"/>
      <c r="CNP282" s="1824"/>
      <c r="CNQ282" s="1824"/>
      <c r="CNR282" s="1824"/>
      <c r="CNS282" s="1824"/>
      <c r="CNT282" s="1824"/>
      <c r="CNU282" s="1824"/>
      <c r="CNV282" s="1824"/>
      <c r="CNW282" s="1824"/>
      <c r="CNX282" s="1824"/>
      <c r="CNY282" s="1824"/>
      <c r="CNZ282" s="1824"/>
      <c r="COA282" s="1824"/>
      <c r="COB282" s="1824"/>
      <c r="COC282" s="1824"/>
      <c r="COD282" s="1824"/>
      <c r="COE282" s="1824"/>
      <c r="COF282" s="1824"/>
      <c r="COG282" s="1824"/>
      <c r="COH282" s="1824"/>
      <c r="COI282" s="1824"/>
      <c r="COJ282" s="1824"/>
      <c r="COK282" s="1824"/>
      <c r="COL282" s="1824"/>
      <c r="COM282" s="1824"/>
      <c r="CON282" s="1824"/>
      <c r="COO282" s="1824"/>
      <c r="COP282" s="1824"/>
      <c r="COQ282" s="1824"/>
      <c r="COR282" s="1824"/>
      <c r="COS282" s="1824"/>
      <c r="COT282" s="1824"/>
      <c r="COU282" s="1824"/>
      <c r="COV282" s="1824"/>
      <c r="COW282" s="1824"/>
      <c r="COX282" s="1824"/>
      <c r="COY282" s="1824"/>
      <c r="COZ282" s="1824"/>
      <c r="CPA282" s="1824"/>
      <c r="CPB282" s="1824"/>
      <c r="CPC282" s="1824"/>
      <c r="CPD282" s="1824"/>
      <c r="CPE282" s="1824"/>
      <c r="CPF282" s="1824"/>
      <c r="CPG282" s="1824"/>
      <c r="CPH282" s="1824"/>
      <c r="CPI282" s="1824"/>
      <c r="CPJ282" s="1824"/>
      <c r="CPK282" s="1824"/>
      <c r="CPL282" s="1824"/>
      <c r="CPM282" s="1824"/>
      <c r="CPN282" s="1824"/>
      <c r="CPO282" s="1824"/>
      <c r="CPP282" s="1824"/>
      <c r="CPQ282" s="1824"/>
      <c r="CPR282" s="1824"/>
      <c r="CPS282" s="1824"/>
      <c r="CPT282" s="1824"/>
      <c r="CPU282" s="1824"/>
      <c r="CPV282" s="1824"/>
      <c r="CPW282" s="1824"/>
      <c r="CPX282" s="1824"/>
      <c r="CPY282" s="1824"/>
      <c r="CPZ282" s="1824"/>
      <c r="CQA282" s="1824"/>
      <c r="CQB282" s="1824"/>
      <c r="CQC282" s="1824"/>
      <c r="CQD282" s="1824"/>
      <c r="CQE282" s="1824"/>
      <c r="CQF282" s="1824"/>
      <c r="CQG282" s="1824"/>
      <c r="CQH282" s="1824"/>
      <c r="CQI282" s="1824"/>
      <c r="CQJ282" s="1824"/>
      <c r="CQK282" s="1824"/>
      <c r="CQL282" s="1824"/>
      <c r="CQM282" s="1824"/>
      <c r="CQN282" s="1824"/>
      <c r="CQO282" s="1824"/>
      <c r="CQP282" s="1824"/>
      <c r="CQQ282" s="1824"/>
      <c r="CQR282" s="1824"/>
      <c r="CQS282" s="1824"/>
      <c r="CQT282" s="1824"/>
      <c r="CQU282" s="1824"/>
      <c r="CQV282" s="1824"/>
      <c r="CQW282" s="1824"/>
      <c r="CQX282" s="1824"/>
      <c r="CQY282" s="1824"/>
      <c r="CQZ282" s="1824"/>
      <c r="CRA282" s="1824"/>
      <c r="CRB282" s="1824"/>
      <c r="CRC282" s="1824"/>
      <c r="CRD282" s="1824"/>
      <c r="CRE282" s="1824"/>
      <c r="CRF282" s="1824"/>
      <c r="CRG282" s="1824"/>
      <c r="CRH282" s="1824"/>
      <c r="CRI282" s="1824"/>
      <c r="CRJ282" s="1824"/>
      <c r="CRK282" s="1824"/>
      <c r="CRL282" s="1824"/>
      <c r="CRM282" s="1824"/>
      <c r="CRN282" s="1824"/>
      <c r="CRO282" s="1824"/>
      <c r="CRP282" s="1824"/>
      <c r="CRQ282" s="1824"/>
      <c r="CRR282" s="1824"/>
      <c r="CRS282" s="1824"/>
      <c r="CRT282" s="1824"/>
      <c r="CRU282" s="1824"/>
      <c r="CRV282" s="1824"/>
      <c r="CRW282" s="1824"/>
      <c r="CRX282" s="1824"/>
      <c r="CRY282" s="1824"/>
      <c r="CRZ282" s="1824"/>
      <c r="CSA282" s="1824"/>
      <c r="CSB282" s="1824"/>
      <c r="CSC282" s="1824"/>
      <c r="CSD282" s="1824"/>
      <c r="CSE282" s="1824"/>
      <c r="CSF282" s="1824"/>
      <c r="CSG282" s="1824"/>
      <c r="CSH282" s="1824"/>
      <c r="CSI282" s="1824"/>
      <c r="CSJ282" s="1824"/>
      <c r="CSK282" s="1824"/>
      <c r="CSL282" s="1824"/>
      <c r="CSM282" s="1824"/>
      <c r="CSN282" s="1824"/>
      <c r="CSO282" s="1824"/>
      <c r="CSP282" s="1824"/>
      <c r="CSQ282" s="1824"/>
      <c r="CSR282" s="1824"/>
      <c r="CSS282" s="1824"/>
      <c r="CST282" s="1824"/>
      <c r="CSU282" s="1824"/>
      <c r="CSV282" s="1824"/>
      <c r="CSW282" s="1824"/>
      <c r="CSX282" s="1824"/>
      <c r="CSY282" s="1824"/>
      <c r="CSZ282" s="1824"/>
      <c r="CTA282" s="1824"/>
      <c r="CTB282" s="1824"/>
      <c r="CTC282" s="1824"/>
      <c r="CTD282" s="1824"/>
      <c r="CTE282" s="1824"/>
      <c r="CTF282" s="1824"/>
      <c r="CTG282" s="1824"/>
      <c r="CTH282" s="1824"/>
      <c r="CTI282" s="1824"/>
      <c r="CTJ282" s="1824"/>
      <c r="CTK282" s="1824"/>
      <c r="CTL282" s="1824"/>
      <c r="CTM282" s="1824"/>
      <c r="CTN282" s="1824"/>
      <c r="CTO282" s="1824"/>
      <c r="CTP282" s="1824"/>
      <c r="CTQ282" s="1824"/>
      <c r="CTR282" s="1824"/>
      <c r="CTS282" s="1824"/>
      <c r="CTT282" s="1824"/>
      <c r="CTU282" s="1824"/>
      <c r="CTV282" s="1824"/>
      <c r="CTW282" s="1824"/>
      <c r="CTX282" s="1824"/>
      <c r="CTY282" s="1824"/>
      <c r="CTZ282" s="1824"/>
      <c r="CUA282" s="1824"/>
      <c r="CUB282" s="1824"/>
      <c r="CUC282" s="1824"/>
      <c r="CUD282" s="1824"/>
      <c r="CUE282" s="1824"/>
      <c r="CUF282" s="1824"/>
      <c r="CUG282" s="1824"/>
      <c r="CUH282" s="1824"/>
      <c r="CUI282" s="1824"/>
      <c r="CUJ282" s="1824"/>
      <c r="CUK282" s="1824"/>
      <c r="CUL282" s="1824"/>
      <c r="CUM282" s="1824"/>
      <c r="CUN282" s="1824"/>
      <c r="CUO282" s="1824"/>
      <c r="CUP282" s="1824"/>
      <c r="CUQ282" s="1824"/>
      <c r="CUR282" s="1824"/>
      <c r="CUS282" s="1824"/>
      <c r="CUT282" s="1824"/>
      <c r="CUU282" s="1824"/>
      <c r="CUV282" s="1824"/>
      <c r="CUW282" s="1824"/>
      <c r="CUX282" s="1824"/>
      <c r="CUY282" s="1824"/>
      <c r="CUZ282" s="1824"/>
      <c r="CVA282" s="1824"/>
      <c r="CVB282" s="1824"/>
      <c r="CVC282" s="1824"/>
      <c r="CVD282" s="1824"/>
      <c r="CVE282" s="1824"/>
      <c r="CVF282" s="1824"/>
      <c r="CVG282" s="1824"/>
      <c r="CVH282" s="1824"/>
      <c r="CVI282" s="1824"/>
      <c r="CVJ282" s="1824"/>
      <c r="CVK282" s="1824"/>
      <c r="CVL282" s="1824"/>
      <c r="CVM282" s="1824"/>
      <c r="CVN282" s="1824"/>
      <c r="CVO282" s="1824"/>
      <c r="CVP282" s="1824"/>
      <c r="CVQ282" s="1824"/>
      <c r="CVR282" s="1824"/>
      <c r="CVS282" s="1824"/>
      <c r="CVT282" s="1824"/>
      <c r="CVU282" s="1824"/>
      <c r="CVV282" s="1824"/>
      <c r="CVW282" s="1824"/>
      <c r="CVX282" s="1824"/>
      <c r="CVY282" s="1824"/>
      <c r="CVZ282" s="1824"/>
      <c r="CWA282" s="1824"/>
      <c r="CWB282" s="1824"/>
      <c r="CWC282" s="1824"/>
      <c r="CWD282" s="1824"/>
      <c r="CWE282" s="1824"/>
      <c r="CWF282" s="1824"/>
      <c r="CWG282" s="1824"/>
      <c r="CWH282" s="1824"/>
      <c r="CWI282" s="1824"/>
      <c r="CWJ282" s="1824"/>
      <c r="CWK282" s="1824"/>
      <c r="CWL282" s="1824"/>
      <c r="CWM282" s="1824"/>
      <c r="CWN282" s="1824"/>
      <c r="CWO282" s="1824"/>
      <c r="CWP282" s="1824"/>
      <c r="CWQ282" s="1824"/>
      <c r="CWR282" s="1824"/>
      <c r="CWS282" s="1824"/>
      <c r="CWT282" s="1824"/>
      <c r="CWU282" s="1824"/>
      <c r="CWV282" s="1824"/>
      <c r="CWW282" s="1824"/>
      <c r="CWX282" s="1824"/>
      <c r="CWY282" s="1824"/>
      <c r="CWZ282" s="1824"/>
      <c r="CXA282" s="1824"/>
      <c r="CXB282" s="1824"/>
      <c r="CXC282" s="1824"/>
      <c r="CXD282" s="1824"/>
      <c r="CXE282" s="1824"/>
      <c r="CXF282" s="1824"/>
      <c r="CXG282" s="1824"/>
      <c r="CXH282" s="1824"/>
      <c r="CXI282" s="1824"/>
      <c r="CXJ282" s="1824"/>
      <c r="CXK282" s="1824"/>
      <c r="CXL282" s="1824"/>
      <c r="CXM282" s="1824"/>
      <c r="CXN282" s="1824"/>
      <c r="CXO282" s="1824"/>
      <c r="CXP282" s="1824"/>
      <c r="CXQ282" s="1824"/>
      <c r="CXR282" s="1824"/>
      <c r="CXS282" s="1824"/>
      <c r="CXT282" s="1824"/>
      <c r="CXU282" s="1824"/>
      <c r="CXV282" s="1824"/>
      <c r="CXW282" s="1824"/>
      <c r="CXX282" s="1824"/>
      <c r="CXY282" s="1824"/>
      <c r="CXZ282" s="1824"/>
      <c r="CYA282" s="1824"/>
      <c r="CYB282" s="1824"/>
      <c r="CYC282" s="1824"/>
      <c r="CYD282" s="1824"/>
      <c r="CYE282" s="1824"/>
      <c r="CYF282" s="1824"/>
      <c r="CYG282" s="1824"/>
      <c r="CYH282" s="1824"/>
      <c r="CYI282" s="1824"/>
      <c r="CYJ282" s="1824"/>
      <c r="CYK282" s="1824"/>
      <c r="CYL282" s="1824"/>
      <c r="CYM282" s="1824"/>
      <c r="CYN282" s="1824"/>
      <c r="CYO282" s="1824"/>
      <c r="CYP282" s="1824"/>
      <c r="CYQ282" s="1824"/>
      <c r="CYR282" s="1824"/>
      <c r="CYS282" s="1824"/>
      <c r="CYT282" s="1824"/>
      <c r="CYU282" s="1824"/>
      <c r="CYV282" s="1824"/>
      <c r="CYW282" s="1824"/>
      <c r="CYX282" s="1824"/>
      <c r="CYY282" s="1824"/>
      <c r="CYZ282" s="1824"/>
      <c r="CZA282" s="1824"/>
      <c r="CZB282" s="1824"/>
      <c r="CZC282" s="1824"/>
      <c r="CZD282" s="1824"/>
      <c r="CZE282" s="1824"/>
      <c r="CZF282" s="1824"/>
      <c r="CZG282" s="1824"/>
      <c r="CZH282" s="1824"/>
      <c r="CZI282" s="1824"/>
      <c r="CZJ282" s="1824"/>
      <c r="CZK282" s="1824"/>
      <c r="CZL282" s="1824"/>
      <c r="CZM282" s="1824"/>
      <c r="CZN282" s="1824"/>
      <c r="CZO282" s="1824"/>
      <c r="CZP282" s="1824"/>
      <c r="CZQ282" s="1824"/>
      <c r="CZR282" s="1824"/>
      <c r="CZS282" s="1824"/>
      <c r="CZT282" s="1824"/>
      <c r="CZU282" s="1824"/>
      <c r="CZV282" s="1824"/>
      <c r="CZW282" s="1824"/>
      <c r="CZX282" s="1824"/>
      <c r="CZY282" s="1824"/>
      <c r="CZZ282" s="1824"/>
      <c r="DAA282" s="1824"/>
      <c r="DAB282" s="1824"/>
      <c r="DAC282" s="1824"/>
      <c r="DAD282" s="1824"/>
      <c r="DAE282" s="1824"/>
      <c r="DAF282" s="1824"/>
      <c r="DAG282" s="1824"/>
      <c r="DAH282" s="1824"/>
      <c r="DAI282" s="1824"/>
      <c r="DAJ282" s="1824"/>
      <c r="DAK282" s="1824"/>
      <c r="DAL282" s="1824"/>
      <c r="DAM282" s="1824"/>
      <c r="DAN282" s="1824"/>
      <c r="DAO282" s="1824"/>
      <c r="DAP282" s="1824"/>
      <c r="DAQ282" s="1824"/>
      <c r="DAR282" s="1824"/>
      <c r="DAS282" s="1824"/>
      <c r="DAT282" s="1824"/>
      <c r="DAU282" s="1824"/>
      <c r="DAV282" s="1824"/>
      <c r="DAW282" s="1824"/>
      <c r="DAX282" s="1824"/>
      <c r="DAY282" s="1824"/>
      <c r="DAZ282" s="1824"/>
      <c r="DBA282" s="1824"/>
      <c r="DBB282" s="1824"/>
      <c r="DBC282" s="1824"/>
      <c r="DBD282" s="1824"/>
      <c r="DBE282" s="1824"/>
      <c r="DBF282" s="1824"/>
      <c r="DBG282" s="1824"/>
      <c r="DBH282" s="1824"/>
      <c r="DBI282" s="1824"/>
      <c r="DBJ282" s="1824"/>
      <c r="DBK282" s="1824"/>
      <c r="DBL282" s="1824"/>
      <c r="DBM282" s="1824"/>
      <c r="DBN282" s="1824"/>
      <c r="DBO282" s="1824"/>
      <c r="DBP282" s="1824"/>
      <c r="DBQ282" s="1824"/>
      <c r="DBR282" s="1824"/>
      <c r="DBS282" s="1824"/>
      <c r="DBT282" s="1824"/>
      <c r="DBU282" s="1824"/>
      <c r="DBV282" s="1824"/>
      <c r="DBW282" s="1824"/>
      <c r="DBX282" s="1824"/>
      <c r="DBY282" s="1824"/>
      <c r="DBZ282" s="1824"/>
      <c r="DCA282" s="1824"/>
      <c r="DCB282" s="1824"/>
      <c r="DCC282" s="1824"/>
      <c r="DCD282" s="1824"/>
      <c r="DCE282" s="1824"/>
      <c r="DCF282" s="1824"/>
      <c r="DCG282" s="1824"/>
      <c r="DCH282" s="1824"/>
      <c r="DCI282" s="1824"/>
      <c r="DCJ282" s="1824"/>
      <c r="DCK282" s="1824"/>
      <c r="DCL282" s="1824"/>
      <c r="DCM282" s="1824"/>
      <c r="DCN282" s="1824"/>
      <c r="DCO282" s="1824"/>
      <c r="DCP282" s="1824"/>
      <c r="DCQ282" s="1824"/>
      <c r="DCR282" s="1824"/>
      <c r="DCS282" s="1824"/>
      <c r="DCT282" s="1824"/>
      <c r="DCU282" s="1824"/>
      <c r="DCV282" s="1824"/>
      <c r="DCW282" s="1824"/>
      <c r="DCX282" s="1824"/>
      <c r="DCY282" s="1824"/>
      <c r="DCZ282" s="1824"/>
      <c r="DDA282" s="1824"/>
      <c r="DDB282" s="1824"/>
      <c r="DDC282" s="1824"/>
      <c r="DDD282" s="1824"/>
      <c r="DDE282" s="1824"/>
      <c r="DDF282" s="1824"/>
      <c r="DDG282" s="1824"/>
      <c r="DDH282" s="1824"/>
      <c r="DDI282" s="1824"/>
      <c r="DDJ282" s="1824"/>
      <c r="DDK282" s="1824"/>
      <c r="DDL282" s="1824"/>
      <c r="DDM282" s="1824"/>
      <c r="DDN282" s="1824"/>
      <c r="DDO282" s="1824"/>
      <c r="DDP282" s="1824"/>
      <c r="DDQ282" s="1824"/>
      <c r="DDR282" s="1824"/>
      <c r="DDS282" s="1824"/>
      <c r="DDT282" s="1824"/>
      <c r="DDU282" s="1824"/>
      <c r="DDV282" s="1824"/>
      <c r="DDW282" s="1824"/>
      <c r="DDX282" s="1824"/>
      <c r="DDY282" s="1824"/>
      <c r="DDZ282" s="1824"/>
      <c r="DEA282" s="1824"/>
      <c r="DEB282" s="1824"/>
      <c r="DEC282" s="1824"/>
      <c r="DED282" s="1824"/>
      <c r="DEE282" s="1824"/>
      <c r="DEF282" s="1824"/>
      <c r="DEG282" s="1824"/>
      <c r="DEH282" s="1824"/>
      <c r="DEI282" s="1824"/>
      <c r="DEJ282" s="1824"/>
      <c r="DEK282" s="1824"/>
      <c r="DEL282" s="1824"/>
      <c r="DEM282" s="1824"/>
      <c r="DEN282" s="1824"/>
      <c r="DEO282" s="1824"/>
      <c r="DEP282" s="1824"/>
      <c r="DEQ282" s="1824"/>
      <c r="DER282" s="1824"/>
      <c r="DES282" s="1824"/>
      <c r="DET282" s="1824"/>
      <c r="DEU282" s="1824"/>
      <c r="DEV282" s="1824"/>
      <c r="DEW282" s="1824"/>
      <c r="DEX282" s="1824"/>
      <c r="DEY282" s="1824"/>
      <c r="DEZ282" s="1824"/>
      <c r="DFA282" s="1824"/>
      <c r="DFB282" s="1824"/>
      <c r="DFC282" s="1824"/>
      <c r="DFD282" s="1824"/>
      <c r="DFE282" s="1824"/>
      <c r="DFF282" s="1824"/>
      <c r="DFG282" s="1824"/>
      <c r="DFH282" s="1824"/>
      <c r="DFI282" s="1824"/>
      <c r="DFJ282" s="1824"/>
      <c r="DFK282" s="1824"/>
      <c r="DFL282" s="1824"/>
      <c r="DFM282" s="1824"/>
      <c r="DFN282" s="1824"/>
      <c r="DFO282" s="1824"/>
      <c r="DFP282" s="1824"/>
      <c r="DFQ282" s="1824"/>
      <c r="DFR282" s="1824"/>
      <c r="DFS282" s="1824"/>
      <c r="DFT282" s="1824"/>
      <c r="DFU282" s="1824"/>
      <c r="DFV282" s="1824"/>
      <c r="DFW282" s="1824"/>
      <c r="DFX282" s="1824"/>
      <c r="DFY282" s="1824"/>
      <c r="DFZ282" s="1824"/>
      <c r="DGA282" s="1824"/>
      <c r="DGB282" s="1824"/>
      <c r="DGC282" s="1824"/>
      <c r="DGD282" s="1824"/>
      <c r="DGE282" s="1824"/>
      <c r="DGF282" s="1824"/>
      <c r="DGG282" s="1824"/>
      <c r="DGH282" s="1824"/>
      <c r="DGI282" s="1824"/>
      <c r="DGJ282" s="1824"/>
      <c r="DGK282" s="1824"/>
      <c r="DGL282" s="1824"/>
      <c r="DGM282" s="1824"/>
      <c r="DGN282" s="1824"/>
      <c r="DGO282" s="1824"/>
      <c r="DGP282" s="1824"/>
      <c r="DGQ282" s="1824"/>
      <c r="DGR282" s="1824"/>
      <c r="DGS282" s="1824"/>
      <c r="DGT282" s="1824"/>
      <c r="DGU282" s="1824"/>
      <c r="DGV282" s="1824"/>
      <c r="DGW282" s="1824"/>
      <c r="DGX282" s="1824"/>
      <c r="DGY282" s="1824"/>
      <c r="DGZ282" s="1824"/>
      <c r="DHA282" s="1824"/>
      <c r="DHB282" s="1824"/>
      <c r="DHC282" s="1824"/>
      <c r="DHD282" s="1824"/>
      <c r="DHE282" s="1824"/>
      <c r="DHF282" s="1824"/>
      <c r="DHG282" s="1824"/>
      <c r="DHH282" s="1824"/>
      <c r="DHI282" s="1824"/>
      <c r="DHJ282" s="1824"/>
      <c r="DHK282" s="1824"/>
      <c r="DHL282" s="1824"/>
      <c r="DHM282" s="1824"/>
      <c r="DHN282" s="1824"/>
      <c r="DHO282" s="1824"/>
      <c r="DHP282" s="1824"/>
      <c r="DHQ282" s="1824"/>
      <c r="DHR282" s="1824"/>
      <c r="DHS282" s="1824"/>
      <c r="DHT282" s="1824"/>
      <c r="DHU282" s="1824"/>
      <c r="DHV282" s="1824"/>
      <c r="DHW282" s="1824"/>
      <c r="DHX282" s="1824"/>
      <c r="DHY282" s="1824"/>
      <c r="DHZ282" s="1824"/>
      <c r="DIA282" s="1824"/>
      <c r="DIB282" s="1824"/>
      <c r="DIC282" s="1824"/>
      <c r="DID282" s="1824"/>
      <c r="DIE282" s="1824"/>
      <c r="DIF282" s="1824"/>
      <c r="DIG282" s="1824"/>
      <c r="DIH282" s="1824"/>
      <c r="DII282" s="1824"/>
      <c r="DIJ282" s="1824"/>
      <c r="DIK282" s="1824"/>
      <c r="DIL282" s="1824"/>
      <c r="DIM282" s="1824"/>
      <c r="DIN282" s="1824"/>
      <c r="DIO282" s="1824"/>
      <c r="DIP282" s="1824"/>
      <c r="DIQ282" s="1824"/>
      <c r="DIR282" s="1824"/>
      <c r="DIS282" s="1824"/>
      <c r="DIT282" s="1824"/>
      <c r="DIU282" s="1824"/>
      <c r="DIV282" s="1824"/>
      <c r="DIW282" s="1824"/>
      <c r="DIX282" s="1824"/>
      <c r="DIY282" s="1824"/>
      <c r="DIZ282" s="1824"/>
      <c r="DJA282" s="1824"/>
      <c r="DJB282" s="1824"/>
      <c r="DJC282" s="1824"/>
      <c r="DJD282" s="1824"/>
      <c r="DJE282" s="1824"/>
      <c r="DJF282" s="1824"/>
      <c r="DJG282" s="1824"/>
      <c r="DJH282" s="1824"/>
      <c r="DJI282" s="1824"/>
      <c r="DJJ282" s="1824"/>
      <c r="DJK282" s="1824"/>
      <c r="DJL282" s="1824"/>
      <c r="DJM282" s="1824"/>
      <c r="DJN282" s="1824"/>
      <c r="DJO282" s="1824"/>
      <c r="DJP282" s="1824"/>
      <c r="DJQ282" s="1824"/>
      <c r="DJR282" s="1824"/>
      <c r="DJS282" s="1824"/>
      <c r="DJT282" s="1824"/>
      <c r="DJU282" s="1824"/>
      <c r="DJV282" s="1824"/>
      <c r="DJW282" s="1824"/>
      <c r="DJX282" s="1824"/>
      <c r="DJY282" s="1824"/>
      <c r="DJZ282" s="1824"/>
      <c r="DKA282" s="1824"/>
      <c r="DKB282" s="1824"/>
      <c r="DKC282" s="1824"/>
      <c r="DKD282" s="1824"/>
      <c r="DKE282" s="1824"/>
      <c r="DKF282" s="1824"/>
      <c r="DKG282" s="1824"/>
      <c r="DKH282" s="1824"/>
      <c r="DKI282" s="1824"/>
      <c r="DKJ282" s="1824"/>
      <c r="DKK282" s="1824"/>
      <c r="DKL282" s="1824"/>
      <c r="DKM282" s="1824"/>
      <c r="DKN282" s="1824"/>
      <c r="DKO282" s="1824"/>
      <c r="DKP282" s="1824"/>
      <c r="DKQ282" s="1824"/>
      <c r="DKR282" s="1824"/>
      <c r="DKS282" s="1824"/>
      <c r="DKT282" s="1824"/>
      <c r="DKU282" s="1824"/>
      <c r="DKV282" s="1824"/>
      <c r="DKW282" s="1824"/>
      <c r="DKX282" s="1824"/>
      <c r="DKY282" s="1824"/>
      <c r="DKZ282" s="1824"/>
      <c r="DLA282" s="1824"/>
      <c r="DLB282" s="1824"/>
      <c r="DLC282" s="1824"/>
      <c r="DLD282" s="1824"/>
      <c r="DLE282" s="1824"/>
      <c r="DLF282" s="1824"/>
      <c r="DLG282" s="1824"/>
      <c r="DLH282" s="1824"/>
      <c r="DLI282" s="1824"/>
      <c r="DLJ282" s="1824"/>
      <c r="DLK282" s="1824"/>
      <c r="DLL282" s="1824"/>
      <c r="DLM282" s="1824"/>
      <c r="DLN282" s="1824"/>
      <c r="DLO282" s="1824"/>
      <c r="DLP282" s="1824"/>
      <c r="DLQ282" s="1824"/>
      <c r="DLR282" s="1824"/>
      <c r="DLS282" s="1824"/>
      <c r="DLT282" s="1824"/>
      <c r="DLU282" s="1824"/>
      <c r="DLV282" s="1824"/>
      <c r="DLW282" s="1824"/>
      <c r="DLX282" s="1824"/>
      <c r="DLY282" s="1824"/>
      <c r="DLZ282" s="1824"/>
      <c r="DMA282" s="1824"/>
      <c r="DMB282" s="1824"/>
      <c r="DMC282" s="1824"/>
      <c r="DMD282" s="1824"/>
      <c r="DME282" s="1824"/>
      <c r="DMF282" s="1824"/>
      <c r="DMG282" s="1824"/>
      <c r="DMH282" s="1824"/>
      <c r="DMI282" s="1824"/>
      <c r="DMJ282" s="1824"/>
      <c r="DMK282" s="1824"/>
      <c r="DML282" s="1824"/>
      <c r="DMM282" s="1824"/>
      <c r="DMN282" s="1824"/>
      <c r="DMO282" s="1824"/>
      <c r="DMP282" s="1824"/>
      <c r="DMQ282" s="1824"/>
      <c r="DMR282" s="1824"/>
      <c r="DMS282" s="1824"/>
      <c r="DMT282" s="1824"/>
      <c r="DMU282" s="1824"/>
      <c r="DMV282" s="1824"/>
      <c r="DMW282" s="1824"/>
      <c r="DMX282" s="1824"/>
      <c r="DMY282" s="1824"/>
      <c r="DMZ282" s="1824"/>
      <c r="DNA282" s="1824"/>
      <c r="DNB282" s="1824"/>
      <c r="DNC282" s="1824"/>
      <c r="DND282" s="1824"/>
      <c r="DNE282" s="1824"/>
      <c r="DNF282" s="1824"/>
      <c r="DNG282" s="1824"/>
      <c r="DNH282" s="1824"/>
      <c r="DNI282" s="1824"/>
      <c r="DNJ282" s="1824"/>
      <c r="DNK282" s="1824"/>
      <c r="DNL282" s="1824"/>
      <c r="DNM282" s="1824"/>
      <c r="DNN282" s="1824"/>
      <c r="DNO282" s="1824"/>
      <c r="DNP282" s="1824"/>
      <c r="DNQ282" s="1824"/>
      <c r="DNR282" s="1824"/>
      <c r="DNS282" s="1824"/>
      <c r="DNT282" s="1824"/>
      <c r="DNU282" s="1824"/>
      <c r="DNV282" s="1824"/>
      <c r="DNW282" s="1824"/>
      <c r="DNX282" s="1824"/>
      <c r="DNY282" s="1824"/>
      <c r="DNZ282" s="1824"/>
      <c r="DOA282" s="1824"/>
      <c r="DOB282" s="1824"/>
      <c r="DOC282" s="1824"/>
      <c r="DOD282" s="1824"/>
      <c r="DOE282" s="1824"/>
      <c r="DOF282" s="1824"/>
      <c r="DOG282" s="1824"/>
      <c r="DOH282" s="1824"/>
      <c r="DOI282" s="1824"/>
      <c r="DOJ282" s="1824"/>
      <c r="DOK282" s="1824"/>
      <c r="DOL282" s="1824"/>
      <c r="DOM282" s="1824"/>
      <c r="DON282" s="1824"/>
      <c r="DOO282" s="1824"/>
      <c r="DOP282" s="1824"/>
      <c r="DOQ282" s="1824"/>
      <c r="DOR282" s="1824"/>
      <c r="DOS282" s="1824"/>
      <c r="DOT282" s="1824"/>
      <c r="DOU282" s="1824"/>
      <c r="DOV282" s="1824"/>
      <c r="DOW282" s="1824"/>
      <c r="DOX282" s="1824"/>
      <c r="DOY282" s="1824"/>
      <c r="DOZ282" s="1824"/>
      <c r="DPA282" s="1824"/>
      <c r="DPB282" s="1824"/>
      <c r="DPC282" s="1824"/>
      <c r="DPD282" s="1824"/>
      <c r="DPE282" s="1824"/>
      <c r="DPF282" s="1824"/>
      <c r="DPG282" s="1824"/>
      <c r="DPH282" s="1824"/>
      <c r="DPI282" s="1824"/>
      <c r="DPJ282" s="1824"/>
      <c r="DPK282" s="1824"/>
      <c r="DPL282" s="1824"/>
      <c r="DPM282" s="1824"/>
      <c r="DPN282" s="1824"/>
      <c r="DPO282" s="1824"/>
      <c r="DPP282" s="1824"/>
      <c r="DPQ282" s="1824"/>
      <c r="DPR282" s="1824"/>
      <c r="DPS282" s="1824"/>
      <c r="DPT282" s="1824"/>
      <c r="DPU282" s="1824"/>
      <c r="DPV282" s="1824"/>
      <c r="DPW282" s="1824"/>
      <c r="DPX282" s="1824"/>
      <c r="DPY282" s="1824"/>
      <c r="DPZ282" s="1824"/>
      <c r="DQA282" s="1824"/>
      <c r="DQB282" s="1824"/>
      <c r="DQC282" s="1824"/>
      <c r="DQD282" s="1824"/>
      <c r="DQE282" s="1824"/>
      <c r="DQF282" s="1824"/>
      <c r="DQG282" s="1824"/>
      <c r="DQH282" s="1824"/>
      <c r="DQI282" s="1824"/>
      <c r="DQJ282" s="1824"/>
      <c r="DQK282" s="1824"/>
      <c r="DQL282" s="1824"/>
      <c r="DQM282" s="1824"/>
      <c r="DQN282" s="1824"/>
      <c r="DQO282" s="1824"/>
      <c r="DQP282" s="1824"/>
      <c r="DQQ282" s="1824"/>
      <c r="DQR282" s="1824"/>
      <c r="DQS282" s="1824"/>
      <c r="DQT282" s="1824"/>
      <c r="DQU282" s="1824"/>
      <c r="DQV282" s="1824"/>
      <c r="DQW282" s="1824"/>
      <c r="DQX282" s="1824"/>
      <c r="DQY282" s="1824"/>
      <c r="DQZ282" s="1824"/>
      <c r="DRA282" s="1824"/>
      <c r="DRB282" s="1824"/>
      <c r="DRC282" s="1824"/>
      <c r="DRD282" s="1824"/>
      <c r="DRE282" s="1824"/>
      <c r="DRF282" s="1824"/>
      <c r="DRG282" s="1824"/>
      <c r="DRH282" s="1824"/>
      <c r="DRI282" s="1824"/>
      <c r="DRJ282" s="1824"/>
      <c r="DRK282" s="1824"/>
      <c r="DRL282" s="1824"/>
      <c r="DRM282" s="1824"/>
      <c r="DRN282" s="1824"/>
      <c r="DRO282" s="1824"/>
      <c r="DRP282" s="1824"/>
      <c r="DRQ282" s="1824"/>
      <c r="DRR282" s="1824"/>
      <c r="DRS282" s="1824"/>
      <c r="DRT282" s="1824"/>
      <c r="DRU282" s="1824"/>
      <c r="DRV282" s="1824"/>
      <c r="DRW282" s="1824"/>
      <c r="DRX282" s="1824"/>
      <c r="DRY282" s="1824"/>
      <c r="DRZ282" s="1824"/>
      <c r="DSA282" s="1824"/>
      <c r="DSB282" s="1824"/>
      <c r="DSC282" s="1824"/>
      <c r="DSD282" s="1824"/>
      <c r="DSE282" s="1824"/>
      <c r="DSF282" s="1824"/>
      <c r="DSG282" s="1824"/>
      <c r="DSH282" s="1824"/>
      <c r="DSI282" s="1824"/>
      <c r="DSJ282" s="1824"/>
      <c r="DSK282" s="1824"/>
      <c r="DSL282" s="1824"/>
      <c r="DSM282" s="1824"/>
      <c r="DSN282" s="1824"/>
      <c r="DSO282" s="1824"/>
      <c r="DSP282" s="1824"/>
      <c r="DSQ282" s="1824"/>
      <c r="DSR282" s="1824"/>
      <c r="DSS282" s="1824"/>
      <c r="DST282" s="1824"/>
      <c r="DSU282" s="1824"/>
      <c r="DSV282" s="1824"/>
      <c r="DSW282" s="1824"/>
      <c r="DSX282" s="1824"/>
      <c r="DSY282" s="1824"/>
      <c r="DSZ282" s="1824"/>
      <c r="DTA282" s="1824"/>
      <c r="DTB282" s="1824"/>
      <c r="DTC282" s="1824"/>
      <c r="DTD282" s="1824"/>
      <c r="DTE282" s="1824"/>
      <c r="DTF282" s="1824"/>
      <c r="DTG282" s="1824"/>
      <c r="DTH282" s="1824"/>
      <c r="DTI282" s="1824"/>
      <c r="DTJ282" s="1824"/>
      <c r="DTK282" s="1824"/>
      <c r="DTL282" s="1824"/>
      <c r="DTM282" s="1824"/>
      <c r="DTN282" s="1824"/>
      <c r="DTO282" s="1824"/>
      <c r="DTP282" s="1824"/>
      <c r="DTQ282" s="1824"/>
      <c r="DTR282" s="1824"/>
      <c r="DTS282" s="1824"/>
      <c r="DTT282" s="1824"/>
      <c r="DTU282" s="1824"/>
      <c r="DTV282" s="1824"/>
      <c r="DTW282" s="1824"/>
      <c r="DTX282" s="1824"/>
      <c r="DTY282" s="1824"/>
      <c r="DTZ282" s="1824"/>
      <c r="DUA282" s="1824"/>
      <c r="DUB282" s="1824"/>
      <c r="DUC282" s="1824"/>
      <c r="DUD282" s="1824"/>
      <c r="DUE282" s="1824"/>
      <c r="DUF282" s="1824"/>
      <c r="DUG282" s="1824"/>
      <c r="DUH282" s="1824"/>
      <c r="DUI282" s="1824"/>
      <c r="DUJ282" s="1824"/>
      <c r="DUK282" s="1824"/>
      <c r="DUL282" s="1824"/>
      <c r="DUM282" s="1824"/>
      <c r="DUN282" s="1824"/>
      <c r="DUO282" s="1824"/>
      <c r="DUP282" s="1824"/>
      <c r="DUQ282" s="1824"/>
      <c r="DUR282" s="1824"/>
      <c r="DUS282" s="1824"/>
      <c r="DUT282" s="1824"/>
      <c r="DUU282" s="1824"/>
      <c r="DUV282" s="1824"/>
      <c r="DUW282" s="1824"/>
      <c r="DUX282" s="1824"/>
      <c r="DUY282" s="1824"/>
      <c r="DUZ282" s="1824"/>
      <c r="DVA282" s="1824"/>
      <c r="DVB282" s="1824"/>
      <c r="DVC282" s="1824"/>
      <c r="DVD282" s="1824"/>
      <c r="DVE282" s="1824"/>
      <c r="DVF282" s="1824"/>
      <c r="DVG282" s="1824"/>
      <c r="DVH282" s="1824"/>
      <c r="DVI282" s="1824"/>
      <c r="DVJ282" s="1824"/>
      <c r="DVK282" s="1824"/>
      <c r="DVL282" s="1824"/>
      <c r="DVM282" s="1824"/>
      <c r="DVN282" s="1824"/>
      <c r="DVO282" s="1824"/>
      <c r="DVP282" s="1824"/>
      <c r="DVQ282" s="1824"/>
      <c r="DVR282" s="1824"/>
      <c r="DVS282" s="1824"/>
      <c r="DVT282" s="1824"/>
      <c r="DVU282" s="1824"/>
      <c r="DVV282" s="1824"/>
      <c r="DVW282" s="1824"/>
      <c r="DVX282" s="1824"/>
      <c r="DVY282" s="1824"/>
      <c r="DVZ282" s="1824"/>
      <c r="DWA282" s="1824"/>
      <c r="DWB282" s="1824"/>
      <c r="DWC282" s="1824"/>
      <c r="DWD282" s="1824"/>
      <c r="DWE282" s="1824"/>
      <c r="DWF282" s="1824"/>
      <c r="DWG282" s="1824"/>
      <c r="DWH282" s="1824"/>
      <c r="DWI282" s="1824"/>
      <c r="DWJ282" s="1824"/>
      <c r="DWK282" s="1824"/>
      <c r="DWL282" s="1824"/>
      <c r="DWM282" s="1824"/>
      <c r="DWN282" s="1824"/>
      <c r="DWO282" s="1824"/>
      <c r="DWP282" s="1824"/>
      <c r="DWQ282" s="1824"/>
      <c r="DWR282" s="1824"/>
      <c r="DWS282" s="1824"/>
      <c r="DWT282" s="1824"/>
      <c r="DWU282" s="1824"/>
      <c r="DWV282" s="1824"/>
      <c r="DWW282" s="1824"/>
      <c r="DWX282" s="1824"/>
      <c r="DWY282" s="1824"/>
      <c r="DWZ282" s="1824"/>
      <c r="DXA282" s="1824"/>
      <c r="DXB282" s="1824"/>
      <c r="DXC282" s="1824"/>
      <c r="DXD282" s="1824"/>
      <c r="DXE282" s="1824"/>
      <c r="DXF282" s="1824"/>
      <c r="DXG282" s="1824"/>
      <c r="DXH282" s="1824"/>
      <c r="DXI282" s="1824"/>
      <c r="DXJ282" s="1824"/>
      <c r="DXK282" s="1824"/>
      <c r="DXL282" s="1824"/>
      <c r="DXM282" s="1824"/>
      <c r="DXN282" s="1824"/>
      <c r="DXO282" s="1824"/>
      <c r="DXP282" s="1824"/>
      <c r="DXQ282" s="1824"/>
      <c r="DXR282" s="1824"/>
      <c r="DXS282" s="1824"/>
      <c r="DXT282" s="1824"/>
      <c r="DXU282" s="1824"/>
      <c r="DXV282" s="1824"/>
      <c r="DXW282" s="1824"/>
      <c r="DXX282" s="1824"/>
      <c r="DXY282" s="1824"/>
      <c r="DXZ282" s="1824"/>
      <c r="DYA282" s="1824"/>
      <c r="DYB282" s="1824"/>
      <c r="DYC282" s="1824"/>
      <c r="DYD282" s="1824"/>
      <c r="DYE282" s="1824"/>
      <c r="DYF282" s="1824"/>
      <c r="DYG282" s="1824"/>
      <c r="DYH282" s="1824"/>
      <c r="DYI282" s="1824"/>
      <c r="DYJ282" s="1824"/>
      <c r="DYK282" s="1824"/>
      <c r="DYL282" s="1824"/>
      <c r="DYM282" s="1824"/>
      <c r="DYN282" s="1824"/>
      <c r="DYO282" s="1824"/>
      <c r="DYP282" s="1824"/>
      <c r="DYQ282" s="1824"/>
      <c r="DYR282" s="1824"/>
      <c r="DYS282" s="1824"/>
      <c r="DYT282" s="1824"/>
      <c r="DYU282" s="1824"/>
      <c r="DYV282" s="1824"/>
      <c r="DYW282" s="1824"/>
      <c r="DYX282" s="1824"/>
      <c r="DYY282" s="1824"/>
      <c r="DYZ282" s="1824"/>
      <c r="DZA282" s="1824"/>
      <c r="DZB282" s="1824"/>
      <c r="DZC282" s="1824"/>
      <c r="DZD282" s="1824"/>
      <c r="DZE282" s="1824"/>
      <c r="DZF282" s="1824"/>
      <c r="DZG282" s="1824"/>
      <c r="DZH282" s="1824"/>
      <c r="DZI282" s="1824"/>
      <c r="DZJ282" s="1824"/>
      <c r="DZK282" s="1824"/>
      <c r="DZL282" s="1824"/>
      <c r="DZM282" s="1824"/>
      <c r="DZN282" s="1824"/>
      <c r="DZO282" s="1824"/>
      <c r="DZP282" s="1824"/>
      <c r="DZQ282" s="1824"/>
      <c r="DZR282" s="1824"/>
      <c r="DZS282" s="1824"/>
      <c r="DZT282" s="1824"/>
      <c r="DZU282" s="1824"/>
      <c r="DZV282" s="1824"/>
      <c r="DZW282" s="1824"/>
      <c r="DZX282" s="1824"/>
      <c r="DZY282" s="1824"/>
      <c r="DZZ282" s="1824"/>
      <c r="EAA282" s="1824"/>
      <c r="EAB282" s="1824"/>
      <c r="EAC282" s="1824"/>
      <c r="EAD282" s="1824"/>
      <c r="EAE282" s="1824"/>
      <c r="EAF282" s="1824"/>
      <c r="EAG282" s="1824"/>
      <c r="EAH282" s="1824"/>
      <c r="EAI282" s="1824"/>
      <c r="EAJ282" s="1824"/>
      <c r="EAK282" s="1824"/>
      <c r="EAL282" s="1824"/>
      <c r="EAM282" s="1824"/>
      <c r="EAN282" s="1824"/>
      <c r="EAO282" s="1824"/>
      <c r="EAP282" s="1824"/>
      <c r="EAQ282" s="1824"/>
      <c r="EAR282" s="1824"/>
      <c r="EAS282" s="1824"/>
      <c r="EAT282" s="1824"/>
      <c r="EAU282" s="1824"/>
      <c r="EAV282" s="1824"/>
      <c r="EAW282" s="1824"/>
      <c r="EAX282" s="1824"/>
      <c r="EAY282" s="1824"/>
      <c r="EAZ282" s="1824"/>
      <c r="EBA282" s="1824"/>
      <c r="EBB282" s="1824"/>
      <c r="EBC282" s="1824"/>
      <c r="EBD282" s="1824"/>
      <c r="EBE282" s="1824"/>
      <c r="EBF282" s="1824"/>
      <c r="EBG282" s="1824"/>
      <c r="EBH282" s="1824"/>
      <c r="EBI282" s="1824"/>
      <c r="EBJ282" s="1824"/>
      <c r="EBK282" s="1824"/>
      <c r="EBL282" s="1824"/>
      <c r="EBM282" s="1824"/>
      <c r="EBN282" s="1824"/>
      <c r="EBO282" s="1824"/>
      <c r="EBP282" s="1824"/>
      <c r="EBQ282" s="1824"/>
      <c r="EBR282" s="1824"/>
      <c r="EBS282" s="1824"/>
      <c r="EBT282" s="1824"/>
      <c r="EBU282" s="1824"/>
      <c r="EBV282" s="1824"/>
      <c r="EBW282" s="1824"/>
      <c r="EBX282" s="1824"/>
      <c r="EBY282" s="1824"/>
      <c r="EBZ282" s="1824"/>
      <c r="ECA282" s="1824"/>
      <c r="ECB282" s="1824"/>
      <c r="ECC282" s="1824"/>
      <c r="ECD282" s="1824"/>
      <c r="ECE282" s="1824"/>
      <c r="ECF282" s="1824"/>
      <c r="ECG282" s="1824"/>
      <c r="ECH282" s="1824"/>
      <c r="ECI282" s="1824"/>
      <c r="ECJ282" s="1824"/>
      <c r="ECK282" s="1824"/>
      <c r="ECL282" s="1824"/>
      <c r="ECM282" s="1824"/>
      <c r="ECN282" s="1824"/>
      <c r="ECO282" s="1824"/>
      <c r="ECP282" s="1824"/>
      <c r="ECQ282" s="1824"/>
      <c r="ECR282" s="1824"/>
      <c r="ECS282" s="1824"/>
      <c r="ECT282" s="1824"/>
      <c r="ECU282" s="1824"/>
      <c r="ECV282" s="1824"/>
      <c r="ECW282" s="1824"/>
      <c r="ECX282" s="1824"/>
      <c r="ECY282" s="1824"/>
      <c r="ECZ282" s="1824"/>
      <c r="EDA282" s="1824"/>
      <c r="EDB282" s="1824"/>
      <c r="EDC282" s="1824"/>
      <c r="EDD282" s="1824"/>
      <c r="EDE282" s="1824"/>
      <c r="EDF282" s="1824"/>
      <c r="EDG282" s="1824"/>
      <c r="EDH282" s="1824"/>
      <c r="EDI282" s="1824"/>
      <c r="EDJ282" s="1824"/>
      <c r="EDK282" s="1824"/>
      <c r="EDL282" s="1824"/>
      <c r="EDM282" s="1824"/>
      <c r="EDN282" s="1824"/>
      <c r="EDO282" s="1824"/>
      <c r="EDP282" s="1824"/>
      <c r="EDQ282" s="1824"/>
      <c r="EDR282" s="1824"/>
      <c r="EDS282" s="1824"/>
      <c r="EDT282" s="1824"/>
      <c r="EDU282" s="1824"/>
      <c r="EDV282" s="1824"/>
      <c r="EDW282" s="1824"/>
      <c r="EDX282" s="1824"/>
      <c r="EDY282" s="1824"/>
      <c r="EDZ282" s="1824"/>
      <c r="EEA282" s="1824"/>
      <c r="EEB282" s="1824"/>
      <c r="EEC282" s="1824"/>
      <c r="EED282" s="1824"/>
      <c r="EEE282" s="1824"/>
      <c r="EEF282" s="1824"/>
      <c r="EEG282" s="1824"/>
      <c r="EEH282" s="1824"/>
      <c r="EEI282" s="1824"/>
      <c r="EEJ282" s="1824"/>
      <c r="EEK282" s="1824"/>
      <c r="EEL282" s="1824"/>
      <c r="EEM282" s="1824"/>
      <c r="EEN282" s="1824"/>
      <c r="EEO282" s="1824"/>
      <c r="EEP282" s="1824"/>
      <c r="EEQ282" s="1824"/>
      <c r="EER282" s="1824"/>
      <c r="EES282" s="1824"/>
      <c r="EET282" s="1824"/>
      <c r="EEU282" s="1824"/>
      <c r="EEV282" s="1824"/>
      <c r="EEW282" s="1824"/>
      <c r="EEX282" s="1824"/>
      <c r="EEY282" s="1824"/>
      <c r="EEZ282" s="1824"/>
      <c r="EFA282" s="1824"/>
      <c r="EFB282" s="1824"/>
      <c r="EFC282" s="1824"/>
      <c r="EFD282" s="1824"/>
      <c r="EFE282" s="1824"/>
      <c r="EFF282" s="1824"/>
      <c r="EFG282" s="1824"/>
      <c r="EFH282" s="1824"/>
      <c r="EFI282" s="1824"/>
      <c r="EFJ282" s="1824"/>
      <c r="EFK282" s="1824"/>
      <c r="EFL282" s="1824"/>
      <c r="EFM282" s="1824"/>
      <c r="EFN282" s="1824"/>
      <c r="EFO282" s="1824"/>
      <c r="EFP282" s="1824"/>
      <c r="EFQ282" s="1824"/>
      <c r="EFR282" s="1824"/>
      <c r="EFS282" s="1824"/>
      <c r="EFT282" s="1824"/>
      <c r="EFU282" s="1824"/>
      <c r="EFV282" s="1824"/>
      <c r="EFW282" s="1824"/>
      <c r="EFX282" s="1824"/>
      <c r="EFY282" s="1824"/>
      <c r="EFZ282" s="1824"/>
      <c r="EGA282" s="1824"/>
      <c r="EGB282" s="1824"/>
      <c r="EGC282" s="1824"/>
      <c r="EGD282" s="1824"/>
      <c r="EGE282" s="1824"/>
      <c r="EGF282" s="1824"/>
      <c r="EGG282" s="1824"/>
      <c r="EGH282" s="1824"/>
      <c r="EGI282" s="1824"/>
      <c r="EGJ282" s="1824"/>
      <c r="EGK282" s="1824"/>
      <c r="EGL282" s="1824"/>
      <c r="EGM282" s="1824"/>
      <c r="EGN282" s="1824"/>
      <c r="EGO282" s="1824"/>
      <c r="EGP282" s="1824"/>
      <c r="EGQ282" s="1824"/>
      <c r="EGR282" s="1824"/>
      <c r="EGS282" s="1824"/>
      <c r="EGT282" s="1824"/>
      <c r="EGU282" s="1824"/>
      <c r="EGV282" s="1824"/>
      <c r="EGW282" s="1824"/>
      <c r="EGX282" s="1824"/>
      <c r="EGY282" s="1824"/>
      <c r="EGZ282" s="1824"/>
      <c r="EHA282" s="1824"/>
      <c r="EHB282" s="1824"/>
      <c r="EHC282" s="1824"/>
      <c r="EHD282" s="1824"/>
      <c r="EHE282" s="1824"/>
      <c r="EHF282" s="1824"/>
      <c r="EHG282" s="1824"/>
      <c r="EHH282" s="1824"/>
      <c r="EHI282" s="1824"/>
      <c r="EHJ282" s="1824"/>
      <c r="EHK282" s="1824"/>
      <c r="EHL282" s="1824"/>
      <c r="EHM282" s="1824"/>
      <c r="EHN282" s="1824"/>
      <c r="EHO282" s="1824"/>
      <c r="EHP282" s="1824"/>
      <c r="EHQ282" s="1824"/>
      <c r="EHR282" s="1824"/>
      <c r="EHS282" s="1824"/>
      <c r="EHT282" s="1824"/>
      <c r="EHU282" s="1824"/>
      <c r="EHV282" s="1824"/>
      <c r="EHW282" s="1824"/>
      <c r="EHX282" s="1824"/>
      <c r="EHY282" s="1824"/>
      <c r="EHZ282" s="1824"/>
      <c r="EIA282" s="1824"/>
      <c r="EIB282" s="1824"/>
      <c r="EIC282" s="1824"/>
      <c r="EID282" s="1824"/>
      <c r="EIE282" s="1824"/>
      <c r="EIF282" s="1824"/>
      <c r="EIG282" s="1824"/>
      <c r="EIH282" s="1824"/>
      <c r="EII282" s="1824"/>
      <c r="EIJ282" s="1824"/>
      <c r="EIK282" s="1824"/>
      <c r="EIL282" s="1824"/>
      <c r="EIM282" s="1824"/>
      <c r="EIN282" s="1824"/>
      <c r="EIO282" s="1824"/>
      <c r="EIP282" s="1824"/>
      <c r="EIQ282" s="1824"/>
      <c r="EIR282" s="1824"/>
      <c r="EIS282" s="1824"/>
      <c r="EIT282" s="1824"/>
      <c r="EIU282" s="1824"/>
      <c r="EIV282" s="1824"/>
      <c r="EIW282" s="1824"/>
      <c r="EIX282" s="1824"/>
      <c r="EIY282" s="1824"/>
      <c r="EIZ282" s="1824"/>
      <c r="EJA282" s="1824"/>
      <c r="EJB282" s="1824"/>
      <c r="EJC282" s="1824"/>
      <c r="EJD282" s="1824"/>
      <c r="EJE282" s="1824"/>
      <c r="EJF282" s="1824"/>
      <c r="EJG282" s="1824"/>
      <c r="EJH282" s="1824"/>
      <c r="EJI282" s="1824"/>
      <c r="EJJ282" s="1824"/>
      <c r="EJK282" s="1824"/>
      <c r="EJL282" s="1824"/>
      <c r="EJM282" s="1824"/>
      <c r="EJN282" s="1824"/>
      <c r="EJO282" s="1824"/>
      <c r="EJP282" s="1824"/>
      <c r="EJQ282" s="1824"/>
      <c r="EJR282" s="1824"/>
      <c r="EJS282" s="1824"/>
      <c r="EJT282" s="1824"/>
      <c r="EJU282" s="1824"/>
      <c r="EJV282" s="1824"/>
      <c r="EJW282" s="1824"/>
      <c r="EJX282" s="1824"/>
      <c r="EJY282" s="1824"/>
      <c r="EJZ282" s="1824"/>
      <c r="EKA282" s="1824"/>
      <c r="EKB282" s="1824"/>
      <c r="EKC282" s="1824"/>
      <c r="EKD282" s="1824"/>
      <c r="EKE282" s="1824"/>
      <c r="EKF282" s="1824"/>
      <c r="EKG282" s="1824"/>
      <c r="EKH282" s="1824"/>
      <c r="EKI282" s="1824"/>
      <c r="EKJ282" s="1824"/>
      <c r="EKK282" s="1824"/>
      <c r="EKL282" s="1824"/>
      <c r="EKM282" s="1824"/>
      <c r="EKN282" s="1824"/>
      <c r="EKO282" s="1824"/>
      <c r="EKP282" s="1824"/>
      <c r="EKQ282" s="1824"/>
      <c r="EKR282" s="1824"/>
      <c r="EKS282" s="1824"/>
      <c r="EKT282" s="1824"/>
      <c r="EKU282" s="1824"/>
      <c r="EKV282" s="1824"/>
      <c r="EKW282" s="1824"/>
      <c r="EKX282" s="1824"/>
      <c r="EKY282" s="1824"/>
      <c r="EKZ282" s="1824"/>
      <c r="ELA282" s="1824"/>
      <c r="ELB282" s="1824"/>
      <c r="ELC282" s="1824"/>
      <c r="ELD282" s="1824"/>
      <c r="ELE282" s="1824"/>
      <c r="ELF282" s="1824"/>
      <c r="ELG282" s="1824"/>
      <c r="ELH282" s="1824"/>
      <c r="ELI282" s="1824"/>
      <c r="ELJ282" s="1824"/>
      <c r="ELK282" s="1824"/>
      <c r="ELL282" s="1824"/>
      <c r="ELM282" s="1824"/>
      <c r="ELN282" s="1824"/>
      <c r="ELO282" s="1824"/>
      <c r="ELP282" s="1824"/>
      <c r="ELQ282" s="1824"/>
      <c r="ELR282" s="1824"/>
      <c r="ELS282" s="1824"/>
      <c r="ELT282" s="1824"/>
      <c r="ELU282" s="1824"/>
      <c r="ELV282" s="1824"/>
      <c r="ELW282" s="1824"/>
      <c r="ELX282" s="1824"/>
      <c r="ELY282" s="1824"/>
      <c r="ELZ282" s="1824"/>
      <c r="EMA282" s="1824"/>
      <c r="EMB282" s="1824"/>
      <c r="EMC282" s="1824"/>
      <c r="EMD282" s="1824"/>
      <c r="EME282" s="1824"/>
      <c r="EMF282" s="1824"/>
      <c r="EMG282" s="1824"/>
      <c r="EMH282" s="1824"/>
      <c r="EMI282" s="1824"/>
      <c r="EMJ282" s="1824"/>
      <c r="EMK282" s="1824"/>
      <c r="EML282" s="1824"/>
      <c r="EMM282" s="1824"/>
      <c r="EMN282" s="1824"/>
      <c r="EMO282" s="1824"/>
      <c r="EMP282" s="1824"/>
      <c r="EMQ282" s="1824"/>
      <c r="EMR282" s="1824"/>
      <c r="EMS282" s="1824"/>
      <c r="EMT282" s="1824"/>
      <c r="EMU282" s="1824"/>
      <c r="EMV282" s="1824"/>
      <c r="EMW282" s="1824"/>
      <c r="EMX282" s="1824"/>
      <c r="EMY282" s="1824"/>
      <c r="EMZ282" s="1824"/>
      <c r="ENA282" s="1824"/>
      <c r="ENB282" s="1824"/>
      <c r="ENC282" s="1824"/>
      <c r="END282" s="1824"/>
      <c r="ENE282" s="1824"/>
      <c r="ENF282" s="1824"/>
      <c r="ENG282" s="1824"/>
      <c r="ENH282" s="1824"/>
      <c r="ENI282" s="1824"/>
      <c r="ENJ282" s="1824"/>
      <c r="ENK282" s="1824"/>
      <c r="ENL282" s="1824"/>
      <c r="ENM282" s="1824"/>
      <c r="ENN282" s="1824"/>
      <c r="ENO282" s="1824"/>
      <c r="ENP282" s="1824"/>
      <c r="ENQ282" s="1824"/>
      <c r="ENR282" s="1824"/>
      <c r="ENS282" s="1824"/>
      <c r="ENT282" s="1824"/>
      <c r="ENU282" s="1824"/>
      <c r="ENV282" s="1824"/>
      <c r="ENW282" s="1824"/>
      <c r="ENX282" s="1824"/>
      <c r="ENY282" s="1824"/>
      <c r="ENZ282" s="1824"/>
      <c r="EOA282" s="1824"/>
      <c r="EOB282" s="1824"/>
      <c r="EOC282" s="1824"/>
      <c r="EOD282" s="1824"/>
      <c r="EOE282" s="1824"/>
      <c r="EOF282" s="1824"/>
      <c r="EOG282" s="1824"/>
      <c r="EOH282" s="1824"/>
      <c r="EOI282" s="1824"/>
      <c r="EOJ282" s="1824"/>
      <c r="EOK282" s="1824"/>
      <c r="EOL282" s="1824"/>
      <c r="EOM282" s="1824"/>
      <c r="EON282" s="1824"/>
      <c r="EOO282" s="1824"/>
      <c r="EOP282" s="1824"/>
      <c r="EOQ282" s="1824"/>
      <c r="EOR282" s="1824"/>
      <c r="EOS282" s="1824"/>
      <c r="EOT282" s="1824"/>
      <c r="EOU282" s="1824"/>
      <c r="EOV282" s="1824"/>
      <c r="EOW282" s="1824"/>
      <c r="EOX282" s="1824"/>
      <c r="EOY282" s="1824"/>
      <c r="EOZ282" s="1824"/>
      <c r="EPA282" s="1824"/>
      <c r="EPB282" s="1824"/>
      <c r="EPC282" s="1824"/>
      <c r="EPD282" s="1824"/>
      <c r="EPE282" s="1824"/>
      <c r="EPF282" s="1824"/>
      <c r="EPG282" s="1824"/>
      <c r="EPH282" s="1824"/>
      <c r="EPI282" s="1824"/>
      <c r="EPJ282" s="1824"/>
      <c r="EPK282" s="1824"/>
      <c r="EPL282" s="1824"/>
      <c r="EPM282" s="1824"/>
      <c r="EPN282" s="1824"/>
      <c r="EPO282" s="1824"/>
      <c r="EPP282" s="1824"/>
      <c r="EPQ282" s="1824"/>
      <c r="EPR282" s="1824"/>
      <c r="EPS282" s="1824"/>
      <c r="EPT282" s="1824"/>
      <c r="EPU282" s="1824"/>
      <c r="EPV282" s="1824"/>
      <c r="EPW282" s="1824"/>
      <c r="EPX282" s="1824"/>
      <c r="EPY282" s="1824"/>
      <c r="EPZ282" s="1824"/>
      <c r="EQA282" s="1824"/>
      <c r="EQB282" s="1824"/>
      <c r="EQC282" s="1824"/>
      <c r="EQD282" s="1824"/>
      <c r="EQE282" s="1824"/>
      <c r="EQF282" s="1824"/>
      <c r="EQG282" s="1824"/>
      <c r="EQH282" s="1824"/>
      <c r="EQI282" s="1824"/>
      <c r="EQJ282" s="1824"/>
      <c r="EQK282" s="1824"/>
      <c r="EQL282" s="1824"/>
      <c r="EQM282" s="1824"/>
      <c r="EQN282" s="1824"/>
      <c r="EQO282" s="1824"/>
      <c r="EQP282" s="1824"/>
      <c r="EQQ282" s="1824"/>
      <c r="EQR282" s="1824"/>
      <c r="EQS282" s="1824"/>
      <c r="EQT282" s="1824"/>
      <c r="EQU282" s="1824"/>
      <c r="EQV282" s="1824"/>
      <c r="EQW282" s="1824"/>
      <c r="EQX282" s="1824"/>
      <c r="EQY282" s="1824"/>
      <c r="EQZ282" s="1824"/>
      <c r="ERA282" s="1824"/>
      <c r="ERB282" s="1824"/>
      <c r="ERC282" s="1824"/>
      <c r="ERD282" s="1824"/>
      <c r="ERE282" s="1824"/>
      <c r="ERF282" s="1824"/>
      <c r="ERG282" s="1824"/>
      <c r="ERH282" s="1824"/>
      <c r="ERI282" s="1824"/>
      <c r="ERJ282" s="1824"/>
      <c r="ERK282" s="1824"/>
      <c r="ERL282" s="1824"/>
      <c r="ERM282" s="1824"/>
      <c r="ERN282" s="1824"/>
      <c r="ERO282" s="1824"/>
      <c r="ERP282" s="1824"/>
      <c r="ERQ282" s="1824"/>
      <c r="ERR282" s="1824"/>
      <c r="ERS282" s="1824"/>
      <c r="ERT282" s="1824"/>
      <c r="ERU282" s="1824"/>
      <c r="ERV282" s="1824"/>
      <c r="ERW282" s="1824"/>
      <c r="ERX282" s="1824"/>
      <c r="ERY282" s="1824"/>
      <c r="ERZ282" s="1824"/>
      <c r="ESA282" s="1824"/>
      <c r="ESB282" s="1824"/>
      <c r="ESC282" s="1824"/>
      <c r="ESD282" s="1824"/>
      <c r="ESE282" s="1824"/>
      <c r="ESF282" s="1824"/>
      <c r="ESG282" s="1824"/>
      <c r="ESH282" s="1824"/>
      <c r="ESI282" s="1824"/>
      <c r="ESJ282" s="1824"/>
      <c r="ESK282" s="1824"/>
      <c r="ESL282" s="1824"/>
      <c r="ESM282" s="1824"/>
      <c r="ESN282" s="1824"/>
      <c r="ESO282" s="1824"/>
      <c r="ESP282" s="1824"/>
      <c r="ESQ282" s="1824"/>
      <c r="ESR282" s="1824"/>
      <c r="ESS282" s="1824"/>
      <c r="EST282" s="1824"/>
      <c r="ESU282" s="1824"/>
      <c r="ESV282" s="1824"/>
      <c r="ESW282" s="1824"/>
      <c r="ESX282" s="1824"/>
      <c r="ESY282" s="1824"/>
      <c r="ESZ282" s="1824"/>
      <c r="ETA282" s="1824"/>
      <c r="ETB282" s="1824"/>
      <c r="ETC282" s="1824"/>
      <c r="ETD282" s="1824"/>
      <c r="ETE282" s="1824"/>
      <c r="ETF282" s="1824"/>
      <c r="ETG282" s="1824"/>
      <c r="ETH282" s="1824"/>
      <c r="ETI282" s="1824"/>
      <c r="ETJ282" s="1824"/>
      <c r="ETK282" s="1824"/>
      <c r="ETL282" s="1824"/>
      <c r="ETM282" s="1824"/>
      <c r="ETN282" s="1824"/>
      <c r="ETO282" s="1824"/>
      <c r="ETP282" s="1824"/>
      <c r="ETQ282" s="1824"/>
      <c r="ETR282" s="1824"/>
      <c r="ETS282" s="1824"/>
      <c r="ETT282" s="1824"/>
      <c r="ETU282" s="1824"/>
      <c r="ETV282" s="1824"/>
      <c r="ETW282" s="1824"/>
      <c r="ETX282" s="1824"/>
      <c r="ETY282" s="1824"/>
      <c r="ETZ282" s="1824"/>
      <c r="EUA282" s="1824"/>
      <c r="EUB282" s="1824"/>
      <c r="EUC282" s="1824"/>
      <c r="EUD282" s="1824"/>
      <c r="EUE282" s="1824"/>
      <c r="EUF282" s="1824"/>
      <c r="EUG282" s="1824"/>
      <c r="EUH282" s="1824"/>
      <c r="EUI282" s="1824"/>
      <c r="EUJ282" s="1824"/>
      <c r="EUK282" s="1824"/>
      <c r="EUL282" s="1824"/>
      <c r="EUM282" s="1824"/>
      <c r="EUN282" s="1824"/>
      <c r="EUO282" s="1824"/>
      <c r="EUP282" s="1824"/>
      <c r="EUQ282" s="1824"/>
      <c r="EUR282" s="1824"/>
      <c r="EUS282" s="1824"/>
      <c r="EUT282" s="1824"/>
      <c r="EUU282" s="1824"/>
      <c r="EUV282" s="1824"/>
      <c r="EUW282" s="1824"/>
      <c r="EUX282" s="1824"/>
      <c r="EUY282" s="1824"/>
      <c r="EUZ282" s="1824"/>
      <c r="EVA282" s="1824"/>
      <c r="EVB282" s="1824"/>
      <c r="EVC282" s="1824"/>
      <c r="EVD282" s="1824"/>
      <c r="EVE282" s="1824"/>
      <c r="EVF282" s="1824"/>
      <c r="EVG282" s="1824"/>
      <c r="EVH282" s="1824"/>
      <c r="EVI282" s="1824"/>
      <c r="EVJ282" s="1824"/>
      <c r="EVK282" s="1824"/>
      <c r="EVL282" s="1824"/>
      <c r="EVM282" s="1824"/>
      <c r="EVN282" s="1824"/>
      <c r="EVO282" s="1824"/>
      <c r="EVP282" s="1824"/>
      <c r="EVQ282" s="1824"/>
      <c r="EVR282" s="1824"/>
      <c r="EVS282" s="1824"/>
      <c r="EVT282" s="1824"/>
      <c r="EVU282" s="1824"/>
      <c r="EVV282" s="1824"/>
      <c r="EVW282" s="1824"/>
      <c r="EVX282" s="1824"/>
      <c r="EVY282" s="1824"/>
      <c r="EVZ282" s="1824"/>
      <c r="EWA282" s="1824"/>
      <c r="EWB282" s="1824"/>
      <c r="EWC282" s="1824"/>
      <c r="EWD282" s="1824"/>
      <c r="EWE282" s="1824"/>
      <c r="EWF282" s="1824"/>
      <c r="EWG282" s="1824"/>
      <c r="EWH282" s="1824"/>
      <c r="EWI282" s="1824"/>
      <c r="EWJ282" s="1824"/>
      <c r="EWK282" s="1824"/>
      <c r="EWL282" s="1824"/>
      <c r="EWM282" s="1824"/>
      <c r="EWN282" s="1824"/>
      <c r="EWO282" s="1824"/>
      <c r="EWP282" s="1824"/>
      <c r="EWQ282" s="1824"/>
      <c r="EWR282" s="1824"/>
      <c r="EWS282" s="1824"/>
      <c r="EWT282" s="1824"/>
      <c r="EWU282" s="1824"/>
      <c r="EWV282" s="1824"/>
      <c r="EWW282" s="1824"/>
      <c r="EWX282" s="1824"/>
      <c r="EWY282" s="1824"/>
      <c r="EWZ282" s="1824"/>
      <c r="EXA282" s="1824"/>
      <c r="EXB282" s="1824"/>
      <c r="EXC282" s="1824"/>
      <c r="EXD282" s="1824"/>
      <c r="EXE282" s="1824"/>
      <c r="EXF282" s="1824"/>
      <c r="EXG282" s="1824"/>
      <c r="EXH282" s="1824"/>
      <c r="EXI282" s="1824"/>
      <c r="EXJ282" s="1824"/>
      <c r="EXK282" s="1824"/>
      <c r="EXL282" s="1824"/>
      <c r="EXM282" s="1824"/>
      <c r="EXN282" s="1824"/>
      <c r="EXO282" s="1824"/>
      <c r="EXP282" s="1824"/>
      <c r="EXQ282" s="1824"/>
      <c r="EXR282" s="1824"/>
      <c r="EXS282" s="1824"/>
      <c r="EXT282" s="1824"/>
      <c r="EXU282" s="1824"/>
      <c r="EXV282" s="1824"/>
      <c r="EXW282" s="1824"/>
      <c r="EXX282" s="1824"/>
      <c r="EXY282" s="1824"/>
      <c r="EXZ282" s="1824"/>
      <c r="EYA282" s="1824"/>
      <c r="EYB282" s="1824"/>
      <c r="EYC282" s="1824"/>
      <c r="EYD282" s="1824"/>
      <c r="EYE282" s="1824"/>
      <c r="EYF282" s="1824"/>
      <c r="EYG282" s="1824"/>
      <c r="EYH282" s="1824"/>
      <c r="EYI282" s="1824"/>
      <c r="EYJ282" s="1824"/>
      <c r="EYK282" s="1824"/>
      <c r="EYL282" s="1824"/>
      <c r="EYM282" s="1824"/>
      <c r="EYN282" s="1824"/>
      <c r="EYO282" s="1824"/>
      <c r="EYP282" s="1824"/>
      <c r="EYQ282" s="1824"/>
      <c r="EYR282" s="1824"/>
      <c r="EYS282" s="1824"/>
      <c r="EYT282" s="1824"/>
      <c r="EYU282" s="1824"/>
      <c r="EYV282" s="1824"/>
      <c r="EYW282" s="1824"/>
      <c r="EYX282" s="1824"/>
      <c r="EYY282" s="1824"/>
      <c r="EYZ282" s="1824"/>
      <c r="EZA282" s="1824"/>
      <c r="EZB282" s="1824"/>
      <c r="EZC282" s="1824"/>
      <c r="EZD282" s="1824"/>
      <c r="EZE282" s="1824"/>
      <c r="EZF282" s="1824"/>
      <c r="EZG282" s="1824"/>
      <c r="EZH282" s="1824"/>
      <c r="EZI282" s="1824"/>
      <c r="EZJ282" s="1824"/>
      <c r="EZK282" s="1824"/>
      <c r="EZL282" s="1824"/>
      <c r="EZM282" s="1824"/>
      <c r="EZN282" s="1824"/>
      <c r="EZO282" s="1824"/>
      <c r="EZP282" s="1824"/>
      <c r="EZQ282" s="1824"/>
      <c r="EZR282" s="1824"/>
      <c r="EZS282" s="1824"/>
      <c r="EZT282" s="1824"/>
      <c r="EZU282" s="1824"/>
      <c r="EZV282" s="1824"/>
      <c r="EZW282" s="1824"/>
      <c r="EZX282" s="1824"/>
      <c r="EZY282" s="1824"/>
      <c r="EZZ282" s="1824"/>
      <c r="FAA282" s="1824"/>
      <c r="FAB282" s="1824"/>
      <c r="FAC282" s="1824"/>
      <c r="FAD282" s="1824"/>
      <c r="FAE282" s="1824"/>
      <c r="FAF282" s="1824"/>
      <c r="FAG282" s="1824"/>
      <c r="FAH282" s="1824"/>
      <c r="FAI282" s="1824"/>
      <c r="FAJ282" s="1824"/>
      <c r="FAK282" s="1824"/>
      <c r="FAL282" s="1824"/>
      <c r="FAM282" s="1824"/>
      <c r="FAN282" s="1824"/>
      <c r="FAO282" s="1824"/>
      <c r="FAP282" s="1824"/>
      <c r="FAQ282" s="1824"/>
      <c r="FAR282" s="1824"/>
      <c r="FAS282" s="1824"/>
      <c r="FAT282" s="1824"/>
      <c r="FAU282" s="1824"/>
      <c r="FAV282" s="1824"/>
      <c r="FAW282" s="1824"/>
      <c r="FAX282" s="1824"/>
      <c r="FAY282" s="1824"/>
      <c r="FAZ282" s="1824"/>
      <c r="FBA282" s="1824"/>
      <c r="FBB282" s="1824"/>
      <c r="FBC282" s="1824"/>
      <c r="FBD282" s="1824"/>
      <c r="FBE282" s="1824"/>
      <c r="FBF282" s="1824"/>
      <c r="FBG282" s="1824"/>
      <c r="FBH282" s="1824"/>
      <c r="FBI282" s="1824"/>
      <c r="FBJ282" s="1824"/>
      <c r="FBK282" s="1824"/>
      <c r="FBL282" s="1824"/>
      <c r="FBM282" s="1824"/>
      <c r="FBN282" s="1824"/>
      <c r="FBO282" s="1824"/>
      <c r="FBP282" s="1824"/>
      <c r="FBQ282" s="1824"/>
      <c r="FBR282" s="1824"/>
      <c r="FBS282" s="1824"/>
      <c r="FBT282" s="1824"/>
      <c r="FBU282" s="1824"/>
      <c r="FBV282" s="1824"/>
      <c r="FBW282" s="1824"/>
      <c r="FBX282" s="1824"/>
      <c r="FBY282" s="1824"/>
      <c r="FBZ282" s="1824"/>
      <c r="FCA282" s="1824"/>
      <c r="FCB282" s="1824"/>
      <c r="FCC282" s="1824"/>
      <c r="FCD282" s="1824"/>
      <c r="FCE282" s="1824"/>
      <c r="FCF282" s="1824"/>
      <c r="FCG282" s="1824"/>
      <c r="FCH282" s="1824"/>
      <c r="FCI282" s="1824"/>
      <c r="FCJ282" s="1824"/>
      <c r="FCK282" s="1824"/>
      <c r="FCL282" s="1824"/>
      <c r="FCM282" s="1824"/>
      <c r="FCN282" s="1824"/>
      <c r="FCO282" s="1824"/>
      <c r="FCP282" s="1824"/>
      <c r="FCQ282" s="1824"/>
      <c r="FCR282" s="1824"/>
      <c r="FCS282" s="1824"/>
      <c r="FCT282" s="1824"/>
      <c r="FCU282" s="1824"/>
      <c r="FCV282" s="1824"/>
      <c r="FCW282" s="1824"/>
      <c r="FCX282" s="1824"/>
      <c r="FCY282" s="1824"/>
      <c r="FCZ282" s="1824"/>
      <c r="FDA282" s="1824"/>
      <c r="FDB282" s="1824"/>
      <c r="FDC282" s="1824"/>
      <c r="FDD282" s="1824"/>
      <c r="FDE282" s="1824"/>
      <c r="FDF282" s="1824"/>
      <c r="FDG282" s="1824"/>
      <c r="FDH282" s="1824"/>
      <c r="FDI282" s="1824"/>
      <c r="FDJ282" s="1824"/>
      <c r="FDK282" s="1824"/>
      <c r="FDL282" s="1824"/>
      <c r="FDM282" s="1824"/>
      <c r="FDN282" s="1824"/>
      <c r="FDO282" s="1824"/>
      <c r="FDP282" s="1824"/>
      <c r="FDQ282" s="1824"/>
      <c r="FDR282" s="1824"/>
      <c r="FDS282" s="1824"/>
      <c r="FDT282" s="1824"/>
      <c r="FDU282" s="1824"/>
      <c r="FDV282" s="1824"/>
      <c r="FDW282" s="1824"/>
      <c r="FDX282" s="1824"/>
      <c r="FDY282" s="1824"/>
      <c r="FDZ282" s="1824"/>
      <c r="FEA282" s="1824"/>
      <c r="FEB282" s="1824"/>
      <c r="FEC282" s="1824"/>
      <c r="FED282" s="1824"/>
      <c r="FEE282" s="1824"/>
      <c r="FEF282" s="1824"/>
      <c r="FEG282" s="1824"/>
      <c r="FEH282" s="1824"/>
      <c r="FEI282" s="1824"/>
      <c r="FEJ282" s="1824"/>
      <c r="FEK282" s="1824"/>
      <c r="FEL282" s="1824"/>
      <c r="FEM282" s="1824"/>
      <c r="FEN282" s="1824"/>
      <c r="FEO282" s="1824"/>
      <c r="FEP282" s="1824"/>
      <c r="FEQ282" s="1824"/>
      <c r="FER282" s="1824"/>
      <c r="FES282" s="1824"/>
      <c r="FET282" s="1824"/>
      <c r="FEU282" s="1824"/>
      <c r="FEV282" s="1824"/>
      <c r="FEW282" s="1824"/>
      <c r="FEX282" s="1824"/>
      <c r="FEY282" s="1824"/>
      <c r="FEZ282" s="1824"/>
      <c r="FFA282" s="1824"/>
      <c r="FFB282" s="1824"/>
      <c r="FFC282" s="1824"/>
      <c r="FFD282" s="1824"/>
      <c r="FFE282" s="1824"/>
      <c r="FFF282" s="1824"/>
      <c r="FFG282" s="1824"/>
      <c r="FFH282" s="1824"/>
      <c r="FFI282" s="1824"/>
      <c r="FFJ282" s="1824"/>
      <c r="FFK282" s="1824"/>
      <c r="FFL282" s="1824"/>
      <c r="FFM282" s="1824"/>
      <c r="FFN282" s="1824"/>
      <c r="FFO282" s="1824"/>
      <c r="FFP282" s="1824"/>
      <c r="FFQ282" s="1824"/>
      <c r="FFR282" s="1824"/>
      <c r="FFS282" s="1824"/>
      <c r="FFT282" s="1824"/>
      <c r="FFU282" s="1824"/>
      <c r="FFV282" s="1824"/>
      <c r="FFW282" s="1824"/>
      <c r="FFX282" s="1824"/>
      <c r="FFY282" s="1824"/>
      <c r="FFZ282" s="1824"/>
      <c r="FGA282" s="1824"/>
      <c r="FGB282" s="1824"/>
      <c r="FGC282" s="1824"/>
      <c r="FGD282" s="1824"/>
      <c r="FGE282" s="1824"/>
      <c r="FGF282" s="1824"/>
      <c r="FGG282" s="1824"/>
      <c r="FGH282" s="1824"/>
      <c r="FGI282" s="1824"/>
      <c r="FGJ282" s="1824"/>
      <c r="FGK282" s="1824"/>
      <c r="FGL282" s="1824"/>
      <c r="FGM282" s="1824"/>
      <c r="FGN282" s="1824"/>
      <c r="FGO282" s="1824"/>
      <c r="FGP282" s="1824"/>
      <c r="FGQ282" s="1824"/>
      <c r="FGR282" s="1824"/>
      <c r="FGS282" s="1824"/>
      <c r="FGT282" s="1824"/>
      <c r="FGU282" s="1824"/>
      <c r="FGV282" s="1824"/>
      <c r="FGW282" s="1824"/>
      <c r="FGX282" s="1824"/>
      <c r="FGY282" s="1824"/>
      <c r="FGZ282" s="1824"/>
      <c r="FHA282" s="1824"/>
      <c r="FHB282" s="1824"/>
      <c r="FHC282" s="1824"/>
      <c r="FHD282" s="1824"/>
      <c r="FHE282" s="1824"/>
      <c r="FHF282" s="1824"/>
      <c r="FHG282" s="1824"/>
      <c r="FHH282" s="1824"/>
      <c r="FHI282" s="1824"/>
      <c r="FHJ282" s="1824"/>
      <c r="FHK282" s="1824"/>
      <c r="FHL282" s="1824"/>
      <c r="FHM282" s="1824"/>
      <c r="FHN282" s="1824"/>
      <c r="FHO282" s="1824"/>
      <c r="FHP282" s="1824"/>
      <c r="FHQ282" s="1824"/>
      <c r="FHR282" s="1824"/>
      <c r="FHS282" s="1824"/>
      <c r="FHT282" s="1824"/>
      <c r="FHU282" s="1824"/>
      <c r="FHV282" s="1824"/>
      <c r="FHW282" s="1824"/>
      <c r="FHX282" s="1824"/>
      <c r="FHY282" s="1824"/>
      <c r="FHZ282" s="1824"/>
      <c r="FIA282" s="1824"/>
      <c r="FIB282" s="1824"/>
      <c r="FIC282" s="1824"/>
      <c r="FID282" s="1824"/>
      <c r="FIE282" s="1824"/>
      <c r="FIF282" s="1824"/>
      <c r="FIG282" s="1824"/>
      <c r="FIH282" s="1824"/>
      <c r="FII282" s="1824"/>
      <c r="FIJ282" s="1824"/>
      <c r="FIK282" s="1824"/>
      <c r="FIL282" s="1824"/>
      <c r="FIM282" s="1824"/>
      <c r="FIN282" s="1824"/>
      <c r="FIO282" s="1824"/>
      <c r="FIP282" s="1824"/>
      <c r="FIQ282" s="1824"/>
      <c r="FIR282" s="1824"/>
      <c r="FIS282" s="1824"/>
      <c r="FIT282" s="1824"/>
      <c r="FIU282" s="1824"/>
      <c r="FIV282" s="1824"/>
      <c r="FIW282" s="1824"/>
      <c r="FIX282" s="1824"/>
      <c r="FIY282" s="1824"/>
      <c r="FIZ282" s="1824"/>
      <c r="FJA282" s="1824"/>
      <c r="FJB282" s="1824"/>
      <c r="FJC282" s="1824"/>
      <c r="FJD282" s="1824"/>
      <c r="FJE282" s="1824"/>
      <c r="FJF282" s="1824"/>
      <c r="FJG282" s="1824"/>
      <c r="FJH282" s="1824"/>
      <c r="FJI282" s="1824"/>
      <c r="FJJ282" s="1824"/>
      <c r="FJK282" s="1824"/>
      <c r="FJL282" s="1824"/>
      <c r="FJM282" s="1824"/>
      <c r="FJN282" s="1824"/>
      <c r="FJO282" s="1824"/>
      <c r="FJP282" s="1824"/>
      <c r="FJQ282" s="1824"/>
      <c r="FJR282" s="1824"/>
      <c r="FJS282" s="1824"/>
      <c r="FJT282" s="1824"/>
      <c r="FJU282" s="1824"/>
      <c r="FJV282" s="1824"/>
      <c r="FJW282" s="1824"/>
      <c r="FJX282" s="1824"/>
      <c r="FJY282" s="1824"/>
      <c r="FJZ282" s="1824"/>
      <c r="FKA282" s="1824"/>
      <c r="FKB282" s="1824"/>
      <c r="FKC282" s="1824"/>
      <c r="FKD282" s="1824"/>
      <c r="FKE282" s="1824"/>
      <c r="FKF282" s="1824"/>
      <c r="FKG282" s="1824"/>
      <c r="FKH282" s="1824"/>
      <c r="FKI282" s="1824"/>
      <c r="FKJ282" s="1824"/>
      <c r="FKK282" s="1824"/>
      <c r="FKL282" s="1824"/>
      <c r="FKM282" s="1824"/>
      <c r="FKN282" s="1824"/>
      <c r="FKO282" s="1824"/>
      <c r="FKP282" s="1824"/>
      <c r="FKQ282" s="1824"/>
      <c r="FKR282" s="1824"/>
      <c r="FKS282" s="1824"/>
      <c r="FKT282" s="1824"/>
      <c r="FKU282" s="1824"/>
      <c r="FKV282" s="1824"/>
      <c r="FKW282" s="1824"/>
      <c r="FKX282" s="1824"/>
      <c r="FKY282" s="1824"/>
      <c r="FKZ282" s="1824"/>
      <c r="FLA282" s="1824"/>
      <c r="FLB282" s="1824"/>
      <c r="FLC282" s="1824"/>
      <c r="FLD282" s="1824"/>
      <c r="FLE282" s="1824"/>
      <c r="FLF282" s="1824"/>
      <c r="FLG282" s="1824"/>
      <c r="FLH282" s="1824"/>
      <c r="FLI282" s="1824"/>
      <c r="FLJ282" s="1824"/>
      <c r="FLK282" s="1824"/>
      <c r="FLL282" s="1824"/>
      <c r="FLM282" s="1824"/>
      <c r="FLN282" s="1824"/>
      <c r="FLO282" s="1824"/>
      <c r="FLP282" s="1824"/>
      <c r="FLQ282" s="1824"/>
      <c r="FLR282" s="1824"/>
      <c r="FLS282" s="1824"/>
      <c r="FLT282" s="1824"/>
      <c r="FLU282" s="1824"/>
      <c r="FLV282" s="1824"/>
      <c r="FLW282" s="1824"/>
      <c r="FLX282" s="1824"/>
      <c r="FLY282" s="1824"/>
      <c r="FLZ282" s="1824"/>
      <c r="FMA282" s="1824"/>
      <c r="FMB282" s="1824"/>
      <c r="FMC282" s="1824"/>
      <c r="FMD282" s="1824"/>
      <c r="FME282" s="1824"/>
      <c r="FMF282" s="1824"/>
      <c r="FMG282" s="1824"/>
      <c r="FMH282" s="1824"/>
      <c r="FMI282" s="1824"/>
      <c r="FMJ282" s="1824"/>
      <c r="FMK282" s="1824"/>
      <c r="FML282" s="1824"/>
      <c r="FMM282" s="1824"/>
      <c r="FMN282" s="1824"/>
      <c r="FMO282" s="1824"/>
      <c r="FMP282" s="1824"/>
      <c r="FMQ282" s="1824"/>
      <c r="FMR282" s="1824"/>
      <c r="FMS282" s="1824"/>
      <c r="FMT282" s="1824"/>
      <c r="FMU282" s="1824"/>
      <c r="FMV282" s="1824"/>
      <c r="FMW282" s="1824"/>
      <c r="FMX282" s="1824"/>
      <c r="FMY282" s="1824"/>
      <c r="FMZ282" s="1824"/>
      <c r="FNA282" s="1824"/>
      <c r="FNB282" s="1824"/>
      <c r="FNC282" s="1824"/>
      <c r="FND282" s="1824"/>
      <c r="FNE282" s="1824"/>
      <c r="FNF282" s="1824"/>
      <c r="FNG282" s="1824"/>
      <c r="FNH282" s="1824"/>
      <c r="FNI282" s="1824"/>
      <c r="FNJ282" s="1824"/>
      <c r="FNK282" s="1824"/>
      <c r="FNL282" s="1824"/>
      <c r="FNM282" s="1824"/>
      <c r="FNN282" s="1824"/>
      <c r="FNO282" s="1824"/>
      <c r="FNP282" s="1824"/>
      <c r="FNQ282" s="1824"/>
      <c r="FNR282" s="1824"/>
      <c r="FNS282" s="1824"/>
      <c r="FNT282" s="1824"/>
      <c r="FNU282" s="1824"/>
      <c r="FNV282" s="1824"/>
      <c r="FNW282" s="1824"/>
      <c r="FNX282" s="1824"/>
      <c r="FNY282" s="1824"/>
      <c r="FNZ282" s="1824"/>
      <c r="FOA282" s="1824"/>
      <c r="FOB282" s="1824"/>
      <c r="FOC282" s="1824"/>
      <c r="FOD282" s="1824"/>
      <c r="FOE282" s="1824"/>
      <c r="FOF282" s="1824"/>
      <c r="FOG282" s="1824"/>
      <c r="FOH282" s="1824"/>
      <c r="FOI282" s="1824"/>
      <c r="FOJ282" s="1824"/>
      <c r="FOK282" s="1824"/>
      <c r="FOL282" s="1824"/>
      <c r="FOM282" s="1824"/>
      <c r="FON282" s="1824"/>
      <c r="FOO282" s="1824"/>
      <c r="FOP282" s="1824"/>
      <c r="FOQ282" s="1824"/>
      <c r="FOR282" s="1824"/>
      <c r="FOS282" s="1824"/>
      <c r="FOT282" s="1824"/>
      <c r="FOU282" s="1824"/>
      <c r="FOV282" s="1824"/>
      <c r="FOW282" s="1824"/>
      <c r="FOX282" s="1824"/>
      <c r="FOY282" s="1824"/>
      <c r="FOZ282" s="1824"/>
      <c r="FPA282" s="1824"/>
      <c r="FPB282" s="1824"/>
      <c r="FPC282" s="1824"/>
      <c r="FPD282" s="1824"/>
      <c r="FPE282" s="1824"/>
      <c r="FPF282" s="1824"/>
      <c r="FPG282" s="1824"/>
      <c r="FPH282" s="1824"/>
      <c r="FPI282" s="1824"/>
      <c r="FPJ282" s="1824"/>
      <c r="FPK282" s="1824"/>
      <c r="FPL282" s="1824"/>
      <c r="FPM282" s="1824"/>
      <c r="FPN282" s="1824"/>
      <c r="FPO282" s="1824"/>
      <c r="FPP282" s="1824"/>
      <c r="FPQ282" s="1824"/>
      <c r="FPR282" s="1824"/>
      <c r="FPS282" s="1824"/>
      <c r="FPT282" s="1824"/>
      <c r="FPU282" s="1824"/>
      <c r="FPV282" s="1824"/>
      <c r="FPW282" s="1824"/>
      <c r="FPX282" s="1824"/>
      <c r="FPY282" s="1824"/>
      <c r="FPZ282" s="1824"/>
      <c r="FQA282" s="1824"/>
      <c r="FQB282" s="1824"/>
      <c r="FQC282" s="1824"/>
      <c r="FQD282" s="1824"/>
      <c r="FQE282" s="1824"/>
      <c r="FQF282" s="1824"/>
      <c r="FQG282" s="1824"/>
      <c r="FQH282" s="1824"/>
      <c r="FQI282" s="1824"/>
      <c r="FQJ282" s="1824"/>
      <c r="FQK282" s="1824"/>
      <c r="FQL282" s="1824"/>
      <c r="FQM282" s="1824"/>
      <c r="FQN282" s="1824"/>
      <c r="FQO282" s="1824"/>
      <c r="FQP282" s="1824"/>
      <c r="FQQ282" s="1824"/>
      <c r="FQR282" s="1824"/>
      <c r="FQS282" s="1824"/>
      <c r="FQT282" s="1824"/>
      <c r="FQU282" s="1824"/>
      <c r="FQV282" s="1824"/>
      <c r="FQW282" s="1824"/>
      <c r="FQX282" s="1824"/>
      <c r="FQY282" s="1824"/>
      <c r="FQZ282" s="1824"/>
      <c r="FRA282" s="1824"/>
      <c r="FRB282" s="1824"/>
      <c r="FRC282" s="1824"/>
      <c r="FRD282" s="1824"/>
      <c r="FRE282" s="1824"/>
      <c r="FRF282" s="1824"/>
      <c r="FRG282" s="1824"/>
      <c r="FRH282" s="1824"/>
      <c r="FRI282" s="1824"/>
      <c r="FRJ282" s="1824"/>
      <c r="FRK282" s="1824"/>
      <c r="FRL282" s="1824"/>
      <c r="FRM282" s="1824"/>
      <c r="FRN282" s="1824"/>
      <c r="FRO282" s="1824"/>
      <c r="FRP282" s="1824"/>
      <c r="FRQ282" s="1824"/>
      <c r="FRR282" s="1824"/>
      <c r="FRS282" s="1824"/>
      <c r="FRT282" s="1824"/>
      <c r="FRU282" s="1824"/>
      <c r="FRV282" s="1824"/>
      <c r="FRW282" s="1824"/>
      <c r="FRX282" s="1824"/>
      <c r="FRY282" s="1824"/>
      <c r="FRZ282" s="1824"/>
      <c r="FSA282" s="1824"/>
      <c r="FSB282" s="1824"/>
      <c r="FSC282" s="1824"/>
      <c r="FSD282" s="1824"/>
      <c r="FSE282" s="1824"/>
      <c r="FSF282" s="1824"/>
      <c r="FSG282" s="1824"/>
      <c r="FSH282" s="1824"/>
      <c r="FSI282" s="1824"/>
      <c r="FSJ282" s="1824"/>
      <c r="FSK282" s="1824"/>
      <c r="FSL282" s="1824"/>
      <c r="FSM282" s="1824"/>
      <c r="FSN282" s="1824"/>
      <c r="FSO282" s="1824"/>
      <c r="FSP282" s="1824"/>
      <c r="FSQ282" s="1824"/>
      <c r="FSR282" s="1824"/>
      <c r="FSS282" s="1824"/>
      <c r="FST282" s="1824"/>
      <c r="FSU282" s="1824"/>
      <c r="FSV282" s="1824"/>
      <c r="FSW282" s="1824"/>
      <c r="FSX282" s="1824"/>
      <c r="FSY282" s="1824"/>
      <c r="FSZ282" s="1824"/>
      <c r="FTA282" s="1824"/>
      <c r="FTB282" s="1824"/>
      <c r="FTC282" s="1824"/>
      <c r="FTD282" s="1824"/>
      <c r="FTE282" s="1824"/>
      <c r="FTF282" s="1824"/>
      <c r="FTG282" s="1824"/>
      <c r="FTH282" s="1824"/>
      <c r="FTI282" s="1824"/>
      <c r="FTJ282" s="1824"/>
      <c r="FTK282" s="1824"/>
      <c r="FTL282" s="1824"/>
      <c r="FTM282" s="1824"/>
      <c r="FTN282" s="1824"/>
      <c r="FTO282" s="1824"/>
      <c r="FTP282" s="1824"/>
      <c r="FTQ282" s="1824"/>
      <c r="FTR282" s="1824"/>
      <c r="FTS282" s="1824"/>
      <c r="FTT282" s="1824"/>
      <c r="FTU282" s="1824"/>
      <c r="FTV282" s="1824"/>
      <c r="FTW282" s="1824"/>
      <c r="FTX282" s="1824"/>
      <c r="FTY282" s="1824"/>
      <c r="FTZ282" s="1824"/>
      <c r="FUA282" s="1824"/>
      <c r="FUB282" s="1824"/>
      <c r="FUC282" s="1824"/>
      <c r="FUD282" s="1824"/>
      <c r="FUE282" s="1824"/>
      <c r="FUF282" s="1824"/>
      <c r="FUG282" s="1824"/>
      <c r="FUH282" s="1824"/>
      <c r="FUI282" s="1824"/>
      <c r="FUJ282" s="1824"/>
      <c r="FUK282" s="1824"/>
      <c r="FUL282" s="1824"/>
      <c r="FUM282" s="1824"/>
      <c r="FUN282" s="1824"/>
      <c r="FUO282" s="1824"/>
      <c r="FUP282" s="1824"/>
      <c r="FUQ282" s="1824"/>
      <c r="FUR282" s="1824"/>
      <c r="FUS282" s="1824"/>
      <c r="FUT282" s="1824"/>
      <c r="FUU282" s="1824"/>
      <c r="FUV282" s="1824"/>
      <c r="FUW282" s="1824"/>
      <c r="FUX282" s="1824"/>
      <c r="FUY282" s="1824"/>
      <c r="FUZ282" s="1824"/>
      <c r="FVA282" s="1824"/>
      <c r="FVB282" s="1824"/>
      <c r="FVC282" s="1824"/>
      <c r="FVD282" s="1824"/>
      <c r="FVE282" s="1824"/>
      <c r="FVF282" s="1824"/>
      <c r="FVG282" s="1824"/>
      <c r="FVH282" s="1824"/>
      <c r="FVI282" s="1824"/>
      <c r="FVJ282" s="1824"/>
      <c r="FVK282" s="1824"/>
      <c r="FVL282" s="1824"/>
      <c r="FVM282" s="1824"/>
      <c r="FVN282" s="1824"/>
      <c r="FVO282" s="1824"/>
      <c r="FVP282" s="1824"/>
      <c r="FVQ282" s="1824"/>
      <c r="FVR282" s="1824"/>
      <c r="FVS282" s="1824"/>
      <c r="FVT282" s="1824"/>
      <c r="FVU282" s="1824"/>
      <c r="FVV282" s="1824"/>
      <c r="FVW282" s="1824"/>
      <c r="FVX282" s="1824"/>
      <c r="FVY282" s="1824"/>
      <c r="FVZ282" s="1824"/>
      <c r="FWA282" s="1824"/>
      <c r="FWB282" s="1824"/>
      <c r="FWC282" s="1824"/>
      <c r="FWD282" s="1824"/>
      <c r="FWE282" s="1824"/>
      <c r="FWF282" s="1824"/>
      <c r="FWG282" s="1824"/>
      <c r="FWH282" s="1824"/>
      <c r="FWI282" s="1824"/>
      <c r="FWJ282" s="1824"/>
      <c r="FWK282" s="1824"/>
      <c r="FWL282" s="1824"/>
      <c r="FWM282" s="1824"/>
      <c r="FWN282" s="1824"/>
      <c r="FWO282" s="1824"/>
      <c r="FWP282" s="1824"/>
      <c r="FWQ282" s="1824"/>
      <c r="FWR282" s="1824"/>
      <c r="FWS282" s="1824"/>
      <c r="FWT282" s="1824"/>
      <c r="FWU282" s="1824"/>
      <c r="FWV282" s="1824"/>
      <c r="FWW282" s="1824"/>
      <c r="FWX282" s="1824"/>
      <c r="FWY282" s="1824"/>
      <c r="FWZ282" s="1824"/>
      <c r="FXA282" s="1824"/>
      <c r="FXB282" s="1824"/>
      <c r="FXC282" s="1824"/>
      <c r="FXD282" s="1824"/>
      <c r="FXE282" s="1824"/>
      <c r="FXF282" s="1824"/>
      <c r="FXG282" s="1824"/>
      <c r="FXH282" s="1824"/>
      <c r="FXI282" s="1824"/>
      <c r="FXJ282" s="1824"/>
      <c r="FXK282" s="1824"/>
      <c r="FXL282" s="1824"/>
      <c r="FXM282" s="1824"/>
      <c r="FXN282" s="1824"/>
      <c r="FXO282" s="1824"/>
      <c r="FXP282" s="1824"/>
      <c r="FXQ282" s="1824"/>
      <c r="FXR282" s="1824"/>
      <c r="FXS282" s="1824"/>
      <c r="FXT282" s="1824"/>
      <c r="FXU282" s="1824"/>
      <c r="FXV282" s="1824"/>
      <c r="FXW282" s="1824"/>
      <c r="FXX282" s="1824"/>
      <c r="FXY282" s="1824"/>
      <c r="FXZ282" s="1824"/>
      <c r="FYA282" s="1824"/>
      <c r="FYB282" s="1824"/>
      <c r="FYC282" s="1824"/>
      <c r="FYD282" s="1824"/>
      <c r="FYE282" s="1824"/>
      <c r="FYF282" s="1824"/>
      <c r="FYG282" s="1824"/>
      <c r="FYH282" s="1824"/>
      <c r="FYI282" s="1824"/>
      <c r="FYJ282" s="1824"/>
      <c r="FYK282" s="1824"/>
      <c r="FYL282" s="1824"/>
      <c r="FYM282" s="1824"/>
      <c r="FYN282" s="1824"/>
      <c r="FYO282" s="1824"/>
      <c r="FYP282" s="1824"/>
      <c r="FYQ282" s="1824"/>
      <c r="FYR282" s="1824"/>
      <c r="FYS282" s="1824"/>
      <c r="FYT282" s="1824"/>
      <c r="FYU282" s="1824"/>
      <c r="FYV282" s="1824"/>
      <c r="FYW282" s="1824"/>
      <c r="FYX282" s="1824"/>
      <c r="FYY282" s="1824"/>
      <c r="FYZ282" s="1824"/>
      <c r="FZA282" s="1824"/>
      <c r="FZB282" s="1824"/>
      <c r="FZC282" s="1824"/>
      <c r="FZD282" s="1824"/>
      <c r="FZE282" s="1824"/>
      <c r="FZF282" s="1824"/>
      <c r="FZG282" s="1824"/>
      <c r="FZH282" s="1824"/>
      <c r="FZI282" s="1824"/>
      <c r="FZJ282" s="1824"/>
      <c r="FZK282" s="1824"/>
      <c r="FZL282" s="1824"/>
      <c r="FZM282" s="1824"/>
      <c r="FZN282" s="1824"/>
      <c r="FZO282" s="1824"/>
      <c r="FZP282" s="1824"/>
      <c r="FZQ282" s="1824"/>
      <c r="FZR282" s="1824"/>
      <c r="FZS282" s="1824"/>
      <c r="FZT282" s="1824"/>
      <c r="FZU282" s="1824"/>
      <c r="FZV282" s="1824"/>
      <c r="FZW282" s="1824"/>
      <c r="FZX282" s="1824"/>
      <c r="FZY282" s="1824"/>
      <c r="FZZ282" s="1824"/>
      <c r="GAA282" s="1824"/>
      <c r="GAB282" s="1824"/>
      <c r="GAC282" s="1824"/>
      <c r="GAD282" s="1824"/>
      <c r="GAE282" s="1824"/>
      <c r="GAF282" s="1824"/>
      <c r="GAG282" s="1824"/>
      <c r="GAH282" s="1824"/>
      <c r="GAI282" s="1824"/>
      <c r="GAJ282" s="1824"/>
      <c r="GAK282" s="1824"/>
      <c r="GAL282" s="1824"/>
      <c r="GAM282" s="1824"/>
      <c r="GAN282" s="1824"/>
      <c r="GAO282" s="1824"/>
      <c r="GAP282" s="1824"/>
      <c r="GAQ282" s="1824"/>
      <c r="GAR282" s="1824"/>
      <c r="GAS282" s="1824"/>
      <c r="GAT282" s="1824"/>
      <c r="GAU282" s="1824"/>
      <c r="GAV282" s="1824"/>
      <c r="GAW282" s="1824"/>
      <c r="GAX282" s="1824"/>
      <c r="GAY282" s="1824"/>
      <c r="GAZ282" s="1824"/>
      <c r="GBA282" s="1824"/>
      <c r="GBB282" s="1824"/>
      <c r="GBC282" s="1824"/>
      <c r="GBD282" s="1824"/>
      <c r="GBE282" s="1824"/>
      <c r="GBF282" s="1824"/>
      <c r="GBG282" s="1824"/>
      <c r="GBH282" s="1824"/>
      <c r="GBI282" s="1824"/>
      <c r="GBJ282" s="1824"/>
      <c r="GBK282" s="1824"/>
      <c r="GBL282" s="1824"/>
      <c r="GBM282" s="1824"/>
      <c r="GBN282" s="1824"/>
      <c r="GBO282" s="1824"/>
      <c r="GBP282" s="1824"/>
      <c r="GBQ282" s="1824"/>
      <c r="GBR282" s="1824"/>
      <c r="GBS282" s="1824"/>
      <c r="GBT282" s="1824"/>
      <c r="GBU282" s="1824"/>
      <c r="GBV282" s="1824"/>
      <c r="GBW282" s="1824"/>
      <c r="GBX282" s="1824"/>
      <c r="GBY282" s="1824"/>
      <c r="GBZ282" s="1824"/>
      <c r="GCA282" s="1824"/>
      <c r="GCB282" s="1824"/>
      <c r="GCC282" s="1824"/>
      <c r="GCD282" s="1824"/>
      <c r="GCE282" s="1824"/>
      <c r="GCF282" s="1824"/>
      <c r="GCG282" s="1824"/>
      <c r="GCH282" s="1824"/>
      <c r="GCI282" s="1824"/>
      <c r="GCJ282" s="1824"/>
      <c r="GCK282" s="1824"/>
      <c r="GCL282" s="1824"/>
      <c r="GCM282" s="1824"/>
      <c r="GCN282" s="1824"/>
      <c r="GCO282" s="1824"/>
      <c r="GCP282" s="1824"/>
      <c r="GCQ282" s="1824"/>
      <c r="GCR282" s="1824"/>
      <c r="GCS282" s="1824"/>
      <c r="GCT282" s="1824"/>
      <c r="GCU282" s="1824"/>
      <c r="GCV282" s="1824"/>
      <c r="GCW282" s="1824"/>
      <c r="GCX282" s="1824"/>
      <c r="GCY282" s="1824"/>
      <c r="GCZ282" s="1824"/>
      <c r="GDA282" s="1824"/>
      <c r="GDB282" s="1824"/>
      <c r="GDC282" s="1824"/>
      <c r="GDD282" s="1824"/>
      <c r="GDE282" s="1824"/>
      <c r="GDF282" s="1824"/>
      <c r="GDG282" s="1824"/>
      <c r="GDH282" s="1824"/>
      <c r="GDI282" s="1824"/>
      <c r="GDJ282" s="1824"/>
      <c r="GDK282" s="1824"/>
      <c r="GDL282" s="1824"/>
      <c r="GDM282" s="1824"/>
      <c r="GDN282" s="1824"/>
      <c r="GDO282" s="1824"/>
      <c r="GDP282" s="1824"/>
      <c r="GDQ282" s="1824"/>
      <c r="GDR282" s="1824"/>
      <c r="GDS282" s="1824"/>
      <c r="GDT282" s="1824"/>
      <c r="GDU282" s="1824"/>
      <c r="GDV282" s="1824"/>
      <c r="GDW282" s="1824"/>
      <c r="GDX282" s="1824"/>
      <c r="GDY282" s="1824"/>
      <c r="GDZ282" s="1824"/>
      <c r="GEA282" s="1824"/>
      <c r="GEB282" s="1824"/>
      <c r="GEC282" s="1824"/>
      <c r="GED282" s="1824"/>
      <c r="GEE282" s="1824"/>
      <c r="GEF282" s="1824"/>
      <c r="GEG282" s="1824"/>
      <c r="GEH282" s="1824"/>
      <c r="GEI282" s="1824"/>
      <c r="GEJ282" s="1824"/>
      <c r="GEK282" s="1824"/>
      <c r="GEL282" s="1824"/>
      <c r="GEM282" s="1824"/>
      <c r="GEN282" s="1824"/>
      <c r="GEO282" s="1824"/>
      <c r="GEP282" s="1824"/>
      <c r="GEQ282" s="1824"/>
      <c r="GER282" s="1824"/>
      <c r="GES282" s="1824"/>
      <c r="GET282" s="1824"/>
      <c r="GEU282" s="1824"/>
      <c r="GEV282" s="1824"/>
      <c r="GEW282" s="1824"/>
      <c r="GEX282" s="1824"/>
      <c r="GEY282" s="1824"/>
      <c r="GEZ282" s="1824"/>
      <c r="GFA282" s="1824"/>
      <c r="GFB282" s="1824"/>
      <c r="GFC282" s="1824"/>
      <c r="GFD282" s="1824"/>
      <c r="GFE282" s="1824"/>
      <c r="GFF282" s="1824"/>
      <c r="GFG282" s="1824"/>
      <c r="GFH282" s="1824"/>
      <c r="GFI282" s="1824"/>
      <c r="GFJ282" s="1824"/>
      <c r="GFK282" s="1824"/>
      <c r="GFL282" s="1824"/>
      <c r="GFM282" s="1824"/>
      <c r="GFN282" s="1824"/>
      <c r="GFO282" s="1824"/>
      <c r="GFP282" s="1824"/>
      <c r="GFQ282" s="1824"/>
      <c r="GFR282" s="1824"/>
      <c r="GFS282" s="1824"/>
      <c r="GFT282" s="1824"/>
      <c r="GFU282" s="1824"/>
      <c r="GFV282" s="1824"/>
      <c r="GFW282" s="1824"/>
      <c r="GFX282" s="1824"/>
      <c r="GFY282" s="1824"/>
      <c r="GFZ282" s="1824"/>
      <c r="GGA282" s="1824"/>
      <c r="GGB282" s="1824"/>
      <c r="GGC282" s="1824"/>
      <c r="GGD282" s="1824"/>
      <c r="GGE282" s="1824"/>
      <c r="GGF282" s="1824"/>
      <c r="GGG282" s="1824"/>
      <c r="GGH282" s="1824"/>
      <c r="GGI282" s="1824"/>
      <c r="GGJ282" s="1824"/>
      <c r="GGK282" s="1824"/>
      <c r="GGL282" s="1824"/>
      <c r="GGM282" s="1824"/>
      <c r="GGN282" s="1824"/>
      <c r="GGO282" s="1824"/>
      <c r="GGP282" s="1824"/>
      <c r="GGQ282" s="1824"/>
      <c r="GGR282" s="1824"/>
      <c r="GGS282" s="1824"/>
      <c r="GGT282" s="1824"/>
      <c r="GGU282" s="1824"/>
      <c r="GGV282" s="1824"/>
      <c r="GGW282" s="1824"/>
      <c r="GGX282" s="1824"/>
      <c r="GGY282" s="1824"/>
      <c r="GGZ282" s="1824"/>
      <c r="GHA282" s="1824"/>
      <c r="GHB282" s="1824"/>
      <c r="GHC282" s="1824"/>
      <c r="GHD282" s="1824"/>
      <c r="GHE282" s="1824"/>
      <c r="GHF282" s="1824"/>
      <c r="GHG282" s="1824"/>
      <c r="GHH282" s="1824"/>
      <c r="GHI282" s="1824"/>
      <c r="GHJ282" s="1824"/>
      <c r="GHK282" s="1824"/>
      <c r="GHL282" s="1824"/>
      <c r="GHM282" s="1824"/>
      <c r="GHN282" s="1824"/>
      <c r="GHO282" s="1824"/>
      <c r="GHP282" s="1824"/>
      <c r="GHQ282" s="1824"/>
      <c r="GHR282" s="1824"/>
      <c r="GHS282" s="1824"/>
      <c r="GHT282" s="1824"/>
      <c r="GHU282" s="1824"/>
      <c r="GHV282" s="1824"/>
      <c r="GHW282" s="1824"/>
      <c r="GHX282" s="1824"/>
      <c r="GHY282" s="1824"/>
      <c r="GHZ282" s="1824"/>
      <c r="GIA282" s="1824"/>
      <c r="GIB282" s="1824"/>
      <c r="GIC282" s="1824"/>
      <c r="GID282" s="1824"/>
      <c r="GIE282" s="1824"/>
      <c r="GIF282" s="1824"/>
      <c r="GIG282" s="1824"/>
      <c r="GIH282" s="1824"/>
      <c r="GII282" s="1824"/>
      <c r="GIJ282" s="1824"/>
      <c r="GIK282" s="1824"/>
      <c r="GIL282" s="1824"/>
      <c r="GIM282" s="1824"/>
      <c r="GIN282" s="1824"/>
      <c r="GIO282" s="1824"/>
      <c r="GIP282" s="1824"/>
      <c r="GIQ282" s="1824"/>
      <c r="GIR282" s="1824"/>
      <c r="GIS282" s="1824"/>
      <c r="GIT282" s="1824"/>
      <c r="GIU282" s="1824"/>
      <c r="GIV282" s="1824"/>
      <c r="GIW282" s="1824"/>
      <c r="GIX282" s="1824"/>
      <c r="GIY282" s="1824"/>
      <c r="GIZ282" s="1824"/>
      <c r="GJA282" s="1824"/>
      <c r="GJB282" s="1824"/>
      <c r="GJC282" s="1824"/>
      <c r="GJD282" s="1824"/>
      <c r="GJE282" s="1824"/>
      <c r="GJF282" s="1824"/>
      <c r="GJG282" s="1824"/>
      <c r="GJH282" s="1824"/>
      <c r="GJI282" s="1824"/>
      <c r="GJJ282" s="1824"/>
      <c r="GJK282" s="1824"/>
      <c r="GJL282" s="1824"/>
      <c r="GJM282" s="1824"/>
      <c r="GJN282" s="1824"/>
      <c r="GJO282" s="1824"/>
      <c r="GJP282" s="1824"/>
      <c r="GJQ282" s="1824"/>
      <c r="GJR282" s="1824"/>
      <c r="GJS282" s="1824"/>
      <c r="GJT282" s="1824"/>
      <c r="GJU282" s="1824"/>
      <c r="GJV282" s="1824"/>
      <c r="GJW282" s="1824"/>
      <c r="GJX282" s="1824"/>
      <c r="GJY282" s="1824"/>
      <c r="GJZ282" s="1824"/>
      <c r="GKA282" s="1824"/>
      <c r="GKB282" s="1824"/>
      <c r="GKC282" s="1824"/>
      <c r="GKD282" s="1824"/>
      <c r="GKE282" s="1824"/>
      <c r="GKF282" s="1824"/>
      <c r="GKG282" s="1824"/>
      <c r="GKH282" s="1824"/>
      <c r="GKI282" s="1824"/>
      <c r="GKJ282" s="1824"/>
      <c r="GKK282" s="1824"/>
      <c r="GKL282" s="1824"/>
      <c r="GKM282" s="1824"/>
      <c r="GKN282" s="1824"/>
      <c r="GKO282" s="1824"/>
      <c r="GKP282" s="1824"/>
      <c r="GKQ282" s="1824"/>
      <c r="GKR282" s="1824"/>
      <c r="GKS282" s="1824"/>
      <c r="GKT282" s="1824"/>
      <c r="GKU282" s="1824"/>
      <c r="GKV282" s="1824"/>
      <c r="GKW282" s="1824"/>
      <c r="GKX282" s="1824"/>
      <c r="GKY282" s="1824"/>
      <c r="GKZ282" s="1824"/>
      <c r="GLA282" s="1824"/>
      <c r="GLB282" s="1824"/>
      <c r="GLC282" s="1824"/>
      <c r="GLD282" s="1824"/>
      <c r="GLE282" s="1824"/>
      <c r="GLF282" s="1824"/>
      <c r="GLG282" s="1824"/>
      <c r="GLH282" s="1824"/>
      <c r="GLI282" s="1824"/>
      <c r="GLJ282" s="1824"/>
      <c r="GLK282" s="1824"/>
      <c r="GLL282" s="1824"/>
      <c r="GLM282" s="1824"/>
      <c r="GLN282" s="1824"/>
      <c r="GLO282" s="1824"/>
      <c r="GLP282" s="1824"/>
      <c r="GLQ282" s="1824"/>
      <c r="GLR282" s="1824"/>
      <c r="GLS282" s="1824"/>
      <c r="GLT282" s="1824"/>
      <c r="GLU282" s="1824"/>
      <c r="GLV282" s="1824"/>
      <c r="GLW282" s="1824"/>
      <c r="GLX282" s="1824"/>
      <c r="GLY282" s="1824"/>
      <c r="GLZ282" s="1824"/>
      <c r="GMA282" s="1824"/>
      <c r="GMB282" s="1824"/>
      <c r="GMC282" s="1824"/>
      <c r="GMD282" s="1824"/>
      <c r="GME282" s="1824"/>
      <c r="GMF282" s="1824"/>
      <c r="GMG282" s="1824"/>
      <c r="GMH282" s="1824"/>
      <c r="GMI282" s="1824"/>
      <c r="GMJ282" s="1824"/>
      <c r="GMK282" s="1824"/>
      <c r="GML282" s="1824"/>
      <c r="GMM282" s="1824"/>
      <c r="GMN282" s="1824"/>
      <c r="GMO282" s="1824"/>
      <c r="GMP282" s="1824"/>
      <c r="GMQ282" s="1824"/>
      <c r="GMR282" s="1824"/>
      <c r="GMS282" s="1824"/>
      <c r="GMT282" s="1824"/>
      <c r="GMU282" s="1824"/>
      <c r="GMV282" s="1824"/>
      <c r="GMW282" s="1824"/>
      <c r="GMX282" s="1824"/>
      <c r="GMY282" s="1824"/>
      <c r="GMZ282" s="1824"/>
      <c r="GNA282" s="1824"/>
      <c r="GNB282" s="1824"/>
      <c r="GNC282" s="1824"/>
      <c r="GND282" s="1824"/>
      <c r="GNE282" s="1824"/>
      <c r="GNF282" s="1824"/>
      <c r="GNG282" s="1824"/>
      <c r="GNH282" s="1824"/>
      <c r="GNI282" s="1824"/>
      <c r="GNJ282" s="1824"/>
      <c r="GNK282" s="1824"/>
      <c r="GNL282" s="1824"/>
      <c r="GNM282" s="1824"/>
      <c r="GNN282" s="1824"/>
      <c r="GNO282" s="1824"/>
      <c r="GNP282" s="1824"/>
      <c r="GNQ282" s="1824"/>
      <c r="GNR282" s="1824"/>
      <c r="GNS282" s="1824"/>
      <c r="GNT282" s="1824"/>
      <c r="GNU282" s="1824"/>
      <c r="GNV282" s="1824"/>
      <c r="GNW282" s="1824"/>
      <c r="GNX282" s="1824"/>
      <c r="GNY282" s="1824"/>
      <c r="GNZ282" s="1824"/>
      <c r="GOA282" s="1824"/>
      <c r="GOB282" s="1824"/>
      <c r="GOC282" s="1824"/>
      <c r="GOD282" s="1824"/>
      <c r="GOE282" s="1824"/>
      <c r="GOF282" s="1824"/>
      <c r="GOG282" s="1824"/>
      <c r="GOH282" s="1824"/>
      <c r="GOI282" s="1824"/>
      <c r="GOJ282" s="1824"/>
      <c r="GOK282" s="1824"/>
      <c r="GOL282" s="1824"/>
      <c r="GOM282" s="1824"/>
      <c r="GON282" s="1824"/>
      <c r="GOO282" s="1824"/>
      <c r="GOP282" s="1824"/>
      <c r="GOQ282" s="1824"/>
      <c r="GOR282" s="1824"/>
      <c r="GOS282" s="1824"/>
      <c r="GOT282" s="1824"/>
      <c r="GOU282" s="1824"/>
      <c r="GOV282" s="1824"/>
      <c r="GOW282" s="1824"/>
      <c r="GOX282" s="1824"/>
      <c r="GOY282" s="1824"/>
      <c r="GOZ282" s="1824"/>
      <c r="GPA282" s="1824"/>
      <c r="GPB282" s="1824"/>
      <c r="GPC282" s="1824"/>
      <c r="GPD282" s="1824"/>
      <c r="GPE282" s="1824"/>
      <c r="GPF282" s="1824"/>
      <c r="GPG282" s="1824"/>
      <c r="GPH282" s="1824"/>
      <c r="GPI282" s="1824"/>
      <c r="GPJ282" s="1824"/>
      <c r="GPK282" s="1824"/>
      <c r="GPL282" s="1824"/>
      <c r="GPM282" s="1824"/>
      <c r="GPN282" s="1824"/>
      <c r="GPO282" s="1824"/>
      <c r="GPP282" s="1824"/>
      <c r="GPQ282" s="1824"/>
      <c r="GPR282" s="1824"/>
      <c r="GPS282" s="1824"/>
      <c r="GPT282" s="1824"/>
      <c r="GPU282" s="1824"/>
      <c r="GPV282" s="1824"/>
      <c r="GPW282" s="1824"/>
      <c r="GPX282" s="1824"/>
      <c r="GPY282" s="1824"/>
      <c r="GPZ282" s="1824"/>
      <c r="GQA282" s="1824"/>
      <c r="GQB282" s="1824"/>
      <c r="GQC282" s="1824"/>
      <c r="GQD282" s="1824"/>
      <c r="GQE282" s="1824"/>
      <c r="GQF282" s="1824"/>
      <c r="GQG282" s="1824"/>
      <c r="GQH282" s="1824"/>
      <c r="GQI282" s="1824"/>
      <c r="GQJ282" s="1824"/>
      <c r="GQK282" s="1824"/>
      <c r="GQL282" s="1824"/>
      <c r="GQM282" s="1824"/>
      <c r="GQN282" s="1824"/>
      <c r="GQO282" s="1824"/>
      <c r="GQP282" s="1824"/>
      <c r="GQQ282" s="1824"/>
      <c r="GQR282" s="1824"/>
      <c r="GQS282" s="1824"/>
      <c r="GQT282" s="1824"/>
      <c r="GQU282" s="1824"/>
      <c r="GQV282" s="1824"/>
      <c r="GQW282" s="1824"/>
      <c r="GQX282" s="1824"/>
      <c r="GQY282" s="1824"/>
      <c r="GQZ282" s="1824"/>
      <c r="GRA282" s="1824"/>
      <c r="GRB282" s="1824"/>
      <c r="GRC282" s="1824"/>
      <c r="GRD282" s="1824"/>
      <c r="GRE282" s="1824"/>
      <c r="GRF282" s="1824"/>
      <c r="GRG282" s="1824"/>
      <c r="GRH282" s="1824"/>
      <c r="GRI282" s="1824"/>
      <c r="GRJ282" s="1824"/>
      <c r="GRK282" s="1824"/>
      <c r="GRL282" s="1824"/>
      <c r="GRM282" s="1824"/>
      <c r="GRN282" s="1824"/>
      <c r="GRO282" s="1824"/>
      <c r="GRP282" s="1824"/>
      <c r="GRQ282" s="1824"/>
      <c r="GRR282" s="1824"/>
      <c r="GRS282" s="1824"/>
      <c r="GRT282" s="1824"/>
      <c r="GRU282" s="1824"/>
      <c r="GRV282" s="1824"/>
      <c r="GRW282" s="1824"/>
      <c r="GRX282" s="1824"/>
      <c r="GRY282" s="1824"/>
      <c r="GRZ282" s="1824"/>
      <c r="GSA282" s="1824"/>
      <c r="GSB282" s="1824"/>
      <c r="GSC282" s="1824"/>
      <c r="GSD282" s="1824"/>
      <c r="GSE282" s="1824"/>
      <c r="GSF282" s="1824"/>
      <c r="GSG282" s="1824"/>
      <c r="GSH282" s="1824"/>
      <c r="GSI282" s="1824"/>
      <c r="GSJ282" s="1824"/>
      <c r="GSK282" s="1824"/>
      <c r="GSL282" s="1824"/>
      <c r="GSM282" s="1824"/>
      <c r="GSN282" s="1824"/>
      <c r="GSO282" s="1824"/>
      <c r="GSP282" s="1824"/>
      <c r="GSQ282" s="1824"/>
      <c r="GSR282" s="1824"/>
      <c r="GSS282" s="1824"/>
      <c r="GST282" s="1824"/>
      <c r="GSU282" s="1824"/>
      <c r="GSV282" s="1824"/>
      <c r="GSW282" s="1824"/>
      <c r="GSX282" s="1824"/>
      <c r="GSY282" s="1824"/>
      <c r="GSZ282" s="1824"/>
      <c r="GTA282" s="1824"/>
      <c r="GTB282" s="1824"/>
      <c r="GTC282" s="1824"/>
      <c r="GTD282" s="1824"/>
      <c r="GTE282" s="1824"/>
      <c r="GTF282" s="1824"/>
      <c r="GTG282" s="1824"/>
      <c r="GTH282" s="1824"/>
      <c r="GTI282" s="1824"/>
      <c r="GTJ282" s="1824"/>
      <c r="GTK282" s="1824"/>
      <c r="GTL282" s="1824"/>
      <c r="GTM282" s="1824"/>
      <c r="GTN282" s="1824"/>
      <c r="GTO282" s="1824"/>
      <c r="GTP282" s="1824"/>
      <c r="GTQ282" s="1824"/>
      <c r="GTR282" s="1824"/>
      <c r="GTS282" s="1824"/>
      <c r="GTT282" s="1824"/>
      <c r="GTU282" s="1824"/>
      <c r="GTV282" s="1824"/>
      <c r="GTW282" s="1824"/>
      <c r="GTX282" s="1824"/>
      <c r="GTY282" s="1824"/>
      <c r="GTZ282" s="1824"/>
      <c r="GUA282" s="1824"/>
      <c r="GUB282" s="1824"/>
      <c r="GUC282" s="1824"/>
      <c r="GUD282" s="1824"/>
      <c r="GUE282" s="1824"/>
      <c r="GUF282" s="1824"/>
      <c r="GUG282" s="1824"/>
      <c r="GUH282" s="1824"/>
      <c r="GUI282" s="1824"/>
      <c r="GUJ282" s="1824"/>
      <c r="GUK282" s="1824"/>
      <c r="GUL282" s="1824"/>
      <c r="GUM282" s="1824"/>
      <c r="GUN282" s="1824"/>
      <c r="GUO282" s="1824"/>
      <c r="GUP282" s="1824"/>
      <c r="GUQ282" s="1824"/>
      <c r="GUR282" s="1824"/>
      <c r="GUS282" s="1824"/>
      <c r="GUT282" s="1824"/>
      <c r="GUU282" s="1824"/>
      <c r="GUV282" s="1824"/>
      <c r="GUW282" s="1824"/>
      <c r="GUX282" s="1824"/>
      <c r="GUY282" s="1824"/>
      <c r="GUZ282" s="1824"/>
      <c r="GVA282" s="1824"/>
      <c r="GVB282" s="1824"/>
      <c r="GVC282" s="1824"/>
      <c r="GVD282" s="1824"/>
      <c r="GVE282" s="1824"/>
      <c r="GVF282" s="1824"/>
      <c r="GVG282" s="1824"/>
      <c r="GVH282" s="1824"/>
      <c r="GVI282" s="1824"/>
      <c r="GVJ282" s="1824"/>
      <c r="GVK282" s="1824"/>
      <c r="GVL282" s="1824"/>
      <c r="GVM282" s="1824"/>
      <c r="GVN282" s="1824"/>
      <c r="GVO282" s="1824"/>
      <c r="GVP282" s="1824"/>
      <c r="GVQ282" s="1824"/>
      <c r="GVR282" s="1824"/>
      <c r="GVS282" s="1824"/>
      <c r="GVT282" s="1824"/>
      <c r="GVU282" s="1824"/>
      <c r="GVV282" s="1824"/>
      <c r="GVW282" s="1824"/>
      <c r="GVX282" s="1824"/>
      <c r="GVY282" s="1824"/>
      <c r="GVZ282" s="1824"/>
      <c r="GWA282" s="1824"/>
      <c r="GWB282" s="1824"/>
      <c r="GWC282" s="1824"/>
      <c r="GWD282" s="1824"/>
      <c r="GWE282" s="1824"/>
      <c r="GWF282" s="1824"/>
      <c r="GWG282" s="1824"/>
      <c r="GWH282" s="1824"/>
      <c r="GWI282" s="1824"/>
      <c r="GWJ282" s="1824"/>
      <c r="GWK282" s="1824"/>
      <c r="GWL282" s="1824"/>
      <c r="GWM282" s="1824"/>
      <c r="GWN282" s="1824"/>
      <c r="GWO282" s="1824"/>
      <c r="GWP282" s="1824"/>
      <c r="GWQ282" s="1824"/>
      <c r="GWR282" s="1824"/>
      <c r="GWS282" s="1824"/>
      <c r="GWT282" s="1824"/>
      <c r="GWU282" s="1824"/>
      <c r="GWV282" s="1824"/>
      <c r="GWW282" s="1824"/>
      <c r="GWX282" s="1824"/>
      <c r="GWY282" s="1824"/>
      <c r="GWZ282" s="1824"/>
      <c r="GXA282" s="1824"/>
      <c r="GXB282" s="1824"/>
      <c r="GXC282" s="1824"/>
      <c r="GXD282" s="1824"/>
      <c r="GXE282" s="1824"/>
      <c r="GXF282" s="1824"/>
      <c r="GXG282" s="1824"/>
      <c r="GXH282" s="1824"/>
      <c r="GXI282" s="1824"/>
      <c r="GXJ282" s="1824"/>
      <c r="GXK282" s="1824"/>
      <c r="GXL282" s="1824"/>
      <c r="GXM282" s="1824"/>
      <c r="GXN282" s="1824"/>
      <c r="GXO282" s="1824"/>
      <c r="GXP282" s="1824"/>
      <c r="GXQ282" s="1824"/>
      <c r="GXR282" s="1824"/>
      <c r="GXS282" s="1824"/>
      <c r="GXT282" s="1824"/>
      <c r="GXU282" s="1824"/>
      <c r="GXV282" s="1824"/>
      <c r="GXW282" s="1824"/>
      <c r="GXX282" s="1824"/>
      <c r="GXY282" s="1824"/>
      <c r="GXZ282" s="1824"/>
      <c r="GYA282" s="1824"/>
      <c r="GYB282" s="1824"/>
      <c r="GYC282" s="1824"/>
      <c r="GYD282" s="1824"/>
      <c r="GYE282" s="1824"/>
      <c r="GYF282" s="1824"/>
      <c r="GYG282" s="1824"/>
      <c r="GYH282" s="1824"/>
      <c r="GYI282" s="1824"/>
      <c r="GYJ282" s="1824"/>
      <c r="GYK282" s="1824"/>
      <c r="GYL282" s="1824"/>
      <c r="GYM282" s="1824"/>
      <c r="GYN282" s="1824"/>
      <c r="GYO282" s="1824"/>
      <c r="GYP282" s="1824"/>
      <c r="GYQ282" s="1824"/>
      <c r="GYR282" s="1824"/>
      <c r="GYS282" s="1824"/>
      <c r="GYT282" s="1824"/>
      <c r="GYU282" s="1824"/>
      <c r="GYV282" s="1824"/>
      <c r="GYW282" s="1824"/>
      <c r="GYX282" s="1824"/>
      <c r="GYY282" s="1824"/>
      <c r="GYZ282" s="1824"/>
      <c r="GZA282" s="1824"/>
      <c r="GZB282" s="1824"/>
      <c r="GZC282" s="1824"/>
      <c r="GZD282" s="1824"/>
      <c r="GZE282" s="1824"/>
      <c r="GZF282" s="1824"/>
      <c r="GZG282" s="1824"/>
      <c r="GZH282" s="1824"/>
      <c r="GZI282" s="1824"/>
      <c r="GZJ282" s="1824"/>
      <c r="GZK282" s="1824"/>
      <c r="GZL282" s="1824"/>
      <c r="GZM282" s="1824"/>
      <c r="GZN282" s="1824"/>
      <c r="GZO282" s="1824"/>
      <c r="GZP282" s="1824"/>
      <c r="GZQ282" s="1824"/>
      <c r="GZR282" s="1824"/>
      <c r="GZS282" s="1824"/>
      <c r="GZT282" s="1824"/>
      <c r="GZU282" s="1824"/>
      <c r="GZV282" s="1824"/>
      <c r="GZW282" s="1824"/>
      <c r="GZX282" s="1824"/>
      <c r="GZY282" s="1824"/>
      <c r="GZZ282" s="1824"/>
      <c r="HAA282" s="1824"/>
      <c r="HAB282" s="1824"/>
      <c r="HAC282" s="1824"/>
      <c r="HAD282" s="1824"/>
      <c r="HAE282" s="1824"/>
      <c r="HAF282" s="1824"/>
      <c r="HAG282" s="1824"/>
      <c r="HAH282" s="1824"/>
      <c r="HAI282" s="1824"/>
      <c r="HAJ282" s="1824"/>
      <c r="HAK282" s="1824"/>
      <c r="HAL282" s="1824"/>
      <c r="HAM282" s="1824"/>
      <c r="HAN282" s="1824"/>
      <c r="HAO282" s="1824"/>
      <c r="HAP282" s="1824"/>
      <c r="HAQ282" s="1824"/>
      <c r="HAR282" s="1824"/>
      <c r="HAS282" s="1824"/>
      <c r="HAT282" s="1824"/>
      <c r="HAU282" s="1824"/>
      <c r="HAV282" s="1824"/>
      <c r="HAW282" s="1824"/>
      <c r="HAX282" s="1824"/>
      <c r="HAY282" s="1824"/>
      <c r="HAZ282" s="1824"/>
      <c r="HBA282" s="1824"/>
      <c r="HBB282" s="1824"/>
      <c r="HBC282" s="1824"/>
      <c r="HBD282" s="1824"/>
      <c r="HBE282" s="1824"/>
      <c r="HBF282" s="1824"/>
      <c r="HBG282" s="1824"/>
      <c r="HBH282" s="1824"/>
      <c r="HBI282" s="1824"/>
      <c r="HBJ282" s="1824"/>
      <c r="HBK282" s="1824"/>
      <c r="HBL282" s="1824"/>
      <c r="HBM282" s="1824"/>
      <c r="HBN282" s="1824"/>
      <c r="HBO282" s="1824"/>
      <c r="HBP282" s="1824"/>
      <c r="HBQ282" s="1824"/>
      <c r="HBR282" s="1824"/>
      <c r="HBS282" s="1824"/>
      <c r="HBT282" s="1824"/>
      <c r="HBU282" s="1824"/>
      <c r="HBV282" s="1824"/>
      <c r="HBW282" s="1824"/>
      <c r="HBX282" s="1824"/>
      <c r="HBY282" s="1824"/>
      <c r="HBZ282" s="1824"/>
      <c r="HCA282" s="1824"/>
      <c r="HCB282" s="1824"/>
      <c r="HCC282" s="1824"/>
      <c r="HCD282" s="1824"/>
      <c r="HCE282" s="1824"/>
      <c r="HCF282" s="1824"/>
      <c r="HCG282" s="1824"/>
      <c r="HCH282" s="1824"/>
      <c r="HCI282" s="1824"/>
      <c r="HCJ282" s="1824"/>
      <c r="HCK282" s="1824"/>
      <c r="HCL282" s="1824"/>
      <c r="HCM282" s="1824"/>
      <c r="HCN282" s="1824"/>
      <c r="HCO282" s="1824"/>
      <c r="HCP282" s="1824"/>
      <c r="HCQ282" s="1824"/>
      <c r="HCR282" s="1824"/>
      <c r="HCS282" s="1824"/>
      <c r="HCT282" s="1824"/>
      <c r="HCU282" s="1824"/>
      <c r="HCV282" s="1824"/>
      <c r="HCW282" s="1824"/>
      <c r="HCX282" s="1824"/>
      <c r="HCY282" s="1824"/>
      <c r="HCZ282" s="1824"/>
      <c r="HDA282" s="1824"/>
      <c r="HDB282" s="1824"/>
      <c r="HDC282" s="1824"/>
      <c r="HDD282" s="1824"/>
      <c r="HDE282" s="1824"/>
      <c r="HDF282" s="1824"/>
      <c r="HDG282" s="1824"/>
      <c r="HDH282" s="1824"/>
      <c r="HDI282" s="1824"/>
      <c r="HDJ282" s="1824"/>
      <c r="HDK282" s="1824"/>
      <c r="HDL282" s="1824"/>
      <c r="HDM282" s="1824"/>
      <c r="HDN282" s="1824"/>
      <c r="HDO282" s="1824"/>
      <c r="HDP282" s="1824"/>
      <c r="HDQ282" s="1824"/>
      <c r="HDR282" s="1824"/>
      <c r="HDS282" s="1824"/>
      <c r="HDT282" s="1824"/>
      <c r="HDU282" s="1824"/>
      <c r="HDV282" s="1824"/>
      <c r="HDW282" s="1824"/>
      <c r="HDX282" s="1824"/>
      <c r="HDY282" s="1824"/>
      <c r="HDZ282" s="1824"/>
      <c r="HEA282" s="1824"/>
      <c r="HEB282" s="1824"/>
      <c r="HEC282" s="1824"/>
      <c r="HED282" s="1824"/>
      <c r="HEE282" s="1824"/>
      <c r="HEF282" s="1824"/>
      <c r="HEG282" s="1824"/>
      <c r="HEH282" s="1824"/>
      <c r="HEI282" s="1824"/>
      <c r="HEJ282" s="1824"/>
      <c r="HEK282" s="1824"/>
      <c r="HEL282" s="1824"/>
      <c r="HEM282" s="1824"/>
      <c r="HEN282" s="1824"/>
      <c r="HEO282" s="1824"/>
      <c r="HEP282" s="1824"/>
      <c r="HEQ282" s="1824"/>
      <c r="HER282" s="1824"/>
      <c r="HES282" s="1824"/>
      <c r="HET282" s="1824"/>
      <c r="HEU282" s="1824"/>
      <c r="HEV282" s="1824"/>
      <c r="HEW282" s="1824"/>
      <c r="HEX282" s="1824"/>
      <c r="HEY282" s="1824"/>
      <c r="HEZ282" s="1824"/>
      <c r="HFA282" s="1824"/>
      <c r="HFB282" s="1824"/>
      <c r="HFC282" s="1824"/>
      <c r="HFD282" s="1824"/>
      <c r="HFE282" s="1824"/>
      <c r="HFF282" s="1824"/>
      <c r="HFG282" s="1824"/>
      <c r="HFH282" s="1824"/>
      <c r="HFI282" s="1824"/>
      <c r="HFJ282" s="1824"/>
      <c r="HFK282" s="1824"/>
      <c r="HFL282" s="1824"/>
      <c r="HFM282" s="1824"/>
      <c r="HFN282" s="1824"/>
      <c r="HFO282" s="1824"/>
      <c r="HFP282" s="1824"/>
      <c r="HFQ282" s="1824"/>
      <c r="HFR282" s="1824"/>
      <c r="HFS282" s="1824"/>
      <c r="HFT282" s="1824"/>
      <c r="HFU282" s="1824"/>
      <c r="HFV282" s="1824"/>
      <c r="HFW282" s="1824"/>
      <c r="HFX282" s="1824"/>
      <c r="HFY282" s="1824"/>
      <c r="HFZ282" s="1824"/>
      <c r="HGA282" s="1824"/>
      <c r="HGB282" s="1824"/>
      <c r="HGC282" s="1824"/>
      <c r="HGD282" s="1824"/>
      <c r="HGE282" s="1824"/>
      <c r="HGF282" s="1824"/>
      <c r="HGG282" s="1824"/>
      <c r="HGH282" s="1824"/>
      <c r="HGI282" s="1824"/>
      <c r="HGJ282" s="1824"/>
      <c r="HGK282" s="1824"/>
      <c r="HGL282" s="1824"/>
      <c r="HGM282" s="1824"/>
      <c r="HGN282" s="1824"/>
      <c r="HGO282" s="1824"/>
      <c r="HGP282" s="1824"/>
      <c r="HGQ282" s="1824"/>
      <c r="HGR282" s="1824"/>
      <c r="HGS282" s="1824"/>
      <c r="HGT282" s="1824"/>
      <c r="HGU282" s="1824"/>
      <c r="HGV282" s="1824"/>
      <c r="HGW282" s="1824"/>
      <c r="HGX282" s="1824"/>
      <c r="HGY282" s="1824"/>
      <c r="HGZ282" s="1824"/>
      <c r="HHA282" s="1824"/>
      <c r="HHB282" s="1824"/>
      <c r="HHC282" s="1824"/>
      <c r="HHD282" s="1824"/>
      <c r="HHE282" s="1824"/>
      <c r="HHF282" s="1824"/>
      <c r="HHG282" s="1824"/>
      <c r="HHH282" s="1824"/>
      <c r="HHI282" s="1824"/>
      <c r="HHJ282" s="1824"/>
      <c r="HHK282" s="1824"/>
      <c r="HHL282" s="1824"/>
      <c r="HHM282" s="1824"/>
      <c r="HHN282" s="1824"/>
      <c r="HHO282" s="1824"/>
      <c r="HHP282" s="1824"/>
      <c r="HHQ282" s="1824"/>
      <c r="HHR282" s="1824"/>
      <c r="HHS282" s="1824"/>
      <c r="HHT282" s="1824"/>
      <c r="HHU282" s="1824"/>
      <c r="HHV282" s="1824"/>
      <c r="HHW282" s="1824"/>
      <c r="HHX282" s="1824"/>
      <c r="HHY282" s="1824"/>
      <c r="HHZ282" s="1824"/>
      <c r="HIA282" s="1824"/>
      <c r="HIB282" s="1824"/>
      <c r="HIC282" s="1824"/>
      <c r="HID282" s="1824"/>
      <c r="HIE282" s="1824"/>
      <c r="HIF282" s="1824"/>
      <c r="HIG282" s="1824"/>
      <c r="HIH282" s="1824"/>
      <c r="HII282" s="1824"/>
      <c r="HIJ282" s="1824"/>
      <c r="HIK282" s="1824"/>
      <c r="HIL282" s="1824"/>
      <c r="HIM282" s="1824"/>
      <c r="HIN282" s="1824"/>
      <c r="HIO282" s="1824"/>
      <c r="HIP282" s="1824"/>
      <c r="HIQ282" s="1824"/>
      <c r="HIR282" s="1824"/>
      <c r="HIS282" s="1824"/>
      <c r="HIT282" s="1824"/>
      <c r="HIU282" s="1824"/>
      <c r="HIV282" s="1824"/>
      <c r="HIW282" s="1824"/>
      <c r="HIX282" s="1824"/>
      <c r="HIY282" s="1824"/>
      <c r="HIZ282" s="1824"/>
      <c r="HJA282" s="1824"/>
      <c r="HJB282" s="1824"/>
      <c r="HJC282" s="1824"/>
      <c r="HJD282" s="1824"/>
      <c r="HJE282" s="1824"/>
      <c r="HJF282" s="1824"/>
      <c r="HJG282" s="1824"/>
      <c r="HJH282" s="1824"/>
      <c r="HJI282" s="1824"/>
      <c r="HJJ282" s="1824"/>
      <c r="HJK282" s="1824"/>
      <c r="HJL282" s="1824"/>
      <c r="HJM282" s="1824"/>
      <c r="HJN282" s="1824"/>
      <c r="HJO282" s="1824"/>
      <c r="HJP282" s="1824"/>
      <c r="HJQ282" s="1824"/>
      <c r="HJR282" s="1824"/>
      <c r="HJS282" s="1824"/>
      <c r="HJT282" s="1824"/>
      <c r="HJU282" s="1824"/>
      <c r="HJV282" s="1824"/>
      <c r="HJW282" s="1824"/>
      <c r="HJX282" s="1824"/>
      <c r="HJY282" s="1824"/>
      <c r="HJZ282" s="1824"/>
      <c r="HKA282" s="1824"/>
      <c r="HKB282" s="1824"/>
      <c r="HKC282" s="1824"/>
      <c r="HKD282" s="1824"/>
      <c r="HKE282" s="1824"/>
      <c r="HKF282" s="1824"/>
      <c r="HKG282" s="1824"/>
      <c r="HKH282" s="1824"/>
      <c r="HKI282" s="1824"/>
      <c r="HKJ282" s="1824"/>
      <c r="HKK282" s="1824"/>
      <c r="HKL282" s="1824"/>
      <c r="HKM282" s="1824"/>
      <c r="HKN282" s="1824"/>
      <c r="HKO282" s="1824"/>
      <c r="HKP282" s="1824"/>
      <c r="HKQ282" s="1824"/>
      <c r="HKR282" s="1824"/>
      <c r="HKS282" s="1824"/>
      <c r="HKT282" s="1824"/>
      <c r="HKU282" s="1824"/>
      <c r="HKV282" s="1824"/>
      <c r="HKW282" s="1824"/>
      <c r="HKX282" s="1824"/>
      <c r="HKY282" s="1824"/>
      <c r="HKZ282" s="1824"/>
      <c r="HLA282" s="1824"/>
      <c r="HLB282" s="1824"/>
      <c r="HLC282" s="1824"/>
      <c r="HLD282" s="1824"/>
      <c r="HLE282" s="1824"/>
      <c r="HLF282" s="1824"/>
      <c r="HLG282" s="1824"/>
      <c r="HLH282" s="1824"/>
      <c r="HLI282" s="1824"/>
      <c r="HLJ282" s="1824"/>
      <c r="HLK282" s="1824"/>
      <c r="HLL282" s="1824"/>
      <c r="HLM282" s="1824"/>
      <c r="HLN282" s="1824"/>
      <c r="HLO282" s="1824"/>
      <c r="HLP282" s="1824"/>
      <c r="HLQ282" s="1824"/>
      <c r="HLR282" s="1824"/>
      <c r="HLS282" s="1824"/>
      <c r="HLT282" s="1824"/>
      <c r="HLU282" s="1824"/>
      <c r="HLV282" s="1824"/>
      <c r="HLW282" s="1824"/>
      <c r="HLX282" s="1824"/>
      <c r="HLY282" s="1824"/>
      <c r="HLZ282" s="1824"/>
      <c r="HMA282" s="1824"/>
      <c r="HMB282" s="1824"/>
      <c r="HMC282" s="1824"/>
      <c r="HMD282" s="1824"/>
      <c r="HME282" s="1824"/>
      <c r="HMF282" s="1824"/>
      <c r="HMG282" s="1824"/>
      <c r="HMH282" s="1824"/>
      <c r="HMI282" s="1824"/>
      <c r="HMJ282" s="1824"/>
      <c r="HMK282" s="1824"/>
      <c r="HML282" s="1824"/>
      <c r="HMM282" s="1824"/>
      <c r="HMN282" s="1824"/>
      <c r="HMO282" s="1824"/>
      <c r="HMP282" s="1824"/>
      <c r="HMQ282" s="1824"/>
      <c r="HMR282" s="1824"/>
      <c r="HMS282" s="1824"/>
      <c r="HMT282" s="1824"/>
      <c r="HMU282" s="1824"/>
      <c r="HMV282" s="1824"/>
      <c r="HMW282" s="1824"/>
      <c r="HMX282" s="1824"/>
      <c r="HMY282" s="1824"/>
      <c r="HMZ282" s="1824"/>
      <c r="HNA282" s="1824"/>
      <c r="HNB282" s="1824"/>
      <c r="HNC282" s="1824"/>
      <c r="HND282" s="1824"/>
      <c r="HNE282" s="1824"/>
      <c r="HNF282" s="1824"/>
      <c r="HNG282" s="1824"/>
      <c r="HNH282" s="1824"/>
      <c r="HNI282" s="1824"/>
      <c r="HNJ282" s="1824"/>
      <c r="HNK282" s="1824"/>
      <c r="HNL282" s="1824"/>
      <c r="HNM282" s="1824"/>
      <c r="HNN282" s="1824"/>
      <c r="HNO282" s="1824"/>
      <c r="HNP282" s="1824"/>
      <c r="HNQ282" s="1824"/>
      <c r="HNR282" s="1824"/>
      <c r="HNS282" s="1824"/>
      <c r="HNT282" s="1824"/>
      <c r="HNU282" s="1824"/>
      <c r="HNV282" s="1824"/>
      <c r="HNW282" s="1824"/>
      <c r="HNX282" s="1824"/>
      <c r="HNY282" s="1824"/>
      <c r="HNZ282" s="1824"/>
      <c r="HOA282" s="1824"/>
      <c r="HOB282" s="1824"/>
      <c r="HOC282" s="1824"/>
      <c r="HOD282" s="1824"/>
      <c r="HOE282" s="1824"/>
      <c r="HOF282" s="1824"/>
      <c r="HOG282" s="1824"/>
      <c r="HOH282" s="1824"/>
      <c r="HOI282" s="1824"/>
      <c r="HOJ282" s="1824"/>
      <c r="HOK282" s="1824"/>
      <c r="HOL282" s="1824"/>
      <c r="HOM282" s="1824"/>
      <c r="HON282" s="1824"/>
      <c r="HOO282" s="1824"/>
      <c r="HOP282" s="1824"/>
      <c r="HOQ282" s="1824"/>
      <c r="HOR282" s="1824"/>
      <c r="HOS282" s="1824"/>
      <c r="HOT282" s="1824"/>
      <c r="HOU282" s="1824"/>
      <c r="HOV282" s="1824"/>
      <c r="HOW282" s="1824"/>
      <c r="HOX282" s="1824"/>
      <c r="HOY282" s="1824"/>
      <c r="HOZ282" s="1824"/>
      <c r="HPA282" s="1824"/>
      <c r="HPB282" s="1824"/>
      <c r="HPC282" s="1824"/>
      <c r="HPD282" s="1824"/>
      <c r="HPE282" s="1824"/>
      <c r="HPF282" s="1824"/>
      <c r="HPG282" s="1824"/>
      <c r="HPH282" s="1824"/>
      <c r="HPI282" s="1824"/>
      <c r="HPJ282" s="1824"/>
      <c r="HPK282" s="1824"/>
      <c r="HPL282" s="1824"/>
      <c r="HPM282" s="1824"/>
      <c r="HPN282" s="1824"/>
      <c r="HPO282" s="1824"/>
      <c r="HPP282" s="1824"/>
      <c r="HPQ282" s="1824"/>
      <c r="HPR282" s="1824"/>
      <c r="HPS282" s="1824"/>
      <c r="HPT282" s="1824"/>
      <c r="HPU282" s="1824"/>
      <c r="HPV282" s="1824"/>
      <c r="HPW282" s="1824"/>
      <c r="HPX282" s="1824"/>
      <c r="HPY282" s="1824"/>
      <c r="HPZ282" s="1824"/>
      <c r="HQA282" s="1824"/>
      <c r="HQB282" s="1824"/>
      <c r="HQC282" s="1824"/>
      <c r="HQD282" s="1824"/>
      <c r="HQE282" s="1824"/>
      <c r="HQF282" s="1824"/>
      <c r="HQG282" s="1824"/>
      <c r="HQH282" s="1824"/>
      <c r="HQI282" s="1824"/>
      <c r="HQJ282" s="1824"/>
      <c r="HQK282" s="1824"/>
      <c r="HQL282" s="1824"/>
      <c r="HQM282" s="1824"/>
      <c r="HQN282" s="1824"/>
      <c r="HQO282" s="1824"/>
      <c r="HQP282" s="1824"/>
      <c r="HQQ282" s="1824"/>
      <c r="HQR282" s="1824"/>
      <c r="HQS282" s="1824"/>
      <c r="HQT282" s="1824"/>
      <c r="HQU282" s="1824"/>
      <c r="HQV282" s="1824"/>
      <c r="HQW282" s="1824"/>
      <c r="HQX282" s="1824"/>
      <c r="HQY282" s="1824"/>
      <c r="HQZ282" s="1824"/>
      <c r="HRA282" s="1824"/>
      <c r="HRB282" s="1824"/>
      <c r="HRC282" s="1824"/>
      <c r="HRD282" s="1824"/>
      <c r="HRE282" s="1824"/>
      <c r="HRF282" s="1824"/>
      <c r="HRG282" s="1824"/>
      <c r="HRH282" s="1824"/>
      <c r="HRI282" s="1824"/>
      <c r="HRJ282" s="1824"/>
      <c r="HRK282" s="1824"/>
      <c r="HRL282" s="1824"/>
      <c r="HRM282" s="1824"/>
      <c r="HRN282" s="1824"/>
      <c r="HRO282" s="1824"/>
      <c r="HRP282" s="1824"/>
      <c r="HRQ282" s="1824"/>
      <c r="HRR282" s="1824"/>
      <c r="HRS282" s="1824"/>
      <c r="HRT282" s="1824"/>
      <c r="HRU282" s="1824"/>
      <c r="HRV282" s="1824"/>
      <c r="HRW282" s="1824"/>
      <c r="HRX282" s="1824"/>
      <c r="HRY282" s="1824"/>
      <c r="HRZ282" s="1824"/>
      <c r="HSA282" s="1824"/>
      <c r="HSB282" s="1824"/>
      <c r="HSC282" s="1824"/>
      <c r="HSD282" s="1824"/>
      <c r="HSE282" s="1824"/>
      <c r="HSF282" s="1824"/>
      <c r="HSG282" s="1824"/>
      <c r="HSH282" s="1824"/>
      <c r="HSI282" s="1824"/>
      <c r="HSJ282" s="1824"/>
      <c r="HSK282" s="1824"/>
      <c r="HSL282" s="1824"/>
      <c r="HSM282" s="1824"/>
      <c r="HSN282" s="1824"/>
      <c r="HSO282" s="1824"/>
      <c r="HSP282" s="1824"/>
      <c r="HSQ282" s="1824"/>
      <c r="HSR282" s="1824"/>
      <c r="HSS282" s="1824"/>
      <c r="HST282" s="1824"/>
      <c r="HSU282" s="1824"/>
      <c r="HSV282" s="1824"/>
      <c r="HSW282" s="1824"/>
      <c r="HSX282" s="1824"/>
      <c r="HSY282" s="1824"/>
      <c r="HSZ282" s="1824"/>
      <c r="HTA282" s="1824"/>
      <c r="HTB282" s="1824"/>
      <c r="HTC282" s="1824"/>
      <c r="HTD282" s="1824"/>
      <c r="HTE282" s="1824"/>
      <c r="HTF282" s="1824"/>
      <c r="HTG282" s="1824"/>
      <c r="HTH282" s="1824"/>
      <c r="HTI282" s="1824"/>
      <c r="HTJ282" s="1824"/>
      <c r="HTK282" s="1824"/>
      <c r="HTL282" s="1824"/>
      <c r="HTM282" s="1824"/>
      <c r="HTN282" s="1824"/>
      <c r="HTO282" s="1824"/>
      <c r="HTP282" s="1824"/>
      <c r="HTQ282" s="1824"/>
      <c r="HTR282" s="1824"/>
      <c r="HTS282" s="1824"/>
      <c r="HTT282" s="1824"/>
      <c r="HTU282" s="1824"/>
      <c r="HTV282" s="1824"/>
      <c r="HTW282" s="1824"/>
      <c r="HTX282" s="1824"/>
      <c r="HTY282" s="1824"/>
      <c r="HTZ282" s="1824"/>
      <c r="HUA282" s="1824"/>
      <c r="HUB282" s="1824"/>
      <c r="HUC282" s="1824"/>
      <c r="HUD282" s="1824"/>
      <c r="HUE282" s="1824"/>
      <c r="HUF282" s="1824"/>
      <c r="HUG282" s="1824"/>
      <c r="HUH282" s="1824"/>
      <c r="HUI282" s="1824"/>
      <c r="HUJ282" s="1824"/>
      <c r="HUK282" s="1824"/>
      <c r="HUL282" s="1824"/>
      <c r="HUM282" s="1824"/>
      <c r="HUN282" s="1824"/>
      <c r="HUO282" s="1824"/>
      <c r="HUP282" s="1824"/>
      <c r="HUQ282" s="1824"/>
      <c r="HUR282" s="1824"/>
      <c r="HUS282" s="1824"/>
      <c r="HUT282" s="1824"/>
      <c r="HUU282" s="1824"/>
      <c r="HUV282" s="1824"/>
      <c r="HUW282" s="1824"/>
      <c r="HUX282" s="1824"/>
      <c r="HUY282" s="1824"/>
      <c r="HUZ282" s="1824"/>
      <c r="HVA282" s="1824"/>
      <c r="HVB282" s="1824"/>
      <c r="HVC282" s="1824"/>
      <c r="HVD282" s="1824"/>
      <c r="HVE282" s="1824"/>
      <c r="HVF282" s="1824"/>
      <c r="HVG282" s="1824"/>
      <c r="HVH282" s="1824"/>
      <c r="HVI282" s="1824"/>
      <c r="HVJ282" s="1824"/>
      <c r="HVK282" s="1824"/>
      <c r="HVL282" s="1824"/>
      <c r="HVM282" s="1824"/>
      <c r="HVN282" s="1824"/>
      <c r="HVO282" s="1824"/>
      <c r="HVP282" s="1824"/>
      <c r="HVQ282" s="1824"/>
      <c r="HVR282" s="1824"/>
      <c r="HVS282" s="1824"/>
      <c r="HVT282" s="1824"/>
      <c r="HVU282" s="1824"/>
      <c r="HVV282" s="1824"/>
      <c r="HVW282" s="1824"/>
      <c r="HVX282" s="1824"/>
      <c r="HVY282" s="1824"/>
      <c r="HVZ282" s="1824"/>
      <c r="HWA282" s="1824"/>
      <c r="HWB282" s="1824"/>
      <c r="HWC282" s="1824"/>
      <c r="HWD282" s="1824"/>
      <c r="HWE282" s="1824"/>
      <c r="HWF282" s="1824"/>
      <c r="HWG282" s="1824"/>
      <c r="HWH282" s="1824"/>
      <c r="HWI282" s="1824"/>
      <c r="HWJ282" s="1824"/>
      <c r="HWK282" s="1824"/>
      <c r="HWL282" s="1824"/>
      <c r="HWM282" s="1824"/>
      <c r="HWN282" s="1824"/>
      <c r="HWO282" s="1824"/>
      <c r="HWP282" s="1824"/>
      <c r="HWQ282" s="1824"/>
      <c r="HWR282" s="1824"/>
      <c r="HWS282" s="1824"/>
      <c r="HWT282" s="1824"/>
      <c r="HWU282" s="1824"/>
      <c r="HWV282" s="1824"/>
      <c r="HWW282" s="1824"/>
      <c r="HWX282" s="1824"/>
      <c r="HWY282" s="1824"/>
      <c r="HWZ282" s="1824"/>
      <c r="HXA282" s="1824"/>
      <c r="HXB282" s="1824"/>
      <c r="HXC282" s="1824"/>
      <c r="HXD282" s="1824"/>
      <c r="HXE282" s="1824"/>
      <c r="HXF282" s="1824"/>
      <c r="HXG282" s="1824"/>
      <c r="HXH282" s="1824"/>
      <c r="HXI282" s="1824"/>
      <c r="HXJ282" s="1824"/>
      <c r="HXK282" s="1824"/>
      <c r="HXL282" s="1824"/>
      <c r="HXM282" s="1824"/>
      <c r="HXN282" s="1824"/>
      <c r="HXO282" s="1824"/>
      <c r="HXP282" s="1824"/>
      <c r="HXQ282" s="1824"/>
      <c r="HXR282" s="1824"/>
      <c r="HXS282" s="1824"/>
      <c r="HXT282" s="1824"/>
      <c r="HXU282" s="1824"/>
      <c r="HXV282" s="1824"/>
      <c r="HXW282" s="1824"/>
      <c r="HXX282" s="1824"/>
      <c r="HXY282" s="1824"/>
      <c r="HXZ282" s="1824"/>
      <c r="HYA282" s="1824"/>
      <c r="HYB282" s="1824"/>
      <c r="HYC282" s="1824"/>
      <c r="HYD282" s="1824"/>
      <c r="HYE282" s="1824"/>
      <c r="HYF282" s="1824"/>
      <c r="HYG282" s="1824"/>
      <c r="HYH282" s="1824"/>
      <c r="HYI282" s="1824"/>
      <c r="HYJ282" s="1824"/>
      <c r="HYK282" s="1824"/>
      <c r="HYL282" s="1824"/>
      <c r="HYM282" s="1824"/>
      <c r="HYN282" s="1824"/>
      <c r="HYO282" s="1824"/>
      <c r="HYP282" s="1824"/>
      <c r="HYQ282" s="1824"/>
      <c r="HYR282" s="1824"/>
      <c r="HYS282" s="1824"/>
      <c r="HYT282" s="1824"/>
      <c r="HYU282" s="1824"/>
      <c r="HYV282" s="1824"/>
      <c r="HYW282" s="1824"/>
      <c r="HYX282" s="1824"/>
      <c r="HYY282" s="1824"/>
      <c r="HYZ282" s="1824"/>
      <c r="HZA282" s="1824"/>
      <c r="HZB282" s="1824"/>
      <c r="HZC282" s="1824"/>
      <c r="HZD282" s="1824"/>
      <c r="HZE282" s="1824"/>
      <c r="HZF282" s="1824"/>
      <c r="HZG282" s="1824"/>
      <c r="HZH282" s="1824"/>
      <c r="HZI282" s="1824"/>
      <c r="HZJ282" s="1824"/>
      <c r="HZK282" s="1824"/>
      <c r="HZL282" s="1824"/>
      <c r="HZM282" s="1824"/>
      <c r="HZN282" s="1824"/>
      <c r="HZO282" s="1824"/>
      <c r="HZP282" s="1824"/>
      <c r="HZQ282" s="1824"/>
      <c r="HZR282" s="1824"/>
      <c r="HZS282" s="1824"/>
      <c r="HZT282" s="1824"/>
      <c r="HZU282" s="1824"/>
      <c r="HZV282" s="1824"/>
      <c r="HZW282" s="1824"/>
      <c r="HZX282" s="1824"/>
      <c r="HZY282" s="1824"/>
      <c r="HZZ282" s="1824"/>
      <c r="IAA282" s="1824"/>
      <c r="IAB282" s="1824"/>
      <c r="IAC282" s="1824"/>
      <c r="IAD282" s="1824"/>
      <c r="IAE282" s="1824"/>
      <c r="IAF282" s="1824"/>
      <c r="IAG282" s="1824"/>
      <c r="IAH282" s="1824"/>
      <c r="IAI282" s="1824"/>
      <c r="IAJ282" s="1824"/>
      <c r="IAK282" s="1824"/>
      <c r="IAL282" s="1824"/>
      <c r="IAM282" s="1824"/>
      <c r="IAN282" s="1824"/>
      <c r="IAO282" s="1824"/>
      <c r="IAP282" s="1824"/>
      <c r="IAQ282" s="1824"/>
      <c r="IAR282" s="1824"/>
      <c r="IAS282" s="1824"/>
      <c r="IAT282" s="1824"/>
      <c r="IAU282" s="1824"/>
      <c r="IAV282" s="1824"/>
      <c r="IAW282" s="1824"/>
      <c r="IAX282" s="1824"/>
      <c r="IAY282" s="1824"/>
      <c r="IAZ282" s="1824"/>
      <c r="IBA282" s="1824"/>
      <c r="IBB282" s="1824"/>
      <c r="IBC282" s="1824"/>
      <c r="IBD282" s="1824"/>
      <c r="IBE282" s="1824"/>
      <c r="IBF282" s="1824"/>
      <c r="IBG282" s="1824"/>
      <c r="IBH282" s="1824"/>
      <c r="IBI282" s="1824"/>
      <c r="IBJ282" s="1824"/>
      <c r="IBK282" s="1824"/>
      <c r="IBL282" s="1824"/>
      <c r="IBM282" s="1824"/>
      <c r="IBN282" s="1824"/>
      <c r="IBO282" s="1824"/>
      <c r="IBP282" s="1824"/>
      <c r="IBQ282" s="1824"/>
      <c r="IBR282" s="1824"/>
      <c r="IBS282" s="1824"/>
      <c r="IBT282" s="1824"/>
      <c r="IBU282" s="1824"/>
      <c r="IBV282" s="1824"/>
      <c r="IBW282" s="1824"/>
      <c r="IBX282" s="1824"/>
      <c r="IBY282" s="1824"/>
      <c r="IBZ282" s="1824"/>
      <c r="ICA282" s="1824"/>
      <c r="ICB282" s="1824"/>
      <c r="ICC282" s="1824"/>
      <c r="ICD282" s="1824"/>
      <c r="ICE282" s="1824"/>
      <c r="ICF282" s="1824"/>
      <c r="ICG282" s="1824"/>
      <c r="ICH282" s="1824"/>
      <c r="ICI282" s="1824"/>
      <c r="ICJ282" s="1824"/>
      <c r="ICK282" s="1824"/>
      <c r="ICL282" s="1824"/>
      <c r="ICM282" s="1824"/>
      <c r="ICN282" s="1824"/>
      <c r="ICO282" s="1824"/>
      <c r="ICP282" s="1824"/>
      <c r="ICQ282" s="1824"/>
      <c r="ICR282" s="1824"/>
      <c r="ICS282" s="1824"/>
      <c r="ICT282" s="1824"/>
      <c r="ICU282" s="1824"/>
      <c r="ICV282" s="1824"/>
      <c r="ICW282" s="1824"/>
      <c r="ICX282" s="1824"/>
      <c r="ICY282" s="1824"/>
      <c r="ICZ282" s="1824"/>
      <c r="IDA282" s="1824"/>
      <c r="IDB282" s="1824"/>
      <c r="IDC282" s="1824"/>
      <c r="IDD282" s="1824"/>
      <c r="IDE282" s="1824"/>
      <c r="IDF282" s="1824"/>
      <c r="IDG282" s="1824"/>
      <c r="IDH282" s="1824"/>
      <c r="IDI282" s="1824"/>
      <c r="IDJ282" s="1824"/>
      <c r="IDK282" s="1824"/>
      <c r="IDL282" s="1824"/>
      <c r="IDM282" s="1824"/>
      <c r="IDN282" s="1824"/>
      <c r="IDO282" s="1824"/>
      <c r="IDP282" s="1824"/>
      <c r="IDQ282" s="1824"/>
      <c r="IDR282" s="1824"/>
      <c r="IDS282" s="1824"/>
      <c r="IDT282" s="1824"/>
      <c r="IDU282" s="1824"/>
      <c r="IDV282" s="1824"/>
      <c r="IDW282" s="1824"/>
      <c r="IDX282" s="1824"/>
      <c r="IDY282" s="1824"/>
      <c r="IDZ282" s="1824"/>
      <c r="IEA282" s="1824"/>
      <c r="IEB282" s="1824"/>
      <c r="IEC282" s="1824"/>
      <c r="IED282" s="1824"/>
      <c r="IEE282" s="1824"/>
      <c r="IEF282" s="1824"/>
      <c r="IEG282" s="1824"/>
      <c r="IEH282" s="1824"/>
      <c r="IEI282" s="1824"/>
      <c r="IEJ282" s="1824"/>
      <c r="IEK282" s="1824"/>
      <c r="IEL282" s="1824"/>
      <c r="IEM282" s="1824"/>
      <c r="IEN282" s="1824"/>
      <c r="IEO282" s="1824"/>
      <c r="IEP282" s="1824"/>
      <c r="IEQ282" s="1824"/>
      <c r="IER282" s="1824"/>
      <c r="IES282" s="1824"/>
      <c r="IET282" s="1824"/>
      <c r="IEU282" s="1824"/>
      <c r="IEV282" s="1824"/>
      <c r="IEW282" s="1824"/>
      <c r="IEX282" s="1824"/>
      <c r="IEY282" s="1824"/>
      <c r="IEZ282" s="1824"/>
      <c r="IFA282" s="1824"/>
      <c r="IFB282" s="1824"/>
      <c r="IFC282" s="1824"/>
      <c r="IFD282" s="1824"/>
      <c r="IFE282" s="1824"/>
      <c r="IFF282" s="1824"/>
      <c r="IFG282" s="1824"/>
      <c r="IFH282" s="1824"/>
      <c r="IFI282" s="1824"/>
      <c r="IFJ282" s="1824"/>
      <c r="IFK282" s="1824"/>
      <c r="IFL282" s="1824"/>
      <c r="IFM282" s="1824"/>
      <c r="IFN282" s="1824"/>
      <c r="IFO282" s="1824"/>
      <c r="IFP282" s="1824"/>
      <c r="IFQ282" s="1824"/>
      <c r="IFR282" s="1824"/>
      <c r="IFS282" s="1824"/>
      <c r="IFT282" s="1824"/>
      <c r="IFU282" s="1824"/>
      <c r="IFV282" s="1824"/>
      <c r="IFW282" s="1824"/>
      <c r="IFX282" s="1824"/>
      <c r="IFY282" s="1824"/>
      <c r="IFZ282" s="1824"/>
      <c r="IGA282" s="1824"/>
      <c r="IGB282" s="1824"/>
      <c r="IGC282" s="1824"/>
      <c r="IGD282" s="1824"/>
      <c r="IGE282" s="1824"/>
      <c r="IGF282" s="1824"/>
      <c r="IGG282" s="1824"/>
      <c r="IGH282" s="1824"/>
      <c r="IGI282" s="1824"/>
      <c r="IGJ282" s="1824"/>
      <c r="IGK282" s="1824"/>
      <c r="IGL282" s="1824"/>
      <c r="IGM282" s="1824"/>
      <c r="IGN282" s="1824"/>
      <c r="IGO282" s="1824"/>
      <c r="IGP282" s="1824"/>
      <c r="IGQ282" s="1824"/>
      <c r="IGR282" s="1824"/>
      <c r="IGS282" s="1824"/>
      <c r="IGT282" s="1824"/>
      <c r="IGU282" s="1824"/>
      <c r="IGV282" s="1824"/>
      <c r="IGW282" s="1824"/>
      <c r="IGX282" s="1824"/>
      <c r="IGY282" s="1824"/>
      <c r="IGZ282" s="1824"/>
      <c r="IHA282" s="1824"/>
      <c r="IHB282" s="1824"/>
      <c r="IHC282" s="1824"/>
      <c r="IHD282" s="1824"/>
      <c r="IHE282" s="1824"/>
      <c r="IHF282" s="1824"/>
      <c r="IHG282" s="1824"/>
      <c r="IHH282" s="1824"/>
      <c r="IHI282" s="1824"/>
      <c r="IHJ282" s="1824"/>
      <c r="IHK282" s="1824"/>
      <c r="IHL282" s="1824"/>
      <c r="IHM282" s="1824"/>
      <c r="IHN282" s="1824"/>
      <c r="IHO282" s="1824"/>
      <c r="IHP282" s="1824"/>
      <c r="IHQ282" s="1824"/>
      <c r="IHR282" s="1824"/>
      <c r="IHS282" s="1824"/>
      <c r="IHT282" s="1824"/>
      <c r="IHU282" s="1824"/>
      <c r="IHV282" s="1824"/>
      <c r="IHW282" s="1824"/>
      <c r="IHX282" s="1824"/>
      <c r="IHY282" s="1824"/>
      <c r="IHZ282" s="1824"/>
      <c r="IIA282" s="1824"/>
      <c r="IIB282" s="1824"/>
      <c r="IIC282" s="1824"/>
      <c r="IID282" s="1824"/>
      <c r="IIE282" s="1824"/>
      <c r="IIF282" s="1824"/>
      <c r="IIG282" s="1824"/>
      <c r="IIH282" s="1824"/>
      <c r="III282" s="1824"/>
      <c r="IIJ282" s="1824"/>
      <c r="IIK282" s="1824"/>
      <c r="IIL282" s="1824"/>
      <c r="IIM282" s="1824"/>
      <c r="IIN282" s="1824"/>
      <c r="IIO282" s="1824"/>
      <c r="IIP282" s="1824"/>
      <c r="IIQ282" s="1824"/>
      <c r="IIR282" s="1824"/>
      <c r="IIS282" s="1824"/>
      <c r="IIT282" s="1824"/>
      <c r="IIU282" s="1824"/>
      <c r="IIV282" s="1824"/>
      <c r="IIW282" s="1824"/>
      <c r="IIX282" s="1824"/>
      <c r="IIY282" s="1824"/>
      <c r="IIZ282" s="1824"/>
      <c r="IJA282" s="1824"/>
      <c r="IJB282" s="1824"/>
      <c r="IJC282" s="1824"/>
      <c r="IJD282" s="1824"/>
      <c r="IJE282" s="1824"/>
      <c r="IJF282" s="1824"/>
      <c r="IJG282" s="1824"/>
      <c r="IJH282" s="1824"/>
      <c r="IJI282" s="1824"/>
      <c r="IJJ282" s="1824"/>
      <c r="IJK282" s="1824"/>
      <c r="IJL282" s="1824"/>
      <c r="IJM282" s="1824"/>
      <c r="IJN282" s="1824"/>
      <c r="IJO282" s="1824"/>
      <c r="IJP282" s="1824"/>
      <c r="IJQ282" s="1824"/>
      <c r="IJR282" s="1824"/>
      <c r="IJS282" s="1824"/>
      <c r="IJT282" s="1824"/>
      <c r="IJU282" s="1824"/>
      <c r="IJV282" s="1824"/>
      <c r="IJW282" s="1824"/>
      <c r="IJX282" s="1824"/>
      <c r="IJY282" s="1824"/>
      <c r="IJZ282" s="1824"/>
      <c r="IKA282" s="1824"/>
      <c r="IKB282" s="1824"/>
      <c r="IKC282" s="1824"/>
      <c r="IKD282" s="1824"/>
      <c r="IKE282" s="1824"/>
      <c r="IKF282" s="1824"/>
      <c r="IKG282" s="1824"/>
      <c r="IKH282" s="1824"/>
      <c r="IKI282" s="1824"/>
      <c r="IKJ282" s="1824"/>
      <c r="IKK282" s="1824"/>
      <c r="IKL282" s="1824"/>
      <c r="IKM282" s="1824"/>
      <c r="IKN282" s="1824"/>
      <c r="IKO282" s="1824"/>
      <c r="IKP282" s="1824"/>
      <c r="IKQ282" s="1824"/>
      <c r="IKR282" s="1824"/>
      <c r="IKS282" s="1824"/>
      <c r="IKT282" s="1824"/>
      <c r="IKU282" s="1824"/>
      <c r="IKV282" s="1824"/>
      <c r="IKW282" s="1824"/>
      <c r="IKX282" s="1824"/>
      <c r="IKY282" s="1824"/>
      <c r="IKZ282" s="1824"/>
      <c r="ILA282" s="1824"/>
      <c r="ILB282" s="1824"/>
      <c r="ILC282" s="1824"/>
      <c r="ILD282" s="1824"/>
      <c r="ILE282" s="1824"/>
      <c r="ILF282" s="1824"/>
      <c r="ILG282" s="1824"/>
      <c r="ILH282" s="1824"/>
      <c r="ILI282" s="1824"/>
      <c r="ILJ282" s="1824"/>
      <c r="ILK282" s="1824"/>
      <c r="ILL282" s="1824"/>
      <c r="ILM282" s="1824"/>
      <c r="ILN282" s="1824"/>
      <c r="ILO282" s="1824"/>
      <c r="ILP282" s="1824"/>
      <c r="ILQ282" s="1824"/>
      <c r="ILR282" s="1824"/>
      <c r="ILS282" s="1824"/>
      <c r="ILT282" s="1824"/>
      <c r="ILU282" s="1824"/>
      <c r="ILV282" s="1824"/>
      <c r="ILW282" s="1824"/>
      <c r="ILX282" s="1824"/>
      <c r="ILY282" s="1824"/>
      <c r="ILZ282" s="1824"/>
      <c r="IMA282" s="1824"/>
      <c r="IMB282" s="1824"/>
      <c r="IMC282" s="1824"/>
      <c r="IMD282" s="1824"/>
      <c r="IME282" s="1824"/>
      <c r="IMF282" s="1824"/>
      <c r="IMG282" s="1824"/>
      <c r="IMH282" s="1824"/>
      <c r="IMI282" s="1824"/>
      <c r="IMJ282" s="1824"/>
      <c r="IMK282" s="1824"/>
      <c r="IML282" s="1824"/>
      <c r="IMM282" s="1824"/>
      <c r="IMN282" s="1824"/>
      <c r="IMO282" s="1824"/>
      <c r="IMP282" s="1824"/>
      <c r="IMQ282" s="1824"/>
      <c r="IMR282" s="1824"/>
      <c r="IMS282" s="1824"/>
      <c r="IMT282" s="1824"/>
      <c r="IMU282" s="1824"/>
      <c r="IMV282" s="1824"/>
      <c r="IMW282" s="1824"/>
      <c r="IMX282" s="1824"/>
      <c r="IMY282" s="1824"/>
      <c r="IMZ282" s="1824"/>
      <c r="INA282" s="1824"/>
      <c r="INB282" s="1824"/>
      <c r="INC282" s="1824"/>
      <c r="IND282" s="1824"/>
      <c r="INE282" s="1824"/>
      <c r="INF282" s="1824"/>
      <c r="ING282" s="1824"/>
      <c r="INH282" s="1824"/>
      <c r="INI282" s="1824"/>
      <c r="INJ282" s="1824"/>
      <c r="INK282" s="1824"/>
      <c r="INL282" s="1824"/>
      <c r="INM282" s="1824"/>
      <c r="INN282" s="1824"/>
      <c r="INO282" s="1824"/>
      <c r="INP282" s="1824"/>
      <c r="INQ282" s="1824"/>
      <c r="INR282" s="1824"/>
      <c r="INS282" s="1824"/>
      <c r="INT282" s="1824"/>
      <c r="INU282" s="1824"/>
      <c r="INV282" s="1824"/>
      <c r="INW282" s="1824"/>
      <c r="INX282" s="1824"/>
      <c r="INY282" s="1824"/>
      <c r="INZ282" s="1824"/>
      <c r="IOA282" s="1824"/>
      <c r="IOB282" s="1824"/>
      <c r="IOC282" s="1824"/>
      <c r="IOD282" s="1824"/>
      <c r="IOE282" s="1824"/>
      <c r="IOF282" s="1824"/>
      <c r="IOG282" s="1824"/>
      <c r="IOH282" s="1824"/>
      <c r="IOI282" s="1824"/>
      <c r="IOJ282" s="1824"/>
      <c r="IOK282" s="1824"/>
      <c r="IOL282" s="1824"/>
      <c r="IOM282" s="1824"/>
      <c r="ION282" s="1824"/>
      <c r="IOO282" s="1824"/>
      <c r="IOP282" s="1824"/>
      <c r="IOQ282" s="1824"/>
      <c r="IOR282" s="1824"/>
      <c r="IOS282" s="1824"/>
      <c r="IOT282" s="1824"/>
      <c r="IOU282" s="1824"/>
      <c r="IOV282" s="1824"/>
      <c r="IOW282" s="1824"/>
      <c r="IOX282" s="1824"/>
      <c r="IOY282" s="1824"/>
      <c r="IOZ282" s="1824"/>
      <c r="IPA282" s="1824"/>
      <c r="IPB282" s="1824"/>
      <c r="IPC282" s="1824"/>
      <c r="IPD282" s="1824"/>
      <c r="IPE282" s="1824"/>
      <c r="IPF282" s="1824"/>
      <c r="IPG282" s="1824"/>
      <c r="IPH282" s="1824"/>
      <c r="IPI282" s="1824"/>
      <c r="IPJ282" s="1824"/>
      <c r="IPK282" s="1824"/>
      <c r="IPL282" s="1824"/>
      <c r="IPM282" s="1824"/>
      <c r="IPN282" s="1824"/>
      <c r="IPO282" s="1824"/>
      <c r="IPP282" s="1824"/>
      <c r="IPQ282" s="1824"/>
      <c r="IPR282" s="1824"/>
      <c r="IPS282" s="1824"/>
      <c r="IPT282" s="1824"/>
      <c r="IPU282" s="1824"/>
      <c r="IPV282" s="1824"/>
      <c r="IPW282" s="1824"/>
      <c r="IPX282" s="1824"/>
      <c r="IPY282" s="1824"/>
      <c r="IPZ282" s="1824"/>
      <c r="IQA282" s="1824"/>
      <c r="IQB282" s="1824"/>
      <c r="IQC282" s="1824"/>
      <c r="IQD282" s="1824"/>
      <c r="IQE282" s="1824"/>
      <c r="IQF282" s="1824"/>
      <c r="IQG282" s="1824"/>
      <c r="IQH282" s="1824"/>
      <c r="IQI282" s="1824"/>
      <c r="IQJ282" s="1824"/>
      <c r="IQK282" s="1824"/>
      <c r="IQL282" s="1824"/>
      <c r="IQM282" s="1824"/>
      <c r="IQN282" s="1824"/>
      <c r="IQO282" s="1824"/>
      <c r="IQP282" s="1824"/>
      <c r="IQQ282" s="1824"/>
      <c r="IQR282" s="1824"/>
      <c r="IQS282" s="1824"/>
      <c r="IQT282" s="1824"/>
      <c r="IQU282" s="1824"/>
      <c r="IQV282" s="1824"/>
      <c r="IQW282" s="1824"/>
      <c r="IQX282" s="1824"/>
      <c r="IQY282" s="1824"/>
      <c r="IQZ282" s="1824"/>
      <c r="IRA282" s="1824"/>
      <c r="IRB282" s="1824"/>
      <c r="IRC282" s="1824"/>
      <c r="IRD282" s="1824"/>
      <c r="IRE282" s="1824"/>
      <c r="IRF282" s="1824"/>
      <c r="IRG282" s="1824"/>
      <c r="IRH282" s="1824"/>
      <c r="IRI282" s="1824"/>
      <c r="IRJ282" s="1824"/>
      <c r="IRK282" s="1824"/>
      <c r="IRL282" s="1824"/>
      <c r="IRM282" s="1824"/>
      <c r="IRN282" s="1824"/>
      <c r="IRO282" s="1824"/>
      <c r="IRP282" s="1824"/>
      <c r="IRQ282" s="1824"/>
      <c r="IRR282" s="1824"/>
      <c r="IRS282" s="1824"/>
      <c r="IRT282" s="1824"/>
      <c r="IRU282" s="1824"/>
      <c r="IRV282" s="1824"/>
      <c r="IRW282" s="1824"/>
      <c r="IRX282" s="1824"/>
      <c r="IRY282" s="1824"/>
      <c r="IRZ282" s="1824"/>
      <c r="ISA282" s="1824"/>
      <c r="ISB282" s="1824"/>
      <c r="ISC282" s="1824"/>
      <c r="ISD282" s="1824"/>
      <c r="ISE282" s="1824"/>
      <c r="ISF282" s="1824"/>
      <c r="ISG282" s="1824"/>
      <c r="ISH282" s="1824"/>
      <c r="ISI282" s="1824"/>
      <c r="ISJ282" s="1824"/>
      <c r="ISK282" s="1824"/>
      <c r="ISL282" s="1824"/>
      <c r="ISM282" s="1824"/>
      <c r="ISN282" s="1824"/>
      <c r="ISO282" s="1824"/>
      <c r="ISP282" s="1824"/>
      <c r="ISQ282" s="1824"/>
      <c r="ISR282" s="1824"/>
      <c r="ISS282" s="1824"/>
      <c r="IST282" s="1824"/>
      <c r="ISU282" s="1824"/>
      <c r="ISV282" s="1824"/>
      <c r="ISW282" s="1824"/>
      <c r="ISX282" s="1824"/>
      <c r="ISY282" s="1824"/>
      <c r="ISZ282" s="1824"/>
      <c r="ITA282" s="1824"/>
      <c r="ITB282" s="1824"/>
      <c r="ITC282" s="1824"/>
      <c r="ITD282" s="1824"/>
      <c r="ITE282" s="1824"/>
      <c r="ITF282" s="1824"/>
      <c r="ITG282" s="1824"/>
      <c r="ITH282" s="1824"/>
      <c r="ITI282" s="1824"/>
      <c r="ITJ282" s="1824"/>
      <c r="ITK282" s="1824"/>
      <c r="ITL282" s="1824"/>
      <c r="ITM282" s="1824"/>
      <c r="ITN282" s="1824"/>
      <c r="ITO282" s="1824"/>
      <c r="ITP282" s="1824"/>
      <c r="ITQ282" s="1824"/>
      <c r="ITR282" s="1824"/>
      <c r="ITS282" s="1824"/>
      <c r="ITT282" s="1824"/>
      <c r="ITU282" s="1824"/>
      <c r="ITV282" s="1824"/>
      <c r="ITW282" s="1824"/>
      <c r="ITX282" s="1824"/>
      <c r="ITY282" s="1824"/>
      <c r="ITZ282" s="1824"/>
      <c r="IUA282" s="1824"/>
      <c r="IUB282" s="1824"/>
      <c r="IUC282" s="1824"/>
      <c r="IUD282" s="1824"/>
      <c r="IUE282" s="1824"/>
      <c r="IUF282" s="1824"/>
      <c r="IUG282" s="1824"/>
      <c r="IUH282" s="1824"/>
      <c r="IUI282" s="1824"/>
      <c r="IUJ282" s="1824"/>
      <c r="IUK282" s="1824"/>
      <c r="IUL282" s="1824"/>
      <c r="IUM282" s="1824"/>
      <c r="IUN282" s="1824"/>
      <c r="IUO282" s="1824"/>
      <c r="IUP282" s="1824"/>
      <c r="IUQ282" s="1824"/>
      <c r="IUR282" s="1824"/>
      <c r="IUS282" s="1824"/>
      <c r="IUT282" s="1824"/>
      <c r="IUU282" s="1824"/>
      <c r="IUV282" s="1824"/>
      <c r="IUW282" s="1824"/>
      <c r="IUX282" s="1824"/>
      <c r="IUY282" s="1824"/>
      <c r="IUZ282" s="1824"/>
      <c r="IVA282" s="1824"/>
      <c r="IVB282" s="1824"/>
      <c r="IVC282" s="1824"/>
      <c r="IVD282" s="1824"/>
      <c r="IVE282" s="1824"/>
      <c r="IVF282" s="1824"/>
      <c r="IVG282" s="1824"/>
      <c r="IVH282" s="1824"/>
      <c r="IVI282" s="1824"/>
      <c r="IVJ282" s="1824"/>
      <c r="IVK282" s="1824"/>
      <c r="IVL282" s="1824"/>
      <c r="IVM282" s="1824"/>
      <c r="IVN282" s="1824"/>
      <c r="IVO282" s="1824"/>
      <c r="IVP282" s="1824"/>
      <c r="IVQ282" s="1824"/>
      <c r="IVR282" s="1824"/>
      <c r="IVS282" s="1824"/>
      <c r="IVT282" s="1824"/>
      <c r="IVU282" s="1824"/>
      <c r="IVV282" s="1824"/>
      <c r="IVW282" s="1824"/>
      <c r="IVX282" s="1824"/>
      <c r="IVY282" s="1824"/>
      <c r="IVZ282" s="1824"/>
      <c r="IWA282" s="1824"/>
      <c r="IWB282" s="1824"/>
      <c r="IWC282" s="1824"/>
      <c r="IWD282" s="1824"/>
      <c r="IWE282" s="1824"/>
      <c r="IWF282" s="1824"/>
      <c r="IWG282" s="1824"/>
      <c r="IWH282" s="1824"/>
      <c r="IWI282" s="1824"/>
      <c r="IWJ282" s="1824"/>
      <c r="IWK282" s="1824"/>
      <c r="IWL282" s="1824"/>
      <c r="IWM282" s="1824"/>
      <c r="IWN282" s="1824"/>
      <c r="IWO282" s="1824"/>
      <c r="IWP282" s="1824"/>
      <c r="IWQ282" s="1824"/>
      <c r="IWR282" s="1824"/>
      <c r="IWS282" s="1824"/>
      <c r="IWT282" s="1824"/>
      <c r="IWU282" s="1824"/>
      <c r="IWV282" s="1824"/>
      <c r="IWW282" s="1824"/>
      <c r="IWX282" s="1824"/>
      <c r="IWY282" s="1824"/>
      <c r="IWZ282" s="1824"/>
      <c r="IXA282" s="1824"/>
      <c r="IXB282" s="1824"/>
      <c r="IXC282" s="1824"/>
      <c r="IXD282" s="1824"/>
      <c r="IXE282" s="1824"/>
      <c r="IXF282" s="1824"/>
      <c r="IXG282" s="1824"/>
      <c r="IXH282" s="1824"/>
      <c r="IXI282" s="1824"/>
      <c r="IXJ282" s="1824"/>
      <c r="IXK282" s="1824"/>
      <c r="IXL282" s="1824"/>
      <c r="IXM282" s="1824"/>
      <c r="IXN282" s="1824"/>
      <c r="IXO282" s="1824"/>
      <c r="IXP282" s="1824"/>
      <c r="IXQ282" s="1824"/>
      <c r="IXR282" s="1824"/>
      <c r="IXS282" s="1824"/>
      <c r="IXT282" s="1824"/>
      <c r="IXU282" s="1824"/>
      <c r="IXV282" s="1824"/>
      <c r="IXW282" s="1824"/>
      <c r="IXX282" s="1824"/>
      <c r="IXY282" s="1824"/>
      <c r="IXZ282" s="1824"/>
      <c r="IYA282" s="1824"/>
      <c r="IYB282" s="1824"/>
      <c r="IYC282" s="1824"/>
      <c r="IYD282" s="1824"/>
      <c r="IYE282" s="1824"/>
      <c r="IYF282" s="1824"/>
      <c r="IYG282" s="1824"/>
      <c r="IYH282" s="1824"/>
      <c r="IYI282" s="1824"/>
      <c r="IYJ282" s="1824"/>
      <c r="IYK282" s="1824"/>
      <c r="IYL282" s="1824"/>
      <c r="IYM282" s="1824"/>
      <c r="IYN282" s="1824"/>
      <c r="IYO282" s="1824"/>
      <c r="IYP282" s="1824"/>
      <c r="IYQ282" s="1824"/>
      <c r="IYR282" s="1824"/>
      <c r="IYS282" s="1824"/>
      <c r="IYT282" s="1824"/>
      <c r="IYU282" s="1824"/>
      <c r="IYV282" s="1824"/>
      <c r="IYW282" s="1824"/>
      <c r="IYX282" s="1824"/>
      <c r="IYY282" s="1824"/>
      <c r="IYZ282" s="1824"/>
      <c r="IZA282" s="1824"/>
      <c r="IZB282" s="1824"/>
      <c r="IZC282" s="1824"/>
      <c r="IZD282" s="1824"/>
      <c r="IZE282" s="1824"/>
      <c r="IZF282" s="1824"/>
      <c r="IZG282" s="1824"/>
      <c r="IZH282" s="1824"/>
      <c r="IZI282" s="1824"/>
      <c r="IZJ282" s="1824"/>
      <c r="IZK282" s="1824"/>
      <c r="IZL282" s="1824"/>
      <c r="IZM282" s="1824"/>
      <c r="IZN282" s="1824"/>
      <c r="IZO282" s="1824"/>
      <c r="IZP282" s="1824"/>
      <c r="IZQ282" s="1824"/>
      <c r="IZR282" s="1824"/>
      <c r="IZS282" s="1824"/>
      <c r="IZT282" s="1824"/>
      <c r="IZU282" s="1824"/>
      <c r="IZV282" s="1824"/>
      <c r="IZW282" s="1824"/>
      <c r="IZX282" s="1824"/>
      <c r="IZY282" s="1824"/>
      <c r="IZZ282" s="1824"/>
      <c r="JAA282" s="1824"/>
      <c r="JAB282" s="1824"/>
      <c r="JAC282" s="1824"/>
      <c r="JAD282" s="1824"/>
      <c r="JAE282" s="1824"/>
      <c r="JAF282" s="1824"/>
      <c r="JAG282" s="1824"/>
      <c r="JAH282" s="1824"/>
      <c r="JAI282" s="1824"/>
      <c r="JAJ282" s="1824"/>
      <c r="JAK282" s="1824"/>
      <c r="JAL282" s="1824"/>
      <c r="JAM282" s="1824"/>
      <c r="JAN282" s="1824"/>
      <c r="JAO282" s="1824"/>
      <c r="JAP282" s="1824"/>
      <c r="JAQ282" s="1824"/>
      <c r="JAR282" s="1824"/>
      <c r="JAS282" s="1824"/>
      <c r="JAT282" s="1824"/>
      <c r="JAU282" s="1824"/>
      <c r="JAV282" s="1824"/>
      <c r="JAW282" s="1824"/>
      <c r="JAX282" s="1824"/>
      <c r="JAY282" s="1824"/>
      <c r="JAZ282" s="1824"/>
      <c r="JBA282" s="1824"/>
      <c r="JBB282" s="1824"/>
      <c r="JBC282" s="1824"/>
      <c r="JBD282" s="1824"/>
      <c r="JBE282" s="1824"/>
      <c r="JBF282" s="1824"/>
      <c r="JBG282" s="1824"/>
      <c r="JBH282" s="1824"/>
      <c r="JBI282" s="1824"/>
      <c r="JBJ282" s="1824"/>
      <c r="JBK282" s="1824"/>
      <c r="JBL282" s="1824"/>
      <c r="JBM282" s="1824"/>
      <c r="JBN282" s="1824"/>
      <c r="JBO282" s="1824"/>
      <c r="JBP282" s="1824"/>
      <c r="JBQ282" s="1824"/>
      <c r="JBR282" s="1824"/>
      <c r="JBS282" s="1824"/>
      <c r="JBT282" s="1824"/>
      <c r="JBU282" s="1824"/>
      <c r="JBV282" s="1824"/>
      <c r="JBW282" s="1824"/>
      <c r="JBX282" s="1824"/>
      <c r="JBY282" s="1824"/>
      <c r="JBZ282" s="1824"/>
      <c r="JCA282" s="1824"/>
      <c r="JCB282" s="1824"/>
      <c r="JCC282" s="1824"/>
      <c r="JCD282" s="1824"/>
      <c r="JCE282" s="1824"/>
      <c r="JCF282" s="1824"/>
      <c r="JCG282" s="1824"/>
      <c r="JCH282" s="1824"/>
      <c r="JCI282" s="1824"/>
      <c r="JCJ282" s="1824"/>
      <c r="JCK282" s="1824"/>
      <c r="JCL282" s="1824"/>
      <c r="JCM282" s="1824"/>
      <c r="JCN282" s="1824"/>
      <c r="JCO282" s="1824"/>
      <c r="JCP282" s="1824"/>
      <c r="JCQ282" s="1824"/>
      <c r="JCR282" s="1824"/>
      <c r="JCS282" s="1824"/>
      <c r="JCT282" s="1824"/>
      <c r="JCU282" s="1824"/>
      <c r="JCV282" s="1824"/>
      <c r="JCW282" s="1824"/>
      <c r="JCX282" s="1824"/>
      <c r="JCY282" s="1824"/>
      <c r="JCZ282" s="1824"/>
      <c r="JDA282" s="1824"/>
      <c r="JDB282" s="1824"/>
      <c r="JDC282" s="1824"/>
      <c r="JDD282" s="1824"/>
      <c r="JDE282" s="1824"/>
      <c r="JDF282" s="1824"/>
      <c r="JDG282" s="1824"/>
      <c r="JDH282" s="1824"/>
      <c r="JDI282" s="1824"/>
      <c r="JDJ282" s="1824"/>
      <c r="JDK282" s="1824"/>
      <c r="JDL282" s="1824"/>
      <c r="JDM282" s="1824"/>
      <c r="JDN282" s="1824"/>
      <c r="JDO282" s="1824"/>
      <c r="JDP282" s="1824"/>
      <c r="JDQ282" s="1824"/>
      <c r="JDR282" s="1824"/>
      <c r="JDS282" s="1824"/>
      <c r="JDT282" s="1824"/>
      <c r="JDU282" s="1824"/>
      <c r="JDV282" s="1824"/>
      <c r="JDW282" s="1824"/>
      <c r="JDX282" s="1824"/>
      <c r="JDY282" s="1824"/>
      <c r="JDZ282" s="1824"/>
      <c r="JEA282" s="1824"/>
      <c r="JEB282" s="1824"/>
      <c r="JEC282" s="1824"/>
      <c r="JED282" s="1824"/>
      <c r="JEE282" s="1824"/>
      <c r="JEF282" s="1824"/>
      <c r="JEG282" s="1824"/>
      <c r="JEH282" s="1824"/>
      <c r="JEI282" s="1824"/>
      <c r="JEJ282" s="1824"/>
      <c r="JEK282" s="1824"/>
      <c r="JEL282" s="1824"/>
      <c r="JEM282" s="1824"/>
      <c r="JEN282" s="1824"/>
      <c r="JEO282" s="1824"/>
      <c r="JEP282" s="1824"/>
      <c r="JEQ282" s="1824"/>
      <c r="JER282" s="1824"/>
      <c r="JES282" s="1824"/>
      <c r="JET282" s="1824"/>
      <c r="JEU282" s="1824"/>
      <c r="JEV282" s="1824"/>
      <c r="JEW282" s="1824"/>
      <c r="JEX282" s="1824"/>
      <c r="JEY282" s="1824"/>
      <c r="JEZ282" s="1824"/>
      <c r="JFA282" s="1824"/>
      <c r="JFB282" s="1824"/>
      <c r="JFC282" s="1824"/>
      <c r="JFD282" s="1824"/>
      <c r="JFE282" s="1824"/>
      <c r="JFF282" s="1824"/>
      <c r="JFG282" s="1824"/>
      <c r="JFH282" s="1824"/>
      <c r="JFI282" s="1824"/>
      <c r="JFJ282" s="1824"/>
      <c r="JFK282" s="1824"/>
      <c r="JFL282" s="1824"/>
      <c r="JFM282" s="1824"/>
      <c r="JFN282" s="1824"/>
      <c r="JFO282" s="1824"/>
      <c r="JFP282" s="1824"/>
      <c r="JFQ282" s="1824"/>
      <c r="JFR282" s="1824"/>
      <c r="JFS282" s="1824"/>
      <c r="JFT282" s="1824"/>
      <c r="JFU282" s="1824"/>
      <c r="JFV282" s="1824"/>
      <c r="JFW282" s="1824"/>
      <c r="JFX282" s="1824"/>
      <c r="JFY282" s="1824"/>
      <c r="JFZ282" s="1824"/>
      <c r="JGA282" s="1824"/>
      <c r="JGB282" s="1824"/>
      <c r="JGC282" s="1824"/>
      <c r="JGD282" s="1824"/>
      <c r="JGE282" s="1824"/>
      <c r="JGF282" s="1824"/>
      <c r="JGG282" s="1824"/>
      <c r="JGH282" s="1824"/>
      <c r="JGI282" s="1824"/>
      <c r="JGJ282" s="1824"/>
      <c r="JGK282" s="1824"/>
      <c r="JGL282" s="1824"/>
      <c r="JGM282" s="1824"/>
      <c r="JGN282" s="1824"/>
      <c r="JGO282" s="1824"/>
      <c r="JGP282" s="1824"/>
      <c r="JGQ282" s="1824"/>
      <c r="JGR282" s="1824"/>
      <c r="JGS282" s="1824"/>
      <c r="JGT282" s="1824"/>
      <c r="JGU282" s="1824"/>
      <c r="JGV282" s="1824"/>
      <c r="JGW282" s="1824"/>
      <c r="JGX282" s="1824"/>
      <c r="JGY282" s="1824"/>
      <c r="JGZ282" s="1824"/>
      <c r="JHA282" s="1824"/>
      <c r="JHB282" s="1824"/>
      <c r="JHC282" s="1824"/>
      <c r="JHD282" s="1824"/>
      <c r="JHE282" s="1824"/>
      <c r="JHF282" s="1824"/>
      <c r="JHG282" s="1824"/>
      <c r="JHH282" s="1824"/>
      <c r="JHI282" s="1824"/>
      <c r="JHJ282" s="1824"/>
      <c r="JHK282" s="1824"/>
      <c r="JHL282" s="1824"/>
      <c r="JHM282" s="1824"/>
      <c r="JHN282" s="1824"/>
      <c r="JHO282" s="1824"/>
      <c r="JHP282" s="1824"/>
      <c r="JHQ282" s="1824"/>
      <c r="JHR282" s="1824"/>
      <c r="JHS282" s="1824"/>
      <c r="JHT282" s="1824"/>
      <c r="JHU282" s="1824"/>
      <c r="JHV282" s="1824"/>
      <c r="JHW282" s="1824"/>
      <c r="JHX282" s="1824"/>
      <c r="JHY282" s="1824"/>
      <c r="JHZ282" s="1824"/>
      <c r="JIA282" s="1824"/>
      <c r="JIB282" s="1824"/>
      <c r="JIC282" s="1824"/>
      <c r="JID282" s="1824"/>
      <c r="JIE282" s="1824"/>
      <c r="JIF282" s="1824"/>
      <c r="JIG282" s="1824"/>
      <c r="JIH282" s="1824"/>
      <c r="JII282" s="1824"/>
      <c r="JIJ282" s="1824"/>
      <c r="JIK282" s="1824"/>
      <c r="JIL282" s="1824"/>
      <c r="JIM282" s="1824"/>
      <c r="JIN282" s="1824"/>
      <c r="JIO282" s="1824"/>
      <c r="JIP282" s="1824"/>
      <c r="JIQ282" s="1824"/>
      <c r="JIR282" s="1824"/>
      <c r="JIS282" s="1824"/>
      <c r="JIT282" s="1824"/>
      <c r="JIU282" s="1824"/>
      <c r="JIV282" s="1824"/>
      <c r="JIW282" s="1824"/>
      <c r="JIX282" s="1824"/>
      <c r="JIY282" s="1824"/>
      <c r="JIZ282" s="1824"/>
      <c r="JJA282" s="1824"/>
      <c r="JJB282" s="1824"/>
      <c r="JJC282" s="1824"/>
      <c r="JJD282" s="1824"/>
      <c r="JJE282" s="1824"/>
      <c r="JJF282" s="1824"/>
      <c r="JJG282" s="1824"/>
      <c r="JJH282" s="1824"/>
      <c r="JJI282" s="1824"/>
      <c r="JJJ282" s="1824"/>
      <c r="JJK282" s="1824"/>
      <c r="JJL282" s="1824"/>
      <c r="JJM282" s="1824"/>
      <c r="JJN282" s="1824"/>
      <c r="JJO282" s="1824"/>
      <c r="JJP282" s="1824"/>
      <c r="JJQ282" s="1824"/>
      <c r="JJR282" s="1824"/>
      <c r="JJS282" s="1824"/>
      <c r="JJT282" s="1824"/>
      <c r="JJU282" s="1824"/>
      <c r="JJV282" s="1824"/>
      <c r="JJW282" s="1824"/>
      <c r="JJX282" s="1824"/>
      <c r="JJY282" s="1824"/>
      <c r="JJZ282" s="1824"/>
      <c r="JKA282" s="1824"/>
      <c r="JKB282" s="1824"/>
      <c r="JKC282" s="1824"/>
      <c r="JKD282" s="1824"/>
      <c r="JKE282" s="1824"/>
      <c r="JKF282" s="1824"/>
      <c r="JKG282" s="1824"/>
      <c r="JKH282" s="1824"/>
      <c r="JKI282" s="1824"/>
      <c r="JKJ282" s="1824"/>
      <c r="JKK282" s="1824"/>
      <c r="JKL282" s="1824"/>
      <c r="JKM282" s="1824"/>
      <c r="JKN282" s="1824"/>
      <c r="JKO282" s="1824"/>
      <c r="JKP282" s="1824"/>
      <c r="JKQ282" s="1824"/>
      <c r="JKR282" s="1824"/>
      <c r="JKS282" s="1824"/>
      <c r="JKT282" s="1824"/>
      <c r="JKU282" s="1824"/>
      <c r="JKV282" s="1824"/>
      <c r="JKW282" s="1824"/>
      <c r="JKX282" s="1824"/>
      <c r="JKY282" s="1824"/>
      <c r="JKZ282" s="1824"/>
      <c r="JLA282" s="1824"/>
      <c r="JLB282" s="1824"/>
      <c r="JLC282" s="1824"/>
      <c r="JLD282" s="1824"/>
      <c r="JLE282" s="1824"/>
      <c r="JLF282" s="1824"/>
      <c r="JLG282" s="1824"/>
      <c r="JLH282" s="1824"/>
      <c r="JLI282" s="1824"/>
      <c r="JLJ282" s="1824"/>
      <c r="JLK282" s="1824"/>
      <c r="JLL282" s="1824"/>
      <c r="JLM282" s="1824"/>
      <c r="JLN282" s="1824"/>
      <c r="JLO282" s="1824"/>
      <c r="JLP282" s="1824"/>
      <c r="JLQ282" s="1824"/>
      <c r="JLR282" s="1824"/>
      <c r="JLS282" s="1824"/>
      <c r="JLT282" s="1824"/>
      <c r="JLU282" s="1824"/>
      <c r="JLV282" s="1824"/>
      <c r="JLW282" s="1824"/>
      <c r="JLX282" s="1824"/>
      <c r="JLY282" s="1824"/>
      <c r="JLZ282" s="1824"/>
      <c r="JMA282" s="1824"/>
      <c r="JMB282" s="1824"/>
      <c r="JMC282" s="1824"/>
      <c r="JMD282" s="1824"/>
      <c r="JME282" s="1824"/>
      <c r="JMF282" s="1824"/>
      <c r="JMG282" s="1824"/>
      <c r="JMH282" s="1824"/>
      <c r="JMI282" s="1824"/>
      <c r="JMJ282" s="1824"/>
      <c r="JMK282" s="1824"/>
      <c r="JML282" s="1824"/>
      <c r="JMM282" s="1824"/>
      <c r="JMN282" s="1824"/>
      <c r="JMO282" s="1824"/>
      <c r="JMP282" s="1824"/>
      <c r="JMQ282" s="1824"/>
      <c r="JMR282" s="1824"/>
      <c r="JMS282" s="1824"/>
      <c r="JMT282" s="1824"/>
      <c r="JMU282" s="1824"/>
      <c r="JMV282" s="1824"/>
      <c r="JMW282" s="1824"/>
      <c r="JMX282" s="1824"/>
      <c r="JMY282" s="1824"/>
      <c r="JMZ282" s="1824"/>
      <c r="JNA282" s="1824"/>
      <c r="JNB282" s="1824"/>
      <c r="JNC282" s="1824"/>
      <c r="JND282" s="1824"/>
      <c r="JNE282" s="1824"/>
      <c r="JNF282" s="1824"/>
      <c r="JNG282" s="1824"/>
      <c r="JNH282" s="1824"/>
      <c r="JNI282" s="1824"/>
      <c r="JNJ282" s="1824"/>
      <c r="JNK282" s="1824"/>
      <c r="JNL282" s="1824"/>
      <c r="JNM282" s="1824"/>
      <c r="JNN282" s="1824"/>
      <c r="JNO282" s="1824"/>
      <c r="JNP282" s="1824"/>
      <c r="JNQ282" s="1824"/>
      <c r="JNR282" s="1824"/>
      <c r="JNS282" s="1824"/>
      <c r="JNT282" s="1824"/>
      <c r="JNU282" s="1824"/>
      <c r="JNV282" s="1824"/>
      <c r="JNW282" s="1824"/>
      <c r="JNX282" s="1824"/>
      <c r="JNY282" s="1824"/>
      <c r="JNZ282" s="1824"/>
      <c r="JOA282" s="1824"/>
      <c r="JOB282" s="1824"/>
      <c r="JOC282" s="1824"/>
      <c r="JOD282" s="1824"/>
      <c r="JOE282" s="1824"/>
      <c r="JOF282" s="1824"/>
      <c r="JOG282" s="1824"/>
      <c r="JOH282" s="1824"/>
      <c r="JOI282" s="1824"/>
      <c r="JOJ282" s="1824"/>
      <c r="JOK282" s="1824"/>
      <c r="JOL282" s="1824"/>
      <c r="JOM282" s="1824"/>
      <c r="JON282" s="1824"/>
      <c r="JOO282" s="1824"/>
      <c r="JOP282" s="1824"/>
      <c r="JOQ282" s="1824"/>
      <c r="JOR282" s="1824"/>
      <c r="JOS282" s="1824"/>
      <c r="JOT282" s="1824"/>
      <c r="JOU282" s="1824"/>
      <c r="JOV282" s="1824"/>
      <c r="JOW282" s="1824"/>
      <c r="JOX282" s="1824"/>
      <c r="JOY282" s="1824"/>
      <c r="JOZ282" s="1824"/>
      <c r="JPA282" s="1824"/>
      <c r="JPB282" s="1824"/>
      <c r="JPC282" s="1824"/>
      <c r="JPD282" s="1824"/>
      <c r="JPE282" s="1824"/>
      <c r="JPF282" s="1824"/>
      <c r="JPG282" s="1824"/>
      <c r="JPH282" s="1824"/>
      <c r="JPI282" s="1824"/>
      <c r="JPJ282" s="1824"/>
      <c r="JPK282" s="1824"/>
      <c r="JPL282" s="1824"/>
      <c r="JPM282" s="1824"/>
      <c r="JPN282" s="1824"/>
      <c r="JPO282" s="1824"/>
      <c r="JPP282" s="1824"/>
      <c r="JPQ282" s="1824"/>
      <c r="JPR282" s="1824"/>
      <c r="JPS282" s="1824"/>
      <c r="JPT282" s="1824"/>
      <c r="JPU282" s="1824"/>
      <c r="JPV282" s="1824"/>
      <c r="JPW282" s="1824"/>
      <c r="JPX282" s="1824"/>
      <c r="JPY282" s="1824"/>
      <c r="JPZ282" s="1824"/>
      <c r="JQA282" s="1824"/>
      <c r="JQB282" s="1824"/>
      <c r="JQC282" s="1824"/>
      <c r="JQD282" s="1824"/>
      <c r="JQE282" s="1824"/>
      <c r="JQF282" s="1824"/>
      <c r="JQG282" s="1824"/>
      <c r="JQH282" s="1824"/>
      <c r="JQI282" s="1824"/>
      <c r="JQJ282" s="1824"/>
      <c r="JQK282" s="1824"/>
      <c r="JQL282" s="1824"/>
      <c r="JQM282" s="1824"/>
      <c r="JQN282" s="1824"/>
      <c r="JQO282" s="1824"/>
      <c r="JQP282" s="1824"/>
      <c r="JQQ282" s="1824"/>
      <c r="JQR282" s="1824"/>
      <c r="JQS282" s="1824"/>
      <c r="JQT282" s="1824"/>
      <c r="JQU282" s="1824"/>
      <c r="JQV282" s="1824"/>
      <c r="JQW282" s="1824"/>
      <c r="JQX282" s="1824"/>
      <c r="JQY282" s="1824"/>
      <c r="JQZ282" s="1824"/>
      <c r="JRA282" s="1824"/>
      <c r="JRB282" s="1824"/>
      <c r="JRC282" s="1824"/>
      <c r="JRD282" s="1824"/>
      <c r="JRE282" s="1824"/>
      <c r="JRF282" s="1824"/>
      <c r="JRG282" s="1824"/>
      <c r="JRH282" s="1824"/>
      <c r="JRI282" s="1824"/>
      <c r="JRJ282" s="1824"/>
      <c r="JRK282" s="1824"/>
      <c r="JRL282" s="1824"/>
      <c r="JRM282" s="1824"/>
      <c r="JRN282" s="1824"/>
      <c r="JRO282" s="1824"/>
      <c r="JRP282" s="1824"/>
      <c r="JRQ282" s="1824"/>
      <c r="JRR282" s="1824"/>
      <c r="JRS282" s="1824"/>
      <c r="JRT282" s="1824"/>
      <c r="JRU282" s="1824"/>
      <c r="JRV282" s="1824"/>
      <c r="JRW282" s="1824"/>
      <c r="JRX282" s="1824"/>
      <c r="JRY282" s="1824"/>
      <c r="JRZ282" s="1824"/>
      <c r="JSA282" s="1824"/>
      <c r="JSB282" s="1824"/>
      <c r="JSC282" s="1824"/>
      <c r="JSD282" s="1824"/>
      <c r="JSE282" s="1824"/>
      <c r="JSF282" s="1824"/>
      <c r="JSG282" s="1824"/>
      <c r="JSH282" s="1824"/>
      <c r="JSI282" s="1824"/>
      <c r="JSJ282" s="1824"/>
      <c r="JSK282" s="1824"/>
      <c r="JSL282" s="1824"/>
      <c r="JSM282" s="1824"/>
      <c r="JSN282" s="1824"/>
      <c r="JSO282" s="1824"/>
      <c r="JSP282" s="1824"/>
      <c r="JSQ282" s="1824"/>
      <c r="JSR282" s="1824"/>
      <c r="JSS282" s="1824"/>
      <c r="JST282" s="1824"/>
      <c r="JSU282" s="1824"/>
      <c r="JSV282" s="1824"/>
      <c r="JSW282" s="1824"/>
      <c r="JSX282" s="1824"/>
      <c r="JSY282" s="1824"/>
      <c r="JSZ282" s="1824"/>
      <c r="JTA282" s="1824"/>
      <c r="JTB282" s="1824"/>
      <c r="JTC282" s="1824"/>
      <c r="JTD282" s="1824"/>
      <c r="JTE282" s="1824"/>
      <c r="JTF282" s="1824"/>
      <c r="JTG282" s="1824"/>
      <c r="JTH282" s="1824"/>
      <c r="JTI282" s="1824"/>
      <c r="JTJ282" s="1824"/>
      <c r="JTK282" s="1824"/>
      <c r="JTL282" s="1824"/>
      <c r="JTM282" s="1824"/>
      <c r="JTN282" s="1824"/>
      <c r="JTO282" s="1824"/>
      <c r="JTP282" s="1824"/>
      <c r="JTQ282" s="1824"/>
      <c r="JTR282" s="1824"/>
      <c r="JTS282" s="1824"/>
      <c r="JTT282" s="1824"/>
      <c r="JTU282" s="1824"/>
      <c r="JTV282" s="1824"/>
      <c r="JTW282" s="1824"/>
      <c r="JTX282" s="1824"/>
      <c r="JTY282" s="1824"/>
      <c r="JTZ282" s="1824"/>
      <c r="JUA282" s="1824"/>
      <c r="JUB282" s="1824"/>
      <c r="JUC282" s="1824"/>
      <c r="JUD282" s="1824"/>
      <c r="JUE282" s="1824"/>
      <c r="JUF282" s="1824"/>
      <c r="JUG282" s="1824"/>
      <c r="JUH282" s="1824"/>
      <c r="JUI282" s="1824"/>
      <c r="JUJ282" s="1824"/>
      <c r="JUK282" s="1824"/>
      <c r="JUL282" s="1824"/>
      <c r="JUM282" s="1824"/>
      <c r="JUN282" s="1824"/>
      <c r="JUO282" s="1824"/>
      <c r="JUP282" s="1824"/>
      <c r="JUQ282" s="1824"/>
      <c r="JUR282" s="1824"/>
      <c r="JUS282" s="1824"/>
      <c r="JUT282" s="1824"/>
      <c r="JUU282" s="1824"/>
      <c r="JUV282" s="1824"/>
      <c r="JUW282" s="1824"/>
      <c r="JUX282" s="1824"/>
      <c r="JUY282" s="1824"/>
      <c r="JUZ282" s="1824"/>
      <c r="JVA282" s="1824"/>
      <c r="JVB282" s="1824"/>
      <c r="JVC282" s="1824"/>
      <c r="JVD282" s="1824"/>
      <c r="JVE282" s="1824"/>
      <c r="JVF282" s="1824"/>
      <c r="JVG282" s="1824"/>
      <c r="JVH282" s="1824"/>
      <c r="JVI282" s="1824"/>
      <c r="JVJ282" s="1824"/>
      <c r="JVK282" s="1824"/>
      <c r="JVL282" s="1824"/>
      <c r="JVM282" s="1824"/>
      <c r="JVN282" s="1824"/>
      <c r="JVO282" s="1824"/>
      <c r="JVP282" s="1824"/>
      <c r="JVQ282" s="1824"/>
      <c r="JVR282" s="1824"/>
      <c r="JVS282" s="1824"/>
      <c r="JVT282" s="1824"/>
      <c r="JVU282" s="1824"/>
      <c r="JVV282" s="1824"/>
      <c r="JVW282" s="1824"/>
      <c r="JVX282" s="1824"/>
      <c r="JVY282" s="1824"/>
      <c r="JVZ282" s="1824"/>
      <c r="JWA282" s="1824"/>
      <c r="JWB282" s="1824"/>
      <c r="JWC282" s="1824"/>
      <c r="JWD282" s="1824"/>
      <c r="JWE282" s="1824"/>
      <c r="JWF282" s="1824"/>
      <c r="JWG282" s="1824"/>
      <c r="JWH282" s="1824"/>
      <c r="JWI282" s="1824"/>
      <c r="JWJ282" s="1824"/>
      <c r="JWK282" s="1824"/>
      <c r="JWL282" s="1824"/>
      <c r="JWM282" s="1824"/>
      <c r="JWN282" s="1824"/>
      <c r="JWO282" s="1824"/>
      <c r="JWP282" s="1824"/>
      <c r="JWQ282" s="1824"/>
      <c r="JWR282" s="1824"/>
      <c r="JWS282" s="1824"/>
      <c r="JWT282" s="1824"/>
      <c r="JWU282" s="1824"/>
      <c r="JWV282" s="1824"/>
      <c r="JWW282" s="1824"/>
      <c r="JWX282" s="1824"/>
      <c r="JWY282" s="1824"/>
      <c r="JWZ282" s="1824"/>
      <c r="JXA282" s="1824"/>
      <c r="JXB282" s="1824"/>
      <c r="JXC282" s="1824"/>
      <c r="JXD282" s="1824"/>
      <c r="JXE282" s="1824"/>
      <c r="JXF282" s="1824"/>
      <c r="JXG282" s="1824"/>
      <c r="JXH282" s="1824"/>
      <c r="JXI282" s="1824"/>
      <c r="JXJ282" s="1824"/>
      <c r="JXK282" s="1824"/>
      <c r="JXL282" s="1824"/>
      <c r="JXM282" s="1824"/>
      <c r="JXN282" s="1824"/>
      <c r="JXO282" s="1824"/>
      <c r="JXP282" s="1824"/>
      <c r="JXQ282" s="1824"/>
      <c r="JXR282" s="1824"/>
      <c r="JXS282" s="1824"/>
      <c r="JXT282" s="1824"/>
      <c r="JXU282" s="1824"/>
      <c r="JXV282" s="1824"/>
      <c r="JXW282" s="1824"/>
      <c r="JXX282" s="1824"/>
      <c r="JXY282" s="1824"/>
      <c r="JXZ282" s="1824"/>
      <c r="JYA282" s="1824"/>
      <c r="JYB282" s="1824"/>
      <c r="JYC282" s="1824"/>
      <c r="JYD282" s="1824"/>
      <c r="JYE282" s="1824"/>
      <c r="JYF282" s="1824"/>
      <c r="JYG282" s="1824"/>
      <c r="JYH282" s="1824"/>
      <c r="JYI282" s="1824"/>
      <c r="JYJ282" s="1824"/>
      <c r="JYK282" s="1824"/>
      <c r="JYL282" s="1824"/>
      <c r="JYM282" s="1824"/>
      <c r="JYN282" s="1824"/>
      <c r="JYO282" s="1824"/>
      <c r="JYP282" s="1824"/>
      <c r="JYQ282" s="1824"/>
      <c r="JYR282" s="1824"/>
      <c r="JYS282" s="1824"/>
      <c r="JYT282" s="1824"/>
      <c r="JYU282" s="1824"/>
      <c r="JYV282" s="1824"/>
      <c r="JYW282" s="1824"/>
      <c r="JYX282" s="1824"/>
      <c r="JYY282" s="1824"/>
      <c r="JYZ282" s="1824"/>
      <c r="JZA282" s="1824"/>
      <c r="JZB282" s="1824"/>
      <c r="JZC282" s="1824"/>
      <c r="JZD282" s="1824"/>
      <c r="JZE282" s="1824"/>
      <c r="JZF282" s="1824"/>
      <c r="JZG282" s="1824"/>
      <c r="JZH282" s="1824"/>
      <c r="JZI282" s="1824"/>
      <c r="JZJ282" s="1824"/>
      <c r="JZK282" s="1824"/>
      <c r="JZL282" s="1824"/>
      <c r="JZM282" s="1824"/>
      <c r="JZN282" s="1824"/>
      <c r="JZO282" s="1824"/>
      <c r="JZP282" s="1824"/>
      <c r="JZQ282" s="1824"/>
      <c r="JZR282" s="1824"/>
      <c r="JZS282" s="1824"/>
      <c r="JZT282" s="1824"/>
      <c r="JZU282" s="1824"/>
      <c r="JZV282" s="1824"/>
      <c r="JZW282" s="1824"/>
      <c r="JZX282" s="1824"/>
      <c r="JZY282" s="1824"/>
      <c r="JZZ282" s="1824"/>
      <c r="KAA282" s="1824"/>
      <c r="KAB282" s="1824"/>
      <c r="KAC282" s="1824"/>
      <c r="KAD282" s="1824"/>
      <c r="KAE282" s="1824"/>
      <c r="KAF282" s="1824"/>
      <c r="KAG282" s="1824"/>
      <c r="KAH282" s="1824"/>
      <c r="KAI282" s="1824"/>
      <c r="KAJ282" s="1824"/>
      <c r="KAK282" s="1824"/>
      <c r="KAL282" s="1824"/>
      <c r="KAM282" s="1824"/>
      <c r="KAN282" s="1824"/>
      <c r="KAO282" s="1824"/>
      <c r="KAP282" s="1824"/>
      <c r="KAQ282" s="1824"/>
      <c r="KAR282" s="1824"/>
      <c r="KAS282" s="1824"/>
      <c r="KAT282" s="1824"/>
      <c r="KAU282" s="1824"/>
      <c r="KAV282" s="1824"/>
      <c r="KAW282" s="1824"/>
      <c r="KAX282" s="1824"/>
      <c r="KAY282" s="1824"/>
      <c r="KAZ282" s="1824"/>
      <c r="KBA282" s="1824"/>
      <c r="KBB282" s="1824"/>
      <c r="KBC282" s="1824"/>
      <c r="KBD282" s="1824"/>
      <c r="KBE282" s="1824"/>
      <c r="KBF282" s="1824"/>
      <c r="KBG282" s="1824"/>
      <c r="KBH282" s="1824"/>
      <c r="KBI282" s="1824"/>
      <c r="KBJ282" s="1824"/>
      <c r="KBK282" s="1824"/>
      <c r="KBL282" s="1824"/>
      <c r="KBM282" s="1824"/>
      <c r="KBN282" s="1824"/>
      <c r="KBO282" s="1824"/>
      <c r="KBP282" s="1824"/>
      <c r="KBQ282" s="1824"/>
      <c r="KBR282" s="1824"/>
      <c r="KBS282" s="1824"/>
      <c r="KBT282" s="1824"/>
      <c r="KBU282" s="1824"/>
      <c r="KBV282" s="1824"/>
      <c r="KBW282" s="1824"/>
      <c r="KBX282" s="1824"/>
      <c r="KBY282" s="1824"/>
      <c r="KBZ282" s="1824"/>
      <c r="KCA282" s="1824"/>
      <c r="KCB282" s="1824"/>
      <c r="KCC282" s="1824"/>
      <c r="KCD282" s="1824"/>
      <c r="KCE282" s="1824"/>
      <c r="KCF282" s="1824"/>
      <c r="KCG282" s="1824"/>
      <c r="KCH282" s="1824"/>
      <c r="KCI282" s="1824"/>
      <c r="KCJ282" s="1824"/>
      <c r="KCK282" s="1824"/>
      <c r="KCL282" s="1824"/>
      <c r="KCM282" s="1824"/>
      <c r="KCN282" s="1824"/>
      <c r="KCO282" s="1824"/>
      <c r="KCP282" s="1824"/>
      <c r="KCQ282" s="1824"/>
      <c r="KCR282" s="1824"/>
      <c r="KCS282" s="1824"/>
      <c r="KCT282" s="1824"/>
      <c r="KCU282" s="1824"/>
      <c r="KCV282" s="1824"/>
      <c r="KCW282" s="1824"/>
      <c r="KCX282" s="1824"/>
      <c r="KCY282" s="1824"/>
      <c r="KCZ282" s="1824"/>
      <c r="KDA282" s="1824"/>
      <c r="KDB282" s="1824"/>
      <c r="KDC282" s="1824"/>
      <c r="KDD282" s="1824"/>
      <c r="KDE282" s="1824"/>
      <c r="KDF282" s="1824"/>
      <c r="KDG282" s="1824"/>
      <c r="KDH282" s="1824"/>
      <c r="KDI282" s="1824"/>
      <c r="KDJ282" s="1824"/>
      <c r="KDK282" s="1824"/>
      <c r="KDL282" s="1824"/>
      <c r="KDM282" s="1824"/>
      <c r="KDN282" s="1824"/>
      <c r="KDO282" s="1824"/>
      <c r="KDP282" s="1824"/>
      <c r="KDQ282" s="1824"/>
      <c r="KDR282" s="1824"/>
      <c r="KDS282" s="1824"/>
      <c r="KDT282" s="1824"/>
      <c r="KDU282" s="1824"/>
      <c r="KDV282" s="1824"/>
      <c r="KDW282" s="1824"/>
      <c r="KDX282" s="1824"/>
      <c r="KDY282" s="1824"/>
      <c r="KDZ282" s="1824"/>
      <c r="KEA282" s="1824"/>
      <c r="KEB282" s="1824"/>
      <c r="KEC282" s="1824"/>
      <c r="KED282" s="1824"/>
      <c r="KEE282" s="1824"/>
      <c r="KEF282" s="1824"/>
      <c r="KEG282" s="1824"/>
      <c r="KEH282" s="1824"/>
      <c r="KEI282" s="1824"/>
      <c r="KEJ282" s="1824"/>
      <c r="KEK282" s="1824"/>
      <c r="KEL282" s="1824"/>
      <c r="KEM282" s="1824"/>
      <c r="KEN282" s="1824"/>
      <c r="KEO282" s="1824"/>
      <c r="KEP282" s="1824"/>
      <c r="KEQ282" s="1824"/>
      <c r="KER282" s="1824"/>
      <c r="KES282" s="1824"/>
      <c r="KET282" s="1824"/>
      <c r="KEU282" s="1824"/>
      <c r="KEV282" s="1824"/>
      <c r="KEW282" s="1824"/>
      <c r="KEX282" s="1824"/>
      <c r="KEY282" s="1824"/>
      <c r="KEZ282" s="1824"/>
      <c r="KFA282" s="1824"/>
      <c r="KFB282" s="1824"/>
      <c r="KFC282" s="1824"/>
      <c r="KFD282" s="1824"/>
      <c r="KFE282" s="1824"/>
      <c r="KFF282" s="1824"/>
      <c r="KFG282" s="1824"/>
      <c r="KFH282" s="1824"/>
      <c r="KFI282" s="1824"/>
      <c r="KFJ282" s="1824"/>
      <c r="KFK282" s="1824"/>
      <c r="KFL282" s="1824"/>
      <c r="KFM282" s="1824"/>
      <c r="KFN282" s="1824"/>
      <c r="KFO282" s="1824"/>
      <c r="KFP282" s="1824"/>
      <c r="KFQ282" s="1824"/>
      <c r="KFR282" s="1824"/>
      <c r="KFS282" s="1824"/>
      <c r="KFT282" s="1824"/>
      <c r="KFU282" s="1824"/>
      <c r="KFV282" s="1824"/>
      <c r="KFW282" s="1824"/>
      <c r="KFX282" s="1824"/>
      <c r="KFY282" s="1824"/>
      <c r="KFZ282" s="1824"/>
      <c r="KGA282" s="1824"/>
      <c r="KGB282" s="1824"/>
      <c r="KGC282" s="1824"/>
      <c r="KGD282" s="1824"/>
      <c r="KGE282" s="1824"/>
      <c r="KGF282" s="1824"/>
      <c r="KGG282" s="1824"/>
      <c r="KGH282" s="1824"/>
      <c r="KGI282" s="1824"/>
      <c r="KGJ282" s="1824"/>
      <c r="KGK282" s="1824"/>
      <c r="KGL282" s="1824"/>
      <c r="KGM282" s="1824"/>
      <c r="KGN282" s="1824"/>
      <c r="KGO282" s="1824"/>
      <c r="KGP282" s="1824"/>
      <c r="KGQ282" s="1824"/>
      <c r="KGR282" s="1824"/>
      <c r="KGS282" s="1824"/>
      <c r="KGT282" s="1824"/>
      <c r="KGU282" s="1824"/>
      <c r="KGV282" s="1824"/>
      <c r="KGW282" s="1824"/>
      <c r="KGX282" s="1824"/>
      <c r="KGY282" s="1824"/>
      <c r="KGZ282" s="1824"/>
      <c r="KHA282" s="1824"/>
      <c r="KHB282" s="1824"/>
      <c r="KHC282" s="1824"/>
      <c r="KHD282" s="1824"/>
      <c r="KHE282" s="1824"/>
      <c r="KHF282" s="1824"/>
      <c r="KHG282" s="1824"/>
      <c r="KHH282" s="1824"/>
      <c r="KHI282" s="1824"/>
      <c r="KHJ282" s="1824"/>
      <c r="KHK282" s="1824"/>
      <c r="KHL282" s="1824"/>
      <c r="KHM282" s="1824"/>
      <c r="KHN282" s="1824"/>
      <c r="KHO282" s="1824"/>
      <c r="KHP282" s="1824"/>
      <c r="KHQ282" s="1824"/>
      <c r="KHR282" s="1824"/>
      <c r="KHS282" s="1824"/>
      <c r="KHT282" s="1824"/>
      <c r="KHU282" s="1824"/>
      <c r="KHV282" s="1824"/>
      <c r="KHW282" s="1824"/>
      <c r="KHX282" s="1824"/>
      <c r="KHY282" s="1824"/>
      <c r="KHZ282" s="1824"/>
      <c r="KIA282" s="1824"/>
      <c r="KIB282" s="1824"/>
      <c r="KIC282" s="1824"/>
      <c r="KID282" s="1824"/>
      <c r="KIE282" s="1824"/>
      <c r="KIF282" s="1824"/>
      <c r="KIG282" s="1824"/>
      <c r="KIH282" s="1824"/>
      <c r="KII282" s="1824"/>
      <c r="KIJ282" s="1824"/>
      <c r="KIK282" s="1824"/>
      <c r="KIL282" s="1824"/>
      <c r="KIM282" s="1824"/>
      <c r="KIN282" s="1824"/>
      <c r="KIO282" s="1824"/>
      <c r="KIP282" s="1824"/>
      <c r="KIQ282" s="1824"/>
      <c r="KIR282" s="1824"/>
      <c r="KIS282" s="1824"/>
      <c r="KIT282" s="1824"/>
      <c r="KIU282" s="1824"/>
      <c r="KIV282" s="1824"/>
      <c r="KIW282" s="1824"/>
      <c r="KIX282" s="1824"/>
      <c r="KIY282" s="1824"/>
      <c r="KIZ282" s="1824"/>
      <c r="KJA282" s="1824"/>
      <c r="KJB282" s="1824"/>
      <c r="KJC282" s="1824"/>
      <c r="KJD282" s="1824"/>
      <c r="KJE282" s="1824"/>
      <c r="KJF282" s="1824"/>
      <c r="KJG282" s="1824"/>
      <c r="KJH282" s="1824"/>
      <c r="KJI282" s="1824"/>
      <c r="KJJ282" s="1824"/>
      <c r="KJK282" s="1824"/>
      <c r="KJL282" s="1824"/>
      <c r="KJM282" s="1824"/>
      <c r="KJN282" s="1824"/>
      <c r="KJO282" s="1824"/>
      <c r="KJP282" s="1824"/>
      <c r="KJQ282" s="1824"/>
      <c r="KJR282" s="1824"/>
      <c r="KJS282" s="1824"/>
      <c r="KJT282" s="1824"/>
      <c r="KJU282" s="1824"/>
      <c r="KJV282" s="1824"/>
      <c r="KJW282" s="1824"/>
      <c r="KJX282" s="1824"/>
      <c r="KJY282" s="1824"/>
      <c r="KJZ282" s="1824"/>
      <c r="KKA282" s="1824"/>
      <c r="KKB282" s="1824"/>
      <c r="KKC282" s="1824"/>
      <c r="KKD282" s="1824"/>
      <c r="KKE282" s="1824"/>
      <c r="KKF282" s="1824"/>
      <c r="KKG282" s="1824"/>
      <c r="KKH282" s="1824"/>
      <c r="KKI282" s="1824"/>
      <c r="KKJ282" s="1824"/>
      <c r="KKK282" s="1824"/>
      <c r="KKL282" s="1824"/>
      <c r="KKM282" s="1824"/>
      <c r="KKN282" s="1824"/>
      <c r="KKO282" s="1824"/>
      <c r="KKP282" s="1824"/>
      <c r="KKQ282" s="1824"/>
      <c r="KKR282" s="1824"/>
      <c r="KKS282" s="1824"/>
      <c r="KKT282" s="1824"/>
      <c r="KKU282" s="1824"/>
      <c r="KKV282" s="1824"/>
      <c r="KKW282" s="1824"/>
      <c r="KKX282" s="1824"/>
      <c r="KKY282" s="1824"/>
      <c r="KKZ282" s="1824"/>
      <c r="KLA282" s="1824"/>
      <c r="KLB282" s="1824"/>
      <c r="KLC282" s="1824"/>
      <c r="KLD282" s="1824"/>
      <c r="KLE282" s="1824"/>
      <c r="KLF282" s="1824"/>
      <c r="KLG282" s="1824"/>
      <c r="KLH282" s="1824"/>
      <c r="KLI282" s="1824"/>
      <c r="KLJ282" s="1824"/>
      <c r="KLK282" s="1824"/>
      <c r="KLL282" s="1824"/>
      <c r="KLM282" s="1824"/>
      <c r="KLN282" s="1824"/>
      <c r="KLO282" s="1824"/>
      <c r="KLP282" s="1824"/>
      <c r="KLQ282" s="1824"/>
      <c r="KLR282" s="1824"/>
      <c r="KLS282" s="1824"/>
      <c r="KLT282" s="1824"/>
      <c r="KLU282" s="1824"/>
      <c r="KLV282" s="1824"/>
      <c r="KLW282" s="1824"/>
      <c r="KLX282" s="1824"/>
      <c r="KLY282" s="1824"/>
      <c r="KLZ282" s="1824"/>
      <c r="KMA282" s="1824"/>
      <c r="KMB282" s="1824"/>
      <c r="KMC282" s="1824"/>
      <c r="KMD282" s="1824"/>
      <c r="KME282" s="1824"/>
      <c r="KMF282" s="1824"/>
      <c r="KMG282" s="1824"/>
      <c r="KMH282" s="1824"/>
      <c r="KMI282" s="1824"/>
      <c r="KMJ282" s="1824"/>
      <c r="KMK282" s="1824"/>
      <c r="KML282" s="1824"/>
      <c r="KMM282" s="1824"/>
      <c r="KMN282" s="1824"/>
      <c r="KMO282" s="1824"/>
      <c r="KMP282" s="1824"/>
      <c r="KMQ282" s="1824"/>
      <c r="KMR282" s="1824"/>
      <c r="KMS282" s="1824"/>
      <c r="KMT282" s="1824"/>
      <c r="KMU282" s="1824"/>
      <c r="KMV282" s="1824"/>
      <c r="KMW282" s="1824"/>
      <c r="KMX282" s="1824"/>
      <c r="KMY282" s="1824"/>
      <c r="KMZ282" s="1824"/>
      <c r="KNA282" s="1824"/>
      <c r="KNB282" s="1824"/>
      <c r="KNC282" s="1824"/>
      <c r="KND282" s="1824"/>
      <c r="KNE282" s="1824"/>
      <c r="KNF282" s="1824"/>
      <c r="KNG282" s="1824"/>
      <c r="KNH282" s="1824"/>
      <c r="KNI282" s="1824"/>
      <c r="KNJ282" s="1824"/>
      <c r="KNK282" s="1824"/>
      <c r="KNL282" s="1824"/>
      <c r="KNM282" s="1824"/>
      <c r="KNN282" s="1824"/>
      <c r="KNO282" s="1824"/>
      <c r="KNP282" s="1824"/>
      <c r="KNQ282" s="1824"/>
      <c r="KNR282" s="1824"/>
      <c r="KNS282" s="1824"/>
      <c r="KNT282" s="1824"/>
      <c r="KNU282" s="1824"/>
      <c r="KNV282" s="1824"/>
      <c r="KNW282" s="1824"/>
      <c r="KNX282" s="1824"/>
      <c r="KNY282" s="1824"/>
      <c r="KNZ282" s="1824"/>
      <c r="KOA282" s="1824"/>
      <c r="KOB282" s="1824"/>
      <c r="KOC282" s="1824"/>
      <c r="KOD282" s="1824"/>
      <c r="KOE282" s="1824"/>
      <c r="KOF282" s="1824"/>
      <c r="KOG282" s="1824"/>
      <c r="KOH282" s="1824"/>
      <c r="KOI282" s="1824"/>
      <c r="KOJ282" s="1824"/>
      <c r="KOK282" s="1824"/>
      <c r="KOL282" s="1824"/>
      <c r="KOM282" s="1824"/>
      <c r="KON282" s="1824"/>
      <c r="KOO282" s="1824"/>
      <c r="KOP282" s="1824"/>
      <c r="KOQ282" s="1824"/>
      <c r="KOR282" s="1824"/>
      <c r="KOS282" s="1824"/>
      <c r="KOT282" s="1824"/>
      <c r="KOU282" s="1824"/>
      <c r="KOV282" s="1824"/>
      <c r="KOW282" s="1824"/>
      <c r="KOX282" s="1824"/>
      <c r="KOY282" s="1824"/>
      <c r="KOZ282" s="1824"/>
      <c r="KPA282" s="1824"/>
      <c r="KPB282" s="1824"/>
      <c r="KPC282" s="1824"/>
      <c r="KPD282" s="1824"/>
      <c r="KPE282" s="1824"/>
      <c r="KPF282" s="1824"/>
      <c r="KPG282" s="1824"/>
      <c r="KPH282" s="1824"/>
      <c r="KPI282" s="1824"/>
      <c r="KPJ282" s="1824"/>
      <c r="KPK282" s="1824"/>
      <c r="KPL282" s="1824"/>
      <c r="KPM282" s="1824"/>
      <c r="KPN282" s="1824"/>
      <c r="KPO282" s="1824"/>
      <c r="KPP282" s="1824"/>
      <c r="KPQ282" s="1824"/>
      <c r="KPR282" s="1824"/>
      <c r="KPS282" s="1824"/>
      <c r="KPT282" s="1824"/>
      <c r="KPU282" s="1824"/>
      <c r="KPV282" s="1824"/>
      <c r="KPW282" s="1824"/>
      <c r="KPX282" s="1824"/>
      <c r="KPY282" s="1824"/>
      <c r="KPZ282" s="1824"/>
      <c r="KQA282" s="1824"/>
      <c r="KQB282" s="1824"/>
      <c r="KQC282" s="1824"/>
      <c r="KQD282" s="1824"/>
      <c r="KQE282" s="1824"/>
      <c r="KQF282" s="1824"/>
      <c r="KQG282" s="1824"/>
      <c r="KQH282" s="1824"/>
      <c r="KQI282" s="1824"/>
      <c r="KQJ282" s="1824"/>
      <c r="KQK282" s="1824"/>
      <c r="KQL282" s="1824"/>
      <c r="KQM282" s="1824"/>
      <c r="KQN282" s="1824"/>
      <c r="KQO282" s="1824"/>
      <c r="KQP282" s="1824"/>
      <c r="KQQ282" s="1824"/>
      <c r="KQR282" s="1824"/>
      <c r="KQS282" s="1824"/>
      <c r="KQT282" s="1824"/>
      <c r="KQU282" s="1824"/>
      <c r="KQV282" s="1824"/>
      <c r="KQW282" s="1824"/>
      <c r="KQX282" s="1824"/>
      <c r="KQY282" s="1824"/>
      <c r="KQZ282" s="1824"/>
      <c r="KRA282" s="1824"/>
      <c r="KRB282" s="1824"/>
      <c r="KRC282" s="1824"/>
      <c r="KRD282" s="1824"/>
      <c r="KRE282" s="1824"/>
      <c r="KRF282" s="1824"/>
      <c r="KRG282" s="1824"/>
      <c r="KRH282" s="1824"/>
      <c r="KRI282" s="1824"/>
      <c r="KRJ282" s="1824"/>
      <c r="KRK282" s="1824"/>
      <c r="KRL282" s="1824"/>
      <c r="KRM282" s="1824"/>
      <c r="KRN282" s="1824"/>
      <c r="KRO282" s="1824"/>
      <c r="KRP282" s="1824"/>
      <c r="KRQ282" s="1824"/>
      <c r="KRR282" s="1824"/>
      <c r="KRS282" s="1824"/>
      <c r="KRT282" s="1824"/>
      <c r="KRU282" s="1824"/>
      <c r="KRV282" s="1824"/>
      <c r="KRW282" s="1824"/>
      <c r="KRX282" s="1824"/>
      <c r="KRY282" s="1824"/>
      <c r="KRZ282" s="1824"/>
      <c r="KSA282" s="1824"/>
      <c r="KSB282" s="1824"/>
      <c r="KSC282" s="1824"/>
      <c r="KSD282" s="1824"/>
      <c r="KSE282" s="1824"/>
      <c r="KSF282" s="1824"/>
      <c r="KSG282" s="1824"/>
      <c r="KSH282" s="1824"/>
      <c r="KSI282" s="1824"/>
      <c r="KSJ282" s="1824"/>
      <c r="KSK282" s="1824"/>
      <c r="KSL282" s="1824"/>
      <c r="KSM282" s="1824"/>
      <c r="KSN282" s="1824"/>
      <c r="KSO282" s="1824"/>
      <c r="KSP282" s="1824"/>
      <c r="KSQ282" s="1824"/>
      <c r="KSR282" s="1824"/>
      <c r="KSS282" s="1824"/>
      <c r="KST282" s="1824"/>
      <c r="KSU282" s="1824"/>
      <c r="KSV282" s="1824"/>
      <c r="KSW282" s="1824"/>
      <c r="KSX282" s="1824"/>
      <c r="KSY282" s="1824"/>
      <c r="KSZ282" s="1824"/>
      <c r="KTA282" s="1824"/>
      <c r="KTB282" s="1824"/>
      <c r="KTC282" s="1824"/>
      <c r="KTD282" s="1824"/>
      <c r="KTE282" s="1824"/>
      <c r="KTF282" s="1824"/>
      <c r="KTG282" s="1824"/>
      <c r="KTH282" s="1824"/>
      <c r="KTI282" s="1824"/>
      <c r="KTJ282" s="1824"/>
      <c r="KTK282" s="1824"/>
      <c r="KTL282" s="1824"/>
      <c r="KTM282" s="1824"/>
      <c r="KTN282" s="1824"/>
      <c r="KTO282" s="1824"/>
      <c r="KTP282" s="1824"/>
      <c r="KTQ282" s="1824"/>
      <c r="KTR282" s="1824"/>
      <c r="KTS282" s="1824"/>
      <c r="KTT282" s="1824"/>
      <c r="KTU282" s="1824"/>
      <c r="KTV282" s="1824"/>
      <c r="KTW282" s="1824"/>
      <c r="KTX282" s="1824"/>
      <c r="KTY282" s="1824"/>
      <c r="KTZ282" s="1824"/>
      <c r="KUA282" s="1824"/>
      <c r="KUB282" s="1824"/>
      <c r="KUC282" s="1824"/>
      <c r="KUD282" s="1824"/>
      <c r="KUE282" s="1824"/>
      <c r="KUF282" s="1824"/>
      <c r="KUG282" s="1824"/>
      <c r="KUH282" s="1824"/>
      <c r="KUI282" s="1824"/>
      <c r="KUJ282" s="1824"/>
      <c r="KUK282" s="1824"/>
      <c r="KUL282" s="1824"/>
      <c r="KUM282" s="1824"/>
      <c r="KUN282" s="1824"/>
      <c r="KUO282" s="1824"/>
      <c r="KUP282" s="1824"/>
      <c r="KUQ282" s="1824"/>
      <c r="KUR282" s="1824"/>
      <c r="KUS282" s="1824"/>
      <c r="KUT282" s="1824"/>
      <c r="KUU282" s="1824"/>
      <c r="KUV282" s="1824"/>
      <c r="KUW282" s="1824"/>
      <c r="KUX282" s="1824"/>
      <c r="KUY282" s="1824"/>
      <c r="KUZ282" s="1824"/>
      <c r="KVA282" s="1824"/>
      <c r="KVB282" s="1824"/>
      <c r="KVC282" s="1824"/>
      <c r="KVD282" s="1824"/>
      <c r="KVE282" s="1824"/>
      <c r="KVF282" s="1824"/>
      <c r="KVG282" s="1824"/>
      <c r="KVH282" s="1824"/>
      <c r="KVI282" s="1824"/>
      <c r="KVJ282" s="1824"/>
      <c r="KVK282" s="1824"/>
      <c r="KVL282" s="1824"/>
      <c r="KVM282" s="1824"/>
      <c r="KVN282" s="1824"/>
      <c r="KVO282" s="1824"/>
      <c r="KVP282" s="1824"/>
      <c r="KVQ282" s="1824"/>
      <c r="KVR282" s="1824"/>
      <c r="KVS282" s="1824"/>
      <c r="KVT282" s="1824"/>
      <c r="KVU282" s="1824"/>
      <c r="KVV282" s="1824"/>
      <c r="KVW282" s="1824"/>
      <c r="KVX282" s="1824"/>
      <c r="KVY282" s="1824"/>
      <c r="KVZ282" s="1824"/>
      <c r="KWA282" s="1824"/>
      <c r="KWB282" s="1824"/>
      <c r="KWC282" s="1824"/>
      <c r="KWD282" s="1824"/>
      <c r="KWE282" s="1824"/>
      <c r="KWF282" s="1824"/>
      <c r="KWG282" s="1824"/>
      <c r="KWH282" s="1824"/>
      <c r="KWI282" s="1824"/>
      <c r="KWJ282" s="1824"/>
      <c r="KWK282" s="1824"/>
      <c r="KWL282" s="1824"/>
      <c r="KWM282" s="1824"/>
      <c r="KWN282" s="1824"/>
      <c r="KWO282" s="1824"/>
      <c r="KWP282" s="1824"/>
      <c r="KWQ282" s="1824"/>
      <c r="KWR282" s="1824"/>
      <c r="KWS282" s="1824"/>
      <c r="KWT282" s="1824"/>
      <c r="KWU282" s="1824"/>
      <c r="KWV282" s="1824"/>
      <c r="KWW282" s="1824"/>
      <c r="KWX282" s="1824"/>
      <c r="KWY282" s="1824"/>
      <c r="KWZ282" s="1824"/>
      <c r="KXA282" s="1824"/>
      <c r="KXB282" s="1824"/>
      <c r="KXC282" s="1824"/>
      <c r="KXD282" s="1824"/>
      <c r="KXE282" s="1824"/>
      <c r="KXF282" s="1824"/>
      <c r="KXG282" s="1824"/>
      <c r="KXH282" s="1824"/>
      <c r="KXI282" s="1824"/>
      <c r="KXJ282" s="1824"/>
      <c r="KXK282" s="1824"/>
      <c r="KXL282" s="1824"/>
      <c r="KXM282" s="1824"/>
      <c r="KXN282" s="1824"/>
      <c r="KXO282" s="1824"/>
      <c r="KXP282" s="1824"/>
      <c r="KXQ282" s="1824"/>
      <c r="KXR282" s="1824"/>
      <c r="KXS282" s="1824"/>
      <c r="KXT282" s="1824"/>
      <c r="KXU282" s="1824"/>
      <c r="KXV282" s="1824"/>
      <c r="KXW282" s="1824"/>
      <c r="KXX282" s="1824"/>
      <c r="KXY282" s="1824"/>
      <c r="KXZ282" s="1824"/>
      <c r="KYA282" s="1824"/>
      <c r="KYB282" s="1824"/>
      <c r="KYC282" s="1824"/>
      <c r="KYD282" s="1824"/>
      <c r="KYE282" s="1824"/>
      <c r="KYF282" s="1824"/>
      <c r="KYG282" s="1824"/>
      <c r="KYH282" s="1824"/>
      <c r="KYI282" s="1824"/>
      <c r="KYJ282" s="1824"/>
      <c r="KYK282" s="1824"/>
      <c r="KYL282" s="1824"/>
      <c r="KYM282" s="1824"/>
      <c r="KYN282" s="1824"/>
      <c r="KYO282" s="1824"/>
      <c r="KYP282" s="1824"/>
      <c r="KYQ282" s="1824"/>
      <c r="KYR282" s="1824"/>
      <c r="KYS282" s="1824"/>
      <c r="KYT282" s="1824"/>
      <c r="KYU282" s="1824"/>
      <c r="KYV282" s="1824"/>
      <c r="KYW282" s="1824"/>
      <c r="KYX282" s="1824"/>
      <c r="KYY282" s="1824"/>
      <c r="KYZ282" s="1824"/>
      <c r="KZA282" s="1824"/>
      <c r="KZB282" s="1824"/>
      <c r="KZC282" s="1824"/>
      <c r="KZD282" s="1824"/>
      <c r="KZE282" s="1824"/>
      <c r="KZF282" s="1824"/>
      <c r="KZG282" s="1824"/>
      <c r="KZH282" s="1824"/>
      <c r="KZI282" s="1824"/>
      <c r="KZJ282" s="1824"/>
      <c r="KZK282" s="1824"/>
      <c r="KZL282" s="1824"/>
      <c r="KZM282" s="1824"/>
      <c r="KZN282" s="1824"/>
      <c r="KZO282" s="1824"/>
      <c r="KZP282" s="1824"/>
      <c r="KZQ282" s="1824"/>
      <c r="KZR282" s="1824"/>
      <c r="KZS282" s="1824"/>
      <c r="KZT282" s="1824"/>
      <c r="KZU282" s="1824"/>
      <c r="KZV282" s="1824"/>
      <c r="KZW282" s="1824"/>
      <c r="KZX282" s="1824"/>
      <c r="KZY282" s="1824"/>
      <c r="KZZ282" s="1824"/>
      <c r="LAA282" s="1824"/>
      <c r="LAB282" s="1824"/>
      <c r="LAC282" s="1824"/>
      <c r="LAD282" s="1824"/>
      <c r="LAE282" s="1824"/>
      <c r="LAF282" s="1824"/>
      <c r="LAG282" s="1824"/>
      <c r="LAH282" s="1824"/>
      <c r="LAI282" s="1824"/>
      <c r="LAJ282" s="1824"/>
      <c r="LAK282" s="1824"/>
      <c r="LAL282" s="1824"/>
      <c r="LAM282" s="1824"/>
      <c r="LAN282" s="1824"/>
      <c r="LAO282" s="1824"/>
      <c r="LAP282" s="1824"/>
      <c r="LAQ282" s="1824"/>
      <c r="LAR282" s="1824"/>
      <c r="LAS282" s="1824"/>
      <c r="LAT282" s="1824"/>
      <c r="LAU282" s="1824"/>
      <c r="LAV282" s="1824"/>
      <c r="LAW282" s="1824"/>
      <c r="LAX282" s="1824"/>
      <c r="LAY282" s="1824"/>
      <c r="LAZ282" s="1824"/>
      <c r="LBA282" s="1824"/>
      <c r="LBB282" s="1824"/>
      <c r="LBC282" s="1824"/>
      <c r="LBD282" s="1824"/>
      <c r="LBE282" s="1824"/>
      <c r="LBF282" s="1824"/>
      <c r="LBG282" s="1824"/>
      <c r="LBH282" s="1824"/>
      <c r="LBI282" s="1824"/>
      <c r="LBJ282" s="1824"/>
      <c r="LBK282" s="1824"/>
      <c r="LBL282" s="1824"/>
      <c r="LBM282" s="1824"/>
      <c r="LBN282" s="1824"/>
      <c r="LBO282" s="1824"/>
      <c r="LBP282" s="1824"/>
      <c r="LBQ282" s="1824"/>
      <c r="LBR282" s="1824"/>
      <c r="LBS282" s="1824"/>
      <c r="LBT282" s="1824"/>
      <c r="LBU282" s="1824"/>
      <c r="LBV282" s="1824"/>
      <c r="LBW282" s="1824"/>
      <c r="LBX282" s="1824"/>
      <c r="LBY282" s="1824"/>
      <c r="LBZ282" s="1824"/>
      <c r="LCA282" s="1824"/>
      <c r="LCB282" s="1824"/>
      <c r="LCC282" s="1824"/>
      <c r="LCD282" s="1824"/>
      <c r="LCE282" s="1824"/>
      <c r="LCF282" s="1824"/>
      <c r="LCG282" s="1824"/>
      <c r="LCH282" s="1824"/>
      <c r="LCI282" s="1824"/>
      <c r="LCJ282" s="1824"/>
      <c r="LCK282" s="1824"/>
      <c r="LCL282" s="1824"/>
      <c r="LCM282" s="1824"/>
      <c r="LCN282" s="1824"/>
      <c r="LCO282" s="1824"/>
      <c r="LCP282" s="1824"/>
      <c r="LCQ282" s="1824"/>
      <c r="LCR282" s="1824"/>
      <c r="LCS282" s="1824"/>
      <c r="LCT282" s="1824"/>
      <c r="LCU282" s="1824"/>
      <c r="LCV282" s="1824"/>
      <c r="LCW282" s="1824"/>
      <c r="LCX282" s="1824"/>
      <c r="LCY282" s="1824"/>
      <c r="LCZ282" s="1824"/>
      <c r="LDA282" s="1824"/>
      <c r="LDB282" s="1824"/>
      <c r="LDC282" s="1824"/>
      <c r="LDD282" s="1824"/>
      <c r="LDE282" s="1824"/>
      <c r="LDF282" s="1824"/>
      <c r="LDG282" s="1824"/>
      <c r="LDH282" s="1824"/>
      <c r="LDI282" s="1824"/>
      <c r="LDJ282" s="1824"/>
      <c r="LDK282" s="1824"/>
      <c r="LDL282" s="1824"/>
      <c r="LDM282" s="1824"/>
      <c r="LDN282" s="1824"/>
      <c r="LDO282" s="1824"/>
      <c r="LDP282" s="1824"/>
      <c r="LDQ282" s="1824"/>
      <c r="LDR282" s="1824"/>
      <c r="LDS282" s="1824"/>
      <c r="LDT282" s="1824"/>
      <c r="LDU282" s="1824"/>
      <c r="LDV282" s="1824"/>
      <c r="LDW282" s="1824"/>
      <c r="LDX282" s="1824"/>
      <c r="LDY282" s="1824"/>
      <c r="LDZ282" s="1824"/>
      <c r="LEA282" s="1824"/>
      <c r="LEB282" s="1824"/>
      <c r="LEC282" s="1824"/>
      <c r="LED282" s="1824"/>
      <c r="LEE282" s="1824"/>
      <c r="LEF282" s="1824"/>
      <c r="LEG282" s="1824"/>
      <c r="LEH282" s="1824"/>
      <c r="LEI282" s="1824"/>
      <c r="LEJ282" s="1824"/>
      <c r="LEK282" s="1824"/>
      <c r="LEL282" s="1824"/>
      <c r="LEM282" s="1824"/>
      <c r="LEN282" s="1824"/>
      <c r="LEO282" s="1824"/>
      <c r="LEP282" s="1824"/>
      <c r="LEQ282" s="1824"/>
      <c r="LER282" s="1824"/>
      <c r="LES282" s="1824"/>
      <c r="LET282" s="1824"/>
      <c r="LEU282" s="1824"/>
      <c r="LEV282" s="1824"/>
      <c r="LEW282" s="1824"/>
      <c r="LEX282" s="1824"/>
      <c r="LEY282" s="1824"/>
      <c r="LEZ282" s="1824"/>
      <c r="LFA282" s="1824"/>
      <c r="LFB282" s="1824"/>
      <c r="LFC282" s="1824"/>
      <c r="LFD282" s="1824"/>
      <c r="LFE282" s="1824"/>
      <c r="LFF282" s="1824"/>
      <c r="LFG282" s="1824"/>
      <c r="LFH282" s="1824"/>
      <c r="LFI282" s="1824"/>
      <c r="LFJ282" s="1824"/>
      <c r="LFK282" s="1824"/>
      <c r="LFL282" s="1824"/>
      <c r="LFM282" s="1824"/>
      <c r="LFN282" s="1824"/>
      <c r="LFO282" s="1824"/>
      <c r="LFP282" s="1824"/>
      <c r="LFQ282" s="1824"/>
      <c r="LFR282" s="1824"/>
      <c r="LFS282" s="1824"/>
      <c r="LFT282" s="1824"/>
      <c r="LFU282" s="1824"/>
      <c r="LFV282" s="1824"/>
      <c r="LFW282" s="1824"/>
      <c r="LFX282" s="1824"/>
      <c r="LFY282" s="1824"/>
      <c r="LFZ282" s="1824"/>
      <c r="LGA282" s="1824"/>
      <c r="LGB282" s="1824"/>
      <c r="LGC282" s="1824"/>
      <c r="LGD282" s="1824"/>
      <c r="LGE282" s="1824"/>
      <c r="LGF282" s="1824"/>
      <c r="LGG282" s="1824"/>
      <c r="LGH282" s="1824"/>
      <c r="LGI282" s="1824"/>
      <c r="LGJ282" s="1824"/>
      <c r="LGK282" s="1824"/>
      <c r="LGL282" s="1824"/>
      <c r="LGM282" s="1824"/>
      <c r="LGN282" s="1824"/>
      <c r="LGO282" s="1824"/>
      <c r="LGP282" s="1824"/>
      <c r="LGQ282" s="1824"/>
      <c r="LGR282" s="1824"/>
      <c r="LGS282" s="1824"/>
      <c r="LGT282" s="1824"/>
      <c r="LGU282" s="1824"/>
      <c r="LGV282" s="1824"/>
      <c r="LGW282" s="1824"/>
      <c r="LGX282" s="1824"/>
      <c r="LGY282" s="1824"/>
      <c r="LGZ282" s="1824"/>
      <c r="LHA282" s="1824"/>
      <c r="LHB282" s="1824"/>
      <c r="LHC282" s="1824"/>
      <c r="LHD282" s="1824"/>
      <c r="LHE282" s="1824"/>
      <c r="LHF282" s="1824"/>
      <c r="LHG282" s="1824"/>
      <c r="LHH282" s="1824"/>
      <c r="LHI282" s="1824"/>
      <c r="LHJ282" s="1824"/>
      <c r="LHK282" s="1824"/>
      <c r="LHL282" s="1824"/>
      <c r="LHM282" s="1824"/>
      <c r="LHN282" s="1824"/>
      <c r="LHO282" s="1824"/>
      <c r="LHP282" s="1824"/>
      <c r="LHQ282" s="1824"/>
      <c r="LHR282" s="1824"/>
      <c r="LHS282" s="1824"/>
      <c r="LHT282" s="1824"/>
      <c r="LHU282" s="1824"/>
      <c r="LHV282" s="1824"/>
      <c r="LHW282" s="1824"/>
      <c r="LHX282" s="1824"/>
      <c r="LHY282" s="1824"/>
      <c r="LHZ282" s="1824"/>
      <c r="LIA282" s="1824"/>
      <c r="LIB282" s="1824"/>
      <c r="LIC282" s="1824"/>
      <c r="LID282" s="1824"/>
      <c r="LIE282" s="1824"/>
      <c r="LIF282" s="1824"/>
      <c r="LIG282" s="1824"/>
      <c r="LIH282" s="1824"/>
      <c r="LII282" s="1824"/>
      <c r="LIJ282" s="1824"/>
      <c r="LIK282" s="1824"/>
      <c r="LIL282" s="1824"/>
      <c r="LIM282" s="1824"/>
      <c r="LIN282" s="1824"/>
      <c r="LIO282" s="1824"/>
      <c r="LIP282" s="1824"/>
      <c r="LIQ282" s="1824"/>
      <c r="LIR282" s="1824"/>
      <c r="LIS282" s="1824"/>
      <c r="LIT282" s="1824"/>
      <c r="LIU282" s="1824"/>
      <c r="LIV282" s="1824"/>
      <c r="LIW282" s="1824"/>
      <c r="LIX282" s="1824"/>
      <c r="LIY282" s="1824"/>
      <c r="LIZ282" s="1824"/>
      <c r="LJA282" s="1824"/>
      <c r="LJB282" s="1824"/>
      <c r="LJC282" s="1824"/>
      <c r="LJD282" s="1824"/>
      <c r="LJE282" s="1824"/>
      <c r="LJF282" s="1824"/>
      <c r="LJG282" s="1824"/>
      <c r="LJH282" s="1824"/>
      <c r="LJI282" s="1824"/>
      <c r="LJJ282" s="1824"/>
      <c r="LJK282" s="1824"/>
      <c r="LJL282" s="1824"/>
      <c r="LJM282" s="1824"/>
      <c r="LJN282" s="1824"/>
      <c r="LJO282" s="1824"/>
      <c r="LJP282" s="1824"/>
      <c r="LJQ282" s="1824"/>
      <c r="LJR282" s="1824"/>
      <c r="LJS282" s="1824"/>
      <c r="LJT282" s="1824"/>
      <c r="LJU282" s="1824"/>
      <c r="LJV282" s="1824"/>
      <c r="LJW282" s="1824"/>
      <c r="LJX282" s="1824"/>
      <c r="LJY282" s="1824"/>
      <c r="LJZ282" s="1824"/>
      <c r="LKA282" s="1824"/>
      <c r="LKB282" s="1824"/>
      <c r="LKC282" s="1824"/>
      <c r="LKD282" s="1824"/>
      <c r="LKE282" s="1824"/>
      <c r="LKF282" s="1824"/>
      <c r="LKG282" s="1824"/>
      <c r="LKH282" s="1824"/>
      <c r="LKI282" s="1824"/>
      <c r="LKJ282" s="1824"/>
      <c r="LKK282" s="1824"/>
      <c r="LKL282" s="1824"/>
      <c r="LKM282" s="1824"/>
      <c r="LKN282" s="1824"/>
      <c r="LKO282" s="1824"/>
      <c r="LKP282" s="1824"/>
      <c r="LKQ282" s="1824"/>
      <c r="LKR282" s="1824"/>
      <c r="LKS282" s="1824"/>
      <c r="LKT282" s="1824"/>
      <c r="LKU282" s="1824"/>
      <c r="LKV282" s="1824"/>
      <c r="LKW282" s="1824"/>
      <c r="LKX282" s="1824"/>
      <c r="LKY282" s="1824"/>
      <c r="LKZ282" s="1824"/>
      <c r="LLA282" s="1824"/>
      <c r="LLB282" s="1824"/>
      <c r="LLC282" s="1824"/>
      <c r="LLD282" s="1824"/>
      <c r="LLE282" s="1824"/>
      <c r="LLF282" s="1824"/>
      <c r="LLG282" s="1824"/>
      <c r="LLH282" s="1824"/>
      <c r="LLI282" s="1824"/>
      <c r="LLJ282" s="1824"/>
      <c r="LLK282" s="1824"/>
      <c r="LLL282" s="1824"/>
      <c r="LLM282" s="1824"/>
      <c r="LLN282" s="1824"/>
      <c r="LLO282" s="1824"/>
      <c r="LLP282" s="1824"/>
      <c r="LLQ282" s="1824"/>
      <c r="LLR282" s="1824"/>
      <c r="LLS282" s="1824"/>
      <c r="LLT282" s="1824"/>
      <c r="LLU282" s="1824"/>
      <c r="LLV282" s="1824"/>
      <c r="LLW282" s="1824"/>
      <c r="LLX282" s="1824"/>
      <c r="LLY282" s="1824"/>
      <c r="LLZ282" s="1824"/>
      <c r="LMA282" s="1824"/>
      <c r="LMB282" s="1824"/>
      <c r="LMC282" s="1824"/>
      <c r="LMD282" s="1824"/>
      <c r="LME282" s="1824"/>
      <c r="LMF282" s="1824"/>
      <c r="LMG282" s="1824"/>
      <c r="LMH282" s="1824"/>
      <c r="LMI282" s="1824"/>
      <c r="LMJ282" s="1824"/>
      <c r="LMK282" s="1824"/>
      <c r="LML282" s="1824"/>
      <c r="LMM282" s="1824"/>
      <c r="LMN282" s="1824"/>
      <c r="LMO282" s="1824"/>
      <c r="LMP282" s="1824"/>
      <c r="LMQ282" s="1824"/>
      <c r="LMR282" s="1824"/>
      <c r="LMS282" s="1824"/>
      <c r="LMT282" s="1824"/>
      <c r="LMU282" s="1824"/>
      <c r="LMV282" s="1824"/>
      <c r="LMW282" s="1824"/>
      <c r="LMX282" s="1824"/>
      <c r="LMY282" s="1824"/>
      <c r="LMZ282" s="1824"/>
      <c r="LNA282" s="1824"/>
      <c r="LNB282" s="1824"/>
      <c r="LNC282" s="1824"/>
      <c r="LND282" s="1824"/>
      <c r="LNE282" s="1824"/>
      <c r="LNF282" s="1824"/>
      <c r="LNG282" s="1824"/>
      <c r="LNH282" s="1824"/>
      <c r="LNI282" s="1824"/>
      <c r="LNJ282" s="1824"/>
      <c r="LNK282" s="1824"/>
      <c r="LNL282" s="1824"/>
      <c r="LNM282" s="1824"/>
      <c r="LNN282" s="1824"/>
      <c r="LNO282" s="1824"/>
      <c r="LNP282" s="1824"/>
      <c r="LNQ282" s="1824"/>
      <c r="LNR282" s="1824"/>
      <c r="LNS282" s="1824"/>
      <c r="LNT282" s="1824"/>
      <c r="LNU282" s="1824"/>
      <c r="LNV282" s="1824"/>
      <c r="LNW282" s="1824"/>
      <c r="LNX282" s="1824"/>
      <c r="LNY282" s="1824"/>
      <c r="LNZ282" s="1824"/>
      <c r="LOA282" s="1824"/>
      <c r="LOB282" s="1824"/>
      <c r="LOC282" s="1824"/>
      <c r="LOD282" s="1824"/>
      <c r="LOE282" s="1824"/>
      <c r="LOF282" s="1824"/>
      <c r="LOG282" s="1824"/>
      <c r="LOH282" s="1824"/>
      <c r="LOI282" s="1824"/>
      <c r="LOJ282" s="1824"/>
      <c r="LOK282" s="1824"/>
      <c r="LOL282" s="1824"/>
      <c r="LOM282" s="1824"/>
      <c r="LON282" s="1824"/>
      <c r="LOO282" s="1824"/>
      <c r="LOP282" s="1824"/>
      <c r="LOQ282" s="1824"/>
      <c r="LOR282" s="1824"/>
      <c r="LOS282" s="1824"/>
      <c r="LOT282" s="1824"/>
      <c r="LOU282" s="1824"/>
      <c r="LOV282" s="1824"/>
      <c r="LOW282" s="1824"/>
      <c r="LOX282" s="1824"/>
      <c r="LOY282" s="1824"/>
      <c r="LOZ282" s="1824"/>
      <c r="LPA282" s="1824"/>
      <c r="LPB282" s="1824"/>
      <c r="LPC282" s="1824"/>
      <c r="LPD282" s="1824"/>
      <c r="LPE282" s="1824"/>
      <c r="LPF282" s="1824"/>
      <c r="LPG282" s="1824"/>
      <c r="LPH282" s="1824"/>
      <c r="LPI282" s="1824"/>
      <c r="LPJ282" s="1824"/>
      <c r="LPK282" s="1824"/>
      <c r="LPL282" s="1824"/>
      <c r="LPM282" s="1824"/>
      <c r="LPN282" s="1824"/>
      <c r="LPO282" s="1824"/>
      <c r="LPP282" s="1824"/>
      <c r="LPQ282" s="1824"/>
      <c r="LPR282" s="1824"/>
      <c r="LPS282" s="1824"/>
      <c r="LPT282" s="1824"/>
      <c r="LPU282" s="1824"/>
      <c r="LPV282" s="1824"/>
      <c r="LPW282" s="1824"/>
      <c r="LPX282" s="1824"/>
      <c r="LPY282" s="1824"/>
      <c r="LPZ282" s="1824"/>
      <c r="LQA282" s="1824"/>
      <c r="LQB282" s="1824"/>
      <c r="LQC282" s="1824"/>
      <c r="LQD282" s="1824"/>
      <c r="LQE282" s="1824"/>
      <c r="LQF282" s="1824"/>
      <c r="LQG282" s="1824"/>
      <c r="LQH282" s="1824"/>
      <c r="LQI282" s="1824"/>
      <c r="LQJ282" s="1824"/>
      <c r="LQK282" s="1824"/>
      <c r="LQL282" s="1824"/>
      <c r="LQM282" s="1824"/>
      <c r="LQN282" s="1824"/>
      <c r="LQO282" s="1824"/>
      <c r="LQP282" s="1824"/>
      <c r="LQQ282" s="1824"/>
      <c r="LQR282" s="1824"/>
      <c r="LQS282" s="1824"/>
      <c r="LQT282" s="1824"/>
      <c r="LQU282" s="1824"/>
      <c r="LQV282" s="1824"/>
      <c r="LQW282" s="1824"/>
      <c r="LQX282" s="1824"/>
      <c r="LQY282" s="1824"/>
      <c r="LQZ282" s="1824"/>
      <c r="LRA282" s="1824"/>
      <c r="LRB282" s="1824"/>
      <c r="LRC282" s="1824"/>
      <c r="LRD282" s="1824"/>
      <c r="LRE282" s="1824"/>
      <c r="LRF282" s="1824"/>
      <c r="LRG282" s="1824"/>
      <c r="LRH282" s="1824"/>
      <c r="LRI282" s="1824"/>
      <c r="LRJ282" s="1824"/>
      <c r="LRK282" s="1824"/>
      <c r="LRL282" s="1824"/>
      <c r="LRM282" s="1824"/>
      <c r="LRN282" s="1824"/>
      <c r="LRO282" s="1824"/>
      <c r="LRP282" s="1824"/>
      <c r="LRQ282" s="1824"/>
      <c r="LRR282" s="1824"/>
      <c r="LRS282" s="1824"/>
      <c r="LRT282" s="1824"/>
      <c r="LRU282" s="1824"/>
      <c r="LRV282" s="1824"/>
      <c r="LRW282" s="1824"/>
      <c r="LRX282" s="1824"/>
      <c r="LRY282" s="1824"/>
      <c r="LRZ282" s="1824"/>
      <c r="LSA282" s="1824"/>
      <c r="LSB282" s="1824"/>
      <c r="LSC282" s="1824"/>
      <c r="LSD282" s="1824"/>
      <c r="LSE282" s="1824"/>
      <c r="LSF282" s="1824"/>
      <c r="LSG282" s="1824"/>
      <c r="LSH282" s="1824"/>
      <c r="LSI282" s="1824"/>
      <c r="LSJ282" s="1824"/>
      <c r="LSK282" s="1824"/>
      <c r="LSL282" s="1824"/>
      <c r="LSM282" s="1824"/>
      <c r="LSN282" s="1824"/>
      <c r="LSO282" s="1824"/>
      <c r="LSP282" s="1824"/>
      <c r="LSQ282" s="1824"/>
      <c r="LSR282" s="1824"/>
      <c r="LSS282" s="1824"/>
      <c r="LST282" s="1824"/>
      <c r="LSU282" s="1824"/>
      <c r="LSV282" s="1824"/>
      <c r="LSW282" s="1824"/>
      <c r="LSX282" s="1824"/>
      <c r="LSY282" s="1824"/>
      <c r="LSZ282" s="1824"/>
      <c r="LTA282" s="1824"/>
      <c r="LTB282" s="1824"/>
      <c r="LTC282" s="1824"/>
      <c r="LTD282" s="1824"/>
      <c r="LTE282" s="1824"/>
      <c r="LTF282" s="1824"/>
      <c r="LTG282" s="1824"/>
      <c r="LTH282" s="1824"/>
      <c r="LTI282" s="1824"/>
      <c r="LTJ282" s="1824"/>
      <c r="LTK282" s="1824"/>
      <c r="LTL282" s="1824"/>
      <c r="LTM282" s="1824"/>
      <c r="LTN282" s="1824"/>
      <c r="LTO282" s="1824"/>
      <c r="LTP282" s="1824"/>
      <c r="LTQ282" s="1824"/>
      <c r="LTR282" s="1824"/>
      <c r="LTS282" s="1824"/>
      <c r="LTT282" s="1824"/>
      <c r="LTU282" s="1824"/>
      <c r="LTV282" s="1824"/>
      <c r="LTW282" s="1824"/>
      <c r="LTX282" s="1824"/>
      <c r="LTY282" s="1824"/>
      <c r="LTZ282" s="1824"/>
      <c r="LUA282" s="1824"/>
      <c r="LUB282" s="1824"/>
      <c r="LUC282" s="1824"/>
      <c r="LUD282" s="1824"/>
      <c r="LUE282" s="1824"/>
      <c r="LUF282" s="1824"/>
      <c r="LUG282" s="1824"/>
      <c r="LUH282" s="1824"/>
      <c r="LUI282" s="1824"/>
      <c r="LUJ282" s="1824"/>
      <c r="LUK282" s="1824"/>
      <c r="LUL282" s="1824"/>
      <c r="LUM282" s="1824"/>
      <c r="LUN282" s="1824"/>
      <c r="LUO282" s="1824"/>
      <c r="LUP282" s="1824"/>
      <c r="LUQ282" s="1824"/>
      <c r="LUR282" s="1824"/>
      <c r="LUS282" s="1824"/>
      <c r="LUT282" s="1824"/>
      <c r="LUU282" s="1824"/>
      <c r="LUV282" s="1824"/>
      <c r="LUW282" s="1824"/>
      <c r="LUX282" s="1824"/>
      <c r="LUY282" s="1824"/>
      <c r="LUZ282" s="1824"/>
      <c r="LVA282" s="1824"/>
      <c r="LVB282" s="1824"/>
      <c r="LVC282" s="1824"/>
      <c r="LVD282" s="1824"/>
      <c r="LVE282" s="1824"/>
      <c r="LVF282" s="1824"/>
      <c r="LVG282" s="1824"/>
      <c r="LVH282" s="1824"/>
      <c r="LVI282" s="1824"/>
      <c r="LVJ282" s="1824"/>
      <c r="LVK282" s="1824"/>
      <c r="LVL282" s="1824"/>
      <c r="LVM282" s="1824"/>
      <c r="LVN282" s="1824"/>
      <c r="LVO282" s="1824"/>
      <c r="LVP282" s="1824"/>
      <c r="LVQ282" s="1824"/>
      <c r="LVR282" s="1824"/>
      <c r="LVS282" s="1824"/>
      <c r="LVT282" s="1824"/>
      <c r="LVU282" s="1824"/>
      <c r="LVV282" s="1824"/>
      <c r="LVW282" s="1824"/>
      <c r="LVX282" s="1824"/>
      <c r="LVY282" s="1824"/>
      <c r="LVZ282" s="1824"/>
      <c r="LWA282" s="1824"/>
      <c r="LWB282" s="1824"/>
      <c r="LWC282" s="1824"/>
      <c r="LWD282" s="1824"/>
      <c r="LWE282" s="1824"/>
      <c r="LWF282" s="1824"/>
      <c r="LWG282" s="1824"/>
      <c r="LWH282" s="1824"/>
      <c r="LWI282" s="1824"/>
      <c r="LWJ282" s="1824"/>
      <c r="LWK282" s="1824"/>
      <c r="LWL282" s="1824"/>
      <c r="LWM282" s="1824"/>
      <c r="LWN282" s="1824"/>
      <c r="LWO282" s="1824"/>
      <c r="LWP282" s="1824"/>
      <c r="LWQ282" s="1824"/>
      <c r="LWR282" s="1824"/>
      <c r="LWS282" s="1824"/>
      <c r="LWT282" s="1824"/>
      <c r="LWU282" s="1824"/>
      <c r="LWV282" s="1824"/>
      <c r="LWW282" s="1824"/>
      <c r="LWX282" s="1824"/>
      <c r="LWY282" s="1824"/>
      <c r="LWZ282" s="1824"/>
      <c r="LXA282" s="1824"/>
      <c r="LXB282" s="1824"/>
      <c r="LXC282" s="1824"/>
      <c r="LXD282" s="1824"/>
      <c r="LXE282" s="1824"/>
      <c r="LXF282" s="1824"/>
      <c r="LXG282" s="1824"/>
      <c r="LXH282" s="1824"/>
      <c r="LXI282" s="1824"/>
      <c r="LXJ282" s="1824"/>
      <c r="LXK282" s="1824"/>
      <c r="LXL282" s="1824"/>
      <c r="LXM282" s="1824"/>
      <c r="LXN282" s="1824"/>
      <c r="LXO282" s="1824"/>
      <c r="LXP282" s="1824"/>
      <c r="LXQ282" s="1824"/>
      <c r="LXR282" s="1824"/>
      <c r="LXS282" s="1824"/>
      <c r="LXT282" s="1824"/>
      <c r="LXU282" s="1824"/>
      <c r="LXV282" s="1824"/>
      <c r="LXW282" s="1824"/>
      <c r="LXX282" s="1824"/>
      <c r="LXY282" s="1824"/>
      <c r="LXZ282" s="1824"/>
      <c r="LYA282" s="1824"/>
      <c r="LYB282" s="1824"/>
      <c r="LYC282" s="1824"/>
      <c r="LYD282" s="1824"/>
      <c r="LYE282" s="1824"/>
      <c r="LYF282" s="1824"/>
      <c r="LYG282" s="1824"/>
      <c r="LYH282" s="1824"/>
      <c r="LYI282" s="1824"/>
      <c r="LYJ282" s="1824"/>
      <c r="LYK282" s="1824"/>
      <c r="LYL282" s="1824"/>
      <c r="LYM282" s="1824"/>
      <c r="LYN282" s="1824"/>
      <c r="LYO282" s="1824"/>
      <c r="LYP282" s="1824"/>
      <c r="LYQ282" s="1824"/>
      <c r="LYR282" s="1824"/>
      <c r="LYS282" s="1824"/>
      <c r="LYT282" s="1824"/>
      <c r="LYU282" s="1824"/>
      <c r="LYV282" s="1824"/>
      <c r="LYW282" s="1824"/>
      <c r="LYX282" s="1824"/>
      <c r="LYY282" s="1824"/>
      <c r="LYZ282" s="1824"/>
      <c r="LZA282" s="1824"/>
      <c r="LZB282" s="1824"/>
      <c r="LZC282" s="1824"/>
      <c r="LZD282" s="1824"/>
      <c r="LZE282" s="1824"/>
      <c r="LZF282" s="1824"/>
      <c r="LZG282" s="1824"/>
      <c r="LZH282" s="1824"/>
      <c r="LZI282" s="1824"/>
      <c r="LZJ282" s="1824"/>
      <c r="LZK282" s="1824"/>
      <c r="LZL282" s="1824"/>
      <c r="LZM282" s="1824"/>
      <c r="LZN282" s="1824"/>
      <c r="LZO282" s="1824"/>
      <c r="LZP282" s="1824"/>
      <c r="LZQ282" s="1824"/>
      <c r="LZR282" s="1824"/>
      <c r="LZS282" s="1824"/>
      <c r="LZT282" s="1824"/>
      <c r="LZU282" s="1824"/>
      <c r="LZV282" s="1824"/>
      <c r="LZW282" s="1824"/>
      <c r="LZX282" s="1824"/>
      <c r="LZY282" s="1824"/>
      <c r="LZZ282" s="1824"/>
      <c r="MAA282" s="1824"/>
      <c r="MAB282" s="1824"/>
      <c r="MAC282" s="1824"/>
      <c r="MAD282" s="1824"/>
      <c r="MAE282" s="1824"/>
      <c r="MAF282" s="1824"/>
      <c r="MAG282" s="1824"/>
      <c r="MAH282" s="1824"/>
      <c r="MAI282" s="1824"/>
      <c r="MAJ282" s="1824"/>
      <c r="MAK282" s="1824"/>
      <c r="MAL282" s="1824"/>
      <c r="MAM282" s="1824"/>
      <c r="MAN282" s="1824"/>
      <c r="MAO282" s="1824"/>
      <c r="MAP282" s="1824"/>
      <c r="MAQ282" s="1824"/>
      <c r="MAR282" s="1824"/>
      <c r="MAS282" s="1824"/>
      <c r="MAT282" s="1824"/>
      <c r="MAU282" s="1824"/>
      <c r="MAV282" s="1824"/>
      <c r="MAW282" s="1824"/>
      <c r="MAX282" s="1824"/>
      <c r="MAY282" s="1824"/>
      <c r="MAZ282" s="1824"/>
      <c r="MBA282" s="1824"/>
      <c r="MBB282" s="1824"/>
      <c r="MBC282" s="1824"/>
      <c r="MBD282" s="1824"/>
      <c r="MBE282" s="1824"/>
      <c r="MBF282" s="1824"/>
      <c r="MBG282" s="1824"/>
      <c r="MBH282" s="1824"/>
      <c r="MBI282" s="1824"/>
      <c r="MBJ282" s="1824"/>
      <c r="MBK282" s="1824"/>
      <c r="MBL282" s="1824"/>
      <c r="MBM282" s="1824"/>
      <c r="MBN282" s="1824"/>
      <c r="MBO282" s="1824"/>
      <c r="MBP282" s="1824"/>
      <c r="MBQ282" s="1824"/>
      <c r="MBR282" s="1824"/>
      <c r="MBS282" s="1824"/>
      <c r="MBT282" s="1824"/>
      <c r="MBU282" s="1824"/>
      <c r="MBV282" s="1824"/>
      <c r="MBW282" s="1824"/>
      <c r="MBX282" s="1824"/>
      <c r="MBY282" s="1824"/>
      <c r="MBZ282" s="1824"/>
      <c r="MCA282" s="1824"/>
      <c r="MCB282" s="1824"/>
      <c r="MCC282" s="1824"/>
      <c r="MCD282" s="1824"/>
      <c r="MCE282" s="1824"/>
      <c r="MCF282" s="1824"/>
      <c r="MCG282" s="1824"/>
      <c r="MCH282" s="1824"/>
      <c r="MCI282" s="1824"/>
      <c r="MCJ282" s="1824"/>
      <c r="MCK282" s="1824"/>
      <c r="MCL282" s="1824"/>
      <c r="MCM282" s="1824"/>
      <c r="MCN282" s="1824"/>
      <c r="MCO282" s="1824"/>
      <c r="MCP282" s="1824"/>
      <c r="MCQ282" s="1824"/>
      <c r="MCR282" s="1824"/>
      <c r="MCS282" s="1824"/>
      <c r="MCT282" s="1824"/>
      <c r="MCU282" s="1824"/>
      <c r="MCV282" s="1824"/>
      <c r="MCW282" s="1824"/>
      <c r="MCX282" s="1824"/>
      <c r="MCY282" s="1824"/>
      <c r="MCZ282" s="1824"/>
      <c r="MDA282" s="1824"/>
      <c r="MDB282" s="1824"/>
      <c r="MDC282" s="1824"/>
      <c r="MDD282" s="1824"/>
      <c r="MDE282" s="1824"/>
      <c r="MDF282" s="1824"/>
      <c r="MDG282" s="1824"/>
      <c r="MDH282" s="1824"/>
      <c r="MDI282" s="1824"/>
      <c r="MDJ282" s="1824"/>
      <c r="MDK282" s="1824"/>
      <c r="MDL282" s="1824"/>
      <c r="MDM282" s="1824"/>
      <c r="MDN282" s="1824"/>
      <c r="MDO282" s="1824"/>
      <c r="MDP282" s="1824"/>
      <c r="MDQ282" s="1824"/>
      <c r="MDR282" s="1824"/>
      <c r="MDS282" s="1824"/>
      <c r="MDT282" s="1824"/>
      <c r="MDU282" s="1824"/>
      <c r="MDV282" s="1824"/>
      <c r="MDW282" s="1824"/>
      <c r="MDX282" s="1824"/>
      <c r="MDY282" s="1824"/>
      <c r="MDZ282" s="1824"/>
      <c r="MEA282" s="1824"/>
      <c r="MEB282" s="1824"/>
      <c r="MEC282" s="1824"/>
      <c r="MED282" s="1824"/>
      <c r="MEE282" s="1824"/>
      <c r="MEF282" s="1824"/>
      <c r="MEG282" s="1824"/>
      <c r="MEH282" s="1824"/>
      <c r="MEI282" s="1824"/>
      <c r="MEJ282" s="1824"/>
      <c r="MEK282" s="1824"/>
      <c r="MEL282" s="1824"/>
      <c r="MEM282" s="1824"/>
      <c r="MEN282" s="1824"/>
      <c r="MEO282" s="1824"/>
      <c r="MEP282" s="1824"/>
      <c r="MEQ282" s="1824"/>
      <c r="MER282" s="1824"/>
      <c r="MES282" s="1824"/>
      <c r="MET282" s="1824"/>
      <c r="MEU282" s="1824"/>
      <c r="MEV282" s="1824"/>
      <c r="MEW282" s="1824"/>
      <c r="MEX282" s="1824"/>
      <c r="MEY282" s="1824"/>
      <c r="MEZ282" s="1824"/>
      <c r="MFA282" s="1824"/>
      <c r="MFB282" s="1824"/>
      <c r="MFC282" s="1824"/>
      <c r="MFD282" s="1824"/>
      <c r="MFE282" s="1824"/>
      <c r="MFF282" s="1824"/>
      <c r="MFG282" s="1824"/>
      <c r="MFH282" s="1824"/>
      <c r="MFI282" s="1824"/>
      <c r="MFJ282" s="1824"/>
      <c r="MFK282" s="1824"/>
      <c r="MFL282" s="1824"/>
      <c r="MFM282" s="1824"/>
      <c r="MFN282" s="1824"/>
      <c r="MFO282" s="1824"/>
      <c r="MFP282" s="1824"/>
      <c r="MFQ282" s="1824"/>
      <c r="MFR282" s="1824"/>
      <c r="MFS282" s="1824"/>
      <c r="MFT282" s="1824"/>
      <c r="MFU282" s="1824"/>
      <c r="MFV282" s="1824"/>
      <c r="MFW282" s="1824"/>
      <c r="MFX282" s="1824"/>
      <c r="MFY282" s="1824"/>
      <c r="MFZ282" s="1824"/>
      <c r="MGA282" s="1824"/>
      <c r="MGB282" s="1824"/>
      <c r="MGC282" s="1824"/>
      <c r="MGD282" s="1824"/>
      <c r="MGE282" s="1824"/>
      <c r="MGF282" s="1824"/>
      <c r="MGG282" s="1824"/>
      <c r="MGH282" s="1824"/>
      <c r="MGI282" s="1824"/>
      <c r="MGJ282" s="1824"/>
      <c r="MGK282" s="1824"/>
      <c r="MGL282" s="1824"/>
      <c r="MGM282" s="1824"/>
      <c r="MGN282" s="1824"/>
      <c r="MGO282" s="1824"/>
      <c r="MGP282" s="1824"/>
      <c r="MGQ282" s="1824"/>
      <c r="MGR282" s="1824"/>
      <c r="MGS282" s="1824"/>
      <c r="MGT282" s="1824"/>
      <c r="MGU282" s="1824"/>
      <c r="MGV282" s="1824"/>
      <c r="MGW282" s="1824"/>
      <c r="MGX282" s="1824"/>
      <c r="MGY282" s="1824"/>
      <c r="MGZ282" s="1824"/>
      <c r="MHA282" s="1824"/>
      <c r="MHB282" s="1824"/>
      <c r="MHC282" s="1824"/>
      <c r="MHD282" s="1824"/>
      <c r="MHE282" s="1824"/>
      <c r="MHF282" s="1824"/>
      <c r="MHG282" s="1824"/>
      <c r="MHH282" s="1824"/>
      <c r="MHI282" s="1824"/>
      <c r="MHJ282" s="1824"/>
      <c r="MHK282" s="1824"/>
      <c r="MHL282" s="1824"/>
      <c r="MHM282" s="1824"/>
      <c r="MHN282" s="1824"/>
      <c r="MHO282" s="1824"/>
      <c r="MHP282" s="1824"/>
      <c r="MHQ282" s="1824"/>
      <c r="MHR282" s="1824"/>
      <c r="MHS282" s="1824"/>
      <c r="MHT282" s="1824"/>
      <c r="MHU282" s="1824"/>
      <c r="MHV282" s="1824"/>
      <c r="MHW282" s="1824"/>
      <c r="MHX282" s="1824"/>
      <c r="MHY282" s="1824"/>
      <c r="MHZ282" s="1824"/>
      <c r="MIA282" s="1824"/>
      <c r="MIB282" s="1824"/>
      <c r="MIC282" s="1824"/>
      <c r="MID282" s="1824"/>
      <c r="MIE282" s="1824"/>
      <c r="MIF282" s="1824"/>
      <c r="MIG282" s="1824"/>
      <c r="MIH282" s="1824"/>
      <c r="MII282" s="1824"/>
      <c r="MIJ282" s="1824"/>
      <c r="MIK282" s="1824"/>
      <c r="MIL282" s="1824"/>
      <c r="MIM282" s="1824"/>
      <c r="MIN282" s="1824"/>
      <c r="MIO282" s="1824"/>
      <c r="MIP282" s="1824"/>
      <c r="MIQ282" s="1824"/>
      <c r="MIR282" s="1824"/>
      <c r="MIS282" s="1824"/>
      <c r="MIT282" s="1824"/>
      <c r="MIU282" s="1824"/>
      <c r="MIV282" s="1824"/>
      <c r="MIW282" s="1824"/>
      <c r="MIX282" s="1824"/>
      <c r="MIY282" s="1824"/>
      <c r="MIZ282" s="1824"/>
      <c r="MJA282" s="1824"/>
      <c r="MJB282" s="1824"/>
      <c r="MJC282" s="1824"/>
      <c r="MJD282" s="1824"/>
      <c r="MJE282" s="1824"/>
      <c r="MJF282" s="1824"/>
      <c r="MJG282" s="1824"/>
      <c r="MJH282" s="1824"/>
      <c r="MJI282" s="1824"/>
      <c r="MJJ282" s="1824"/>
      <c r="MJK282" s="1824"/>
      <c r="MJL282" s="1824"/>
      <c r="MJM282" s="1824"/>
      <c r="MJN282" s="1824"/>
      <c r="MJO282" s="1824"/>
      <c r="MJP282" s="1824"/>
      <c r="MJQ282" s="1824"/>
      <c r="MJR282" s="1824"/>
      <c r="MJS282" s="1824"/>
      <c r="MJT282" s="1824"/>
      <c r="MJU282" s="1824"/>
      <c r="MJV282" s="1824"/>
      <c r="MJW282" s="1824"/>
      <c r="MJX282" s="1824"/>
      <c r="MJY282" s="1824"/>
      <c r="MJZ282" s="1824"/>
      <c r="MKA282" s="1824"/>
      <c r="MKB282" s="1824"/>
      <c r="MKC282" s="1824"/>
      <c r="MKD282" s="1824"/>
      <c r="MKE282" s="1824"/>
      <c r="MKF282" s="1824"/>
      <c r="MKG282" s="1824"/>
      <c r="MKH282" s="1824"/>
      <c r="MKI282" s="1824"/>
      <c r="MKJ282" s="1824"/>
      <c r="MKK282" s="1824"/>
      <c r="MKL282" s="1824"/>
      <c r="MKM282" s="1824"/>
      <c r="MKN282" s="1824"/>
      <c r="MKO282" s="1824"/>
      <c r="MKP282" s="1824"/>
      <c r="MKQ282" s="1824"/>
      <c r="MKR282" s="1824"/>
      <c r="MKS282" s="1824"/>
      <c r="MKT282" s="1824"/>
      <c r="MKU282" s="1824"/>
      <c r="MKV282" s="1824"/>
      <c r="MKW282" s="1824"/>
      <c r="MKX282" s="1824"/>
      <c r="MKY282" s="1824"/>
      <c r="MKZ282" s="1824"/>
      <c r="MLA282" s="1824"/>
      <c r="MLB282" s="1824"/>
      <c r="MLC282" s="1824"/>
      <c r="MLD282" s="1824"/>
      <c r="MLE282" s="1824"/>
      <c r="MLF282" s="1824"/>
      <c r="MLG282" s="1824"/>
      <c r="MLH282" s="1824"/>
      <c r="MLI282" s="1824"/>
      <c r="MLJ282" s="1824"/>
      <c r="MLK282" s="1824"/>
      <c r="MLL282" s="1824"/>
      <c r="MLM282" s="1824"/>
      <c r="MLN282" s="1824"/>
      <c r="MLO282" s="1824"/>
      <c r="MLP282" s="1824"/>
      <c r="MLQ282" s="1824"/>
      <c r="MLR282" s="1824"/>
      <c r="MLS282" s="1824"/>
      <c r="MLT282" s="1824"/>
      <c r="MLU282" s="1824"/>
      <c r="MLV282" s="1824"/>
      <c r="MLW282" s="1824"/>
      <c r="MLX282" s="1824"/>
      <c r="MLY282" s="1824"/>
      <c r="MLZ282" s="1824"/>
      <c r="MMA282" s="1824"/>
      <c r="MMB282" s="1824"/>
      <c r="MMC282" s="1824"/>
      <c r="MMD282" s="1824"/>
      <c r="MME282" s="1824"/>
      <c r="MMF282" s="1824"/>
      <c r="MMG282" s="1824"/>
      <c r="MMH282" s="1824"/>
      <c r="MMI282" s="1824"/>
      <c r="MMJ282" s="1824"/>
      <c r="MMK282" s="1824"/>
      <c r="MML282" s="1824"/>
      <c r="MMM282" s="1824"/>
      <c r="MMN282" s="1824"/>
      <c r="MMO282" s="1824"/>
      <c r="MMP282" s="1824"/>
      <c r="MMQ282" s="1824"/>
      <c r="MMR282" s="1824"/>
      <c r="MMS282" s="1824"/>
      <c r="MMT282" s="1824"/>
      <c r="MMU282" s="1824"/>
      <c r="MMV282" s="1824"/>
      <c r="MMW282" s="1824"/>
      <c r="MMX282" s="1824"/>
      <c r="MMY282" s="1824"/>
      <c r="MMZ282" s="1824"/>
      <c r="MNA282" s="1824"/>
      <c r="MNB282" s="1824"/>
      <c r="MNC282" s="1824"/>
      <c r="MND282" s="1824"/>
      <c r="MNE282" s="1824"/>
      <c r="MNF282" s="1824"/>
      <c r="MNG282" s="1824"/>
      <c r="MNH282" s="1824"/>
      <c r="MNI282" s="1824"/>
      <c r="MNJ282" s="1824"/>
      <c r="MNK282" s="1824"/>
      <c r="MNL282" s="1824"/>
      <c r="MNM282" s="1824"/>
      <c r="MNN282" s="1824"/>
      <c r="MNO282" s="1824"/>
      <c r="MNP282" s="1824"/>
      <c r="MNQ282" s="1824"/>
      <c r="MNR282" s="1824"/>
      <c r="MNS282" s="1824"/>
      <c r="MNT282" s="1824"/>
      <c r="MNU282" s="1824"/>
      <c r="MNV282" s="1824"/>
      <c r="MNW282" s="1824"/>
      <c r="MNX282" s="1824"/>
      <c r="MNY282" s="1824"/>
      <c r="MNZ282" s="1824"/>
      <c r="MOA282" s="1824"/>
      <c r="MOB282" s="1824"/>
      <c r="MOC282" s="1824"/>
      <c r="MOD282" s="1824"/>
      <c r="MOE282" s="1824"/>
      <c r="MOF282" s="1824"/>
      <c r="MOG282" s="1824"/>
      <c r="MOH282" s="1824"/>
      <c r="MOI282" s="1824"/>
      <c r="MOJ282" s="1824"/>
      <c r="MOK282" s="1824"/>
      <c r="MOL282" s="1824"/>
      <c r="MOM282" s="1824"/>
      <c r="MON282" s="1824"/>
      <c r="MOO282" s="1824"/>
      <c r="MOP282" s="1824"/>
      <c r="MOQ282" s="1824"/>
      <c r="MOR282" s="1824"/>
      <c r="MOS282" s="1824"/>
      <c r="MOT282" s="1824"/>
      <c r="MOU282" s="1824"/>
      <c r="MOV282" s="1824"/>
      <c r="MOW282" s="1824"/>
      <c r="MOX282" s="1824"/>
      <c r="MOY282" s="1824"/>
      <c r="MOZ282" s="1824"/>
      <c r="MPA282" s="1824"/>
      <c r="MPB282" s="1824"/>
      <c r="MPC282" s="1824"/>
      <c r="MPD282" s="1824"/>
      <c r="MPE282" s="1824"/>
      <c r="MPF282" s="1824"/>
      <c r="MPG282" s="1824"/>
      <c r="MPH282" s="1824"/>
      <c r="MPI282" s="1824"/>
      <c r="MPJ282" s="1824"/>
      <c r="MPK282" s="1824"/>
      <c r="MPL282" s="1824"/>
      <c r="MPM282" s="1824"/>
      <c r="MPN282" s="1824"/>
      <c r="MPO282" s="1824"/>
      <c r="MPP282" s="1824"/>
      <c r="MPQ282" s="1824"/>
      <c r="MPR282" s="1824"/>
      <c r="MPS282" s="1824"/>
      <c r="MPT282" s="1824"/>
      <c r="MPU282" s="1824"/>
      <c r="MPV282" s="1824"/>
      <c r="MPW282" s="1824"/>
      <c r="MPX282" s="1824"/>
      <c r="MPY282" s="1824"/>
      <c r="MPZ282" s="1824"/>
      <c r="MQA282" s="1824"/>
      <c r="MQB282" s="1824"/>
      <c r="MQC282" s="1824"/>
      <c r="MQD282" s="1824"/>
      <c r="MQE282" s="1824"/>
      <c r="MQF282" s="1824"/>
      <c r="MQG282" s="1824"/>
      <c r="MQH282" s="1824"/>
      <c r="MQI282" s="1824"/>
      <c r="MQJ282" s="1824"/>
      <c r="MQK282" s="1824"/>
      <c r="MQL282" s="1824"/>
      <c r="MQM282" s="1824"/>
      <c r="MQN282" s="1824"/>
      <c r="MQO282" s="1824"/>
      <c r="MQP282" s="1824"/>
      <c r="MQQ282" s="1824"/>
      <c r="MQR282" s="1824"/>
      <c r="MQS282" s="1824"/>
      <c r="MQT282" s="1824"/>
      <c r="MQU282" s="1824"/>
      <c r="MQV282" s="1824"/>
      <c r="MQW282" s="1824"/>
      <c r="MQX282" s="1824"/>
      <c r="MQY282" s="1824"/>
      <c r="MQZ282" s="1824"/>
      <c r="MRA282" s="1824"/>
      <c r="MRB282" s="1824"/>
      <c r="MRC282" s="1824"/>
      <c r="MRD282" s="1824"/>
      <c r="MRE282" s="1824"/>
      <c r="MRF282" s="1824"/>
      <c r="MRG282" s="1824"/>
      <c r="MRH282" s="1824"/>
      <c r="MRI282" s="1824"/>
      <c r="MRJ282" s="1824"/>
      <c r="MRK282" s="1824"/>
      <c r="MRL282" s="1824"/>
      <c r="MRM282" s="1824"/>
      <c r="MRN282" s="1824"/>
      <c r="MRO282" s="1824"/>
      <c r="MRP282" s="1824"/>
      <c r="MRQ282" s="1824"/>
      <c r="MRR282" s="1824"/>
      <c r="MRS282" s="1824"/>
      <c r="MRT282" s="1824"/>
      <c r="MRU282" s="1824"/>
      <c r="MRV282" s="1824"/>
      <c r="MRW282" s="1824"/>
      <c r="MRX282" s="1824"/>
      <c r="MRY282" s="1824"/>
      <c r="MRZ282" s="1824"/>
      <c r="MSA282" s="1824"/>
      <c r="MSB282" s="1824"/>
      <c r="MSC282" s="1824"/>
      <c r="MSD282" s="1824"/>
      <c r="MSE282" s="1824"/>
      <c r="MSF282" s="1824"/>
      <c r="MSG282" s="1824"/>
      <c r="MSH282" s="1824"/>
      <c r="MSI282" s="1824"/>
      <c r="MSJ282" s="1824"/>
      <c r="MSK282" s="1824"/>
      <c r="MSL282" s="1824"/>
      <c r="MSM282" s="1824"/>
      <c r="MSN282" s="1824"/>
      <c r="MSO282" s="1824"/>
      <c r="MSP282" s="1824"/>
      <c r="MSQ282" s="1824"/>
      <c r="MSR282" s="1824"/>
      <c r="MSS282" s="1824"/>
      <c r="MST282" s="1824"/>
      <c r="MSU282" s="1824"/>
      <c r="MSV282" s="1824"/>
      <c r="MSW282" s="1824"/>
      <c r="MSX282" s="1824"/>
      <c r="MSY282" s="1824"/>
      <c r="MSZ282" s="1824"/>
      <c r="MTA282" s="1824"/>
      <c r="MTB282" s="1824"/>
      <c r="MTC282" s="1824"/>
      <c r="MTD282" s="1824"/>
      <c r="MTE282" s="1824"/>
      <c r="MTF282" s="1824"/>
      <c r="MTG282" s="1824"/>
      <c r="MTH282" s="1824"/>
      <c r="MTI282" s="1824"/>
      <c r="MTJ282" s="1824"/>
      <c r="MTK282" s="1824"/>
      <c r="MTL282" s="1824"/>
      <c r="MTM282" s="1824"/>
      <c r="MTN282" s="1824"/>
      <c r="MTO282" s="1824"/>
      <c r="MTP282" s="1824"/>
      <c r="MTQ282" s="1824"/>
      <c r="MTR282" s="1824"/>
      <c r="MTS282" s="1824"/>
      <c r="MTT282" s="1824"/>
      <c r="MTU282" s="1824"/>
      <c r="MTV282" s="1824"/>
      <c r="MTW282" s="1824"/>
      <c r="MTX282" s="1824"/>
      <c r="MTY282" s="1824"/>
      <c r="MTZ282" s="1824"/>
      <c r="MUA282" s="1824"/>
      <c r="MUB282" s="1824"/>
      <c r="MUC282" s="1824"/>
      <c r="MUD282" s="1824"/>
      <c r="MUE282" s="1824"/>
      <c r="MUF282" s="1824"/>
      <c r="MUG282" s="1824"/>
      <c r="MUH282" s="1824"/>
      <c r="MUI282" s="1824"/>
      <c r="MUJ282" s="1824"/>
      <c r="MUK282" s="1824"/>
      <c r="MUL282" s="1824"/>
      <c r="MUM282" s="1824"/>
      <c r="MUN282" s="1824"/>
      <c r="MUO282" s="1824"/>
      <c r="MUP282" s="1824"/>
      <c r="MUQ282" s="1824"/>
      <c r="MUR282" s="1824"/>
      <c r="MUS282" s="1824"/>
      <c r="MUT282" s="1824"/>
      <c r="MUU282" s="1824"/>
      <c r="MUV282" s="1824"/>
      <c r="MUW282" s="1824"/>
      <c r="MUX282" s="1824"/>
      <c r="MUY282" s="1824"/>
      <c r="MUZ282" s="1824"/>
      <c r="MVA282" s="1824"/>
      <c r="MVB282" s="1824"/>
      <c r="MVC282" s="1824"/>
      <c r="MVD282" s="1824"/>
      <c r="MVE282" s="1824"/>
      <c r="MVF282" s="1824"/>
      <c r="MVG282" s="1824"/>
      <c r="MVH282" s="1824"/>
      <c r="MVI282" s="1824"/>
      <c r="MVJ282" s="1824"/>
      <c r="MVK282" s="1824"/>
      <c r="MVL282" s="1824"/>
      <c r="MVM282" s="1824"/>
      <c r="MVN282" s="1824"/>
      <c r="MVO282" s="1824"/>
      <c r="MVP282" s="1824"/>
      <c r="MVQ282" s="1824"/>
      <c r="MVR282" s="1824"/>
      <c r="MVS282" s="1824"/>
      <c r="MVT282" s="1824"/>
      <c r="MVU282" s="1824"/>
      <c r="MVV282" s="1824"/>
      <c r="MVW282" s="1824"/>
      <c r="MVX282" s="1824"/>
      <c r="MVY282" s="1824"/>
      <c r="MVZ282" s="1824"/>
      <c r="MWA282" s="1824"/>
      <c r="MWB282" s="1824"/>
      <c r="MWC282" s="1824"/>
      <c r="MWD282" s="1824"/>
      <c r="MWE282" s="1824"/>
      <c r="MWF282" s="1824"/>
      <c r="MWG282" s="1824"/>
      <c r="MWH282" s="1824"/>
      <c r="MWI282" s="1824"/>
      <c r="MWJ282" s="1824"/>
      <c r="MWK282" s="1824"/>
      <c r="MWL282" s="1824"/>
      <c r="MWM282" s="1824"/>
      <c r="MWN282" s="1824"/>
      <c r="MWO282" s="1824"/>
      <c r="MWP282" s="1824"/>
      <c r="MWQ282" s="1824"/>
      <c r="MWR282" s="1824"/>
      <c r="MWS282" s="1824"/>
      <c r="MWT282" s="1824"/>
      <c r="MWU282" s="1824"/>
      <c r="MWV282" s="1824"/>
      <c r="MWW282" s="1824"/>
      <c r="MWX282" s="1824"/>
      <c r="MWY282" s="1824"/>
      <c r="MWZ282" s="1824"/>
      <c r="MXA282" s="1824"/>
      <c r="MXB282" s="1824"/>
      <c r="MXC282" s="1824"/>
      <c r="MXD282" s="1824"/>
      <c r="MXE282" s="1824"/>
      <c r="MXF282" s="1824"/>
      <c r="MXG282" s="1824"/>
      <c r="MXH282" s="1824"/>
      <c r="MXI282" s="1824"/>
      <c r="MXJ282" s="1824"/>
      <c r="MXK282" s="1824"/>
      <c r="MXL282" s="1824"/>
      <c r="MXM282" s="1824"/>
      <c r="MXN282" s="1824"/>
      <c r="MXO282" s="1824"/>
      <c r="MXP282" s="1824"/>
      <c r="MXQ282" s="1824"/>
      <c r="MXR282" s="1824"/>
      <c r="MXS282" s="1824"/>
      <c r="MXT282" s="1824"/>
      <c r="MXU282" s="1824"/>
      <c r="MXV282" s="1824"/>
      <c r="MXW282" s="1824"/>
      <c r="MXX282" s="1824"/>
      <c r="MXY282" s="1824"/>
      <c r="MXZ282" s="1824"/>
      <c r="MYA282" s="1824"/>
      <c r="MYB282" s="1824"/>
      <c r="MYC282" s="1824"/>
      <c r="MYD282" s="1824"/>
      <c r="MYE282" s="1824"/>
      <c r="MYF282" s="1824"/>
      <c r="MYG282" s="1824"/>
      <c r="MYH282" s="1824"/>
      <c r="MYI282" s="1824"/>
      <c r="MYJ282" s="1824"/>
      <c r="MYK282" s="1824"/>
      <c r="MYL282" s="1824"/>
      <c r="MYM282" s="1824"/>
      <c r="MYN282" s="1824"/>
      <c r="MYO282" s="1824"/>
      <c r="MYP282" s="1824"/>
      <c r="MYQ282" s="1824"/>
      <c r="MYR282" s="1824"/>
      <c r="MYS282" s="1824"/>
      <c r="MYT282" s="1824"/>
      <c r="MYU282" s="1824"/>
      <c r="MYV282" s="1824"/>
      <c r="MYW282" s="1824"/>
      <c r="MYX282" s="1824"/>
      <c r="MYY282" s="1824"/>
      <c r="MYZ282" s="1824"/>
      <c r="MZA282" s="1824"/>
      <c r="MZB282" s="1824"/>
      <c r="MZC282" s="1824"/>
      <c r="MZD282" s="1824"/>
      <c r="MZE282" s="1824"/>
      <c r="MZF282" s="1824"/>
      <c r="MZG282" s="1824"/>
      <c r="MZH282" s="1824"/>
      <c r="MZI282" s="1824"/>
      <c r="MZJ282" s="1824"/>
      <c r="MZK282" s="1824"/>
      <c r="MZL282" s="1824"/>
      <c r="MZM282" s="1824"/>
      <c r="MZN282" s="1824"/>
      <c r="MZO282" s="1824"/>
      <c r="MZP282" s="1824"/>
      <c r="MZQ282" s="1824"/>
      <c r="MZR282" s="1824"/>
      <c r="MZS282" s="1824"/>
      <c r="MZT282" s="1824"/>
      <c r="MZU282" s="1824"/>
      <c r="MZV282" s="1824"/>
      <c r="MZW282" s="1824"/>
      <c r="MZX282" s="1824"/>
      <c r="MZY282" s="1824"/>
      <c r="MZZ282" s="1824"/>
      <c r="NAA282" s="1824"/>
      <c r="NAB282" s="1824"/>
      <c r="NAC282" s="1824"/>
      <c r="NAD282" s="1824"/>
      <c r="NAE282" s="1824"/>
      <c r="NAF282" s="1824"/>
      <c r="NAG282" s="1824"/>
      <c r="NAH282" s="1824"/>
      <c r="NAI282" s="1824"/>
      <c r="NAJ282" s="1824"/>
      <c r="NAK282" s="1824"/>
      <c r="NAL282" s="1824"/>
      <c r="NAM282" s="1824"/>
      <c r="NAN282" s="1824"/>
      <c r="NAO282" s="1824"/>
      <c r="NAP282" s="1824"/>
      <c r="NAQ282" s="1824"/>
      <c r="NAR282" s="1824"/>
      <c r="NAS282" s="1824"/>
      <c r="NAT282" s="1824"/>
      <c r="NAU282" s="1824"/>
      <c r="NAV282" s="1824"/>
      <c r="NAW282" s="1824"/>
      <c r="NAX282" s="1824"/>
      <c r="NAY282" s="1824"/>
      <c r="NAZ282" s="1824"/>
      <c r="NBA282" s="1824"/>
      <c r="NBB282" s="1824"/>
      <c r="NBC282" s="1824"/>
      <c r="NBD282" s="1824"/>
      <c r="NBE282" s="1824"/>
      <c r="NBF282" s="1824"/>
      <c r="NBG282" s="1824"/>
      <c r="NBH282" s="1824"/>
      <c r="NBI282" s="1824"/>
      <c r="NBJ282" s="1824"/>
      <c r="NBK282" s="1824"/>
      <c r="NBL282" s="1824"/>
      <c r="NBM282" s="1824"/>
      <c r="NBN282" s="1824"/>
      <c r="NBO282" s="1824"/>
      <c r="NBP282" s="1824"/>
      <c r="NBQ282" s="1824"/>
      <c r="NBR282" s="1824"/>
      <c r="NBS282" s="1824"/>
      <c r="NBT282" s="1824"/>
      <c r="NBU282" s="1824"/>
      <c r="NBV282" s="1824"/>
      <c r="NBW282" s="1824"/>
      <c r="NBX282" s="1824"/>
      <c r="NBY282" s="1824"/>
      <c r="NBZ282" s="1824"/>
      <c r="NCA282" s="1824"/>
      <c r="NCB282" s="1824"/>
      <c r="NCC282" s="1824"/>
      <c r="NCD282" s="1824"/>
      <c r="NCE282" s="1824"/>
      <c r="NCF282" s="1824"/>
      <c r="NCG282" s="1824"/>
      <c r="NCH282" s="1824"/>
      <c r="NCI282" s="1824"/>
      <c r="NCJ282" s="1824"/>
      <c r="NCK282" s="1824"/>
      <c r="NCL282" s="1824"/>
      <c r="NCM282" s="1824"/>
      <c r="NCN282" s="1824"/>
      <c r="NCO282" s="1824"/>
      <c r="NCP282" s="1824"/>
      <c r="NCQ282" s="1824"/>
      <c r="NCR282" s="1824"/>
      <c r="NCS282" s="1824"/>
      <c r="NCT282" s="1824"/>
      <c r="NCU282" s="1824"/>
      <c r="NCV282" s="1824"/>
      <c r="NCW282" s="1824"/>
      <c r="NCX282" s="1824"/>
      <c r="NCY282" s="1824"/>
      <c r="NCZ282" s="1824"/>
      <c r="NDA282" s="1824"/>
      <c r="NDB282" s="1824"/>
      <c r="NDC282" s="1824"/>
      <c r="NDD282" s="1824"/>
      <c r="NDE282" s="1824"/>
      <c r="NDF282" s="1824"/>
      <c r="NDG282" s="1824"/>
      <c r="NDH282" s="1824"/>
      <c r="NDI282" s="1824"/>
      <c r="NDJ282" s="1824"/>
      <c r="NDK282" s="1824"/>
      <c r="NDL282" s="1824"/>
      <c r="NDM282" s="1824"/>
      <c r="NDN282" s="1824"/>
      <c r="NDO282" s="1824"/>
      <c r="NDP282" s="1824"/>
      <c r="NDQ282" s="1824"/>
      <c r="NDR282" s="1824"/>
      <c r="NDS282" s="1824"/>
      <c r="NDT282" s="1824"/>
      <c r="NDU282" s="1824"/>
      <c r="NDV282" s="1824"/>
      <c r="NDW282" s="1824"/>
      <c r="NDX282" s="1824"/>
      <c r="NDY282" s="1824"/>
      <c r="NDZ282" s="1824"/>
      <c r="NEA282" s="1824"/>
      <c r="NEB282" s="1824"/>
      <c r="NEC282" s="1824"/>
      <c r="NED282" s="1824"/>
      <c r="NEE282" s="1824"/>
      <c r="NEF282" s="1824"/>
      <c r="NEG282" s="1824"/>
      <c r="NEH282" s="1824"/>
      <c r="NEI282" s="1824"/>
      <c r="NEJ282" s="1824"/>
      <c r="NEK282" s="1824"/>
      <c r="NEL282" s="1824"/>
      <c r="NEM282" s="1824"/>
      <c r="NEN282" s="1824"/>
      <c r="NEO282" s="1824"/>
      <c r="NEP282" s="1824"/>
      <c r="NEQ282" s="1824"/>
      <c r="NER282" s="1824"/>
      <c r="NES282" s="1824"/>
      <c r="NET282" s="1824"/>
      <c r="NEU282" s="1824"/>
      <c r="NEV282" s="1824"/>
      <c r="NEW282" s="1824"/>
      <c r="NEX282" s="1824"/>
      <c r="NEY282" s="1824"/>
      <c r="NEZ282" s="1824"/>
      <c r="NFA282" s="1824"/>
      <c r="NFB282" s="1824"/>
      <c r="NFC282" s="1824"/>
      <c r="NFD282" s="1824"/>
      <c r="NFE282" s="1824"/>
      <c r="NFF282" s="1824"/>
      <c r="NFG282" s="1824"/>
      <c r="NFH282" s="1824"/>
      <c r="NFI282" s="1824"/>
      <c r="NFJ282" s="1824"/>
      <c r="NFK282" s="1824"/>
      <c r="NFL282" s="1824"/>
      <c r="NFM282" s="1824"/>
      <c r="NFN282" s="1824"/>
      <c r="NFO282" s="1824"/>
      <c r="NFP282" s="1824"/>
      <c r="NFQ282" s="1824"/>
      <c r="NFR282" s="1824"/>
      <c r="NFS282" s="1824"/>
      <c r="NFT282" s="1824"/>
      <c r="NFU282" s="1824"/>
      <c r="NFV282" s="1824"/>
      <c r="NFW282" s="1824"/>
      <c r="NFX282" s="1824"/>
      <c r="NFY282" s="1824"/>
      <c r="NFZ282" s="1824"/>
      <c r="NGA282" s="1824"/>
      <c r="NGB282" s="1824"/>
      <c r="NGC282" s="1824"/>
      <c r="NGD282" s="1824"/>
      <c r="NGE282" s="1824"/>
      <c r="NGF282" s="1824"/>
      <c r="NGG282" s="1824"/>
      <c r="NGH282" s="1824"/>
      <c r="NGI282" s="1824"/>
      <c r="NGJ282" s="1824"/>
      <c r="NGK282" s="1824"/>
      <c r="NGL282" s="1824"/>
      <c r="NGM282" s="1824"/>
      <c r="NGN282" s="1824"/>
      <c r="NGO282" s="1824"/>
      <c r="NGP282" s="1824"/>
      <c r="NGQ282" s="1824"/>
      <c r="NGR282" s="1824"/>
      <c r="NGS282" s="1824"/>
      <c r="NGT282" s="1824"/>
      <c r="NGU282" s="1824"/>
      <c r="NGV282" s="1824"/>
      <c r="NGW282" s="1824"/>
      <c r="NGX282" s="1824"/>
      <c r="NGY282" s="1824"/>
      <c r="NGZ282" s="1824"/>
      <c r="NHA282" s="1824"/>
      <c r="NHB282" s="1824"/>
      <c r="NHC282" s="1824"/>
      <c r="NHD282" s="1824"/>
      <c r="NHE282" s="1824"/>
      <c r="NHF282" s="1824"/>
      <c r="NHG282" s="1824"/>
      <c r="NHH282" s="1824"/>
      <c r="NHI282" s="1824"/>
      <c r="NHJ282" s="1824"/>
      <c r="NHK282" s="1824"/>
      <c r="NHL282" s="1824"/>
      <c r="NHM282" s="1824"/>
      <c r="NHN282" s="1824"/>
      <c r="NHO282" s="1824"/>
      <c r="NHP282" s="1824"/>
      <c r="NHQ282" s="1824"/>
      <c r="NHR282" s="1824"/>
      <c r="NHS282" s="1824"/>
      <c r="NHT282" s="1824"/>
      <c r="NHU282" s="1824"/>
      <c r="NHV282" s="1824"/>
      <c r="NHW282" s="1824"/>
      <c r="NHX282" s="1824"/>
      <c r="NHY282" s="1824"/>
      <c r="NHZ282" s="1824"/>
      <c r="NIA282" s="1824"/>
      <c r="NIB282" s="1824"/>
      <c r="NIC282" s="1824"/>
      <c r="NID282" s="1824"/>
      <c r="NIE282" s="1824"/>
      <c r="NIF282" s="1824"/>
      <c r="NIG282" s="1824"/>
      <c r="NIH282" s="1824"/>
      <c r="NII282" s="1824"/>
      <c r="NIJ282" s="1824"/>
      <c r="NIK282" s="1824"/>
      <c r="NIL282" s="1824"/>
      <c r="NIM282" s="1824"/>
      <c r="NIN282" s="1824"/>
      <c r="NIO282" s="1824"/>
      <c r="NIP282" s="1824"/>
      <c r="NIQ282" s="1824"/>
      <c r="NIR282" s="1824"/>
      <c r="NIS282" s="1824"/>
      <c r="NIT282" s="1824"/>
      <c r="NIU282" s="1824"/>
      <c r="NIV282" s="1824"/>
      <c r="NIW282" s="1824"/>
      <c r="NIX282" s="1824"/>
      <c r="NIY282" s="1824"/>
      <c r="NIZ282" s="1824"/>
      <c r="NJA282" s="1824"/>
      <c r="NJB282" s="1824"/>
      <c r="NJC282" s="1824"/>
      <c r="NJD282" s="1824"/>
      <c r="NJE282" s="1824"/>
      <c r="NJF282" s="1824"/>
      <c r="NJG282" s="1824"/>
      <c r="NJH282" s="1824"/>
      <c r="NJI282" s="1824"/>
      <c r="NJJ282" s="1824"/>
      <c r="NJK282" s="1824"/>
      <c r="NJL282" s="1824"/>
      <c r="NJM282" s="1824"/>
      <c r="NJN282" s="1824"/>
      <c r="NJO282" s="1824"/>
      <c r="NJP282" s="1824"/>
      <c r="NJQ282" s="1824"/>
      <c r="NJR282" s="1824"/>
      <c r="NJS282" s="1824"/>
      <c r="NJT282" s="1824"/>
      <c r="NJU282" s="1824"/>
      <c r="NJV282" s="1824"/>
      <c r="NJW282" s="1824"/>
      <c r="NJX282" s="1824"/>
      <c r="NJY282" s="1824"/>
      <c r="NJZ282" s="1824"/>
      <c r="NKA282" s="1824"/>
      <c r="NKB282" s="1824"/>
      <c r="NKC282" s="1824"/>
      <c r="NKD282" s="1824"/>
      <c r="NKE282" s="1824"/>
      <c r="NKF282" s="1824"/>
      <c r="NKG282" s="1824"/>
      <c r="NKH282" s="1824"/>
      <c r="NKI282" s="1824"/>
      <c r="NKJ282" s="1824"/>
      <c r="NKK282" s="1824"/>
      <c r="NKL282" s="1824"/>
      <c r="NKM282" s="1824"/>
      <c r="NKN282" s="1824"/>
      <c r="NKO282" s="1824"/>
      <c r="NKP282" s="1824"/>
      <c r="NKQ282" s="1824"/>
      <c r="NKR282" s="1824"/>
      <c r="NKS282" s="1824"/>
      <c r="NKT282" s="1824"/>
      <c r="NKU282" s="1824"/>
      <c r="NKV282" s="1824"/>
      <c r="NKW282" s="1824"/>
      <c r="NKX282" s="1824"/>
      <c r="NKY282" s="1824"/>
      <c r="NKZ282" s="1824"/>
      <c r="NLA282" s="1824"/>
      <c r="NLB282" s="1824"/>
      <c r="NLC282" s="1824"/>
      <c r="NLD282" s="1824"/>
      <c r="NLE282" s="1824"/>
      <c r="NLF282" s="1824"/>
      <c r="NLG282" s="1824"/>
      <c r="NLH282" s="1824"/>
      <c r="NLI282" s="1824"/>
      <c r="NLJ282" s="1824"/>
      <c r="NLK282" s="1824"/>
      <c r="NLL282" s="1824"/>
      <c r="NLM282" s="1824"/>
      <c r="NLN282" s="1824"/>
      <c r="NLO282" s="1824"/>
      <c r="NLP282" s="1824"/>
      <c r="NLQ282" s="1824"/>
      <c r="NLR282" s="1824"/>
      <c r="NLS282" s="1824"/>
      <c r="NLT282" s="1824"/>
      <c r="NLU282" s="1824"/>
      <c r="NLV282" s="1824"/>
      <c r="NLW282" s="1824"/>
      <c r="NLX282" s="1824"/>
      <c r="NLY282" s="1824"/>
      <c r="NLZ282" s="1824"/>
      <c r="NMA282" s="1824"/>
      <c r="NMB282" s="1824"/>
      <c r="NMC282" s="1824"/>
      <c r="NMD282" s="1824"/>
      <c r="NME282" s="1824"/>
      <c r="NMF282" s="1824"/>
      <c r="NMG282" s="1824"/>
      <c r="NMH282" s="1824"/>
      <c r="NMI282" s="1824"/>
      <c r="NMJ282" s="1824"/>
      <c r="NMK282" s="1824"/>
      <c r="NML282" s="1824"/>
      <c r="NMM282" s="1824"/>
      <c r="NMN282" s="1824"/>
      <c r="NMO282" s="1824"/>
      <c r="NMP282" s="1824"/>
      <c r="NMQ282" s="1824"/>
      <c r="NMR282" s="1824"/>
      <c r="NMS282" s="1824"/>
      <c r="NMT282" s="1824"/>
      <c r="NMU282" s="1824"/>
      <c r="NMV282" s="1824"/>
      <c r="NMW282" s="1824"/>
      <c r="NMX282" s="1824"/>
      <c r="NMY282" s="1824"/>
      <c r="NMZ282" s="1824"/>
      <c r="NNA282" s="1824"/>
      <c r="NNB282" s="1824"/>
      <c r="NNC282" s="1824"/>
      <c r="NND282" s="1824"/>
      <c r="NNE282" s="1824"/>
      <c r="NNF282" s="1824"/>
      <c r="NNG282" s="1824"/>
      <c r="NNH282" s="1824"/>
      <c r="NNI282" s="1824"/>
      <c r="NNJ282" s="1824"/>
      <c r="NNK282" s="1824"/>
      <c r="NNL282" s="1824"/>
      <c r="NNM282" s="1824"/>
      <c r="NNN282" s="1824"/>
      <c r="NNO282" s="1824"/>
      <c r="NNP282" s="1824"/>
      <c r="NNQ282" s="1824"/>
      <c r="NNR282" s="1824"/>
      <c r="NNS282" s="1824"/>
      <c r="NNT282" s="1824"/>
      <c r="NNU282" s="1824"/>
      <c r="NNV282" s="1824"/>
      <c r="NNW282" s="1824"/>
      <c r="NNX282" s="1824"/>
      <c r="NNY282" s="1824"/>
      <c r="NNZ282" s="1824"/>
      <c r="NOA282" s="1824"/>
      <c r="NOB282" s="1824"/>
      <c r="NOC282" s="1824"/>
      <c r="NOD282" s="1824"/>
      <c r="NOE282" s="1824"/>
      <c r="NOF282" s="1824"/>
      <c r="NOG282" s="1824"/>
      <c r="NOH282" s="1824"/>
      <c r="NOI282" s="1824"/>
      <c r="NOJ282" s="1824"/>
      <c r="NOK282" s="1824"/>
      <c r="NOL282" s="1824"/>
      <c r="NOM282" s="1824"/>
      <c r="NON282" s="1824"/>
      <c r="NOO282" s="1824"/>
      <c r="NOP282" s="1824"/>
      <c r="NOQ282" s="1824"/>
      <c r="NOR282" s="1824"/>
      <c r="NOS282" s="1824"/>
      <c r="NOT282" s="1824"/>
      <c r="NOU282" s="1824"/>
      <c r="NOV282" s="1824"/>
      <c r="NOW282" s="1824"/>
      <c r="NOX282" s="1824"/>
      <c r="NOY282" s="1824"/>
      <c r="NOZ282" s="1824"/>
      <c r="NPA282" s="1824"/>
      <c r="NPB282" s="1824"/>
      <c r="NPC282" s="1824"/>
      <c r="NPD282" s="1824"/>
      <c r="NPE282" s="1824"/>
      <c r="NPF282" s="1824"/>
      <c r="NPG282" s="1824"/>
      <c r="NPH282" s="1824"/>
      <c r="NPI282" s="1824"/>
      <c r="NPJ282" s="1824"/>
      <c r="NPK282" s="1824"/>
      <c r="NPL282" s="1824"/>
      <c r="NPM282" s="1824"/>
      <c r="NPN282" s="1824"/>
      <c r="NPO282" s="1824"/>
      <c r="NPP282" s="1824"/>
      <c r="NPQ282" s="1824"/>
      <c r="NPR282" s="1824"/>
      <c r="NPS282" s="1824"/>
      <c r="NPT282" s="1824"/>
      <c r="NPU282" s="1824"/>
      <c r="NPV282" s="1824"/>
      <c r="NPW282" s="1824"/>
      <c r="NPX282" s="1824"/>
      <c r="NPY282" s="1824"/>
      <c r="NPZ282" s="1824"/>
      <c r="NQA282" s="1824"/>
      <c r="NQB282" s="1824"/>
      <c r="NQC282" s="1824"/>
      <c r="NQD282" s="1824"/>
      <c r="NQE282" s="1824"/>
      <c r="NQF282" s="1824"/>
      <c r="NQG282" s="1824"/>
      <c r="NQH282" s="1824"/>
      <c r="NQI282" s="1824"/>
      <c r="NQJ282" s="1824"/>
      <c r="NQK282" s="1824"/>
      <c r="NQL282" s="1824"/>
      <c r="NQM282" s="1824"/>
      <c r="NQN282" s="1824"/>
      <c r="NQO282" s="1824"/>
      <c r="NQP282" s="1824"/>
      <c r="NQQ282" s="1824"/>
      <c r="NQR282" s="1824"/>
      <c r="NQS282" s="1824"/>
      <c r="NQT282" s="1824"/>
      <c r="NQU282" s="1824"/>
      <c r="NQV282" s="1824"/>
      <c r="NQW282" s="1824"/>
      <c r="NQX282" s="1824"/>
      <c r="NQY282" s="1824"/>
      <c r="NQZ282" s="1824"/>
      <c r="NRA282" s="1824"/>
      <c r="NRB282" s="1824"/>
      <c r="NRC282" s="1824"/>
      <c r="NRD282" s="1824"/>
      <c r="NRE282" s="1824"/>
      <c r="NRF282" s="1824"/>
      <c r="NRG282" s="1824"/>
      <c r="NRH282" s="1824"/>
      <c r="NRI282" s="1824"/>
      <c r="NRJ282" s="1824"/>
      <c r="NRK282" s="1824"/>
      <c r="NRL282" s="1824"/>
      <c r="NRM282" s="1824"/>
      <c r="NRN282" s="1824"/>
      <c r="NRO282" s="1824"/>
      <c r="NRP282" s="1824"/>
      <c r="NRQ282" s="1824"/>
      <c r="NRR282" s="1824"/>
      <c r="NRS282" s="1824"/>
      <c r="NRT282" s="1824"/>
      <c r="NRU282" s="1824"/>
      <c r="NRV282" s="1824"/>
      <c r="NRW282" s="1824"/>
      <c r="NRX282" s="1824"/>
      <c r="NRY282" s="1824"/>
      <c r="NRZ282" s="1824"/>
      <c r="NSA282" s="1824"/>
      <c r="NSB282" s="1824"/>
      <c r="NSC282" s="1824"/>
      <c r="NSD282" s="1824"/>
      <c r="NSE282" s="1824"/>
      <c r="NSF282" s="1824"/>
      <c r="NSG282" s="1824"/>
      <c r="NSH282" s="1824"/>
      <c r="NSI282" s="1824"/>
      <c r="NSJ282" s="1824"/>
      <c r="NSK282" s="1824"/>
      <c r="NSL282" s="1824"/>
      <c r="NSM282" s="1824"/>
      <c r="NSN282" s="1824"/>
      <c r="NSO282" s="1824"/>
      <c r="NSP282" s="1824"/>
      <c r="NSQ282" s="1824"/>
      <c r="NSR282" s="1824"/>
      <c r="NSS282" s="1824"/>
      <c r="NST282" s="1824"/>
      <c r="NSU282" s="1824"/>
      <c r="NSV282" s="1824"/>
      <c r="NSW282" s="1824"/>
      <c r="NSX282" s="1824"/>
      <c r="NSY282" s="1824"/>
      <c r="NSZ282" s="1824"/>
      <c r="NTA282" s="1824"/>
      <c r="NTB282" s="1824"/>
      <c r="NTC282" s="1824"/>
      <c r="NTD282" s="1824"/>
      <c r="NTE282" s="1824"/>
      <c r="NTF282" s="1824"/>
      <c r="NTG282" s="1824"/>
      <c r="NTH282" s="1824"/>
      <c r="NTI282" s="1824"/>
      <c r="NTJ282" s="1824"/>
      <c r="NTK282" s="1824"/>
      <c r="NTL282" s="1824"/>
      <c r="NTM282" s="1824"/>
      <c r="NTN282" s="1824"/>
      <c r="NTO282" s="1824"/>
      <c r="NTP282" s="1824"/>
      <c r="NTQ282" s="1824"/>
      <c r="NTR282" s="1824"/>
      <c r="NTS282" s="1824"/>
      <c r="NTT282" s="1824"/>
      <c r="NTU282" s="1824"/>
      <c r="NTV282" s="1824"/>
      <c r="NTW282" s="1824"/>
      <c r="NTX282" s="1824"/>
      <c r="NTY282" s="1824"/>
      <c r="NTZ282" s="1824"/>
      <c r="NUA282" s="1824"/>
      <c r="NUB282" s="1824"/>
      <c r="NUC282" s="1824"/>
      <c r="NUD282" s="1824"/>
      <c r="NUE282" s="1824"/>
      <c r="NUF282" s="1824"/>
      <c r="NUG282" s="1824"/>
      <c r="NUH282" s="1824"/>
      <c r="NUI282" s="1824"/>
      <c r="NUJ282" s="1824"/>
      <c r="NUK282" s="1824"/>
      <c r="NUL282" s="1824"/>
      <c r="NUM282" s="1824"/>
      <c r="NUN282" s="1824"/>
      <c r="NUO282" s="1824"/>
      <c r="NUP282" s="1824"/>
      <c r="NUQ282" s="1824"/>
      <c r="NUR282" s="1824"/>
      <c r="NUS282" s="1824"/>
      <c r="NUT282" s="1824"/>
      <c r="NUU282" s="1824"/>
      <c r="NUV282" s="1824"/>
      <c r="NUW282" s="1824"/>
      <c r="NUX282" s="1824"/>
      <c r="NUY282" s="1824"/>
      <c r="NUZ282" s="1824"/>
      <c r="NVA282" s="1824"/>
      <c r="NVB282" s="1824"/>
      <c r="NVC282" s="1824"/>
      <c r="NVD282" s="1824"/>
      <c r="NVE282" s="1824"/>
      <c r="NVF282" s="1824"/>
      <c r="NVG282" s="1824"/>
      <c r="NVH282" s="1824"/>
      <c r="NVI282" s="1824"/>
      <c r="NVJ282" s="1824"/>
      <c r="NVK282" s="1824"/>
      <c r="NVL282" s="1824"/>
      <c r="NVM282" s="1824"/>
      <c r="NVN282" s="1824"/>
      <c r="NVO282" s="1824"/>
      <c r="NVP282" s="1824"/>
      <c r="NVQ282" s="1824"/>
      <c r="NVR282" s="1824"/>
      <c r="NVS282" s="1824"/>
      <c r="NVT282" s="1824"/>
      <c r="NVU282" s="1824"/>
      <c r="NVV282" s="1824"/>
      <c r="NVW282" s="1824"/>
      <c r="NVX282" s="1824"/>
      <c r="NVY282" s="1824"/>
      <c r="NVZ282" s="1824"/>
      <c r="NWA282" s="1824"/>
      <c r="NWB282" s="1824"/>
      <c r="NWC282" s="1824"/>
      <c r="NWD282" s="1824"/>
      <c r="NWE282" s="1824"/>
      <c r="NWF282" s="1824"/>
      <c r="NWG282" s="1824"/>
      <c r="NWH282" s="1824"/>
      <c r="NWI282" s="1824"/>
      <c r="NWJ282" s="1824"/>
      <c r="NWK282" s="1824"/>
      <c r="NWL282" s="1824"/>
      <c r="NWM282" s="1824"/>
      <c r="NWN282" s="1824"/>
      <c r="NWO282" s="1824"/>
      <c r="NWP282" s="1824"/>
      <c r="NWQ282" s="1824"/>
      <c r="NWR282" s="1824"/>
      <c r="NWS282" s="1824"/>
      <c r="NWT282" s="1824"/>
      <c r="NWU282" s="1824"/>
      <c r="NWV282" s="1824"/>
      <c r="NWW282" s="1824"/>
      <c r="NWX282" s="1824"/>
      <c r="NWY282" s="1824"/>
      <c r="NWZ282" s="1824"/>
      <c r="NXA282" s="1824"/>
      <c r="NXB282" s="1824"/>
      <c r="NXC282" s="1824"/>
      <c r="NXD282" s="1824"/>
      <c r="NXE282" s="1824"/>
      <c r="NXF282" s="1824"/>
      <c r="NXG282" s="1824"/>
      <c r="NXH282" s="1824"/>
      <c r="NXI282" s="1824"/>
      <c r="NXJ282" s="1824"/>
      <c r="NXK282" s="1824"/>
      <c r="NXL282" s="1824"/>
      <c r="NXM282" s="1824"/>
      <c r="NXN282" s="1824"/>
      <c r="NXO282" s="1824"/>
      <c r="NXP282" s="1824"/>
      <c r="NXQ282" s="1824"/>
      <c r="NXR282" s="1824"/>
      <c r="NXS282" s="1824"/>
      <c r="NXT282" s="1824"/>
      <c r="NXU282" s="1824"/>
      <c r="NXV282" s="1824"/>
      <c r="NXW282" s="1824"/>
      <c r="NXX282" s="1824"/>
      <c r="NXY282" s="1824"/>
      <c r="NXZ282" s="1824"/>
      <c r="NYA282" s="1824"/>
      <c r="NYB282" s="1824"/>
      <c r="NYC282" s="1824"/>
      <c r="NYD282" s="1824"/>
      <c r="NYE282" s="1824"/>
      <c r="NYF282" s="1824"/>
      <c r="NYG282" s="1824"/>
      <c r="NYH282" s="1824"/>
      <c r="NYI282" s="1824"/>
      <c r="NYJ282" s="1824"/>
      <c r="NYK282" s="1824"/>
      <c r="NYL282" s="1824"/>
      <c r="NYM282" s="1824"/>
      <c r="NYN282" s="1824"/>
      <c r="NYO282" s="1824"/>
      <c r="NYP282" s="1824"/>
      <c r="NYQ282" s="1824"/>
      <c r="NYR282" s="1824"/>
      <c r="NYS282" s="1824"/>
      <c r="NYT282" s="1824"/>
      <c r="NYU282" s="1824"/>
      <c r="NYV282" s="1824"/>
      <c r="NYW282" s="1824"/>
      <c r="NYX282" s="1824"/>
      <c r="NYY282" s="1824"/>
      <c r="NYZ282" s="1824"/>
      <c r="NZA282" s="1824"/>
      <c r="NZB282" s="1824"/>
      <c r="NZC282" s="1824"/>
      <c r="NZD282" s="1824"/>
      <c r="NZE282" s="1824"/>
      <c r="NZF282" s="1824"/>
      <c r="NZG282" s="1824"/>
      <c r="NZH282" s="1824"/>
      <c r="NZI282" s="1824"/>
      <c r="NZJ282" s="1824"/>
      <c r="NZK282" s="1824"/>
      <c r="NZL282" s="1824"/>
      <c r="NZM282" s="1824"/>
      <c r="NZN282" s="1824"/>
      <c r="NZO282" s="1824"/>
      <c r="NZP282" s="1824"/>
      <c r="NZQ282" s="1824"/>
      <c r="NZR282" s="1824"/>
      <c r="NZS282" s="1824"/>
      <c r="NZT282" s="1824"/>
      <c r="NZU282" s="1824"/>
      <c r="NZV282" s="1824"/>
      <c r="NZW282" s="1824"/>
      <c r="NZX282" s="1824"/>
      <c r="NZY282" s="1824"/>
      <c r="NZZ282" s="1824"/>
      <c r="OAA282" s="1824"/>
      <c r="OAB282" s="1824"/>
      <c r="OAC282" s="1824"/>
      <c r="OAD282" s="1824"/>
      <c r="OAE282" s="1824"/>
      <c r="OAF282" s="1824"/>
      <c r="OAG282" s="1824"/>
      <c r="OAH282" s="1824"/>
      <c r="OAI282" s="1824"/>
      <c r="OAJ282" s="1824"/>
      <c r="OAK282" s="1824"/>
      <c r="OAL282" s="1824"/>
      <c r="OAM282" s="1824"/>
      <c r="OAN282" s="1824"/>
      <c r="OAO282" s="1824"/>
      <c r="OAP282" s="1824"/>
      <c r="OAQ282" s="1824"/>
      <c r="OAR282" s="1824"/>
      <c r="OAS282" s="1824"/>
      <c r="OAT282" s="1824"/>
      <c r="OAU282" s="1824"/>
      <c r="OAV282" s="1824"/>
      <c r="OAW282" s="1824"/>
      <c r="OAX282" s="1824"/>
      <c r="OAY282" s="1824"/>
      <c r="OAZ282" s="1824"/>
      <c r="OBA282" s="1824"/>
      <c r="OBB282" s="1824"/>
      <c r="OBC282" s="1824"/>
      <c r="OBD282" s="1824"/>
      <c r="OBE282" s="1824"/>
      <c r="OBF282" s="1824"/>
      <c r="OBG282" s="1824"/>
      <c r="OBH282" s="1824"/>
      <c r="OBI282" s="1824"/>
      <c r="OBJ282" s="1824"/>
      <c r="OBK282" s="1824"/>
      <c r="OBL282" s="1824"/>
      <c r="OBM282" s="1824"/>
      <c r="OBN282" s="1824"/>
      <c r="OBO282" s="1824"/>
      <c r="OBP282" s="1824"/>
      <c r="OBQ282" s="1824"/>
      <c r="OBR282" s="1824"/>
      <c r="OBS282" s="1824"/>
      <c r="OBT282" s="1824"/>
      <c r="OBU282" s="1824"/>
      <c r="OBV282" s="1824"/>
      <c r="OBW282" s="1824"/>
      <c r="OBX282" s="1824"/>
      <c r="OBY282" s="1824"/>
      <c r="OBZ282" s="1824"/>
      <c r="OCA282" s="1824"/>
      <c r="OCB282" s="1824"/>
      <c r="OCC282" s="1824"/>
      <c r="OCD282" s="1824"/>
      <c r="OCE282" s="1824"/>
      <c r="OCF282" s="1824"/>
      <c r="OCG282" s="1824"/>
      <c r="OCH282" s="1824"/>
      <c r="OCI282" s="1824"/>
      <c r="OCJ282" s="1824"/>
      <c r="OCK282" s="1824"/>
      <c r="OCL282" s="1824"/>
      <c r="OCM282" s="1824"/>
      <c r="OCN282" s="1824"/>
      <c r="OCO282" s="1824"/>
      <c r="OCP282" s="1824"/>
      <c r="OCQ282" s="1824"/>
      <c r="OCR282" s="1824"/>
      <c r="OCS282" s="1824"/>
      <c r="OCT282" s="1824"/>
      <c r="OCU282" s="1824"/>
      <c r="OCV282" s="1824"/>
      <c r="OCW282" s="1824"/>
      <c r="OCX282" s="1824"/>
      <c r="OCY282" s="1824"/>
      <c r="OCZ282" s="1824"/>
      <c r="ODA282" s="1824"/>
      <c r="ODB282" s="1824"/>
      <c r="ODC282" s="1824"/>
      <c r="ODD282" s="1824"/>
      <c r="ODE282" s="1824"/>
      <c r="ODF282" s="1824"/>
      <c r="ODG282" s="1824"/>
      <c r="ODH282" s="1824"/>
      <c r="ODI282" s="1824"/>
      <c r="ODJ282" s="1824"/>
      <c r="ODK282" s="1824"/>
      <c r="ODL282" s="1824"/>
      <c r="ODM282" s="1824"/>
      <c r="ODN282" s="1824"/>
      <c r="ODO282" s="1824"/>
      <c r="ODP282" s="1824"/>
      <c r="ODQ282" s="1824"/>
      <c r="ODR282" s="1824"/>
      <c r="ODS282" s="1824"/>
      <c r="ODT282" s="1824"/>
      <c r="ODU282" s="1824"/>
      <c r="ODV282" s="1824"/>
      <c r="ODW282" s="1824"/>
      <c r="ODX282" s="1824"/>
      <c r="ODY282" s="1824"/>
      <c r="ODZ282" s="1824"/>
      <c r="OEA282" s="1824"/>
      <c r="OEB282" s="1824"/>
      <c r="OEC282" s="1824"/>
      <c r="OED282" s="1824"/>
      <c r="OEE282" s="1824"/>
      <c r="OEF282" s="1824"/>
      <c r="OEG282" s="1824"/>
      <c r="OEH282" s="1824"/>
      <c r="OEI282" s="1824"/>
      <c r="OEJ282" s="1824"/>
      <c r="OEK282" s="1824"/>
      <c r="OEL282" s="1824"/>
      <c r="OEM282" s="1824"/>
      <c r="OEN282" s="1824"/>
      <c r="OEO282" s="1824"/>
      <c r="OEP282" s="1824"/>
      <c r="OEQ282" s="1824"/>
      <c r="OER282" s="1824"/>
      <c r="OES282" s="1824"/>
      <c r="OET282" s="1824"/>
      <c r="OEU282" s="1824"/>
      <c r="OEV282" s="1824"/>
      <c r="OEW282" s="1824"/>
      <c r="OEX282" s="1824"/>
      <c r="OEY282" s="1824"/>
      <c r="OEZ282" s="1824"/>
      <c r="OFA282" s="1824"/>
      <c r="OFB282" s="1824"/>
      <c r="OFC282" s="1824"/>
      <c r="OFD282" s="1824"/>
      <c r="OFE282" s="1824"/>
      <c r="OFF282" s="1824"/>
      <c r="OFG282" s="1824"/>
      <c r="OFH282" s="1824"/>
      <c r="OFI282" s="1824"/>
      <c r="OFJ282" s="1824"/>
      <c r="OFK282" s="1824"/>
      <c r="OFL282" s="1824"/>
      <c r="OFM282" s="1824"/>
      <c r="OFN282" s="1824"/>
      <c r="OFO282" s="1824"/>
      <c r="OFP282" s="1824"/>
      <c r="OFQ282" s="1824"/>
      <c r="OFR282" s="1824"/>
      <c r="OFS282" s="1824"/>
      <c r="OFT282" s="1824"/>
      <c r="OFU282" s="1824"/>
      <c r="OFV282" s="1824"/>
      <c r="OFW282" s="1824"/>
      <c r="OFX282" s="1824"/>
      <c r="OFY282" s="1824"/>
      <c r="OFZ282" s="1824"/>
      <c r="OGA282" s="1824"/>
      <c r="OGB282" s="1824"/>
      <c r="OGC282" s="1824"/>
      <c r="OGD282" s="1824"/>
      <c r="OGE282" s="1824"/>
      <c r="OGF282" s="1824"/>
      <c r="OGG282" s="1824"/>
      <c r="OGH282" s="1824"/>
      <c r="OGI282" s="1824"/>
      <c r="OGJ282" s="1824"/>
      <c r="OGK282" s="1824"/>
      <c r="OGL282" s="1824"/>
      <c r="OGM282" s="1824"/>
      <c r="OGN282" s="1824"/>
      <c r="OGO282" s="1824"/>
      <c r="OGP282" s="1824"/>
      <c r="OGQ282" s="1824"/>
      <c r="OGR282" s="1824"/>
      <c r="OGS282" s="1824"/>
      <c r="OGT282" s="1824"/>
      <c r="OGU282" s="1824"/>
      <c r="OGV282" s="1824"/>
      <c r="OGW282" s="1824"/>
      <c r="OGX282" s="1824"/>
      <c r="OGY282" s="1824"/>
      <c r="OGZ282" s="1824"/>
      <c r="OHA282" s="1824"/>
      <c r="OHB282" s="1824"/>
      <c r="OHC282" s="1824"/>
      <c r="OHD282" s="1824"/>
      <c r="OHE282" s="1824"/>
      <c r="OHF282" s="1824"/>
      <c r="OHG282" s="1824"/>
      <c r="OHH282" s="1824"/>
      <c r="OHI282" s="1824"/>
      <c r="OHJ282" s="1824"/>
      <c r="OHK282" s="1824"/>
      <c r="OHL282" s="1824"/>
      <c r="OHM282" s="1824"/>
      <c r="OHN282" s="1824"/>
      <c r="OHO282" s="1824"/>
      <c r="OHP282" s="1824"/>
      <c r="OHQ282" s="1824"/>
      <c r="OHR282" s="1824"/>
      <c r="OHS282" s="1824"/>
      <c r="OHT282" s="1824"/>
      <c r="OHU282" s="1824"/>
      <c r="OHV282" s="1824"/>
      <c r="OHW282" s="1824"/>
      <c r="OHX282" s="1824"/>
      <c r="OHY282" s="1824"/>
      <c r="OHZ282" s="1824"/>
      <c r="OIA282" s="1824"/>
      <c r="OIB282" s="1824"/>
      <c r="OIC282" s="1824"/>
      <c r="OID282" s="1824"/>
      <c r="OIE282" s="1824"/>
      <c r="OIF282" s="1824"/>
      <c r="OIG282" s="1824"/>
      <c r="OIH282" s="1824"/>
      <c r="OII282" s="1824"/>
      <c r="OIJ282" s="1824"/>
      <c r="OIK282" s="1824"/>
      <c r="OIL282" s="1824"/>
      <c r="OIM282" s="1824"/>
      <c r="OIN282" s="1824"/>
      <c r="OIO282" s="1824"/>
      <c r="OIP282" s="1824"/>
      <c r="OIQ282" s="1824"/>
      <c r="OIR282" s="1824"/>
      <c r="OIS282" s="1824"/>
      <c r="OIT282" s="1824"/>
      <c r="OIU282" s="1824"/>
      <c r="OIV282" s="1824"/>
      <c r="OIW282" s="1824"/>
      <c r="OIX282" s="1824"/>
      <c r="OIY282" s="1824"/>
      <c r="OIZ282" s="1824"/>
      <c r="OJA282" s="1824"/>
      <c r="OJB282" s="1824"/>
      <c r="OJC282" s="1824"/>
      <c r="OJD282" s="1824"/>
      <c r="OJE282" s="1824"/>
      <c r="OJF282" s="1824"/>
      <c r="OJG282" s="1824"/>
      <c r="OJH282" s="1824"/>
      <c r="OJI282" s="1824"/>
      <c r="OJJ282" s="1824"/>
      <c r="OJK282" s="1824"/>
      <c r="OJL282" s="1824"/>
      <c r="OJM282" s="1824"/>
      <c r="OJN282" s="1824"/>
      <c r="OJO282" s="1824"/>
      <c r="OJP282" s="1824"/>
      <c r="OJQ282" s="1824"/>
      <c r="OJR282" s="1824"/>
      <c r="OJS282" s="1824"/>
      <c r="OJT282" s="1824"/>
      <c r="OJU282" s="1824"/>
      <c r="OJV282" s="1824"/>
      <c r="OJW282" s="1824"/>
      <c r="OJX282" s="1824"/>
      <c r="OJY282" s="1824"/>
      <c r="OJZ282" s="1824"/>
      <c r="OKA282" s="1824"/>
      <c r="OKB282" s="1824"/>
      <c r="OKC282" s="1824"/>
      <c r="OKD282" s="1824"/>
      <c r="OKE282" s="1824"/>
      <c r="OKF282" s="1824"/>
      <c r="OKG282" s="1824"/>
      <c r="OKH282" s="1824"/>
      <c r="OKI282" s="1824"/>
      <c r="OKJ282" s="1824"/>
      <c r="OKK282" s="1824"/>
      <c r="OKL282" s="1824"/>
      <c r="OKM282" s="1824"/>
      <c r="OKN282" s="1824"/>
      <c r="OKO282" s="1824"/>
      <c r="OKP282" s="1824"/>
      <c r="OKQ282" s="1824"/>
      <c r="OKR282" s="1824"/>
      <c r="OKS282" s="1824"/>
      <c r="OKT282" s="1824"/>
      <c r="OKU282" s="1824"/>
      <c r="OKV282" s="1824"/>
      <c r="OKW282" s="1824"/>
      <c r="OKX282" s="1824"/>
      <c r="OKY282" s="1824"/>
      <c r="OKZ282" s="1824"/>
      <c r="OLA282" s="1824"/>
      <c r="OLB282" s="1824"/>
      <c r="OLC282" s="1824"/>
      <c r="OLD282" s="1824"/>
      <c r="OLE282" s="1824"/>
      <c r="OLF282" s="1824"/>
      <c r="OLG282" s="1824"/>
      <c r="OLH282" s="1824"/>
      <c r="OLI282" s="1824"/>
      <c r="OLJ282" s="1824"/>
      <c r="OLK282" s="1824"/>
      <c r="OLL282" s="1824"/>
      <c r="OLM282" s="1824"/>
      <c r="OLN282" s="1824"/>
      <c r="OLO282" s="1824"/>
      <c r="OLP282" s="1824"/>
      <c r="OLQ282" s="1824"/>
      <c r="OLR282" s="1824"/>
      <c r="OLS282" s="1824"/>
      <c r="OLT282" s="1824"/>
      <c r="OLU282" s="1824"/>
      <c r="OLV282" s="1824"/>
      <c r="OLW282" s="1824"/>
      <c r="OLX282" s="1824"/>
      <c r="OLY282" s="1824"/>
      <c r="OLZ282" s="1824"/>
      <c r="OMA282" s="1824"/>
      <c r="OMB282" s="1824"/>
      <c r="OMC282" s="1824"/>
      <c r="OMD282" s="1824"/>
      <c r="OME282" s="1824"/>
      <c r="OMF282" s="1824"/>
      <c r="OMG282" s="1824"/>
      <c r="OMH282" s="1824"/>
      <c r="OMI282" s="1824"/>
      <c r="OMJ282" s="1824"/>
      <c r="OMK282" s="1824"/>
      <c r="OML282" s="1824"/>
      <c r="OMM282" s="1824"/>
      <c r="OMN282" s="1824"/>
      <c r="OMO282" s="1824"/>
      <c r="OMP282" s="1824"/>
      <c r="OMQ282" s="1824"/>
      <c r="OMR282" s="1824"/>
      <c r="OMS282" s="1824"/>
      <c r="OMT282" s="1824"/>
      <c r="OMU282" s="1824"/>
      <c r="OMV282" s="1824"/>
      <c r="OMW282" s="1824"/>
      <c r="OMX282" s="1824"/>
      <c r="OMY282" s="1824"/>
      <c r="OMZ282" s="1824"/>
      <c r="ONA282" s="1824"/>
      <c r="ONB282" s="1824"/>
      <c r="ONC282" s="1824"/>
      <c r="OND282" s="1824"/>
      <c r="ONE282" s="1824"/>
      <c r="ONF282" s="1824"/>
      <c r="ONG282" s="1824"/>
      <c r="ONH282" s="1824"/>
      <c r="ONI282" s="1824"/>
      <c r="ONJ282" s="1824"/>
      <c r="ONK282" s="1824"/>
      <c r="ONL282" s="1824"/>
      <c r="ONM282" s="1824"/>
      <c r="ONN282" s="1824"/>
      <c r="ONO282" s="1824"/>
      <c r="ONP282" s="1824"/>
      <c r="ONQ282" s="1824"/>
      <c r="ONR282" s="1824"/>
      <c r="ONS282" s="1824"/>
      <c r="ONT282" s="1824"/>
      <c r="ONU282" s="1824"/>
      <c r="ONV282" s="1824"/>
      <c r="ONW282" s="1824"/>
      <c r="ONX282" s="1824"/>
      <c r="ONY282" s="1824"/>
      <c r="ONZ282" s="1824"/>
      <c r="OOA282" s="1824"/>
      <c r="OOB282" s="1824"/>
      <c r="OOC282" s="1824"/>
      <c r="OOD282" s="1824"/>
      <c r="OOE282" s="1824"/>
      <c r="OOF282" s="1824"/>
      <c r="OOG282" s="1824"/>
      <c r="OOH282" s="1824"/>
      <c r="OOI282" s="1824"/>
      <c r="OOJ282" s="1824"/>
      <c r="OOK282" s="1824"/>
      <c r="OOL282" s="1824"/>
      <c r="OOM282" s="1824"/>
      <c r="OON282" s="1824"/>
      <c r="OOO282" s="1824"/>
      <c r="OOP282" s="1824"/>
      <c r="OOQ282" s="1824"/>
      <c r="OOR282" s="1824"/>
      <c r="OOS282" s="1824"/>
      <c r="OOT282" s="1824"/>
      <c r="OOU282" s="1824"/>
      <c r="OOV282" s="1824"/>
      <c r="OOW282" s="1824"/>
      <c r="OOX282" s="1824"/>
      <c r="OOY282" s="1824"/>
      <c r="OOZ282" s="1824"/>
      <c r="OPA282" s="1824"/>
      <c r="OPB282" s="1824"/>
      <c r="OPC282" s="1824"/>
      <c r="OPD282" s="1824"/>
      <c r="OPE282" s="1824"/>
      <c r="OPF282" s="1824"/>
      <c r="OPG282" s="1824"/>
      <c r="OPH282" s="1824"/>
      <c r="OPI282" s="1824"/>
      <c r="OPJ282" s="1824"/>
      <c r="OPK282" s="1824"/>
      <c r="OPL282" s="1824"/>
      <c r="OPM282" s="1824"/>
      <c r="OPN282" s="1824"/>
      <c r="OPO282" s="1824"/>
      <c r="OPP282" s="1824"/>
      <c r="OPQ282" s="1824"/>
      <c r="OPR282" s="1824"/>
      <c r="OPS282" s="1824"/>
      <c r="OPT282" s="1824"/>
      <c r="OPU282" s="1824"/>
      <c r="OPV282" s="1824"/>
      <c r="OPW282" s="1824"/>
      <c r="OPX282" s="1824"/>
      <c r="OPY282" s="1824"/>
      <c r="OPZ282" s="1824"/>
      <c r="OQA282" s="1824"/>
      <c r="OQB282" s="1824"/>
      <c r="OQC282" s="1824"/>
      <c r="OQD282" s="1824"/>
      <c r="OQE282" s="1824"/>
      <c r="OQF282" s="1824"/>
      <c r="OQG282" s="1824"/>
      <c r="OQH282" s="1824"/>
      <c r="OQI282" s="1824"/>
      <c r="OQJ282" s="1824"/>
      <c r="OQK282" s="1824"/>
      <c r="OQL282" s="1824"/>
      <c r="OQM282" s="1824"/>
      <c r="OQN282" s="1824"/>
      <c r="OQO282" s="1824"/>
      <c r="OQP282" s="1824"/>
      <c r="OQQ282" s="1824"/>
      <c r="OQR282" s="1824"/>
      <c r="OQS282" s="1824"/>
      <c r="OQT282" s="1824"/>
      <c r="OQU282" s="1824"/>
      <c r="OQV282" s="1824"/>
      <c r="OQW282" s="1824"/>
      <c r="OQX282" s="1824"/>
      <c r="OQY282" s="1824"/>
      <c r="OQZ282" s="1824"/>
      <c r="ORA282" s="1824"/>
      <c r="ORB282" s="1824"/>
      <c r="ORC282" s="1824"/>
      <c r="ORD282" s="1824"/>
      <c r="ORE282" s="1824"/>
      <c r="ORF282" s="1824"/>
      <c r="ORG282" s="1824"/>
      <c r="ORH282" s="1824"/>
      <c r="ORI282" s="1824"/>
      <c r="ORJ282" s="1824"/>
      <c r="ORK282" s="1824"/>
      <c r="ORL282" s="1824"/>
      <c r="ORM282" s="1824"/>
      <c r="ORN282" s="1824"/>
      <c r="ORO282" s="1824"/>
      <c r="ORP282" s="1824"/>
      <c r="ORQ282" s="1824"/>
      <c r="ORR282" s="1824"/>
      <c r="ORS282" s="1824"/>
      <c r="ORT282" s="1824"/>
      <c r="ORU282" s="1824"/>
      <c r="ORV282" s="1824"/>
      <c r="ORW282" s="1824"/>
      <c r="ORX282" s="1824"/>
      <c r="ORY282" s="1824"/>
      <c r="ORZ282" s="1824"/>
      <c r="OSA282" s="1824"/>
      <c r="OSB282" s="1824"/>
      <c r="OSC282" s="1824"/>
      <c r="OSD282" s="1824"/>
      <c r="OSE282" s="1824"/>
      <c r="OSF282" s="1824"/>
      <c r="OSG282" s="1824"/>
      <c r="OSH282" s="1824"/>
      <c r="OSI282" s="1824"/>
      <c r="OSJ282" s="1824"/>
      <c r="OSK282" s="1824"/>
      <c r="OSL282" s="1824"/>
      <c r="OSM282" s="1824"/>
      <c r="OSN282" s="1824"/>
      <c r="OSO282" s="1824"/>
      <c r="OSP282" s="1824"/>
      <c r="OSQ282" s="1824"/>
      <c r="OSR282" s="1824"/>
      <c r="OSS282" s="1824"/>
      <c r="OST282" s="1824"/>
      <c r="OSU282" s="1824"/>
      <c r="OSV282" s="1824"/>
      <c r="OSW282" s="1824"/>
      <c r="OSX282" s="1824"/>
      <c r="OSY282" s="1824"/>
      <c r="OSZ282" s="1824"/>
      <c r="OTA282" s="1824"/>
      <c r="OTB282" s="1824"/>
      <c r="OTC282" s="1824"/>
      <c r="OTD282" s="1824"/>
      <c r="OTE282" s="1824"/>
      <c r="OTF282" s="1824"/>
      <c r="OTG282" s="1824"/>
      <c r="OTH282" s="1824"/>
      <c r="OTI282" s="1824"/>
      <c r="OTJ282" s="1824"/>
      <c r="OTK282" s="1824"/>
      <c r="OTL282" s="1824"/>
      <c r="OTM282" s="1824"/>
      <c r="OTN282" s="1824"/>
      <c r="OTO282" s="1824"/>
      <c r="OTP282" s="1824"/>
      <c r="OTQ282" s="1824"/>
      <c r="OTR282" s="1824"/>
      <c r="OTS282" s="1824"/>
      <c r="OTT282" s="1824"/>
      <c r="OTU282" s="1824"/>
      <c r="OTV282" s="1824"/>
      <c r="OTW282" s="1824"/>
      <c r="OTX282" s="1824"/>
      <c r="OTY282" s="1824"/>
      <c r="OTZ282" s="1824"/>
      <c r="OUA282" s="1824"/>
      <c r="OUB282" s="1824"/>
      <c r="OUC282" s="1824"/>
      <c r="OUD282" s="1824"/>
      <c r="OUE282" s="1824"/>
      <c r="OUF282" s="1824"/>
      <c r="OUG282" s="1824"/>
      <c r="OUH282" s="1824"/>
      <c r="OUI282" s="1824"/>
      <c r="OUJ282" s="1824"/>
      <c r="OUK282" s="1824"/>
      <c r="OUL282" s="1824"/>
      <c r="OUM282" s="1824"/>
      <c r="OUN282" s="1824"/>
      <c r="OUO282" s="1824"/>
      <c r="OUP282" s="1824"/>
      <c r="OUQ282" s="1824"/>
      <c r="OUR282" s="1824"/>
      <c r="OUS282" s="1824"/>
      <c r="OUT282" s="1824"/>
      <c r="OUU282" s="1824"/>
      <c r="OUV282" s="1824"/>
      <c r="OUW282" s="1824"/>
      <c r="OUX282" s="1824"/>
      <c r="OUY282" s="1824"/>
      <c r="OUZ282" s="1824"/>
      <c r="OVA282" s="1824"/>
      <c r="OVB282" s="1824"/>
      <c r="OVC282" s="1824"/>
      <c r="OVD282" s="1824"/>
      <c r="OVE282" s="1824"/>
      <c r="OVF282" s="1824"/>
      <c r="OVG282" s="1824"/>
      <c r="OVH282" s="1824"/>
      <c r="OVI282" s="1824"/>
      <c r="OVJ282" s="1824"/>
      <c r="OVK282" s="1824"/>
      <c r="OVL282" s="1824"/>
      <c r="OVM282" s="1824"/>
      <c r="OVN282" s="1824"/>
      <c r="OVO282" s="1824"/>
      <c r="OVP282" s="1824"/>
      <c r="OVQ282" s="1824"/>
      <c r="OVR282" s="1824"/>
      <c r="OVS282" s="1824"/>
      <c r="OVT282" s="1824"/>
      <c r="OVU282" s="1824"/>
      <c r="OVV282" s="1824"/>
      <c r="OVW282" s="1824"/>
      <c r="OVX282" s="1824"/>
      <c r="OVY282" s="1824"/>
      <c r="OVZ282" s="1824"/>
      <c r="OWA282" s="1824"/>
      <c r="OWB282" s="1824"/>
      <c r="OWC282" s="1824"/>
      <c r="OWD282" s="1824"/>
      <c r="OWE282" s="1824"/>
      <c r="OWF282" s="1824"/>
      <c r="OWG282" s="1824"/>
      <c r="OWH282" s="1824"/>
      <c r="OWI282" s="1824"/>
      <c r="OWJ282" s="1824"/>
      <c r="OWK282" s="1824"/>
      <c r="OWL282" s="1824"/>
      <c r="OWM282" s="1824"/>
      <c r="OWN282" s="1824"/>
      <c r="OWO282" s="1824"/>
      <c r="OWP282" s="1824"/>
      <c r="OWQ282" s="1824"/>
      <c r="OWR282" s="1824"/>
      <c r="OWS282" s="1824"/>
      <c r="OWT282" s="1824"/>
      <c r="OWU282" s="1824"/>
      <c r="OWV282" s="1824"/>
      <c r="OWW282" s="1824"/>
      <c r="OWX282" s="1824"/>
      <c r="OWY282" s="1824"/>
      <c r="OWZ282" s="1824"/>
      <c r="OXA282" s="1824"/>
      <c r="OXB282" s="1824"/>
      <c r="OXC282" s="1824"/>
      <c r="OXD282" s="1824"/>
      <c r="OXE282" s="1824"/>
      <c r="OXF282" s="1824"/>
      <c r="OXG282" s="1824"/>
      <c r="OXH282" s="1824"/>
      <c r="OXI282" s="1824"/>
      <c r="OXJ282" s="1824"/>
      <c r="OXK282" s="1824"/>
      <c r="OXL282" s="1824"/>
      <c r="OXM282" s="1824"/>
      <c r="OXN282" s="1824"/>
      <c r="OXO282" s="1824"/>
      <c r="OXP282" s="1824"/>
      <c r="OXQ282" s="1824"/>
      <c r="OXR282" s="1824"/>
      <c r="OXS282" s="1824"/>
      <c r="OXT282" s="1824"/>
      <c r="OXU282" s="1824"/>
      <c r="OXV282" s="1824"/>
      <c r="OXW282" s="1824"/>
      <c r="OXX282" s="1824"/>
      <c r="OXY282" s="1824"/>
      <c r="OXZ282" s="1824"/>
      <c r="OYA282" s="1824"/>
      <c r="OYB282" s="1824"/>
      <c r="OYC282" s="1824"/>
      <c r="OYD282" s="1824"/>
      <c r="OYE282" s="1824"/>
      <c r="OYF282" s="1824"/>
      <c r="OYG282" s="1824"/>
      <c r="OYH282" s="1824"/>
      <c r="OYI282" s="1824"/>
      <c r="OYJ282" s="1824"/>
      <c r="OYK282" s="1824"/>
      <c r="OYL282" s="1824"/>
      <c r="OYM282" s="1824"/>
      <c r="OYN282" s="1824"/>
      <c r="OYO282" s="1824"/>
      <c r="OYP282" s="1824"/>
      <c r="OYQ282" s="1824"/>
      <c r="OYR282" s="1824"/>
      <c r="OYS282" s="1824"/>
      <c r="OYT282" s="1824"/>
      <c r="OYU282" s="1824"/>
      <c r="OYV282" s="1824"/>
      <c r="OYW282" s="1824"/>
      <c r="OYX282" s="1824"/>
      <c r="OYY282" s="1824"/>
      <c r="OYZ282" s="1824"/>
      <c r="OZA282" s="1824"/>
      <c r="OZB282" s="1824"/>
      <c r="OZC282" s="1824"/>
      <c r="OZD282" s="1824"/>
      <c r="OZE282" s="1824"/>
      <c r="OZF282" s="1824"/>
      <c r="OZG282" s="1824"/>
      <c r="OZH282" s="1824"/>
      <c r="OZI282" s="1824"/>
      <c r="OZJ282" s="1824"/>
      <c r="OZK282" s="1824"/>
      <c r="OZL282" s="1824"/>
      <c r="OZM282" s="1824"/>
      <c r="OZN282" s="1824"/>
      <c r="OZO282" s="1824"/>
      <c r="OZP282" s="1824"/>
      <c r="OZQ282" s="1824"/>
      <c r="OZR282" s="1824"/>
      <c r="OZS282" s="1824"/>
      <c r="OZT282" s="1824"/>
      <c r="OZU282" s="1824"/>
      <c r="OZV282" s="1824"/>
      <c r="OZW282" s="1824"/>
      <c r="OZX282" s="1824"/>
      <c r="OZY282" s="1824"/>
      <c r="OZZ282" s="1824"/>
      <c r="PAA282" s="1824"/>
      <c r="PAB282" s="1824"/>
      <c r="PAC282" s="1824"/>
      <c r="PAD282" s="1824"/>
      <c r="PAE282" s="1824"/>
      <c r="PAF282" s="1824"/>
      <c r="PAG282" s="1824"/>
      <c r="PAH282" s="1824"/>
      <c r="PAI282" s="1824"/>
      <c r="PAJ282" s="1824"/>
      <c r="PAK282" s="1824"/>
      <c r="PAL282" s="1824"/>
      <c r="PAM282" s="1824"/>
      <c r="PAN282" s="1824"/>
      <c r="PAO282" s="1824"/>
      <c r="PAP282" s="1824"/>
      <c r="PAQ282" s="1824"/>
      <c r="PAR282" s="1824"/>
      <c r="PAS282" s="1824"/>
      <c r="PAT282" s="1824"/>
      <c r="PAU282" s="1824"/>
      <c r="PAV282" s="1824"/>
      <c r="PAW282" s="1824"/>
      <c r="PAX282" s="1824"/>
      <c r="PAY282" s="1824"/>
      <c r="PAZ282" s="1824"/>
      <c r="PBA282" s="1824"/>
      <c r="PBB282" s="1824"/>
      <c r="PBC282" s="1824"/>
      <c r="PBD282" s="1824"/>
      <c r="PBE282" s="1824"/>
      <c r="PBF282" s="1824"/>
      <c r="PBG282" s="1824"/>
      <c r="PBH282" s="1824"/>
      <c r="PBI282" s="1824"/>
      <c r="PBJ282" s="1824"/>
      <c r="PBK282" s="1824"/>
      <c r="PBL282" s="1824"/>
      <c r="PBM282" s="1824"/>
      <c r="PBN282" s="1824"/>
      <c r="PBO282" s="1824"/>
      <c r="PBP282" s="1824"/>
      <c r="PBQ282" s="1824"/>
      <c r="PBR282" s="1824"/>
      <c r="PBS282" s="1824"/>
      <c r="PBT282" s="1824"/>
      <c r="PBU282" s="1824"/>
      <c r="PBV282" s="1824"/>
      <c r="PBW282" s="1824"/>
      <c r="PBX282" s="1824"/>
      <c r="PBY282" s="1824"/>
      <c r="PBZ282" s="1824"/>
      <c r="PCA282" s="1824"/>
      <c r="PCB282" s="1824"/>
      <c r="PCC282" s="1824"/>
      <c r="PCD282" s="1824"/>
      <c r="PCE282" s="1824"/>
      <c r="PCF282" s="1824"/>
      <c r="PCG282" s="1824"/>
      <c r="PCH282" s="1824"/>
      <c r="PCI282" s="1824"/>
      <c r="PCJ282" s="1824"/>
      <c r="PCK282" s="1824"/>
      <c r="PCL282" s="1824"/>
      <c r="PCM282" s="1824"/>
      <c r="PCN282" s="1824"/>
      <c r="PCO282" s="1824"/>
      <c r="PCP282" s="1824"/>
      <c r="PCQ282" s="1824"/>
      <c r="PCR282" s="1824"/>
      <c r="PCS282" s="1824"/>
      <c r="PCT282" s="1824"/>
      <c r="PCU282" s="1824"/>
      <c r="PCV282" s="1824"/>
      <c r="PCW282" s="1824"/>
      <c r="PCX282" s="1824"/>
      <c r="PCY282" s="1824"/>
      <c r="PCZ282" s="1824"/>
      <c r="PDA282" s="1824"/>
      <c r="PDB282" s="1824"/>
      <c r="PDC282" s="1824"/>
      <c r="PDD282" s="1824"/>
      <c r="PDE282" s="1824"/>
      <c r="PDF282" s="1824"/>
      <c r="PDG282" s="1824"/>
      <c r="PDH282" s="1824"/>
      <c r="PDI282" s="1824"/>
      <c r="PDJ282" s="1824"/>
      <c r="PDK282" s="1824"/>
      <c r="PDL282" s="1824"/>
      <c r="PDM282" s="1824"/>
      <c r="PDN282" s="1824"/>
      <c r="PDO282" s="1824"/>
      <c r="PDP282" s="1824"/>
      <c r="PDQ282" s="1824"/>
      <c r="PDR282" s="1824"/>
      <c r="PDS282" s="1824"/>
      <c r="PDT282" s="1824"/>
      <c r="PDU282" s="1824"/>
      <c r="PDV282" s="1824"/>
      <c r="PDW282" s="1824"/>
      <c r="PDX282" s="1824"/>
      <c r="PDY282" s="1824"/>
      <c r="PDZ282" s="1824"/>
      <c r="PEA282" s="1824"/>
      <c r="PEB282" s="1824"/>
      <c r="PEC282" s="1824"/>
      <c r="PED282" s="1824"/>
      <c r="PEE282" s="1824"/>
      <c r="PEF282" s="1824"/>
      <c r="PEG282" s="1824"/>
      <c r="PEH282" s="1824"/>
      <c r="PEI282" s="1824"/>
      <c r="PEJ282" s="1824"/>
      <c r="PEK282" s="1824"/>
      <c r="PEL282" s="1824"/>
      <c r="PEM282" s="1824"/>
      <c r="PEN282" s="1824"/>
      <c r="PEO282" s="1824"/>
      <c r="PEP282" s="1824"/>
      <c r="PEQ282" s="1824"/>
      <c r="PER282" s="1824"/>
      <c r="PES282" s="1824"/>
      <c r="PET282" s="1824"/>
      <c r="PEU282" s="1824"/>
      <c r="PEV282" s="1824"/>
      <c r="PEW282" s="1824"/>
      <c r="PEX282" s="1824"/>
      <c r="PEY282" s="1824"/>
      <c r="PEZ282" s="1824"/>
      <c r="PFA282" s="1824"/>
      <c r="PFB282" s="1824"/>
      <c r="PFC282" s="1824"/>
      <c r="PFD282" s="1824"/>
      <c r="PFE282" s="1824"/>
      <c r="PFF282" s="1824"/>
      <c r="PFG282" s="1824"/>
      <c r="PFH282" s="1824"/>
      <c r="PFI282" s="1824"/>
      <c r="PFJ282" s="1824"/>
      <c r="PFK282" s="1824"/>
      <c r="PFL282" s="1824"/>
      <c r="PFM282" s="1824"/>
      <c r="PFN282" s="1824"/>
      <c r="PFO282" s="1824"/>
      <c r="PFP282" s="1824"/>
      <c r="PFQ282" s="1824"/>
      <c r="PFR282" s="1824"/>
      <c r="PFS282" s="1824"/>
      <c r="PFT282" s="1824"/>
      <c r="PFU282" s="1824"/>
      <c r="PFV282" s="1824"/>
      <c r="PFW282" s="1824"/>
      <c r="PFX282" s="1824"/>
      <c r="PFY282" s="1824"/>
      <c r="PFZ282" s="1824"/>
      <c r="PGA282" s="1824"/>
      <c r="PGB282" s="1824"/>
      <c r="PGC282" s="1824"/>
      <c r="PGD282" s="1824"/>
      <c r="PGE282" s="1824"/>
      <c r="PGF282" s="1824"/>
      <c r="PGG282" s="1824"/>
      <c r="PGH282" s="1824"/>
      <c r="PGI282" s="1824"/>
      <c r="PGJ282" s="1824"/>
      <c r="PGK282" s="1824"/>
      <c r="PGL282" s="1824"/>
      <c r="PGM282" s="1824"/>
      <c r="PGN282" s="1824"/>
      <c r="PGO282" s="1824"/>
      <c r="PGP282" s="1824"/>
      <c r="PGQ282" s="1824"/>
      <c r="PGR282" s="1824"/>
      <c r="PGS282" s="1824"/>
      <c r="PGT282" s="1824"/>
      <c r="PGU282" s="1824"/>
      <c r="PGV282" s="1824"/>
      <c r="PGW282" s="1824"/>
      <c r="PGX282" s="1824"/>
      <c r="PGY282" s="1824"/>
      <c r="PGZ282" s="1824"/>
      <c r="PHA282" s="1824"/>
      <c r="PHB282" s="1824"/>
      <c r="PHC282" s="1824"/>
      <c r="PHD282" s="1824"/>
      <c r="PHE282" s="1824"/>
      <c r="PHF282" s="1824"/>
      <c r="PHG282" s="1824"/>
      <c r="PHH282" s="1824"/>
      <c r="PHI282" s="1824"/>
      <c r="PHJ282" s="1824"/>
      <c r="PHK282" s="1824"/>
      <c r="PHL282" s="1824"/>
      <c r="PHM282" s="1824"/>
      <c r="PHN282" s="1824"/>
      <c r="PHO282" s="1824"/>
      <c r="PHP282" s="1824"/>
      <c r="PHQ282" s="1824"/>
      <c r="PHR282" s="1824"/>
      <c r="PHS282" s="1824"/>
      <c r="PHT282" s="1824"/>
      <c r="PHU282" s="1824"/>
      <c r="PHV282" s="1824"/>
      <c r="PHW282" s="1824"/>
      <c r="PHX282" s="1824"/>
      <c r="PHY282" s="1824"/>
      <c r="PHZ282" s="1824"/>
      <c r="PIA282" s="1824"/>
      <c r="PIB282" s="1824"/>
      <c r="PIC282" s="1824"/>
      <c r="PID282" s="1824"/>
      <c r="PIE282" s="1824"/>
      <c r="PIF282" s="1824"/>
      <c r="PIG282" s="1824"/>
      <c r="PIH282" s="1824"/>
      <c r="PII282" s="1824"/>
      <c r="PIJ282" s="1824"/>
      <c r="PIK282" s="1824"/>
      <c r="PIL282" s="1824"/>
      <c r="PIM282" s="1824"/>
      <c r="PIN282" s="1824"/>
      <c r="PIO282" s="1824"/>
      <c r="PIP282" s="1824"/>
      <c r="PIQ282" s="1824"/>
      <c r="PIR282" s="1824"/>
      <c r="PIS282" s="1824"/>
      <c r="PIT282" s="1824"/>
      <c r="PIU282" s="1824"/>
      <c r="PIV282" s="1824"/>
      <c r="PIW282" s="1824"/>
      <c r="PIX282" s="1824"/>
      <c r="PIY282" s="1824"/>
      <c r="PIZ282" s="1824"/>
      <c r="PJA282" s="1824"/>
      <c r="PJB282" s="1824"/>
      <c r="PJC282" s="1824"/>
      <c r="PJD282" s="1824"/>
      <c r="PJE282" s="1824"/>
      <c r="PJF282" s="1824"/>
      <c r="PJG282" s="1824"/>
      <c r="PJH282" s="1824"/>
      <c r="PJI282" s="1824"/>
      <c r="PJJ282" s="1824"/>
      <c r="PJK282" s="1824"/>
      <c r="PJL282" s="1824"/>
      <c r="PJM282" s="1824"/>
      <c r="PJN282" s="1824"/>
      <c r="PJO282" s="1824"/>
      <c r="PJP282" s="1824"/>
      <c r="PJQ282" s="1824"/>
      <c r="PJR282" s="1824"/>
      <c r="PJS282" s="1824"/>
      <c r="PJT282" s="1824"/>
      <c r="PJU282" s="1824"/>
      <c r="PJV282" s="1824"/>
      <c r="PJW282" s="1824"/>
      <c r="PJX282" s="1824"/>
      <c r="PJY282" s="1824"/>
      <c r="PJZ282" s="1824"/>
      <c r="PKA282" s="1824"/>
      <c r="PKB282" s="1824"/>
      <c r="PKC282" s="1824"/>
      <c r="PKD282" s="1824"/>
      <c r="PKE282" s="1824"/>
      <c r="PKF282" s="1824"/>
      <c r="PKG282" s="1824"/>
      <c r="PKH282" s="1824"/>
      <c r="PKI282" s="1824"/>
      <c r="PKJ282" s="1824"/>
      <c r="PKK282" s="1824"/>
      <c r="PKL282" s="1824"/>
      <c r="PKM282" s="1824"/>
      <c r="PKN282" s="1824"/>
      <c r="PKO282" s="1824"/>
      <c r="PKP282" s="1824"/>
      <c r="PKQ282" s="1824"/>
      <c r="PKR282" s="1824"/>
      <c r="PKS282" s="1824"/>
      <c r="PKT282" s="1824"/>
      <c r="PKU282" s="1824"/>
      <c r="PKV282" s="1824"/>
      <c r="PKW282" s="1824"/>
      <c r="PKX282" s="1824"/>
      <c r="PKY282" s="1824"/>
      <c r="PKZ282" s="1824"/>
      <c r="PLA282" s="1824"/>
      <c r="PLB282" s="1824"/>
      <c r="PLC282" s="1824"/>
      <c r="PLD282" s="1824"/>
      <c r="PLE282" s="1824"/>
      <c r="PLF282" s="1824"/>
      <c r="PLG282" s="1824"/>
      <c r="PLH282" s="1824"/>
      <c r="PLI282" s="1824"/>
      <c r="PLJ282" s="1824"/>
      <c r="PLK282" s="1824"/>
      <c r="PLL282" s="1824"/>
      <c r="PLM282" s="1824"/>
      <c r="PLN282" s="1824"/>
      <c r="PLO282" s="1824"/>
      <c r="PLP282" s="1824"/>
      <c r="PLQ282" s="1824"/>
      <c r="PLR282" s="1824"/>
      <c r="PLS282" s="1824"/>
      <c r="PLT282" s="1824"/>
      <c r="PLU282" s="1824"/>
      <c r="PLV282" s="1824"/>
      <c r="PLW282" s="1824"/>
      <c r="PLX282" s="1824"/>
      <c r="PLY282" s="1824"/>
      <c r="PLZ282" s="1824"/>
      <c r="PMA282" s="1824"/>
      <c r="PMB282" s="1824"/>
      <c r="PMC282" s="1824"/>
      <c r="PMD282" s="1824"/>
      <c r="PME282" s="1824"/>
      <c r="PMF282" s="1824"/>
      <c r="PMG282" s="1824"/>
      <c r="PMH282" s="1824"/>
      <c r="PMI282" s="1824"/>
      <c r="PMJ282" s="1824"/>
      <c r="PMK282" s="1824"/>
      <c r="PML282" s="1824"/>
      <c r="PMM282" s="1824"/>
      <c r="PMN282" s="1824"/>
      <c r="PMO282" s="1824"/>
      <c r="PMP282" s="1824"/>
      <c r="PMQ282" s="1824"/>
      <c r="PMR282" s="1824"/>
      <c r="PMS282" s="1824"/>
      <c r="PMT282" s="1824"/>
      <c r="PMU282" s="1824"/>
      <c r="PMV282" s="1824"/>
      <c r="PMW282" s="1824"/>
      <c r="PMX282" s="1824"/>
      <c r="PMY282" s="1824"/>
      <c r="PMZ282" s="1824"/>
      <c r="PNA282" s="1824"/>
      <c r="PNB282" s="1824"/>
      <c r="PNC282" s="1824"/>
      <c r="PND282" s="1824"/>
      <c r="PNE282" s="1824"/>
      <c r="PNF282" s="1824"/>
      <c r="PNG282" s="1824"/>
      <c r="PNH282" s="1824"/>
      <c r="PNI282" s="1824"/>
      <c r="PNJ282" s="1824"/>
      <c r="PNK282" s="1824"/>
      <c r="PNL282" s="1824"/>
      <c r="PNM282" s="1824"/>
      <c r="PNN282" s="1824"/>
      <c r="PNO282" s="1824"/>
      <c r="PNP282" s="1824"/>
      <c r="PNQ282" s="1824"/>
      <c r="PNR282" s="1824"/>
      <c r="PNS282" s="1824"/>
      <c r="PNT282" s="1824"/>
      <c r="PNU282" s="1824"/>
      <c r="PNV282" s="1824"/>
      <c r="PNW282" s="1824"/>
      <c r="PNX282" s="1824"/>
      <c r="PNY282" s="1824"/>
      <c r="PNZ282" s="1824"/>
      <c r="POA282" s="1824"/>
      <c r="POB282" s="1824"/>
      <c r="POC282" s="1824"/>
      <c r="POD282" s="1824"/>
      <c r="POE282" s="1824"/>
      <c r="POF282" s="1824"/>
      <c r="POG282" s="1824"/>
      <c r="POH282" s="1824"/>
      <c r="POI282" s="1824"/>
      <c r="POJ282" s="1824"/>
      <c r="POK282" s="1824"/>
      <c r="POL282" s="1824"/>
      <c r="POM282" s="1824"/>
      <c r="PON282" s="1824"/>
      <c r="POO282" s="1824"/>
      <c r="POP282" s="1824"/>
      <c r="POQ282" s="1824"/>
      <c r="POR282" s="1824"/>
      <c r="POS282" s="1824"/>
      <c r="POT282" s="1824"/>
      <c r="POU282" s="1824"/>
      <c r="POV282" s="1824"/>
      <c r="POW282" s="1824"/>
      <c r="POX282" s="1824"/>
      <c r="POY282" s="1824"/>
      <c r="POZ282" s="1824"/>
      <c r="PPA282" s="1824"/>
      <c r="PPB282" s="1824"/>
      <c r="PPC282" s="1824"/>
      <c r="PPD282" s="1824"/>
      <c r="PPE282" s="1824"/>
      <c r="PPF282" s="1824"/>
      <c r="PPG282" s="1824"/>
      <c r="PPH282" s="1824"/>
      <c r="PPI282" s="1824"/>
      <c r="PPJ282" s="1824"/>
      <c r="PPK282" s="1824"/>
      <c r="PPL282" s="1824"/>
      <c r="PPM282" s="1824"/>
      <c r="PPN282" s="1824"/>
      <c r="PPO282" s="1824"/>
      <c r="PPP282" s="1824"/>
      <c r="PPQ282" s="1824"/>
      <c r="PPR282" s="1824"/>
      <c r="PPS282" s="1824"/>
      <c r="PPT282" s="1824"/>
      <c r="PPU282" s="1824"/>
      <c r="PPV282" s="1824"/>
      <c r="PPW282" s="1824"/>
      <c r="PPX282" s="1824"/>
      <c r="PPY282" s="1824"/>
      <c r="PPZ282" s="1824"/>
      <c r="PQA282" s="1824"/>
      <c r="PQB282" s="1824"/>
      <c r="PQC282" s="1824"/>
      <c r="PQD282" s="1824"/>
      <c r="PQE282" s="1824"/>
      <c r="PQF282" s="1824"/>
      <c r="PQG282" s="1824"/>
      <c r="PQH282" s="1824"/>
      <c r="PQI282" s="1824"/>
      <c r="PQJ282" s="1824"/>
      <c r="PQK282" s="1824"/>
      <c r="PQL282" s="1824"/>
      <c r="PQM282" s="1824"/>
      <c r="PQN282" s="1824"/>
      <c r="PQO282" s="1824"/>
      <c r="PQP282" s="1824"/>
      <c r="PQQ282" s="1824"/>
      <c r="PQR282" s="1824"/>
      <c r="PQS282" s="1824"/>
      <c r="PQT282" s="1824"/>
      <c r="PQU282" s="1824"/>
      <c r="PQV282" s="1824"/>
      <c r="PQW282" s="1824"/>
      <c r="PQX282" s="1824"/>
      <c r="PQY282" s="1824"/>
      <c r="PQZ282" s="1824"/>
      <c r="PRA282" s="1824"/>
      <c r="PRB282" s="1824"/>
      <c r="PRC282" s="1824"/>
      <c r="PRD282" s="1824"/>
      <c r="PRE282" s="1824"/>
      <c r="PRF282" s="1824"/>
      <c r="PRG282" s="1824"/>
      <c r="PRH282" s="1824"/>
      <c r="PRI282" s="1824"/>
      <c r="PRJ282" s="1824"/>
      <c r="PRK282" s="1824"/>
      <c r="PRL282" s="1824"/>
      <c r="PRM282" s="1824"/>
      <c r="PRN282" s="1824"/>
      <c r="PRO282" s="1824"/>
      <c r="PRP282" s="1824"/>
      <c r="PRQ282" s="1824"/>
      <c r="PRR282" s="1824"/>
      <c r="PRS282" s="1824"/>
      <c r="PRT282" s="1824"/>
      <c r="PRU282" s="1824"/>
      <c r="PRV282" s="1824"/>
      <c r="PRW282" s="1824"/>
      <c r="PRX282" s="1824"/>
      <c r="PRY282" s="1824"/>
      <c r="PRZ282" s="1824"/>
      <c r="PSA282" s="1824"/>
      <c r="PSB282" s="1824"/>
      <c r="PSC282" s="1824"/>
      <c r="PSD282" s="1824"/>
      <c r="PSE282" s="1824"/>
      <c r="PSF282" s="1824"/>
      <c r="PSG282" s="1824"/>
      <c r="PSH282" s="1824"/>
      <c r="PSI282" s="1824"/>
      <c r="PSJ282" s="1824"/>
      <c r="PSK282" s="1824"/>
      <c r="PSL282" s="1824"/>
      <c r="PSM282" s="1824"/>
      <c r="PSN282" s="1824"/>
      <c r="PSO282" s="1824"/>
      <c r="PSP282" s="1824"/>
      <c r="PSQ282" s="1824"/>
      <c r="PSR282" s="1824"/>
      <c r="PSS282" s="1824"/>
      <c r="PST282" s="1824"/>
      <c r="PSU282" s="1824"/>
      <c r="PSV282" s="1824"/>
      <c r="PSW282" s="1824"/>
      <c r="PSX282" s="1824"/>
      <c r="PSY282" s="1824"/>
      <c r="PSZ282" s="1824"/>
      <c r="PTA282" s="1824"/>
      <c r="PTB282" s="1824"/>
      <c r="PTC282" s="1824"/>
      <c r="PTD282" s="1824"/>
      <c r="PTE282" s="1824"/>
      <c r="PTF282" s="1824"/>
      <c r="PTG282" s="1824"/>
      <c r="PTH282" s="1824"/>
      <c r="PTI282" s="1824"/>
      <c r="PTJ282" s="1824"/>
      <c r="PTK282" s="1824"/>
      <c r="PTL282" s="1824"/>
      <c r="PTM282" s="1824"/>
      <c r="PTN282" s="1824"/>
      <c r="PTO282" s="1824"/>
      <c r="PTP282" s="1824"/>
      <c r="PTQ282" s="1824"/>
      <c r="PTR282" s="1824"/>
      <c r="PTS282" s="1824"/>
      <c r="PTT282" s="1824"/>
      <c r="PTU282" s="1824"/>
      <c r="PTV282" s="1824"/>
      <c r="PTW282" s="1824"/>
      <c r="PTX282" s="1824"/>
      <c r="PTY282" s="1824"/>
      <c r="PTZ282" s="1824"/>
      <c r="PUA282" s="1824"/>
      <c r="PUB282" s="1824"/>
      <c r="PUC282" s="1824"/>
      <c r="PUD282" s="1824"/>
      <c r="PUE282" s="1824"/>
      <c r="PUF282" s="1824"/>
      <c r="PUG282" s="1824"/>
      <c r="PUH282" s="1824"/>
      <c r="PUI282" s="1824"/>
      <c r="PUJ282" s="1824"/>
      <c r="PUK282" s="1824"/>
      <c r="PUL282" s="1824"/>
      <c r="PUM282" s="1824"/>
      <c r="PUN282" s="1824"/>
      <c r="PUO282" s="1824"/>
      <c r="PUP282" s="1824"/>
      <c r="PUQ282" s="1824"/>
      <c r="PUR282" s="1824"/>
      <c r="PUS282" s="1824"/>
      <c r="PUT282" s="1824"/>
      <c r="PUU282" s="1824"/>
      <c r="PUV282" s="1824"/>
      <c r="PUW282" s="1824"/>
      <c r="PUX282" s="1824"/>
      <c r="PUY282" s="1824"/>
      <c r="PUZ282" s="1824"/>
      <c r="PVA282" s="1824"/>
      <c r="PVB282" s="1824"/>
      <c r="PVC282" s="1824"/>
      <c r="PVD282" s="1824"/>
      <c r="PVE282" s="1824"/>
      <c r="PVF282" s="1824"/>
      <c r="PVG282" s="1824"/>
      <c r="PVH282" s="1824"/>
      <c r="PVI282" s="1824"/>
      <c r="PVJ282" s="1824"/>
      <c r="PVK282" s="1824"/>
      <c r="PVL282" s="1824"/>
      <c r="PVM282" s="1824"/>
      <c r="PVN282" s="1824"/>
      <c r="PVO282" s="1824"/>
      <c r="PVP282" s="1824"/>
      <c r="PVQ282" s="1824"/>
      <c r="PVR282" s="1824"/>
      <c r="PVS282" s="1824"/>
      <c r="PVT282" s="1824"/>
      <c r="PVU282" s="1824"/>
      <c r="PVV282" s="1824"/>
      <c r="PVW282" s="1824"/>
      <c r="PVX282" s="1824"/>
      <c r="PVY282" s="1824"/>
      <c r="PVZ282" s="1824"/>
      <c r="PWA282" s="1824"/>
      <c r="PWB282" s="1824"/>
      <c r="PWC282" s="1824"/>
      <c r="PWD282" s="1824"/>
      <c r="PWE282" s="1824"/>
      <c r="PWF282" s="1824"/>
      <c r="PWG282" s="1824"/>
      <c r="PWH282" s="1824"/>
      <c r="PWI282" s="1824"/>
      <c r="PWJ282" s="1824"/>
      <c r="PWK282" s="1824"/>
      <c r="PWL282" s="1824"/>
      <c r="PWM282" s="1824"/>
      <c r="PWN282" s="1824"/>
      <c r="PWO282" s="1824"/>
      <c r="PWP282" s="1824"/>
      <c r="PWQ282" s="1824"/>
      <c r="PWR282" s="1824"/>
      <c r="PWS282" s="1824"/>
      <c r="PWT282" s="1824"/>
      <c r="PWU282" s="1824"/>
      <c r="PWV282" s="1824"/>
      <c r="PWW282" s="1824"/>
      <c r="PWX282" s="1824"/>
      <c r="PWY282" s="1824"/>
      <c r="PWZ282" s="1824"/>
      <c r="PXA282" s="1824"/>
      <c r="PXB282" s="1824"/>
      <c r="PXC282" s="1824"/>
      <c r="PXD282" s="1824"/>
      <c r="PXE282" s="1824"/>
      <c r="PXF282" s="1824"/>
      <c r="PXG282" s="1824"/>
      <c r="PXH282" s="1824"/>
      <c r="PXI282" s="1824"/>
      <c r="PXJ282" s="1824"/>
      <c r="PXK282" s="1824"/>
      <c r="PXL282" s="1824"/>
      <c r="PXM282" s="1824"/>
      <c r="PXN282" s="1824"/>
      <c r="PXO282" s="1824"/>
      <c r="PXP282" s="1824"/>
      <c r="PXQ282" s="1824"/>
      <c r="PXR282" s="1824"/>
      <c r="PXS282" s="1824"/>
      <c r="PXT282" s="1824"/>
      <c r="PXU282" s="1824"/>
      <c r="PXV282" s="1824"/>
      <c r="PXW282" s="1824"/>
      <c r="PXX282" s="1824"/>
      <c r="PXY282" s="1824"/>
      <c r="PXZ282" s="1824"/>
      <c r="PYA282" s="1824"/>
      <c r="PYB282" s="1824"/>
      <c r="PYC282" s="1824"/>
      <c r="PYD282" s="1824"/>
      <c r="PYE282" s="1824"/>
      <c r="PYF282" s="1824"/>
      <c r="PYG282" s="1824"/>
      <c r="PYH282" s="1824"/>
      <c r="PYI282" s="1824"/>
      <c r="PYJ282" s="1824"/>
      <c r="PYK282" s="1824"/>
      <c r="PYL282" s="1824"/>
      <c r="PYM282" s="1824"/>
      <c r="PYN282" s="1824"/>
      <c r="PYO282" s="1824"/>
      <c r="PYP282" s="1824"/>
      <c r="PYQ282" s="1824"/>
      <c r="PYR282" s="1824"/>
      <c r="PYS282" s="1824"/>
      <c r="PYT282" s="1824"/>
      <c r="PYU282" s="1824"/>
      <c r="PYV282" s="1824"/>
      <c r="PYW282" s="1824"/>
      <c r="PYX282" s="1824"/>
      <c r="PYY282" s="1824"/>
      <c r="PYZ282" s="1824"/>
      <c r="PZA282" s="1824"/>
      <c r="PZB282" s="1824"/>
      <c r="PZC282" s="1824"/>
      <c r="PZD282" s="1824"/>
      <c r="PZE282" s="1824"/>
      <c r="PZF282" s="1824"/>
      <c r="PZG282" s="1824"/>
      <c r="PZH282" s="1824"/>
      <c r="PZI282" s="1824"/>
      <c r="PZJ282" s="1824"/>
      <c r="PZK282" s="1824"/>
      <c r="PZL282" s="1824"/>
      <c r="PZM282" s="1824"/>
      <c r="PZN282" s="1824"/>
      <c r="PZO282" s="1824"/>
      <c r="PZP282" s="1824"/>
      <c r="PZQ282" s="1824"/>
      <c r="PZR282" s="1824"/>
      <c r="PZS282" s="1824"/>
      <c r="PZT282" s="1824"/>
      <c r="PZU282" s="1824"/>
      <c r="PZV282" s="1824"/>
      <c r="PZW282" s="1824"/>
      <c r="PZX282" s="1824"/>
      <c r="PZY282" s="1824"/>
      <c r="PZZ282" s="1824"/>
      <c r="QAA282" s="1824"/>
      <c r="QAB282" s="1824"/>
      <c r="QAC282" s="1824"/>
      <c r="QAD282" s="1824"/>
      <c r="QAE282" s="1824"/>
      <c r="QAF282" s="1824"/>
      <c r="QAG282" s="1824"/>
      <c r="QAH282" s="1824"/>
      <c r="QAI282" s="1824"/>
      <c r="QAJ282" s="1824"/>
      <c r="QAK282" s="1824"/>
      <c r="QAL282" s="1824"/>
      <c r="QAM282" s="1824"/>
      <c r="QAN282" s="1824"/>
      <c r="QAO282" s="1824"/>
      <c r="QAP282" s="1824"/>
      <c r="QAQ282" s="1824"/>
      <c r="QAR282" s="1824"/>
      <c r="QAS282" s="1824"/>
      <c r="QAT282" s="1824"/>
      <c r="QAU282" s="1824"/>
      <c r="QAV282" s="1824"/>
      <c r="QAW282" s="1824"/>
      <c r="QAX282" s="1824"/>
      <c r="QAY282" s="1824"/>
      <c r="QAZ282" s="1824"/>
      <c r="QBA282" s="1824"/>
      <c r="QBB282" s="1824"/>
      <c r="QBC282" s="1824"/>
      <c r="QBD282" s="1824"/>
      <c r="QBE282" s="1824"/>
      <c r="QBF282" s="1824"/>
      <c r="QBG282" s="1824"/>
      <c r="QBH282" s="1824"/>
      <c r="QBI282" s="1824"/>
      <c r="QBJ282" s="1824"/>
      <c r="QBK282" s="1824"/>
      <c r="QBL282" s="1824"/>
      <c r="QBM282" s="1824"/>
      <c r="QBN282" s="1824"/>
      <c r="QBO282" s="1824"/>
      <c r="QBP282" s="1824"/>
      <c r="QBQ282" s="1824"/>
      <c r="QBR282" s="1824"/>
      <c r="QBS282" s="1824"/>
      <c r="QBT282" s="1824"/>
      <c r="QBU282" s="1824"/>
      <c r="QBV282" s="1824"/>
      <c r="QBW282" s="1824"/>
      <c r="QBX282" s="1824"/>
      <c r="QBY282" s="1824"/>
      <c r="QBZ282" s="1824"/>
      <c r="QCA282" s="1824"/>
      <c r="QCB282" s="1824"/>
      <c r="QCC282" s="1824"/>
      <c r="QCD282" s="1824"/>
      <c r="QCE282" s="1824"/>
      <c r="QCF282" s="1824"/>
      <c r="QCG282" s="1824"/>
      <c r="QCH282" s="1824"/>
      <c r="QCI282" s="1824"/>
      <c r="QCJ282" s="1824"/>
      <c r="QCK282" s="1824"/>
      <c r="QCL282" s="1824"/>
      <c r="QCM282" s="1824"/>
      <c r="QCN282" s="1824"/>
      <c r="QCO282" s="1824"/>
      <c r="QCP282" s="1824"/>
      <c r="QCQ282" s="1824"/>
      <c r="QCR282" s="1824"/>
      <c r="QCS282" s="1824"/>
      <c r="QCT282" s="1824"/>
      <c r="QCU282" s="1824"/>
      <c r="QCV282" s="1824"/>
      <c r="QCW282" s="1824"/>
      <c r="QCX282" s="1824"/>
      <c r="QCY282" s="1824"/>
      <c r="QCZ282" s="1824"/>
      <c r="QDA282" s="1824"/>
      <c r="QDB282" s="1824"/>
      <c r="QDC282" s="1824"/>
      <c r="QDD282" s="1824"/>
      <c r="QDE282" s="1824"/>
      <c r="QDF282" s="1824"/>
      <c r="QDG282" s="1824"/>
      <c r="QDH282" s="1824"/>
      <c r="QDI282" s="1824"/>
      <c r="QDJ282" s="1824"/>
      <c r="QDK282" s="1824"/>
      <c r="QDL282" s="1824"/>
      <c r="QDM282" s="1824"/>
      <c r="QDN282" s="1824"/>
      <c r="QDO282" s="1824"/>
      <c r="QDP282" s="1824"/>
      <c r="QDQ282" s="1824"/>
      <c r="QDR282" s="1824"/>
      <c r="QDS282" s="1824"/>
      <c r="QDT282" s="1824"/>
      <c r="QDU282" s="1824"/>
      <c r="QDV282" s="1824"/>
      <c r="QDW282" s="1824"/>
      <c r="QDX282" s="1824"/>
      <c r="QDY282" s="1824"/>
      <c r="QDZ282" s="1824"/>
      <c r="QEA282" s="1824"/>
      <c r="QEB282" s="1824"/>
      <c r="QEC282" s="1824"/>
      <c r="QED282" s="1824"/>
      <c r="QEE282" s="1824"/>
      <c r="QEF282" s="1824"/>
      <c r="QEG282" s="1824"/>
      <c r="QEH282" s="1824"/>
      <c r="QEI282" s="1824"/>
      <c r="QEJ282" s="1824"/>
      <c r="QEK282" s="1824"/>
      <c r="QEL282" s="1824"/>
      <c r="QEM282" s="1824"/>
      <c r="QEN282" s="1824"/>
      <c r="QEO282" s="1824"/>
      <c r="QEP282" s="1824"/>
      <c r="QEQ282" s="1824"/>
      <c r="QER282" s="1824"/>
      <c r="QES282" s="1824"/>
      <c r="QET282" s="1824"/>
      <c r="QEU282" s="1824"/>
      <c r="QEV282" s="1824"/>
      <c r="QEW282" s="1824"/>
      <c r="QEX282" s="1824"/>
      <c r="QEY282" s="1824"/>
      <c r="QEZ282" s="1824"/>
      <c r="QFA282" s="1824"/>
      <c r="QFB282" s="1824"/>
      <c r="QFC282" s="1824"/>
      <c r="QFD282" s="1824"/>
      <c r="QFE282" s="1824"/>
      <c r="QFF282" s="1824"/>
      <c r="QFG282" s="1824"/>
      <c r="QFH282" s="1824"/>
      <c r="QFI282" s="1824"/>
      <c r="QFJ282" s="1824"/>
      <c r="QFK282" s="1824"/>
      <c r="QFL282" s="1824"/>
      <c r="QFM282" s="1824"/>
      <c r="QFN282" s="1824"/>
      <c r="QFO282" s="1824"/>
      <c r="QFP282" s="1824"/>
      <c r="QFQ282" s="1824"/>
      <c r="QFR282" s="1824"/>
      <c r="QFS282" s="1824"/>
      <c r="QFT282" s="1824"/>
      <c r="QFU282" s="1824"/>
      <c r="QFV282" s="1824"/>
      <c r="QFW282" s="1824"/>
      <c r="QFX282" s="1824"/>
      <c r="QFY282" s="1824"/>
      <c r="QFZ282" s="1824"/>
      <c r="QGA282" s="1824"/>
      <c r="QGB282" s="1824"/>
      <c r="QGC282" s="1824"/>
      <c r="QGD282" s="1824"/>
      <c r="QGE282" s="1824"/>
      <c r="QGF282" s="1824"/>
      <c r="QGG282" s="1824"/>
      <c r="QGH282" s="1824"/>
      <c r="QGI282" s="1824"/>
      <c r="QGJ282" s="1824"/>
      <c r="QGK282" s="1824"/>
      <c r="QGL282" s="1824"/>
      <c r="QGM282" s="1824"/>
      <c r="QGN282" s="1824"/>
      <c r="QGO282" s="1824"/>
      <c r="QGP282" s="1824"/>
      <c r="QGQ282" s="1824"/>
      <c r="QGR282" s="1824"/>
      <c r="QGS282" s="1824"/>
      <c r="QGT282" s="1824"/>
      <c r="QGU282" s="1824"/>
      <c r="QGV282" s="1824"/>
      <c r="QGW282" s="1824"/>
      <c r="QGX282" s="1824"/>
      <c r="QGY282" s="1824"/>
      <c r="QGZ282" s="1824"/>
      <c r="QHA282" s="1824"/>
      <c r="QHB282" s="1824"/>
      <c r="QHC282" s="1824"/>
      <c r="QHD282" s="1824"/>
      <c r="QHE282" s="1824"/>
      <c r="QHF282" s="1824"/>
      <c r="QHG282" s="1824"/>
      <c r="QHH282" s="1824"/>
      <c r="QHI282" s="1824"/>
      <c r="QHJ282" s="1824"/>
      <c r="QHK282" s="1824"/>
      <c r="QHL282" s="1824"/>
      <c r="QHM282" s="1824"/>
      <c r="QHN282" s="1824"/>
      <c r="QHO282" s="1824"/>
      <c r="QHP282" s="1824"/>
      <c r="QHQ282" s="1824"/>
      <c r="QHR282" s="1824"/>
      <c r="QHS282" s="1824"/>
      <c r="QHT282" s="1824"/>
      <c r="QHU282" s="1824"/>
      <c r="QHV282" s="1824"/>
      <c r="QHW282" s="1824"/>
      <c r="QHX282" s="1824"/>
      <c r="QHY282" s="1824"/>
      <c r="QHZ282" s="1824"/>
      <c r="QIA282" s="1824"/>
      <c r="QIB282" s="1824"/>
      <c r="QIC282" s="1824"/>
      <c r="QID282" s="1824"/>
      <c r="QIE282" s="1824"/>
      <c r="QIF282" s="1824"/>
      <c r="QIG282" s="1824"/>
      <c r="QIH282" s="1824"/>
      <c r="QII282" s="1824"/>
      <c r="QIJ282" s="1824"/>
      <c r="QIK282" s="1824"/>
      <c r="QIL282" s="1824"/>
      <c r="QIM282" s="1824"/>
      <c r="QIN282" s="1824"/>
      <c r="QIO282" s="1824"/>
      <c r="QIP282" s="1824"/>
      <c r="QIQ282" s="1824"/>
      <c r="QIR282" s="1824"/>
      <c r="QIS282" s="1824"/>
      <c r="QIT282" s="1824"/>
      <c r="QIU282" s="1824"/>
      <c r="QIV282" s="1824"/>
      <c r="QIW282" s="1824"/>
      <c r="QIX282" s="1824"/>
      <c r="QIY282" s="1824"/>
      <c r="QIZ282" s="1824"/>
      <c r="QJA282" s="1824"/>
      <c r="QJB282" s="1824"/>
      <c r="QJC282" s="1824"/>
      <c r="QJD282" s="1824"/>
      <c r="QJE282" s="1824"/>
      <c r="QJF282" s="1824"/>
      <c r="QJG282" s="1824"/>
      <c r="QJH282" s="1824"/>
      <c r="QJI282" s="1824"/>
      <c r="QJJ282" s="1824"/>
      <c r="QJK282" s="1824"/>
      <c r="QJL282" s="1824"/>
      <c r="QJM282" s="1824"/>
      <c r="QJN282" s="1824"/>
      <c r="QJO282" s="1824"/>
      <c r="QJP282" s="1824"/>
      <c r="QJQ282" s="1824"/>
      <c r="QJR282" s="1824"/>
      <c r="QJS282" s="1824"/>
      <c r="QJT282" s="1824"/>
      <c r="QJU282" s="1824"/>
      <c r="QJV282" s="1824"/>
      <c r="QJW282" s="1824"/>
      <c r="QJX282" s="1824"/>
      <c r="QJY282" s="1824"/>
      <c r="QJZ282" s="1824"/>
      <c r="QKA282" s="1824"/>
      <c r="QKB282" s="1824"/>
      <c r="QKC282" s="1824"/>
      <c r="QKD282" s="1824"/>
      <c r="QKE282" s="1824"/>
      <c r="QKF282" s="1824"/>
      <c r="QKG282" s="1824"/>
      <c r="QKH282" s="1824"/>
      <c r="QKI282" s="1824"/>
      <c r="QKJ282" s="1824"/>
      <c r="QKK282" s="1824"/>
      <c r="QKL282" s="1824"/>
      <c r="QKM282" s="1824"/>
      <c r="QKN282" s="1824"/>
      <c r="QKO282" s="1824"/>
      <c r="QKP282" s="1824"/>
      <c r="QKQ282" s="1824"/>
      <c r="QKR282" s="1824"/>
      <c r="QKS282" s="1824"/>
      <c r="QKT282" s="1824"/>
      <c r="QKU282" s="1824"/>
      <c r="QKV282" s="1824"/>
      <c r="QKW282" s="1824"/>
      <c r="QKX282" s="1824"/>
      <c r="QKY282" s="1824"/>
      <c r="QKZ282" s="1824"/>
      <c r="QLA282" s="1824"/>
      <c r="QLB282" s="1824"/>
      <c r="QLC282" s="1824"/>
      <c r="QLD282" s="1824"/>
      <c r="QLE282" s="1824"/>
      <c r="QLF282" s="1824"/>
      <c r="QLG282" s="1824"/>
      <c r="QLH282" s="1824"/>
      <c r="QLI282" s="1824"/>
      <c r="QLJ282" s="1824"/>
      <c r="QLK282" s="1824"/>
      <c r="QLL282" s="1824"/>
      <c r="QLM282" s="1824"/>
      <c r="QLN282" s="1824"/>
      <c r="QLO282" s="1824"/>
      <c r="QLP282" s="1824"/>
      <c r="QLQ282" s="1824"/>
      <c r="QLR282" s="1824"/>
      <c r="QLS282" s="1824"/>
      <c r="QLT282" s="1824"/>
      <c r="QLU282" s="1824"/>
      <c r="QLV282" s="1824"/>
      <c r="QLW282" s="1824"/>
      <c r="QLX282" s="1824"/>
      <c r="QLY282" s="1824"/>
      <c r="QLZ282" s="1824"/>
      <c r="QMA282" s="1824"/>
      <c r="QMB282" s="1824"/>
      <c r="QMC282" s="1824"/>
      <c r="QMD282" s="1824"/>
      <c r="QME282" s="1824"/>
      <c r="QMF282" s="1824"/>
      <c r="QMG282" s="1824"/>
      <c r="QMH282" s="1824"/>
      <c r="QMI282" s="1824"/>
      <c r="QMJ282" s="1824"/>
      <c r="QMK282" s="1824"/>
      <c r="QML282" s="1824"/>
      <c r="QMM282" s="1824"/>
      <c r="QMN282" s="1824"/>
      <c r="QMO282" s="1824"/>
      <c r="QMP282" s="1824"/>
      <c r="QMQ282" s="1824"/>
      <c r="QMR282" s="1824"/>
      <c r="QMS282" s="1824"/>
      <c r="QMT282" s="1824"/>
      <c r="QMU282" s="1824"/>
      <c r="QMV282" s="1824"/>
      <c r="QMW282" s="1824"/>
      <c r="QMX282" s="1824"/>
      <c r="QMY282" s="1824"/>
      <c r="QMZ282" s="1824"/>
      <c r="QNA282" s="1824"/>
      <c r="QNB282" s="1824"/>
      <c r="QNC282" s="1824"/>
      <c r="QND282" s="1824"/>
      <c r="QNE282" s="1824"/>
      <c r="QNF282" s="1824"/>
      <c r="QNG282" s="1824"/>
      <c r="QNH282" s="1824"/>
      <c r="QNI282" s="1824"/>
      <c r="QNJ282" s="1824"/>
      <c r="QNK282" s="1824"/>
      <c r="QNL282" s="1824"/>
      <c r="QNM282" s="1824"/>
      <c r="QNN282" s="1824"/>
      <c r="QNO282" s="1824"/>
      <c r="QNP282" s="1824"/>
      <c r="QNQ282" s="1824"/>
      <c r="QNR282" s="1824"/>
      <c r="QNS282" s="1824"/>
      <c r="QNT282" s="1824"/>
      <c r="QNU282" s="1824"/>
      <c r="QNV282" s="1824"/>
      <c r="QNW282" s="1824"/>
      <c r="QNX282" s="1824"/>
      <c r="QNY282" s="1824"/>
      <c r="QNZ282" s="1824"/>
      <c r="QOA282" s="1824"/>
      <c r="QOB282" s="1824"/>
      <c r="QOC282" s="1824"/>
      <c r="QOD282" s="1824"/>
      <c r="QOE282" s="1824"/>
      <c r="QOF282" s="1824"/>
      <c r="QOG282" s="1824"/>
      <c r="QOH282" s="1824"/>
      <c r="QOI282" s="1824"/>
      <c r="QOJ282" s="1824"/>
      <c r="QOK282" s="1824"/>
      <c r="QOL282" s="1824"/>
      <c r="QOM282" s="1824"/>
      <c r="QON282" s="1824"/>
      <c r="QOO282" s="1824"/>
      <c r="QOP282" s="1824"/>
      <c r="QOQ282" s="1824"/>
      <c r="QOR282" s="1824"/>
      <c r="QOS282" s="1824"/>
      <c r="QOT282" s="1824"/>
      <c r="QOU282" s="1824"/>
      <c r="QOV282" s="1824"/>
      <c r="QOW282" s="1824"/>
      <c r="QOX282" s="1824"/>
      <c r="QOY282" s="1824"/>
      <c r="QOZ282" s="1824"/>
      <c r="QPA282" s="1824"/>
      <c r="QPB282" s="1824"/>
      <c r="QPC282" s="1824"/>
      <c r="QPD282" s="1824"/>
      <c r="QPE282" s="1824"/>
      <c r="QPF282" s="1824"/>
      <c r="QPG282" s="1824"/>
      <c r="QPH282" s="1824"/>
      <c r="QPI282" s="1824"/>
      <c r="QPJ282" s="1824"/>
      <c r="QPK282" s="1824"/>
      <c r="QPL282" s="1824"/>
      <c r="QPM282" s="1824"/>
      <c r="QPN282" s="1824"/>
      <c r="QPO282" s="1824"/>
      <c r="QPP282" s="1824"/>
      <c r="QPQ282" s="1824"/>
      <c r="QPR282" s="1824"/>
      <c r="QPS282" s="1824"/>
      <c r="QPT282" s="1824"/>
      <c r="QPU282" s="1824"/>
      <c r="QPV282" s="1824"/>
      <c r="QPW282" s="1824"/>
      <c r="QPX282" s="1824"/>
      <c r="QPY282" s="1824"/>
      <c r="QPZ282" s="1824"/>
      <c r="QQA282" s="1824"/>
      <c r="QQB282" s="1824"/>
      <c r="QQC282" s="1824"/>
      <c r="QQD282" s="1824"/>
      <c r="QQE282" s="1824"/>
      <c r="QQF282" s="1824"/>
      <c r="QQG282" s="1824"/>
      <c r="QQH282" s="1824"/>
      <c r="QQI282" s="1824"/>
      <c r="QQJ282" s="1824"/>
      <c r="QQK282" s="1824"/>
      <c r="QQL282" s="1824"/>
      <c r="QQM282" s="1824"/>
      <c r="QQN282" s="1824"/>
      <c r="QQO282" s="1824"/>
      <c r="QQP282" s="1824"/>
      <c r="QQQ282" s="1824"/>
      <c r="QQR282" s="1824"/>
      <c r="QQS282" s="1824"/>
      <c r="QQT282" s="1824"/>
      <c r="QQU282" s="1824"/>
      <c r="QQV282" s="1824"/>
      <c r="QQW282" s="1824"/>
      <c r="QQX282" s="1824"/>
      <c r="QQY282" s="1824"/>
      <c r="QQZ282" s="1824"/>
      <c r="QRA282" s="1824"/>
      <c r="QRB282" s="1824"/>
      <c r="QRC282" s="1824"/>
      <c r="QRD282" s="1824"/>
      <c r="QRE282" s="1824"/>
      <c r="QRF282" s="1824"/>
      <c r="QRG282" s="1824"/>
      <c r="QRH282" s="1824"/>
      <c r="QRI282" s="1824"/>
      <c r="QRJ282" s="1824"/>
      <c r="QRK282" s="1824"/>
      <c r="QRL282" s="1824"/>
      <c r="QRM282" s="1824"/>
      <c r="QRN282" s="1824"/>
      <c r="QRO282" s="1824"/>
      <c r="QRP282" s="1824"/>
      <c r="QRQ282" s="1824"/>
      <c r="QRR282" s="1824"/>
      <c r="QRS282" s="1824"/>
      <c r="QRT282" s="1824"/>
      <c r="QRU282" s="1824"/>
      <c r="QRV282" s="1824"/>
      <c r="QRW282" s="1824"/>
      <c r="QRX282" s="1824"/>
      <c r="QRY282" s="1824"/>
      <c r="QRZ282" s="1824"/>
      <c r="QSA282" s="1824"/>
      <c r="QSB282" s="1824"/>
      <c r="QSC282" s="1824"/>
      <c r="QSD282" s="1824"/>
      <c r="QSE282" s="1824"/>
      <c r="QSF282" s="1824"/>
      <c r="QSG282" s="1824"/>
      <c r="QSH282" s="1824"/>
      <c r="QSI282" s="1824"/>
      <c r="QSJ282" s="1824"/>
      <c r="QSK282" s="1824"/>
      <c r="QSL282" s="1824"/>
      <c r="QSM282" s="1824"/>
      <c r="QSN282" s="1824"/>
      <c r="QSO282" s="1824"/>
      <c r="QSP282" s="1824"/>
      <c r="QSQ282" s="1824"/>
      <c r="QSR282" s="1824"/>
      <c r="QSS282" s="1824"/>
      <c r="QST282" s="1824"/>
      <c r="QSU282" s="1824"/>
      <c r="QSV282" s="1824"/>
      <c r="QSW282" s="1824"/>
      <c r="QSX282" s="1824"/>
      <c r="QSY282" s="1824"/>
      <c r="QSZ282" s="1824"/>
      <c r="QTA282" s="1824"/>
      <c r="QTB282" s="1824"/>
      <c r="QTC282" s="1824"/>
      <c r="QTD282" s="1824"/>
      <c r="QTE282" s="1824"/>
      <c r="QTF282" s="1824"/>
      <c r="QTG282" s="1824"/>
      <c r="QTH282" s="1824"/>
      <c r="QTI282" s="1824"/>
      <c r="QTJ282" s="1824"/>
      <c r="QTK282" s="1824"/>
      <c r="QTL282" s="1824"/>
      <c r="QTM282" s="1824"/>
      <c r="QTN282" s="1824"/>
      <c r="QTO282" s="1824"/>
      <c r="QTP282" s="1824"/>
      <c r="QTQ282" s="1824"/>
      <c r="QTR282" s="1824"/>
      <c r="QTS282" s="1824"/>
      <c r="QTT282" s="1824"/>
      <c r="QTU282" s="1824"/>
      <c r="QTV282" s="1824"/>
      <c r="QTW282" s="1824"/>
      <c r="QTX282" s="1824"/>
      <c r="QTY282" s="1824"/>
      <c r="QTZ282" s="1824"/>
      <c r="QUA282" s="1824"/>
      <c r="QUB282" s="1824"/>
      <c r="QUC282" s="1824"/>
      <c r="QUD282" s="1824"/>
      <c r="QUE282" s="1824"/>
      <c r="QUF282" s="1824"/>
      <c r="QUG282" s="1824"/>
      <c r="QUH282" s="1824"/>
      <c r="QUI282" s="1824"/>
      <c r="QUJ282" s="1824"/>
      <c r="QUK282" s="1824"/>
      <c r="QUL282" s="1824"/>
      <c r="QUM282" s="1824"/>
      <c r="QUN282" s="1824"/>
      <c r="QUO282" s="1824"/>
      <c r="QUP282" s="1824"/>
      <c r="QUQ282" s="1824"/>
      <c r="QUR282" s="1824"/>
      <c r="QUS282" s="1824"/>
      <c r="QUT282" s="1824"/>
      <c r="QUU282" s="1824"/>
      <c r="QUV282" s="1824"/>
      <c r="QUW282" s="1824"/>
      <c r="QUX282" s="1824"/>
      <c r="QUY282" s="1824"/>
      <c r="QUZ282" s="1824"/>
      <c r="QVA282" s="1824"/>
      <c r="QVB282" s="1824"/>
      <c r="QVC282" s="1824"/>
      <c r="QVD282" s="1824"/>
      <c r="QVE282" s="1824"/>
      <c r="QVF282" s="1824"/>
      <c r="QVG282" s="1824"/>
      <c r="QVH282" s="1824"/>
      <c r="QVI282" s="1824"/>
      <c r="QVJ282" s="1824"/>
      <c r="QVK282" s="1824"/>
      <c r="QVL282" s="1824"/>
      <c r="QVM282" s="1824"/>
      <c r="QVN282" s="1824"/>
      <c r="QVO282" s="1824"/>
      <c r="QVP282" s="1824"/>
      <c r="QVQ282" s="1824"/>
      <c r="QVR282" s="1824"/>
      <c r="QVS282" s="1824"/>
      <c r="QVT282" s="1824"/>
      <c r="QVU282" s="1824"/>
      <c r="QVV282" s="1824"/>
      <c r="QVW282" s="1824"/>
      <c r="QVX282" s="1824"/>
      <c r="QVY282" s="1824"/>
      <c r="QVZ282" s="1824"/>
      <c r="QWA282" s="1824"/>
      <c r="QWB282" s="1824"/>
      <c r="QWC282" s="1824"/>
      <c r="QWD282" s="1824"/>
      <c r="QWE282" s="1824"/>
      <c r="QWF282" s="1824"/>
      <c r="QWG282" s="1824"/>
      <c r="QWH282" s="1824"/>
      <c r="QWI282" s="1824"/>
      <c r="QWJ282" s="1824"/>
      <c r="QWK282" s="1824"/>
      <c r="QWL282" s="1824"/>
      <c r="QWM282" s="1824"/>
      <c r="QWN282" s="1824"/>
      <c r="QWO282" s="1824"/>
      <c r="QWP282" s="1824"/>
      <c r="QWQ282" s="1824"/>
      <c r="QWR282" s="1824"/>
      <c r="QWS282" s="1824"/>
      <c r="QWT282" s="1824"/>
      <c r="QWU282" s="1824"/>
      <c r="QWV282" s="1824"/>
      <c r="QWW282" s="1824"/>
      <c r="QWX282" s="1824"/>
      <c r="QWY282" s="1824"/>
      <c r="QWZ282" s="1824"/>
      <c r="QXA282" s="1824"/>
      <c r="QXB282" s="1824"/>
      <c r="QXC282" s="1824"/>
      <c r="QXD282" s="1824"/>
      <c r="QXE282" s="1824"/>
      <c r="QXF282" s="1824"/>
      <c r="QXG282" s="1824"/>
      <c r="QXH282" s="1824"/>
      <c r="QXI282" s="1824"/>
      <c r="QXJ282" s="1824"/>
      <c r="QXK282" s="1824"/>
      <c r="QXL282" s="1824"/>
      <c r="QXM282" s="1824"/>
      <c r="QXN282" s="1824"/>
      <c r="QXO282" s="1824"/>
      <c r="QXP282" s="1824"/>
      <c r="QXQ282" s="1824"/>
      <c r="QXR282" s="1824"/>
      <c r="QXS282" s="1824"/>
      <c r="QXT282" s="1824"/>
      <c r="QXU282" s="1824"/>
      <c r="QXV282" s="1824"/>
      <c r="QXW282" s="1824"/>
      <c r="QXX282" s="1824"/>
      <c r="QXY282" s="1824"/>
      <c r="QXZ282" s="1824"/>
      <c r="QYA282" s="1824"/>
      <c r="QYB282" s="1824"/>
      <c r="QYC282" s="1824"/>
      <c r="QYD282" s="1824"/>
      <c r="QYE282" s="1824"/>
      <c r="QYF282" s="1824"/>
      <c r="QYG282" s="1824"/>
      <c r="QYH282" s="1824"/>
      <c r="QYI282" s="1824"/>
      <c r="QYJ282" s="1824"/>
      <c r="QYK282" s="1824"/>
      <c r="QYL282" s="1824"/>
      <c r="QYM282" s="1824"/>
      <c r="QYN282" s="1824"/>
      <c r="QYO282" s="1824"/>
      <c r="QYP282" s="1824"/>
      <c r="QYQ282" s="1824"/>
      <c r="QYR282" s="1824"/>
      <c r="QYS282" s="1824"/>
      <c r="QYT282" s="1824"/>
      <c r="QYU282" s="1824"/>
      <c r="QYV282" s="1824"/>
      <c r="QYW282" s="1824"/>
      <c r="QYX282" s="1824"/>
      <c r="QYY282" s="1824"/>
      <c r="QYZ282" s="1824"/>
      <c r="QZA282" s="1824"/>
      <c r="QZB282" s="1824"/>
      <c r="QZC282" s="1824"/>
      <c r="QZD282" s="1824"/>
      <c r="QZE282" s="1824"/>
      <c r="QZF282" s="1824"/>
      <c r="QZG282" s="1824"/>
      <c r="QZH282" s="1824"/>
      <c r="QZI282" s="1824"/>
      <c r="QZJ282" s="1824"/>
      <c r="QZK282" s="1824"/>
      <c r="QZL282" s="1824"/>
      <c r="QZM282" s="1824"/>
      <c r="QZN282" s="1824"/>
      <c r="QZO282" s="1824"/>
      <c r="QZP282" s="1824"/>
      <c r="QZQ282" s="1824"/>
      <c r="QZR282" s="1824"/>
      <c r="QZS282" s="1824"/>
      <c r="QZT282" s="1824"/>
      <c r="QZU282" s="1824"/>
      <c r="QZV282" s="1824"/>
      <c r="QZW282" s="1824"/>
      <c r="QZX282" s="1824"/>
      <c r="QZY282" s="1824"/>
      <c r="QZZ282" s="1824"/>
      <c r="RAA282" s="1824"/>
      <c r="RAB282" s="1824"/>
      <c r="RAC282" s="1824"/>
      <c r="RAD282" s="1824"/>
      <c r="RAE282" s="1824"/>
      <c r="RAF282" s="1824"/>
      <c r="RAG282" s="1824"/>
      <c r="RAH282" s="1824"/>
      <c r="RAI282" s="1824"/>
      <c r="RAJ282" s="1824"/>
      <c r="RAK282" s="1824"/>
      <c r="RAL282" s="1824"/>
      <c r="RAM282" s="1824"/>
      <c r="RAN282" s="1824"/>
      <c r="RAO282" s="1824"/>
      <c r="RAP282" s="1824"/>
      <c r="RAQ282" s="1824"/>
      <c r="RAR282" s="1824"/>
      <c r="RAS282" s="1824"/>
      <c r="RAT282" s="1824"/>
      <c r="RAU282" s="1824"/>
      <c r="RAV282" s="1824"/>
      <c r="RAW282" s="1824"/>
      <c r="RAX282" s="1824"/>
      <c r="RAY282" s="1824"/>
      <c r="RAZ282" s="1824"/>
      <c r="RBA282" s="1824"/>
      <c r="RBB282" s="1824"/>
      <c r="RBC282" s="1824"/>
      <c r="RBD282" s="1824"/>
      <c r="RBE282" s="1824"/>
      <c r="RBF282" s="1824"/>
      <c r="RBG282" s="1824"/>
      <c r="RBH282" s="1824"/>
      <c r="RBI282" s="1824"/>
      <c r="RBJ282" s="1824"/>
      <c r="RBK282" s="1824"/>
      <c r="RBL282" s="1824"/>
      <c r="RBM282" s="1824"/>
      <c r="RBN282" s="1824"/>
      <c r="RBO282" s="1824"/>
      <c r="RBP282" s="1824"/>
      <c r="RBQ282" s="1824"/>
      <c r="RBR282" s="1824"/>
      <c r="RBS282" s="1824"/>
      <c r="RBT282" s="1824"/>
      <c r="RBU282" s="1824"/>
      <c r="RBV282" s="1824"/>
      <c r="RBW282" s="1824"/>
      <c r="RBX282" s="1824"/>
      <c r="RBY282" s="1824"/>
      <c r="RBZ282" s="1824"/>
      <c r="RCA282" s="1824"/>
      <c r="RCB282" s="1824"/>
      <c r="RCC282" s="1824"/>
      <c r="RCD282" s="1824"/>
      <c r="RCE282" s="1824"/>
      <c r="RCF282" s="1824"/>
      <c r="RCG282" s="1824"/>
      <c r="RCH282" s="1824"/>
      <c r="RCI282" s="1824"/>
      <c r="RCJ282" s="1824"/>
      <c r="RCK282" s="1824"/>
      <c r="RCL282" s="1824"/>
      <c r="RCM282" s="1824"/>
      <c r="RCN282" s="1824"/>
      <c r="RCO282" s="1824"/>
      <c r="RCP282" s="1824"/>
      <c r="RCQ282" s="1824"/>
      <c r="RCR282" s="1824"/>
      <c r="RCS282" s="1824"/>
      <c r="RCT282" s="1824"/>
      <c r="RCU282" s="1824"/>
      <c r="RCV282" s="1824"/>
      <c r="RCW282" s="1824"/>
      <c r="RCX282" s="1824"/>
      <c r="RCY282" s="1824"/>
      <c r="RCZ282" s="1824"/>
      <c r="RDA282" s="1824"/>
      <c r="RDB282" s="1824"/>
      <c r="RDC282" s="1824"/>
      <c r="RDD282" s="1824"/>
      <c r="RDE282" s="1824"/>
      <c r="RDF282" s="1824"/>
      <c r="RDG282" s="1824"/>
      <c r="RDH282" s="1824"/>
      <c r="RDI282" s="1824"/>
      <c r="RDJ282" s="1824"/>
      <c r="RDK282" s="1824"/>
      <c r="RDL282" s="1824"/>
      <c r="RDM282" s="1824"/>
      <c r="RDN282" s="1824"/>
      <c r="RDO282" s="1824"/>
      <c r="RDP282" s="1824"/>
      <c r="RDQ282" s="1824"/>
      <c r="RDR282" s="1824"/>
      <c r="RDS282" s="1824"/>
      <c r="RDT282" s="1824"/>
      <c r="RDU282" s="1824"/>
      <c r="RDV282" s="1824"/>
      <c r="RDW282" s="1824"/>
      <c r="RDX282" s="1824"/>
      <c r="RDY282" s="1824"/>
      <c r="RDZ282" s="1824"/>
      <c r="REA282" s="1824"/>
      <c r="REB282" s="1824"/>
      <c r="REC282" s="1824"/>
      <c r="RED282" s="1824"/>
      <c r="REE282" s="1824"/>
      <c r="REF282" s="1824"/>
      <c r="REG282" s="1824"/>
      <c r="REH282" s="1824"/>
      <c r="REI282" s="1824"/>
      <c r="REJ282" s="1824"/>
      <c r="REK282" s="1824"/>
      <c r="REL282" s="1824"/>
      <c r="REM282" s="1824"/>
      <c r="REN282" s="1824"/>
      <c r="REO282" s="1824"/>
      <c r="REP282" s="1824"/>
      <c r="REQ282" s="1824"/>
      <c r="RER282" s="1824"/>
      <c r="RES282" s="1824"/>
      <c r="RET282" s="1824"/>
      <c r="REU282" s="1824"/>
      <c r="REV282" s="1824"/>
      <c r="REW282" s="1824"/>
      <c r="REX282" s="1824"/>
      <c r="REY282" s="1824"/>
      <c r="REZ282" s="1824"/>
      <c r="RFA282" s="1824"/>
      <c r="RFB282" s="1824"/>
      <c r="RFC282" s="1824"/>
      <c r="RFD282" s="1824"/>
      <c r="RFE282" s="1824"/>
      <c r="RFF282" s="1824"/>
      <c r="RFG282" s="1824"/>
      <c r="RFH282" s="1824"/>
      <c r="RFI282" s="1824"/>
      <c r="RFJ282" s="1824"/>
      <c r="RFK282" s="1824"/>
      <c r="RFL282" s="1824"/>
      <c r="RFM282" s="1824"/>
      <c r="RFN282" s="1824"/>
      <c r="RFO282" s="1824"/>
      <c r="RFP282" s="1824"/>
      <c r="RFQ282" s="1824"/>
      <c r="RFR282" s="1824"/>
      <c r="RFS282" s="1824"/>
      <c r="RFT282" s="1824"/>
      <c r="RFU282" s="1824"/>
      <c r="RFV282" s="1824"/>
      <c r="RFW282" s="1824"/>
      <c r="RFX282" s="1824"/>
      <c r="RFY282" s="1824"/>
      <c r="RFZ282" s="1824"/>
      <c r="RGA282" s="1824"/>
      <c r="RGB282" s="1824"/>
      <c r="RGC282" s="1824"/>
      <c r="RGD282" s="1824"/>
      <c r="RGE282" s="1824"/>
      <c r="RGF282" s="1824"/>
      <c r="RGG282" s="1824"/>
      <c r="RGH282" s="1824"/>
      <c r="RGI282" s="1824"/>
      <c r="RGJ282" s="1824"/>
      <c r="RGK282" s="1824"/>
      <c r="RGL282" s="1824"/>
      <c r="RGM282" s="1824"/>
      <c r="RGN282" s="1824"/>
      <c r="RGO282" s="1824"/>
      <c r="RGP282" s="1824"/>
      <c r="RGQ282" s="1824"/>
      <c r="RGR282" s="1824"/>
      <c r="RGS282" s="1824"/>
      <c r="RGT282" s="1824"/>
      <c r="RGU282" s="1824"/>
      <c r="RGV282" s="1824"/>
      <c r="RGW282" s="1824"/>
      <c r="RGX282" s="1824"/>
      <c r="RGY282" s="1824"/>
      <c r="RGZ282" s="1824"/>
      <c r="RHA282" s="1824"/>
      <c r="RHB282" s="1824"/>
      <c r="RHC282" s="1824"/>
      <c r="RHD282" s="1824"/>
      <c r="RHE282" s="1824"/>
      <c r="RHF282" s="1824"/>
      <c r="RHG282" s="1824"/>
      <c r="RHH282" s="1824"/>
      <c r="RHI282" s="1824"/>
      <c r="RHJ282" s="1824"/>
      <c r="RHK282" s="1824"/>
      <c r="RHL282" s="1824"/>
      <c r="RHM282" s="1824"/>
      <c r="RHN282" s="1824"/>
      <c r="RHO282" s="1824"/>
      <c r="RHP282" s="1824"/>
      <c r="RHQ282" s="1824"/>
      <c r="RHR282" s="1824"/>
      <c r="RHS282" s="1824"/>
      <c r="RHT282" s="1824"/>
      <c r="RHU282" s="1824"/>
      <c r="RHV282" s="1824"/>
      <c r="RHW282" s="1824"/>
      <c r="RHX282" s="1824"/>
      <c r="RHY282" s="1824"/>
      <c r="RHZ282" s="1824"/>
      <c r="RIA282" s="1824"/>
      <c r="RIB282" s="1824"/>
      <c r="RIC282" s="1824"/>
      <c r="RID282" s="1824"/>
      <c r="RIE282" s="1824"/>
      <c r="RIF282" s="1824"/>
      <c r="RIG282" s="1824"/>
      <c r="RIH282" s="1824"/>
      <c r="RII282" s="1824"/>
      <c r="RIJ282" s="1824"/>
      <c r="RIK282" s="1824"/>
      <c r="RIL282" s="1824"/>
      <c r="RIM282" s="1824"/>
      <c r="RIN282" s="1824"/>
      <c r="RIO282" s="1824"/>
      <c r="RIP282" s="1824"/>
      <c r="RIQ282" s="1824"/>
      <c r="RIR282" s="1824"/>
      <c r="RIS282" s="1824"/>
      <c r="RIT282" s="1824"/>
      <c r="RIU282" s="1824"/>
      <c r="RIV282" s="1824"/>
      <c r="RIW282" s="1824"/>
      <c r="RIX282" s="1824"/>
      <c r="RIY282" s="1824"/>
      <c r="RIZ282" s="1824"/>
      <c r="RJA282" s="1824"/>
      <c r="RJB282" s="1824"/>
      <c r="RJC282" s="1824"/>
      <c r="RJD282" s="1824"/>
      <c r="RJE282" s="1824"/>
      <c r="RJF282" s="1824"/>
      <c r="RJG282" s="1824"/>
      <c r="RJH282" s="1824"/>
      <c r="RJI282" s="1824"/>
      <c r="RJJ282" s="1824"/>
      <c r="RJK282" s="1824"/>
      <c r="RJL282" s="1824"/>
      <c r="RJM282" s="1824"/>
      <c r="RJN282" s="1824"/>
      <c r="RJO282" s="1824"/>
      <c r="RJP282" s="1824"/>
      <c r="RJQ282" s="1824"/>
      <c r="RJR282" s="1824"/>
      <c r="RJS282" s="1824"/>
      <c r="RJT282" s="1824"/>
      <c r="RJU282" s="1824"/>
      <c r="RJV282" s="1824"/>
      <c r="RJW282" s="1824"/>
      <c r="RJX282" s="1824"/>
      <c r="RJY282" s="1824"/>
      <c r="RJZ282" s="1824"/>
      <c r="RKA282" s="1824"/>
      <c r="RKB282" s="1824"/>
      <c r="RKC282" s="1824"/>
      <c r="RKD282" s="1824"/>
      <c r="RKE282" s="1824"/>
      <c r="RKF282" s="1824"/>
      <c r="RKG282" s="1824"/>
      <c r="RKH282" s="1824"/>
      <c r="RKI282" s="1824"/>
      <c r="RKJ282" s="1824"/>
      <c r="RKK282" s="1824"/>
      <c r="RKL282" s="1824"/>
      <c r="RKM282" s="1824"/>
      <c r="RKN282" s="1824"/>
      <c r="RKO282" s="1824"/>
      <c r="RKP282" s="1824"/>
      <c r="RKQ282" s="1824"/>
      <c r="RKR282" s="1824"/>
      <c r="RKS282" s="1824"/>
      <c r="RKT282" s="1824"/>
      <c r="RKU282" s="1824"/>
      <c r="RKV282" s="1824"/>
      <c r="RKW282" s="1824"/>
      <c r="RKX282" s="1824"/>
      <c r="RKY282" s="1824"/>
      <c r="RKZ282" s="1824"/>
      <c r="RLA282" s="1824"/>
      <c r="RLB282" s="1824"/>
      <c r="RLC282" s="1824"/>
      <c r="RLD282" s="1824"/>
      <c r="RLE282" s="1824"/>
      <c r="RLF282" s="1824"/>
      <c r="RLG282" s="1824"/>
      <c r="RLH282" s="1824"/>
      <c r="RLI282" s="1824"/>
      <c r="RLJ282" s="1824"/>
      <c r="RLK282" s="1824"/>
      <c r="RLL282" s="1824"/>
      <c r="RLM282" s="1824"/>
      <c r="RLN282" s="1824"/>
      <c r="RLO282" s="1824"/>
      <c r="RLP282" s="1824"/>
      <c r="RLQ282" s="1824"/>
      <c r="RLR282" s="1824"/>
      <c r="RLS282" s="1824"/>
      <c r="RLT282" s="1824"/>
      <c r="RLU282" s="1824"/>
      <c r="RLV282" s="1824"/>
      <c r="RLW282" s="1824"/>
      <c r="RLX282" s="1824"/>
      <c r="RLY282" s="1824"/>
      <c r="RLZ282" s="1824"/>
      <c r="RMA282" s="1824"/>
      <c r="RMB282" s="1824"/>
      <c r="RMC282" s="1824"/>
      <c r="RMD282" s="1824"/>
      <c r="RME282" s="1824"/>
      <c r="RMF282" s="1824"/>
      <c r="RMG282" s="1824"/>
      <c r="RMH282" s="1824"/>
      <c r="RMI282" s="1824"/>
      <c r="RMJ282" s="1824"/>
      <c r="RMK282" s="1824"/>
      <c r="RML282" s="1824"/>
      <c r="RMM282" s="1824"/>
      <c r="RMN282" s="1824"/>
      <c r="RMO282" s="1824"/>
      <c r="RMP282" s="1824"/>
      <c r="RMQ282" s="1824"/>
      <c r="RMR282" s="1824"/>
      <c r="RMS282" s="1824"/>
      <c r="RMT282" s="1824"/>
      <c r="RMU282" s="1824"/>
      <c r="RMV282" s="1824"/>
      <c r="RMW282" s="1824"/>
      <c r="RMX282" s="1824"/>
      <c r="RMY282" s="1824"/>
      <c r="RMZ282" s="1824"/>
      <c r="RNA282" s="1824"/>
      <c r="RNB282" s="1824"/>
      <c r="RNC282" s="1824"/>
      <c r="RND282" s="1824"/>
      <c r="RNE282" s="1824"/>
      <c r="RNF282" s="1824"/>
      <c r="RNG282" s="1824"/>
      <c r="RNH282" s="1824"/>
      <c r="RNI282" s="1824"/>
      <c r="RNJ282" s="1824"/>
      <c r="RNK282" s="1824"/>
      <c r="RNL282" s="1824"/>
      <c r="RNM282" s="1824"/>
      <c r="RNN282" s="1824"/>
      <c r="RNO282" s="1824"/>
      <c r="RNP282" s="1824"/>
      <c r="RNQ282" s="1824"/>
      <c r="RNR282" s="1824"/>
      <c r="RNS282" s="1824"/>
      <c r="RNT282" s="1824"/>
      <c r="RNU282" s="1824"/>
      <c r="RNV282" s="1824"/>
      <c r="RNW282" s="1824"/>
      <c r="RNX282" s="1824"/>
      <c r="RNY282" s="1824"/>
      <c r="RNZ282" s="1824"/>
      <c r="ROA282" s="1824"/>
      <c r="ROB282" s="1824"/>
      <c r="ROC282" s="1824"/>
      <c r="ROD282" s="1824"/>
      <c r="ROE282" s="1824"/>
      <c r="ROF282" s="1824"/>
      <c r="ROG282" s="1824"/>
      <c r="ROH282" s="1824"/>
      <c r="ROI282" s="1824"/>
      <c r="ROJ282" s="1824"/>
      <c r="ROK282" s="1824"/>
      <c r="ROL282" s="1824"/>
      <c r="ROM282" s="1824"/>
      <c r="RON282" s="1824"/>
      <c r="ROO282" s="1824"/>
      <c r="ROP282" s="1824"/>
      <c r="ROQ282" s="1824"/>
      <c r="ROR282" s="1824"/>
      <c r="ROS282" s="1824"/>
      <c r="ROT282" s="1824"/>
      <c r="ROU282" s="1824"/>
      <c r="ROV282" s="1824"/>
      <c r="ROW282" s="1824"/>
      <c r="ROX282" s="1824"/>
      <c r="ROY282" s="1824"/>
      <c r="ROZ282" s="1824"/>
      <c r="RPA282" s="1824"/>
      <c r="RPB282" s="1824"/>
      <c r="RPC282" s="1824"/>
      <c r="RPD282" s="1824"/>
      <c r="RPE282" s="1824"/>
      <c r="RPF282" s="1824"/>
      <c r="RPG282" s="1824"/>
      <c r="RPH282" s="1824"/>
      <c r="RPI282" s="1824"/>
      <c r="RPJ282" s="1824"/>
      <c r="RPK282" s="1824"/>
      <c r="RPL282" s="1824"/>
      <c r="RPM282" s="1824"/>
      <c r="RPN282" s="1824"/>
      <c r="RPO282" s="1824"/>
      <c r="RPP282" s="1824"/>
      <c r="RPQ282" s="1824"/>
      <c r="RPR282" s="1824"/>
      <c r="RPS282" s="1824"/>
      <c r="RPT282" s="1824"/>
      <c r="RPU282" s="1824"/>
      <c r="RPV282" s="1824"/>
      <c r="RPW282" s="1824"/>
      <c r="RPX282" s="1824"/>
      <c r="RPY282" s="1824"/>
      <c r="RPZ282" s="1824"/>
      <c r="RQA282" s="1824"/>
      <c r="RQB282" s="1824"/>
      <c r="RQC282" s="1824"/>
      <c r="RQD282" s="1824"/>
      <c r="RQE282" s="1824"/>
      <c r="RQF282" s="1824"/>
      <c r="RQG282" s="1824"/>
      <c r="RQH282" s="1824"/>
      <c r="RQI282" s="1824"/>
      <c r="RQJ282" s="1824"/>
      <c r="RQK282" s="1824"/>
      <c r="RQL282" s="1824"/>
      <c r="RQM282" s="1824"/>
      <c r="RQN282" s="1824"/>
      <c r="RQO282" s="1824"/>
      <c r="RQP282" s="1824"/>
      <c r="RQQ282" s="1824"/>
      <c r="RQR282" s="1824"/>
      <c r="RQS282" s="1824"/>
      <c r="RQT282" s="1824"/>
      <c r="RQU282" s="1824"/>
      <c r="RQV282" s="1824"/>
      <c r="RQW282" s="1824"/>
      <c r="RQX282" s="1824"/>
      <c r="RQY282" s="1824"/>
      <c r="RQZ282" s="1824"/>
      <c r="RRA282" s="1824"/>
      <c r="RRB282" s="1824"/>
      <c r="RRC282" s="1824"/>
      <c r="RRD282" s="1824"/>
      <c r="RRE282" s="1824"/>
      <c r="RRF282" s="1824"/>
      <c r="RRG282" s="1824"/>
      <c r="RRH282" s="1824"/>
      <c r="RRI282" s="1824"/>
      <c r="RRJ282" s="1824"/>
      <c r="RRK282" s="1824"/>
      <c r="RRL282" s="1824"/>
      <c r="RRM282" s="1824"/>
      <c r="RRN282" s="1824"/>
      <c r="RRO282" s="1824"/>
      <c r="RRP282" s="1824"/>
      <c r="RRQ282" s="1824"/>
      <c r="RRR282" s="1824"/>
      <c r="RRS282" s="1824"/>
      <c r="RRT282" s="1824"/>
      <c r="RRU282" s="1824"/>
      <c r="RRV282" s="1824"/>
      <c r="RRW282" s="1824"/>
      <c r="RRX282" s="1824"/>
      <c r="RRY282" s="1824"/>
      <c r="RRZ282" s="1824"/>
      <c r="RSA282" s="1824"/>
      <c r="RSB282" s="1824"/>
      <c r="RSC282" s="1824"/>
      <c r="RSD282" s="1824"/>
      <c r="RSE282" s="1824"/>
      <c r="RSF282" s="1824"/>
      <c r="RSG282" s="1824"/>
      <c r="RSH282" s="1824"/>
      <c r="RSI282" s="1824"/>
      <c r="RSJ282" s="1824"/>
      <c r="RSK282" s="1824"/>
      <c r="RSL282" s="1824"/>
      <c r="RSM282" s="1824"/>
      <c r="RSN282" s="1824"/>
      <c r="RSO282" s="1824"/>
      <c r="RSP282" s="1824"/>
      <c r="RSQ282" s="1824"/>
      <c r="RSR282" s="1824"/>
      <c r="RSS282" s="1824"/>
      <c r="RST282" s="1824"/>
      <c r="RSU282" s="1824"/>
      <c r="RSV282" s="1824"/>
      <c r="RSW282" s="1824"/>
      <c r="RSX282" s="1824"/>
      <c r="RSY282" s="1824"/>
      <c r="RSZ282" s="1824"/>
      <c r="RTA282" s="1824"/>
      <c r="RTB282" s="1824"/>
      <c r="RTC282" s="1824"/>
      <c r="RTD282" s="1824"/>
      <c r="RTE282" s="1824"/>
      <c r="RTF282" s="1824"/>
      <c r="RTG282" s="1824"/>
      <c r="RTH282" s="1824"/>
      <c r="RTI282" s="1824"/>
      <c r="RTJ282" s="1824"/>
      <c r="RTK282" s="1824"/>
      <c r="RTL282" s="1824"/>
      <c r="RTM282" s="1824"/>
      <c r="RTN282" s="1824"/>
      <c r="RTO282" s="1824"/>
      <c r="RTP282" s="1824"/>
      <c r="RTQ282" s="1824"/>
      <c r="RTR282" s="1824"/>
      <c r="RTS282" s="1824"/>
      <c r="RTT282" s="1824"/>
      <c r="RTU282" s="1824"/>
      <c r="RTV282" s="1824"/>
      <c r="RTW282" s="1824"/>
      <c r="RTX282" s="1824"/>
      <c r="RTY282" s="1824"/>
      <c r="RTZ282" s="1824"/>
      <c r="RUA282" s="1824"/>
      <c r="RUB282" s="1824"/>
      <c r="RUC282" s="1824"/>
      <c r="RUD282" s="1824"/>
      <c r="RUE282" s="1824"/>
      <c r="RUF282" s="1824"/>
      <c r="RUG282" s="1824"/>
      <c r="RUH282" s="1824"/>
      <c r="RUI282" s="1824"/>
      <c r="RUJ282" s="1824"/>
      <c r="RUK282" s="1824"/>
      <c r="RUL282" s="1824"/>
      <c r="RUM282" s="1824"/>
      <c r="RUN282" s="1824"/>
      <c r="RUO282" s="1824"/>
      <c r="RUP282" s="1824"/>
      <c r="RUQ282" s="1824"/>
      <c r="RUR282" s="1824"/>
      <c r="RUS282" s="1824"/>
      <c r="RUT282" s="1824"/>
      <c r="RUU282" s="1824"/>
      <c r="RUV282" s="1824"/>
      <c r="RUW282" s="1824"/>
      <c r="RUX282" s="1824"/>
      <c r="RUY282" s="1824"/>
      <c r="RUZ282" s="1824"/>
      <c r="RVA282" s="1824"/>
      <c r="RVB282" s="1824"/>
      <c r="RVC282" s="1824"/>
      <c r="RVD282" s="1824"/>
      <c r="RVE282" s="1824"/>
      <c r="RVF282" s="1824"/>
      <c r="RVG282" s="1824"/>
      <c r="RVH282" s="1824"/>
      <c r="RVI282" s="1824"/>
      <c r="RVJ282" s="1824"/>
      <c r="RVK282" s="1824"/>
      <c r="RVL282" s="1824"/>
      <c r="RVM282" s="1824"/>
      <c r="RVN282" s="1824"/>
      <c r="RVO282" s="1824"/>
      <c r="RVP282" s="1824"/>
      <c r="RVQ282" s="1824"/>
      <c r="RVR282" s="1824"/>
      <c r="RVS282" s="1824"/>
      <c r="RVT282" s="1824"/>
      <c r="RVU282" s="1824"/>
      <c r="RVV282" s="1824"/>
      <c r="RVW282" s="1824"/>
      <c r="RVX282" s="1824"/>
      <c r="RVY282" s="1824"/>
      <c r="RVZ282" s="1824"/>
      <c r="RWA282" s="1824"/>
      <c r="RWB282" s="1824"/>
      <c r="RWC282" s="1824"/>
      <c r="RWD282" s="1824"/>
      <c r="RWE282" s="1824"/>
      <c r="RWF282" s="1824"/>
      <c r="RWG282" s="1824"/>
      <c r="RWH282" s="1824"/>
      <c r="RWI282" s="1824"/>
      <c r="RWJ282" s="1824"/>
      <c r="RWK282" s="1824"/>
      <c r="RWL282" s="1824"/>
      <c r="RWM282" s="1824"/>
      <c r="RWN282" s="1824"/>
      <c r="RWO282" s="1824"/>
      <c r="RWP282" s="1824"/>
      <c r="RWQ282" s="1824"/>
      <c r="RWR282" s="1824"/>
      <c r="RWS282" s="1824"/>
      <c r="RWT282" s="1824"/>
      <c r="RWU282" s="1824"/>
      <c r="RWV282" s="1824"/>
      <c r="RWW282" s="1824"/>
      <c r="RWX282" s="1824"/>
      <c r="RWY282" s="1824"/>
      <c r="RWZ282" s="1824"/>
      <c r="RXA282" s="1824"/>
      <c r="RXB282" s="1824"/>
      <c r="RXC282" s="1824"/>
      <c r="RXD282" s="1824"/>
      <c r="RXE282" s="1824"/>
      <c r="RXF282" s="1824"/>
      <c r="RXG282" s="1824"/>
      <c r="RXH282" s="1824"/>
      <c r="RXI282" s="1824"/>
      <c r="RXJ282" s="1824"/>
      <c r="RXK282" s="1824"/>
      <c r="RXL282" s="1824"/>
      <c r="RXM282" s="1824"/>
      <c r="RXN282" s="1824"/>
      <c r="RXO282" s="1824"/>
      <c r="RXP282" s="1824"/>
      <c r="RXQ282" s="1824"/>
      <c r="RXR282" s="1824"/>
      <c r="RXS282" s="1824"/>
      <c r="RXT282" s="1824"/>
      <c r="RXU282" s="1824"/>
      <c r="RXV282" s="1824"/>
      <c r="RXW282" s="1824"/>
      <c r="RXX282" s="1824"/>
      <c r="RXY282" s="1824"/>
      <c r="RXZ282" s="1824"/>
      <c r="RYA282" s="1824"/>
      <c r="RYB282" s="1824"/>
      <c r="RYC282" s="1824"/>
      <c r="RYD282" s="1824"/>
      <c r="RYE282" s="1824"/>
      <c r="RYF282" s="1824"/>
      <c r="RYG282" s="1824"/>
      <c r="RYH282" s="1824"/>
      <c r="RYI282" s="1824"/>
      <c r="RYJ282" s="1824"/>
      <c r="RYK282" s="1824"/>
      <c r="RYL282" s="1824"/>
      <c r="RYM282" s="1824"/>
      <c r="RYN282" s="1824"/>
      <c r="RYO282" s="1824"/>
      <c r="RYP282" s="1824"/>
      <c r="RYQ282" s="1824"/>
      <c r="RYR282" s="1824"/>
      <c r="RYS282" s="1824"/>
      <c r="RYT282" s="1824"/>
      <c r="RYU282" s="1824"/>
      <c r="RYV282" s="1824"/>
      <c r="RYW282" s="1824"/>
      <c r="RYX282" s="1824"/>
      <c r="RYY282" s="1824"/>
      <c r="RYZ282" s="1824"/>
      <c r="RZA282" s="1824"/>
      <c r="RZB282" s="1824"/>
      <c r="RZC282" s="1824"/>
      <c r="RZD282" s="1824"/>
      <c r="RZE282" s="1824"/>
      <c r="RZF282" s="1824"/>
      <c r="RZG282" s="1824"/>
      <c r="RZH282" s="1824"/>
      <c r="RZI282" s="1824"/>
      <c r="RZJ282" s="1824"/>
      <c r="RZK282" s="1824"/>
      <c r="RZL282" s="1824"/>
      <c r="RZM282" s="1824"/>
      <c r="RZN282" s="1824"/>
      <c r="RZO282" s="1824"/>
      <c r="RZP282" s="1824"/>
      <c r="RZQ282" s="1824"/>
      <c r="RZR282" s="1824"/>
      <c r="RZS282" s="1824"/>
      <c r="RZT282" s="1824"/>
      <c r="RZU282" s="1824"/>
      <c r="RZV282" s="1824"/>
      <c r="RZW282" s="1824"/>
      <c r="RZX282" s="1824"/>
      <c r="RZY282" s="1824"/>
      <c r="RZZ282" s="1824"/>
      <c r="SAA282" s="1824"/>
      <c r="SAB282" s="1824"/>
      <c r="SAC282" s="1824"/>
      <c r="SAD282" s="1824"/>
      <c r="SAE282" s="1824"/>
      <c r="SAF282" s="1824"/>
      <c r="SAG282" s="1824"/>
      <c r="SAH282" s="1824"/>
      <c r="SAI282" s="1824"/>
      <c r="SAJ282" s="1824"/>
      <c r="SAK282" s="1824"/>
      <c r="SAL282" s="1824"/>
      <c r="SAM282" s="1824"/>
      <c r="SAN282" s="1824"/>
      <c r="SAO282" s="1824"/>
      <c r="SAP282" s="1824"/>
      <c r="SAQ282" s="1824"/>
      <c r="SAR282" s="1824"/>
      <c r="SAS282" s="1824"/>
      <c r="SAT282" s="1824"/>
      <c r="SAU282" s="1824"/>
      <c r="SAV282" s="1824"/>
      <c r="SAW282" s="1824"/>
      <c r="SAX282" s="1824"/>
      <c r="SAY282" s="1824"/>
      <c r="SAZ282" s="1824"/>
      <c r="SBA282" s="1824"/>
      <c r="SBB282" s="1824"/>
      <c r="SBC282" s="1824"/>
      <c r="SBD282" s="1824"/>
      <c r="SBE282" s="1824"/>
      <c r="SBF282" s="1824"/>
      <c r="SBG282" s="1824"/>
      <c r="SBH282" s="1824"/>
      <c r="SBI282" s="1824"/>
      <c r="SBJ282" s="1824"/>
      <c r="SBK282" s="1824"/>
      <c r="SBL282" s="1824"/>
      <c r="SBM282" s="1824"/>
      <c r="SBN282" s="1824"/>
      <c r="SBO282" s="1824"/>
      <c r="SBP282" s="1824"/>
      <c r="SBQ282" s="1824"/>
      <c r="SBR282" s="1824"/>
      <c r="SBS282" s="1824"/>
      <c r="SBT282" s="1824"/>
      <c r="SBU282" s="1824"/>
      <c r="SBV282" s="1824"/>
      <c r="SBW282" s="1824"/>
      <c r="SBX282" s="1824"/>
      <c r="SBY282" s="1824"/>
      <c r="SBZ282" s="1824"/>
      <c r="SCA282" s="1824"/>
      <c r="SCB282" s="1824"/>
      <c r="SCC282" s="1824"/>
      <c r="SCD282" s="1824"/>
      <c r="SCE282" s="1824"/>
      <c r="SCF282" s="1824"/>
      <c r="SCG282" s="1824"/>
      <c r="SCH282" s="1824"/>
      <c r="SCI282" s="1824"/>
      <c r="SCJ282" s="1824"/>
      <c r="SCK282" s="1824"/>
      <c r="SCL282" s="1824"/>
      <c r="SCM282" s="1824"/>
      <c r="SCN282" s="1824"/>
      <c r="SCO282" s="1824"/>
      <c r="SCP282" s="1824"/>
      <c r="SCQ282" s="1824"/>
      <c r="SCR282" s="1824"/>
      <c r="SCS282" s="1824"/>
      <c r="SCT282" s="1824"/>
      <c r="SCU282" s="1824"/>
      <c r="SCV282" s="1824"/>
      <c r="SCW282" s="1824"/>
      <c r="SCX282" s="1824"/>
      <c r="SCY282" s="1824"/>
      <c r="SCZ282" s="1824"/>
      <c r="SDA282" s="1824"/>
      <c r="SDB282" s="1824"/>
      <c r="SDC282" s="1824"/>
      <c r="SDD282" s="1824"/>
      <c r="SDE282" s="1824"/>
      <c r="SDF282" s="1824"/>
      <c r="SDG282" s="1824"/>
      <c r="SDH282" s="1824"/>
      <c r="SDI282" s="1824"/>
      <c r="SDJ282" s="1824"/>
      <c r="SDK282" s="1824"/>
      <c r="SDL282" s="1824"/>
      <c r="SDM282" s="1824"/>
      <c r="SDN282" s="1824"/>
      <c r="SDO282" s="1824"/>
      <c r="SDP282" s="1824"/>
      <c r="SDQ282" s="1824"/>
      <c r="SDR282" s="1824"/>
      <c r="SDS282" s="1824"/>
      <c r="SDT282" s="1824"/>
      <c r="SDU282" s="1824"/>
      <c r="SDV282" s="1824"/>
      <c r="SDW282" s="1824"/>
      <c r="SDX282" s="1824"/>
      <c r="SDY282" s="1824"/>
      <c r="SDZ282" s="1824"/>
      <c r="SEA282" s="1824"/>
      <c r="SEB282" s="1824"/>
      <c r="SEC282" s="1824"/>
      <c r="SED282" s="1824"/>
      <c r="SEE282" s="1824"/>
      <c r="SEF282" s="1824"/>
      <c r="SEG282" s="1824"/>
      <c r="SEH282" s="1824"/>
      <c r="SEI282" s="1824"/>
      <c r="SEJ282" s="1824"/>
      <c r="SEK282" s="1824"/>
      <c r="SEL282" s="1824"/>
      <c r="SEM282" s="1824"/>
      <c r="SEN282" s="1824"/>
      <c r="SEO282" s="1824"/>
      <c r="SEP282" s="1824"/>
      <c r="SEQ282" s="1824"/>
      <c r="SER282" s="1824"/>
      <c r="SES282" s="1824"/>
      <c r="SET282" s="1824"/>
      <c r="SEU282" s="1824"/>
      <c r="SEV282" s="1824"/>
      <c r="SEW282" s="1824"/>
      <c r="SEX282" s="1824"/>
      <c r="SEY282" s="1824"/>
      <c r="SEZ282" s="1824"/>
      <c r="SFA282" s="1824"/>
      <c r="SFB282" s="1824"/>
      <c r="SFC282" s="1824"/>
      <c r="SFD282" s="1824"/>
      <c r="SFE282" s="1824"/>
      <c r="SFF282" s="1824"/>
      <c r="SFG282" s="1824"/>
      <c r="SFH282" s="1824"/>
      <c r="SFI282" s="1824"/>
      <c r="SFJ282" s="1824"/>
      <c r="SFK282" s="1824"/>
      <c r="SFL282" s="1824"/>
      <c r="SFM282" s="1824"/>
      <c r="SFN282" s="1824"/>
      <c r="SFO282" s="1824"/>
      <c r="SFP282" s="1824"/>
      <c r="SFQ282" s="1824"/>
      <c r="SFR282" s="1824"/>
      <c r="SFS282" s="1824"/>
      <c r="SFT282" s="1824"/>
      <c r="SFU282" s="1824"/>
      <c r="SFV282" s="1824"/>
      <c r="SFW282" s="1824"/>
      <c r="SFX282" s="1824"/>
      <c r="SFY282" s="1824"/>
      <c r="SFZ282" s="1824"/>
      <c r="SGA282" s="1824"/>
      <c r="SGB282" s="1824"/>
      <c r="SGC282" s="1824"/>
      <c r="SGD282" s="1824"/>
      <c r="SGE282" s="1824"/>
      <c r="SGF282" s="1824"/>
      <c r="SGG282" s="1824"/>
      <c r="SGH282" s="1824"/>
      <c r="SGI282" s="1824"/>
      <c r="SGJ282" s="1824"/>
      <c r="SGK282" s="1824"/>
      <c r="SGL282" s="1824"/>
      <c r="SGM282" s="1824"/>
      <c r="SGN282" s="1824"/>
      <c r="SGO282" s="1824"/>
      <c r="SGP282" s="1824"/>
      <c r="SGQ282" s="1824"/>
      <c r="SGR282" s="1824"/>
      <c r="SGS282" s="1824"/>
      <c r="SGT282" s="1824"/>
      <c r="SGU282" s="1824"/>
      <c r="SGV282" s="1824"/>
      <c r="SGW282" s="1824"/>
      <c r="SGX282" s="1824"/>
      <c r="SGY282" s="1824"/>
      <c r="SGZ282" s="1824"/>
      <c r="SHA282" s="1824"/>
      <c r="SHB282" s="1824"/>
      <c r="SHC282" s="1824"/>
      <c r="SHD282" s="1824"/>
      <c r="SHE282" s="1824"/>
      <c r="SHF282" s="1824"/>
      <c r="SHG282" s="1824"/>
      <c r="SHH282" s="1824"/>
      <c r="SHI282" s="1824"/>
      <c r="SHJ282" s="1824"/>
      <c r="SHK282" s="1824"/>
      <c r="SHL282" s="1824"/>
      <c r="SHM282" s="1824"/>
      <c r="SHN282" s="1824"/>
      <c r="SHO282" s="1824"/>
      <c r="SHP282" s="1824"/>
      <c r="SHQ282" s="1824"/>
      <c r="SHR282" s="1824"/>
      <c r="SHS282" s="1824"/>
      <c r="SHT282" s="1824"/>
      <c r="SHU282" s="1824"/>
      <c r="SHV282" s="1824"/>
      <c r="SHW282" s="1824"/>
      <c r="SHX282" s="1824"/>
      <c r="SHY282" s="1824"/>
      <c r="SHZ282" s="1824"/>
      <c r="SIA282" s="1824"/>
      <c r="SIB282" s="1824"/>
      <c r="SIC282" s="1824"/>
      <c r="SID282" s="1824"/>
      <c r="SIE282" s="1824"/>
      <c r="SIF282" s="1824"/>
      <c r="SIG282" s="1824"/>
      <c r="SIH282" s="1824"/>
      <c r="SII282" s="1824"/>
      <c r="SIJ282" s="1824"/>
      <c r="SIK282" s="1824"/>
      <c r="SIL282" s="1824"/>
      <c r="SIM282" s="1824"/>
      <c r="SIN282" s="1824"/>
      <c r="SIO282" s="1824"/>
      <c r="SIP282" s="1824"/>
      <c r="SIQ282" s="1824"/>
      <c r="SIR282" s="1824"/>
      <c r="SIS282" s="1824"/>
      <c r="SIT282" s="1824"/>
      <c r="SIU282" s="1824"/>
      <c r="SIV282" s="1824"/>
      <c r="SIW282" s="1824"/>
      <c r="SIX282" s="1824"/>
      <c r="SIY282" s="1824"/>
      <c r="SIZ282" s="1824"/>
      <c r="SJA282" s="1824"/>
      <c r="SJB282" s="1824"/>
      <c r="SJC282" s="1824"/>
      <c r="SJD282" s="1824"/>
      <c r="SJE282" s="1824"/>
      <c r="SJF282" s="1824"/>
      <c r="SJG282" s="1824"/>
      <c r="SJH282" s="1824"/>
      <c r="SJI282" s="1824"/>
      <c r="SJJ282" s="1824"/>
      <c r="SJK282" s="1824"/>
      <c r="SJL282" s="1824"/>
      <c r="SJM282" s="1824"/>
      <c r="SJN282" s="1824"/>
      <c r="SJO282" s="1824"/>
      <c r="SJP282" s="1824"/>
      <c r="SJQ282" s="1824"/>
      <c r="SJR282" s="1824"/>
      <c r="SJS282" s="1824"/>
      <c r="SJT282" s="1824"/>
      <c r="SJU282" s="1824"/>
      <c r="SJV282" s="1824"/>
      <c r="SJW282" s="1824"/>
      <c r="SJX282" s="1824"/>
      <c r="SJY282" s="1824"/>
      <c r="SJZ282" s="1824"/>
      <c r="SKA282" s="1824"/>
      <c r="SKB282" s="1824"/>
      <c r="SKC282" s="1824"/>
      <c r="SKD282" s="1824"/>
      <c r="SKE282" s="1824"/>
      <c r="SKF282" s="1824"/>
      <c r="SKG282" s="1824"/>
      <c r="SKH282" s="1824"/>
      <c r="SKI282" s="1824"/>
      <c r="SKJ282" s="1824"/>
      <c r="SKK282" s="1824"/>
      <c r="SKL282" s="1824"/>
      <c r="SKM282" s="1824"/>
      <c r="SKN282" s="1824"/>
      <c r="SKO282" s="1824"/>
      <c r="SKP282" s="1824"/>
      <c r="SKQ282" s="1824"/>
      <c r="SKR282" s="1824"/>
      <c r="SKS282" s="1824"/>
      <c r="SKT282" s="1824"/>
      <c r="SKU282" s="1824"/>
      <c r="SKV282" s="1824"/>
      <c r="SKW282" s="1824"/>
      <c r="SKX282" s="1824"/>
      <c r="SKY282" s="1824"/>
      <c r="SKZ282" s="1824"/>
      <c r="SLA282" s="1824"/>
      <c r="SLB282" s="1824"/>
      <c r="SLC282" s="1824"/>
      <c r="SLD282" s="1824"/>
      <c r="SLE282" s="1824"/>
      <c r="SLF282" s="1824"/>
      <c r="SLG282" s="1824"/>
      <c r="SLH282" s="1824"/>
      <c r="SLI282" s="1824"/>
      <c r="SLJ282" s="1824"/>
      <c r="SLK282" s="1824"/>
      <c r="SLL282" s="1824"/>
      <c r="SLM282" s="1824"/>
      <c r="SLN282" s="1824"/>
      <c r="SLO282" s="1824"/>
      <c r="SLP282" s="1824"/>
      <c r="SLQ282" s="1824"/>
      <c r="SLR282" s="1824"/>
      <c r="SLS282" s="1824"/>
      <c r="SLT282" s="1824"/>
      <c r="SLU282" s="1824"/>
      <c r="SLV282" s="1824"/>
      <c r="SLW282" s="1824"/>
      <c r="SLX282" s="1824"/>
      <c r="SLY282" s="1824"/>
      <c r="SLZ282" s="1824"/>
      <c r="SMA282" s="1824"/>
      <c r="SMB282" s="1824"/>
      <c r="SMC282" s="1824"/>
      <c r="SMD282" s="1824"/>
      <c r="SME282" s="1824"/>
      <c r="SMF282" s="1824"/>
      <c r="SMG282" s="1824"/>
      <c r="SMH282" s="1824"/>
      <c r="SMI282" s="1824"/>
      <c r="SMJ282" s="1824"/>
      <c r="SMK282" s="1824"/>
      <c r="SML282" s="1824"/>
      <c r="SMM282" s="1824"/>
      <c r="SMN282" s="1824"/>
      <c r="SMO282" s="1824"/>
      <c r="SMP282" s="1824"/>
      <c r="SMQ282" s="1824"/>
      <c r="SMR282" s="1824"/>
      <c r="SMS282" s="1824"/>
      <c r="SMT282" s="1824"/>
      <c r="SMU282" s="1824"/>
      <c r="SMV282" s="1824"/>
      <c r="SMW282" s="1824"/>
      <c r="SMX282" s="1824"/>
      <c r="SMY282" s="1824"/>
      <c r="SMZ282" s="1824"/>
      <c r="SNA282" s="1824"/>
      <c r="SNB282" s="1824"/>
      <c r="SNC282" s="1824"/>
      <c r="SND282" s="1824"/>
      <c r="SNE282" s="1824"/>
      <c r="SNF282" s="1824"/>
      <c r="SNG282" s="1824"/>
      <c r="SNH282" s="1824"/>
      <c r="SNI282" s="1824"/>
      <c r="SNJ282" s="1824"/>
      <c r="SNK282" s="1824"/>
      <c r="SNL282" s="1824"/>
      <c r="SNM282" s="1824"/>
      <c r="SNN282" s="1824"/>
      <c r="SNO282" s="1824"/>
      <c r="SNP282" s="1824"/>
      <c r="SNQ282" s="1824"/>
      <c r="SNR282" s="1824"/>
      <c r="SNS282" s="1824"/>
      <c r="SNT282" s="1824"/>
      <c r="SNU282" s="1824"/>
      <c r="SNV282" s="1824"/>
      <c r="SNW282" s="1824"/>
      <c r="SNX282" s="1824"/>
      <c r="SNY282" s="1824"/>
      <c r="SNZ282" s="1824"/>
      <c r="SOA282" s="1824"/>
      <c r="SOB282" s="1824"/>
      <c r="SOC282" s="1824"/>
      <c r="SOD282" s="1824"/>
      <c r="SOE282" s="1824"/>
      <c r="SOF282" s="1824"/>
      <c r="SOG282" s="1824"/>
      <c r="SOH282" s="1824"/>
      <c r="SOI282" s="1824"/>
      <c r="SOJ282" s="1824"/>
      <c r="SOK282" s="1824"/>
      <c r="SOL282" s="1824"/>
      <c r="SOM282" s="1824"/>
      <c r="SON282" s="1824"/>
      <c r="SOO282" s="1824"/>
      <c r="SOP282" s="1824"/>
      <c r="SOQ282" s="1824"/>
      <c r="SOR282" s="1824"/>
      <c r="SOS282" s="1824"/>
      <c r="SOT282" s="1824"/>
      <c r="SOU282" s="1824"/>
      <c r="SOV282" s="1824"/>
      <c r="SOW282" s="1824"/>
      <c r="SOX282" s="1824"/>
      <c r="SOY282" s="1824"/>
      <c r="SOZ282" s="1824"/>
      <c r="SPA282" s="1824"/>
      <c r="SPB282" s="1824"/>
      <c r="SPC282" s="1824"/>
      <c r="SPD282" s="1824"/>
      <c r="SPE282" s="1824"/>
      <c r="SPF282" s="1824"/>
      <c r="SPG282" s="1824"/>
      <c r="SPH282" s="1824"/>
      <c r="SPI282" s="1824"/>
      <c r="SPJ282" s="1824"/>
      <c r="SPK282" s="1824"/>
      <c r="SPL282" s="1824"/>
      <c r="SPM282" s="1824"/>
      <c r="SPN282" s="1824"/>
      <c r="SPO282" s="1824"/>
      <c r="SPP282" s="1824"/>
      <c r="SPQ282" s="1824"/>
      <c r="SPR282" s="1824"/>
      <c r="SPS282" s="1824"/>
      <c r="SPT282" s="1824"/>
      <c r="SPU282" s="1824"/>
      <c r="SPV282" s="1824"/>
      <c r="SPW282" s="1824"/>
      <c r="SPX282" s="1824"/>
      <c r="SPY282" s="1824"/>
      <c r="SPZ282" s="1824"/>
      <c r="SQA282" s="1824"/>
      <c r="SQB282" s="1824"/>
      <c r="SQC282" s="1824"/>
      <c r="SQD282" s="1824"/>
      <c r="SQE282" s="1824"/>
      <c r="SQF282" s="1824"/>
      <c r="SQG282" s="1824"/>
      <c r="SQH282" s="1824"/>
      <c r="SQI282" s="1824"/>
      <c r="SQJ282" s="1824"/>
      <c r="SQK282" s="1824"/>
      <c r="SQL282" s="1824"/>
      <c r="SQM282" s="1824"/>
      <c r="SQN282" s="1824"/>
      <c r="SQO282" s="1824"/>
      <c r="SQP282" s="1824"/>
      <c r="SQQ282" s="1824"/>
      <c r="SQR282" s="1824"/>
      <c r="SQS282" s="1824"/>
      <c r="SQT282" s="1824"/>
      <c r="SQU282" s="1824"/>
      <c r="SQV282" s="1824"/>
      <c r="SQW282" s="1824"/>
      <c r="SQX282" s="1824"/>
      <c r="SQY282" s="1824"/>
      <c r="SQZ282" s="1824"/>
      <c r="SRA282" s="1824"/>
      <c r="SRB282" s="1824"/>
      <c r="SRC282" s="1824"/>
      <c r="SRD282" s="1824"/>
      <c r="SRE282" s="1824"/>
      <c r="SRF282" s="1824"/>
      <c r="SRG282" s="1824"/>
      <c r="SRH282" s="1824"/>
      <c r="SRI282" s="1824"/>
      <c r="SRJ282" s="1824"/>
      <c r="SRK282" s="1824"/>
      <c r="SRL282" s="1824"/>
      <c r="SRM282" s="1824"/>
      <c r="SRN282" s="1824"/>
      <c r="SRO282" s="1824"/>
      <c r="SRP282" s="1824"/>
      <c r="SRQ282" s="1824"/>
      <c r="SRR282" s="1824"/>
      <c r="SRS282" s="1824"/>
      <c r="SRT282" s="1824"/>
      <c r="SRU282" s="1824"/>
      <c r="SRV282" s="1824"/>
      <c r="SRW282" s="1824"/>
      <c r="SRX282" s="1824"/>
      <c r="SRY282" s="1824"/>
      <c r="SRZ282" s="1824"/>
      <c r="SSA282" s="1824"/>
      <c r="SSB282" s="1824"/>
      <c r="SSC282" s="1824"/>
      <c r="SSD282" s="1824"/>
      <c r="SSE282" s="1824"/>
      <c r="SSF282" s="1824"/>
      <c r="SSG282" s="1824"/>
      <c r="SSH282" s="1824"/>
      <c r="SSI282" s="1824"/>
      <c r="SSJ282" s="1824"/>
      <c r="SSK282" s="1824"/>
      <c r="SSL282" s="1824"/>
      <c r="SSM282" s="1824"/>
      <c r="SSN282" s="1824"/>
      <c r="SSO282" s="1824"/>
      <c r="SSP282" s="1824"/>
      <c r="SSQ282" s="1824"/>
      <c r="SSR282" s="1824"/>
      <c r="SSS282" s="1824"/>
      <c r="SST282" s="1824"/>
      <c r="SSU282" s="1824"/>
      <c r="SSV282" s="1824"/>
      <c r="SSW282" s="1824"/>
      <c r="SSX282" s="1824"/>
      <c r="SSY282" s="1824"/>
      <c r="SSZ282" s="1824"/>
      <c r="STA282" s="1824"/>
      <c r="STB282" s="1824"/>
      <c r="STC282" s="1824"/>
      <c r="STD282" s="1824"/>
      <c r="STE282" s="1824"/>
      <c r="STF282" s="1824"/>
      <c r="STG282" s="1824"/>
      <c r="STH282" s="1824"/>
      <c r="STI282" s="1824"/>
      <c r="STJ282" s="1824"/>
      <c r="STK282" s="1824"/>
      <c r="STL282" s="1824"/>
      <c r="STM282" s="1824"/>
      <c r="STN282" s="1824"/>
      <c r="STO282" s="1824"/>
      <c r="STP282" s="1824"/>
      <c r="STQ282" s="1824"/>
      <c r="STR282" s="1824"/>
      <c r="STS282" s="1824"/>
      <c r="STT282" s="1824"/>
      <c r="STU282" s="1824"/>
      <c r="STV282" s="1824"/>
      <c r="STW282" s="1824"/>
      <c r="STX282" s="1824"/>
      <c r="STY282" s="1824"/>
      <c r="STZ282" s="1824"/>
      <c r="SUA282" s="1824"/>
      <c r="SUB282" s="1824"/>
      <c r="SUC282" s="1824"/>
      <c r="SUD282" s="1824"/>
      <c r="SUE282" s="1824"/>
      <c r="SUF282" s="1824"/>
      <c r="SUG282" s="1824"/>
      <c r="SUH282" s="1824"/>
      <c r="SUI282" s="1824"/>
      <c r="SUJ282" s="1824"/>
      <c r="SUK282" s="1824"/>
      <c r="SUL282" s="1824"/>
      <c r="SUM282" s="1824"/>
      <c r="SUN282" s="1824"/>
      <c r="SUO282" s="1824"/>
      <c r="SUP282" s="1824"/>
      <c r="SUQ282" s="1824"/>
      <c r="SUR282" s="1824"/>
      <c r="SUS282" s="1824"/>
      <c r="SUT282" s="1824"/>
      <c r="SUU282" s="1824"/>
      <c r="SUV282" s="1824"/>
      <c r="SUW282" s="1824"/>
      <c r="SUX282" s="1824"/>
      <c r="SUY282" s="1824"/>
      <c r="SUZ282" s="1824"/>
      <c r="SVA282" s="1824"/>
      <c r="SVB282" s="1824"/>
      <c r="SVC282" s="1824"/>
      <c r="SVD282" s="1824"/>
      <c r="SVE282" s="1824"/>
      <c r="SVF282" s="1824"/>
      <c r="SVG282" s="1824"/>
      <c r="SVH282" s="1824"/>
      <c r="SVI282" s="1824"/>
      <c r="SVJ282" s="1824"/>
      <c r="SVK282" s="1824"/>
      <c r="SVL282" s="1824"/>
      <c r="SVM282" s="1824"/>
      <c r="SVN282" s="1824"/>
      <c r="SVO282" s="1824"/>
      <c r="SVP282" s="1824"/>
      <c r="SVQ282" s="1824"/>
      <c r="SVR282" s="1824"/>
      <c r="SVS282" s="1824"/>
      <c r="SVT282" s="1824"/>
      <c r="SVU282" s="1824"/>
      <c r="SVV282" s="1824"/>
      <c r="SVW282" s="1824"/>
      <c r="SVX282" s="1824"/>
      <c r="SVY282" s="1824"/>
      <c r="SVZ282" s="1824"/>
      <c r="SWA282" s="1824"/>
      <c r="SWB282" s="1824"/>
      <c r="SWC282" s="1824"/>
      <c r="SWD282" s="1824"/>
      <c r="SWE282" s="1824"/>
      <c r="SWF282" s="1824"/>
      <c r="SWG282" s="1824"/>
      <c r="SWH282" s="1824"/>
      <c r="SWI282" s="1824"/>
      <c r="SWJ282" s="1824"/>
      <c r="SWK282" s="1824"/>
      <c r="SWL282" s="1824"/>
      <c r="SWM282" s="1824"/>
      <c r="SWN282" s="1824"/>
      <c r="SWO282" s="1824"/>
      <c r="SWP282" s="1824"/>
      <c r="SWQ282" s="1824"/>
      <c r="SWR282" s="1824"/>
      <c r="SWS282" s="1824"/>
      <c r="SWT282" s="1824"/>
      <c r="SWU282" s="1824"/>
      <c r="SWV282" s="1824"/>
      <c r="SWW282" s="1824"/>
      <c r="SWX282" s="1824"/>
      <c r="SWY282" s="1824"/>
      <c r="SWZ282" s="1824"/>
      <c r="SXA282" s="1824"/>
      <c r="SXB282" s="1824"/>
      <c r="SXC282" s="1824"/>
      <c r="SXD282" s="1824"/>
      <c r="SXE282" s="1824"/>
      <c r="SXF282" s="1824"/>
      <c r="SXG282" s="1824"/>
      <c r="SXH282" s="1824"/>
      <c r="SXI282" s="1824"/>
      <c r="SXJ282" s="1824"/>
      <c r="SXK282" s="1824"/>
      <c r="SXL282" s="1824"/>
      <c r="SXM282" s="1824"/>
      <c r="SXN282" s="1824"/>
      <c r="SXO282" s="1824"/>
      <c r="SXP282" s="1824"/>
      <c r="SXQ282" s="1824"/>
      <c r="SXR282" s="1824"/>
      <c r="SXS282" s="1824"/>
      <c r="SXT282" s="1824"/>
      <c r="SXU282" s="1824"/>
      <c r="SXV282" s="1824"/>
      <c r="SXW282" s="1824"/>
      <c r="SXX282" s="1824"/>
      <c r="SXY282" s="1824"/>
      <c r="SXZ282" s="1824"/>
      <c r="SYA282" s="1824"/>
      <c r="SYB282" s="1824"/>
      <c r="SYC282" s="1824"/>
      <c r="SYD282" s="1824"/>
      <c r="SYE282" s="1824"/>
      <c r="SYF282" s="1824"/>
      <c r="SYG282" s="1824"/>
      <c r="SYH282" s="1824"/>
      <c r="SYI282" s="1824"/>
      <c r="SYJ282" s="1824"/>
      <c r="SYK282" s="1824"/>
      <c r="SYL282" s="1824"/>
      <c r="SYM282" s="1824"/>
      <c r="SYN282" s="1824"/>
      <c r="SYO282" s="1824"/>
      <c r="SYP282" s="1824"/>
      <c r="SYQ282" s="1824"/>
      <c r="SYR282" s="1824"/>
      <c r="SYS282" s="1824"/>
      <c r="SYT282" s="1824"/>
      <c r="SYU282" s="1824"/>
      <c r="SYV282" s="1824"/>
      <c r="SYW282" s="1824"/>
      <c r="SYX282" s="1824"/>
      <c r="SYY282" s="1824"/>
      <c r="SYZ282" s="1824"/>
      <c r="SZA282" s="1824"/>
      <c r="SZB282" s="1824"/>
      <c r="SZC282" s="1824"/>
      <c r="SZD282" s="1824"/>
      <c r="SZE282" s="1824"/>
      <c r="SZF282" s="1824"/>
      <c r="SZG282" s="1824"/>
      <c r="SZH282" s="1824"/>
      <c r="SZI282" s="1824"/>
      <c r="SZJ282" s="1824"/>
      <c r="SZK282" s="1824"/>
      <c r="SZL282" s="1824"/>
      <c r="SZM282" s="1824"/>
      <c r="SZN282" s="1824"/>
      <c r="SZO282" s="1824"/>
      <c r="SZP282" s="1824"/>
      <c r="SZQ282" s="1824"/>
      <c r="SZR282" s="1824"/>
      <c r="SZS282" s="1824"/>
      <c r="SZT282" s="1824"/>
      <c r="SZU282" s="1824"/>
      <c r="SZV282" s="1824"/>
      <c r="SZW282" s="1824"/>
      <c r="SZX282" s="1824"/>
      <c r="SZY282" s="1824"/>
      <c r="SZZ282" s="1824"/>
      <c r="TAA282" s="1824"/>
      <c r="TAB282" s="1824"/>
      <c r="TAC282" s="1824"/>
      <c r="TAD282" s="1824"/>
      <c r="TAE282" s="1824"/>
      <c r="TAF282" s="1824"/>
      <c r="TAG282" s="1824"/>
      <c r="TAH282" s="1824"/>
      <c r="TAI282" s="1824"/>
      <c r="TAJ282" s="1824"/>
      <c r="TAK282" s="1824"/>
      <c r="TAL282" s="1824"/>
      <c r="TAM282" s="1824"/>
      <c r="TAN282" s="1824"/>
      <c r="TAO282" s="1824"/>
      <c r="TAP282" s="1824"/>
      <c r="TAQ282" s="1824"/>
      <c r="TAR282" s="1824"/>
      <c r="TAS282" s="1824"/>
      <c r="TAT282" s="1824"/>
      <c r="TAU282" s="1824"/>
      <c r="TAV282" s="1824"/>
      <c r="TAW282" s="1824"/>
      <c r="TAX282" s="1824"/>
      <c r="TAY282" s="1824"/>
      <c r="TAZ282" s="1824"/>
      <c r="TBA282" s="1824"/>
      <c r="TBB282" s="1824"/>
      <c r="TBC282" s="1824"/>
      <c r="TBD282" s="1824"/>
      <c r="TBE282" s="1824"/>
      <c r="TBF282" s="1824"/>
      <c r="TBG282" s="1824"/>
      <c r="TBH282" s="1824"/>
      <c r="TBI282" s="1824"/>
      <c r="TBJ282" s="1824"/>
      <c r="TBK282" s="1824"/>
      <c r="TBL282" s="1824"/>
      <c r="TBM282" s="1824"/>
      <c r="TBN282" s="1824"/>
      <c r="TBO282" s="1824"/>
      <c r="TBP282" s="1824"/>
      <c r="TBQ282" s="1824"/>
      <c r="TBR282" s="1824"/>
      <c r="TBS282" s="1824"/>
      <c r="TBT282" s="1824"/>
      <c r="TBU282" s="1824"/>
      <c r="TBV282" s="1824"/>
      <c r="TBW282" s="1824"/>
      <c r="TBX282" s="1824"/>
      <c r="TBY282" s="1824"/>
      <c r="TBZ282" s="1824"/>
      <c r="TCA282" s="1824"/>
      <c r="TCB282" s="1824"/>
      <c r="TCC282" s="1824"/>
      <c r="TCD282" s="1824"/>
      <c r="TCE282" s="1824"/>
      <c r="TCF282" s="1824"/>
      <c r="TCG282" s="1824"/>
      <c r="TCH282" s="1824"/>
      <c r="TCI282" s="1824"/>
      <c r="TCJ282" s="1824"/>
      <c r="TCK282" s="1824"/>
      <c r="TCL282" s="1824"/>
      <c r="TCM282" s="1824"/>
      <c r="TCN282" s="1824"/>
      <c r="TCO282" s="1824"/>
      <c r="TCP282" s="1824"/>
      <c r="TCQ282" s="1824"/>
      <c r="TCR282" s="1824"/>
      <c r="TCS282" s="1824"/>
      <c r="TCT282" s="1824"/>
      <c r="TCU282" s="1824"/>
      <c r="TCV282" s="1824"/>
      <c r="TCW282" s="1824"/>
      <c r="TCX282" s="1824"/>
      <c r="TCY282" s="1824"/>
      <c r="TCZ282" s="1824"/>
      <c r="TDA282" s="1824"/>
      <c r="TDB282" s="1824"/>
      <c r="TDC282" s="1824"/>
      <c r="TDD282" s="1824"/>
      <c r="TDE282" s="1824"/>
      <c r="TDF282" s="1824"/>
      <c r="TDG282" s="1824"/>
      <c r="TDH282" s="1824"/>
      <c r="TDI282" s="1824"/>
      <c r="TDJ282" s="1824"/>
      <c r="TDK282" s="1824"/>
      <c r="TDL282" s="1824"/>
      <c r="TDM282" s="1824"/>
      <c r="TDN282" s="1824"/>
      <c r="TDO282" s="1824"/>
      <c r="TDP282" s="1824"/>
      <c r="TDQ282" s="1824"/>
      <c r="TDR282" s="1824"/>
      <c r="TDS282" s="1824"/>
      <c r="TDT282" s="1824"/>
      <c r="TDU282" s="1824"/>
      <c r="TDV282" s="1824"/>
      <c r="TDW282" s="1824"/>
      <c r="TDX282" s="1824"/>
      <c r="TDY282" s="1824"/>
      <c r="TDZ282" s="1824"/>
      <c r="TEA282" s="1824"/>
      <c r="TEB282" s="1824"/>
      <c r="TEC282" s="1824"/>
      <c r="TED282" s="1824"/>
      <c r="TEE282" s="1824"/>
      <c r="TEF282" s="1824"/>
      <c r="TEG282" s="1824"/>
      <c r="TEH282" s="1824"/>
      <c r="TEI282" s="1824"/>
      <c r="TEJ282" s="1824"/>
      <c r="TEK282" s="1824"/>
      <c r="TEL282" s="1824"/>
      <c r="TEM282" s="1824"/>
      <c r="TEN282" s="1824"/>
      <c r="TEO282" s="1824"/>
      <c r="TEP282" s="1824"/>
      <c r="TEQ282" s="1824"/>
      <c r="TER282" s="1824"/>
      <c r="TES282" s="1824"/>
      <c r="TET282" s="1824"/>
      <c r="TEU282" s="1824"/>
      <c r="TEV282" s="1824"/>
      <c r="TEW282" s="1824"/>
      <c r="TEX282" s="1824"/>
      <c r="TEY282" s="1824"/>
      <c r="TEZ282" s="1824"/>
      <c r="TFA282" s="1824"/>
      <c r="TFB282" s="1824"/>
      <c r="TFC282" s="1824"/>
      <c r="TFD282" s="1824"/>
      <c r="TFE282" s="1824"/>
      <c r="TFF282" s="1824"/>
      <c r="TFG282" s="1824"/>
      <c r="TFH282" s="1824"/>
      <c r="TFI282" s="1824"/>
      <c r="TFJ282" s="1824"/>
      <c r="TFK282" s="1824"/>
      <c r="TFL282" s="1824"/>
      <c r="TFM282" s="1824"/>
      <c r="TFN282" s="1824"/>
      <c r="TFO282" s="1824"/>
      <c r="TFP282" s="1824"/>
      <c r="TFQ282" s="1824"/>
      <c r="TFR282" s="1824"/>
      <c r="TFS282" s="1824"/>
      <c r="TFT282" s="1824"/>
      <c r="TFU282" s="1824"/>
      <c r="TFV282" s="1824"/>
      <c r="TFW282" s="1824"/>
      <c r="TFX282" s="1824"/>
      <c r="TFY282" s="1824"/>
      <c r="TFZ282" s="1824"/>
      <c r="TGA282" s="1824"/>
      <c r="TGB282" s="1824"/>
      <c r="TGC282" s="1824"/>
      <c r="TGD282" s="1824"/>
      <c r="TGE282" s="1824"/>
      <c r="TGF282" s="1824"/>
      <c r="TGG282" s="1824"/>
      <c r="TGH282" s="1824"/>
      <c r="TGI282" s="1824"/>
      <c r="TGJ282" s="1824"/>
      <c r="TGK282" s="1824"/>
      <c r="TGL282" s="1824"/>
      <c r="TGM282" s="1824"/>
      <c r="TGN282" s="1824"/>
      <c r="TGO282" s="1824"/>
      <c r="TGP282" s="1824"/>
      <c r="TGQ282" s="1824"/>
      <c r="TGR282" s="1824"/>
      <c r="TGS282" s="1824"/>
      <c r="TGT282" s="1824"/>
      <c r="TGU282" s="1824"/>
      <c r="TGV282" s="1824"/>
      <c r="TGW282" s="1824"/>
      <c r="TGX282" s="1824"/>
      <c r="TGY282" s="1824"/>
      <c r="TGZ282" s="1824"/>
      <c r="THA282" s="1824"/>
      <c r="THB282" s="1824"/>
      <c r="THC282" s="1824"/>
      <c r="THD282" s="1824"/>
      <c r="THE282" s="1824"/>
      <c r="THF282" s="1824"/>
      <c r="THG282" s="1824"/>
      <c r="THH282" s="1824"/>
      <c r="THI282" s="1824"/>
      <c r="THJ282" s="1824"/>
      <c r="THK282" s="1824"/>
      <c r="THL282" s="1824"/>
      <c r="THM282" s="1824"/>
      <c r="THN282" s="1824"/>
      <c r="THO282" s="1824"/>
      <c r="THP282" s="1824"/>
      <c r="THQ282" s="1824"/>
      <c r="THR282" s="1824"/>
      <c r="THS282" s="1824"/>
      <c r="THT282" s="1824"/>
      <c r="THU282" s="1824"/>
      <c r="THV282" s="1824"/>
      <c r="THW282" s="1824"/>
      <c r="THX282" s="1824"/>
      <c r="THY282" s="1824"/>
      <c r="THZ282" s="1824"/>
      <c r="TIA282" s="1824"/>
      <c r="TIB282" s="1824"/>
      <c r="TIC282" s="1824"/>
      <c r="TID282" s="1824"/>
      <c r="TIE282" s="1824"/>
      <c r="TIF282" s="1824"/>
      <c r="TIG282" s="1824"/>
      <c r="TIH282" s="1824"/>
      <c r="TII282" s="1824"/>
      <c r="TIJ282" s="1824"/>
      <c r="TIK282" s="1824"/>
      <c r="TIL282" s="1824"/>
      <c r="TIM282" s="1824"/>
      <c r="TIN282" s="1824"/>
      <c r="TIO282" s="1824"/>
      <c r="TIP282" s="1824"/>
      <c r="TIQ282" s="1824"/>
      <c r="TIR282" s="1824"/>
      <c r="TIS282" s="1824"/>
      <c r="TIT282" s="1824"/>
      <c r="TIU282" s="1824"/>
      <c r="TIV282" s="1824"/>
      <c r="TIW282" s="1824"/>
      <c r="TIX282" s="1824"/>
      <c r="TIY282" s="1824"/>
      <c r="TIZ282" s="1824"/>
      <c r="TJA282" s="1824"/>
      <c r="TJB282" s="1824"/>
      <c r="TJC282" s="1824"/>
      <c r="TJD282" s="1824"/>
      <c r="TJE282" s="1824"/>
      <c r="TJF282" s="1824"/>
      <c r="TJG282" s="1824"/>
      <c r="TJH282" s="1824"/>
      <c r="TJI282" s="1824"/>
      <c r="TJJ282" s="1824"/>
      <c r="TJK282" s="1824"/>
      <c r="TJL282" s="1824"/>
      <c r="TJM282" s="1824"/>
      <c r="TJN282" s="1824"/>
      <c r="TJO282" s="1824"/>
      <c r="TJP282" s="1824"/>
      <c r="TJQ282" s="1824"/>
      <c r="TJR282" s="1824"/>
      <c r="TJS282" s="1824"/>
      <c r="TJT282" s="1824"/>
      <c r="TJU282" s="1824"/>
      <c r="TJV282" s="1824"/>
      <c r="TJW282" s="1824"/>
      <c r="TJX282" s="1824"/>
      <c r="TJY282" s="1824"/>
      <c r="TJZ282" s="1824"/>
      <c r="TKA282" s="1824"/>
      <c r="TKB282" s="1824"/>
      <c r="TKC282" s="1824"/>
      <c r="TKD282" s="1824"/>
      <c r="TKE282" s="1824"/>
      <c r="TKF282" s="1824"/>
      <c r="TKG282" s="1824"/>
      <c r="TKH282" s="1824"/>
      <c r="TKI282" s="1824"/>
      <c r="TKJ282" s="1824"/>
      <c r="TKK282" s="1824"/>
      <c r="TKL282" s="1824"/>
      <c r="TKM282" s="1824"/>
      <c r="TKN282" s="1824"/>
      <c r="TKO282" s="1824"/>
      <c r="TKP282" s="1824"/>
      <c r="TKQ282" s="1824"/>
      <c r="TKR282" s="1824"/>
      <c r="TKS282" s="1824"/>
      <c r="TKT282" s="1824"/>
      <c r="TKU282" s="1824"/>
      <c r="TKV282" s="1824"/>
      <c r="TKW282" s="1824"/>
      <c r="TKX282" s="1824"/>
      <c r="TKY282" s="1824"/>
      <c r="TKZ282" s="1824"/>
      <c r="TLA282" s="1824"/>
      <c r="TLB282" s="1824"/>
      <c r="TLC282" s="1824"/>
      <c r="TLD282" s="1824"/>
      <c r="TLE282" s="1824"/>
      <c r="TLF282" s="1824"/>
      <c r="TLG282" s="1824"/>
      <c r="TLH282" s="1824"/>
      <c r="TLI282" s="1824"/>
      <c r="TLJ282" s="1824"/>
      <c r="TLK282" s="1824"/>
      <c r="TLL282" s="1824"/>
      <c r="TLM282" s="1824"/>
      <c r="TLN282" s="1824"/>
      <c r="TLO282" s="1824"/>
      <c r="TLP282" s="1824"/>
      <c r="TLQ282" s="1824"/>
      <c r="TLR282" s="1824"/>
      <c r="TLS282" s="1824"/>
      <c r="TLT282" s="1824"/>
      <c r="TLU282" s="1824"/>
      <c r="TLV282" s="1824"/>
      <c r="TLW282" s="1824"/>
      <c r="TLX282" s="1824"/>
      <c r="TLY282" s="1824"/>
      <c r="TLZ282" s="1824"/>
      <c r="TMA282" s="1824"/>
      <c r="TMB282" s="1824"/>
      <c r="TMC282" s="1824"/>
      <c r="TMD282" s="1824"/>
      <c r="TME282" s="1824"/>
      <c r="TMF282" s="1824"/>
      <c r="TMG282" s="1824"/>
      <c r="TMH282" s="1824"/>
      <c r="TMI282" s="1824"/>
      <c r="TMJ282" s="1824"/>
      <c r="TMK282" s="1824"/>
      <c r="TML282" s="1824"/>
      <c r="TMM282" s="1824"/>
      <c r="TMN282" s="1824"/>
      <c r="TMO282" s="1824"/>
      <c r="TMP282" s="1824"/>
      <c r="TMQ282" s="1824"/>
      <c r="TMR282" s="1824"/>
      <c r="TMS282" s="1824"/>
      <c r="TMT282" s="1824"/>
      <c r="TMU282" s="1824"/>
      <c r="TMV282" s="1824"/>
      <c r="TMW282" s="1824"/>
      <c r="TMX282" s="1824"/>
      <c r="TMY282" s="1824"/>
      <c r="TMZ282" s="1824"/>
      <c r="TNA282" s="1824"/>
      <c r="TNB282" s="1824"/>
      <c r="TNC282" s="1824"/>
      <c r="TND282" s="1824"/>
      <c r="TNE282" s="1824"/>
      <c r="TNF282" s="1824"/>
      <c r="TNG282" s="1824"/>
      <c r="TNH282" s="1824"/>
      <c r="TNI282" s="1824"/>
      <c r="TNJ282" s="1824"/>
      <c r="TNK282" s="1824"/>
      <c r="TNL282" s="1824"/>
      <c r="TNM282" s="1824"/>
      <c r="TNN282" s="1824"/>
      <c r="TNO282" s="1824"/>
      <c r="TNP282" s="1824"/>
      <c r="TNQ282" s="1824"/>
      <c r="TNR282" s="1824"/>
      <c r="TNS282" s="1824"/>
      <c r="TNT282" s="1824"/>
      <c r="TNU282" s="1824"/>
      <c r="TNV282" s="1824"/>
      <c r="TNW282" s="1824"/>
      <c r="TNX282" s="1824"/>
      <c r="TNY282" s="1824"/>
      <c r="TNZ282" s="1824"/>
      <c r="TOA282" s="1824"/>
      <c r="TOB282" s="1824"/>
      <c r="TOC282" s="1824"/>
      <c r="TOD282" s="1824"/>
      <c r="TOE282" s="1824"/>
      <c r="TOF282" s="1824"/>
      <c r="TOG282" s="1824"/>
      <c r="TOH282" s="1824"/>
      <c r="TOI282" s="1824"/>
      <c r="TOJ282" s="1824"/>
      <c r="TOK282" s="1824"/>
      <c r="TOL282" s="1824"/>
      <c r="TOM282" s="1824"/>
      <c r="TON282" s="1824"/>
      <c r="TOO282" s="1824"/>
      <c r="TOP282" s="1824"/>
      <c r="TOQ282" s="1824"/>
      <c r="TOR282" s="1824"/>
      <c r="TOS282" s="1824"/>
      <c r="TOT282" s="1824"/>
      <c r="TOU282" s="1824"/>
      <c r="TOV282" s="1824"/>
      <c r="TOW282" s="1824"/>
      <c r="TOX282" s="1824"/>
      <c r="TOY282" s="1824"/>
      <c r="TOZ282" s="1824"/>
      <c r="TPA282" s="1824"/>
      <c r="TPB282" s="1824"/>
      <c r="TPC282" s="1824"/>
      <c r="TPD282" s="1824"/>
      <c r="TPE282" s="1824"/>
      <c r="TPF282" s="1824"/>
      <c r="TPG282" s="1824"/>
      <c r="TPH282" s="1824"/>
      <c r="TPI282" s="1824"/>
      <c r="TPJ282" s="1824"/>
      <c r="TPK282" s="1824"/>
      <c r="TPL282" s="1824"/>
      <c r="TPM282" s="1824"/>
      <c r="TPN282" s="1824"/>
      <c r="TPO282" s="1824"/>
      <c r="TPP282" s="1824"/>
      <c r="TPQ282" s="1824"/>
      <c r="TPR282" s="1824"/>
      <c r="TPS282" s="1824"/>
      <c r="TPT282" s="1824"/>
      <c r="TPU282" s="1824"/>
      <c r="TPV282" s="1824"/>
      <c r="TPW282" s="1824"/>
      <c r="TPX282" s="1824"/>
      <c r="TPY282" s="1824"/>
      <c r="TPZ282" s="1824"/>
      <c r="TQA282" s="1824"/>
      <c r="TQB282" s="1824"/>
      <c r="TQC282" s="1824"/>
      <c r="TQD282" s="1824"/>
      <c r="TQE282" s="1824"/>
      <c r="TQF282" s="1824"/>
      <c r="TQG282" s="1824"/>
      <c r="TQH282" s="1824"/>
      <c r="TQI282" s="1824"/>
      <c r="TQJ282" s="1824"/>
      <c r="TQK282" s="1824"/>
      <c r="TQL282" s="1824"/>
      <c r="TQM282" s="1824"/>
      <c r="TQN282" s="1824"/>
      <c r="TQO282" s="1824"/>
      <c r="TQP282" s="1824"/>
      <c r="TQQ282" s="1824"/>
      <c r="TQR282" s="1824"/>
      <c r="TQS282" s="1824"/>
      <c r="TQT282" s="1824"/>
      <c r="TQU282" s="1824"/>
      <c r="TQV282" s="1824"/>
      <c r="TQW282" s="1824"/>
      <c r="TQX282" s="1824"/>
      <c r="TQY282" s="1824"/>
      <c r="TQZ282" s="1824"/>
      <c r="TRA282" s="1824"/>
      <c r="TRB282" s="1824"/>
      <c r="TRC282" s="1824"/>
      <c r="TRD282" s="1824"/>
      <c r="TRE282" s="1824"/>
      <c r="TRF282" s="1824"/>
      <c r="TRG282" s="1824"/>
      <c r="TRH282" s="1824"/>
      <c r="TRI282" s="1824"/>
      <c r="TRJ282" s="1824"/>
      <c r="TRK282" s="1824"/>
      <c r="TRL282" s="1824"/>
      <c r="TRM282" s="1824"/>
      <c r="TRN282" s="1824"/>
      <c r="TRO282" s="1824"/>
      <c r="TRP282" s="1824"/>
      <c r="TRQ282" s="1824"/>
      <c r="TRR282" s="1824"/>
      <c r="TRS282" s="1824"/>
      <c r="TRT282" s="1824"/>
      <c r="TRU282" s="1824"/>
      <c r="TRV282" s="1824"/>
      <c r="TRW282" s="1824"/>
      <c r="TRX282" s="1824"/>
      <c r="TRY282" s="1824"/>
      <c r="TRZ282" s="1824"/>
      <c r="TSA282" s="1824"/>
      <c r="TSB282" s="1824"/>
      <c r="TSC282" s="1824"/>
      <c r="TSD282" s="1824"/>
      <c r="TSE282" s="1824"/>
      <c r="TSF282" s="1824"/>
      <c r="TSG282" s="1824"/>
      <c r="TSH282" s="1824"/>
      <c r="TSI282" s="1824"/>
      <c r="TSJ282" s="1824"/>
      <c r="TSK282" s="1824"/>
      <c r="TSL282" s="1824"/>
      <c r="TSM282" s="1824"/>
      <c r="TSN282" s="1824"/>
      <c r="TSO282" s="1824"/>
      <c r="TSP282" s="1824"/>
      <c r="TSQ282" s="1824"/>
      <c r="TSR282" s="1824"/>
      <c r="TSS282" s="1824"/>
      <c r="TST282" s="1824"/>
      <c r="TSU282" s="1824"/>
      <c r="TSV282" s="1824"/>
      <c r="TSW282" s="1824"/>
      <c r="TSX282" s="1824"/>
      <c r="TSY282" s="1824"/>
      <c r="TSZ282" s="1824"/>
      <c r="TTA282" s="1824"/>
      <c r="TTB282" s="1824"/>
      <c r="TTC282" s="1824"/>
      <c r="TTD282" s="1824"/>
      <c r="TTE282" s="1824"/>
      <c r="TTF282" s="1824"/>
      <c r="TTG282" s="1824"/>
      <c r="TTH282" s="1824"/>
      <c r="TTI282" s="1824"/>
      <c r="TTJ282" s="1824"/>
      <c r="TTK282" s="1824"/>
      <c r="TTL282" s="1824"/>
      <c r="TTM282" s="1824"/>
      <c r="TTN282" s="1824"/>
      <c r="TTO282" s="1824"/>
      <c r="TTP282" s="1824"/>
      <c r="TTQ282" s="1824"/>
      <c r="TTR282" s="1824"/>
      <c r="TTS282" s="1824"/>
      <c r="TTT282" s="1824"/>
      <c r="TTU282" s="1824"/>
      <c r="TTV282" s="1824"/>
      <c r="TTW282" s="1824"/>
      <c r="TTX282" s="1824"/>
      <c r="TTY282" s="1824"/>
      <c r="TTZ282" s="1824"/>
      <c r="TUA282" s="1824"/>
      <c r="TUB282" s="1824"/>
      <c r="TUC282" s="1824"/>
      <c r="TUD282" s="1824"/>
      <c r="TUE282" s="1824"/>
      <c r="TUF282" s="1824"/>
      <c r="TUG282" s="1824"/>
      <c r="TUH282" s="1824"/>
      <c r="TUI282" s="1824"/>
      <c r="TUJ282" s="1824"/>
      <c r="TUK282" s="1824"/>
      <c r="TUL282" s="1824"/>
      <c r="TUM282" s="1824"/>
      <c r="TUN282" s="1824"/>
      <c r="TUO282" s="1824"/>
      <c r="TUP282" s="1824"/>
      <c r="TUQ282" s="1824"/>
      <c r="TUR282" s="1824"/>
      <c r="TUS282" s="1824"/>
      <c r="TUT282" s="1824"/>
      <c r="TUU282" s="1824"/>
      <c r="TUV282" s="1824"/>
      <c r="TUW282" s="1824"/>
      <c r="TUX282" s="1824"/>
      <c r="TUY282" s="1824"/>
      <c r="TUZ282" s="1824"/>
      <c r="TVA282" s="1824"/>
      <c r="TVB282" s="1824"/>
      <c r="TVC282" s="1824"/>
      <c r="TVD282" s="1824"/>
      <c r="TVE282" s="1824"/>
      <c r="TVF282" s="1824"/>
      <c r="TVG282" s="1824"/>
      <c r="TVH282" s="1824"/>
      <c r="TVI282" s="1824"/>
      <c r="TVJ282" s="1824"/>
      <c r="TVK282" s="1824"/>
      <c r="TVL282" s="1824"/>
      <c r="TVM282" s="1824"/>
      <c r="TVN282" s="1824"/>
      <c r="TVO282" s="1824"/>
      <c r="TVP282" s="1824"/>
      <c r="TVQ282" s="1824"/>
      <c r="TVR282" s="1824"/>
      <c r="TVS282" s="1824"/>
      <c r="TVT282" s="1824"/>
      <c r="TVU282" s="1824"/>
      <c r="TVV282" s="1824"/>
      <c r="TVW282" s="1824"/>
      <c r="TVX282" s="1824"/>
      <c r="TVY282" s="1824"/>
      <c r="TVZ282" s="1824"/>
      <c r="TWA282" s="1824"/>
      <c r="TWB282" s="1824"/>
      <c r="TWC282" s="1824"/>
      <c r="TWD282" s="1824"/>
      <c r="TWE282" s="1824"/>
      <c r="TWF282" s="1824"/>
      <c r="TWG282" s="1824"/>
      <c r="TWH282" s="1824"/>
      <c r="TWI282" s="1824"/>
      <c r="TWJ282" s="1824"/>
      <c r="TWK282" s="1824"/>
      <c r="TWL282" s="1824"/>
      <c r="TWM282" s="1824"/>
      <c r="TWN282" s="1824"/>
      <c r="TWO282" s="1824"/>
      <c r="TWP282" s="1824"/>
      <c r="TWQ282" s="1824"/>
      <c r="TWR282" s="1824"/>
      <c r="TWS282" s="1824"/>
      <c r="TWT282" s="1824"/>
      <c r="TWU282" s="1824"/>
      <c r="TWV282" s="1824"/>
      <c r="TWW282" s="1824"/>
      <c r="TWX282" s="1824"/>
      <c r="TWY282" s="1824"/>
      <c r="TWZ282" s="1824"/>
      <c r="TXA282" s="1824"/>
      <c r="TXB282" s="1824"/>
      <c r="TXC282" s="1824"/>
      <c r="TXD282" s="1824"/>
      <c r="TXE282" s="1824"/>
      <c r="TXF282" s="1824"/>
      <c r="TXG282" s="1824"/>
      <c r="TXH282" s="1824"/>
      <c r="TXI282" s="1824"/>
      <c r="TXJ282" s="1824"/>
      <c r="TXK282" s="1824"/>
      <c r="TXL282" s="1824"/>
      <c r="TXM282" s="1824"/>
      <c r="TXN282" s="1824"/>
      <c r="TXO282" s="1824"/>
      <c r="TXP282" s="1824"/>
      <c r="TXQ282" s="1824"/>
      <c r="TXR282" s="1824"/>
      <c r="TXS282" s="1824"/>
      <c r="TXT282" s="1824"/>
      <c r="TXU282" s="1824"/>
      <c r="TXV282" s="1824"/>
      <c r="TXW282" s="1824"/>
      <c r="TXX282" s="1824"/>
      <c r="TXY282" s="1824"/>
      <c r="TXZ282" s="1824"/>
      <c r="TYA282" s="1824"/>
      <c r="TYB282" s="1824"/>
      <c r="TYC282" s="1824"/>
      <c r="TYD282" s="1824"/>
      <c r="TYE282" s="1824"/>
      <c r="TYF282" s="1824"/>
      <c r="TYG282" s="1824"/>
      <c r="TYH282" s="1824"/>
      <c r="TYI282" s="1824"/>
      <c r="TYJ282" s="1824"/>
      <c r="TYK282" s="1824"/>
      <c r="TYL282" s="1824"/>
      <c r="TYM282" s="1824"/>
      <c r="TYN282" s="1824"/>
      <c r="TYO282" s="1824"/>
      <c r="TYP282" s="1824"/>
      <c r="TYQ282" s="1824"/>
      <c r="TYR282" s="1824"/>
      <c r="TYS282" s="1824"/>
      <c r="TYT282" s="1824"/>
      <c r="TYU282" s="1824"/>
      <c r="TYV282" s="1824"/>
      <c r="TYW282" s="1824"/>
      <c r="TYX282" s="1824"/>
      <c r="TYY282" s="1824"/>
      <c r="TYZ282" s="1824"/>
      <c r="TZA282" s="1824"/>
      <c r="TZB282" s="1824"/>
      <c r="TZC282" s="1824"/>
      <c r="TZD282" s="1824"/>
      <c r="TZE282" s="1824"/>
      <c r="TZF282" s="1824"/>
      <c r="TZG282" s="1824"/>
      <c r="TZH282" s="1824"/>
      <c r="TZI282" s="1824"/>
      <c r="TZJ282" s="1824"/>
      <c r="TZK282" s="1824"/>
      <c r="TZL282" s="1824"/>
      <c r="TZM282" s="1824"/>
      <c r="TZN282" s="1824"/>
      <c r="TZO282" s="1824"/>
      <c r="TZP282" s="1824"/>
      <c r="TZQ282" s="1824"/>
      <c r="TZR282" s="1824"/>
      <c r="TZS282" s="1824"/>
      <c r="TZT282" s="1824"/>
      <c r="TZU282" s="1824"/>
      <c r="TZV282" s="1824"/>
      <c r="TZW282" s="1824"/>
      <c r="TZX282" s="1824"/>
      <c r="TZY282" s="1824"/>
      <c r="TZZ282" s="1824"/>
      <c r="UAA282" s="1824"/>
      <c r="UAB282" s="1824"/>
      <c r="UAC282" s="1824"/>
      <c r="UAD282" s="1824"/>
      <c r="UAE282" s="1824"/>
      <c r="UAF282" s="1824"/>
      <c r="UAG282" s="1824"/>
      <c r="UAH282" s="1824"/>
      <c r="UAI282" s="1824"/>
      <c r="UAJ282" s="1824"/>
      <c r="UAK282" s="1824"/>
      <c r="UAL282" s="1824"/>
      <c r="UAM282" s="1824"/>
      <c r="UAN282" s="1824"/>
      <c r="UAO282" s="1824"/>
      <c r="UAP282" s="1824"/>
      <c r="UAQ282" s="1824"/>
      <c r="UAR282" s="1824"/>
      <c r="UAS282" s="1824"/>
      <c r="UAT282" s="1824"/>
      <c r="UAU282" s="1824"/>
      <c r="UAV282" s="1824"/>
      <c r="UAW282" s="1824"/>
      <c r="UAX282" s="1824"/>
      <c r="UAY282" s="1824"/>
      <c r="UAZ282" s="1824"/>
      <c r="UBA282" s="1824"/>
      <c r="UBB282" s="1824"/>
      <c r="UBC282" s="1824"/>
      <c r="UBD282" s="1824"/>
      <c r="UBE282" s="1824"/>
      <c r="UBF282" s="1824"/>
      <c r="UBG282" s="1824"/>
      <c r="UBH282" s="1824"/>
      <c r="UBI282" s="1824"/>
      <c r="UBJ282" s="1824"/>
      <c r="UBK282" s="1824"/>
      <c r="UBL282" s="1824"/>
      <c r="UBM282" s="1824"/>
      <c r="UBN282" s="1824"/>
      <c r="UBO282" s="1824"/>
      <c r="UBP282" s="1824"/>
      <c r="UBQ282" s="1824"/>
      <c r="UBR282" s="1824"/>
      <c r="UBS282" s="1824"/>
      <c r="UBT282" s="1824"/>
      <c r="UBU282" s="1824"/>
      <c r="UBV282" s="1824"/>
      <c r="UBW282" s="1824"/>
      <c r="UBX282" s="1824"/>
      <c r="UBY282" s="1824"/>
      <c r="UBZ282" s="1824"/>
      <c r="UCA282" s="1824"/>
      <c r="UCB282" s="1824"/>
      <c r="UCC282" s="1824"/>
      <c r="UCD282" s="1824"/>
      <c r="UCE282" s="1824"/>
      <c r="UCF282" s="1824"/>
      <c r="UCG282" s="1824"/>
      <c r="UCH282" s="1824"/>
      <c r="UCI282" s="1824"/>
      <c r="UCJ282" s="1824"/>
      <c r="UCK282" s="1824"/>
      <c r="UCL282" s="1824"/>
      <c r="UCM282" s="1824"/>
      <c r="UCN282" s="1824"/>
      <c r="UCO282" s="1824"/>
      <c r="UCP282" s="1824"/>
      <c r="UCQ282" s="1824"/>
      <c r="UCR282" s="1824"/>
      <c r="UCS282" s="1824"/>
      <c r="UCT282" s="1824"/>
      <c r="UCU282" s="1824"/>
      <c r="UCV282" s="1824"/>
      <c r="UCW282" s="1824"/>
      <c r="UCX282" s="1824"/>
      <c r="UCY282" s="1824"/>
      <c r="UCZ282" s="1824"/>
      <c r="UDA282" s="1824"/>
      <c r="UDB282" s="1824"/>
      <c r="UDC282" s="1824"/>
      <c r="UDD282" s="1824"/>
      <c r="UDE282" s="1824"/>
      <c r="UDF282" s="1824"/>
      <c r="UDG282" s="1824"/>
      <c r="UDH282" s="1824"/>
      <c r="UDI282" s="1824"/>
      <c r="UDJ282" s="1824"/>
      <c r="UDK282" s="1824"/>
      <c r="UDL282" s="1824"/>
      <c r="UDM282" s="1824"/>
      <c r="UDN282" s="1824"/>
      <c r="UDO282" s="1824"/>
      <c r="UDP282" s="1824"/>
      <c r="UDQ282" s="1824"/>
      <c r="UDR282" s="1824"/>
      <c r="UDS282" s="1824"/>
      <c r="UDT282" s="1824"/>
      <c r="UDU282" s="1824"/>
      <c r="UDV282" s="1824"/>
      <c r="UDW282" s="1824"/>
      <c r="UDX282" s="1824"/>
      <c r="UDY282" s="1824"/>
      <c r="UDZ282" s="1824"/>
      <c r="UEA282" s="1824"/>
      <c r="UEB282" s="1824"/>
      <c r="UEC282" s="1824"/>
      <c r="UED282" s="1824"/>
      <c r="UEE282" s="1824"/>
      <c r="UEF282" s="1824"/>
      <c r="UEG282" s="1824"/>
      <c r="UEH282" s="1824"/>
      <c r="UEI282" s="1824"/>
      <c r="UEJ282" s="1824"/>
      <c r="UEK282" s="1824"/>
      <c r="UEL282" s="1824"/>
      <c r="UEM282" s="1824"/>
      <c r="UEN282" s="1824"/>
      <c r="UEO282" s="1824"/>
      <c r="UEP282" s="1824"/>
      <c r="UEQ282" s="1824"/>
      <c r="UER282" s="1824"/>
      <c r="UES282" s="1824"/>
      <c r="UET282" s="1824"/>
      <c r="UEU282" s="1824"/>
      <c r="UEV282" s="1824"/>
      <c r="UEW282" s="1824"/>
      <c r="UEX282" s="1824"/>
      <c r="UEY282" s="1824"/>
      <c r="UEZ282" s="1824"/>
      <c r="UFA282" s="1824"/>
      <c r="UFB282" s="1824"/>
      <c r="UFC282" s="1824"/>
      <c r="UFD282" s="1824"/>
      <c r="UFE282" s="1824"/>
      <c r="UFF282" s="1824"/>
      <c r="UFG282" s="1824"/>
      <c r="UFH282" s="1824"/>
      <c r="UFI282" s="1824"/>
      <c r="UFJ282" s="1824"/>
      <c r="UFK282" s="1824"/>
      <c r="UFL282" s="1824"/>
      <c r="UFM282" s="1824"/>
      <c r="UFN282" s="1824"/>
      <c r="UFO282" s="1824"/>
      <c r="UFP282" s="1824"/>
      <c r="UFQ282" s="1824"/>
      <c r="UFR282" s="1824"/>
      <c r="UFS282" s="1824"/>
      <c r="UFT282" s="1824"/>
      <c r="UFU282" s="1824"/>
      <c r="UFV282" s="1824"/>
      <c r="UFW282" s="1824"/>
      <c r="UFX282" s="1824"/>
      <c r="UFY282" s="1824"/>
      <c r="UFZ282" s="1824"/>
      <c r="UGA282" s="1824"/>
      <c r="UGB282" s="1824"/>
      <c r="UGC282" s="1824"/>
      <c r="UGD282" s="1824"/>
      <c r="UGE282" s="1824"/>
      <c r="UGF282" s="1824"/>
      <c r="UGG282" s="1824"/>
      <c r="UGH282" s="1824"/>
      <c r="UGI282" s="1824"/>
      <c r="UGJ282" s="1824"/>
      <c r="UGK282" s="1824"/>
      <c r="UGL282" s="1824"/>
      <c r="UGM282" s="1824"/>
      <c r="UGN282" s="1824"/>
      <c r="UGO282" s="1824"/>
      <c r="UGP282" s="1824"/>
      <c r="UGQ282" s="1824"/>
      <c r="UGR282" s="1824"/>
      <c r="UGS282" s="1824"/>
      <c r="UGT282" s="1824"/>
      <c r="UGU282" s="1824"/>
      <c r="UGV282" s="1824"/>
      <c r="UGW282" s="1824"/>
      <c r="UGX282" s="1824"/>
      <c r="UGY282" s="1824"/>
      <c r="UGZ282" s="1824"/>
      <c r="UHA282" s="1824"/>
      <c r="UHB282" s="1824"/>
      <c r="UHC282" s="1824"/>
      <c r="UHD282" s="1824"/>
      <c r="UHE282" s="1824"/>
      <c r="UHF282" s="1824"/>
      <c r="UHG282" s="1824"/>
      <c r="UHH282" s="1824"/>
      <c r="UHI282" s="1824"/>
      <c r="UHJ282" s="1824"/>
      <c r="UHK282" s="1824"/>
      <c r="UHL282" s="1824"/>
      <c r="UHM282" s="1824"/>
      <c r="UHN282" s="1824"/>
      <c r="UHO282" s="1824"/>
      <c r="UHP282" s="1824"/>
      <c r="UHQ282" s="1824"/>
      <c r="UHR282" s="1824"/>
      <c r="UHS282" s="1824"/>
      <c r="UHT282" s="1824"/>
      <c r="UHU282" s="1824"/>
      <c r="UHV282" s="1824"/>
      <c r="UHW282" s="1824"/>
      <c r="UHX282" s="1824"/>
      <c r="UHY282" s="1824"/>
      <c r="UHZ282" s="1824"/>
      <c r="UIA282" s="1824"/>
      <c r="UIB282" s="1824"/>
      <c r="UIC282" s="1824"/>
      <c r="UID282" s="1824"/>
      <c r="UIE282" s="1824"/>
      <c r="UIF282" s="1824"/>
      <c r="UIG282" s="1824"/>
      <c r="UIH282" s="1824"/>
      <c r="UII282" s="1824"/>
      <c r="UIJ282" s="1824"/>
      <c r="UIK282" s="1824"/>
      <c r="UIL282" s="1824"/>
      <c r="UIM282" s="1824"/>
      <c r="UIN282" s="1824"/>
      <c r="UIO282" s="1824"/>
      <c r="UIP282" s="1824"/>
      <c r="UIQ282" s="1824"/>
      <c r="UIR282" s="1824"/>
      <c r="UIS282" s="1824"/>
      <c r="UIT282" s="1824"/>
      <c r="UIU282" s="1824"/>
      <c r="UIV282" s="1824"/>
      <c r="UIW282" s="1824"/>
      <c r="UIX282" s="1824"/>
      <c r="UIY282" s="1824"/>
      <c r="UIZ282" s="1824"/>
      <c r="UJA282" s="1824"/>
      <c r="UJB282" s="1824"/>
      <c r="UJC282" s="1824"/>
      <c r="UJD282" s="1824"/>
      <c r="UJE282" s="1824"/>
      <c r="UJF282" s="1824"/>
      <c r="UJG282" s="1824"/>
      <c r="UJH282" s="1824"/>
      <c r="UJI282" s="1824"/>
      <c r="UJJ282" s="1824"/>
      <c r="UJK282" s="1824"/>
      <c r="UJL282" s="1824"/>
      <c r="UJM282" s="1824"/>
      <c r="UJN282" s="1824"/>
      <c r="UJO282" s="1824"/>
      <c r="UJP282" s="1824"/>
      <c r="UJQ282" s="1824"/>
      <c r="UJR282" s="1824"/>
      <c r="UJS282" s="1824"/>
      <c r="UJT282" s="1824"/>
      <c r="UJU282" s="1824"/>
      <c r="UJV282" s="1824"/>
      <c r="UJW282" s="1824"/>
      <c r="UJX282" s="1824"/>
      <c r="UJY282" s="1824"/>
      <c r="UJZ282" s="1824"/>
      <c r="UKA282" s="1824"/>
      <c r="UKB282" s="1824"/>
      <c r="UKC282" s="1824"/>
      <c r="UKD282" s="1824"/>
      <c r="UKE282" s="1824"/>
      <c r="UKF282" s="1824"/>
      <c r="UKG282" s="1824"/>
      <c r="UKH282" s="1824"/>
      <c r="UKI282" s="1824"/>
      <c r="UKJ282" s="1824"/>
      <c r="UKK282" s="1824"/>
      <c r="UKL282" s="1824"/>
      <c r="UKM282" s="1824"/>
      <c r="UKN282" s="1824"/>
      <c r="UKO282" s="1824"/>
      <c r="UKP282" s="1824"/>
      <c r="UKQ282" s="1824"/>
      <c r="UKR282" s="1824"/>
      <c r="UKS282" s="1824"/>
      <c r="UKT282" s="1824"/>
      <c r="UKU282" s="1824"/>
      <c r="UKV282" s="1824"/>
      <c r="UKW282" s="1824"/>
      <c r="UKX282" s="1824"/>
      <c r="UKY282" s="1824"/>
      <c r="UKZ282" s="1824"/>
      <c r="ULA282" s="1824"/>
      <c r="ULB282" s="1824"/>
      <c r="ULC282" s="1824"/>
      <c r="ULD282" s="1824"/>
      <c r="ULE282" s="1824"/>
      <c r="ULF282" s="1824"/>
      <c r="ULG282" s="1824"/>
      <c r="ULH282" s="1824"/>
      <c r="ULI282" s="1824"/>
      <c r="ULJ282" s="1824"/>
      <c r="ULK282" s="1824"/>
      <c r="ULL282" s="1824"/>
      <c r="ULM282" s="1824"/>
      <c r="ULN282" s="1824"/>
      <c r="ULO282" s="1824"/>
      <c r="ULP282" s="1824"/>
      <c r="ULQ282" s="1824"/>
      <c r="ULR282" s="1824"/>
      <c r="ULS282" s="1824"/>
      <c r="ULT282" s="1824"/>
      <c r="ULU282" s="1824"/>
      <c r="ULV282" s="1824"/>
      <c r="ULW282" s="1824"/>
      <c r="ULX282" s="1824"/>
      <c r="ULY282" s="1824"/>
      <c r="ULZ282" s="1824"/>
      <c r="UMA282" s="1824"/>
      <c r="UMB282" s="1824"/>
      <c r="UMC282" s="1824"/>
      <c r="UMD282" s="1824"/>
      <c r="UME282" s="1824"/>
      <c r="UMF282" s="1824"/>
      <c r="UMG282" s="1824"/>
      <c r="UMH282" s="1824"/>
      <c r="UMI282" s="1824"/>
      <c r="UMJ282" s="1824"/>
      <c r="UMK282" s="1824"/>
      <c r="UML282" s="1824"/>
      <c r="UMM282" s="1824"/>
      <c r="UMN282" s="1824"/>
      <c r="UMO282" s="1824"/>
      <c r="UMP282" s="1824"/>
      <c r="UMQ282" s="1824"/>
      <c r="UMR282" s="1824"/>
      <c r="UMS282" s="1824"/>
      <c r="UMT282" s="1824"/>
      <c r="UMU282" s="1824"/>
      <c r="UMV282" s="1824"/>
      <c r="UMW282" s="1824"/>
      <c r="UMX282" s="1824"/>
      <c r="UMY282" s="1824"/>
      <c r="UMZ282" s="1824"/>
      <c r="UNA282" s="1824"/>
      <c r="UNB282" s="1824"/>
      <c r="UNC282" s="1824"/>
      <c r="UND282" s="1824"/>
      <c r="UNE282" s="1824"/>
      <c r="UNF282" s="1824"/>
      <c r="UNG282" s="1824"/>
      <c r="UNH282" s="1824"/>
      <c r="UNI282" s="1824"/>
      <c r="UNJ282" s="1824"/>
      <c r="UNK282" s="1824"/>
      <c r="UNL282" s="1824"/>
      <c r="UNM282" s="1824"/>
      <c r="UNN282" s="1824"/>
      <c r="UNO282" s="1824"/>
      <c r="UNP282" s="1824"/>
      <c r="UNQ282" s="1824"/>
      <c r="UNR282" s="1824"/>
      <c r="UNS282" s="1824"/>
      <c r="UNT282" s="1824"/>
      <c r="UNU282" s="1824"/>
      <c r="UNV282" s="1824"/>
      <c r="UNW282" s="1824"/>
      <c r="UNX282" s="1824"/>
      <c r="UNY282" s="1824"/>
      <c r="UNZ282" s="1824"/>
      <c r="UOA282" s="1824"/>
      <c r="UOB282" s="1824"/>
      <c r="UOC282" s="1824"/>
      <c r="UOD282" s="1824"/>
      <c r="UOE282" s="1824"/>
      <c r="UOF282" s="1824"/>
      <c r="UOG282" s="1824"/>
      <c r="UOH282" s="1824"/>
      <c r="UOI282" s="1824"/>
      <c r="UOJ282" s="1824"/>
      <c r="UOK282" s="1824"/>
      <c r="UOL282" s="1824"/>
      <c r="UOM282" s="1824"/>
      <c r="UON282" s="1824"/>
      <c r="UOO282" s="1824"/>
      <c r="UOP282" s="1824"/>
      <c r="UOQ282" s="1824"/>
      <c r="UOR282" s="1824"/>
      <c r="UOS282" s="1824"/>
      <c r="UOT282" s="1824"/>
      <c r="UOU282" s="1824"/>
      <c r="UOV282" s="1824"/>
      <c r="UOW282" s="1824"/>
      <c r="UOX282" s="1824"/>
      <c r="UOY282" s="1824"/>
      <c r="UOZ282" s="1824"/>
      <c r="UPA282" s="1824"/>
      <c r="UPB282" s="1824"/>
      <c r="UPC282" s="1824"/>
      <c r="UPD282" s="1824"/>
      <c r="UPE282" s="1824"/>
      <c r="UPF282" s="1824"/>
      <c r="UPG282" s="1824"/>
      <c r="UPH282" s="1824"/>
      <c r="UPI282" s="1824"/>
      <c r="UPJ282" s="1824"/>
      <c r="UPK282" s="1824"/>
      <c r="UPL282" s="1824"/>
      <c r="UPM282" s="1824"/>
      <c r="UPN282" s="1824"/>
      <c r="UPO282" s="1824"/>
      <c r="UPP282" s="1824"/>
      <c r="UPQ282" s="1824"/>
      <c r="UPR282" s="1824"/>
      <c r="UPS282" s="1824"/>
      <c r="UPT282" s="1824"/>
      <c r="UPU282" s="1824"/>
      <c r="UPV282" s="1824"/>
      <c r="UPW282" s="1824"/>
      <c r="UPX282" s="1824"/>
      <c r="UPY282" s="1824"/>
      <c r="UPZ282" s="1824"/>
      <c r="UQA282" s="1824"/>
      <c r="UQB282" s="1824"/>
      <c r="UQC282" s="1824"/>
      <c r="UQD282" s="1824"/>
      <c r="UQE282" s="1824"/>
      <c r="UQF282" s="1824"/>
      <c r="UQG282" s="1824"/>
      <c r="UQH282" s="1824"/>
      <c r="UQI282" s="1824"/>
      <c r="UQJ282" s="1824"/>
      <c r="UQK282" s="1824"/>
      <c r="UQL282" s="1824"/>
      <c r="UQM282" s="1824"/>
      <c r="UQN282" s="1824"/>
      <c r="UQO282" s="1824"/>
      <c r="UQP282" s="1824"/>
      <c r="UQQ282" s="1824"/>
      <c r="UQR282" s="1824"/>
      <c r="UQS282" s="1824"/>
      <c r="UQT282" s="1824"/>
      <c r="UQU282" s="1824"/>
      <c r="UQV282" s="1824"/>
      <c r="UQW282" s="1824"/>
      <c r="UQX282" s="1824"/>
      <c r="UQY282" s="1824"/>
      <c r="UQZ282" s="1824"/>
      <c r="URA282" s="1824"/>
      <c r="URB282" s="1824"/>
      <c r="URC282" s="1824"/>
      <c r="URD282" s="1824"/>
      <c r="URE282" s="1824"/>
      <c r="URF282" s="1824"/>
      <c r="URG282" s="1824"/>
      <c r="URH282" s="1824"/>
      <c r="URI282" s="1824"/>
      <c r="URJ282" s="1824"/>
      <c r="URK282" s="1824"/>
      <c r="URL282" s="1824"/>
      <c r="URM282" s="1824"/>
      <c r="URN282" s="1824"/>
      <c r="URO282" s="1824"/>
      <c r="URP282" s="1824"/>
      <c r="URQ282" s="1824"/>
      <c r="URR282" s="1824"/>
      <c r="URS282" s="1824"/>
      <c r="URT282" s="1824"/>
      <c r="URU282" s="1824"/>
      <c r="URV282" s="1824"/>
      <c r="URW282" s="1824"/>
      <c r="URX282" s="1824"/>
      <c r="URY282" s="1824"/>
      <c r="URZ282" s="1824"/>
      <c r="USA282" s="1824"/>
      <c r="USB282" s="1824"/>
      <c r="USC282" s="1824"/>
      <c r="USD282" s="1824"/>
      <c r="USE282" s="1824"/>
      <c r="USF282" s="1824"/>
      <c r="USG282" s="1824"/>
      <c r="USH282" s="1824"/>
      <c r="USI282" s="1824"/>
      <c r="USJ282" s="1824"/>
      <c r="USK282" s="1824"/>
      <c r="USL282" s="1824"/>
      <c r="USM282" s="1824"/>
      <c r="USN282" s="1824"/>
      <c r="USO282" s="1824"/>
      <c r="USP282" s="1824"/>
      <c r="USQ282" s="1824"/>
      <c r="USR282" s="1824"/>
      <c r="USS282" s="1824"/>
      <c r="UST282" s="1824"/>
      <c r="USU282" s="1824"/>
      <c r="USV282" s="1824"/>
      <c r="USW282" s="1824"/>
      <c r="USX282" s="1824"/>
      <c r="USY282" s="1824"/>
      <c r="USZ282" s="1824"/>
      <c r="UTA282" s="1824"/>
      <c r="UTB282" s="1824"/>
      <c r="UTC282" s="1824"/>
      <c r="UTD282" s="1824"/>
      <c r="UTE282" s="1824"/>
      <c r="UTF282" s="1824"/>
      <c r="UTG282" s="1824"/>
      <c r="UTH282" s="1824"/>
      <c r="UTI282" s="1824"/>
      <c r="UTJ282" s="1824"/>
      <c r="UTK282" s="1824"/>
      <c r="UTL282" s="1824"/>
      <c r="UTM282" s="1824"/>
      <c r="UTN282" s="1824"/>
      <c r="UTO282" s="1824"/>
      <c r="UTP282" s="1824"/>
      <c r="UTQ282" s="1824"/>
      <c r="UTR282" s="1824"/>
      <c r="UTS282" s="1824"/>
      <c r="UTT282" s="1824"/>
      <c r="UTU282" s="1824"/>
      <c r="UTV282" s="1824"/>
      <c r="UTW282" s="1824"/>
      <c r="UTX282" s="1824"/>
      <c r="UTY282" s="1824"/>
      <c r="UTZ282" s="1824"/>
      <c r="UUA282" s="1824"/>
      <c r="UUB282" s="1824"/>
      <c r="UUC282" s="1824"/>
      <c r="UUD282" s="1824"/>
      <c r="UUE282" s="1824"/>
      <c r="UUF282" s="1824"/>
      <c r="UUG282" s="1824"/>
      <c r="UUH282" s="1824"/>
      <c r="UUI282" s="1824"/>
      <c r="UUJ282" s="1824"/>
      <c r="UUK282" s="1824"/>
      <c r="UUL282" s="1824"/>
      <c r="UUM282" s="1824"/>
      <c r="UUN282" s="1824"/>
      <c r="UUO282" s="1824"/>
      <c r="UUP282" s="1824"/>
      <c r="UUQ282" s="1824"/>
      <c r="UUR282" s="1824"/>
      <c r="UUS282" s="1824"/>
      <c r="UUT282" s="1824"/>
      <c r="UUU282" s="1824"/>
      <c r="UUV282" s="1824"/>
      <c r="UUW282" s="1824"/>
      <c r="UUX282" s="1824"/>
      <c r="UUY282" s="1824"/>
      <c r="UUZ282" s="1824"/>
      <c r="UVA282" s="1824"/>
      <c r="UVB282" s="1824"/>
      <c r="UVC282" s="1824"/>
      <c r="UVD282" s="1824"/>
      <c r="UVE282" s="1824"/>
      <c r="UVF282" s="1824"/>
      <c r="UVG282" s="1824"/>
      <c r="UVH282" s="1824"/>
      <c r="UVI282" s="1824"/>
      <c r="UVJ282" s="1824"/>
      <c r="UVK282" s="1824"/>
      <c r="UVL282" s="1824"/>
      <c r="UVM282" s="1824"/>
      <c r="UVN282" s="1824"/>
      <c r="UVO282" s="1824"/>
      <c r="UVP282" s="1824"/>
      <c r="UVQ282" s="1824"/>
      <c r="UVR282" s="1824"/>
      <c r="UVS282" s="1824"/>
      <c r="UVT282" s="1824"/>
      <c r="UVU282" s="1824"/>
      <c r="UVV282" s="1824"/>
      <c r="UVW282" s="1824"/>
      <c r="UVX282" s="1824"/>
      <c r="UVY282" s="1824"/>
      <c r="UVZ282" s="1824"/>
      <c r="UWA282" s="1824"/>
      <c r="UWB282" s="1824"/>
      <c r="UWC282" s="1824"/>
      <c r="UWD282" s="1824"/>
      <c r="UWE282" s="1824"/>
      <c r="UWF282" s="1824"/>
      <c r="UWG282" s="1824"/>
      <c r="UWH282" s="1824"/>
      <c r="UWI282" s="1824"/>
      <c r="UWJ282" s="1824"/>
      <c r="UWK282" s="1824"/>
      <c r="UWL282" s="1824"/>
      <c r="UWM282" s="1824"/>
      <c r="UWN282" s="1824"/>
      <c r="UWO282" s="1824"/>
      <c r="UWP282" s="1824"/>
      <c r="UWQ282" s="1824"/>
      <c r="UWR282" s="1824"/>
      <c r="UWS282" s="1824"/>
      <c r="UWT282" s="1824"/>
      <c r="UWU282" s="1824"/>
      <c r="UWV282" s="1824"/>
      <c r="UWW282" s="1824"/>
      <c r="UWX282" s="1824"/>
      <c r="UWY282" s="1824"/>
      <c r="UWZ282" s="1824"/>
      <c r="UXA282" s="1824"/>
      <c r="UXB282" s="1824"/>
      <c r="UXC282" s="1824"/>
      <c r="UXD282" s="1824"/>
      <c r="UXE282" s="1824"/>
      <c r="UXF282" s="1824"/>
      <c r="UXG282" s="1824"/>
      <c r="UXH282" s="1824"/>
      <c r="UXI282" s="1824"/>
      <c r="UXJ282" s="1824"/>
      <c r="UXK282" s="1824"/>
      <c r="UXL282" s="1824"/>
      <c r="UXM282" s="1824"/>
      <c r="UXN282" s="1824"/>
      <c r="UXO282" s="1824"/>
      <c r="UXP282" s="1824"/>
      <c r="UXQ282" s="1824"/>
      <c r="UXR282" s="1824"/>
      <c r="UXS282" s="1824"/>
      <c r="UXT282" s="1824"/>
      <c r="UXU282" s="1824"/>
      <c r="UXV282" s="1824"/>
      <c r="UXW282" s="1824"/>
      <c r="UXX282" s="1824"/>
      <c r="UXY282" s="1824"/>
      <c r="UXZ282" s="1824"/>
      <c r="UYA282" s="1824"/>
      <c r="UYB282" s="1824"/>
      <c r="UYC282" s="1824"/>
      <c r="UYD282" s="1824"/>
      <c r="UYE282" s="1824"/>
      <c r="UYF282" s="1824"/>
      <c r="UYG282" s="1824"/>
      <c r="UYH282" s="1824"/>
      <c r="UYI282" s="1824"/>
      <c r="UYJ282" s="1824"/>
      <c r="UYK282" s="1824"/>
      <c r="UYL282" s="1824"/>
      <c r="UYM282" s="1824"/>
      <c r="UYN282" s="1824"/>
      <c r="UYO282" s="1824"/>
      <c r="UYP282" s="1824"/>
      <c r="UYQ282" s="1824"/>
      <c r="UYR282" s="1824"/>
      <c r="UYS282" s="1824"/>
      <c r="UYT282" s="1824"/>
      <c r="UYU282" s="1824"/>
      <c r="UYV282" s="1824"/>
      <c r="UYW282" s="1824"/>
      <c r="UYX282" s="1824"/>
      <c r="UYY282" s="1824"/>
      <c r="UYZ282" s="1824"/>
      <c r="UZA282" s="1824"/>
      <c r="UZB282" s="1824"/>
      <c r="UZC282" s="1824"/>
      <c r="UZD282" s="1824"/>
      <c r="UZE282" s="1824"/>
      <c r="UZF282" s="1824"/>
      <c r="UZG282" s="1824"/>
      <c r="UZH282" s="1824"/>
      <c r="UZI282" s="1824"/>
      <c r="UZJ282" s="1824"/>
      <c r="UZK282" s="1824"/>
      <c r="UZL282" s="1824"/>
      <c r="UZM282" s="1824"/>
      <c r="UZN282" s="1824"/>
      <c r="UZO282" s="1824"/>
      <c r="UZP282" s="1824"/>
      <c r="UZQ282" s="1824"/>
      <c r="UZR282" s="1824"/>
      <c r="UZS282" s="1824"/>
      <c r="UZT282" s="1824"/>
      <c r="UZU282" s="1824"/>
      <c r="UZV282" s="1824"/>
      <c r="UZW282" s="1824"/>
      <c r="UZX282" s="1824"/>
      <c r="UZY282" s="1824"/>
      <c r="UZZ282" s="1824"/>
      <c r="VAA282" s="1824"/>
      <c r="VAB282" s="1824"/>
      <c r="VAC282" s="1824"/>
      <c r="VAD282" s="1824"/>
      <c r="VAE282" s="1824"/>
      <c r="VAF282" s="1824"/>
      <c r="VAG282" s="1824"/>
      <c r="VAH282" s="1824"/>
      <c r="VAI282" s="1824"/>
      <c r="VAJ282" s="1824"/>
      <c r="VAK282" s="1824"/>
      <c r="VAL282" s="1824"/>
      <c r="VAM282" s="1824"/>
      <c r="VAN282" s="1824"/>
      <c r="VAO282" s="1824"/>
      <c r="VAP282" s="1824"/>
      <c r="VAQ282" s="1824"/>
      <c r="VAR282" s="1824"/>
      <c r="VAS282" s="1824"/>
      <c r="VAT282" s="1824"/>
      <c r="VAU282" s="1824"/>
      <c r="VAV282" s="1824"/>
      <c r="VAW282" s="1824"/>
      <c r="VAX282" s="1824"/>
      <c r="VAY282" s="1824"/>
      <c r="VAZ282" s="1824"/>
      <c r="VBA282" s="1824"/>
      <c r="VBB282" s="1824"/>
      <c r="VBC282" s="1824"/>
      <c r="VBD282" s="1824"/>
      <c r="VBE282" s="1824"/>
      <c r="VBF282" s="1824"/>
      <c r="VBG282" s="1824"/>
      <c r="VBH282" s="1824"/>
      <c r="VBI282" s="1824"/>
      <c r="VBJ282" s="1824"/>
      <c r="VBK282" s="1824"/>
      <c r="VBL282" s="1824"/>
      <c r="VBM282" s="1824"/>
      <c r="VBN282" s="1824"/>
      <c r="VBO282" s="1824"/>
      <c r="VBP282" s="1824"/>
      <c r="VBQ282" s="1824"/>
      <c r="VBR282" s="1824"/>
      <c r="VBS282" s="1824"/>
      <c r="VBT282" s="1824"/>
      <c r="VBU282" s="1824"/>
      <c r="VBV282" s="1824"/>
      <c r="VBW282" s="1824"/>
      <c r="VBX282" s="1824"/>
      <c r="VBY282" s="1824"/>
      <c r="VBZ282" s="1824"/>
      <c r="VCA282" s="1824"/>
      <c r="VCB282" s="1824"/>
      <c r="VCC282" s="1824"/>
      <c r="VCD282" s="1824"/>
      <c r="VCE282" s="1824"/>
      <c r="VCF282" s="1824"/>
      <c r="VCG282" s="1824"/>
      <c r="VCH282" s="1824"/>
      <c r="VCI282" s="1824"/>
      <c r="VCJ282" s="1824"/>
      <c r="VCK282" s="1824"/>
      <c r="VCL282" s="1824"/>
      <c r="VCM282" s="1824"/>
      <c r="VCN282" s="1824"/>
      <c r="VCO282" s="1824"/>
      <c r="VCP282" s="1824"/>
      <c r="VCQ282" s="1824"/>
      <c r="VCR282" s="1824"/>
      <c r="VCS282" s="1824"/>
      <c r="VCT282" s="1824"/>
      <c r="VCU282" s="1824"/>
      <c r="VCV282" s="1824"/>
      <c r="VCW282" s="1824"/>
      <c r="VCX282" s="1824"/>
      <c r="VCY282" s="1824"/>
      <c r="VCZ282" s="1824"/>
      <c r="VDA282" s="1824"/>
      <c r="VDB282" s="1824"/>
      <c r="VDC282" s="1824"/>
      <c r="VDD282" s="1824"/>
      <c r="VDE282" s="1824"/>
      <c r="VDF282" s="1824"/>
      <c r="VDG282" s="1824"/>
      <c r="VDH282" s="1824"/>
      <c r="VDI282" s="1824"/>
      <c r="VDJ282" s="1824"/>
      <c r="VDK282" s="1824"/>
      <c r="VDL282" s="1824"/>
      <c r="VDM282" s="1824"/>
      <c r="VDN282" s="1824"/>
      <c r="VDO282" s="1824"/>
      <c r="VDP282" s="1824"/>
      <c r="VDQ282" s="1824"/>
      <c r="VDR282" s="1824"/>
      <c r="VDS282" s="1824"/>
      <c r="VDT282" s="1824"/>
      <c r="VDU282" s="1824"/>
      <c r="VDV282" s="1824"/>
      <c r="VDW282" s="1824"/>
      <c r="VDX282" s="1824"/>
      <c r="VDY282" s="1824"/>
      <c r="VDZ282" s="1824"/>
      <c r="VEA282" s="1824"/>
      <c r="VEB282" s="1824"/>
      <c r="VEC282" s="1824"/>
      <c r="VED282" s="1824"/>
      <c r="VEE282" s="1824"/>
      <c r="VEF282" s="1824"/>
      <c r="VEG282" s="1824"/>
      <c r="VEH282" s="1824"/>
      <c r="VEI282" s="1824"/>
      <c r="VEJ282" s="1824"/>
      <c r="VEK282" s="1824"/>
      <c r="VEL282" s="1824"/>
      <c r="VEM282" s="1824"/>
      <c r="VEN282" s="1824"/>
      <c r="VEO282" s="1824"/>
      <c r="VEP282" s="1824"/>
      <c r="VEQ282" s="1824"/>
      <c r="VER282" s="1824"/>
      <c r="VES282" s="1824"/>
      <c r="VET282" s="1824"/>
      <c r="VEU282" s="1824"/>
      <c r="VEV282" s="1824"/>
      <c r="VEW282" s="1824"/>
      <c r="VEX282" s="1824"/>
      <c r="VEY282" s="1824"/>
      <c r="VEZ282" s="1824"/>
      <c r="VFA282" s="1824"/>
      <c r="VFB282" s="1824"/>
      <c r="VFC282" s="1824"/>
      <c r="VFD282" s="1824"/>
      <c r="VFE282" s="1824"/>
      <c r="VFF282" s="1824"/>
      <c r="VFG282" s="1824"/>
      <c r="VFH282" s="1824"/>
      <c r="VFI282" s="1824"/>
      <c r="VFJ282" s="1824"/>
      <c r="VFK282" s="1824"/>
      <c r="VFL282" s="1824"/>
      <c r="VFM282" s="1824"/>
      <c r="VFN282" s="1824"/>
      <c r="VFO282" s="1824"/>
      <c r="VFP282" s="1824"/>
      <c r="VFQ282" s="1824"/>
      <c r="VFR282" s="1824"/>
      <c r="VFS282" s="1824"/>
      <c r="VFT282" s="1824"/>
      <c r="VFU282" s="1824"/>
      <c r="VFV282" s="1824"/>
      <c r="VFW282" s="1824"/>
      <c r="VFX282" s="1824"/>
      <c r="VFY282" s="1824"/>
      <c r="VFZ282" s="1824"/>
      <c r="VGA282" s="1824"/>
      <c r="VGB282" s="1824"/>
      <c r="VGC282" s="1824"/>
      <c r="VGD282" s="1824"/>
      <c r="VGE282" s="1824"/>
      <c r="VGF282" s="1824"/>
      <c r="VGG282" s="1824"/>
      <c r="VGH282" s="1824"/>
      <c r="VGI282" s="1824"/>
      <c r="VGJ282" s="1824"/>
      <c r="VGK282" s="1824"/>
      <c r="VGL282" s="1824"/>
      <c r="VGM282" s="1824"/>
      <c r="VGN282" s="1824"/>
      <c r="VGO282" s="1824"/>
      <c r="VGP282" s="1824"/>
      <c r="VGQ282" s="1824"/>
      <c r="VGR282" s="1824"/>
      <c r="VGS282" s="1824"/>
      <c r="VGT282" s="1824"/>
      <c r="VGU282" s="1824"/>
      <c r="VGV282" s="1824"/>
      <c r="VGW282" s="1824"/>
      <c r="VGX282" s="1824"/>
      <c r="VGY282" s="1824"/>
      <c r="VGZ282" s="1824"/>
      <c r="VHA282" s="1824"/>
      <c r="VHB282" s="1824"/>
      <c r="VHC282" s="1824"/>
      <c r="VHD282" s="1824"/>
      <c r="VHE282" s="1824"/>
      <c r="VHF282" s="1824"/>
      <c r="VHG282" s="1824"/>
      <c r="VHH282" s="1824"/>
      <c r="VHI282" s="1824"/>
      <c r="VHJ282" s="1824"/>
      <c r="VHK282" s="1824"/>
      <c r="VHL282" s="1824"/>
      <c r="VHM282" s="1824"/>
      <c r="VHN282" s="1824"/>
      <c r="VHO282" s="1824"/>
      <c r="VHP282" s="1824"/>
      <c r="VHQ282" s="1824"/>
      <c r="VHR282" s="1824"/>
      <c r="VHS282" s="1824"/>
      <c r="VHT282" s="1824"/>
      <c r="VHU282" s="1824"/>
      <c r="VHV282" s="1824"/>
      <c r="VHW282" s="1824"/>
      <c r="VHX282" s="1824"/>
      <c r="VHY282" s="1824"/>
      <c r="VHZ282" s="1824"/>
      <c r="VIA282" s="1824"/>
      <c r="VIB282" s="1824"/>
      <c r="VIC282" s="1824"/>
      <c r="VID282" s="1824"/>
      <c r="VIE282" s="1824"/>
      <c r="VIF282" s="1824"/>
      <c r="VIG282" s="1824"/>
      <c r="VIH282" s="1824"/>
      <c r="VII282" s="1824"/>
      <c r="VIJ282" s="1824"/>
      <c r="VIK282" s="1824"/>
      <c r="VIL282" s="1824"/>
      <c r="VIM282" s="1824"/>
      <c r="VIN282" s="1824"/>
      <c r="VIO282" s="1824"/>
      <c r="VIP282" s="1824"/>
      <c r="VIQ282" s="1824"/>
      <c r="VIR282" s="1824"/>
      <c r="VIS282" s="1824"/>
      <c r="VIT282" s="1824"/>
      <c r="VIU282" s="1824"/>
      <c r="VIV282" s="1824"/>
      <c r="VIW282" s="1824"/>
      <c r="VIX282" s="1824"/>
      <c r="VIY282" s="1824"/>
      <c r="VIZ282" s="1824"/>
      <c r="VJA282" s="1824"/>
      <c r="VJB282" s="1824"/>
      <c r="VJC282" s="1824"/>
      <c r="VJD282" s="1824"/>
      <c r="VJE282" s="1824"/>
      <c r="VJF282" s="1824"/>
      <c r="VJG282" s="1824"/>
      <c r="VJH282" s="1824"/>
      <c r="VJI282" s="1824"/>
      <c r="VJJ282" s="1824"/>
      <c r="VJK282" s="1824"/>
      <c r="VJL282" s="1824"/>
      <c r="VJM282" s="1824"/>
      <c r="VJN282" s="1824"/>
      <c r="VJO282" s="1824"/>
      <c r="VJP282" s="1824"/>
      <c r="VJQ282" s="1824"/>
      <c r="VJR282" s="1824"/>
      <c r="VJS282" s="1824"/>
      <c r="VJT282" s="1824"/>
      <c r="VJU282" s="1824"/>
      <c r="VJV282" s="1824"/>
      <c r="VJW282" s="1824"/>
      <c r="VJX282" s="1824"/>
      <c r="VJY282" s="1824"/>
      <c r="VJZ282" s="1824"/>
      <c r="VKA282" s="1824"/>
      <c r="VKB282" s="1824"/>
      <c r="VKC282" s="1824"/>
      <c r="VKD282" s="1824"/>
      <c r="VKE282" s="1824"/>
      <c r="VKF282" s="1824"/>
      <c r="VKG282" s="1824"/>
      <c r="VKH282" s="1824"/>
      <c r="VKI282" s="1824"/>
      <c r="VKJ282" s="1824"/>
      <c r="VKK282" s="1824"/>
      <c r="VKL282" s="1824"/>
      <c r="VKM282" s="1824"/>
      <c r="VKN282" s="1824"/>
      <c r="VKO282" s="1824"/>
      <c r="VKP282" s="1824"/>
      <c r="VKQ282" s="1824"/>
      <c r="VKR282" s="1824"/>
      <c r="VKS282" s="1824"/>
      <c r="VKT282" s="1824"/>
      <c r="VKU282" s="1824"/>
      <c r="VKV282" s="1824"/>
      <c r="VKW282" s="1824"/>
      <c r="VKX282" s="1824"/>
      <c r="VKY282" s="1824"/>
      <c r="VKZ282" s="1824"/>
      <c r="VLA282" s="1824"/>
      <c r="VLB282" s="1824"/>
      <c r="VLC282" s="1824"/>
      <c r="VLD282" s="1824"/>
      <c r="VLE282" s="1824"/>
      <c r="VLF282" s="1824"/>
      <c r="VLG282" s="1824"/>
      <c r="VLH282" s="1824"/>
      <c r="VLI282" s="1824"/>
      <c r="VLJ282" s="1824"/>
      <c r="VLK282" s="1824"/>
      <c r="VLL282" s="1824"/>
      <c r="VLM282" s="1824"/>
      <c r="VLN282" s="1824"/>
      <c r="VLO282" s="1824"/>
      <c r="VLP282" s="1824"/>
      <c r="VLQ282" s="1824"/>
      <c r="VLR282" s="1824"/>
      <c r="VLS282" s="1824"/>
      <c r="VLT282" s="1824"/>
      <c r="VLU282" s="1824"/>
      <c r="VLV282" s="1824"/>
      <c r="VLW282" s="1824"/>
      <c r="VLX282" s="1824"/>
      <c r="VLY282" s="1824"/>
      <c r="VLZ282" s="1824"/>
      <c r="VMA282" s="1824"/>
      <c r="VMB282" s="1824"/>
      <c r="VMC282" s="1824"/>
      <c r="VMD282" s="1824"/>
      <c r="VME282" s="1824"/>
      <c r="VMF282" s="1824"/>
      <c r="VMG282" s="1824"/>
      <c r="VMH282" s="1824"/>
      <c r="VMI282" s="1824"/>
      <c r="VMJ282" s="1824"/>
      <c r="VMK282" s="1824"/>
      <c r="VML282" s="1824"/>
      <c r="VMM282" s="1824"/>
      <c r="VMN282" s="1824"/>
      <c r="VMO282" s="1824"/>
      <c r="VMP282" s="1824"/>
      <c r="VMQ282" s="1824"/>
      <c r="VMR282" s="1824"/>
      <c r="VMS282" s="1824"/>
      <c r="VMT282" s="1824"/>
      <c r="VMU282" s="1824"/>
      <c r="VMV282" s="1824"/>
      <c r="VMW282" s="1824"/>
      <c r="VMX282" s="1824"/>
      <c r="VMY282" s="1824"/>
      <c r="VMZ282" s="1824"/>
      <c r="VNA282" s="1824"/>
      <c r="VNB282" s="1824"/>
      <c r="VNC282" s="1824"/>
      <c r="VND282" s="1824"/>
      <c r="VNE282" s="1824"/>
      <c r="VNF282" s="1824"/>
      <c r="VNG282" s="1824"/>
      <c r="VNH282" s="1824"/>
      <c r="VNI282" s="1824"/>
      <c r="VNJ282" s="1824"/>
      <c r="VNK282" s="1824"/>
      <c r="VNL282" s="1824"/>
      <c r="VNM282" s="1824"/>
      <c r="VNN282" s="1824"/>
      <c r="VNO282" s="1824"/>
      <c r="VNP282" s="1824"/>
      <c r="VNQ282" s="1824"/>
      <c r="VNR282" s="1824"/>
      <c r="VNS282" s="1824"/>
      <c r="VNT282" s="1824"/>
      <c r="VNU282" s="1824"/>
      <c r="VNV282" s="1824"/>
      <c r="VNW282" s="1824"/>
      <c r="VNX282" s="1824"/>
      <c r="VNY282" s="1824"/>
      <c r="VNZ282" s="1824"/>
      <c r="VOA282" s="1824"/>
      <c r="VOB282" s="1824"/>
      <c r="VOC282" s="1824"/>
      <c r="VOD282" s="1824"/>
      <c r="VOE282" s="1824"/>
      <c r="VOF282" s="1824"/>
      <c r="VOG282" s="1824"/>
      <c r="VOH282" s="1824"/>
      <c r="VOI282" s="1824"/>
      <c r="VOJ282" s="1824"/>
      <c r="VOK282" s="1824"/>
      <c r="VOL282" s="1824"/>
      <c r="VOM282" s="1824"/>
      <c r="VON282" s="1824"/>
      <c r="VOO282" s="1824"/>
      <c r="VOP282" s="1824"/>
      <c r="VOQ282" s="1824"/>
      <c r="VOR282" s="1824"/>
      <c r="VOS282" s="1824"/>
      <c r="VOT282" s="1824"/>
      <c r="VOU282" s="1824"/>
      <c r="VOV282" s="1824"/>
      <c r="VOW282" s="1824"/>
      <c r="VOX282" s="1824"/>
      <c r="VOY282" s="1824"/>
      <c r="VOZ282" s="1824"/>
      <c r="VPA282" s="1824"/>
      <c r="VPB282" s="1824"/>
      <c r="VPC282" s="1824"/>
      <c r="VPD282" s="1824"/>
      <c r="VPE282" s="1824"/>
      <c r="VPF282" s="1824"/>
      <c r="VPG282" s="1824"/>
      <c r="VPH282" s="1824"/>
      <c r="VPI282" s="1824"/>
      <c r="VPJ282" s="1824"/>
      <c r="VPK282" s="1824"/>
      <c r="VPL282" s="1824"/>
      <c r="VPM282" s="1824"/>
      <c r="VPN282" s="1824"/>
      <c r="VPO282" s="1824"/>
      <c r="VPP282" s="1824"/>
      <c r="VPQ282" s="1824"/>
      <c r="VPR282" s="1824"/>
      <c r="VPS282" s="1824"/>
      <c r="VPT282" s="1824"/>
      <c r="VPU282" s="1824"/>
      <c r="VPV282" s="1824"/>
      <c r="VPW282" s="1824"/>
      <c r="VPX282" s="1824"/>
      <c r="VPY282" s="1824"/>
      <c r="VPZ282" s="1824"/>
      <c r="VQA282" s="1824"/>
      <c r="VQB282" s="1824"/>
      <c r="VQC282" s="1824"/>
      <c r="VQD282" s="1824"/>
      <c r="VQE282" s="1824"/>
      <c r="VQF282" s="1824"/>
      <c r="VQG282" s="1824"/>
      <c r="VQH282" s="1824"/>
      <c r="VQI282" s="1824"/>
      <c r="VQJ282" s="1824"/>
      <c r="VQK282" s="1824"/>
      <c r="VQL282" s="1824"/>
      <c r="VQM282" s="1824"/>
      <c r="VQN282" s="1824"/>
      <c r="VQO282" s="1824"/>
      <c r="VQP282" s="1824"/>
      <c r="VQQ282" s="1824"/>
      <c r="VQR282" s="1824"/>
      <c r="VQS282" s="1824"/>
      <c r="VQT282" s="1824"/>
      <c r="VQU282" s="1824"/>
      <c r="VQV282" s="1824"/>
      <c r="VQW282" s="1824"/>
      <c r="VQX282" s="1824"/>
      <c r="VQY282" s="1824"/>
      <c r="VQZ282" s="1824"/>
      <c r="VRA282" s="1824"/>
      <c r="VRB282" s="1824"/>
      <c r="VRC282" s="1824"/>
      <c r="VRD282" s="1824"/>
      <c r="VRE282" s="1824"/>
      <c r="VRF282" s="1824"/>
      <c r="VRG282" s="1824"/>
      <c r="VRH282" s="1824"/>
      <c r="VRI282" s="1824"/>
      <c r="VRJ282" s="1824"/>
      <c r="VRK282" s="1824"/>
      <c r="VRL282" s="1824"/>
      <c r="VRM282" s="1824"/>
      <c r="VRN282" s="1824"/>
      <c r="VRO282" s="1824"/>
      <c r="VRP282" s="1824"/>
      <c r="VRQ282" s="1824"/>
      <c r="VRR282" s="1824"/>
      <c r="VRS282" s="1824"/>
      <c r="VRT282" s="1824"/>
      <c r="VRU282" s="1824"/>
      <c r="VRV282" s="1824"/>
      <c r="VRW282" s="1824"/>
      <c r="VRX282" s="1824"/>
      <c r="VRY282" s="1824"/>
      <c r="VRZ282" s="1824"/>
      <c r="VSA282" s="1824"/>
      <c r="VSB282" s="1824"/>
      <c r="VSC282" s="1824"/>
      <c r="VSD282" s="1824"/>
      <c r="VSE282" s="1824"/>
      <c r="VSF282" s="1824"/>
      <c r="VSG282" s="1824"/>
      <c r="VSH282" s="1824"/>
      <c r="VSI282" s="1824"/>
      <c r="VSJ282" s="1824"/>
      <c r="VSK282" s="1824"/>
      <c r="VSL282" s="1824"/>
      <c r="VSM282" s="1824"/>
      <c r="VSN282" s="1824"/>
      <c r="VSO282" s="1824"/>
      <c r="VSP282" s="1824"/>
      <c r="VSQ282" s="1824"/>
      <c r="VSR282" s="1824"/>
      <c r="VSS282" s="1824"/>
      <c r="VST282" s="1824"/>
      <c r="VSU282" s="1824"/>
      <c r="VSV282" s="1824"/>
      <c r="VSW282" s="1824"/>
      <c r="VSX282" s="1824"/>
      <c r="VSY282" s="1824"/>
      <c r="VSZ282" s="1824"/>
      <c r="VTA282" s="1824"/>
      <c r="VTB282" s="1824"/>
      <c r="VTC282" s="1824"/>
      <c r="VTD282" s="1824"/>
      <c r="VTE282" s="1824"/>
      <c r="VTF282" s="1824"/>
      <c r="VTG282" s="1824"/>
      <c r="VTH282" s="1824"/>
      <c r="VTI282" s="1824"/>
      <c r="VTJ282" s="1824"/>
      <c r="VTK282" s="1824"/>
      <c r="VTL282" s="1824"/>
      <c r="VTM282" s="1824"/>
      <c r="VTN282" s="1824"/>
      <c r="VTO282" s="1824"/>
      <c r="VTP282" s="1824"/>
      <c r="VTQ282" s="1824"/>
      <c r="VTR282" s="1824"/>
      <c r="VTS282" s="1824"/>
      <c r="VTT282" s="1824"/>
      <c r="VTU282" s="1824"/>
      <c r="VTV282" s="1824"/>
      <c r="VTW282" s="1824"/>
      <c r="VTX282" s="1824"/>
      <c r="VTY282" s="1824"/>
      <c r="VTZ282" s="1824"/>
      <c r="VUA282" s="1824"/>
      <c r="VUB282" s="1824"/>
      <c r="VUC282" s="1824"/>
      <c r="VUD282" s="1824"/>
      <c r="VUE282" s="1824"/>
      <c r="VUF282" s="1824"/>
      <c r="VUG282" s="1824"/>
      <c r="VUH282" s="1824"/>
      <c r="VUI282" s="1824"/>
      <c r="VUJ282" s="1824"/>
      <c r="VUK282" s="1824"/>
      <c r="VUL282" s="1824"/>
      <c r="VUM282" s="1824"/>
      <c r="VUN282" s="1824"/>
      <c r="VUO282" s="1824"/>
      <c r="VUP282" s="1824"/>
      <c r="VUQ282" s="1824"/>
      <c r="VUR282" s="1824"/>
      <c r="VUS282" s="1824"/>
      <c r="VUT282" s="1824"/>
      <c r="VUU282" s="1824"/>
      <c r="VUV282" s="1824"/>
      <c r="VUW282" s="1824"/>
      <c r="VUX282" s="1824"/>
      <c r="VUY282" s="1824"/>
      <c r="VUZ282" s="1824"/>
      <c r="VVA282" s="1824"/>
      <c r="VVB282" s="1824"/>
      <c r="VVC282" s="1824"/>
      <c r="VVD282" s="1824"/>
      <c r="VVE282" s="1824"/>
      <c r="VVF282" s="1824"/>
      <c r="VVG282" s="1824"/>
      <c r="VVH282" s="1824"/>
      <c r="VVI282" s="1824"/>
      <c r="VVJ282" s="1824"/>
      <c r="VVK282" s="1824"/>
      <c r="VVL282" s="1824"/>
      <c r="VVM282" s="1824"/>
      <c r="VVN282" s="1824"/>
      <c r="VVO282" s="1824"/>
      <c r="VVP282" s="1824"/>
      <c r="VVQ282" s="1824"/>
      <c r="VVR282" s="1824"/>
      <c r="VVS282" s="1824"/>
      <c r="VVT282" s="1824"/>
      <c r="VVU282" s="1824"/>
      <c r="VVV282" s="1824"/>
      <c r="VVW282" s="1824"/>
      <c r="VVX282" s="1824"/>
      <c r="VVY282" s="1824"/>
      <c r="VVZ282" s="1824"/>
      <c r="VWA282" s="1824"/>
      <c r="VWB282" s="1824"/>
      <c r="VWC282" s="1824"/>
      <c r="VWD282" s="1824"/>
      <c r="VWE282" s="1824"/>
      <c r="VWF282" s="1824"/>
      <c r="VWG282" s="1824"/>
      <c r="VWH282" s="1824"/>
      <c r="VWI282" s="1824"/>
      <c r="VWJ282" s="1824"/>
      <c r="VWK282" s="1824"/>
      <c r="VWL282" s="1824"/>
      <c r="VWM282" s="1824"/>
      <c r="VWN282" s="1824"/>
      <c r="VWO282" s="1824"/>
      <c r="VWP282" s="1824"/>
      <c r="VWQ282" s="1824"/>
      <c r="VWR282" s="1824"/>
      <c r="VWS282" s="1824"/>
      <c r="VWT282" s="1824"/>
      <c r="VWU282" s="1824"/>
      <c r="VWV282" s="1824"/>
      <c r="VWW282" s="1824"/>
      <c r="VWX282" s="1824"/>
      <c r="VWY282" s="1824"/>
      <c r="VWZ282" s="1824"/>
      <c r="VXA282" s="1824"/>
      <c r="VXB282" s="1824"/>
      <c r="VXC282" s="1824"/>
      <c r="VXD282" s="1824"/>
      <c r="VXE282" s="1824"/>
      <c r="VXF282" s="1824"/>
      <c r="VXG282" s="1824"/>
      <c r="VXH282" s="1824"/>
      <c r="VXI282" s="1824"/>
      <c r="VXJ282" s="1824"/>
      <c r="VXK282" s="1824"/>
      <c r="VXL282" s="1824"/>
      <c r="VXM282" s="1824"/>
      <c r="VXN282" s="1824"/>
      <c r="VXO282" s="1824"/>
      <c r="VXP282" s="1824"/>
      <c r="VXQ282" s="1824"/>
      <c r="VXR282" s="1824"/>
      <c r="VXS282" s="1824"/>
      <c r="VXT282" s="1824"/>
      <c r="VXU282" s="1824"/>
      <c r="VXV282" s="1824"/>
      <c r="VXW282" s="1824"/>
      <c r="VXX282" s="1824"/>
      <c r="VXY282" s="1824"/>
      <c r="VXZ282" s="1824"/>
      <c r="VYA282" s="1824"/>
      <c r="VYB282" s="1824"/>
      <c r="VYC282" s="1824"/>
      <c r="VYD282" s="1824"/>
      <c r="VYE282" s="1824"/>
      <c r="VYF282" s="1824"/>
      <c r="VYG282" s="1824"/>
      <c r="VYH282" s="1824"/>
      <c r="VYI282" s="1824"/>
      <c r="VYJ282" s="1824"/>
      <c r="VYK282" s="1824"/>
      <c r="VYL282" s="1824"/>
      <c r="VYM282" s="1824"/>
      <c r="VYN282" s="1824"/>
      <c r="VYO282" s="1824"/>
      <c r="VYP282" s="1824"/>
      <c r="VYQ282" s="1824"/>
      <c r="VYR282" s="1824"/>
      <c r="VYS282" s="1824"/>
      <c r="VYT282" s="1824"/>
      <c r="VYU282" s="1824"/>
      <c r="VYV282" s="1824"/>
      <c r="VYW282" s="1824"/>
      <c r="VYX282" s="1824"/>
      <c r="VYY282" s="1824"/>
      <c r="VYZ282" s="1824"/>
      <c r="VZA282" s="1824"/>
      <c r="VZB282" s="1824"/>
      <c r="VZC282" s="1824"/>
      <c r="VZD282" s="1824"/>
      <c r="VZE282" s="1824"/>
      <c r="VZF282" s="1824"/>
      <c r="VZG282" s="1824"/>
      <c r="VZH282" s="1824"/>
      <c r="VZI282" s="1824"/>
      <c r="VZJ282" s="1824"/>
      <c r="VZK282" s="1824"/>
      <c r="VZL282" s="1824"/>
      <c r="VZM282" s="1824"/>
      <c r="VZN282" s="1824"/>
      <c r="VZO282" s="1824"/>
      <c r="VZP282" s="1824"/>
      <c r="VZQ282" s="1824"/>
      <c r="VZR282" s="1824"/>
      <c r="VZS282" s="1824"/>
      <c r="VZT282" s="1824"/>
      <c r="VZU282" s="1824"/>
      <c r="VZV282" s="1824"/>
      <c r="VZW282" s="1824"/>
      <c r="VZX282" s="1824"/>
      <c r="VZY282" s="1824"/>
      <c r="VZZ282" s="1824"/>
      <c r="WAA282" s="1824"/>
      <c r="WAB282" s="1824"/>
      <c r="WAC282" s="1824"/>
      <c r="WAD282" s="1824"/>
      <c r="WAE282" s="1824"/>
      <c r="WAF282" s="1824"/>
      <c r="WAG282" s="1824"/>
      <c r="WAH282" s="1824"/>
      <c r="WAI282" s="1824"/>
      <c r="WAJ282" s="1824"/>
      <c r="WAK282" s="1824"/>
      <c r="WAL282" s="1824"/>
      <c r="WAM282" s="1824"/>
      <c r="WAN282" s="1824"/>
      <c r="WAO282" s="1824"/>
      <c r="WAP282" s="1824"/>
      <c r="WAQ282" s="1824"/>
      <c r="WAR282" s="1824"/>
      <c r="WAS282" s="1824"/>
      <c r="WAT282" s="1824"/>
      <c r="WAU282" s="1824"/>
      <c r="WAV282" s="1824"/>
      <c r="WAW282" s="1824"/>
      <c r="WAX282" s="1824"/>
      <c r="WAY282" s="1824"/>
      <c r="WAZ282" s="1824"/>
      <c r="WBA282" s="1824"/>
      <c r="WBB282" s="1824"/>
      <c r="WBC282" s="1824"/>
      <c r="WBD282" s="1824"/>
      <c r="WBE282" s="1824"/>
      <c r="WBF282" s="1824"/>
      <c r="WBG282" s="1824"/>
      <c r="WBH282" s="1824"/>
      <c r="WBI282" s="1824"/>
      <c r="WBJ282" s="1824"/>
      <c r="WBK282" s="1824"/>
      <c r="WBL282" s="1824"/>
      <c r="WBM282" s="1824"/>
      <c r="WBN282" s="1824"/>
      <c r="WBO282" s="1824"/>
      <c r="WBP282" s="1824"/>
      <c r="WBQ282" s="1824"/>
      <c r="WBR282" s="1824"/>
      <c r="WBS282" s="1824"/>
      <c r="WBT282" s="1824"/>
      <c r="WBU282" s="1824"/>
      <c r="WBV282" s="1824"/>
      <c r="WBW282" s="1824"/>
      <c r="WBX282" s="1824"/>
      <c r="WBY282" s="1824"/>
      <c r="WBZ282" s="1824"/>
      <c r="WCA282" s="1824"/>
      <c r="WCB282" s="1824"/>
      <c r="WCC282" s="1824"/>
      <c r="WCD282" s="1824"/>
      <c r="WCE282" s="1824"/>
      <c r="WCF282" s="1824"/>
      <c r="WCG282" s="1824"/>
      <c r="WCH282" s="1824"/>
      <c r="WCI282" s="1824"/>
      <c r="WCJ282" s="1824"/>
      <c r="WCK282" s="1824"/>
      <c r="WCL282" s="1824"/>
      <c r="WCM282" s="1824"/>
      <c r="WCN282" s="1824"/>
      <c r="WCO282" s="1824"/>
      <c r="WCP282" s="1824"/>
      <c r="WCQ282" s="1824"/>
      <c r="WCR282" s="1824"/>
      <c r="WCS282" s="1824"/>
      <c r="WCT282" s="1824"/>
      <c r="WCU282" s="1824"/>
      <c r="WCV282" s="1824"/>
      <c r="WCW282" s="1824"/>
      <c r="WCX282" s="1824"/>
      <c r="WCY282" s="1824"/>
      <c r="WCZ282" s="1824"/>
      <c r="WDA282" s="1824"/>
      <c r="WDB282" s="1824"/>
      <c r="WDC282" s="1824"/>
      <c r="WDD282" s="1824"/>
      <c r="WDE282" s="1824"/>
      <c r="WDF282" s="1824"/>
      <c r="WDG282" s="1824"/>
      <c r="WDH282" s="1824"/>
      <c r="WDI282" s="1824"/>
      <c r="WDJ282" s="1824"/>
      <c r="WDK282" s="1824"/>
      <c r="WDL282" s="1824"/>
      <c r="WDM282" s="1824"/>
      <c r="WDN282" s="1824"/>
      <c r="WDO282" s="1824"/>
      <c r="WDP282" s="1824"/>
      <c r="WDQ282" s="1824"/>
      <c r="WDR282" s="1824"/>
      <c r="WDS282" s="1824"/>
      <c r="WDT282" s="1824"/>
      <c r="WDU282" s="1824"/>
      <c r="WDV282" s="1824"/>
      <c r="WDW282" s="1824"/>
      <c r="WDX282" s="1824"/>
      <c r="WDY282" s="1824"/>
      <c r="WDZ282" s="1824"/>
      <c r="WEA282" s="1824"/>
      <c r="WEB282" s="1824"/>
      <c r="WEC282" s="1824"/>
      <c r="WED282" s="1824"/>
      <c r="WEE282" s="1824"/>
      <c r="WEF282" s="1824"/>
      <c r="WEG282" s="1824"/>
      <c r="WEH282" s="1824"/>
      <c r="WEI282" s="1824"/>
      <c r="WEJ282" s="1824"/>
      <c r="WEK282" s="1824"/>
      <c r="WEL282" s="1824"/>
      <c r="WEM282" s="1824"/>
      <c r="WEN282" s="1824"/>
      <c r="WEO282" s="1824"/>
      <c r="WEP282" s="1824"/>
      <c r="WEQ282" s="1824"/>
      <c r="WER282" s="1824"/>
      <c r="WES282" s="1824"/>
      <c r="WET282" s="1824"/>
      <c r="WEU282" s="1824"/>
      <c r="WEV282" s="1824"/>
      <c r="WEW282" s="1824"/>
      <c r="WEX282" s="1824"/>
      <c r="WEY282" s="1824"/>
      <c r="WEZ282" s="1824"/>
      <c r="WFA282" s="1824"/>
      <c r="WFB282" s="1824"/>
      <c r="WFC282" s="1824"/>
      <c r="WFD282" s="1824"/>
      <c r="WFE282" s="1824"/>
      <c r="WFF282" s="1824"/>
      <c r="WFG282" s="1824"/>
      <c r="WFH282" s="1824"/>
      <c r="WFI282" s="1824"/>
      <c r="WFJ282" s="1824"/>
      <c r="WFK282" s="1824"/>
      <c r="WFL282" s="1824"/>
      <c r="WFM282" s="1824"/>
      <c r="WFN282" s="1824"/>
      <c r="WFO282" s="1824"/>
      <c r="WFP282" s="1824"/>
      <c r="WFQ282" s="1824"/>
      <c r="WFR282" s="1824"/>
      <c r="WFS282" s="1824"/>
      <c r="WFT282" s="1824"/>
      <c r="WFU282" s="1824"/>
      <c r="WFV282" s="1824"/>
      <c r="WFW282" s="1824"/>
      <c r="WFX282" s="1824"/>
      <c r="WFY282" s="1824"/>
      <c r="WFZ282" s="1824"/>
      <c r="WGA282" s="1824"/>
      <c r="WGB282" s="1824"/>
      <c r="WGC282" s="1824"/>
      <c r="WGD282" s="1824"/>
      <c r="WGE282" s="1824"/>
      <c r="WGF282" s="1824"/>
      <c r="WGG282" s="1824"/>
      <c r="WGH282" s="1824"/>
      <c r="WGI282" s="1824"/>
      <c r="WGJ282" s="1824"/>
      <c r="WGK282" s="1824"/>
      <c r="WGL282" s="1824"/>
      <c r="WGM282" s="1824"/>
      <c r="WGN282" s="1824"/>
      <c r="WGO282" s="1824"/>
      <c r="WGP282" s="1824"/>
      <c r="WGQ282" s="1824"/>
      <c r="WGR282" s="1824"/>
      <c r="WGS282" s="1824"/>
      <c r="WGT282" s="1824"/>
      <c r="WGU282" s="1824"/>
      <c r="WGV282" s="1824"/>
      <c r="WGW282" s="1824"/>
      <c r="WGX282" s="1824"/>
      <c r="WGY282" s="1824"/>
      <c r="WGZ282" s="1824"/>
      <c r="WHA282" s="1824"/>
      <c r="WHB282" s="1824"/>
      <c r="WHC282" s="1824"/>
      <c r="WHD282" s="1824"/>
      <c r="WHE282" s="1824"/>
      <c r="WHF282" s="1824"/>
      <c r="WHG282" s="1824"/>
      <c r="WHH282" s="1824"/>
      <c r="WHI282" s="1824"/>
      <c r="WHJ282" s="1824"/>
      <c r="WHK282" s="1824"/>
      <c r="WHL282" s="1824"/>
      <c r="WHM282" s="1824"/>
      <c r="WHN282" s="1824"/>
      <c r="WHO282" s="1824"/>
      <c r="WHP282" s="1824"/>
      <c r="WHQ282" s="1824"/>
      <c r="WHR282" s="1824"/>
      <c r="WHS282" s="1824"/>
      <c r="WHT282" s="1824"/>
      <c r="WHU282" s="1824"/>
      <c r="WHV282" s="1824"/>
      <c r="WHW282" s="1824"/>
      <c r="WHX282" s="1824"/>
      <c r="WHY282" s="1824"/>
      <c r="WHZ282" s="1824"/>
      <c r="WIA282" s="1824"/>
      <c r="WIB282" s="1824"/>
      <c r="WIC282" s="1824"/>
      <c r="WID282" s="1824"/>
      <c r="WIE282" s="1824"/>
      <c r="WIF282" s="1824"/>
      <c r="WIG282" s="1824"/>
      <c r="WIH282" s="1824"/>
      <c r="WII282" s="1824"/>
      <c r="WIJ282" s="1824"/>
      <c r="WIK282" s="1824"/>
      <c r="WIL282" s="1824"/>
      <c r="WIM282" s="1824"/>
      <c r="WIN282" s="1824"/>
      <c r="WIO282" s="1824"/>
      <c r="WIP282" s="1824"/>
      <c r="WIQ282" s="1824"/>
      <c r="WIR282" s="1824"/>
      <c r="WIS282" s="1824"/>
      <c r="WIT282" s="1824"/>
      <c r="WIU282" s="1824"/>
      <c r="WIV282" s="1824"/>
      <c r="WIW282" s="1824"/>
      <c r="WIX282" s="1824"/>
      <c r="WIY282" s="1824"/>
      <c r="WIZ282" s="1824"/>
      <c r="WJA282" s="1824"/>
      <c r="WJB282" s="1824"/>
      <c r="WJC282" s="1824"/>
      <c r="WJD282" s="1824"/>
      <c r="WJE282" s="1824"/>
      <c r="WJF282" s="1824"/>
      <c r="WJG282" s="1824"/>
      <c r="WJH282" s="1824"/>
      <c r="WJI282" s="1824"/>
      <c r="WJJ282" s="1824"/>
      <c r="WJK282" s="1824"/>
      <c r="WJL282" s="1824"/>
      <c r="WJM282" s="1824"/>
      <c r="WJN282" s="1824"/>
      <c r="WJO282" s="1824"/>
      <c r="WJP282" s="1824"/>
      <c r="WJQ282" s="1824"/>
      <c r="WJR282" s="1824"/>
      <c r="WJS282" s="1824"/>
      <c r="WJT282" s="1824"/>
      <c r="WJU282" s="1824"/>
      <c r="WJV282" s="1824"/>
      <c r="WJW282" s="1824"/>
      <c r="WJX282" s="1824"/>
      <c r="WJY282" s="1824"/>
      <c r="WJZ282" s="1824"/>
      <c r="WKA282" s="1824"/>
      <c r="WKB282" s="1824"/>
      <c r="WKC282" s="1824"/>
      <c r="WKD282" s="1824"/>
      <c r="WKE282" s="1824"/>
      <c r="WKF282" s="1824"/>
      <c r="WKG282" s="1824"/>
      <c r="WKH282" s="1824"/>
      <c r="WKI282" s="1824"/>
      <c r="WKJ282" s="1824"/>
      <c r="WKK282" s="1824"/>
      <c r="WKL282" s="1824"/>
      <c r="WKM282" s="1824"/>
      <c r="WKN282" s="1824"/>
      <c r="WKO282" s="1824"/>
      <c r="WKP282" s="1824"/>
      <c r="WKQ282" s="1824"/>
      <c r="WKR282" s="1824"/>
      <c r="WKS282" s="1824"/>
      <c r="WKT282" s="1824"/>
      <c r="WKU282" s="1824"/>
      <c r="WKV282" s="1824"/>
      <c r="WKW282" s="1824"/>
      <c r="WKX282" s="1824"/>
      <c r="WKY282" s="1824"/>
      <c r="WKZ282" s="1824"/>
      <c r="WLA282" s="1824"/>
      <c r="WLB282" s="1824"/>
      <c r="WLC282" s="1824"/>
      <c r="WLD282" s="1824"/>
      <c r="WLE282" s="1824"/>
      <c r="WLF282" s="1824"/>
      <c r="WLG282" s="1824"/>
      <c r="WLH282" s="1824"/>
      <c r="WLI282" s="1824"/>
      <c r="WLJ282" s="1824"/>
      <c r="WLK282" s="1824"/>
      <c r="WLL282" s="1824"/>
      <c r="WLM282" s="1824"/>
      <c r="WLN282" s="1824"/>
      <c r="WLO282" s="1824"/>
      <c r="WLP282" s="1824"/>
      <c r="WLQ282" s="1824"/>
      <c r="WLR282" s="1824"/>
      <c r="WLS282" s="1824"/>
      <c r="WLT282" s="1824"/>
      <c r="WLU282" s="1824"/>
      <c r="WLV282" s="1824"/>
      <c r="WLW282" s="1824"/>
      <c r="WLX282" s="1824"/>
      <c r="WLY282" s="1824"/>
      <c r="WLZ282" s="1824"/>
      <c r="WMA282" s="1824"/>
      <c r="WMB282" s="1824"/>
      <c r="WMC282" s="1824"/>
      <c r="WMD282" s="1824"/>
      <c r="WME282" s="1824"/>
      <c r="WMF282" s="1824"/>
      <c r="WMG282" s="1824"/>
      <c r="WMH282" s="1824"/>
      <c r="WMI282" s="1824"/>
      <c r="WMJ282" s="1824"/>
      <c r="WMK282" s="1824"/>
      <c r="WML282" s="1824"/>
      <c r="WMM282" s="1824"/>
      <c r="WMN282" s="1824"/>
      <c r="WMO282" s="1824"/>
      <c r="WMP282" s="1824"/>
      <c r="WMQ282" s="1824"/>
      <c r="WMR282" s="1824"/>
      <c r="WMS282" s="1824"/>
      <c r="WMT282" s="1824"/>
      <c r="WMU282" s="1824"/>
      <c r="WMV282" s="1824"/>
      <c r="WMW282" s="1824"/>
      <c r="WMX282" s="1824"/>
      <c r="WMY282" s="1824"/>
      <c r="WMZ282" s="1824"/>
      <c r="WNA282" s="1824"/>
      <c r="WNB282" s="1824"/>
      <c r="WNC282" s="1824"/>
      <c r="WND282" s="1824"/>
      <c r="WNE282" s="1824"/>
      <c r="WNF282" s="1824"/>
      <c r="WNG282" s="1824"/>
      <c r="WNH282" s="1824"/>
      <c r="WNI282" s="1824"/>
      <c r="WNJ282" s="1824"/>
      <c r="WNK282" s="1824"/>
      <c r="WNL282" s="1824"/>
      <c r="WNM282" s="1824"/>
      <c r="WNN282" s="1824"/>
      <c r="WNO282" s="1824"/>
      <c r="WNP282" s="1824"/>
      <c r="WNQ282" s="1824"/>
      <c r="WNR282" s="1824"/>
      <c r="WNS282" s="1824"/>
      <c r="WNT282" s="1824"/>
      <c r="WNU282" s="1824"/>
      <c r="WNV282" s="1824"/>
      <c r="WNW282" s="1824"/>
      <c r="WNX282" s="1824"/>
      <c r="WNY282" s="1824"/>
      <c r="WNZ282" s="1824"/>
      <c r="WOA282" s="1824"/>
      <c r="WOB282" s="1824"/>
      <c r="WOC282" s="1824"/>
      <c r="WOD282" s="1824"/>
      <c r="WOE282" s="1824"/>
      <c r="WOF282" s="1824"/>
      <c r="WOG282" s="1824"/>
      <c r="WOH282" s="1824"/>
      <c r="WOI282" s="1824"/>
      <c r="WOJ282" s="1824"/>
      <c r="WOK282" s="1824"/>
      <c r="WOL282" s="1824"/>
      <c r="WOM282" s="1824"/>
      <c r="WON282" s="1824"/>
      <c r="WOO282" s="1824"/>
      <c r="WOP282" s="1824"/>
      <c r="WOQ282" s="1824"/>
      <c r="WOR282" s="1824"/>
      <c r="WOS282" s="1824"/>
      <c r="WOT282" s="1824"/>
      <c r="WOU282" s="1824"/>
      <c r="WOV282" s="1824"/>
      <c r="WOW282" s="1824"/>
      <c r="WOX282" s="1824"/>
      <c r="WOY282" s="1824"/>
      <c r="WOZ282" s="1824"/>
      <c r="WPA282" s="1824"/>
      <c r="WPB282" s="1824"/>
      <c r="WPC282" s="1824"/>
      <c r="WPD282" s="1824"/>
      <c r="WPE282" s="1824"/>
      <c r="WPF282" s="1824"/>
      <c r="WPG282" s="1824"/>
      <c r="WPH282" s="1824"/>
      <c r="WPI282" s="1824"/>
      <c r="WPJ282" s="1824"/>
      <c r="WPK282" s="1824"/>
      <c r="WPL282" s="1824"/>
      <c r="WPM282" s="1824"/>
      <c r="WPN282" s="1824"/>
      <c r="WPO282" s="1824"/>
      <c r="WPP282" s="1824"/>
      <c r="WPQ282" s="1824"/>
      <c r="WPR282" s="1824"/>
      <c r="WPS282" s="1824"/>
      <c r="WPT282" s="1824"/>
      <c r="WPU282" s="1824"/>
      <c r="WPV282" s="1824"/>
      <c r="WPW282" s="1824"/>
      <c r="WPX282" s="1824"/>
      <c r="WPY282" s="1824"/>
      <c r="WPZ282" s="1824"/>
      <c r="WQA282" s="1824"/>
      <c r="WQB282" s="1824"/>
      <c r="WQC282" s="1824"/>
      <c r="WQD282" s="1824"/>
      <c r="WQE282" s="1824"/>
      <c r="WQF282" s="1824"/>
      <c r="WQG282" s="1824"/>
      <c r="WQH282" s="1824"/>
      <c r="WQI282" s="1824"/>
      <c r="WQJ282" s="1824"/>
      <c r="WQK282" s="1824"/>
      <c r="WQL282" s="1824"/>
      <c r="WQM282" s="1824"/>
      <c r="WQN282" s="1824"/>
      <c r="WQO282" s="1824"/>
      <c r="WQP282" s="1824"/>
      <c r="WQQ282" s="1824"/>
      <c r="WQR282" s="1824"/>
      <c r="WQS282" s="1824"/>
      <c r="WQT282" s="1824"/>
      <c r="WQU282" s="1824"/>
      <c r="WQV282" s="1824"/>
      <c r="WQW282" s="1824"/>
      <c r="WQX282" s="1824"/>
      <c r="WQY282" s="1824"/>
      <c r="WQZ282" s="1824"/>
      <c r="WRA282" s="1824"/>
      <c r="WRB282" s="1824"/>
      <c r="WRC282" s="1824"/>
      <c r="WRD282" s="1824"/>
      <c r="WRE282" s="1824"/>
      <c r="WRF282" s="1824"/>
      <c r="WRG282" s="1824"/>
      <c r="WRH282" s="1824"/>
      <c r="WRI282" s="1824"/>
      <c r="WRJ282" s="1824"/>
      <c r="WRK282" s="1824"/>
      <c r="WRL282" s="1824"/>
      <c r="WRM282" s="1824"/>
      <c r="WRN282" s="1824"/>
      <c r="WRO282" s="1824"/>
      <c r="WRP282" s="1824"/>
      <c r="WRQ282" s="1824"/>
      <c r="WRR282" s="1824"/>
      <c r="WRS282" s="1824"/>
      <c r="WRT282" s="1824"/>
      <c r="WRU282" s="1824"/>
      <c r="WRV282" s="1824"/>
      <c r="WRW282" s="1824"/>
      <c r="WRX282" s="1824"/>
      <c r="WRY282" s="1824"/>
      <c r="WRZ282" s="1824"/>
      <c r="WSA282" s="1824"/>
      <c r="WSB282" s="1824"/>
      <c r="WSC282" s="1824"/>
      <c r="WSD282" s="1824"/>
      <c r="WSE282" s="1824"/>
      <c r="WSF282" s="1824"/>
      <c r="WSG282" s="1824"/>
      <c r="WSH282" s="1824"/>
      <c r="WSI282" s="1824"/>
      <c r="WSJ282" s="1824"/>
      <c r="WSK282" s="1824"/>
      <c r="WSL282" s="1824"/>
      <c r="WSM282" s="1824"/>
      <c r="WSN282" s="1824"/>
      <c r="WSO282" s="1824"/>
      <c r="WSP282" s="1824"/>
      <c r="WSQ282" s="1824"/>
      <c r="WSR282" s="1824"/>
      <c r="WSS282" s="1824"/>
      <c r="WST282" s="1824"/>
      <c r="WSU282" s="1824"/>
      <c r="WSV282" s="1824"/>
      <c r="WSW282" s="1824"/>
      <c r="WSX282" s="1824"/>
      <c r="WSY282" s="1824"/>
      <c r="WSZ282" s="1824"/>
      <c r="WTA282" s="1824"/>
      <c r="WTB282" s="1824"/>
      <c r="WTC282" s="1824"/>
      <c r="WTD282" s="1824"/>
      <c r="WTE282" s="1824"/>
      <c r="WTF282" s="1824"/>
      <c r="WTG282" s="1824"/>
      <c r="WTH282" s="1824"/>
      <c r="WTI282" s="1824"/>
      <c r="WTJ282" s="1824"/>
      <c r="WTK282" s="1824"/>
      <c r="WTL282" s="1824"/>
      <c r="WTM282" s="1824"/>
      <c r="WTN282" s="1824"/>
      <c r="WTO282" s="1824"/>
      <c r="WTP282" s="1824"/>
      <c r="WTQ282" s="1824"/>
      <c r="WTR282" s="1824"/>
      <c r="WTS282" s="1824"/>
      <c r="WTT282" s="1824"/>
      <c r="WTU282" s="1824"/>
      <c r="WTV282" s="1824"/>
      <c r="WTW282" s="1824"/>
      <c r="WTX282" s="1824"/>
      <c r="WTY282" s="1824"/>
      <c r="WTZ282" s="1824"/>
      <c r="WUA282" s="1824"/>
      <c r="WUB282" s="1824"/>
      <c r="WUC282" s="1824"/>
      <c r="WUD282" s="1824"/>
      <c r="WUE282" s="1824"/>
      <c r="WUF282" s="1824"/>
      <c r="WUG282" s="1824"/>
      <c r="WUH282" s="1824"/>
      <c r="WUI282" s="1824"/>
      <c r="WUJ282" s="1824"/>
      <c r="WUK282" s="1824"/>
      <c r="WUL282" s="1824"/>
      <c r="WUM282" s="1824"/>
      <c r="WUN282" s="1824"/>
      <c r="WUO282" s="1824"/>
      <c r="WUP282" s="1824"/>
      <c r="WUQ282" s="1824"/>
      <c r="WUR282" s="1824"/>
      <c r="WUS282" s="1824"/>
      <c r="WUT282" s="1824"/>
      <c r="WUU282" s="1824"/>
      <c r="WUV282" s="1824"/>
      <c r="WUW282" s="1824"/>
      <c r="WUX282" s="1824"/>
      <c r="WUY282" s="1824"/>
      <c r="WUZ282" s="1824"/>
      <c r="WVA282" s="1824"/>
      <c r="WVB282" s="1824"/>
      <c r="WVC282" s="1824"/>
      <c r="WVD282" s="1824"/>
      <c r="WVE282" s="1824"/>
      <c r="WVF282" s="1824"/>
      <c r="WVG282" s="1824"/>
      <c r="WVH282" s="1824"/>
      <c r="WVI282" s="1824"/>
      <c r="WVJ282" s="1824"/>
      <c r="WVK282" s="1824"/>
      <c r="WVL282" s="1824"/>
      <c r="WVM282" s="1824"/>
      <c r="WVN282" s="1824"/>
      <c r="WVO282" s="1824"/>
      <c r="WVP282" s="1824"/>
      <c r="WVQ282" s="1824"/>
      <c r="WVR282" s="1824"/>
      <c r="WVS282" s="1824"/>
      <c r="WVT282" s="1824"/>
      <c r="WVU282" s="1824"/>
      <c r="WVV282" s="1824"/>
      <c r="WVW282" s="1824"/>
      <c r="WVX282" s="1824"/>
      <c r="WVY282" s="1824"/>
      <c r="WVZ282" s="1824"/>
      <c r="WWA282" s="1824"/>
      <c r="WWB282" s="1824"/>
      <c r="WWC282" s="1824"/>
      <c r="WWD282" s="1824"/>
      <c r="WWE282" s="1824"/>
      <c r="WWF282" s="1824"/>
      <c r="WWG282" s="1824"/>
      <c r="WWH282" s="1824"/>
      <c r="WWI282" s="1824"/>
      <c r="WWJ282" s="1824"/>
      <c r="WWK282" s="1824"/>
      <c r="WWL282" s="1824"/>
      <c r="WWM282" s="1824"/>
      <c r="WWN282" s="1824"/>
      <c r="WWO282" s="1824"/>
      <c r="WWP282" s="1824"/>
      <c r="WWQ282" s="1824"/>
      <c r="WWR282" s="1824"/>
      <c r="WWS282" s="1824"/>
      <c r="WWT282" s="1824"/>
      <c r="WWU282" s="1824"/>
      <c r="WWV282" s="1824"/>
      <c r="WWW282" s="1824"/>
      <c r="WWX282" s="1824"/>
      <c r="WWY282" s="1824"/>
      <c r="WWZ282" s="1824"/>
      <c r="WXA282" s="1824"/>
      <c r="WXB282" s="1824"/>
      <c r="WXC282" s="1824"/>
      <c r="WXD282" s="1824"/>
      <c r="WXE282" s="1824"/>
      <c r="WXF282" s="1824"/>
      <c r="WXG282" s="1824"/>
      <c r="WXH282" s="1824"/>
      <c r="WXI282" s="1824"/>
      <c r="WXJ282" s="1824"/>
      <c r="WXK282" s="1824"/>
      <c r="WXL282" s="1824"/>
      <c r="WXM282" s="1824"/>
      <c r="WXN282" s="1824"/>
      <c r="WXO282" s="1824"/>
      <c r="WXP282" s="1824"/>
      <c r="WXQ282" s="1824"/>
      <c r="WXR282" s="1824"/>
      <c r="WXS282" s="1824"/>
      <c r="WXT282" s="1824"/>
      <c r="WXU282" s="1824"/>
      <c r="WXV282" s="1824"/>
      <c r="WXW282" s="1824"/>
      <c r="WXX282" s="1824"/>
      <c r="WXY282" s="1824"/>
      <c r="WXZ282" s="1824"/>
      <c r="WYA282" s="1824"/>
      <c r="WYB282" s="1824"/>
      <c r="WYC282" s="1824"/>
      <c r="WYD282" s="1824"/>
      <c r="WYE282" s="1824"/>
      <c r="WYF282" s="1824"/>
      <c r="WYG282" s="1824"/>
      <c r="WYH282" s="1824"/>
      <c r="WYI282" s="1824"/>
      <c r="WYJ282" s="1824"/>
      <c r="WYK282" s="1824"/>
      <c r="WYL282" s="1824"/>
      <c r="WYM282" s="1824"/>
      <c r="WYN282" s="1824"/>
      <c r="WYO282" s="1824"/>
      <c r="WYP282" s="1824"/>
      <c r="WYQ282" s="1824"/>
      <c r="WYR282" s="1824"/>
      <c r="WYS282" s="1824"/>
      <c r="WYT282" s="1824"/>
      <c r="WYU282" s="1824"/>
      <c r="WYV282" s="1824"/>
      <c r="WYW282" s="1824"/>
      <c r="WYX282" s="1824"/>
      <c r="WYY282" s="1824"/>
      <c r="WYZ282" s="1824"/>
      <c r="WZA282" s="1824"/>
      <c r="WZB282" s="1824"/>
      <c r="WZC282" s="1824"/>
      <c r="WZD282" s="1824"/>
      <c r="WZE282" s="1824"/>
      <c r="WZF282" s="1824"/>
      <c r="WZG282" s="1824"/>
      <c r="WZH282" s="1824"/>
      <c r="WZI282" s="1824"/>
      <c r="WZJ282" s="1824"/>
      <c r="WZK282" s="1824"/>
      <c r="WZL282" s="1824"/>
      <c r="WZM282" s="1824"/>
      <c r="WZN282" s="1824"/>
      <c r="WZO282" s="1824"/>
      <c r="WZP282" s="1824"/>
      <c r="WZQ282" s="1824"/>
      <c r="WZR282" s="1824"/>
      <c r="WZS282" s="1824"/>
      <c r="WZT282" s="1824"/>
      <c r="WZU282" s="1824"/>
      <c r="WZV282" s="1824"/>
      <c r="WZW282" s="1824"/>
      <c r="WZX282" s="1824"/>
      <c r="WZY282" s="1824"/>
      <c r="WZZ282" s="1824"/>
      <c r="XAA282" s="1824"/>
      <c r="XAB282" s="1824"/>
      <c r="XAC282" s="1824"/>
      <c r="XAD282" s="1824"/>
      <c r="XAE282" s="1824"/>
      <c r="XAF282" s="1824"/>
      <c r="XAG282" s="1824"/>
      <c r="XAH282" s="1824"/>
      <c r="XAI282" s="1824"/>
      <c r="XAJ282" s="1824"/>
      <c r="XAK282" s="1824"/>
      <c r="XAL282" s="1824"/>
      <c r="XAM282" s="1824"/>
      <c r="XAN282" s="1824"/>
      <c r="XAO282" s="1824"/>
      <c r="XAP282" s="1824"/>
      <c r="XAQ282" s="1824"/>
      <c r="XAR282" s="1824"/>
      <c r="XAS282" s="1824"/>
      <c r="XAT282" s="1824"/>
      <c r="XAU282" s="1824"/>
      <c r="XAV282" s="1824"/>
      <c r="XAW282" s="1824"/>
      <c r="XAX282" s="1824"/>
      <c r="XAY282" s="1824"/>
      <c r="XAZ282" s="1824"/>
      <c r="XBA282" s="1824"/>
      <c r="XBB282" s="1824"/>
      <c r="XBC282" s="1824"/>
      <c r="XBD282" s="1824"/>
      <c r="XBE282" s="1824"/>
      <c r="XBF282" s="1824"/>
      <c r="XBG282" s="1824"/>
      <c r="XBH282" s="1824"/>
      <c r="XBI282" s="1824"/>
      <c r="XBJ282" s="1824"/>
      <c r="XBK282" s="1824"/>
      <c r="XBL282" s="1824"/>
      <c r="XBM282" s="1824"/>
      <c r="XBN282" s="1824"/>
      <c r="XBO282" s="1824"/>
      <c r="XBP282" s="1824"/>
      <c r="XBQ282" s="1824"/>
      <c r="XBR282" s="1824"/>
      <c r="XBS282" s="1824"/>
      <c r="XBT282" s="1824"/>
      <c r="XBU282" s="1824"/>
      <c r="XBV282" s="1824"/>
      <c r="XBW282" s="1824"/>
      <c r="XBX282" s="1824"/>
      <c r="XBY282" s="1824"/>
      <c r="XBZ282" s="1824"/>
      <c r="XCA282" s="1824"/>
      <c r="XCB282" s="1824"/>
      <c r="XCC282" s="1824"/>
      <c r="XCD282" s="1824"/>
      <c r="XCE282" s="1824"/>
      <c r="XCF282" s="1824"/>
      <c r="XCG282" s="1824"/>
      <c r="XCH282" s="1824"/>
      <c r="XCI282" s="1824"/>
      <c r="XCJ282" s="1824"/>
      <c r="XCK282" s="1824"/>
      <c r="XCL282" s="1824"/>
      <c r="XCM282" s="1824"/>
      <c r="XCN282" s="1824"/>
      <c r="XCO282" s="1824"/>
      <c r="XCP282" s="1824"/>
      <c r="XCQ282" s="1824"/>
      <c r="XCR282" s="1824"/>
      <c r="XCS282" s="1824"/>
      <c r="XCT282" s="1824"/>
      <c r="XCU282" s="1824"/>
      <c r="XCV282" s="1824"/>
      <c r="XCW282" s="1824"/>
      <c r="XCX282" s="1824"/>
      <c r="XCY282" s="1824"/>
      <c r="XCZ282" s="1824"/>
      <c r="XDA282" s="1824"/>
      <c r="XDB282" s="1824"/>
      <c r="XDC282" s="1824"/>
      <c r="XDD282" s="1824"/>
      <c r="XDE282" s="1824"/>
      <c r="XDF282" s="1824"/>
      <c r="XDG282" s="1824"/>
      <c r="XDH282" s="1824"/>
      <c r="XDI282" s="1824"/>
      <c r="XDJ282" s="1824"/>
      <c r="XDK282" s="1824"/>
      <c r="XDL282" s="1824"/>
      <c r="XDM282" s="1824"/>
      <c r="XDN282" s="1824"/>
      <c r="XDO282" s="1824"/>
      <c r="XDP282" s="1824"/>
      <c r="XDQ282" s="1824"/>
      <c r="XDR282" s="1824"/>
      <c r="XDS282" s="1824"/>
      <c r="XDT282" s="1824"/>
      <c r="XDU282" s="1824"/>
      <c r="XDV282" s="1824"/>
      <c r="XDW282" s="1824"/>
      <c r="XDX282" s="1824"/>
      <c r="XDY282" s="1824"/>
      <c r="XDZ282" s="1824"/>
      <c r="XEA282" s="1824"/>
      <c r="XEB282" s="1824"/>
      <c r="XEC282" s="1824"/>
      <c r="XED282" s="1824"/>
      <c r="XEE282" s="1824"/>
      <c r="XEF282" s="1824"/>
      <c r="XEG282" s="1824"/>
      <c r="XEH282" s="1824"/>
      <c r="XEI282" s="1824"/>
      <c r="XEJ282" s="1824"/>
      <c r="XEK282" s="1824"/>
      <c r="XEL282" s="1824"/>
      <c r="XEM282" s="1824"/>
      <c r="XEN282" s="1824"/>
      <c r="XEO282" s="1824"/>
      <c r="XEP282" s="1824"/>
      <c r="XEQ282" s="1824"/>
      <c r="XER282" s="1824"/>
      <c r="XES282" s="1824"/>
      <c r="XET282" s="1824"/>
      <c r="XEU282" s="1824"/>
      <c r="XEV282" s="1824"/>
      <c r="XEW282" s="1824"/>
      <c r="XEX282" s="1824"/>
    </row>
    <row r="283" spans="1:16378" s="1851" customFormat="1" ht="9.9" customHeight="1" x14ac:dyDescent="0.3"/>
    <row r="284" spans="1:16378" s="1070" customFormat="1" x14ac:dyDescent="0.3"/>
    <row r="285" spans="1:16378" s="1070" customFormat="1" x14ac:dyDescent="0.3"/>
    <row r="286" spans="1:16378" s="1070" customFormat="1" x14ac:dyDescent="0.3">
      <c r="B286" s="1077" t="s">
        <v>1481</v>
      </c>
    </row>
    <row r="287" spans="1:16378" s="1070" customFormat="1" x14ac:dyDescent="0.3"/>
    <row r="288" spans="1:16378" s="1070" customFormat="1" outlineLevel="1" x14ac:dyDescent="0.3">
      <c r="B288" s="1077" t="s">
        <v>1482</v>
      </c>
      <c r="AP288" s="1077" t="s">
        <v>1483</v>
      </c>
      <c r="CC288" s="1077" t="s">
        <v>1484</v>
      </c>
    </row>
    <row r="289" spans="2:147" s="1070" customFormat="1" ht="18" outlineLevel="1" x14ac:dyDescent="0.3">
      <c r="B289" s="1852"/>
      <c r="C289" s="1337"/>
      <c r="D289" s="1337"/>
      <c r="E289" s="1337"/>
      <c r="F289" s="1337"/>
      <c r="G289" s="1853">
        <v>0</v>
      </c>
      <c r="H289" s="1853">
        <v>0</v>
      </c>
      <c r="I289" s="1853">
        <v>0</v>
      </c>
      <c r="J289" s="1853">
        <v>0</v>
      </c>
      <c r="K289" s="1853">
        <v>0</v>
      </c>
      <c r="L289" s="1853">
        <v>0</v>
      </c>
      <c r="M289" s="1853">
        <v>0</v>
      </c>
      <c r="N289" s="1853">
        <v>0</v>
      </c>
      <c r="O289" s="1853">
        <v>0</v>
      </c>
      <c r="P289" s="1853">
        <v>0</v>
      </c>
      <c r="Q289" s="1853">
        <v>0</v>
      </c>
      <c r="R289" s="1853">
        <v>0</v>
      </c>
      <c r="S289" s="1853">
        <v>0</v>
      </c>
      <c r="T289" s="1853">
        <v>0</v>
      </c>
      <c r="U289" s="1853">
        <v>0</v>
      </c>
      <c r="V289" s="1853">
        <v>0</v>
      </c>
      <c r="W289" s="1853">
        <v>0</v>
      </c>
      <c r="X289" s="1853">
        <v>0</v>
      </c>
      <c r="Y289" s="1853"/>
      <c r="Z289" s="1853"/>
      <c r="AA289" s="1853"/>
      <c r="AB289" s="1853"/>
      <c r="AC289" s="1853"/>
      <c r="AD289" s="1853"/>
      <c r="AE289" s="1853"/>
      <c r="AF289" s="1853"/>
      <c r="AG289" s="1853"/>
      <c r="AH289" s="1853"/>
      <c r="AI289" s="1853">
        <v>0</v>
      </c>
      <c r="AJ289" s="1854"/>
      <c r="AK289" s="1854"/>
      <c r="AL289" s="1238"/>
      <c r="AM289" s="1855"/>
      <c r="AN289" s="1238"/>
      <c r="AO289" s="1238"/>
      <c r="AP289" s="1238"/>
      <c r="AQ289" s="1238"/>
      <c r="AR289" s="1238"/>
      <c r="AS289" s="1238"/>
      <c r="AT289" s="1238"/>
      <c r="AU289" s="1238"/>
      <c r="AV289" s="1238"/>
      <c r="AW289" s="1238"/>
      <c r="AX289" s="1238"/>
      <c r="AY289" s="1238"/>
      <c r="AZ289" s="1238"/>
      <c r="BA289" s="1238"/>
      <c r="BB289" s="1238"/>
      <c r="BC289" s="1238"/>
      <c r="BD289" s="1238"/>
      <c r="BE289" s="1238"/>
      <c r="BF289" s="1238"/>
      <c r="BG289" s="1238"/>
      <c r="BH289" s="1238"/>
      <c r="BI289" s="1238"/>
      <c r="BJ289" s="1238"/>
      <c r="BK289" s="1238"/>
      <c r="BL289" s="1238"/>
      <c r="BM289" s="1238"/>
      <c r="BN289" s="1238"/>
      <c r="BO289" s="1238"/>
      <c r="BP289" s="1238"/>
      <c r="BQ289" s="1238"/>
      <c r="BR289" s="1238"/>
      <c r="BS289" s="1238"/>
      <c r="BT289" s="1856"/>
      <c r="BU289" s="1856"/>
      <c r="BV289" s="1856"/>
      <c r="BW289" s="1856"/>
    </row>
    <row r="290" spans="2:147" s="1070" customFormat="1" ht="36" outlineLevel="1" x14ac:dyDescent="0.3">
      <c r="B290" s="1240"/>
      <c r="C290" s="1241"/>
      <c r="D290" s="1241"/>
      <c r="E290" s="1241"/>
      <c r="F290" s="1242" t="str">
        <f>Calc!F125</f>
        <v>Sunk</v>
      </c>
      <c r="G290" s="1243" t="str">
        <f>Calc!G125</f>
        <v>FY18</v>
      </c>
      <c r="H290" s="1243" t="str">
        <f>Calc!H125</f>
        <v>FY19</v>
      </c>
      <c r="I290" s="1243" t="str">
        <f>Calc!I125</f>
        <v>FY20</v>
      </c>
      <c r="J290" s="1243" t="str">
        <f>Calc!J125</f>
        <v>FY21</v>
      </c>
      <c r="K290" s="1244" t="str">
        <f>Calc!K125</f>
        <v>FY22</v>
      </c>
      <c r="L290" s="1244" t="str">
        <f>Calc!L125</f>
        <v>FY23</v>
      </c>
      <c r="M290" s="1244" t="str">
        <f>Calc!M125</f>
        <v>FY24</v>
      </c>
      <c r="N290" s="1244" t="str">
        <f>Calc!N125</f>
        <v>FY25</v>
      </c>
      <c r="O290" s="1244" t="str">
        <f>Calc!O125</f>
        <v>FY26</v>
      </c>
      <c r="P290" s="1244" t="str">
        <f>Calc!P125</f>
        <v>FY27</v>
      </c>
      <c r="Q290" s="1244" t="str">
        <f>Calc!Q125</f>
        <v>FY28</v>
      </c>
      <c r="R290" s="1244" t="str">
        <f>Calc!R125</f>
        <v>FY29</v>
      </c>
      <c r="S290" s="1244" t="str">
        <f>Calc!S125</f>
        <v>FY30</v>
      </c>
      <c r="T290" s="1244" t="str">
        <f>Calc!T125</f>
        <v>FY31</v>
      </c>
      <c r="U290" s="1244" t="str">
        <f>Calc!U125</f>
        <v>FY32</v>
      </c>
      <c r="V290" s="1244" t="str">
        <f>Calc!V125</f>
        <v>FY33</v>
      </c>
      <c r="W290" s="1244" t="str">
        <f>Calc!W125</f>
        <v>FY34</v>
      </c>
      <c r="X290" s="1244" t="str">
        <f>Calc!X125</f>
        <v>FY35</v>
      </c>
      <c r="Y290" s="1244" t="str">
        <f>Calc!Y125</f>
        <v>FY36</v>
      </c>
      <c r="Z290" s="1244" t="str">
        <f>Calc!Z125</f>
        <v>FY37</v>
      </c>
      <c r="AA290" s="1244" t="str">
        <f>Calc!AA125</f>
        <v>FY38</v>
      </c>
      <c r="AB290" s="1244" t="str">
        <f>Calc!AB125</f>
        <v>FY39</v>
      </c>
      <c r="AC290" s="1244" t="str">
        <f>Calc!AC125</f>
        <v>FY40</v>
      </c>
      <c r="AD290" s="1244" t="str">
        <f>Calc!AD125</f>
        <v>FY41</v>
      </c>
      <c r="AE290" s="1244" t="str">
        <f>Calc!AE125</f>
        <v>FY42</v>
      </c>
      <c r="AF290" s="1244" t="str">
        <f>Calc!AF125</f>
        <v>FY43</v>
      </c>
      <c r="AG290" s="1244" t="str">
        <f>Calc!AG125</f>
        <v>FY44</v>
      </c>
      <c r="AH290" s="1244" t="str">
        <f>Calc!AH125</f>
        <v>FY45</v>
      </c>
      <c r="AI290" s="1244" t="str">
        <f>Calc!AI125</f>
        <v>FY46</v>
      </c>
      <c r="AJ290" s="1239" t="str">
        <f>Calc!AJ125</f>
        <v>FY18-27</v>
      </c>
      <c r="AK290" s="1245" t="str">
        <f>Calc!AK125</f>
        <v>% Rev</v>
      </c>
      <c r="AL290" s="1238"/>
      <c r="AM290" s="1857" t="str">
        <f>Calc!AM125</f>
        <v>FY18-32</v>
      </c>
      <c r="AO290" s="1238"/>
      <c r="AP290" s="1242">
        <f t="shared" ref="AP290:BU290" si="1">F15</f>
        <v>0</v>
      </c>
      <c r="AQ290" s="1243">
        <f t="shared" si="1"/>
        <v>0</v>
      </c>
      <c r="AR290" s="1243">
        <f t="shared" si="1"/>
        <v>0</v>
      </c>
      <c r="AS290" s="1243">
        <f t="shared" si="1"/>
        <v>0</v>
      </c>
      <c r="AT290" s="1243">
        <f t="shared" si="1"/>
        <v>0</v>
      </c>
      <c r="AU290" s="1244">
        <f t="shared" si="1"/>
        <v>0</v>
      </c>
      <c r="AV290" s="1244">
        <f t="shared" si="1"/>
        <v>0</v>
      </c>
      <c r="AW290" s="1244">
        <f t="shared" si="1"/>
        <v>0</v>
      </c>
      <c r="AX290" s="1244">
        <f t="shared" si="1"/>
        <v>0</v>
      </c>
      <c r="AY290" s="1244">
        <f t="shared" si="1"/>
        <v>0</v>
      </c>
      <c r="AZ290" s="1244">
        <f t="shared" si="1"/>
        <v>0</v>
      </c>
      <c r="BA290" s="1244">
        <f t="shared" si="1"/>
        <v>0</v>
      </c>
      <c r="BB290" s="1244">
        <f t="shared" si="1"/>
        <v>0</v>
      </c>
      <c r="BC290" s="1244">
        <f t="shared" si="1"/>
        <v>0</v>
      </c>
      <c r="BD290" s="1244">
        <f t="shared" si="1"/>
        <v>0</v>
      </c>
      <c r="BE290" s="1244">
        <f t="shared" si="1"/>
        <v>0</v>
      </c>
      <c r="BF290" s="1244">
        <f t="shared" si="1"/>
        <v>0</v>
      </c>
      <c r="BG290" s="1244">
        <f t="shared" si="1"/>
        <v>0</v>
      </c>
      <c r="BH290" s="1858">
        <f t="shared" si="1"/>
        <v>0</v>
      </c>
      <c r="BI290" s="1244">
        <f t="shared" si="1"/>
        <v>0</v>
      </c>
      <c r="BJ290" s="1244">
        <f t="shared" si="1"/>
        <v>0</v>
      </c>
      <c r="BK290" s="1244">
        <f t="shared" si="1"/>
        <v>0</v>
      </c>
      <c r="BL290" s="1244">
        <f t="shared" si="1"/>
        <v>0</v>
      </c>
      <c r="BM290" s="1244">
        <f t="shared" si="1"/>
        <v>0</v>
      </c>
      <c r="BN290" s="1244">
        <f t="shared" si="1"/>
        <v>0</v>
      </c>
      <c r="BO290" s="1244">
        <f t="shared" si="1"/>
        <v>0</v>
      </c>
      <c r="BP290" s="1244">
        <f t="shared" si="1"/>
        <v>0</v>
      </c>
      <c r="BQ290" s="1244">
        <f t="shared" si="1"/>
        <v>0</v>
      </c>
      <c r="BR290" s="1244">
        <f t="shared" si="1"/>
        <v>0</v>
      </c>
      <c r="BS290" s="1858">
        <f t="shared" si="1"/>
        <v>0</v>
      </c>
      <c r="BT290" s="1239">
        <f t="shared" si="1"/>
        <v>0</v>
      </c>
      <c r="BU290" s="1245">
        <f t="shared" si="1"/>
        <v>0</v>
      </c>
      <c r="BV290" s="1859"/>
      <c r="BW290" s="1857">
        <f>AM15</f>
        <v>0</v>
      </c>
      <c r="CC290" s="1860" t="s">
        <v>1485</v>
      </c>
      <c r="CD290" s="1861" t="s">
        <v>739</v>
      </c>
      <c r="CE290" s="1862" t="s">
        <v>1486</v>
      </c>
      <c r="CF290" s="1863" t="str">
        <f>G290</f>
        <v>FY18</v>
      </c>
      <c r="CG290" s="1864" t="s">
        <v>1486</v>
      </c>
      <c r="CH290" s="1863" t="str">
        <f>H290</f>
        <v>FY19</v>
      </c>
      <c r="CI290" s="1864" t="s">
        <v>1486</v>
      </c>
      <c r="CJ290" s="1863" t="str">
        <f>I290</f>
        <v>FY20</v>
      </c>
      <c r="CK290" s="1864" t="s">
        <v>1486</v>
      </c>
      <c r="CL290" s="1863" t="str">
        <f>J290</f>
        <v>FY21</v>
      </c>
      <c r="CM290" s="1864" t="s">
        <v>1486</v>
      </c>
      <c r="CN290" s="1863" t="str">
        <f>K290</f>
        <v>FY22</v>
      </c>
      <c r="CO290" s="1864" t="s">
        <v>1486</v>
      </c>
      <c r="CP290" s="1863" t="str">
        <f>L290</f>
        <v>FY23</v>
      </c>
      <c r="CQ290" s="1864" t="s">
        <v>1486</v>
      </c>
      <c r="CR290" s="1863" t="str">
        <f>M290</f>
        <v>FY24</v>
      </c>
      <c r="CS290" s="1864" t="s">
        <v>1486</v>
      </c>
      <c r="CT290" s="1863" t="str">
        <f>N290</f>
        <v>FY25</v>
      </c>
      <c r="CU290" s="1864" t="s">
        <v>1486</v>
      </c>
      <c r="CV290" s="1863" t="str">
        <f>O290</f>
        <v>FY26</v>
      </c>
      <c r="CW290" s="1864" t="s">
        <v>1486</v>
      </c>
      <c r="CX290" s="1863" t="str">
        <f>P290</f>
        <v>FY27</v>
      </c>
      <c r="CY290" s="1864" t="s">
        <v>1486</v>
      </c>
      <c r="CZ290" s="1863" t="str">
        <f>Q290</f>
        <v>FY28</v>
      </c>
      <c r="DA290" s="1864" t="s">
        <v>1486</v>
      </c>
      <c r="DB290" s="1863" t="str">
        <f>R290</f>
        <v>FY29</v>
      </c>
      <c r="DC290" s="1864" t="s">
        <v>1486</v>
      </c>
      <c r="DD290" s="1863" t="str">
        <f>S290</f>
        <v>FY30</v>
      </c>
      <c r="DE290" s="1864" t="s">
        <v>1486</v>
      </c>
      <c r="DF290" s="1863" t="str">
        <f>T290</f>
        <v>FY31</v>
      </c>
      <c r="DG290" s="1864" t="s">
        <v>1486</v>
      </c>
      <c r="DH290" s="1863" t="str">
        <f>U290</f>
        <v>FY32</v>
      </c>
      <c r="DI290" s="1864" t="s">
        <v>1486</v>
      </c>
      <c r="DJ290" s="1863" t="str">
        <f>V290</f>
        <v>FY33</v>
      </c>
      <c r="DK290" s="1864" t="s">
        <v>1486</v>
      </c>
      <c r="DL290" s="1863" t="str">
        <f>W290</f>
        <v>FY34</v>
      </c>
      <c r="DM290" s="1864" t="s">
        <v>1486</v>
      </c>
      <c r="DN290" s="1863" t="str">
        <f>X290</f>
        <v>FY35</v>
      </c>
      <c r="DO290" s="1864" t="s">
        <v>1486</v>
      </c>
      <c r="DP290" s="1863" t="str">
        <f>Y290</f>
        <v>FY36</v>
      </c>
      <c r="DQ290" s="1864" t="s">
        <v>1486</v>
      </c>
      <c r="DR290" s="1863" t="str">
        <f>Z290</f>
        <v>FY37</v>
      </c>
      <c r="DS290" s="1864" t="s">
        <v>1486</v>
      </c>
      <c r="DT290" s="1863" t="str">
        <f>AA290</f>
        <v>FY38</v>
      </c>
      <c r="DU290" s="1864" t="s">
        <v>1486</v>
      </c>
      <c r="DV290" s="1863" t="str">
        <f>AB290</f>
        <v>FY39</v>
      </c>
      <c r="DW290" s="1864" t="s">
        <v>1486</v>
      </c>
      <c r="DX290" s="1863" t="str">
        <f>AC290</f>
        <v>FY40</v>
      </c>
      <c r="DY290" s="1864" t="s">
        <v>1486</v>
      </c>
      <c r="DZ290" s="1863" t="str">
        <f>AD290</f>
        <v>FY41</v>
      </c>
      <c r="EA290" s="1864" t="s">
        <v>1486</v>
      </c>
      <c r="EB290" s="1863" t="str">
        <f>AE290</f>
        <v>FY42</v>
      </c>
      <c r="EC290" s="1864" t="s">
        <v>1486</v>
      </c>
      <c r="ED290" s="1863" t="str">
        <f>AF290</f>
        <v>FY43</v>
      </c>
      <c r="EE290" s="1864" t="s">
        <v>1486</v>
      </c>
      <c r="EF290" s="1863" t="str">
        <f>AG290</f>
        <v>FY44</v>
      </c>
      <c r="EG290" s="1864" t="s">
        <v>1486</v>
      </c>
      <c r="EH290" s="1863" t="str">
        <f>AH290</f>
        <v>FY45</v>
      </c>
      <c r="EI290" s="1864" t="s">
        <v>1486</v>
      </c>
      <c r="EJ290" s="1863" t="str">
        <f>AI290</f>
        <v>FY46</v>
      </c>
      <c r="EK290" s="1864" t="s">
        <v>1486</v>
      </c>
      <c r="EL290" s="1865" t="str">
        <f>AJ290</f>
        <v>FY18-27</v>
      </c>
      <c r="EM290" s="1866" t="s">
        <v>1487</v>
      </c>
      <c r="EN290" s="1864" t="s">
        <v>1488</v>
      </c>
      <c r="EO290" s="1238"/>
      <c r="EP290" s="1865" t="str">
        <f>AM290</f>
        <v>FY18-32</v>
      </c>
      <c r="EQ290" s="1864" t="s">
        <v>1488</v>
      </c>
    </row>
    <row r="291" spans="2:147" s="1070" customFormat="1" outlineLevel="1" x14ac:dyDescent="0.3">
      <c r="B291" s="1149"/>
      <c r="C291" s="1142"/>
      <c r="D291" s="1142"/>
      <c r="E291" s="1142"/>
      <c r="F291" s="1145"/>
      <c r="G291" s="1127"/>
      <c r="H291" s="1127"/>
      <c r="I291" s="1127"/>
      <c r="J291" s="1127"/>
      <c r="K291" s="1127"/>
      <c r="L291" s="1127"/>
      <c r="M291" s="1127"/>
      <c r="N291" s="1127"/>
      <c r="O291" s="1249"/>
      <c r="P291" s="1249"/>
      <c r="Q291" s="1249"/>
      <c r="R291" s="1249"/>
      <c r="S291" s="1249"/>
      <c r="T291" s="1249"/>
      <c r="U291" s="1249"/>
      <c r="V291" s="1249"/>
      <c r="W291" s="1249"/>
      <c r="X291" s="1249"/>
      <c r="Y291" s="1249"/>
      <c r="Z291" s="1249"/>
      <c r="AA291" s="1249"/>
      <c r="AB291" s="1249"/>
      <c r="AC291" s="1249"/>
      <c r="AD291" s="1249"/>
      <c r="AE291" s="1249"/>
      <c r="AF291" s="1249"/>
      <c r="AG291" s="1249"/>
      <c r="AH291" s="1249"/>
      <c r="AI291" s="1249"/>
      <c r="AJ291" s="1250"/>
      <c r="AK291" s="1249"/>
      <c r="AP291" s="1145"/>
      <c r="AQ291" s="1127"/>
      <c r="AR291" s="1127"/>
      <c r="AS291" s="1127"/>
      <c r="AT291" s="1127"/>
      <c r="AU291" s="1127"/>
      <c r="AV291" s="1127"/>
      <c r="AW291" s="1127"/>
      <c r="AX291" s="1867"/>
      <c r="AY291" s="1868"/>
      <c r="AZ291" s="1868"/>
      <c r="BA291" s="1868"/>
      <c r="BB291" s="1868"/>
      <c r="BC291" s="1868"/>
      <c r="BD291" s="1868"/>
      <c r="BE291" s="1868"/>
      <c r="BF291" s="1868"/>
      <c r="BG291" s="1868"/>
      <c r="BH291" s="1868"/>
      <c r="BI291" s="1868"/>
      <c r="BJ291" s="1868"/>
      <c r="BK291" s="1868"/>
      <c r="BL291" s="1868"/>
      <c r="BM291" s="1868"/>
      <c r="BN291" s="1868"/>
      <c r="BO291" s="1868"/>
      <c r="BP291" s="1868"/>
      <c r="BQ291" s="1868"/>
      <c r="BR291" s="1868"/>
      <c r="BS291" s="1868"/>
      <c r="BT291" s="1250"/>
      <c r="BU291" s="1249"/>
      <c r="BV291" s="1869"/>
      <c r="CC291" s="1142"/>
      <c r="CD291" s="1232"/>
      <c r="CE291" s="1870"/>
      <c r="CF291" s="1232"/>
      <c r="CG291" s="1871"/>
      <c r="CH291" s="1232"/>
      <c r="CI291" s="1871"/>
      <c r="CJ291" s="1232"/>
      <c r="CK291" s="1871"/>
      <c r="CL291" s="1232"/>
      <c r="CM291" s="1871"/>
      <c r="CN291" s="1232"/>
      <c r="CO291" s="1871"/>
      <c r="CP291" s="1232"/>
      <c r="CQ291" s="1871"/>
      <c r="CR291" s="1232"/>
      <c r="CS291" s="1871"/>
      <c r="CT291" s="1232"/>
      <c r="CU291" s="1872"/>
      <c r="CV291" s="1873"/>
      <c r="CW291" s="1874"/>
      <c r="CX291" s="1873"/>
      <c r="CY291" s="1874"/>
      <c r="CZ291" s="1873"/>
      <c r="DA291" s="1874"/>
      <c r="DB291" s="1873"/>
      <c r="DC291" s="1874"/>
      <c r="DD291" s="1873"/>
      <c r="DE291" s="1874"/>
      <c r="DF291" s="1873"/>
      <c r="DG291" s="1874"/>
      <c r="DH291" s="1873"/>
      <c r="DI291" s="1875"/>
      <c r="DJ291" s="1876"/>
      <c r="DK291" s="1875"/>
      <c r="DL291" s="1876"/>
      <c r="DM291" s="1875"/>
      <c r="DN291" s="1876"/>
      <c r="DO291" s="1875"/>
      <c r="DP291" s="1876"/>
      <c r="DQ291" s="1875"/>
      <c r="DR291" s="1876"/>
      <c r="DS291" s="1875"/>
      <c r="DT291" s="1876"/>
      <c r="DU291" s="1875"/>
      <c r="DV291" s="1876"/>
      <c r="DW291" s="1875"/>
      <c r="DX291" s="1876"/>
      <c r="DY291" s="1875"/>
      <c r="DZ291" s="1876"/>
      <c r="EA291" s="1875"/>
      <c r="EB291" s="1876"/>
      <c r="EC291" s="1875"/>
      <c r="ED291" s="1876"/>
      <c r="EE291" s="1875"/>
      <c r="EF291" s="1876"/>
      <c r="EG291" s="1875"/>
      <c r="EH291" s="1876"/>
      <c r="EI291" s="1875"/>
      <c r="EJ291" s="1876"/>
      <c r="EK291" s="1875"/>
      <c r="EL291" s="1877"/>
      <c r="EM291" s="1878"/>
      <c r="EN291" s="1875"/>
      <c r="EQ291" s="1875"/>
    </row>
    <row r="292" spans="2:147" s="1070" customFormat="1" ht="18" outlineLevel="1" x14ac:dyDescent="0.35">
      <c r="B292" s="1253" t="s">
        <v>784</v>
      </c>
      <c r="C292" s="1254"/>
      <c r="D292" s="1254"/>
      <c r="E292" s="1255"/>
      <c r="F292" s="1256">
        <f>Calc!F127</f>
        <v>0</v>
      </c>
      <c r="G292" s="1257">
        <f>Calc!G127</f>
        <v>0</v>
      </c>
      <c r="H292" s="1257">
        <f>Calc!H127</f>
        <v>0</v>
      </c>
      <c r="I292" s="1257">
        <f>Calc!I127</f>
        <v>0</v>
      </c>
      <c r="J292" s="1257">
        <f>Calc!J127</f>
        <v>0</v>
      </c>
      <c r="K292" s="1257">
        <f>Calc!K127</f>
        <v>0</v>
      </c>
      <c r="L292" s="1257">
        <f>Calc!L127</f>
        <v>16667.203805107201</v>
      </c>
      <c r="M292" s="1257">
        <f>Calc!M127</f>
        <v>38568.729451259293</v>
      </c>
      <c r="N292" s="1257">
        <f>Calc!N127</f>
        <v>73523.96947665418</v>
      </c>
      <c r="O292" s="1257">
        <f>Calc!O127</f>
        <v>110318.99500952553</v>
      </c>
      <c r="P292" s="1257">
        <f>Calc!P127</f>
        <v>137341.05381475933</v>
      </c>
      <c r="Q292" s="1257">
        <f>Calc!Q127</f>
        <v>152865.10012769504</v>
      </c>
      <c r="R292" s="1257">
        <f>Calc!R127</f>
        <v>165744.56703901547</v>
      </c>
      <c r="S292" s="1257">
        <f>Calc!S127</f>
        <v>190189.87253450209</v>
      </c>
      <c r="T292" s="1257">
        <f>Calc!T127</f>
        <v>198826.88370596603</v>
      </c>
      <c r="U292" s="1257">
        <f>Calc!U127</f>
        <v>239308.03722850067</v>
      </c>
      <c r="V292" s="1257">
        <f>Calc!V127</f>
        <v>268535.02227712964</v>
      </c>
      <c r="W292" s="1257">
        <f>Calc!W127</f>
        <v>308703.14307628642</v>
      </c>
      <c r="X292" s="1257">
        <f>Calc!X127</f>
        <v>252787.09082071079</v>
      </c>
      <c r="Y292" s="1257">
        <f>Calc!Y127</f>
        <v>0</v>
      </c>
      <c r="Z292" s="1257">
        <f>Calc!Z127</f>
        <v>0</v>
      </c>
      <c r="AA292" s="1257">
        <f>Calc!AA127</f>
        <v>0</v>
      </c>
      <c r="AB292" s="1257">
        <f>Calc!AB127</f>
        <v>0</v>
      </c>
      <c r="AC292" s="1257">
        <f>Calc!AC127</f>
        <v>0</v>
      </c>
      <c r="AD292" s="1257">
        <f>Calc!AD127</f>
        <v>0</v>
      </c>
      <c r="AE292" s="1257">
        <f>Calc!AE127</f>
        <v>0</v>
      </c>
      <c r="AF292" s="1257">
        <f>Calc!AF127</f>
        <v>0</v>
      </c>
      <c r="AG292" s="1257">
        <f>Calc!AG127</f>
        <v>0</v>
      </c>
      <c r="AH292" s="1257">
        <f>Calc!AH127</f>
        <v>0</v>
      </c>
      <c r="AI292" s="1257">
        <f>Calc!AI127</f>
        <v>0</v>
      </c>
      <c r="AJ292" s="1258">
        <f>Calc!AJ127</f>
        <v>376419.95155730553</v>
      </c>
      <c r="AK292" s="1259"/>
      <c r="AL292" s="1272"/>
      <c r="AM292" s="1256">
        <f>Calc!AM127</f>
        <v>1323354.4121929849</v>
      </c>
      <c r="AN292" s="1371"/>
      <c r="AO292" s="1260"/>
      <c r="AP292" s="1256">
        <f t="shared" ref="AP292:BT294" si="2">F17</f>
        <v>0</v>
      </c>
      <c r="AQ292" s="1258">
        <f t="shared" si="2"/>
        <v>0</v>
      </c>
      <c r="AR292" s="1257">
        <f t="shared" si="2"/>
        <v>0</v>
      </c>
      <c r="AS292" s="1257">
        <f t="shared" si="2"/>
        <v>0</v>
      </c>
      <c r="AT292" s="1257">
        <f t="shared" si="2"/>
        <v>0</v>
      </c>
      <c r="AU292" s="1257">
        <f t="shared" si="2"/>
        <v>0</v>
      </c>
      <c r="AV292" s="1257">
        <f t="shared" si="2"/>
        <v>0</v>
      </c>
      <c r="AW292" s="1257">
        <f t="shared" si="2"/>
        <v>0</v>
      </c>
      <c r="AX292" s="1257">
        <f t="shared" si="2"/>
        <v>0</v>
      </c>
      <c r="AY292" s="1257">
        <f t="shared" si="2"/>
        <v>0</v>
      </c>
      <c r="AZ292" s="1257">
        <f t="shared" si="2"/>
        <v>0</v>
      </c>
      <c r="BA292" s="1257">
        <f t="shared" si="2"/>
        <v>0</v>
      </c>
      <c r="BB292" s="1257">
        <f t="shared" si="2"/>
        <v>0</v>
      </c>
      <c r="BC292" s="1257">
        <f t="shared" si="2"/>
        <v>0</v>
      </c>
      <c r="BD292" s="1257">
        <f t="shared" si="2"/>
        <v>0</v>
      </c>
      <c r="BE292" s="1257">
        <f t="shared" si="2"/>
        <v>0</v>
      </c>
      <c r="BF292" s="1257">
        <f t="shared" si="2"/>
        <v>0</v>
      </c>
      <c r="BG292" s="1257">
        <f t="shared" si="2"/>
        <v>0</v>
      </c>
      <c r="BH292" s="1257">
        <f t="shared" si="2"/>
        <v>0</v>
      </c>
      <c r="BI292" s="1257">
        <f t="shared" si="2"/>
        <v>0</v>
      </c>
      <c r="BJ292" s="1257">
        <f t="shared" si="2"/>
        <v>0</v>
      </c>
      <c r="BK292" s="1257">
        <f t="shared" si="2"/>
        <v>0</v>
      </c>
      <c r="BL292" s="1257">
        <f t="shared" si="2"/>
        <v>0</v>
      </c>
      <c r="BM292" s="1257">
        <f t="shared" si="2"/>
        <v>0</v>
      </c>
      <c r="BN292" s="1257">
        <f t="shared" si="2"/>
        <v>0</v>
      </c>
      <c r="BO292" s="1257">
        <f t="shared" si="2"/>
        <v>0</v>
      </c>
      <c r="BP292" s="1257">
        <f t="shared" si="2"/>
        <v>0</v>
      </c>
      <c r="BQ292" s="1257">
        <f t="shared" si="2"/>
        <v>0</v>
      </c>
      <c r="BR292" s="1257">
        <f t="shared" si="2"/>
        <v>0</v>
      </c>
      <c r="BS292" s="1257">
        <f t="shared" si="2"/>
        <v>0</v>
      </c>
      <c r="BT292" s="1258">
        <f t="shared" si="2"/>
        <v>0</v>
      </c>
      <c r="BU292" s="1259"/>
      <c r="BV292" s="1398"/>
      <c r="BW292" s="1256">
        <f>AM17</f>
        <v>0</v>
      </c>
      <c r="CC292" s="1879" t="s">
        <v>23</v>
      </c>
      <c r="CD292" s="1880">
        <f>F292/1000</f>
        <v>0</v>
      </c>
      <c r="CE292" s="1881">
        <f>AQ17/1000</f>
        <v>0</v>
      </c>
      <c r="CF292" s="1882">
        <f>G292/1000</f>
        <v>0</v>
      </c>
      <c r="CG292" s="1881">
        <f>AR17/1000</f>
        <v>0</v>
      </c>
      <c r="CH292" s="1882">
        <f>H292/1000</f>
        <v>0</v>
      </c>
      <c r="CI292" s="1881">
        <f>AS17/1000</f>
        <v>0</v>
      </c>
      <c r="CJ292" s="1882">
        <f>I292/1000</f>
        <v>0</v>
      </c>
      <c r="CK292" s="1881">
        <f>AT17/1000</f>
        <v>0</v>
      </c>
      <c r="CL292" s="1882">
        <f>J292/1000</f>
        <v>0</v>
      </c>
      <c r="CM292" s="1881">
        <f>AU17/1000</f>
        <v>0</v>
      </c>
      <c r="CN292" s="1882">
        <f>K292/1000</f>
        <v>0</v>
      </c>
      <c r="CO292" s="1881">
        <f>AV17/1000</f>
        <v>0</v>
      </c>
      <c r="CP292" s="1882">
        <f>L292/1000</f>
        <v>16.667203805107203</v>
      </c>
      <c r="CQ292" s="1881">
        <f>AW17/1000</f>
        <v>0</v>
      </c>
      <c r="CR292" s="1882">
        <f>M292/1000</f>
        <v>38.568729451259294</v>
      </c>
      <c r="CS292" s="1881">
        <f>AX17/1000</f>
        <v>0</v>
      </c>
      <c r="CT292" s="1883">
        <f>N292/1000</f>
        <v>73.523969476654173</v>
      </c>
      <c r="CU292" s="1881">
        <f>AY17/1000</f>
        <v>0</v>
      </c>
      <c r="CV292" s="1883">
        <f>O292/1000</f>
        <v>110.31899500952554</v>
      </c>
      <c r="CW292" s="1881">
        <f>AZ17/1000</f>
        <v>0</v>
      </c>
      <c r="CX292" s="1883">
        <f>P292/1000</f>
        <v>137.34105381475933</v>
      </c>
      <c r="CY292" s="1881">
        <f>BA17/1000</f>
        <v>0</v>
      </c>
      <c r="CZ292" s="1883">
        <f>Q292/1000</f>
        <v>152.86510012769503</v>
      </c>
      <c r="DA292" s="1881">
        <f>BB17/1000</f>
        <v>0</v>
      </c>
      <c r="DB292" s="1883">
        <f>R292/1000</f>
        <v>165.74456703901546</v>
      </c>
      <c r="DC292" s="1881">
        <f>BC17/1000</f>
        <v>0</v>
      </c>
      <c r="DD292" s="1882">
        <f>S292/1000</f>
        <v>190.18987253450209</v>
      </c>
      <c r="DE292" s="1881">
        <f>BD17/1000</f>
        <v>0</v>
      </c>
      <c r="DF292" s="1882">
        <f>T292/1000</f>
        <v>198.82688370596603</v>
      </c>
      <c r="DG292" s="1881">
        <f>BE17/1000</f>
        <v>0</v>
      </c>
      <c r="DH292" s="1882">
        <f>U292/1000</f>
        <v>239.30803722850067</v>
      </c>
      <c r="DI292" s="1881">
        <f>BF17/1000</f>
        <v>0</v>
      </c>
      <c r="DJ292" s="1882">
        <f>V292/1000</f>
        <v>268.53502227712966</v>
      </c>
      <c r="DK292" s="1881">
        <f>BG17/1000</f>
        <v>0</v>
      </c>
      <c r="DL292" s="1882">
        <f>W292/1000</f>
        <v>308.70314307628644</v>
      </c>
      <c r="DM292" s="1881">
        <f>BH17/1000</f>
        <v>0</v>
      </c>
      <c r="DN292" s="1882">
        <f>X292/1000</f>
        <v>252.78709082071077</v>
      </c>
      <c r="DO292" s="1881">
        <f>BI17/1000</f>
        <v>0</v>
      </c>
      <c r="DP292" s="1882">
        <f>Y292/1000</f>
        <v>0</v>
      </c>
      <c r="DQ292" s="1881">
        <f>BJ17/1000</f>
        <v>0</v>
      </c>
      <c r="DR292" s="1882">
        <f>Z292/1000</f>
        <v>0</v>
      </c>
      <c r="DS292" s="1881">
        <f>BK17/1000</f>
        <v>0</v>
      </c>
      <c r="DT292" s="1882">
        <f>AA292/1000</f>
        <v>0</v>
      </c>
      <c r="DU292" s="1881">
        <f>BL17/1000</f>
        <v>0</v>
      </c>
      <c r="DV292" s="1882">
        <f>AB292/1000</f>
        <v>0</v>
      </c>
      <c r="DW292" s="1881">
        <f>BM17/1000</f>
        <v>0</v>
      </c>
      <c r="DX292" s="1882">
        <f>AC292/1000</f>
        <v>0</v>
      </c>
      <c r="DY292" s="1881">
        <f>BN17/1000</f>
        <v>0</v>
      </c>
      <c r="DZ292" s="1882">
        <f>AD292/1000</f>
        <v>0</v>
      </c>
      <c r="EA292" s="1881">
        <f>BO17/1000</f>
        <v>0</v>
      </c>
      <c r="EB292" s="1882">
        <f>AE292/1000</f>
        <v>0</v>
      </c>
      <c r="EC292" s="1881">
        <f>BP17/1000</f>
        <v>0</v>
      </c>
      <c r="ED292" s="1882">
        <f>AF292/1000</f>
        <v>0</v>
      </c>
      <c r="EE292" s="1881">
        <f>BQ17/1000</f>
        <v>0</v>
      </c>
      <c r="EF292" s="1882">
        <f>AG292/1000</f>
        <v>0</v>
      </c>
      <c r="EG292" s="1881">
        <f>BR17/1000</f>
        <v>0</v>
      </c>
      <c r="EH292" s="1882">
        <f>AH292/1000</f>
        <v>0</v>
      </c>
      <c r="EI292" s="1881">
        <f>BS17/1000</f>
        <v>0</v>
      </c>
      <c r="EJ292" s="1882">
        <f>AI292/1000</f>
        <v>0</v>
      </c>
      <c r="EK292" s="1881">
        <f>BT17/1000</f>
        <v>0</v>
      </c>
      <c r="EL292" s="1884">
        <f t="shared" ref="EL292:EL298" si="3">AJ292/1000</f>
        <v>376.41995155730552</v>
      </c>
      <c r="EM292" s="1885"/>
      <c r="EN292" s="1886">
        <f>BU17/1000</f>
        <v>0</v>
      </c>
      <c r="EO292" s="1887"/>
      <c r="EP292" s="1884">
        <f t="shared" ref="EP292:EP298" si="4">AM292/1000</f>
        <v>1323.3544121929849</v>
      </c>
      <c r="EQ292" s="1886">
        <f>BW17/1000</f>
        <v>0</v>
      </c>
    </row>
    <row r="293" spans="2:147" s="1070" customFormat="1" ht="15.6" outlineLevel="1" x14ac:dyDescent="0.3">
      <c r="B293" s="1266" t="s">
        <v>1317</v>
      </c>
      <c r="C293" s="1267"/>
      <c r="D293" s="1267"/>
      <c r="E293" s="1267"/>
      <c r="F293" s="1268">
        <f>Calc!F128</f>
        <v>0</v>
      </c>
      <c r="G293" s="1269">
        <f>Calc!G128</f>
        <v>0</v>
      </c>
      <c r="H293" s="1269">
        <f>Calc!H128</f>
        <v>0</v>
      </c>
      <c r="I293" s="1269">
        <f>Calc!I128</f>
        <v>0</v>
      </c>
      <c r="J293" s="1269">
        <f>Calc!J128</f>
        <v>0</v>
      </c>
      <c r="K293" s="1269">
        <f>Calc!K128</f>
        <v>0</v>
      </c>
      <c r="L293" s="1269">
        <f>Calc!L128</f>
        <v>0</v>
      </c>
      <c r="M293" s="1269">
        <f>Calc!M128</f>
        <v>1.3140491891891894</v>
      </c>
      <c r="N293" s="1269">
        <f>Calc!N128</f>
        <v>0.90631038467495006</v>
      </c>
      <c r="O293" s="1269">
        <f>Calc!O128</f>
        <v>0.50044938806731265</v>
      </c>
      <c r="P293" s="1269">
        <f>Calc!P128</f>
        <v>0.24494475138121563</v>
      </c>
      <c r="Q293" s="1269">
        <f>Calc!Q128</f>
        <v>0.11303281780460184</v>
      </c>
      <c r="R293" s="1269">
        <f>Calc!R128</f>
        <v>8.4253808754003595E-2</v>
      </c>
      <c r="S293" s="1269">
        <f>Calc!S128</f>
        <v>0.14748782377724826</v>
      </c>
      <c r="T293" s="1269">
        <f>Calc!T128</f>
        <v>4.541257142857124E-2</v>
      </c>
      <c r="U293" s="1269">
        <f>Calc!U128</f>
        <v>0.20359999999999981</v>
      </c>
      <c r="V293" s="1269">
        <f>Calc!V128</f>
        <v>0.12213123047230502</v>
      </c>
      <c r="W293" s="1269">
        <f>Calc!W128</f>
        <v>0.14958242861038459</v>
      </c>
      <c r="X293" s="1269">
        <f>Calc!X128</f>
        <v>-0.18113211190000003</v>
      </c>
      <c r="Y293" s="1269">
        <f>Calc!Y128</f>
        <v>-1</v>
      </c>
      <c r="Z293" s="1269">
        <f>Calc!Z128</f>
        <v>0</v>
      </c>
      <c r="AA293" s="1269">
        <f>Calc!AA128</f>
        <v>0</v>
      </c>
      <c r="AB293" s="1269">
        <f>Calc!AB128</f>
        <v>0</v>
      </c>
      <c r="AC293" s="1269">
        <f>Calc!AC128</f>
        <v>0</v>
      </c>
      <c r="AD293" s="1269">
        <f>Calc!AD128</f>
        <v>0</v>
      </c>
      <c r="AE293" s="1269">
        <f>Calc!AE128</f>
        <v>0</v>
      </c>
      <c r="AF293" s="1269">
        <f>Calc!AF128</f>
        <v>0</v>
      </c>
      <c r="AG293" s="1269">
        <f>Calc!AG128</f>
        <v>0</v>
      </c>
      <c r="AH293" s="1269">
        <f>Calc!AH128</f>
        <v>0</v>
      </c>
      <c r="AI293" s="1269">
        <f>Calc!AI128</f>
        <v>0</v>
      </c>
      <c r="AJ293" s="1270">
        <f>Calc!AJ128</f>
        <v>0.6942769690809576</v>
      </c>
      <c r="AK293" s="1271" t="str">
        <f>Calc!AK128</f>
        <v>5 Yr CAGR</v>
      </c>
      <c r="AL293" s="1272"/>
      <c r="AM293" s="1273">
        <f>Calc!AM128</f>
        <v>0.11856759831460995</v>
      </c>
      <c r="AN293" s="1269"/>
      <c r="AO293" s="1260"/>
      <c r="AP293" s="1268"/>
      <c r="AQ293" s="1270">
        <f t="shared" si="2"/>
        <v>0</v>
      </c>
      <c r="AR293" s="1269">
        <f t="shared" si="2"/>
        <v>0</v>
      </c>
      <c r="AS293" s="1269">
        <f t="shared" si="2"/>
        <v>0</v>
      </c>
      <c r="AT293" s="1269">
        <f t="shared" si="2"/>
        <v>0</v>
      </c>
      <c r="AU293" s="1269">
        <f t="shared" si="2"/>
        <v>0</v>
      </c>
      <c r="AV293" s="1269">
        <f t="shared" si="2"/>
        <v>0</v>
      </c>
      <c r="AW293" s="1269">
        <f t="shared" si="2"/>
        <v>0</v>
      </c>
      <c r="AX293" s="1269">
        <f t="shared" si="2"/>
        <v>0</v>
      </c>
      <c r="AY293" s="1269">
        <f t="shared" si="2"/>
        <v>0</v>
      </c>
      <c r="AZ293" s="1269">
        <f t="shared" si="2"/>
        <v>0</v>
      </c>
      <c r="BA293" s="1269">
        <f t="shared" si="2"/>
        <v>0</v>
      </c>
      <c r="BB293" s="1269">
        <f t="shared" si="2"/>
        <v>0</v>
      </c>
      <c r="BC293" s="1269">
        <f t="shared" si="2"/>
        <v>0</v>
      </c>
      <c r="BD293" s="1269">
        <f t="shared" si="2"/>
        <v>0</v>
      </c>
      <c r="BE293" s="1269">
        <f t="shared" si="2"/>
        <v>0</v>
      </c>
      <c r="BF293" s="1269">
        <f t="shared" si="2"/>
        <v>0</v>
      </c>
      <c r="BG293" s="1269">
        <f t="shared" si="2"/>
        <v>0</v>
      </c>
      <c r="BH293" s="1269">
        <f t="shared" si="2"/>
        <v>0</v>
      </c>
      <c r="BI293" s="1269">
        <f t="shared" si="2"/>
        <v>0</v>
      </c>
      <c r="BJ293" s="1269">
        <f t="shared" si="2"/>
        <v>0</v>
      </c>
      <c r="BK293" s="1269">
        <f t="shared" si="2"/>
        <v>0</v>
      </c>
      <c r="BL293" s="1269">
        <f t="shared" si="2"/>
        <v>0</v>
      </c>
      <c r="BM293" s="1269">
        <f t="shared" si="2"/>
        <v>0</v>
      </c>
      <c r="BN293" s="1269">
        <f t="shared" si="2"/>
        <v>0</v>
      </c>
      <c r="BO293" s="1269">
        <f t="shared" si="2"/>
        <v>0</v>
      </c>
      <c r="BP293" s="1269">
        <f t="shared" si="2"/>
        <v>0</v>
      </c>
      <c r="BQ293" s="1269">
        <f t="shared" si="2"/>
        <v>0</v>
      </c>
      <c r="BR293" s="1269">
        <f t="shared" si="2"/>
        <v>0</v>
      </c>
      <c r="BS293" s="1269">
        <f t="shared" si="2"/>
        <v>0</v>
      </c>
      <c r="BT293" s="1270">
        <f t="shared" si="2"/>
        <v>0</v>
      </c>
      <c r="BU293" s="1271" t="s">
        <v>1318</v>
      </c>
      <c r="BV293" s="1888"/>
      <c r="BW293" s="1273">
        <f>AM18</f>
        <v>0</v>
      </c>
      <c r="CC293" s="1889" t="s">
        <v>1317</v>
      </c>
      <c r="CD293" s="1890">
        <f t="shared" ref="CD293:CD312" si="5">F293/1000</f>
        <v>0</v>
      </c>
      <c r="CE293" s="1891"/>
      <c r="CF293" s="1892">
        <f t="shared" ref="CF293:CF312" si="6">G293/1000</f>
        <v>0</v>
      </c>
      <c r="CG293" s="1891"/>
      <c r="CH293" s="1893">
        <f t="shared" ref="CH293:CH312" si="7">H293/1000</f>
        <v>0</v>
      </c>
      <c r="CI293" s="1891"/>
      <c r="CJ293" s="1893">
        <f t="shared" ref="CJ293:CJ312" si="8">I293/1000</f>
        <v>0</v>
      </c>
      <c r="CK293" s="1891"/>
      <c r="CL293" s="1893">
        <f t="shared" ref="CL293:CL312" si="9">J293/1000</f>
        <v>0</v>
      </c>
      <c r="CM293" s="1891"/>
      <c r="CN293" s="1893">
        <f t="shared" ref="CN293:CN312" si="10">K293/1000</f>
        <v>0</v>
      </c>
      <c r="CO293" s="1891"/>
      <c r="CP293" s="1894">
        <f t="shared" ref="CP293:CP312" si="11">L293/1000</f>
        <v>0</v>
      </c>
      <c r="CQ293" s="1891"/>
      <c r="CR293" s="1893">
        <f t="shared" ref="CR293:CR312" si="12">M293/1000</f>
        <v>1.3140491891891893E-3</v>
      </c>
      <c r="CS293" s="1891"/>
      <c r="CT293" s="1893">
        <f t="shared" ref="CT293:CT312" si="13">N293/1000</f>
        <v>9.0631038467495011E-4</v>
      </c>
      <c r="CU293" s="1891"/>
      <c r="CV293" s="1893">
        <f t="shared" ref="CV293:CV312" si="14">O293/1000</f>
        <v>5.0044938806731269E-4</v>
      </c>
      <c r="CW293" s="1891"/>
      <c r="CX293" s="1893">
        <f t="shared" ref="CX293:CX312" si="15">P293/1000</f>
        <v>2.4494475138121563E-4</v>
      </c>
      <c r="CY293" s="1891"/>
      <c r="CZ293" s="1893">
        <f t="shared" ref="CZ293:CZ312" si="16">Q293/1000</f>
        <v>1.1303281780460184E-4</v>
      </c>
      <c r="DA293" s="1891"/>
      <c r="DB293" s="1893">
        <f t="shared" ref="DB293:DB312" si="17">R293/1000</f>
        <v>8.4253808754003595E-5</v>
      </c>
      <c r="DC293" s="1891"/>
      <c r="DD293" s="1893">
        <f t="shared" ref="DD293:DD312" si="18">S293/1000</f>
        <v>1.4748782377724826E-4</v>
      </c>
      <c r="DE293" s="1891"/>
      <c r="DF293" s="1893">
        <f t="shared" ref="DF293:DF312" si="19">T293/1000</f>
        <v>4.5412571428571241E-5</v>
      </c>
      <c r="DG293" s="1891"/>
      <c r="DH293" s="1893">
        <f t="shared" ref="DH293:DH312" si="20">U293/1000</f>
        <v>2.035999999999998E-4</v>
      </c>
      <c r="DI293" s="1891"/>
      <c r="DJ293" s="1893">
        <f t="shared" ref="DJ293:DJ312" si="21">V293/1000</f>
        <v>1.2213123047230502E-4</v>
      </c>
      <c r="DK293" s="1891"/>
      <c r="DL293" s="1893">
        <f t="shared" ref="DL293:DL312" si="22">W293/1000</f>
        <v>1.4958242861038459E-4</v>
      </c>
      <c r="DM293" s="1891"/>
      <c r="DN293" s="1893">
        <f t="shared" ref="DN293:DN312" si="23">X293/1000</f>
        <v>-1.8113211190000004E-4</v>
      </c>
      <c r="DO293" s="1891"/>
      <c r="DP293" s="1893">
        <f t="shared" ref="DP293:DP312" si="24">Y293/1000</f>
        <v>-1E-3</v>
      </c>
      <c r="DQ293" s="1891"/>
      <c r="DR293" s="1893">
        <f t="shared" ref="DR293:DR312" si="25">Z293/1000</f>
        <v>0</v>
      </c>
      <c r="DS293" s="1891"/>
      <c r="DT293" s="1893">
        <f t="shared" ref="DT293:DT312" si="26">AA293/1000</f>
        <v>0</v>
      </c>
      <c r="DU293" s="1891"/>
      <c r="DV293" s="1893">
        <f t="shared" ref="DV293:DV312" si="27">AB293/1000</f>
        <v>0</v>
      </c>
      <c r="DW293" s="1891"/>
      <c r="DX293" s="1893">
        <f t="shared" ref="DX293:DX312" si="28">AC293/1000</f>
        <v>0</v>
      </c>
      <c r="DY293" s="1891"/>
      <c r="DZ293" s="1893">
        <f t="shared" ref="DZ293:DZ312" si="29">AD293/1000</f>
        <v>0</v>
      </c>
      <c r="EA293" s="1891"/>
      <c r="EB293" s="1893">
        <f t="shared" ref="EB293:EB312" si="30">AE293/1000</f>
        <v>0</v>
      </c>
      <c r="EC293" s="1891"/>
      <c r="ED293" s="1893">
        <f t="shared" ref="ED293:ED312" si="31">AF293/1000</f>
        <v>0</v>
      </c>
      <c r="EE293" s="1891"/>
      <c r="EF293" s="1893">
        <f t="shared" ref="EF293:EF312" si="32">AG293/1000</f>
        <v>0</v>
      </c>
      <c r="EG293" s="1891"/>
      <c r="EH293" s="1893">
        <f t="shared" ref="EH293:EH312" si="33">AH293/1000</f>
        <v>0</v>
      </c>
      <c r="EI293" s="1891"/>
      <c r="EJ293" s="1893">
        <f t="shared" ref="EJ293:EJ312" si="34">AI293/1000</f>
        <v>0</v>
      </c>
      <c r="EK293" s="1891"/>
      <c r="EL293" s="1895">
        <f t="shared" si="3"/>
        <v>6.9427696908095759E-4</v>
      </c>
      <c r="EM293" s="1896" t="str">
        <f>AK293</f>
        <v>5 Yr CAGR</v>
      </c>
      <c r="EN293" s="1897"/>
      <c r="EO293" s="1272"/>
      <c r="EP293" s="1898">
        <f t="shared" si="4"/>
        <v>1.1856759831460995E-4</v>
      </c>
      <c r="EQ293" s="1897"/>
    </row>
    <row r="294" spans="2:147" s="1070" customFormat="1" ht="15.6" outlineLevel="1" x14ac:dyDescent="0.3">
      <c r="B294" s="1266" t="s">
        <v>1319</v>
      </c>
      <c r="C294" s="1766" t="s">
        <v>1449</v>
      </c>
      <c r="D294" s="1267"/>
      <c r="E294" s="1267"/>
      <c r="F294" s="1268">
        <f>Calc!F129</f>
        <v>0</v>
      </c>
      <c r="G294" s="1281">
        <f>Calc!G129</f>
        <v>0</v>
      </c>
      <c r="H294" s="1281">
        <f>Calc!H129</f>
        <v>0</v>
      </c>
      <c r="I294" s="1281">
        <f>Calc!I129</f>
        <v>0</v>
      </c>
      <c r="J294" s="1281">
        <f>Calc!J129</f>
        <v>0</v>
      </c>
      <c r="K294" s="1281">
        <f>Calc!K129</f>
        <v>0</v>
      </c>
      <c r="L294" s="1281">
        <f>Calc!L129</f>
        <v>0</v>
      </c>
      <c r="M294" s="1281">
        <f>Calc!M129</f>
        <v>0</v>
      </c>
      <c r="N294" s="1281">
        <f>Calc!N129</f>
        <v>0</v>
      </c>
      <c r="O294" s="1281">
        <f>Calc!O129</f>
        <v>0</v>
      </c>
      <c r="P294" s="1281">
        <f>Calc!P129</f>
        <v>0</v>
      </c>
      <c r="Q294" s="1281">
        <f>Calc!Q129</f>
        <v>0</v>
      </c>
      <c r="R294" s="1281">
        <f>Calc!R129</f>
        <v>0</v>
      </c>
      <c r="S294" s="1281">
        <f>Calc!S129</f>
        <v>0</v>
      </c>
      <c r="T294" s="1281">
        <f>Calc!T129</f>
        <v>0</v>
      </c>
      <c r="U294" s="1281">
        <f>Calc!U129</f>
        <v>0</v>
      </c>
      <c r="V294" s="1281">
        <f>Calc!V129</f>
        <v>0</v>
      </c>
      <c r="W294" s="1281">
        <f>Calc!W129</f>
        <v>0</v>
      </c>
      <c r="X294" s="1281">
        <f>Calc!X129</f>
        <v>0</v>
      </c>
      <c r="Y294" s="1281">
        <f>Calc!Y129</f>
        <v>0</v>
      </c>
      <c r="Z294" s="1281">
        <f>Calc!Z129</f>
        <v>0</v>
      </c>
      <c r="AA294" s="1281">
        <f>Calc!AA129</f>
        <v>0</v>
      </c>
      <c r="AB294" s="1281">
        <f>Calc!AB129</f>
        <v>0</v>
      </c>
      <c r="AC294" s="1281">
        <f>Calc!AC129</f>
        <v>0</v>
      </c>
      <c r="AD294" s="1281">
        <f>Calc!AD129</f>
        <v>0</v>
      </c>
      <c r="AE294" s="1281">
        <f>Calc!AE129</f>
        <v>0</v>
      </c>
      <c r="AF294" s="1281">
        <f>Calc!AF129</f>
        <v>0</v>
      </c>
      <c r="AG294" s="1281">
        <f>Calc!AG129</f>
        <v>0</v>
      </c>
      <c r="AH294" s="1281">
        <f>Calc!AH129</f>
        <v>0</v>
      </c>
      <c r="AI294" s="1281">
        <f>Calc!AI129</f>
        <v>0</v>
      </c>
      <c r="AJ294" s="1270">
        <f>Calc!AJ129</f>
        <v>0</v>
      </c>
      <c r="AK294" s="1271"/>
      <c r="AL294" s="1272"/>
      <c r="AM294" s="1273">
        <f>Calc!AM129</f>
        <v>0</v>
      </c>
      <c r="AN294" s="1269"/>
      <c r="AO294" s="1260"/>
      <c r="AP294" s="1268"/>
      <c r="AQ294" s="1270">
        <f t="shared" si="2"/>
        <v>0</v>
      </c>
      <c r="AR294" s="1269">
        <f t="shared" si="2"/>
        <v>0</v>
      </c>
      <c r="AS294" s="1269">
        <f t="shared" si="2"/>
        <v>0</v>
      </c>
      <c r="AT294" s="1269">
        <f t="shared" si="2"/>
        <v>0</v>
      </c>
      <c r="AU294" s="1269">
        <f t="shared" si="2"/>
        <v>0</v>
      </c>
      <c r="AV294" s="1269">
        <f t="shared" si="2"/>
        <v>0</v>
      </c>
      <c r="AW294" s="1269">
        <f t="shared" si="2"/>
        <v>0</v>
      </c>
      <c r="AX294" s="1269">
        <f t="shared" si="2"/>
        <v>0</v>
      </c>
      <c r="AY294" s="1269">
        <f t="shared" si="2"/>
        <v>0</v>
      </c>
      <c r="AZ294" s="1269">
        <f t="shared" si="2"/>
        <v>0</v>
      </c>
      <c r="BA294" s="1269">
        <f t="shared" si="2"/>
        <v>0</v>
      </c>
      <c r="BB294" s="1269">
        <f t="shared" si="2"/>
        <v>0</v>
      </c>
      <c r="BC294" s="1269">
        <f t="shared" si="2"/>
        <v>0</v>
      </c>
      <c r="BD294" s="1269">
        <f t="shared" si="2"/>
        <v>0</v>
      </c>
      <c r="BE294" s="1269">
        <f t="shared" si="2"/>
        <v>0</v>
      </c>
      <c r="BF294" s="1269">
        <f t="shared" si="2"/>
        <v>0</v>
      </c>
      <c r="BG294" s="1269">
        <f t="shared" si="2"/>
        <v>0</v>
      </c>
      <c r="BH294" s="1269">
        <f t="shared" si="2"/>
        <v>0</v>
      </c>
      <c r="BI294" s="1269">
        <f t="shared" si="2"/>
        <v>0</v>
      </c>
      <c r="BJ294" s="1269">
        <f t="shared" si="2"/>
        <v>0</v>
      </c>
      <c r="BK294" s="1269">
        <f t="shared" si="2"/>
        <v>0</v>
      </c>
      <c r="BL294" s="1269">
        <f t="shared" si="2"/>
        <v>0</v>
      </c>
      <c r="BM294" s="1269">
        <f t="shared" si="2"/>
        <v>0</v>
      </c>
      <c r="BN294" s="1269">
        <f t="shared" si="2"/>
        <v>0</v>
      </c>
      <c r="BO294" s="1269">
        <f t="shared" si="2"/>
        <v>0</v>
      </c>
      <c r="BP294" s="1269">
        <f t="shared" si="2"/>
        <v>0</v>
      </c>
      <c r="BQ294" s="1269">
        <f t="shared" si="2"/>
        <v>0</v>
      </c>
      <c r="BR294" s="1269">
        <f t="shared" si="2"/>
        <v>0</v>
      </c>
      <c r="BS294" s="1269">
        <f t="shared" si="2"/>
        <v>0</v>
      </c>
      <c r="BT294" s="1270">
        <f t="shared" si="2"/>
        <v>0</v>
      </c>
      <c r="BU294" s="1271"/>
      <c r="BV294" s="1888"/>
      <c r="BW294" s="1273">
        <f>AM19</f>
        <v>0</v>
      </c>
      <c r="CC294" s="1889" t="s">
        <v>1489</v>
      </c>
      <c r="CD294" s="1890">
        <f t="shared" si="5"/>
        <v>0</v>
      </c>
      <c r="CE294" s="1891"/>
      <c r="CF294" s="1892">
        <f t="shared" si="6"/>
        <v>0</v>
      </c>
      <c r="CG294" s="1891"/>
      <c r="CH294" s="1894">
        <f t="shared" si="7"/>
        <v>0</v>
      </c>
      <c r="CI294" s="1891"/>
      <c r="CJ294" s="1894">
        <f t="shared" si="8"/>
        <v>0</v>
      </c>
      <c r="CK294" s="1891"/>
      <c r="CL294" s="1894">
        <f t="shared" si="9"/>
        <v>0</v>
      </c>
      <c r="CM294" s="1891"/>
      <c r="CN294" s="1894">
        <f t="shared" si="10"/>
        <v>0</v>
      </c>
      <c r="CO294" s="1891"/>
      <c r="CP294" s="1894">
        <f t="shared" si="11"/>
        <v>0</v>
      </c>
      <c r="CQ294" s="1891"/>
      <c r="CR294" s="1894">
        <f t="shared" si="12"/>
        <v>0</v>
      </c>
      <c r="CS294" s="1891"/>
      <c r="CT294" s="1894">
        <f t="shared" si="13"/>
        <v>0</v>
      </c>
      <c r="CU294" s="1891"/>
      <c r="CV294" s="1894">
        <f t="shared" si="14"/>
        <v>0</v>
      </c>
      <c r="CW294" s="1891"/>
      <c r="CX294" s="1894">
        <f t="shared" si="15"/>
        <v>0</v>
      </c>
      <c r="CY294" s="1891"/>
      <c r="CZ294" s="1894">
        <f t="shared" si="16"/>
        <v>0</v>
      </c>
      <c r="DA294" s="1891"/>
      <c r="DB294" s="1894">
        <f t="shared" si="17"/>
        <v>0</v>
      </c>
      <c r="DC294" s="1891"/>
      <c r="DD294" s="1894">
        <f t="shared" si="18"/>
        <v>0</v>
      </c>
      <c r="DE294" s="1891"/>
      <c r="DF294" s="1894">
        <f t="shared" si="19"/>
        <v>0</v>
      </c>
      <c r="DG294" s="1891"/>
      <c r="DH294" s="1894">
        <f t="shared" si="20"/>
        <v>0</v>
      </c>
      <c r="DI294" s="1891"/>
      <c r="DJ294" s="1894">
        <f t="shared" si="21"/>
        <v>0</v>
      </c>
      <c r="DK294" s="1891"/>
      <c r="DL294" s="1894">
        <f t="shared" si="22"/>
        <v>0</v>
      </c>
      <c r="DM294" s="1891"/>
      <c r="DN294" s="1894">
        <f t="shared" si="23"/>
        <v>0</v>
      </c>
      <c r="DO294" s="1891"/>
      <c r="DP294" s="1894">
        <f t="shared" si="24"/>
        <v>0</v>
      </c>
      <c r="DQ294" s="1891"/>
      <c r="DR294" s="1894">
        <f t="shared" si="25"/>
        <v>0</v>
      </c>
      <c r="DS294" s="1891"/>
      <c r="DT294" s="1894">
        <f t="shared" si="26"/>
        <v>0</v>
      </c>
      <c r="DU294" s="1891"/>
      <c r="DV294" s="1894">
        <f t="shared" si="27"/>
        <v>0</v>
      </c>
      <c r="DW294" s="1891"/>
      <c r="DX294" s="1894">
        <f t="shared" si="28"/>
        <v>0</v>
      </c>
      <c r="DY294" s="1891"/>
      <c r="DZ294" s="1894">
        <f t="shared" si="29"/>
        <v>0</v>
      </c>
      <c r="EA294" s="1891"/>
      <c r="EB294" s="1894">
        <f t="shared" si="30"/>
        <v>0</v>
      </c>
      <c r="EC294" s="1891"/>
      <c r="ED294" s="1894">
        <f t="shared" si="31"/>
        <v>0</v>
      </c>
      <c r="EE294" s="1891"/>
      <c r="EF294" s="1894">
        <f t="shared" si="32"/>
        <v>0</v>
      </c>
      <c r="EG294" s="1891"/>
      <c r="EH294" s="1894">
        <f t="shared" si="33"/>
        <v>0</v>
      </c>
      <c r="EI294" s="1891"/>
      <c r="EJ294" s="1894">
        <f t="shared" si="34"/>
        <v>0</v>
      </c>
      <c r="EK294" s="1891"/>
      <c r="EL294" s="1899">
        <f t="shared" si="3"/>
        <v>0</v>
      </c>
      <c r="EM294" s="1900"/>
      <c r="EN294" s="1897"/>
      <c r="EO294" s="1272"/>
      <c r="EP294" s="1901">
        <f t="shared" si="4"/>
        <v>0</v>
      </c>
      <c r="EQ294" s="1897"/>
    </row>
    <row r="295" spans="2:147" s="1070" customFormat="1" ht="18" outlineLevel="1" x14ac:dyDescent="0.3">
      <c r="B295" s="1283" t="s">
        <v>1320</v>
      </c>
      <c r="C295" s="1284"/>
      <c r="D295" s="1285"/>
      <c r="E295" s="1286"/>
      <c r="F295" s="1287">
        <f>Calc!F130</f>
        <v>0</v>
      </c>
      <c r="G295" s="1288">
        <f>Calc!G130</f>
        <v>0</v>
      </c>
      <c r="H295" s="1288">
        <f>Calc!H130</f>
        <v>0</v>
      </c>
      <c r="I295" s="1288">
        <f>Calc!I130</f>
        <v>0</v>
      </c>
      <c r="J295" s="1288">
        <f>Calc!J130</f>
        <v>0</v>
      </c>
      <c r="K295" s="1288">
        <f>Calc!K130</f>
        <v>0</v>
      </c>
      <c r="L295" s="1288">
        <f>Calc!L130</f>
        <v>16667.203805107201</v>
      </c>
      <c r="M295" s="1288">
        <f>Calc!M130</f>
        <v>38568.729451259293</v>
      </c>
      <c r="N295" s="1288">
        <f>Calc!N130</f>
        <v>73523.96947665418</v>
      </c>
      <c r="O295" s="1288">
        <f>Calc!O130</f>
        <v>110318.99500952553</v>
      </c>
      <c r="P295" s="1288">
        <f>Calc!P130</f>
        <v>137341.05381475933</v>
      </c>
      <c r="Q295" s="1288">
        <f>Calc!Q130</f>
        <v>152865.10012769504</v>
      </c>
      <c r="R295" s="1288">
        <f>Calc!R130</f>
        <v>165744.56703901547</v>
      </c>
      <c r="S295" s="1288">
        <f>Calc!S130</f>
        <v>190189.87253450209</v>
      </c>
      <c r="T295" s="1288">
        <f>Calc!T130</f>
        <v>198826.88370596603</v>
      </c>
      <c r="U295" s="1288">
        <f>Calc!U130</f>
        <v>239308.03722850067</v>
      </c>
      <c r="V295" s="1288">
        <f>Calc!V130</f>
        <v>268535.02227712964</v>
      </c>
      <c r="W295" s="1288">
        <f>Calc!W130</f>
        <v>308703.14307628642</v>
      </c>
      <c r="X295" s="1288">
        <f>Calc!X130</f>
        <v>252787.09082071079</v>
      </c>
      <c r="Y295" s="1288">
        <f>Calc!Y130</f>
        <v>0</v>
      </c>
      <c r="Z295" s="1288">
        <f>Calc!Z130</f>
        <v>0</v>
      </c>
      <c r="AA295" s="1288">
        <f>Calc!AA130</f>
        <v>0</v>
      </c>
      <c r="AB295" s="1288">
        <f>Calc!AB130</f>
        <v>0</v>
      </c>
      <c r="AC295" s="1288">
        <f>Calc!AC130</f>
        <v>0</v>
      </c>
      <c r="AD295" s="1288">
        <f>Calc!AD130</f>
        <v>0</v>
      </c>
      <c r="AE295" s="1288">
        <f>Calc!AE130</f>
        <v>0</v>
      </c>
      <c r="AF295" s="1288">
        <f>Calc!AF130</f>
        <v>0</v>
      </c>
      <c r="AG295" s="1288">
        <f>Calc!AG130</f>
        <v>0</v>
      </c>
      <c r="AH295" s="1288">
        <f>Calc!AH130</f>
        <v>0</v>
      </c>
      <c r="AI295" s="1288">
        <f>Calc!AI130</f>
        <v>0</v>
      </c>
      <c r="AJ295" s="1289">
        <f>Calc!AJ130</f>
        <v>376419.95155730553</v>
      </c>
      <c r="AK295" s="1290"/>
      <c r="AL295" s="1272"/>
      <c r="AM295" s="1291">
        <f>Calc!AM130</f>
        <v>1323354.4121929849</v>
      </c>
      <c r="AN295" s="1764"/>
      <c r="AO295" s="1272"/>
      <c r="AP295" s="1287"/>
      <c r="AQ295" s="1902"/>
      <c r="AR295" s="1903"/>
      <c r="AS295" s="1903"/>
      <c r="AT295" s="1903"/>
      <c r="AU295" s="1903"/>
      <c r="AV295" s="1903"/>
      <c r="AW295" s="1903"/>
      <c r="AX295" s="1903"/>
      <c r="AY295" s="1903"/>
      <c r="AZ295" s="1903"/>
      <c r="BA295" s="1903"/>
      <c r="BB295" s="1903"/>
      <c r="BC295" s="1903"/>
      <c r="BD295" s="1903"/>
      <c r="BE295" s="1903"/>
      <c r="BF295" s="1903"/>
      <c r="BG295" s="1903"/>
      <c r="BH295" s="1903"/>
      <c r="BI295" s="1903"/>
      <c r="BJ295" s="1903"/>
      <c r="BK295" s="1903"/>
      <c r="BL295" s="1903"/>
      <c r="BM295" s="1903"/>
      <c r="BN295" s="1903"/>
      <c r="BO295" s="1903"/>
      <c r="BP295" s="1903"/>
      <c r="BQ295" s="1903"/>
      <c r="BR295" s="1903"/>
      <c r="BS295" s="1903"/>
      <c r="BT295" s="1902"/>
      <c r="BU295" s="1290"/>
      <c r="BV295" s="1398"/>
      <c r="BW295" s="1291"/>
      <c r="CC295" s="1904" t="s">
        <v>1490</v>
      </c>
      <c r="CD295" s="1905">
        <f t="shared" si="5"/>
        <v>0</v>
      </c>
      <c r="CE295" s="1906"/>
      <c r="CF295" s="1907">
        <f t="shared" si="6"/>
        <v>0</v>
      </c>
      <c r="CG295" s="1906"/>
      <c r="CH295" s="1908">
        <f t="shared" si="7"/>
        <v>0</v>
      </c>
      <c r="CI295" s="1906"/>
      <c r="CJ295" s="1908">
        <f t="shared" si="8"/>
        <v>0</v>
      </c>
      <c r="CK295" s="1906"/>
      <c r="CL295" s="1908">
        <f t="shared" si="9"/>
        <v>0</v>
      </c>
      <c r="CM295" s="1906"/>
      <c r="CN295" s="1908">
        <f t="shared" si="10"/>
        <v>0</v>
      </c>
      <c r="CO295" s="1906"/>
      <c r="CP295" s="1908">
        <f t="shared" si="11"/>
        <v>16.667203805107203</v>
      </c>
      <c r="CQ295" s="1906"/>
      <c r="CR295" s="1908">
        <f t="shared" si="12"/>
        <v>38.568729451259294</v>
      </c>
      <c r="CS295" s="1906"/>
      <c r="CT295" s="1908">
        <f t="shared" si="13"/>
        <v>73.523969476654173</v>
      </c>
      <c r="CU295" s="1906"/>
      <c r="CV295" s="1908">
        <f t="shared" si="14"/>
        <v>110.31899500952554</v>
      </c>
      <c r="CW295" s="1906"/>
      <c r="CX295" s="1908">
        <f t="shared" si="15"/>
        <v>137.34105381475933</v>
      </c>
      <c r="CY295" s="1906"/>
      <c r="CZ295" s="1908">
        <f t="shared" si="16"/>
        <v>152.86510012769503</v>
      </c>
      <c r="DA295" s="1906"/>
      <c r="DB295" s="1908">
        <f t="shared" si="17"/>
        <v>165.74456703901546</v>
      </c>
      <c r="DC295" s="1906"/>
      <c r="DD295" s="1908">
        <f t="shared" si="18"/>
        <v>190.18987253450209</v>
      </c>
      <c r="DE295" s="1906"/>
      <c r="DF295" s="1908">
        <f t="shared" si="19"/>
        <v>198.82688370596603</v>
      </c>
      <c r="DG295" s="1906"/>
      <c r="DH295" s="1908">
        <f t="shared" si="20"/>
        <v>239.30803722850067</v>
      </c>
      <c r="DI295" s="1906"/>
      <c r="DJ295" s="1908">
        <f t="shared" si="21"/>
        <v>268.53502227712966</v>
      </c>
      <c r="DK295" s="1906"/>
      <c r="DL295" s="1908">
        <f t="shared" si="22"/>
        <v>308.70314307628644</v>
      </c>
      <c r="DM295" s="1906"/>
      <c r="DN295" s="1908">
        <f t="shared" si="23"/>
        <v>252.78709082071077</v>
      </c>
      <c r="DO295" s="1906"/>
      <c r="DP295" s="1908">
        <f t="shared" si="24"/>
        <v>0</v>
      </c>
      <c r="DQ295" s="1906"/>
      <c r="DR295" s="1908">
        <f t="shared" si="25"/>
        <v>0</v>
      </c>
      <c r="DS295" s="1906"/>
      <c r="DT295" s="1908">
        <f t="shared" si="26"/>
        <v>0</v>
      </c>
      <c r="DU295" s="1906"/>
      <c r="DV295" s="1908">
        <f t="shared" si="27"/>
        <v>0</v>
      </c>
      <c r="DW295" s="1906"/>
      <c r="DX295" s="1908">
        <f t="shared" si="28"/>
        <v>0</v>
      </c>
      <c r="DY295" s="1906"/>
      <c r="DZ295" s="1908">
        <f t="shared" si="29"/>
        <v>0</v>
      </c>
      <c r="EA295" s="1906"/>
      <c r="EB295" s="1908">
        <f t="shared" si="30"/>
        <v>0</v>
      </c>
      <c r="EC295" s="1906"/>
      <c r="ED295" s="1908">
        <f t="shared" si="31"/>
        <v>0</v>
      </c>
      <c r="EE295" s="1906"/>
      <c r="EF295" s="1908">
        <f t="shared" si="32"/>
        <v>0</v>
      </c>
      <c r="EG295" s="1906"/>
      <c r="EH295" s="1908">
        <f t="shared" si="33"/>
        <v>0</v>
      </c>
      <c r="EI295" s="1906"/>
      <c r="EJ295" s="1908">
        <f t="shared" si="34"/>
        <v>0</v>
      </c>
      <c r="EK295" s="1906"/>
      <c r="EL295" s="1909">
        <f t="shared" si="3"/>
        <v>376.41995155730552</v>
      </c>
      <c r="EM295" s="1910"/>
      <c r="EN295" s="1911"/>
      <c r="EO295" s="1272"/>
      <c r="EP295" s="1912">
        <f t="shared" si="4"/>
        <v>1323.3544121929849</v>
      </c>
      <c r="EQ295" s="1911"/>
    </row>
    <row r="296" spans="2:147" s="1070" customFormat="1" ht="18" outlineLevel="1" x14ac:dyDescent="0.3">
      <c r="B296" s="1297" t="s">
        <v>1321</v>
      </c>
      <c r="C296" s="1298"/>
      <c r="D296" s="1298"/>
      <c r="E296" s="1298"/>
      <c r="F296" s="1303">
        <f>Calc!F131</f>
        <v>0</v>
      </c>
      <c r="G296" s="1300">
        <f>Calc!G131</f>
        <v>0</v>
      </c>
      <c r="H296" s="1300">
        <f>Calc!H131</f>
        <v>0</v>
      </c>
      <c r="I296" s="1300">
        <f>Calc!I131</f>
        <v>0</v>
      </c>
      <c r="J296" s="1300">
        <f>Calc!J131</f>
        <v>0</v>
      </c>
      <c r="K296" s="1300">
        <f>Calc!K131</f>
        <v>0</v>
      </c>
      <c r="L296" s="1300">
        <f>Calc!L131</f>
        <v>4910.06814799104</v>
      </c>
      <c r="M296" s="1300">
        <f>Calc!M131</f>
        <v>11698.892563884183</v>
      </c>
      <c r="N296" s="1300">
        <f>Calc!N131</f>
        <v>22368.383574590458</v>
      </c>
      <c r="O296" s="1300">
        <f>Calc!O131</f>
        <v>33659.483422105237</v>
      </c>
      <c r="P296" s="1300">
        <f>Calc!P131</f>
        <v>42194.943300629529</v>
      </c>
      <c r="Q296" s="1300">
        <f>Calc!Q131</f>
        <v>47128.704363602352</v>
      </c>
      <c r="R296" s="1300">
        <f>Calc!R131</f>
        <v>53019.586338411653</v>
      </c>
      <c r="S296" s="1300">
        <f>Calc!S131</f>
        <v>59927.682727453757</v>
      </c>
      <c r="T296" s="1300">
        <f>Calc!T131</f>
        <v>64900.019454034955</v>
      </c>
      <c r="U296" s="1300">
        <f>Calc!U131</f>
        <v>73945.751130874429</v>
      </c>
      <c r="V296" s="1300">
        <f>Calc!V131</f>
        <v>86050.724936225582</v>
      </c>
      <c r="W296" s="1300">
        <f>Calc!W131</f>
        <v>99177.233202950083</v>
      </c>
      <c r="X296" s="1300">
        <f>Calc!X131</f>
        <v>0</v>
      </c>
      <c r="Y296" s="1300">
        <f>Calc!Y131</f>
        <v>0</v>
      </c>
      <c r="Z296" s="1300">
        <f>Calc!Z131</f>
        <v>0</v>
      </c>
      <c r="AA296" s="1300">
        <f>Calc!AA131</f>
        <v>0</v>
      </c>
      <c r="AB296" s="1300">
        <f>Calc!AB131</f>
        <v>0</v>
      </c>
      <c r="AC296" s="1300">
        <f>Calc!AC131</f>
        <v>0</v>
      </c>
      <c r="AD296" s="1300">
        <f>Calc!AD131</f>
        <v>0</v>
      </c>
      <c r="AE296" s="1300">
        <f>Calc!AE131</f>
        <v>0</v>
      </c>
      <c r="AF296" s="1300">
        <f>Calc!AF131</f>
        <v>0</v>
      </c>
      <c r="AG296" s="1300">
        <f>Calc!AG131</f>
        <v>0</v>
      </c>
      <c r="AH296" s="1300">
        <f>Calc!AH131</f>
        <v>0</v>
      </c>
      <c r="AI296" s="1300">
        <f>Calc!AI131</f>
        <v>0</v>
      </c>
      <c r="AJ296" s="1301">
        <f>Calc!AJ131</f>
        <v>114831.77100920046</v>
      </c>
      <c r="AK296" s="1302">
        <f>Calc!AK131</f>
        <v>0.30506292382782657</v>
      </c>
      <c r="AL296" s="1272"/>
      <c r="AM296" s="1303">
        <f>Calc!AM131</f>
        <v>413753.51502357761</v>
      </c>
      <c r="AN296" s="1913"/>
      <c r="AO296" s="1260"/>
      <c r="AP296" s="1299">
        <f t="shared" ref="AP296:BE311" si="35">F21</f>
        <v>0</v>
      </c>
      <c r="AQ296" s="1301">
        <f t="shared" si="35"/>
        <v>0</v>
      </c>
      <c r="AR296" s="1300">
        <f t="shared" si="35"/>
        <v>0</v>
      </c>
      <c r="AS296" s="1300">
        <f t="shared" si="35"/>
        <v>0</v>
      </c>
      <c r="AT296" s="1300">
        <f t="shared" si="35"/>
        <v>0</v>
      </c>
      <c r="AU296" s="1300">
        <f t="shared" si="35"/>
        <v>0</v>
      </c>
      <c r="AV296" s="1300">
        <f t="shared" si="35"/>
        <v>0</v>
      </c>
      <c r="AW296" s="1300">
        <f t="shared" si="35"/>
        <v>0</v>
      </c>
      <c r="AX296" s="1300">
        <f t="shared" si="35"/>
        <v>0</v>
      </c>
      <c r="AY296" s="1300">
        <f t="shared" si="35"/>
        <v>0</v>
      </c>
      <c r="AZ296" s="1300">
        <f t="shared" si="35"/>
        <v>0</v>
      </c>
      <c r="BA296" s="1300">
        <f t="shared" si="35"/>
        <v>0</v>
      </c>
      <c r="BB296" s="1300">
        <f t="shared" si="35"/>
        <v>0</v>
      </c>
      <c r="BC296" s="1300">
        <f t="shared" si="35"/>
        <v>0</v>
      </c>
      <c r="BD296" s="1300">
        <f t="shared" si="35"/>
        <v>0</v>
      </c>
      <c r="BE296" s="1300">
        <f t="shared" si="35"/>
        <v>0</v>
      </c>
      <c r="BF296" s="1300">
        <f t="shared" ref="BF296:BU311" si="36">V21</f>
        <v>0</v>
      </c>
      <c r="BG296" s="1300">
        <f t="shared" si="36"/>
        <v>0</v>
      </c>
      <c r="BH296" s="1300">
        <f t="shared" si="36"/>
        <v>0</v>
      </c>
      <c r="BI296" s="1300">
        <f t="shared" si="36"/>
        <v>0</v>
      </c>
      <c r="BJ296" s="1300">
        <f t="shared" si="36"/>
        <v>0</v>
      </c>
      <c r="BK296" s="1300">
        <f t="shared" si="36"/>
        <v>0</v>
      </c>
      <c r="BL296" s="1300">
        <f t="shared" si="36"/>
        <v>0</v>
      </c>
      <c r="BM296" s="1300">
        <f t="shared" si="36"/>
        <v>0</v>
      </c>
      <c r="BN296" s="1300">
        <f t="shared" si="36"/>
        <v>0</v>
      </c>
      <c r="BO296" s="1300">
        <f t="shared" si="36"/>
        <v>0</v>
      </c>
      <c r="BP296" s="1300">
        <f t="shared" si="36"/>
        <v>0</v>
      </c>
      <c r="BQ296" s="1300">
        <f t="shared" si="36"/>
        <v>0</v>
      </c>
      <c r="BR296" s="1300">
        <f t="shared" si="36"/>
        <v>0</v>
      </c>
      <c r="BS296" s="1300">
        <f t="shared" si="36"/>
        <v>0</v>
      </c>
      <c r="BT296" s="1301">
        <f t="shared" si="36"/>
        <v>0</v>
      </c>
      <c r="BU296" s="1302">
        <f t="shared" si="36"/>
        <v>0</v>
      </c>
      <c r="BV296" s="1914"/>
      <c r="BW296" s="1303">
        <f t="shared" ref="BW296:BW311" si="37">AM21</f>
        <v>0</v>
      </c>
      <c r="CC296" s="1297" t="s">
        <v>1321</v>
      </c>
      <c r="CD296" s="1915">
        <f t="shared" si="5"/>
        <v>0</v>
      </c>
      <c r="CE296" s="1916">
        <f>AQ21/1000</f>
        <v>0</v>
      </c>
      <c r="CF296" s="1917">
        <f t="shared" si="6"/>
        <v>0</v>
      </c>
      <c r="CG296" s="1916">
        <f>AR21/1000</f>
        <v>0</v>
      </c>
      <c r="CH296" s="1918">
        <f t="shared" si="7"/>
        <v>0</v>
      </c>
      <c r="CI296" s="1916">
        <f>AS21/1000</f>
        <v>0</v>
      </c>
      <c r="CJ296" s="1918">
        <f t="shared" si="8"/>
        <v>0</v>
      </c>
      <c r="CK296" s="1916">
        <f>AT21/1000</f>
        <v>0</v>
      </c>
      <c r="CL296" s="1918">
        <f t="shared" si="9"/>
        <v>0</v>
      </c>
      <c r="CM296" s="1916">
        <f>AU21/1000</f>
        <v>0</v>
      </c>
      <c r="CN296" s="1918">
        <f t="shared" si="10"/>
        <v>0</v>
      </c>
      <c r="CO296" s="1916">
        <f>AV21/1000</f>
        <v>0</v>
      </c>
      <c r="CP296" s="1918">
        <f t="shared" si="11"/>
        <v>4.9100681479910397</v>
      </c>
      <c r="CQ296" s="1916">
        <f>AW21/1000</f>
        <v>0</v>
      </c>
      <c r="CR296" s="1918">
        <f t="shared" si="12"/>
        <v>11.698892563884183</v>
      </c>
      <c r="CS296" s="1916">
        <f>AX21/1000</f>
        <v>0</v>
      </c>
      <c r="CT296" s="1918">
        <f t="shared" si="13"/>
        <v>22.368383574590457</v>
      </c>
      <c r="CU296" s="1916">
        <f>AY21/1000</f>
        <v>0</v>
      </c>
      <c r="CV296" s="1918">
        <f t="shared" si="14"/>
        <v>33.659483422105239</v>
      </c>
      <c r="CW296" s="1916">
        <f>AZ21/1000</f>
        <v>0</v>
      </c>
      <c r="CX296" s="1918">
        <f t="shared" si="15"/>
        <v>42.194943300629532</v>
      </c>
      <c r="CY296" s="1916">
        <f>BA21/1000</f>
        <v>0</v>
      </c>
      <c r="CZ296" s="1918">
        <f t="shared" si="16"/>
        <v>47.128704363602353</v>
      </c>
      <c r="DA296" s="1916">
        <f>BB21/1000</f>
        <v>0</v>
      </c>
      <c r="DB296" s="1918">
        <f t="shared" si="17"/>
        <v>53.019586338411656</v>
      </c>
      <c r="DC296" s="1916">
        <f>BC21/1000</f>
        <v>0</v>
      </c>
      <c r="DD296" s="1918">
        <f t="shared" si="18"/>
        <v>59.927682727453757</v>
      </c>
      <c r="DE296" s="1916">
        <f>BD21/1000</f>
        <v>0</v>
      </c>
      <c r="DF296" s="1918">
        <f t="shared" si="19"/>
        <v>64.900019454034961</v>
      </c>
      <c r="DG296" s="1916">
        <f>BE21/1000</f>
        <v>0</v>
      </c>
      <c r="DH296" s="1918">
        <f t="shared" si="20"/>
        <v>73.945751130874427</v>
      </c>
      <c r="DI296" s="1916">
        <f>BF21/1000</f>
        <v>0</v>
      </c>
      <c r="DJ296" s="1918">
        <f t="shared" si="21"/>
        <v>86.050724936225578</v>
      </c>
      <c r="DK296" s="1916">
        <f>BG21/1000</f>
        <v>0</v>
      </c>
      <c r="DL296" s="1918">
        <f t="shared" si="22"/>
        <v>99.177233202950077</v>
      </c>
      <c r="DM296" s="1916">
        <f>BH21/1000</f>
        <v>0</v>
      </c>
      <c r="DN296" s="1918">
        <f t="shared" si="23"/>
        <v>0</v>
      </c>
      <c r="DO296" s="1916">
        <f>BI21/1000</f>
        <v>0</v>
      </c>
      <c r="DP296" s="1918">
        <f t="shared" si="24"/>
        <v>0</v>
      </c>
      <c r="DQ296" s="1916">
        <f>BJ21/1000</f>
        <v>0</v>
      </c>
      <c r="DR296" s="1918">
        <f t="shared" si="25"/>
        <v>0</v>
      </c>
      <c r="DS296" s="1916">
        <f>BK21/1000</f>
        <v>0</v>
      </c>
      <c r="DT296" s="1918">
        <f t="shared" si="26"/>
        <v>0</v>
      </c>
      <c r="DU296" s="1916">
        <f>BL21/1000</f>
        <v>0</v>
      </c>
      <c r="DV296" s="1918">
        <f t="shared" si="27"/>
        <v>0</v>
      </c>
      <c r="DW296" s="1916">
        <f>BM21/1000</f>
        <v>0</v>
      </c>
      <c r="DX296" s="1918">
        <f t="shared" si="28"/>
        <v>0</v>
      </c>
      <c r="DY296" s="1916">
        <f>BN21/1000</f>
        <v>0</v>
      </c>
      <c r="DZ296" s="1918">
        <f t="shared" si="29"/>
        <v>0</v>
      </c>
      <c r="EA296" s="1916">
        <f>BO21/1000</f>
        <v>0</v>
      </c>
      <c r="EB296" s="1918">
        <f t="shared" si="30"/>
        <v>0</v>
      </c>
      <c r="EC296" s="1916">
        <f>BP21/1000</f>
        <v>0</v>
      </c>
      <c r="ED296" s="1918">
        <f t="shared" si="31"/>
        <v>0</v>
      </c>
      <c r="EE296" s="1916">
        <f>BQ21/1000</f>
        <v>0</v>
      </c>
      <c r="EF296" s="1918">
        <f t="shared" si="32"/>
        <v>0</v>
      </c>
      <c r="EG296" s="1916">
        <f>BR21/1000</f>
        <v>0</v>
      </c>
      <c r="EH296" s="1918">
        <f t="shared" si="33"/>
        <v>0</v>
      </c>
      <c r="EI296" s="1916">
        <f>BS21/1000</f>
        <v>0</v>
      </c>
      <c r="EJ296" s="1918">
        <f t="shared" si="34"/>
        <v>0</v>
      </c>
      <c r="EK296" s="1916">
        <f>BT21/1000</f>
        <v>0</v>
      </c>
      <c r="EL296" s="1919">
        <f t="shared" si="3"/>
        <v>114.83177100920045</v>
      </c>
      <c r="EM296" s="1920">
        <f t="shared" ref="EM296:EM297" si="38">AK296</f>
        <v>0.30506292382782657</v>
      </c>
      <c r="EN296" s="1921">
        <f>BU21/1000</f>
        <v>0</v>
      </c>
      <c r="EO296" s="1260"/>
      <c r="EP296" s="1919">
        <f t="shared" si="4"/>
        <v>413.75351502357762</v>
      </c>
      <c r="EQ296" s="1921">
        <f>BW21/1000</f>
        <v>0</v>
      </c>
    </row>
    <row r="297" spans="2:147" s="1070" customFormat="1" ht="18" outlineLevel="1" x14ac:dyDescent="0.3">
      <c r="B297" s="1297" t="s">
        <v>1322</v>
      </c>
      <c r="C297" s="1298"/>
      <c r="D297" s="1298"/>
      <c r="E297" s="1298"/>
      <c r="F297" s="1303">
        <f>Calc!F132</f>
        <v>0</v>
      </c>
      <c r="G297" s="1300">
        <f>Calc!G132</f>
        <v>0</v>
      </c>
      <c r="H297" s="1300">
        <f>Calc!H132</f>
        <v>0</v>
      </c>
      <c r="I297" s="1300">
        <f>Calc!I132</f>
        <v>0</v>
      </c>
      <c r="J297" s="1300">
        <f>Calc!J132</f>
        <v>0</v>
      </c>
      <c r="K297" s="1300">
        <f>Calc!K132</f>
        <v>0</v>
      </c>
      <c r="L297" s="1300">
        <f>Calc!L132</f>
        <v>0</v>
      </c>
      <c r="M297" s="1300">
        <f>Calc!M132</f>
        <v>0</v>
      </c>
      <c r="N297" s="1300">
        <f>Calc!N132</f>
        <v>0</v>
      </c>
      <c r="O297" s="1300">
        <f>Calc!O132</f>
        <v>0</v>
      </c>
      <c r="P297" s="1300">
        <f>Calc!P132</f>
        <v>0</v>
      </c>
      <c r="Q297" s="1300">
        <f>Calc!Q132</f>
        <v>0</v>
      </c>
      <c r="R297" s="1300">
        <f>Calc!R132</f>
        <v>0</v>
      </c>
      <c r="S297" s="1300">
        <f>Calc!S132</f>
        <v>0</v>
      </c>
      <c r="T297" s="1300">
        <f>Calc!T132</f>
        <v>0</v>
      </c>
      <c r="U297" s="1300">
        <f>Calc!U132</f>
        <v>0</v>
      </c>
      <c r="V297" s="1300">
        <f>Calc!V132</f>
        <v>0</v>
      </c>
      <c r="W297" s="1300">
        <f>Calc!W132</f>
        <v>0</v>
      </c>
      <c r="X297" s="1300">
        <f>Calc!X132</f>
        <v>0</v>
      </c>
      <c r="Y297" s="1300">
        <f>Calc!Y132</f>
        <v>0</v>
      </c>
      <c r="Z297" s="1300">
        <f>Calc!Z132</f>
        <v>0</v>
      </c>
      <c r="AA297" s="1300">
        <f>Calc!AA132</f>
        <v>0</v>
      </c>
      <c r="AB297" s="1300">
        <f>Calc!AB132</f>
        <v>0</v>
      </c>
      <c r="AC297" s="1300">
        <f>Calc!AC132</f>
        <v>0</v>
      </c>
      <c r="AD297" s="1300">
        <f>Calc!AD132</f>
        <v>0</v>
      </c>
      <c r="AE297" s="1300">
        <f>Calc!AE132</f>
        <v>0</v>
      </c>
      <c r="AF297" s="1300">
        <f>Calc!AF132</f>
        <v>0</v>
      </c>
      <c r="AG297" s="1300">
        <f>Calc!AG132</f>
        <v>0</v>
      </c>
      <c r="AH297" s="1300">
        <f>Calc!AH132</f>
        <v>0</v>
      </c>
      <c r="AI297" s="1300">
        <f>Calc!AI132</f>
        <v>0</v>
      </c>
      <c r="AJ297" s="1301">
        <f>Calc!AJ132</f>
        <v>0</v>
      </c>
      <c r="AK297" s="1302">
        <f>Calc!AK132</f>
        <v>0</v>
      </c>
      <c r="AL297" s="1272"/>
      <c r="AM297" s="1303">
        <f>Calc!AM132</f>
        <v>0</v>
      </c>
      <c r="AN297" s="1913"/>
      <c r="AO297" s="1260"/>
      <c r="AP297" s="1299">
        <f t="shared" si="35"/>
        <v>0</v>
      </c>
      <c r="AQ297" s="1301">
        <f t="shared" si="35"/>
        <v>0</v>
      </c>
      <c r="AR297" s="1300">
        <f t="shared" si="35"/>
        <v>0</v>
      </c>
      <c r="AS297" s="1300">
        <f t="shared" si="35"/>
        <v>0</v>
      </c>
      <c r="AT297" s="1300">
        <f t="shared" si="35"/>
        <v>0</v>
      </c>
      <c r="AU297" s="1300">
        <f t="shared" si="35"/>
        <v>0</v>
      </c>
      <c r="AV297" s="1300">
        <f t="shared" si="35"/>
        <v>0</v>
      </c>
      <c r="AW297" s="1300">
        <f t="shared" si="35"/>
        <v>0</v>
      </c>
      <c r="AX297" s="1300">
        <f t="shared" si="35"/>
        <v>0</v>
      </c>
      <c r="AY297" s="1300">
        <f t="shared" si="35"/>
        <v>0</v>
      </c>
      <c r="AZ297" s="1300">
        <f t="shared" si="35"/>
        <v>0</v>
      </c>
      <c r="BA297" s="1300">
        <f t="shared" si="35"/>
        <v>0</v>
      </c>
      <c r="BB297" s="1300">
        <f t="shared" si="35"/>
        <v>0</v>
      </c>
      <c r="BC297" s="1300">
        <f t="shared" si="35"/>
        <v>0</v>
      </c>
      <c r="BD297" s="1300">
        <f t="shared" si="35"/>
        <v>0</v>
      </c>
      <c r="BE297" s="1300">
        <f t="shared" si="35"/>
        <v>0</v>
      </c>
      <c r="BF297" s="1300">
        <f t="shared" si="36"/>
        <v>0</v>
      </c>
      <c r="BG297" s="1300">
        <f t="shared" si="36"/>
        <v>0</v>
      </c>
      <c r="BH297" s="1300">
        <f t="shared" si="36"/>
        <v>0</v>
      </c>
      <c r="BI297" s="1300">
        <f t="shared" si="36"/>
        <v>0</v>
      </c>
      <c r="BJ297" s="1300">
        <f t="shared" si="36"/>
        <v>0</v>
      </c>
      <c r="BK297" s="1300">
        <f t="shared" si="36"/>
        <v>0</v>
      </c>
      <c r="BL297" s="1300">
        <f t="shared" si="36"/>
        <v>0</v>
      </c>
      <c r="BM297" s="1300">
        <f t="shared" si="36"/>
        <v>0</v>
      </c>
      <c r="BN297" s="1300">
        <f t="shared" si="36"/>
        <v>0</v>
      </c>
      <c r="BO297" s="1300">
        <f t="shared" si="36"/>
        <v>0</v>
      </c>
      <c r="BP297" s="1300">
        <f t="shared" si="36"/>
        <v>0</v>
      </c>
      <c r="BQ297" s="1300">
        <f t="shared" si="36"/>
        <v>0</v>
      </c>
      <c r="BR297" s="1300">
        <f t="shared" si="36"/>
        <v>0</v>
      </c>
      <c r="BS297" s="1300">
        <f t="shared" si="36"/>
        <v>0</v>
      </c>
      <c r="BT297" s="1301">
        <f t="shared" si="36"/>
        <v>0</v>
      </c>
      <c r="BU297" s="1302">
        <f t="shared" si="36"/>
        <v>0</v>
      </c>
      <c r="BV297" s="1914"/>
      <c r="BW297" s="1303">
        <f t="shared" si="37"/>
        <v>0</v>
      </c>
      <c r="CC297" s="1297" t="s">
        <v>1322</v>
      </c>
      <c r="CD297" s="1915">
        <f t="shared" si="5"/>
        <v>0</v>
      </c>
      <c r="CE297" s="1916">
        <f>AQ22/1000</f>
        <v>0</v>
      </c>
      <c r="CF297" s="1917">
        <f t="shared" si="6"/>
        <v>0</v>
      </c>
      <c r="CG297" s="1916">
        <f>AR22/1000</f>
        <v>0</v>
      </c>
      <c r="CH297" s="1918">
        <f t="shared" si="7"/>
        <v>0</v>
      </c>
      <c r="CI297" s="1916">
        <f>AS22/1000</f>
        <v>0</v>
      </c>
      <c r="CJ297" s="1918">
        <f t="shared" si="8"/>
        <v>0</v>
      </c>
      <c r="CK297" s="1916">
        <f>AT22/1000</f>
        <v>0</v>
      </c>
      <c r="CL297" s="1918">
        <f t="shared" si="9"/>
        <v>0</v>
      </c>
      <c r="CM297" s="1916">
        <f>AU22/1000</f>
        <v>0</v>
      </c>
      <c r="CN297" s="1918">
        <f t="shared" si="10"/>
        <v>0</v>
      </c>
      <c r="CO297" s="1916">
        <f>AV22/1000</f>
        <v>0</v>
      </c>
      <c r="CP297" s="1918">
        <f t="shared" si="11"/>
        <v>0</v>
      </c>
      <c r="CQ297" s="1916">
        <f>AW22/1000</f>
        <v>0</v>
      </c>
      <c r="CR297" s="1918">
        <f t="shared" si="12"/>
        <v>0</v>
      </c>
      <c r="CS297" s="1916">
        <f>AX22/1000</f>
        <v>0</v>
      </c>
      <c r="CT297" s="1918">
        <f t="shared" si="13"/>
        <v>0</v>
      </c>
      <c r="CU297" s="1916">
        <f>AY22/1000</f>
        <v>0</v>
      </c>
      <c r="CV297" s="1918">
        <f t="shared" si="14"/>
        <v>0</v>
      </c>
      <c r="CW297" s="1916">
        <f>AZ22/1000</f>
        <v>0</v>
      </c>
      <c r="CX297" s="1918">
        <f t="shared" si="15"/>
        <v>0</v>
      </c>
      <c r="CY297" s="1916">
        <f>BA22/1000</f>
        <v>0</v>
      </c>
      <c r="CZ297" s="1918">
        <f t="shared" si="16"/>
        <v>0</v>
      </c>
      <c r="DA297" s="1916">
        <f>BB22/1000</f>
        <v>0</v>
      </c>
      <c r="DB297" s="1918">
        <f t="shared" si="17"/>
        <v>0</v>
      </c>
      <c r="DC297" s="1916">
        <f>BC22/1000</f>
        <v>0</v>
      </c>
      <c r="DD297" s="1918">
        <f t="shared" si="18"/>
        <v>0</v>
      </c>
      <c r="DE297" s="1916">
        <f>BD22/1000</f>
        <v>0</v>
      </c>
      <c r="DF297" s="1918">
        <f t="shared" si="19"/>
        <v>0</v>
      </c>
      <c r="DG297" s="1916">
        <f>BE22/1000</f>
        <v>0</v>
      </c>
      <c r="DH297" s="1918">
        <f t="shared" si="20"/>
        <v>0</v>
      </c>
      <c r="DI297" s="1916">
        <f>BF22/1000</f>
        <v>0</v>
      </c>
      <c r="DJ297" s="1918">
        <f t="shared" si="21"/>
        <v>0</v>
      </c>
      <c r="DK297" s="1916">
        <f>BG22/1000</f>
        <v>0</v>
      </c>
      <c r="DL297" s="1918">
        <f t="shared" si="22"/>
        <v>0</v>
      </c>
      <c r="DM297" s="1916">
        <f>BH22/1000</f>
        <v>0</v>
      </c>
      <c r="DN297" s="1918">
        <f t="shared" si="23"/>
        <v>0</v>
      </c>
      <c r="DO297" s="1916">
        <f>BI22/1000</f>
        <v>0</v>
      </c>
      <c r="DP297" s="1918">
        <f t="shared" si="24"/>
        <v>0</v>
      </c>
      <c r="DQ297" s="1916">
        <f>BJ22/1000</f>
        <v>0</v>
      </c>
      <c r="DR297" s="1918">
        <f t="shared" si="25"/>
        <v>0</v>
      </c>
      <c r="DS297" s="1916">
        <f>BK22/1000</f>
        <v>0</v>
      </c>
      <c r="DT297" s="1918">
        <f t="shared" si="26"/>
        <v>0</v>
      </c>
      <c r="DU297" s="1916">
        <f>BL22/1000</f>
        <v>0</v>
      </c>
      <c r="DV297" s="1918">
        <f t="shared" si="27"/>
        <v>0</v>
      </c>
      <c r="DW297" s="1916">
        <f>BM22/1000</f>
        <v>0</v>
      </c>
      <c r="DX297" s="1918">
        <f t="shared" si="28"/>
        <v>0</v>
      </c>
      <c r="DY297" s="1916">
        <f>BN22/1000</f>
        <v>0</v>
      </c>
      <c r="DZ297" s="1918">
        <f t="shared" si="29"/>
        <v>0</v>
      </c>
      <c r="EA297" s="1916">
        <f>BO22/1000</f>
        <v>0</v>
      </c>
      <c r="EB297" s="1918">
        <f t="shared" si="30"/>
        <v>0</v>
      </c>
      <c r="EC297" s="1916">
        <f>BP22/1000</f>
        <v>0</v>
      </c>
      <c r="ED297" s="1918">
        <f t="shared" si="31"/>
        <v>0</v>
      </c>
      <c r="EE297" s="1916">
        <f>BQ22/1000</f>
        <v>0</v>
      </c>
      <c r="EF297" s="1918">
        <f t="shared" si="32"/>
        <v>0</v>
      </c>
      <c r="EG297" s="1916">
        <f>BR22/1000</f>
        <v>0</v>
      </c>
      <c r="EH297" s="1918">
        <f t="shared" si="33"/>
        <v>0</v>
      </c>
      <c r="EI297" s="1916">
        <f>BS22/1000</f>
        <v>0</v>
      </c>
      <c r="EJ297" s="1918">
        <f t="shared" si="34"/>
        <v>0</v>
      </c>
      <c r="EK297" s="1916">
        <f>BT22/1000</f>
        <v>0</v>
      </c>
      <c r="EL297" s="1919">
        <f t="shared" si="3"/>
        <v>0</v>
      </c>
      <c r="EM297" s="1922">
        <f t="shared" si="38"/>
        <v>0</v>
      </c>
      <c r="EN297" s="1921">
        <f>BU22/1000</f>
        <v>0</v>
      </c>
      <c r="EO297" s="1260"/>
      <c r="EP297" s="1919">
        <f t="shared" si="4"/>
        <v>0</v>
      </c>
      <c r="EQ297" s="1921">
        <f>BW22/1000</f>
        <v>0</v>
      </c>
    </row>
    <row r="298" spans="2:147" s="1070" customFormat="1" ht="18" outlineLevel="1" x14ac:dyDescent="0.3">
      <c r="B298" s="1308" t="s">
        <v>286</v>
      </c>
      <c r="C298" s="1309"/>
      <c r="D298" s="1309"/>
      <c r="E298" s="1309"/>
      <c r="F298" s="1310">
        <f>Calc!F133</f>
        <v>0</v>
      </c>
      <c r="G298" s="1311">
        <f>Calc!G133</f>
        <v>0</v>
      </c>
      <c r="H298" s="1311">
        <f>Calc!H133</f>
        <v>0</v>
      </c>
      <c r="I298" s="1311">
        <f>Calc!I133</f>
        <v>0</v>
      </c>
      <c r="J298" s="1311">
        <f>Calc!J133</f>
        <v>0</v>
      </c>
      <c r="K298" s="1311">
        <f>Calc!K133</f>
        <v>0</v>
      </c>
      <c r="L298" s="1311">
        <f>Calc!L133</f>
        <v>11757.135657116161</v>
      </c>
      <c r="M298" s="1311">
        <f>Calc!M133</f>
        <v>26869.83688737511</v>
      </c>
      <c r="N298" s="1311">
        <f>Calc!N133</f>
        <v>51155.585902063722</v>
      </c>
      <c r="O298" s="1311">
        <f>Calc!O133</f>
        <v>76659.511587420304</v>
      </c>
      <c r="P298" s="1311">
        <f>Calc!P133</f>
        <v>95146.110514129803</v>
      </c>
      <c r="Q298" s="1311">
        <f>Calc!Q133</f>
        <v>105736.39576409268</v>
      </c>
      <c r="R298" s="1311">
        <f>Calc!R133</f>
        <v>112724.98070060382</v>
      </c>
      <c r="S298" s="1311">
        <f>Calc!S133</f>
        <v>130262.18980704833</v>
      </c>
      <c r="T298" s="1311">
        <f>Calc!T133</f>
        <v>133926.86425193108</v>
      </c>
      <c r="U298" s="1311">
        <f>Calc!U133</f>
        <v>165362.28609762626</v>
      </c>
      <c r="V298" s="1311">
        <f>Calc!V133</f>
        <v>182484.29734090407</v>
      </c>
      <c r="W298" s="1311">
        <f>Calc!W133</f>
        <v>209525.90987333632</v>
      </c>
      <c r="X298" s="1311">
        <f>Calc!X133</f>
        <v>252787.09082071079</v>
      </c>
      <c r="Y298" s="1311">
        <f>Calc!Y133</f>
        <v>0</v>
      </c>
      <c r="Z298" s="1311">
        <f>Calc!Z133</f>
        <v>0</v>
      </c>
      <c r="AA298" s="1311">
        <f>Calc!AA133</f>
        <v>0</v>
      </c>
      <c r="AB298" s="1311">
        <f>Calc!AB133</f>
        <v>0</v>
      </c>
      <c r="AC298" s="1311">
        <f>Calc!AC133</f>
        <v>0</v>
      </c>
      <c r="AD298" s="1311">
        <f>Calc!AD133</f>
        <v>0</v>
      </c>
      <c r="AE298" s="1311">
        <f>Calc!AE133</f>
        <v>0</v>
      </c>
      <c r="AF298" s="1311">
        <f>Calc!AF133</f>
        <v>0</v>
      </c>
      <c r="AG298" s="1311">
        <f>Calc!AG133</f>
        <v>0</v>
      </c>
      <c r="AH298" s="1311">
        <f>Calc!AH133</f>
        <v>0</v>
      </c>
      <c r="AI298" s="1311">
        <f>Calc!AI133</f>
        <v>0</v>
      </c>
      <c r="AJ298" s="1312">
        <f>Calc!AJ133</f>
        <v>261588.18054810507</v>
      </c>
      <c r="AK298" s="1313"/>
      <c r="AL298" s="1923"/>
      <c r="AM298" s="1310">
        <f>Calc!AM133</f>
        <v>909600.89716940734</v>
      </c>
      <c r="AN298" s="1371"/>
      <c r="AO298" s="1260"/>
      <c r="AP298" s="1310"/>
      <c r="AQ298" s="1312">
        <f t="shared" si="35"/>
        <v>0</v>
      </c>
      <c r="AR298" s="1311">
        <f t="shared" si="35"/>
        <v>0</v>
      </c>
      <c r="AS298" s="1311">
        <f t="shared" si="35"/>
        <v>0</v>
      </c>
      <c r="AT298" s="1311">
        <f t="shared" si="35"/>
        <v>0</v>
      </c>
      <c r="AU298" s="1311">
        <f t="shared" si="35"/>
        <v>0</v>
      </c>
      <c r="AV298" s="1311">
        <f t="shared" si="35"/>
        <v>0</v>
      </c>
      <c r="AW298" s="1311">
        <f t="shared" si="35"/>
        <v>0</v>
      </c>
      <c r="AX298" s="1311">
        <f t="shared" si="35"/>
        <v>0</v>
      </c>
      <c r="AY298" s="1311">
        <f t="shared" si="35"/>
        <v>0</v>
      </c>
      <c r="AZ298" s="1311">
        <f t="shared" si="35"/>
        <v>0</v>
      </c>
      <c r="BA298" s="1311">
        <f t="shared" si="35"/>
        <v>0</v>
      </c>
      <c r="BB298" s="1311">
        <f t="shared" si="35"/>
        <v>0</v>
      </c>
      <c r="BC298" s="1311">
        <f t="shared" si="35"/>
        <v>0</v>
      </c>
      <c r="BD298" s="1311">
        <f t="shared" si="35"/>
        <v>0</v>
      </c>
      <c r="BE298" s="1311">
        <f t="shared" si="35"/>
        <v>0</v>
      </c>
      <c r="BF298" s="1311">
        <f t="shared" si="36"/>
        <v>0</v>
      </c>
      <c r="BG298" s="1311">
        <f t="shared" si="36"/>
        <v>0</v>
      </c>
      <c r="BH298" s="1311">
        <f t="shared" si="36"/>
        <v>0</v>
      </c>
      <c r="BI298" s="1311">
        <f t="shared" si="36"/>
        <v>0</v>
      </c>
      <c r="BJ298" s="1311">
        <f t="shared" si="36"/>
        <v>0</v>
      </c>
      <c r="BK298" s="1311">
        <f t="shared" si="36"/>
        <v>0</v>
      </c>
      <c r="BL298" s="1311">
        <f t="shared" si="36"/>
        <v>0</v>
      </c>
      <c r="BM298" s="1311">
        <f t="shared" si="36"/>
        <v>0</v>
      </c>
      <c r="BN298" s="1311">
        <f t="shared" si="36"/>
        <v>0</v>
      </c>
      <c r="BO298" s="1311">
        <f t="shared" si="36"/>
        <v>0</v>
      </c>
      <c r="BP298" s="1311">
        <f t="shared" si="36"/>
        <v>0</v>
      </c>
      <c r="BQ298" s="1311">
        <f t="shared" si="36"/>
        <v>0</v>
      </c>
      <c r="BR298" s="1311">
        <f t="shared" si="36"/>
        <v>0</v>
      </c>
      <c r="BS298" s="1311">
        <f t="shared" si="36"/>
        <v>0</v>
      </c>
      <c r="BT298" s="1312">
        <f t="shared" si="36"/>
        <v>0</v>
      </c>
      <c r="BU298" s="1313"/>
      <c r="BV298" s="1398"/>
      <c r="BW298" s="1310">
        <f t="shared" si="37"/>
        <v>0</v>
      </c>
      <c r="CC298" s="1924" t="s">
        <v>286</v>
      </c>
      <c r="CD298" s="1925">
        <f t="shared" si="5"/>
        <v>0</v>
      </c>
      <c r="CE298" s="1926">
        <f>AQ23/1000</f>
        <v>0</v>
      </c>
      <c r="CF298" s="1927">
        <f t="shared" si="6"/>
        <v>0</v>
      </c>
      <c r="CG298" s="1926">
        <f>AR23/1000</f>
        <v>0</v>
      </c>
      <c r="CH298" s="1928">
        <f t="shared" si="7"/>
        <v>0</v>
      </c>
      <c r="CI298" s="1926">
        <f>AS23/1000</f>
        <v>0</v>
      </c>
      <c r="CJ298" s="1928">
        <f t="shared" si="8"/>
        <v>0</v>
      </c>
      <c r="CK298" s="1926">
        <f>AT23/1000</f>
        <v>0</v>
      </c>
      <c r="CL298" s="1928">
        <f t="shared" si="9"/>
        <v>0</v>
      </c>
      <c r="CM298" s="1926">
        <f>AU23/1000</f>
        <v>0</v>
      </c>
      <c r="CN298" s="1928">
        <f t="shared" si="10"/>
        <v>0</v>
      </c>
      <c r="CO298" s="1926">
        <f>AV23/1000</f>
        <v>0</v>
      </c>
      <c r="CP298" s="1928">
        <f t="shared" si="11"/>
        <v>11.757135657116162</v>
      </c>
      <c r="CQ298" s="1926">
        <f>AW23/1000</f>
        <v>0</v>
      </c>
      <c r="CR298" s="1928">
        <f t="shared" si="12"/>
        <v>26.869836887375108</v>
      </c>
      <c r="CS298" s="1926">
        <f>AX23/1000</f>
        <v>0</v>
      </c>
      <c r="CT298" s="1928">
        <f t="shared" si="13"/>
        <v>51.15558590206372</v>
      </c>
      <c r="CU298" s="1926">
        <f>AY23/1000</f>
        <v>0</v>
      </c>
      <c r="CV298" s="1928">
        <f t="shared" si="14"/>
        <v>76.659511587420297</v>
      </c>
      <c r="CW298" s="1926">
        <f>AZ23/1000</f>
        <v>0</v>
      </c>
      <c r="CX298" s="1928">
        <f t="shared" si="15"/>
        <v>95.146110514129802</v>
      </c>
      <c r="CY298" s="1926">
        <f>BA23/1000</f>
        <v>0</v>
      </c>
      <c r="CZ298" s="1928">
        <f t="shared" si="16"/>
        <v>105.73639576409268</v>
      </c>
      <c r="DA298" s="1926">
        <f>BB23/1000</f>
        <v>0</v>
      </c>
      <c r="DB298" s="1928">
        <f t="shared" si="17"/>
        <v>112.72498070060382</v>
      </c>
      <c r="DC298" s="1926">
        <f>BC23/1000</f>
        <v>0</v>
      </c>
      <c r="DD298" s="1928">
        <f t="shared" si="18"/>
        <v>130.26218980704832</v>
      </c>
      <c r="DE298" s="1926">
        <f>BD23/1000</f>
        <v>0</v>
      </c>
      <c r="DF298" s="1928">
        <f t="shared" si="19"/>
        <v>133.92686425193108</v>
      </c>
      <c r="DG298" s="1926">
        <f>BE23/1000</f>
        <v>0</v>
      </c>
      <c r="DH298" s="1928">
        <f t="shared" si="20"/>
        <v>165.36228609762625</v>
      </c>
      <c r="DI298" s="1926">
        <f>BF23/1000</f>
        <v>0</v>
      </c>
      <c r="DJ298" s="1928">
        <f t="shared" si="21"/>
        <v>182.48429734090408</v>
      </c>
      <c r="DK298" s="1926">
        <f>BG23/1000</f>
        <v>0</v>
      </c>
      <c r="DL298" s="1928">
        <f t="shared" si="22"/>
        <v>209.52590987333633</v>
      </c>
      <c r="DM298" s="1926">
        <f>BH23/1000</f>
        <v>0</v>
      </c>
      <c r="DN298" s="1928">
        <f t="shared" si="23"/>
        <v>252.78709082071077</v>
      </c>
      <c r="DO298" s="1926">
        <f>BI23/1000</f>
        <v>0</v>
      </c>
      <c r="DP298" s="1928">
        <f t="shared" si="24"/>
        <v>0</v>
      </c>
      <c r="DQ298" s="1926">
        <f>BJ23/1000</f>
        <v>0</v>
      </c>
      <c r="DR298" s="1928">
        <f t="shared" si="25"/>
        <v>0</v>
      </c>
      <c r="DS298" s="1926">
        <f>BK23/1000</f>
        <v>0</v>
      </c>
      <c r="DT298" s="1928">
        <f t="shared" si="26"/>
        <v>0</v>
      </c>
      <c r="DU298" s="1926">
        <f>BL23/1000</f>
        <v>0</v>
      </c>
      <c r="DV298" s="1928">
        <f t="shared" si="27"/>
        <v>0</v>
      </c>
      <c r="DW298" s="1926">
        <f>BM23/1000</f>
        <v>0</v>
      </c>
      <c r="DX298" s="1928">
        <f t="shared" si="28"/>
        <v>0</v>
      </c>
      <c r="DY298" s="1926">
        <f>BN23/1000</f>
        <v>0</v>
      </c>
      <c r="DZ298" s="1928">
        <f t="shared" si="29"/>
        <v>0</v>
      </c>
      <c r="EA298" s="1926">
        <f>BO23/1000</f>
        <v>0</v>
      </c>
      <c r="EB298" s="1928">
        <f t="shared" si="30"/>
        <v>0</v>
      </c>
      <c r="EC298" s="1926">
        <f>BP23/1000</f>
        <v>0</v>
      </c>
      <c r="ED298" s="1928">
        <f t="shared" si="31"/>
        <v>0</v>
      </c>
      <c r="EE298" s="1926">
        <f>BQ23/1000</f>
        <v>0</v>
      </c>
      <c r="EF298" s="1928">
        <f t="shared" si="32"/>
        <v>0</v>
      </c>
      <c r="EG298" s="1926">
        <f>BR23/1000</f>
        <v>0</v>
      </c>
      <c r="EH298" s="1928">
        <f t="shared" si="33"/>
        <v>0</v>
      </c>
      <c r="EI298" s="1926">
        <f>BS23/1000</f>
        <v>0</v>
      </c>
      <c r="EJ298" s="1928">
        <f t="shared" si="34"/>
        <v>0</v>
      </c>
      <c r="EK298" s="1926">
        <f>BT23/1000</f>
        <v>0</v>
      </c>
      <c r="EL298" s="1929">
        <f t="shared" si="3"/>
        <v>261.58818054810507</v>
      </c>
      <c r="EM298" s="1930"/>
      <c r="EN298" s="1931">
        <f>BU23/1000</f>
        <v>0</v>
      </c>
      <c r="EO298" s="1260"/>
      <c r="EP298" s="1929">
        <f t="shared" si="4"/>
        <v>909.60089716940729</v>
      </c>
      <c r="EQ298" s="1931">
        <f>BW23/1000</f>
        <v>0</v>
      </c>
    </row>
    <row r="299" spans="2:147" s="1070" customFormat="1" outlineLevel="1" x14ac:dyDescent="0.3">
      <c r="B299" s="1320"/>
      <c r="C299" s="1321" t="s">
        <v>1323</v>
      </c>
      <c r="D299" s="1322"/>
      <c r="E299" s="1323"/>
      <c r="F299" s="1932">
        <f>Calc!F134</f>
        <v>0</v>
      </c>
      <c r="G299" s="1325">
        <f>Calc!G134</f>
        <v>0</v>
      </c>
      <c r="H299" s="1325">
        <f>Calc!H134</f>
        <v>0</v>
      </c>
      <c r="I299" s="1325">
        <f>Calc!I134</f>
        <v>0</v>
      </c>
      <c r="J299" s="1325">
        <f>Calc!J134</f>
        <v>0</v>
      </c>
      <c r="K299" s="1325">
        <f>Calc!K134</f>
        <v>0</v>
      </c>
      <c r="L299" s="1325">
        <f>Calc!L134</f>
        <v>0.70540540540540542</v>
      </c>
      <c r="M299" s="1325">
        <f>Calc!M134</f>
        <v>0.69667415208301064</v>
      </c>
      <c r="N299" s="1325">
        <f>Calc!N134</f>
        <v>0.69576746557878633</v>
      </c>
      <c r="O299" s="1325">
        <f>Calc!O134</f>
        <v>0.694889502762431</v>
      </c>
      <c r="P299" s="1325">
        <f>Calc!P134</f>
        <v>0.69277253866465482</v>
      </c>
      <c r="Q299" s="1325">
        <f>Calc!Q134</f>
        <v>0.69169742260179956</v>
      </c>
      <c r="R299" s="1325">
        <f>Calc!R134</f>
        <v>0.68011267406471854</v>
      </c>
      <c r="S299" s="1325">
        <f>Calc!S134</f>
        <v>0.68490602612616835</v>
      </c>
      <c r="T299" s="1325">
        <f>Calc!T134</f>
        <v>0.67358529065912454</v>
      </c>
      <c r="U299" s="1325">
        <f>Calc!U134</f>
        <v>0.69100180676226886</v>
      </c>
      <c r="V299" s="1325">
        <f>Calc!V134</f>
        <v>0.67955492655471683</v>
      </c>
      <c r="W299" s="1325">
        <f>Calc!W134</f>
        <v>0.67872943496904559</v>
      </c>
      <c r="X299" s="1325">
        <f>Calc!X134</f>
        <v>1</v>
      </c>
      <c r="Y299" s="1325">
        <f>Calc!Y134</f>
        <v>0</v>
      </c>
      <c r="Z299" s="1325">
        <f>Calc!Z134</f>
        <v>0</v>
      </c>
      <c r="AA299" s="1325">
        <f>Calc!AA134</f>
        <v>0</v>
      </c>
      <c r="AB299" s="1325">
        <f>Calc!AB134</f>
        <v>0</v>
      </c>
      <c r="AC299" s="1325">
        <f>Calc!AC134</f>
        <v>0</v>
      </c>
      <c r="AD299" s="1325">
        <f>Calc!AD134</f>
        <v>0</v>
      </c>
      <c r="AE299" s="1325">
        <f>Calc!AE134</f>
        <v>0</v>
      </c>
      <c r="AF299" s="1325">
        <f>Calc!AF134</f>
        <v>0</v>
      </c>
      <c r="AG299" s="1325">
        <f>Calc!AG134</f>
        <v>0</v>
      </c>
      <c r="AH299" s="1325">
        <f>Calc!AH134</f>
        <v>0</v>
      </c>
      <c r="AI299" s="1325">
        <f>Calc!AI134</f>
        <v>0</v>
      </c>
      <c r="AJ299" s="1326">
        <f>Calc!AJ134</f>
        <v>0.69493707617217348</v>
      </c>
      <c r="AK299" s="1933"/>
      <c r="AL299" s="1870"/>
      <c r="AM299" s="1329">
        <f>Calc!AM134</f>
        <v>0.68734489324146386</v>
      </c>
      <c r="AN299" s="1379"/>
      <c r="AO299" s="1328"/>
      <c r="AP299" s="1324"/>
      <c r="AQ299" s="1326">
        <f t="shared" si="35"/>
        <v>0</v>
      </c>
      <c r="AR299" s="1325">
        <f t="shared" si="35"/>
        <v>0</v>
      </c>
      <c r="AS299" s="1325">
        <f t="shared" si="35"/>
        <v>0</v>
      </c>
      <c r="AT299" s="1325">
        <f t="shared" si="35"/>
        <v>0</v>
      </c>
      <c r="AU299" s="1325">
        <f t="shared" si="35"/>
        <v>0</v>
      </c>
      <c r="AV299" s="1325">
        <f t="shared" si="35"/>
        <v>0</v>
      </c>
      <c r="AW299" s="1325">
        <f t="shared" si="35"/>
        <v>0</v>
      </c>
      <c r="AX299" s="1325">
        <f t="shared" si="35"/>
        <v>0</v>
      </c>
      <c r="AY299" s="1325">
        <f t="shared" si="35"/>
        <v>0</v>
      </c>
      <c r="AZ299" s="1325">
        <f t="shared" si="35"/>
        <v>0</v>
      </c>
      <c r="BA299" s="1325">
        <f t="shared" si="35"/>
        <v>0</v>
      </c>
      <c r="BB299" s="1325">
        <f t="shared" si="35"/>
        <v>0</v>
      </c>
      <c r="BC299" s="1325">
        <f t="shared" si="35"/>
        <v>0</v>
      </c>
      <c r="BD299" s="1325">
        <f t="shared" si="35"/>
        <v>0</v>
      </c>
      <c r="BE299" s="1325">
        <f t="shared" si="35"/>
        <v>0</v>
      </c>
      <c r="BF299" s="1325">
        <f t="shared" si="36"/>
        <v>0</v>
      </c>
      <c r="BG299" s="1325">
        <f t="shared" si="36"/>
        <v>0</v>
      </c>
      <c r="BH299" s="1325">
        <f t="shared" si="36"/>
        <v>0</v>
      </c>
      <c r="BI299" s="1325">
        <f t="shared" si="36"/>
        <v>0</v>
      </c>
      <c r="BJ299" s="1325">
        <f t="shared" si="36"/>
        <v>0</v>
      </c>
      <c r="BK299" s="1325">
        <f t="shared" si="36"/>
        <v>0</v>
      </c>
      <c r="BL299" s="1325">
        <f t="shared" si="36"/>
        <v>0</v>
      </c>
      <c r="BM299" s="1325">
        <f t="shared" si="36"/>
        <v>0</v>
      </c>
      <c r="BN299" s="1325">
        <f t="shared" si="36"/>
        <v>0</v>
      </c>
      <c r="BO299" s="1325">
        <f t="shared" si="36"/>
        <v>0</v>
      </c>
      <c r="BP299" s="1325">
        <f t="shared" si="36"/>
        <v>0</v>
      </c>
      <c r="BQ299" s="1325">
        <f t="shared" si="36"/>
        <v>0</v>
      </c>
      <c r="BR299" s="1325">
        <f t="shared" si="36"/>
        <v>0</v>
      </c>
      <c r="BS299" s="1325">
        <f t="shared" si="36"/>
        <v>0</v>
      </c>
      <c r="BT299" s="1326">
        <f t="shared" si="36"/>
        <v>0</v>
      </c>
      <c r="BU299" s="1933"/>
      <c r="BV299" s="1934"/>
      <c r="BW299" s="1329">
        <f t="shared" si="37"/>
        <v>0</v>
      </c>
      <c r="CC299" s="1935" t="s">
        <v>1491</v>
      </c>
      <c r="CD299" s="1936" t="str">
        <f>IF(F299=0,"",F299)</f>
        <v/>
      </c>
      <c r="CE299" s="1937"/>
      <c r="CF299" s="1938" t="str">
        <f>IF(G299=0,"",G299)</f>
        <v/>
      </c>
      <c r="CG299" s="1937"/>
      <c r="CH299" s="1939" t="str">
        <f>IF(H299=0,"",H299)</f>
        <v/>
      </c>
      <c r="CI299" s="1937"/>
      <c r="CJ299" s="1939" t="str">
        <f>IF(I299=0,"",I299)</f>
        <v/>
      </c>
      <c r="CK299" s="1937"/>
      <c r="CL299" s="1939" t="str">
        <f>IF(J299=0,"",J299)</f>
        <v/>
      </c>
      <c r="CM299" s="1937"/>
      <c r="CN299" s="1939" t="str">
        <f>IF(K299=0,"",K299)</f>
        <v/>
      </c>
      <c r="CO299" s="1937"/>
      <c r="CP299" s="1939">
        <f>IF(L299=0,"",L299)</f>
        <v>0.70540540540540542</v>
      </c>
      <c r="CQ299" s="1937"/>
      <c r="CR299" s="1939">
        <f>IF(M299=0,"",M299)</f>
        <v>0.69667415208301064</v>
      </c>
      <c r="CS299" s="1937"/>
      <c r="CT299" s="1939">
        <f>IF(N299=0,"",N299)</f>
        <v>0.69576746557878633</v>
      </c>
      <c r="CU299" s="1937"/>
      <c r="CV299" s="1939">
        <f>IF(O299=0,"",O299)</f>
        <v>0.694889502762431</v>
      </c>
      <c r="CW299" s="1937"/>
      <c r="CX299" s="1939">
        <f>IF(P299=0,"",P299)</f>
        <v>0.69277253866465482</v>
      </c>
      <c r="CY299" s="1937"/>
      <c r="CZ299" s="1939">
        <f>IF(Q299=0,"",Q299)</f>
        <v>0.69169742260179956</v>
      </c>
      <c r="DA299" s="1937"/>
      <c r="DB299" s="1939">
        <f>IF(R299=0,"",R299)</f>
        <v>0.68011267406471854</v>
      </c>
      <c r="DC299" s="1937"/>
      <c r="DD299" s="1939">
        <f>IF(S299=0,"",S299)</f>
        <v>0.68490602612616835</v>
      </c>
      <c r="DE299" s="1937"/>
      <c r="DF299" s="1939">
        <f>IF(T299=0,"",T299)</f>
        <v>0.67358529065912454</v>
      </c>
      <c r="DG299" s="1937"/>
      <c r="DH299" s="1939">
        <f>IF(U299=0,"",U299)</f>
        <v>0.69100180676226886</v>
      </c>
      <c r="DI299" s="1937"/>
      <c r="DJ299" s="1939">
        <f>IF(V299=0,"",V299)</f>
        <v>0.67955492655471683</v>
      </c>
      <c r="DK299" s="1937"/>
      <c r="DL299" s="1939">
        <f>IF(W299=0,"",W299)</f>
        <v>0.67872943496904559</v>
      </c>
      <c r="DM299" s="1937"/>
      <c r="DN299" s="1939">
        <f>IF(X299=0,"",X299)</f>
        <v>1</v>
      </c>
      <c r="DO299" s="1937"/>
      <c r="DP299" s="1939" t="str">
        <f>IF(Y299=0,"",Y299)</f>
        <v/>
      </c>
      <c r="DQ299" s="1937"/>
      <c r="DR299" s="1939" t="str">
        <f>IF(Z299=0,"",Z299)</f>
        <v/>
      </c>
      <c r="DS299" s="1937"/>
      <c r="DT299" s="1939" t="str">
        <f>IF(AA299=0,"",AA299)</f>
        <v/>
      </c>
      <c r="DU299" s="1937"/>
      <c r="DV299" s="1939" t="str">
        <f>IF(AB299=0,"",AB299)</f>
        <v/>
      </c>
      <c r="DW299" s="1937"/>
      <c r="DX299" s="1939" t="str">
        <f>IF(AC299=0,"",AC299)</f>
        <v/>
      </c>
      <c r="DY299" s="1937"/>
      <c r="DZ299" s="1939" t="str">
        <f>IF(AD299=0,"",AD299)</f>
        <v/>
      </c>
      <c r="EA299" s="1937"/>
      <c r="EB299" s="1939" t="str">
        <f>IF(AE299=0,"",AE299)</f>
        <v/>
      </c>
      <c r="EC299" s="1937"/>
      <c r="ED299" s="1939" t="str">
        <f>IF(AF299=0,"",AF299)</f>
        <v/>
      </c>
      <c r="EE299" s="1937"/>
      <c r="EF299" s="1939" t="str">
        <f>IF(AG299=0,"",AG299)</f>
        <v/>
      </c>
      <c r="EG299" s="1937"/>
      <c r="EH299" s="1939" t="str">
        <f>IF(AH299=0,"",AH299)</f>
        <v/>
      </c>
      <c r="EI299" s="1937"/>
      <c r="EJ299" s="1939" t="str">
        <f>IF(AI299=0,"",AI299)</f>
        <v/>
      </c>
      <c r="EK299" s="1937"/>
      <c r="EL299" s="1940" t="str">
        <f>IF(AK299=0,"",AK299)</f>
        <v/>
      </c>
      <c r="EM299" s="1941"/>
      <c r="EN299" s="1942"/>
      <c r="EO299" s="1943"/>
      <c r="EP299" s="1940" t="str">
        <f>IF(AP299=0,"",AP299)</f>
        <v/>
      </c>
      <c r="EQ299" s="1942"/>
    </row>
    <row r="300" spans="2:147" s="1070" customFormat="1" ht="18" outlineLevel="1" x14ac:dyDescent="0.3">
      <c r="B300" s="1336" t="s">
        <v>1324</v>
      </c>
      <c r="C300" s="1337"/>
      <c r="D300" s="1298"/>
      <c r="E300" s="1337"/>
      <c r="F300" s="1303">
        <f>Calc!F135</f>
        <v>0</v>
      </c>
      <c r="G300" s="1300">
        <f>Calc!G135</f>
        <v>200</v>
      </c>
      <c r="H300" s="1300">
        <f>Calc!H135</f>
        <v>1000</v>
      </c>
      <c r="I300" s="1300">
        <f>Calc!I135</f>
        <v>2500</v>
      </c>
      <c r="J300" s="1300">
        <f>Calc!J135</f>
        <v>3500</v>
      </c>
      <c r="K300" s="1300">
        <f>Calc!K135</f>
        <v>4500</v>
      </c>
      <c r="L300" s="1300">
        <f>Calc!L135</f>
        <v>3300.0096684919295</v>
      </c>
      <c r="M300" s="1300">
        <f>Calc!M135</f>
        <v>3694.2371301226672</v>
      </c>
      <c r="N300" s="1300">
        <f>Calc!N135</f>
        <v>3323.4314505797752</v>
      </c>
      <c r="O300" s="1300">
        <f>Calc!O135</f>
        <v>3485.7419101714595</v>
      </c>
      <c r="P300" s="1300">
        <f>Calc!P135</f>
        <v>3972.1389686656671</v>
      </c>
      <c r="Q300" s="1300">
        <f>Calc!Q135</f>
        <v>4251.5718022985111</v>
      </c>
      <c r="R300" s="1300">
        <f>Calc!R135</f>
        <v>3983.4022067022779</v>
      </c>
      <c r="S300" s="1300">
        <f>Calc!S135</f>
        <v>4423.4177056210374</v>
      </c>
      <c r="T300" s="1300">
        <f>Calc!T135</f>
        <v>4578.8839067073877</v>
      </c>
      <c r="U300" s="1300">
        <f>Calc!U135</f>
        <v>5307.5446701130122</v>
      </c>
      <c r="V300" s="1300">
        <f>Calc!V135</f>
        <v>5833.6304009883333</v>
      </c>
      <c r="W300" s="1300">
        <f>Calc!W135</f>
        <v>6556.6565753731547</v>
      </c>
      <c r="X300" s="1300">
        <f>Calc!X135</f>
        <v>0</v>
      </c>
      <c r="Y300" s="1300">
        <f>Calc!Y135</f>
        <v>0</v>
      </c>
      <c r="Z300" s="1300">
        <f>Calc!Z135</f>
        <v>0</v>
      </c>
      <c r="AA300" s="1300">
        <f>Calc!AA135</f>
        <v>0</v>
      </c>
      <c r="AB300" s="1300">
        <f>Calc!AB135</f>
        <v>0</v>
      </c>
      <c r="AC300" s="1300">
        <f>Calc!AC135</f>
        <v>0</v>
      </c>
      <c r="AD300" s="1300">
        <f>Calc!AD135</f>
        <v>0</v>
      </c>
      <c r="AE300" s="1300">
        <f>Calc!AE135</f>
        <v>0</v>
      </c>
      <c r="AF300" s="1300">
        <f>Calc!AF135</f>
        <v>0</v>
      </c>
      <c r="AG300" s="1300">
        <f>Calc!AG135</f>
        <v>0</v>
      </c>
      <c r="AH300" s="1300">
        <f>Calc!AH135</f>
        <v>0</v>
      </c>
      <c r="AI300" s="1300">
        <f>Calc!AI135</f>
        <v>0</v>
      </c>
      <c r="AJ300" s="1301">
        <f>Calc!AJ135</f>
        <v>29475.559128031495</v>
      </c>
      <c r="AK300" s="1302">
        <f>Calc!AK135</f>
        <v>7.8304986242325111E-2</v>
      </c>
      <c r="AL300" s="1272"/>
      <c r="AM300" s="1303">
        <f>Calc!AM135</f>
        <v>52020.379419473727</v>
      </c>
      <c r="AN300" s="1913"/>
      <c r="AO300" s="1260"/>
      <c r="AP300" s="1299">
        <f>F25</f>
        <v>0</v>
      </c>
      <c r="AQ300" s="1301">
        <f t="shared" si="35"/>
        <v>0</v>
      </c>
      <c r="AR300" s="1300">
        <f t="shared" si="35"/>
        <v>0</v>
      </c>
      <c r="AS300" s="1300">
        <f t="shared" si="35"/>
        <v>0</v>
      </c>
      <c r="AT300" s="1300">
        <f t="shared" si="35"/>
        <v>0</v>
      </c>
      <c r="AU300" s="1300">
        <f t="shared" si="35"/>
        <v>0</v>
      </c>
      <c r="AV300" s="1300">
        <f t="shared" si="35"/>
        <v>0</v>
      </c>
      <c r="AW300" s="1300">
        <f t="shared" si="35"/>
        <v>0</v>
      </c>
      <c r="AX300" s="1300">
        <f t="shared" si="35"/>
        <v>0</v>
      </c>
      <c r="AY300" s="1300">
        <f t="shared" si="35"/>
        <v>0</v>
      </c>
      <c r="AZ300" s="1300">
        <f t="shared" si="35"/>
        <v>0</v>
      </c>
      <c r="BA300" s="1300">
        <f t="shared" si="35"/>
        <v>0</v>
      </c>
      <c r="BB300" s="1300">
        <f t="shared" si="35"/>
        <v>0</v>
      </c>
      <c r="BC300" s="1300">
        <f t="shared" si="35"/>
        <v>0</v>
      </c>
      <c r="BD300" s="1300">
        <f t="shared" si="35"/>
        <v>0</v>
      </c>
      <c r="BE300" s="1300">
        <f t="shared" si="35"/>
        <v>0</v>
      </c>
      <c r="BF300" s="1300">
        <f t="shared" si="36"/>
        <v>0</v>
      </c>
      <c r="BG300" s="1300">
        <f t="shared" si="36"/>
        <v>0</v>
      </c>
      <c r="BH300" s="1300">
        <f t="shared" si="36"/>
        <v>0</v>
      </c>
      <c r="BI300" s="1300">
        <f t="shared" si="36"/>
        <v>0</v>
      </c>
      <c r="BJ300" s="1300">
        <f t="shared" si="36"/>
        <v>0</v>
      </c>
      <c r="BK300" s="1300">
        <f t="shared" si="36"/>
        <v>0</v>
      </c>
      <c r="BL300" s="1300">
        <f t="shared" si="36"/>
        <v>0</v>
      </c>
      <c r="BM300" s="1300">
        <f t="shared" si="36"/>
        <v>0</v>
      </c>
      <c r="BN300" s="1300">
        <f t="shared" si="36"/>
        <v>0</v>
      </c>
      <c r="BO300" s="1300">
        <f t="shared" si="36"/>
        <v>0</v>
      </c>
      <c r="BP300" s="1300">
        <f t="shared" si="36"/>
        <v>0</v>
      </c>
      <c r="BQ300" s="1300">
        <f t="shared" si="36"/>
        <v>0</v>
      </c>
      <c r="BR300" s="1300">
        <f t="shared" si="36"/>
        <v>0</v>
      </c>
      <c r="BS300" s="1300">
        <f t="shared" si="36"/>
        <v>0</v>
      </c>
      <c r="BT300" s="1301">
        <f t="shared" si="36"/>
        <v>0</v>
      </c>
      <c r="BU300" s="1302">
        <f>AK25</f>
        <v>0</v>
      </c>
      <c r="BV300" s="1914"/>
      <c r="BW300" s="1303">
        <f t="shared" si="37"/>
        <v>0</v>
      </c>
      <c r="CC300" s="1297" t="s">
        <v>1324</v>
      </c>
      <c r="CD300" s="1944">
        <f t="shared" si="5"/>
        <v>0</v>
      </c>
      <c r="CE300" s="1945">
        <f>AQ25/1000</f>
        <v>0</v>
      </c>
      <c r="CF300" s="1946">
        <f t="shared" si="6"/>
        <v>0.2</v>
      </c>
      <c r="CG300" s="1945">
        <f>AR25/1000</f>
        <v>0</v>
      </c>
      <c r="CH300" s="1947">
        <f t="shared" si="7"/>
        <v>1</v>
      </c>
      <c r="CI300" s="1945">
        <f>AS25/1000</f>
        <v>0</v>
      </c>
      <c r="CJ300" s="1947">
        <f t="shared" si="8"/>
        <v>2.5</v>
      </c>
      <c r="CK300" s="1945">
        <f>AT25/1000</f>
        <v>0</v>
      </c>
      <c r="CL300" s="1947">
        <f t="shared" si="9"/>
        <v>3.5</v>
      </c>
      <c r="CM300" s="1945">
        <f>AU25/1000</f>
        <v>0</v>
      </c>
      <c r="CN300" s="1947">
        <f t="shared" si="10"/>
        <v>4.5</v>
      </c>
      <c r="CO300" s="1945">
        <f>AV25/1000</f>
        <v>0</v>
      </c>
      <c r="CP300" s="1947">
        <f t="shared" si="11"/>
        <v>3.3000096684919296</v>
      </c>
      <c r="CQ300" s="1945">
        <f>AW25/1000</f>
        <v>0</v>
      </c>
      <c r="CR300" s="1918">
        <f t="shared" si="12"/>
        <v>3.6942371301226671</v>
      </c>
      <c r="CS300" s="1945">
        <f>AX25/1000</f>
        <v>0</v>
      </c>
      <c r="CT300" s="1918">
        <f t="shared" si="13"/>
        <v>3.3234314505797751</v>
      </c>
      <c r="CU300" s="1945">
        <f>AY25/1000</f>
        <v>0</v>
      </c>
      <c r="CV300" s="1918">
        <f t="shared" si="14"/>
        <v>3.4857419101714595</v>
      </c>
      <c r="CW300" s="1945">
        <f>AZ25/1000</f>
        <v>0</v>
      </c>
      <c r="CX300" s="1918">
        <f t="shared" si="15"/>
        <v>3.972138968665667</v>
      </c>
      <c r="CY300" s="1945">
        <f>BA25/1000</f>
        <v>0</v>
      </c>
      <c r="CZ300" s="1918">
        <f t="shared" si="16"/>
        <v>4.2515718022985114</v>
      </c>
      <c r="DA300" s="1945">
        <f>BB25/1000</f>
        <v>0</v>
      </c>
      <c r="DB300" s="1918">
        <f t="shared" si="17"/>
        <v>3.9834022067022778</v>
      </c>
      <c r="DC300" s="1945">
        <f>BC25/1000</f>
        <v>0</v>
      </c>
      <c r="DD300" s="1918">
        <f t="shared" si="18"/>
        <v>4.4234177056210378</v>
      </c>
      <c r="DE300" s="1945">
        <f>BD25/1000</f>
        <v>0</v>
      </c>
      <c r="DF300" s="1918">
        <f t="shared" si="19"/>
        <v>4.5788839067073877</v>
      </c>
      <c r="DG300" s="1945">
        <f>BE25/1000</f>
        <v>0</v>
      </c>
      <c r="DH300" s="1918">
        <f t="shared" si="20"/>
        <v>5.3075446701130122</v>
      </c>
      <c r="DI300" s="1945">
        <f>BF25/1000</f>
        <v>0</v>
      </c>
      <c r="DJ300" s="1918">
        <f t="shared" si="21"/>
        <v>5.8336304009883335</v>
      </c>
      <c r="DK300" s="1945">
        <f>BG25/1000</f>
        <v>0</v>
      </c>
      <c r="DL300" s="1918">
        <f t="shared" si="22"/>
        <v>6.5566565753731547</v>
      </c>
      <c r="DM300" s="1945">
        <f>BH25/1000</f>
        <v>0</v>
      </c>
      <c r="DN300" s="1918">
        <f t="shared" si="23"/>
        <v>0</v>
      </c>
      <c r="DO300" s="1945">
        <f>BI25/1000</f>
        <v>0</v>
      </c>
      <c r="DP300" s="1918">
        <f t="shared" si="24"/>
        <v>0</v>
      </c>
      <c r="DQ300" s="1945">
        <f>BJ25/1000</f>
        <v>0</v>
      </c>
      <c r="DR300" s="1918">
        <f t="shared" si="25"/>
        <v>0</v>
      </c>
      <c r="DS300" s="1945">
        <f>BK25/1000</f>
        <v>0</v>
      </c>
      <c r="DT300" s="1918">
        <f t="shared" si="26"/>
        <v>0</v>
      </c>
      <c r="DU300" s="1945">
        <f>BL25/1000</f>
        <v>0</v>
      </c>
      <c r="DV300" s="1918">
        <f t="shared" si="27"/>
        <v>0</v>
      </c>
      <c r="DW300" s="1945">
        <f>BM25/1000</f>
        <v>0</v>
      </c>
      <c r="DX300" s="1918">
        <f t="shared" si="28"/>
        <v>0</v>
      </c>
      <c r="DY300" s="1945">
        <f>BN25/1000</f>
        <v>0</v>
      </c>
      <c r="DZ300" s="1918">
        <f t="shared" si="29"/>
        <v>0</v>
      </c>
      <c r="EA300" s="1945">
        <f>BO25/1000</f>
        <v>0</v>
      </c>
      <c r="EB300" s="1918">
        <f t="shared" si="30"/>
        <v>0</v>
      </c>
      <c r="EC300" s="1945">
        <f>BP25/1000</f>
        <v>0</v>
      </c>
      <c r="ED300" s="1918">
        <f t="shared" si="31"/>
        <v>0</v>
      </c>
      <c r="EE300" s="1945">
        <f>BQ25/1000</f>
        <v>0</v>
      </c>
      <c r="EF300" s="1918">
        <f t="shared" si="32"/>
        <v>0</v>
      </c>
      <c r="EG300" s="1945">
        <f>BR25/1000</f>
        <v>0</v>
      </c>
      <c r="EH300" s="1918">
        <f t="shared" si="33"/>
        <v>0</v>
      </c>
      <c r="EI300" s="1945">
        <f>BS25/1000</f>
        <v>0</v>
      </c>
      <c r="EJ300" s="1918">
        <f t="shared" si="34"/>
        <v>0</v>
      </c>
      <c r="EK300" s="1945">
        <f>BT25/1000</f>
        <v>0</v>
      </c>
      <c r="EL300" s="1919">
        <f>AJ300/1000</f>
        <v>29.475559128031495</v>
      </c>
      <c r="EM300" s="1948">
        <f>AK300</f>
        <v>7.8304986242325111E-2</v>
      </c>
      <c r="EN300" s="1921">
        <f>BU25/1000</f>
        <v>0</v>
      </c>
      <c r="EO300" s="1260"/>
      <c r="EP300" s="1949">
        <f>AM300/1000</f>
        <v>52.020379419473727</v>
      </c>
      <c r="EQ300" s="1921">
        <f>BW25/1000</f>
        <v>0</v>
      </c>
    </row>
    <row r="301" spans="2:147" s="1070" customFormat="1" ht="18" outlineLevel="1" x14ac:dyDescent="0.3">
      <c r="B301" s="1336" t="s">
        <v>1325</v>
      </c>
      <c r="C301" s="1337"/>
      <c r="D301" s="1298"/>
      <c r="E301" s="1337"/>
      <c r="F301" s="1303">
        <f>Calc!F136</f>
        <v>0</v>
      </c>
      <c r="G301" s="1300">
        <f>Calc!G136</f>
        <v>4828.4206951872993</v>
      </c>
      <c r="H301" s="1300">
        <f>Calc!H136</f>
        <v>3450.6323370654059</v>
      </c>
      <c r="I301" s="1300">
        <f>Calc!I136</f>
        <v>8338.541056523256</v>
      </c>
      <c r="J301" s="1300">
        <f>Calc!J136</f>
        <v>7736.0276633552903</v>
      </c>
      <c r="K301" s="1300">
        <f>Calc!K136</f>
        <v>2362.6098811049887</v>
      </c>
      <c r="L301" s="1300">
        <f>Calc!L136</f>
        <v>1451.8026343507922</v>
      </c>
      <c r="M301" s="1300">
        <f>Calc!M136</f>
        <v>205.83868703780806</v>
      </c>
      <c r="N301" s="1300">
        <f>Calc!N136</f>
        <v>209.9554607785642</v>
      </c>
      <c r="O301" s="1300">
        <f>Calc!O136</f>
        <v>214.1545699941355</v>
      </c>
      <c r="P301" s="1300">
        <f>Calc!P136</f>
        <v>218.43766139401816</v>
      </c>
      <c r="Q301" s="1300">
        <f>Calc!Q136</f>
        <v>222.80641462189857</v>
      </c>
      <c r="R301" s="1300">
        <f>Calc!R136</f>
        <v>0</v>
      </c>
      <c r="S301" s="1300">
        <f>Calc!S136</f>
        <v>0</v>
      </c>
      <c r="T301" s="1300">
        <f>Calc!T136</f>
        <v>0</v>
      </c>
      <c r="U301" s="1300">
        <f>Calc!U136</f>
        <v>0</v>
      </c>
      <c r="V301" s="1300">
        <f>Calc!V136</f>
        <v>0</v>
      </c>
      <c r="W301" s="1300">
        <f>Calc!W136</f>
        <v>0</v>
      </c>
      <c r="X301" s="1300">
        <f>Calc!X136</f>
        <v>0</v>
      </c>
      <c r="Y301" s="1300">
        <f>Calc!Y136</f>
        <v>0</v>
      </c>
      <c r="Z301" s="1300">
        <f>Calc!Z136</f>
        <v>0</v>
      </c>
      <c r="AA301" s="1300">
        <f>Calc!AA136</f>
        <v>0</v>
      </c>
      <c r="AB301" s="1300">
        <f>Calc!AB136</f>
        <v>0</v>
      </c>
      <c r="AC301" s="1300">
        <f>Calc!AC136</f>
        <v>0</v>
      </c>
      <c r="AD301" s="1300">
        <f>Calc!AD136</f>
        <v>0</v>
      </c>
      <c r="AE301" s="1300">
        <f>Calc!AE136</f>
        <v>0</v>
      </c>
      <c r="AF301" s="1300">
        <f>Calc!AF136</f>
        <v>0</v>
      </c>
      <c r="AG301" s="1300">
        <f>Calc!AG136</f>
        <v>0</v>
      </c>
      <c r="AH301" s="1300">
        <f>Calc!AH136</f>
        <v>0</v>
      </c>
      <c r="AI301" s="1300">
        <f>Calc!AI136</f>
        <v>0</v>
      </c>
      <c r="AJ301" s="1301">
        <f>Calc!AJ136</f>
        <v>29016.420646791557</v>
      </c>
      <c r="AK301" s="1302">
        <f>Calc!AK136</f>
        <v>7.708523559058518E-2</v>
      </c>
      <c r="AL301" s="1272"/>
      <c r="AM301" s="1303">
        <f>Calc!AM136</f>
        <v>29239.227061413458</v>
      </c>
      <c r="AN301" s="1913"/>
      <c r="AO301" s="1260"/>
      <c r="AP301" s="1299">
        <f>F26</f>
        <v>0</v>
      </c>
      <c r="AQ301" s="1301">
        <f t="shared" si="35"/>
        <v>0</v>
      </c>
      <c r="AR301" s="1300">
        <f t="shared" si="35"/>
        <v>0</v>
      </c>
      <c r="AS301" s="1300">
        <f t="shared" si="35"/>
        <v>0</v>
      </c>
      <c r="AT301" s="1300">
        <f t="shared" si="35"/>
        <v>0</v>
      </c>
      <c r="AU301" s="1300">
        <f t="shared" si="35"/>
        <v>0</v>
      </c>
      <c r="AV301" s="1300">
        <f t="shared" si="35"/>
        <v>0</v>
      </c>
      <c r="AW301" s="1300">
        <f t="shared" si="35"/>
        <v>0</v>
      </c>
      <c r="AX301" s="1300">
        <f t="shared" si="35"/>
        <v>0</v>
      </c>
      <c r="AY301" s="1300">
        <f t="shared" si="35"/>
        <v>0</v>
      </c>
      <c r="AZ301" s="1300">
        <f t="shared" si="35"/>
        <v>0</v>
      </c>
      <c r="BA301" s="1300">
        <f t="shared" si="35"/>
        <v>0</v>
      </c>
      <c r="BB301" s="1300">
        <f t="shared" si="35"/>
        <v>0</v>
      </c>
      <c r="BC301" s="1300">
        <f t="shared" si="35"/>
        <v>0</v>
      </c>
      <c r="BD301" s="1300">
        <f t="shared" si="35"/>
        <v>0</v>
      </c>
      <c r="BE301" s="1300">
        <f t="shared" si="35"/>
        <v>0</v>
      </c>
      <c r="BF301" s="1300">
        <f t="shared" si="36"/>
        <v>0</v>
      </c>
      <c r="BG301" s="1300">
        <f t="shared" si="36"/>
        <v>0</v>
      </c>
      <c r="BH301" s="1300">
        <f t="shared" si="36"/>
        <v>0</v>
      </c>
      <c r="BI301" s="1300">
        <f t="shared" si="36"/>
        <v>0</v>
      </c>
      <c r="BJ301" s="1300">
        <f t="shared" si="36"/>
        <v>0</v>
      </c>
      <c r="BK301" s="1300">
        <f t="shared" si="36"/>
        <v>0</v>
      </c>
      <c r="BL301" s="1300">
        <f t="shared" si="36"/>
        <v>0</v>
      </c>
      <c r="BM301" s="1300">
        <f t="shared" si="36"/>
        <v>0</v>
      </c>
      <c r="BN301" s="1300">
        <f t="shared" si="36"/>
        <v>0</v>
      </c>
      <c r="BO301" s="1300">
        <f t="shared" si="36"/>
        <v>0</v>
      </c>
      <c r="BP301" s="1300">
        <f t="shared" si="36"/>
        <v>0</v>
      </c>
      <c r="BQ301" s="1300">
        <f t="shared" si="36"/>
        <v>0</v>
      </c>
      <c r="BR301" s="1300">
        <f t="shared" si="36"/>
        <v>0</v>
      </c>
      <c r="BS301" s="1300">
        <f t="shared" si="36"/>
        <v>0</v>
      </c>
      <c r="BT301" s="1301">
        <f t="shared" si="36"/>
        <v>0</v>
      </c>
      <c r="BU301" s="1302">
        <f>AK26</f>
        <v>0</v>
      </c>
      <c r="BV301" s="1914"/>
      <c r="BW301" s="1303">
        <f t="shared" si="37"/>
        <v>0</v>
      </c>
      <c r="CC301" s="1297" t="s">
        <v>1325</v>
      </c>
      <c r="CD301" s="1944">
        <f t="shared" si="5"/>
        <v>0</v>
      </c>
      <c r="CE301" s="1945">
        <f>AQ26/1000</f>
        <v>0</v>
      </c>
      <c r="CF301" s="1946">
        <f t="shared" si="6"/>
        <v>4.8284206951872992</v>
      </c>
      <c r="CG301" s="1945">
        <f>AR26/1000</f>
        <v>0</v>
      </c>
      <c r="CH301" s="1947">
        <f t="shared" si="7"/>
        <v>3.450632337065406</v>
      </c>
      <c r="CI301" s="1945">
        <f>AS26/1000</f>
        <v>0</v>
      </c>
      <c r="CJ301" s="1947">
        <f t="shared" si="8"/>
        <v>8.3385410565232565</v>
      </c>
      <c r="CK301" s="1945">
        <f>AT26/1000</f>
        <v>0</v>
      </c>
      <c r="CL301" s="1947">
        <f t="shared" si="9"/>
        <v>7.7360276633552907</v>
      </c>
      <c r="CM301" s="1945">
        <f>AU26/1000</f>
        <v>0</v>
      </c>
      <c r="CN301" s="1947">
        <f t="shared" si="10"/>
        <v>2.3626098811049889</v>
      </c>
      <c r="CO301" s="1945">
        <f>AV26/1000</f>
        <v>0</v>
      </c>
      <c r="CP301" s="1947">
        <f t="shared" si="11"/>
        <v>1.4518026343507922</v>
      </c>
      <c r="CQ301" s="1945">
        <f>AW26/1000</f>
        <v>0</v>
      </c>
      <c r="CR301" s="1918">
        <f t="shared" si="12"/>
        <v>0.20583868703780805</v>
      </c>
      <c r="CS301" s="1945">
        <f>AX26/1000</f>
        <v>0</v>
      </c>
      <c r="CT301" s="1918">
        <f t="shared" si="13"/>
        <v>0.2099554607785642</v>
      </c>
      <c r="CU301" s="1945">
        <f>AY26/1000</f>
        <v>0</v>
      </c>
      <c r="CV301" s="1918">
        <f t="shared" si="14"/>
        <v>0.21415456999413551</v>
      </c>
      <c r="CW301" s="1945">
        <f>AZ26/1000</f>
        <v>0</v>
      </c>
      <c r="CX301" s="1918">
        <f t="shared" si="15"/>
        <v>0.21843766139401816</v>
      </c>
      <c r="CY301" s="1945">
        <f>BA26/1000</f>
        <v>0</v>
      </c>
      <c r="CZ301" s="1918">
        <f t="shared" si="16"/>
        <v>0.22280641462189857</v>
      </c>
      <c r="DA301" s="1945">
        <f>BB26/1000</f>
        <v>0</v>
      </c>
      <c r="DB301" s="1918">
        <f t="shared" si="17"/>
        <v>0</v>
      </c>
      <c r="DC301" s="1945">
        <f>BC26/1000</f>
        <v>0</v>
      </c>
      <c r="DD301" s="1918">
        <f t="shared" si="18"/>
        <v>0</v>
      </c>
      <c r="DE301" s="1945">
        <f>BD26/1000</f>
        <v>0</v>
      </c>
      <c r="DF301" s="1918">
        <f t="shared" si="19"/>
        <v>0</v>
      </c>
      <c r="DG301" s="1945">
        <f>BE26/1000</f>
        <v>0</v>
      </c>
      <c r="DH301" s="1918">
        <f t="shared" si="20"/>
        <v>0</v>
      </c>
      <c r="DI301" s="1945">
        <f>BF26/1000</f>
        <v>0</v>
      </c>
      <c r="DJ301" s="1918">
        <f t="shared" si="21"/>
        <v>0</v>
      </c>
      <c r="DK301" s="1945">
        <f>BG26/1000</f>
        <v>0</v>
      </c>
      <c r="DL301" s="1918">
        <f t="shared" si="22"/>
        <v>0</v>
      </c>
      <c r="DM301" s="1945">
        <f>BH26/1000</f>
        <v>0</v>
      </c>
      <c r="DN301" s="1918">
        <f t="shared" si="23"/>
        <v>0</v>
      </c>
      <c r="DO301" s="1945">
        <f>BI26/1000</f>
        <v>0</v>
      </c>
      <c r="DP301" s="1918">
        <f t="shared" si="24"/>
        <v>0</v>
      </c>
      <c r="DQ301" s="1945">
        <f>BJ26/1000</f>
        <v>0</v>
      </c>
      <c r="DR301" s="1918">
        <f t="shared" si="25"/>
        <v>0</v>
      </c>
      <c r="DS301" s="1945">
        <f>BK26/1000</f>
        <v>0</v>
      </c>
      <c r="DT301" s="1918">
        <f t="shared" si="26"/>
        <v>0</v>
      </c>
      <c r="DU301" s="1945">
        <f>BL26/1000</f>
        <v>0</v>
      </c>
      <c r="DV301" s="1918">
        <f t="shared" si="27"/>
        <v>0</v>
      </c>
      <c r="DW301" s="1945">
        <f>BM26/1000</f>
        <v>0</v>
      </c>
      <c r="DX301" s="1918">
        <f t="shared" si="28"/>
        <v>0</v>
      </c>
      <c r="DY301" s="1945">
        <f>BN26/1000</f>
        <v>0</v>
      </c>
      <c r="DZ301" s="1918">
        <f t="shared" si="29"/>
        <v>0</v>
      </c>
      <c r="EA301" s="1945">
        <f>BO26/1000</f>
        <v>0</v>
      </c>
      <c r="EB301" s="1918">
        <f t="shared" si="30"/>
        <v>0</v>
      </c>
      <c r="EC301" s="1945">
        <f>BP26/1000</f>
        <v>0</v>
      </c>
      <c r="ED301" s="1918">
        <f t="shared" si="31"/>
        <v>0</v>
      </c>
      <c r="EE301" s="1945">
        <f>BQ26/1000</f>
        <v>0</v>
      </c>
      <c r="EF301" s="1918">
        <f t="shared" si="32"/>
        <v>0</v>
      </c>
      <c r="EG301" s="1945">
        <f>BR26/1000</f>
        <v>0</v>
      </c>
      <c r="EH301" s="1918">
        <f t="shared" si="33"/>
        <v>0</v>
      </c>
      <c r="EI301" s="1945">
        <f>BS26/1000</f>
        <v>0</v>
      </c>
      <c r="EJ301" s="1918">
        <f t="shared" si="34"/>
        <v>0</v>
      </c>
      <c r="EK301" s="1945">
        <f>BT26/1000</f>
        <v>0</v>
      </c>
      <c r="EL301" s="1919">
        <f>AJ301/1000</f>
        <v>29.016420646791559</v>
      </c>
      <c r="EM301" s="1950">
        <f>AK301</f>
        <v>7.708523559058518E-2</v>
      </c>
      <c r="EN301" s="1921">
        <f>BU26/1000</f>
        <v>0</v>
      </c>
      <c r="EO301" s="1260"/>
      <c r="EP301" s="1949">
        <f>AM301/1000</f>
        <v>29.239227061413459</v>
      </c>
      <c r="EQ301" s="1921">
        <f>BW26/1000</f>
        <v>0</v>
      </c>
    </row>
    <row r="302" spans="2:147" s="1070" customFormat="1" ht="18.600000000000001" outlineLevel="1" thickBot="1" x14ac:dyDescent="0.35">
      <c r="B302" s="1338" t="s">
        <v>660</v>
      </c>
      <c r="C302" s="1339"/>
      <c r="D302" s="1339"/>
      <c r="E302" s="1339"/>
      <c r="F302" s="1340">
        <f>Calc!F137</f>
        <v>0</v>
      </c>
      <c r="G302" s="1341">
        <f>Calc!G137</f>
        <v>-5028.4206951872993</v>
      </c>
      <c r="H302" s="1341">
        <f>Calc!H137</f>
        <v>-4450.6323370654063</v>
      </c>
      <c r="I302" s="1341">
        <f>Calc!I137</f>
        <v>-10838.541056523256</v>
      </c>
      <c r="J302" s="1341">
        <f>Calc!J137</f>
        <v>-11236.027663355289</v>
      </c>
      <c r="K302" s="1341">
        <f>Calc!K137</f>
        <v>-6862.6098811049887</v>
      </c>
      <c r="L302" s="1341">
        <f>Calc!L137</f>
        <v>7005.3233542734397</v>
      </c>
      <c r="M302" s="1341">
        <f>Calc!M137</f>
        <v>22969.761070214634</v>
      </c>
      <c r="N302" s="1341">
        <f>Calc!N137</f>
        <v>47622.198990705387</v>
      </c>
      <c r="O302" s="1341">
        <f>Calc!O137</f>
        <v>72959.615107254707</v>
      </c>
      <c r="P302" s="1341">
        <f>Calc!P137</f>
        <v>90955.53388407013</v>
      </c>
      <c r="Q302" s="1341">
        <f>Calc!Q137</f>
        <v>101262.01754717228</v>
      </c>
      <c r="R302" s="1341">
        <f>Calc!R137</f>
        <v>108741.57849390154</v>
      </c>
      <c r="S302" s="1341">
        <f>Calc!S137</f>
        <v>125838.7721014273</v>
      </c>
      <c r="T302" s="1341">
        <f>Calc!T137</f>
        <v>129347.9803452237</v>
      </c>
      <c r="U302" s="1341">
        <f>Calc!U137</f>
        <v>160054.74142751325</v>
      </c>
      <c r="V302" s="1341">
        <f>Calc!V137</f>
        <v>176650.66693991574</v>
      </c>
      <c r="W302" s="1341">
        <f>Calc!W137</f>
        <v>202969.25329796318</v>
      </c>
      <c r="X302" s="1341">
        <f>Calc!X137</f>
        <v>252787.09082071079</v>
      </c>
      <c r="Y302" s="1341">
        <f>Calc!Y137</f>
        <v>0</v>
      </c>
      <c r="Z302" s="1341">
        <f>Calc!Z137</f>
        <v>0</v>
      </c>
      <c r="AA302" s="1341">
        <f>Calc!AA137</f>
        <v>0</v>
      </c>
      <c r="AB302" s="1341">
        <f>Calc!AB137</f>
        <v>0</v>
      </c>
      <c r="AC302" s="1341">
        <f>Calc!AC137</f>
        <v>0</v>
      </c>
      <c r="AD302" s="1341">
        <f>Calc!AD137</f>
        <v>0</v>
      </c>
      <c r="AE302" s="1341">
        <f>Calc!AE137</f>
        <v>0</v>
      </c>
      <c r="AF302" s="1341">
        <f>Calc!AF137</f>
        <v>0</v>
      </c>
      <c r="AG302" s="1341">
        <f>Calc!AG137</f>
        <v>0</v>
      </c>
      <c r="AH302" s="1341">
        <f>Calc!AH137</f>
        <v>0</v>
      </c>
      <c r="AI302" s="1341">
        <f>Calc!AI137</f>
        <v>0</v>
      </c>
      <c r="AJ302" s="1342">
        <f>Calc!AJ137</f>
        <v>203096.20077328203</v>
      </c>
      <c r="AK302" s="1343"/>
      <c r="AL302" s="1488"/>
      <c r="AM302" s="1340">
        <f>Calc!AM137</f>
        <v>828341.29068852018</v>
      </c>
      <c r="AN302" s="1371"/>
      <c r="AO302" s="1344"/>
      <c r="AP302" s="1340">
        <f>F27</f>
        <v>0</v>
      </c>
      <c r="AQ302" s="1342">
        <f t="shared" si="35"/>
        <v>0</v>
      </c>
      <c r="AR302" s="1341">
        <f t="shared" si="35"/>
        <v>0</v>
      </c>
      <c r="AS302" s="1341">
        <f t="shared" si="35"/>
        <v>0</v>
      </c>
      <c r="AT302" s="1341">
        <f t="shared" si="35"/>
        <v>0</v>
      </c>
      <c r="AU302" s="1341">
        <f t="shared" si="35"/>
        <v>0</v>
      </c>
      <c r="AV302" s="1341">
        <f t="shared" si="35"/>
        <v>0</v>
      </c>
      <c r="AW302" s="1341">
        <f t="shared" si="35"/>
        <v>0</v>
      </c>
      <c r="AX302" s="1341">
        <f t="shared" si="35"/>
        <v>0</v>
      </c>
      <c r="AY302" s="1341">
        <f t="shared" si="35"/>
        <v>0</v>
      </c>
      <c r="AZ302" s="1341">
        <f t="shared" si="35"/>
        <v>0</v>
      </c>
      <c r="BA302" s="1341">
        <f t="shared" si="35"/>
        <v>0</v>
      </c>
      <c r="BB302" s="1341">
        <f t="shared" si="35"/>
        <v>0</v>
      </c>
      <c r="BC302" s="1341">
        <f t="shared" si="35"/>
        <v>0</v>
      </c>
      <c r="BD302" s="1341">
        <f t="shared" si="35"/>
        <v>0</v>
      </c>
      <c r="BE302" s="1341">
        <f t="shared" si="35"/>
        <v>0</v>
      </c>
      <c r="BF302" s="1341">
        <f t="shared" si="36"/>
        <v>0</v>
      </c>
      <c r="BG302" s="1341">
        <f t="shared" si="36"/>
        <v>0</v>
      </c>
      <c r="BH302" s="1341">
        <f t="shared" si="36"/>
        <v>0</v>
      </c>
      <c r="BI302" s="1341">
        <f t="shared" si="36"/>
        <v>0</v>
      </c>
      <c r="BJ302" s="1341">
        <f t="shared" si="36"/>
        <v>0</v>
      </c>
      <c r="BK302" s="1341">
        <f t="shared" si="36"/>
        <v>0</v>
      </c>
      <c r="BL302" s="1341">
        <f t="shared" si="36"/>
        <v>0</v>
      </c>
      <c r="BM302" s="1341">
        <f t="shared" si="36"/>
        <v>0</v>
      </c>
      <c r="BN302" s="1341">
        <f t="shared" si="36"/>
        <v>0</v>
      </c>
      <c r="BO302" s="1341">
        <f t="shared" si="36"/>
        <v>0</v>
      </c>
      <c r="BP302" s="1341">
        <f t="shared" si="36"/>
        <v>0</v>
      </c>
      <c r="BQ302" s="1341">
        <f t="shared" si="36"/>
        <v>0</v>
      </c>
      <c r="BR302" s="1341">
        <f t="shared" si="36"/>
        <v>0</v>
      </c>
      <c r="BS302" s="1341">
        <f t="shared" si="36"/>
        <v>0</v>
      </c>
      <c r="BT302" s="1342">
        <f t="shared" si="36"/>
        <v>0</v>
      </c>
      <c r="BU302" s="1343"/>
      <c r="BV302" s="1398"/>
      <c r="BW302" s="1340">
        <f t="shared" si="37"/>
        <v>0</v>
      </c>
      <c r="CC302" s="1951" t="s">
        <v>660</v>
      </c>
      <c r="CD302" s="1952">
        <f t="shared" si="5"/>
        <v>0</v>
      </c>
      <c r="CE302" s="1953">
        <f>AQ27/1000</f>
        <v>0</v>
      </c>
      <c r="CF302" s="1954">
        <f t="shared" si="6"/>
        <v>-5.0284206951872994</v>
      </c>
      <c r="CG302" s="1953">
        <f>AR27/1000</f>
        <v>0</v>
      </c>
      <c r="CH302" s="1955">
        <f t="shared" si="7"/>
        <v>-4.4506323370654064</v>
      </c>
      <c r="CI302" s="1953">
        <f>AS27/1000</f>
        <v>0</v>
      </c>
      <c r="CJ302" s="1955">
        <f t="shared" si="8"/>
        <v>-10.838541056523257</v>
      </c>
      <c r="CK302" s="1953">
        <f>AT27/1000</f>
        <v>0</v>
      </c>
      <c r="CL302" s="1955">
        <f t="shared" si="9"/>
        <v>-11.236027663355289</v>
      </c>
      <c r="CM302" s="1953">
        <f>AU27/1000</f>
        <v>0</v>
      </c>
      <c r="CN302" s="1955">
        <f t="shared" si="10"/>
        <v>-6.8626098811049889</v>
      </c>
      <c r="CO302" s="1953">
        <f>AV27/1000</f>
        <v>0</v>
      </c>
      <c r="CP302" s="1955">
        <f t="shared" si="11"/>
        <v>7.0053233542734397</v>
      </c>
      <c r="CQ302" s="1953">
        <f>AW27/1000</f>
        <v>0</v>
      </c>
      <c r="CR302" s="1955">
        <f t="shared" si="12"/>
        <v>22.969761070214634</v>
      </c>
      <c r="CS302" s="1953">
        <f>AX27/1000</f>
        <v>0</v>
      </c>
      <c r="CT302" s="1955">
        <f t="shared" si="13"/>
        <v>47.622198990705385</v>
      </c>
      <c r="CU302" s="1953">
        <f>AY27/1000</f>
        <v>0</v>
      </c>
      <c r="CV302" s="1955">
        <f t="shared" si="14"/>
        <v>72.959615107254706</v>
      </c>
      <c r="CW302" s="1953">
        <f>AZ27/1000</f>
        <v>0</v>
      </c>
      <c r="CX302" s="1955">
        <f t="shared" si="15"/>
        <v>90.955533884070135</v>
      </c>
      <c r="CY302" s="1953">
        <f>BA27/1000</f>
        <v>0</v>
      </c>
      <c r="CZ302" s="1955">
        <f t="shared" si="16"/>
        <v>101.26201754717228</v>
      </c>
      <c r="DA302" s="1953">
        <f>BB27/1000</f>
        <v>0</v>
      </c>
      <c r="DB302" s="1955">
        <f t="shared" si="17"/>
        <v>108.74157849390154</v>
      </c>
      <c r="DC302" s="1953">
        <f>BC27/1000</f>
        <v>0</v>
      </c>
      <c r="DD302" s="1955">
        <f t="shared" si="18"/>
        <v>125.8387721014273</v>
      </c>
      <c r="DE302" s="1953">
        <f>BD27/1000</f>
        <v>0</v>
      </c>
      <c r="DF302" s="1955">
        <f t="shared" si="19"/>
        <v>129.3479803452237</v>
      </c>
      <c r="DG302" s="1953">
        <f>BE27/1000</f>
        <v>0</v>
      </c>
      <c r="DH302" s="1955">
        <f t="shared" si="20"/>
        <v>160.05474142751325</v>
      </c>
      <c r="DI302" s="1953">
        <f>BF27/1000</f>
        <v>0</v>
      </c>
      <c r="DJ302" s="1955">
        <f t="shared" si="21"/>
        <v>176.65066693991574</v>
      </c>
      <c r="DK302" s="1953">
        <f>BG27/1000</f>
        <v>0</v>
      </c>
      <c r="DL302" s="1955">
        <f t="shared" si="22"/>
        <v>202.96925329796318</v>
      </c>
      <c r="DM302" s="1953">
        <f>BH27/1000</f>
        <v>0</v>
      </c>
      <c r="DN302" s="1955">
        <f t="shared" si="23"/>
        <v>252.78709082071077</v>
      </c>
      <c r="DO302" s="1953">
        <f>BI27/1000</f>
        <v>0</v>
      </c>
      <c r="DP302" s="1955">
        <f t="shared" si="24"/>
        <v>0</v>
      </c>
      <c r="DQ302" s="1953">
        <f>BJ27/1000</f>
        <v>0</v>
      </c>
      <c r="DR302" s="1955">
        <f t="shared" si="25"/>
        <v>0</v>
      </c>
      <c r="DS302" s="1953">
        <f>BK27/1000</f>
        <v>0</v>
      </c>
      <c r="DT302" s="1955">
        <f t="shared" si="26"/>
        <v>0</v>
      </c>
      <c r="DU302" s="1953">
        <f>BL27/1000</f>
        <v>0</v>
      </c>
      <c r="DV302" s="1955">
        <f t="shared" si="27"/>
        <v>0</v>
      </c>
      <c r="DW302" s="1953">
        <f>BM27/1000</f>
        <v>0</v>
      </c>
      <c r="DX302" s="1955">
        <f t="shared" si="28"/>
        <v>0</v>
      </c>
      <c r="DY302" s="1953">
        <f>BN27/1000</f>
        <v>0</v>
      </c>
      <c r="DZ302" s="1955">
        <f t="shared" si="29"/>
        <v>0</v>
      </c>
      <c r="EA302" s="1953">
        <f>BO27/1000</f>
        <v>0</v>
      </c>
      <c r="EB302" s="1955">
        <f t="shared" si="30"/>
        <v>0</v>
      </c>
      <c r="EC302" s="1953">
        <f>BP27/1000</f>
        <v>0</v>
      </c>
      <c r="ED302" s="1955">
        <f t="shared" si="31"/>
        <v>0</v>
      </c>
      <c r="EE302" s="1953">
        <f>BQ27/1000</f>
        <v>0</v>
      </c>
      <c r="EF302" s="1955">
        <f t="shared" si="32"/>
        <v>0</v>
      </c>
      <c r="EG302" s="1953">
        <f>BR27/1000</f>
        <v>0</v>
      </c>
      <c r="EH302" s="1955">
        <f t="shared" si="33"/>
        <v>0</v>
      </c>
      <c r="EI302" s="1953">
        <f>BS27/1000</f>
        <v>0</v>
      </c>
      <c r="EJ302" s="1955">
        <f t="shared" si="34"/>
        <v>0</v>
      </c>
      <c r="EK302" s="1953">
        <f>BT27/1000</f>
        <v>0</v>
      </c>
      <c r="EL302" s="1956">
        <f>AJ302/1000</f>
        <v>203.09620077328202</v>
      </c>
      <c r="EM302" s="1957"/>
      <c r="EN302" s="1958">
        <f>BU27/1000</f>
        <v>0</v>
      </c>
      <c r="EO302" s="1260"/>
      <c r="EP302" s="1884">
        <f>AM302/1000</f>
        <v>828.34129068852019</v>
      </c>
      <c r="EQ302" s="1958">
        <f>BW27/1000</f>
        <v>0</v>
      </c>
    </row>
    <row r="303" spans="2:147" s="1070" customFormat="1" ht="15" outlineLevel="1" thickTop="1" x14ac:dyDescent="0.3">
      <c r="B303" s="1350"/>
      <c r="C303" s="1351" t="s">
        <v>1323</v>
      </c>
      <c r="D303" s="1352"/>
      <c r="E303" s="1353"/>
      <c r="F303" s="1354">
        <f>Calc!F138</f>
        <v>0</v>
      </c>
      <c r="G303" s="1269">
        <f>Calc!G138</f>
        <v>0</v>
      </c>
      <c r="H303" s="1269">
        <f>Calc!H138</f>
        <v>0</v>
      </c>
      <c r="I303" s="1269">
        <f>Calc!I138</f>
        <v>0</v>
      </c>
      <c r="J303" s="1269">
        <f>Calc!J138</f>
        <v>0</v>
      </c>
      <c r="K303" s="1269">
        <f>Calc!K138</f>
        <v>0</v>
      </c>
      <c r="L303" s="1269">
        <f>Calc!L138</f>
        <v>0.42030585551049982</v>
      </c>
      <c r="M303" s="1269">
        <f>Calc!M138</f>
        <v>0.5955539992377078</v>
      </c>
      <c r="N303" s="1269">
        <f>Calc!N138</f>
        <v>0.64770984659399689</v>
      </c>
      <c r="O303" s="1269">
        <f>Calc!O138</f>
        <v>0.66135133936775792</v>
      </c>
      <c r="P303" s="1269">
        <f>Calc!P138</f>
        <v>0.66226034647111187</v>
      </c>
      <c r="Q303" s="1269">
        <f>Calc!Q138</f>
        <v>0.66242731311845271</v>
      </c>
      <c r="R303" s="1269">
        <f>Calc!R138</f>
        <v>0.65607929379853702</v>
      </c>
      <c r="S303" s="1269">
        <f>Calc!S138</f>
        <v>0.661648122607575</v>
      </c>
      <c r="T303" s="1269">
        <f>Calc!T138</f>
        <v>0.65055578971156236</v>
      </c>
      <c r="U303" s="1269">
        <f>Calc!U138</f>
        <v>0.66882309211657076</v>
      </c>
      <c r="V303" s="1269">
        <f>Calc!V138</f>
        <v>0.65783101750359874</v>
      </c>
      <c r="W303" s="1269">
        <f>Calc!W138</f>
        <v>0.65749007695657191</v>
      </c>
      <c r="X303" s="1269">
        <f>Calc!X138</f>
        <v>1</v>
      </c>
      <c r="Y303" s="1269">
        <f>Calc!Y138</f>
        <v>0</v>
      </c>
      <c r="Z303" s="1269">
        <f>Calc!Z138</f>
        <v>0</v>
      </c>
      <c r="AA303" s="1269">
        <f>Calc!AA138</f>
        <v>0</v>
      </c>
      <c r="AB303" s="1269">
        <f>Calc!AB138</f>
        <v>0</v>
      </c>
      <c r="AC303" s="1269">
        <f>Calc!AC138</f>
        <v>0</v>
      </c>
      <c r="AD303" s="1269">
        <f>Calc!AD138</f>
        <v>0</v>
      </c>
      <c r="AE303" s="1269">
        <f>Calc!AE138</f>
        <v>0</v>
      </c>
      <c r="AF303" s="1269">
        <f>Calc!AF138</f>
        <v>0</v>
      </c>
      <c r="AG303" s="1269">
        <f>Calc!AG138</f>
        <v>0</v>
      </c>
      <c r="AH303" s="1269">
        <f>Calc!AH138</f>
        <v>0</v>
      </c>
      <c r="AI303" s="1269">
        <f>Calc!AI138</f>
        <v>0</v>
      </c>
      <c r="AJ303" s="1270">
        <f>Calc!AJ138</f>
        <v>0.53954685433926319</v>
      </c>
      <c r="AK303" s="1959"/>
      <c r="AL303" s="1960"/>
      <c r="AM303" s="1273">
        <f>Calc!AM138</f>
        <v>0.6259406271339224</v>
      </c>
      <c r="AN303" s="1379"/>
      <c r="AO303" s="1356"/>
      <c r="AP303" s="1354"/>
      <c r="AQ303" s="1270">
        <f t="shared" si="35"/>
        <v>0</v>
      </c>
      <c r="AR303" s="1269">
        <f t="shared" si="35"/>
        <v>0</v>
      </c>
      <c r="AS303" s="1269">
        <f t="shared" si="35"/>
        <v>0</v>
      </c>
      <c r="AT303" s="1269">
        <f t="shared" si="35"/>
        <v>0</v>
      </c>
      <c r="AU303" s="1269">
        <f t="shared" si="35"/>
        <v>0</v>
      </c>
      <c r="AV303" s="1269">
        <f t="shared" si="35"/>
        <v>0</v>
      </c>
      <c r="AW303" s="1269">
        <f t="shared" si="35"/>
        <v>0</v>
      </c>
      <c r="AX303" s="1269">
        <f t="shared" si="35"/>
        <v>0</v>
      </c>
      <c r="AY303" s="1269">
        <f t="shared" si="35"/>
        <v>0</v>
      </c>
      <c r="AZ303" s="1269">
        <f t="shared" si="35"/>
        <v>0</v>
      </c>
      <c r="BA303" s="1269">
        <f t="shared" si="35"/>
        <v>0</v>
      </c>
      <c r="BB303" s="1269">
        <f t="shared" si="35"/>
        <v>0</v>
      </c>
      <c r="BC303" s="1269">
        <f t="shared" si="35"/>
        <v>0</v>
      </c>
      <c r="BD303" s="1269">
        <f t="shared" si="35"/>
        <v>0</v>
      </c>
      <c r="BE303" s="1269">
        <f t="shared" si="35"/>
        <v>0</v>
      </c>
      <c r="BF303" s="1269">
        <f t="shared" si="36"/>
        <v>0</v>
      </c>
      <c r="BG303" s="1269">
        <f t="shared" si="36"/>
        <v>0</v>
      </c>
      <c r="BH303" s="1269">
        <f t="shared" si="36"/>
        <v>0</v>
      </c>
      <c r="BI303" s="1269">
        <f t="shared" si="36"/>
        <v>0</v>
      </c>
      <c r="BJ303" s="1269">
        <f t="shared" si="36"/>
        <v>0</v>
      </c>
      <c r="BK303" s="1269">
        <f t="shared" si="36"/>
        <v>0</v>
      </c>
      <c r="BL303" s="1269">
        <f t="shared" si="36"/>
        <v>0</v>
      </c>
      <c r="BM303" s="1269">
        <f t="shared" si="36"/>
        <v>0</v>
      </c>
      <c r="BN303" s="1269">
        <f t="shared" si="36"/>
        <v>0</v>
      </c>
      <c r="BO303" s="1269">
        <f t="shared" si="36"/>
        <v>0</v>
      </c>
      <c r="BP303" s="1269">
        <f t="shared" si="36"/>
        <v>0</v>
      </c>
      <c r="BQ303" s="1269">
        <f t="shared" si="36"/>
        <v>0</v>
      </c>
      <c r="BR303" s="1269">
        <f t="shared" si="36"/>
        <v>0</v>
      </c>
      <c r="BS303" s="1269">
        <f t="shared" si="36"/>
        <v>0</v>
      </c>
      <c r="BT303" s="1270">
        <f t="shared" si="36"/>
        <v>0</v>
      </c>
      <c r="BU303" s="1959">
        <f>AK28</f>
        <v>0</v>
      </c>
      <c r="BV303" s="1934"/>
      <c r="BW303" s="1273">
        <f t="shared" si="37"/>
        <v>0</v>
      </c>
      <c r="CC303" s="1961" t="s">
        <v>1491</v>
      </c>
      <c r="CD303" s="1962" t="str">
        <f>IF(F303=0,"",F303)</f>
        <v/>
      </c>
      <c r="CE303" s="1963"/>
      <c r="CF303" s="1964" t="str">
        <f>IF(G303=0,"",G303)</f>
        <v/>
      </c>
      <c r="CG303" s="1963"/>
      <c r="CH303" s="1965" t="str">
        <f>IF(H303=0,"",H303)</f>
        <v/>
      </c>
      <c r="CI303" s="1963"/>
      <c r="CJ303" s="1965" t="str">
        <f>IF(I303=0,"",I303)</f>
        <v/>
      </c>
      <c r="CK303" s="1963"/>
      <c r="CL303" s="1965" t="str">
        <f>IF(J303=0,"",J303)</f>
        <v/>
      </c>
      <c r="CM303" s="1963"/>
      <c r="CN303" s="1965" t="str">
        <f>IF(K303=0,"",K303)</f>
        <v/>
      </c>
      <c r="CO303" s="1963"/>
      <c r="CP303" s="1965">
        <f>IF(L303=0,"",L303)</f>
        <v>0.42030585551049982</v>
      </c>
      <c r="CQ303" s="1963"/>
      <c r="CR303" s="1965">
        <f>IF(M303=0,"",M303)</f>
        <v>0.5955539992377078</v>
      </c>
      <c r="CS303" s="1963"/>
      <c r="CT303" s="1965">
        <f>IF(N303=0,"",N303)</f>
        <v>0.64770984659399689</v>
      </c>
      <c r="CU303" s="1963"/>
      <c r="CV303" s="1965">
        <f>IF(O303=0,"",O303)</f>
        <v>0.66135133936775792</v>
      </c>
      <c r="CW303" s="1963"/>
      <c r="CX303" s="1965">
        <f>IF(P303=0,"",P303)</f>
        <v>0.66226034647111187</v>
      </c>
      <c r="CY303" s="1963"/>
      <c r="CZ303" s="1965">
        <f>IF(Q303=0,"",Q303)</f>
        <v>0.66242731311845271</v>
      </c>
      <c r="DA303" s="1963"/>
      <c r="DB303" s="1965">
        <f>IF(R303=0,"",R303)</f>
        <v>0.65607929379853702</v>
      </c>
      <c r="DC303" s="1963"/>
      <c r="DD303" s="1965">
        <f>IF(S303=0,"",S303)</f>
        <v>0.661648122607575</v>
      </c>
      <c r="DE303" s="1963"/>
      <c r="DF303" s="1965">
        <f>IF(T303=0,"",T303)</f>
        <v>0.65055578971156236</v>
      </c>
      <c r="DG303" s="1963"/>
      <c r="DH303" s="1965">
        <f>IF(U303=0,"",U303)</f>
        <v>0.66882309211657076</v>
      </c>
      <c r="DI303" s="1963"/>
      <c r="DJ303" s="1965">
        <f>IF(V303=0,"",V303)</f>
        <v>0.65783101750359874</v>
      </c>
      <c r="DK303" s="1963"/>
      <c r="DL303" s="1965">
        <f>IF(W303=0,"",W303)</f>
        <v>0.65749007695657191</v>
      </c>
      <c r="DM303" s="1963"/>
      <c r="DN303" s="1965">
        <f>IF(X303=0,"",X303)</f>
        <v>1</v>
      </c>
      <c r="DO303" s="1963"/>
      <c r="DP303" s="1965" t="str">
        <f>IF(Y303=0,"",Y303)</f>
        <v/>
      </c>
      <c r="DQ303" s="1963"/>
      <c r="DR303" s="1965" t="str">
        <f>IF(Z303=0,"",Z303)</f>
        <v/>
      </c>
      <c r="DS303" s="1963"/>
      <c r="DT303" s="1965" t="str">
        <f>IF(AA303=0,"",AA303)</f>
        <v/>
      </c>
      <c r="DU303" s="1963"/>
      <c r="DV303" s="1965" t="str">
        <f>IF(AB303=0,"",AB303)</f>
        <v/>
      </c>
      <c r="DW303" s="1963"/>
      <c r="DX303" s="1965" t="str">
        <f>IF(AC303=0,"",AC303)</f>
        <v/>
      </c>
      <c r="DY303" s="1963"/>
      <c r="DZ303" s="1965" t="str">
        <f>IF(AD303=0,"",AD303)</f>
        <v/>
      </c>
      <c r="EA303" s="1963"/>
      <c r="EB303" s="1965" t="str">
        <f>IF(AE303=0,"",AE303)</f>
        <v/>
      </c>
      <c r="EC303" s="1963"/>
      <c r="ED303" s="1965" t="str">
        <f>IF(AF303=0,"",AF303)</f>
        <v/>
      </c>
      <c r="EE303" s="1963"/>
      <c r="EF303" s="1965" t="str">
        <f>IF(AG303=0,"",AG303)</f>
        <v/>
      </c>
      <c r="EG303" s="1963"/>
      <c r="EH303" s="1965" t="str">
        <f>IF(AH303=0,"",AH303)</f>
        <v/>
      </c>
      <c r="EI303" s="1963"/>
      <c r="EJ303" s="1965" t="str">
        <f>IF(AI303=0,"",AI303)</f>
        <v/>
      </c>
      <c r="EK303" s="1963"/>
      <c r="EL303" s="1966" t="str">
        <f>IF(AK303=0,"",AK303)</f>
        <v/>
      </c>
      <c r="EM303" s="1967"/>
      <c r="EN303" s="1968"/>
      <c r="EO303" s="1943"/>
      <c r="EP303" s="1966" t="str">
        <f>IF(AP303=0,"",AP303)</f>
        <v/>
      </c>
      <c r="EQ303" s="1968"/>
    </row>
    <row r="304" spans="2:147" s="1070" customFormat="1" ht="18" outlineLevel="1" x14ac:dyDescent="0.3">
      <c r="B304" s="1336" t="s">
        <v>1326</v>
      </c>
      <c r="C304" s="1351"/>
      <c r="D304" s="1352"/>
      <c r="E304" s="1353"/>
      <c r="F304" s="1303">
        <f>Calc!F139</f>
        <v>0</v>
      </c>
      <c r="G304" s="1300">
        <f>Calc!G139</f>
        <v>0</v>
      </c>
      <c r="H304" s="1300">
        <f>Calc!H139</f>
        <v>0</v>
      </c>
      <c r="I304" s="1300">
        <f>Calc!I139</f>
        <v>0</v>
      </c>
      <c r="J304" s="1300">
        <f>Calc!J139</f>
        <v>0</v>
      </c>
      <c r="K304" s="1300">
        <f>Calc!K139</f>
        <v>0</v>
      </c>
      <c r="L304" s="1300">
        <f>Calc!L139</f>
        <v>933.33333333333337</v>
      </c>
      <c r="M304" s="1300">
        <f>Calc!M139</f>
        <v>933.33333333333337</v>
      </c>
      <c r="N304" s="1300">
        <f>Calc!N139</f>
        <v>933.33333333333337</v>
      </c>
      <c r="O304" s="1300">
        <f>Calc!O139</f>
        <v>933.33333333333337</v>
      </c>
      <c r="P304" s="1300">
        <f>Calc!P139</f>
        <v>933.33333333333337</v>
      </c>
      <c r="Q304" s="1300">
        <f>Calc!Q139</f>
        <v>933.33333333333337</v>
      </c>
      <c r="R304" s="1300">
        <f>Calc!R139</f>
        <v>933.33333333333337</v>
      </c>
      <c r="S304" s="1300">
        <f>Calc!S139</f>
        <v>933.33333333333337</v>
      </c>
      <c r="T304" s="1300">
        <f>Calc!T139</f>
        <v>933.33333333333337</v>
      </c>
      <c r="U304" s="1300">
        <f>Calc!U139</f>
        <v>933.33333333333337</v>
      </c>
      <c r="V304" s="1300">
        <f>Calc!V139</f>
        <v>933.33333333333337</v>
      </c>
      <c r="W304" s="1300">
        <f>Calc!W139</f>
        <v>933.33333333333337</v>
      </c>
      <c r="X304" s="1300">
        <f>Calc!X139</f>
        <v>933.33333333333337</v>
      </c>
      <c r="Y304" s="1300">
        <f>Calc!Y139</f>
        <v>933.33333333333337</v>
      </c>
      <c r="Z304" s="1300">
        <f>Calc!Z139</f>
        <v>933.33333333333337</v>
      </c>
      <c r="AA304" s="1300">
        <f>Calc!AA139</f>
        <v>0</v>
      </c>
      <c r="AB304" s="1300">
        <f>Calc!AB139</f>
        <v>0</v>
      </c>
      <c r="AC304" s="1300">
        <f>Calc!AC139</f>
        <v>0</v>
      </c>
      <c r="AD304" s="1300">
        <f>Calc!AD139</f>
        <v>0</v>
      </c>
      <c r="AE304" s="1300">
        <f>Calc!AE139</f>
        <v>0</v>
      </c>
      <c r="AF304" s="1300">
        <f>Calc!AF139</f>
        <v>0</v>
      </c>
      <c r="AG304" s="1300">
        <f>Calc!AG139</f>
        <v>0</v>
      </c>
      <c r="AH304" s="1300">
        <f>Calc!AH139</f>
        <v>0</v>
      </c>
      <c r="AI304" s="1300">
        <f>Calc!AI139</f>
        <v>0</v>
      </c>
      <c r="AJ304" s="1301">
        <f>Calc!AJ139</f>
        <v>4666.666666666667</v>
      </c>
      <c r="AK304" s="1959" t="str">
        <f>Calc!AK139</f>
        <v>Tax Rate</v>
      </c>
      <c r="AL304" s="1870"/>
      <c r="AM304" s="1303">
        <f>Calc!AM139</f>
        <v>9333.3333333333339</v>
      </c>
      <c r="AN304" s="1913"/>
      <c r="AO304" s="1328"/>
      <c r="AP304" s="1299">
        <f>F29</f>
        <v>0</v>
      </c>
      <c r="AQ304" s="1301">
        <f t="shared" si="35"/>
        <v>0</v>
      </c>
      <c r="AR304" s="1300">
        <f t="shared" si="35"/>
        <v>0</v>
      </c>
      <c r="AS304" s="1300">
        <f t="shared" si="35"/>
        <v>0</v>
      </c>
      <c r="AT304" s="1300">
        <f t="shared" si="35"/>
        <v>0</v>
      </c>
      <c r="AU304" s="1300">
        <f t="shared" si="35"/>
        <v>0</v>
      </c>
      <c r="AV304" s="1300">
        <f t="shared" si="35"/>
        <v>0</v>
      </c>
      <c r="AW304" s="1300">
        <f t="shared" si="35"/>
        <v>0</v>
      </c>
      <c r="AX304" s="1300">
        <f t="shared" si="35"/>
        <v>0</v>
      </c>
      <c r="AY304" s="1300">
        <f t="shared" si="35"/>
        <v>0</v>
      </c>
      <c r="AZ304" s="1300">
        <f t="shared" si="35"/>
        <v>0</v>
      </c>
      <c r="BA304" s="1300">
        <f t="shared" si="35"/>
        <v>0</v>
      </c>
      <c r="BB304" s="1300">
        <f t="shared" si="35"/>
        <v>0</v>
      </c>
      <c r="BC304" s="1300">
        <f t="shared" si="35"/>
        <v>0</v>
      </c>
      <c r="BD304" s="1300">
        <f t="shared" si="35"/>
        <v>0</v>
      </c>
      <c r="BE304" s="1300">
        <f t="shared" si="35"/>
        <v>0</v>
      </c>
      <c r="BF304" s="1300">
        <f t="shared" si="36"/>
        <v>0</v>
      </c>
      <c r="BG304" s="1300">
        <f t="shared" si="36"/>
        <v>0</v>
      </c>
      <c r="BH304" s="1300">
        <f t="shared" si="36"/>
        <v>0</v>
      </c>
      <c r="BI304" s="1300">
        <f t="shared" si="36"/>
        <v>0</v>
      </c>
      <c r="BJ304" s="1300">
        <f t="shared" si="36"/>
        <v>0</v>
      </c>
      <c r="BK304" s="1300">
        <f t="shared" si="36"/>
        <v>0</v>
      </c>
      <c r="BL304" s="1300">
        <f t="shared" si="36"/>
        <v>0</v>
      </c>
      <c r="BM304" s="1300">
        <f t="shared" si="36"/>
        <v>0</v>
      </c>
      <c r="BN304" s="1300">
        <f t="shared" si="36"/>
        <v>0</v>
      </c>
      <c r="BO304" s="1300">
        <f t="shared" si="36"/>
        <v>0</v>
      </c>
      <c r="BP304" s="1300">
        <f t="shared" si="36"/>
        <v>0</v>
      </c>
      <c r="BQ304" s="1300">
        <f t="shared" si="36"/>
        <v>0</v>
      </c>
      <c r="BR304" s="1300">
        <f t="shared" si="36"/>
        <v>0</v>
      </c>
      <c r="BS304" s="1300">
        <f t="shared" si="36"/>
        <v>0</v>
      </c>
      <c r="BT304" s="1301">
        <f t="shared" si="36"/>
        <v>0</v>
      </c>
      <c r="BU304" s="1959">
        <f>AK29</f>
        <v>0</v>
      </c>
      <c r="BV304" s="1934"/>
      <c r="BW304" s="1303">
        <f t="shared" si="37"/>
        <v>0</v>
      </c>
      <c r="CC304" s="1297" t="s">
        <v>1492</v>
      </c>
      <c r="CD304" s="1944">
        <f t="shared" si="5"/>
        <v>0</v>
      </c>
      <c r="CE304" s="1916">
        <f>AQ29/1000</f>
        <v>0</v>
      </c>
      <c r="CF304" s="1946">
        <f t="shared" si="6"/>
        <v>0</v>
      </c>
      <c r="CG304" s="1916">
        <f>AR29/1000</f>
        <v>0</v>
      </c>
      <c r="CH304" s="1947">
        <f t="shared" si="7"/>
        <v>0</v>
      </c>
      <c r="CI304" s="1916">
        <f>AS29/1000</f>
        <v>0</v>
      </c>
      <c r="CJ304" s="1947">
        <f t="shared" si="8"/>
        <v>0</v>
      </c>
      <c r="CK304" s="1916">
        <f>AT29/1000</f>
        <v>0</v>
      </c>
      <c r="CL304" s="1947">
        <f t="shared" si="9"/>
        <v>0</v>
      </c>
      <c r="CM304" s="1916">
        <f>AU29/1000</f>
        <v>0</v>
      </c>
      <c r="CN304" s="1947">
        <f t="shared" si="10"/>
        <v>0</v>
      </c>
      <c r="CO304" s="1916">
        <f>AV29/1000</f>
        <v>0</v>
      </c>
      <c r="CP304" s="1947">
        <f t="shared" si="11"/>
        <v>0.93333333333333335</v>
      </c>
      <c r="CQ304" s="1916">
        <f>AW29/1000</f>
        <v>0</v>
      </c>
      <c r="CR304" s="1947">
        <f t="shared" si="12"/>
        <v>0.93333333333333335</v>
      </c>
      <c r="CS304" s="1916">
        <f>AX29/1000</f>
        <v>0</v>
      </c>
      <c r="CT304" s="1947">
        <f t="shared" si="13"/>
        <v>0.93333333333333335</v>
      </c>
      <c r="CU304" s="1916">
        <f>AY29/1000</f>
        <v>0</v>
      </c>
      <c r="CV304" s="1947">
        <f t="shared" si="14"/>
        <v>0.93333333333333335</v>
      </c>
      <c r="CW304" s="1916">
        <f>AZ29/1000</f>
        <v>0</v>
      </c>
      <c r="CX304" s="1947">
        <f t="shared" si="15"/>
        <v>0.93333333333333335</v>
      </c>
      <c r="CY304" s="1916">
        <f>BA29/1000</f>
        <v>0</v>
      </c>
      <c r="CZ304" s="1947">
        <f t="shared" si="16"/>
        <v>0.93333333333333335</v>
      </c>
      <c r="DA304" s="1916">
        <f>BB29/1000</f>
        <v>0</v>
      </c>
      <c r="DB304" s="1947">
        <f t="shared" si="17"/>
        <v>0.93333333333333335</v>
      </c>
      <c r="DC304" s="1916">
        <f>BC29/1000</f>
        <v>0</v>
      </c>
      <c r="DD304" s="1947">
        <f t="shared" si="18"/>
        <v>0.93333333333333335</v>
      </c>
      <c r="DE304" s="1916">
        <f>BD29/1000</f>
        <v>0</v>
      </c>
      <c r="DF304" s="1947">
        <f t="shared" si="19"/>
        <v>0.93333333333333335</v>
      </c>
      <c r="DG304" s="1916">
        <f>BE29/1000</f>
        <v>0</v>
      </c>
      <c r="DH304" s="1947">
        <f t="shared" si="20"/>
        <v>0.93333333333333335</v>
      </c>
      <c r="DI304" s="1916">
        <f>BF29/1000</f>
        <v>0</v>
      </c>
      <c r="DJ304" s="1947">
        <f t="shared" si="21"/>
        <v>0.93333333333333335</v>
      </c>
      <c r="DK304" s="1916">
        <f>BG29/1000</f>
        <v>0</v>
      </c>
      <c r="DL304" s="1947">
        <f t="shared" si="22"/>
        <v>0.93333333333333335</v>
      </c>
      <c r="DM304" s="1916">
        <f>BH29/1000</f>
        <v>0</v>
      </c>
      <c r="DN304" s="1947">
        <f t="shared" si="23"/>
        <v>0.93333333333333335</v>
      </c>
      <c r="DO304" s="1916">
        <f>BI29/1000</f>
        <v>0</v>
      </c>
      <c r="DP304" s="1947">
        <f t="shared" si="24"/>
        <v>0.93333333333333335</v>
      </c>
      <c r="DQ304" s="1916">
        <f>BJ29/1000</f>
        <v>0</v>
      </c>
      <c r="DR304" s="1947">
        <f t="shared" si="25"/>
        <v>0.93333333333333335</v>
      </c>
      <c r="DS304" s="1916">
        <f>BK29/1000</f>
        <v>0</v>
      </c>
      <c r="DT304" s="1947">
        <f t="shared" si="26"/>
        <v>0</v>
      </c>
      <c r="DU304" s="1916">
        <f>BL29/1000</f>
        <v>0</v>
      </c>
      <c r="DV304" s="1947">
        <f t="shared" si="27"/>
        <v>0</v>
      </c>
      <c r="DW304" s="1916">
        <f>BM29/1000</f>
        <v>0</v>
      </c>
      <c r="DX304" s="1947">
        <f t="shared" si="28"/>
        <v>0</v>
      </c>
      <c r="DY304" s="1916">
        <f>BN29/1000</f>
        <v>0</v>
      </c>
      <c r="DZ304" s="1947">
        <f t="shared" si="29"/>
        <v>0</v>
      </c>
      <c r="EA304" s="1916">
        <f>BO29/1000</f>
        <v>0</v>
      </c>
      <c r="EB304" s="1947">
        <f t="shared" si="30"/>
        <v>0</v>
      </c>
      <c r="EC304" s="1916">
        <f>BP29/1000</f>
        <v>0</v>
      </c>
      <c r="ED304" s="1947">
        <f t="shared" si="31"/>
        <v>0</v>
      </c>
      <c r="EE304" s="1916">
        <f>BQ29/1000</f>
        <v>0</v>
      </c>
      <c r="EF304" s="1947">
        <f t="shared" si="32"/>
        <v>0</v>
      </c>
      <c r="EG304" s="1916">
        <f>BR29/1000</f>
        <v>0</v>
      </c>
      <c r="EH304" s="1947">
        <f t="shared" si="33"/>
        <v>0</v>
      </c>
      <c r="EI304" s="1916">
        <f>BS29/1000</f>
        <v>0</v>
      </c>
      <c r="EJ304" s="1947">
        <f t="shared" si="34"/>
        <v>0</v>
      </c>
      <c r="EK304" s="1916">
        <f>BT29/1000</f>
        <v>0</v>
      </c>
      <c r="EL304" s="1919">
        <f>AJ304/1000</f>
        <v>4.666666666666667</v>
      </c>
      <c r="EM304" s="1969"/>
      <c r="EN304" s="1921">
        <f>BU29/1000</f>
        <v>0</v>
      </c>
      <c r="EO304" s="1260"/>
      <c r="EP304" s="1919">
        <f>AM304/1000</f>
        <v>9.3333333333333339</v>
      </c>
      <c r="EQ304" s="1921">
        <f>BW29/1000</f>
        <v>0</v>
      </c>
    </row>
    <row r="305" spans="1:147" s="1070" customFormat="1" ht="18" outlineLevel="1" x14ac:dyDescent="0.3">
      <c r="B305" s="1336" t="s">
        <v>1327</v>
      </c>
      <c r="C305" s="1360"/>
      <c r="D305" s="1361"/>
      <c r="E305" s="1360"/>
      <c r="F305" s="1303">
        <f>Calc!F140</f>
        <v>0</v>
      </c>
      <c r="G305" s="1300">
        <f>Calc!G140</f>
        <v>-1407.9577946524439</v>
      </c>
      <c r="H305" s="1300">
        <f>Calc!H140</f>
        <v>-1246.1770543783139</v>
      </c>
      <c r="I305" s="1300">
        <f>Calc!I140</f>
        <v>-3034.7914958265119</v>
      </c>
      <c r="J305" s="1300">
        <f>Calc!J140</f>
        <v>-3146.0877457394813</v>
      </c>
      <c r="K305" s="1300">
        <f>Calc!K140</f>
        <v>-1921.5307667093971</v>
      </c>
      <c r="L305" s="1300">
        <f>Calc!L140</f>
        <v>1700.15720586323</v>
      </c>
      <c r="M305" s="1300">
        <f>Calc!M140</f>
        <v>6170.1997663267648</v>
      </c>
      <c r="N305" s="1300">
        <f>Calc!N140</f>
        <v>13072.882384064176</v>
      </c>
      <c r="O305" s="1300">
        <f>Calc!O140</f>
        <v>20167.358896697988</v>
      </c>
      <c r="P305" s="1300">
        <f>Calc!P140</f>
        <v>25206.216154206308</v>
      </c>
      <c r="Q305" s="1300">
        <f>Calc!Q140</f>
        <v>28092.031579874907</v>
      </c>
      <c r="R305" s="1300">
        <f>Calc!R140</f>
        <v>30186.308644959103</v>
      </c>
      <c r="S305" s="1300">
        <f>Calc!S140</f>
        <v>34973.522855066316</v>
      </c>
      <c r="T305" s="1300">
        <f>Calc!T140</f>
        <v>35956.101163329309</v>
      </c>
      <c r="U305" s="1300">
        <f>Calc!U140</f>
        <v>44553.994266370377</v>
      </c>
      <c r="V305" s="1300">
        <f>Calc!V140</f>
        <v>49200.853409843075</v>
      </c>
      <c r="W305" s="1300">
        <f>Calc!W140</f>
        <v>56570.057590096359</v>
      </c>
      <c r="X305" s="1300">
        <f>Calc!X140</f>
        <v>70519.05209646569</v>
      </c>
      <c r="Y305" s="1300">
        <f>Calc!Y140</f>
        <v>-261.33333333333337</v>
      </c>
      <c r="Z305" s="1300">
        <f>Calc!Z140</f>
        <v>-261.33333333333337</v>
      </c>
      <c r="AA305" s="1300">
        <f>Calc!AA140</f>
        <v>0</v>
      </c>
      <c r="AB305" s="1300">
        <f>Calc!AB140</f>
        <v>0</v>
      </c>
      <c r="AC305" s="1300">
        <f>Calc!AC140</f>
        <v>0</v>
      </c>
      <c r="AD305" s="1300">
        <f>Calc!AD140</f>
        <v>0</v>
      </c>
      <c r="AE305" s="1300">
        <f>Calc!AE140</f>
        <v>0</v>
      </c>
      <c r="AF305" s="1300">
        <f>Calc!AF140</f>
        <v>0</v>
      </c>
      <c r="AG305" s="1300">
        <f>Calc!AG140</f>
        <v>0</v>
      </c>
      <c r="AH305" s="1300">
        <f>Calc!AH140</f>
        <v>0</v>
      </c>
      <c r="AI305" s="1300">
        <f>Calc!AI140</f>
        <v>0</v>
      </c>
      <c r="AJ305" s="1301">
        <f>Calc!AJ140</f>
        <v>55560.269549852324</v>
      </c>
      <c r="AK305" s="1302">
        <f>Calc!AK140</f>
        <v>0.273566267307357</v>
      </c>
      <c r="AL305" s="1272"/>
      <c r="AM305" s="1303">
        <f>Calc!AM140</f>
        <v>229322.22805945235</v>
      </c>
      <c r="AN305" s="1913"/>
      <c r="AO305" s="1260"/>
      <c r="AP305" s="1299">
        <f>F30</f>
        <v>0</v>
      </c>
      <c r="AQ305" s="1301">
        <f t="shared" si="35"/>
        <v>0</v>
      </c>
      <c r="AR305" s="1300">
        <f t="shared" si="35"/>
        <v>0</v>
      </c>
      <c r="AS305" s="1300">
        <f t="shared" si="35"/>
        <v>0</v>
      </c>
      <c r="AT305" s="1300">
        <f t="shared" si="35"/>
        <v>0</v>
      </c>
      <c r="AU305" s="1300">
        <f t="shared" si="35"/>
        <v>0</v>
      </c>
      <c r="AV305" s="1300">
        <f t="shared" si="35"/>
        <v>0</v>
      </c>
      <c r="AW305" s="1300">
        <f t="shared" si="35"/>
        <v>0</v>
      </c>
      <c r="AX305" s="1300">
        <f t="shared" si="35"/>
        <v>0</v>
      </c>
      <c r="AY305" s="1300">
        <f t="shared" si="35"/>
        <v>0</v>
      </c>
      <c r="AZ305" s="1300">
        <f t="shared" si="35"/>
        <v>0</v>
      </c>
      <c r="BA305" s="1300">
        <f t="shared" si="35"/>
        <v>0</v>
      </c>
      <c r="BB305" s="1300">
        <f t="shared" si="35"/>
        <v>0</v>
      </c>
      <c r="BC305" s="1300">
        <f t="shared" si="35"/>
        <v>0</v>
      </c>
      <c r="BD305" s="1300">
        <f t="shared" si="35"/>
        <v>0</v>
      </c>
      <c r="BE305" s="1300">
        <f t="shared" si="35"/>
        <v>0</v>
      </c>
      <c r="BF305" s="1300">
        <f t="shared" si="36"/>
        <v>0</v>
      </c>
      <c r="BG305" s="1300">
        <f t="shared" si="36"/>
        <v>0</v>
      </c>
      <c r="BH305" s="1300">
        <f t="shared" si="36"/>
        <v>0</v>
      </c>
      <c r="BI305" s="1300">
        <f t="shared" si="36"/>
        <v>0</v>
      </c>
      <c r="BJ305" s="1300">
        <f t="shared" si="36"/>
        <v>0</v>
      </c>
      <c r="BK305" s="1300">
        <f t="shared" si="36"/>
        <v>0</v>
      </c>
      <c r="BL305" s="1300">
        <f t="shared" si="36"/>
        <v>0</v>
      </c>
      <c r="BM305" s="1300">
        <f t="shared" si="36"/>
        <v>0</v>
      </c>
      <c r="BN305" s="1300">
        <f t="shared" si="36"/>
        <v>0</v>
      </c>
      <c r="BO305" s="1300">
        <f t="shared" si="36"/>
        <v>0</v>
      </c>
      <c r="BP305" s="1300">
        <f t="shared" si="36"/>
        <v>0</v>
      </c>
      <c r="BQ305" s="1300">
        <f t="shared" si="36"/>
        <v>0</v>
      </c>
      <c r="BR305" s="1300">
        <f t="shared" si="36"/>
        <v>0</v>
      </c>
      <c r="BS305" s="1300">
        <f t="shared" si="36"/>
        <v>0</v>
      </c>
      <c r="BT305" s="1301">
        <f t="shared" si="36"/>
        <v>0</v>
      </c>
      <c r="BU305" s="1302">
        <f>AK30</f>
        <v>0</v>
      </c>
      <c r="BV305" s="1914"/>
      <c r="BW305" s="1303">
        <f t="shared" si="37"/>
        <v>0</v>
      </c>
      <c r="CC305" s="1297" t="s">
        <v>1493</v>
      </c>
      <c r="CD305" s="1915">
        <f t="shared" si="5"/>
        <v>0</v>
      </c>
      <c r="CE305" s="1916">
        <f>AQ30/1000</f>
        <v>0</v>
      </c>
      <c r="CF305" s="1917">
        <f t="shared" si="6"/>
        <v>-1.407957794652444</v>
      </c>
      <c r="CG305" s="1916">
        <f>AR30/1000</f>
        <v>0</v>
      </c>
      <c r="CH305" s="1918">
        <f t="shared" si="7"/>
        <v>-1.2461770543783139</v>
      </c>
      <c r="CI305" s="1916">
        <f>AS30/1000</f>
        <v>0</v>
      </c>
      <c r="CJ305" s="1918">
        <f t="shared" si="8"/>
        <v>-3.0347914958265121</v>
      </c>
      <c r="CK305" s="1916">
        <f>AT30/1000</f>
        <v>0</v>
      </c>
      <c r="CL305" s="1918">
        <f t="shared" si="9"/>
        <v>-3.1460877457394814</v>
      </c>
      <c r="CM305" s="1916">
        <f>AU30/1000</f>
        <v>0</v>
      </c>
      <c r="CN305" s="1918">
        <f t="shared" si="10"/>
        <v>-1.921530766709397</v>
      </c>
      <c r="CO305" s="1916">
        <f>AV30/1000</f>
        <v>0</v>
      </c>
      <c r="CP305" s="1918">
        <f t="shared" si="11"/>
        <v>1.7001572058632299</v>
      </c>
      <c r="CQ305" s="1916">
        <f>AW30/1000</f>
        <v>0</v>
      </c>
      <c r="CR305" s="1918">
        <f t="shared" si="12"/>
        <v>6.1701997663267649</v>
      </c>
      <c r="CS305" s="1916">
        <f>AX30/1000</f>
        <v>0</v>
      </c>
      <c r="CT305" s="1918">
        <f t="shared" si="13"/>
        <v>13.072882384064176</v>
      </c>
      <c r="CU305" s="1916">
        <f>AY30/1000</f>
        <v>0</v>
      </c>
      <c r="CV305" s="1918">
        <f t="shared" si="14"/>
        <v>20.167358896697987</v>
      </c>
      <c r="CW305" s="1916">
        <f>AZ30/1000</f>
        <v>0</v>
      </c>
      <c r="CX305" s="1918">
        <f t="shared" si="15"/>
        <v>25.206216154206309</v>
      </c>
      <c r="CY305" s="1916">
        <f>BA30/1000</f>
        <v>0</v>
      </c>
      <c r="CZ305" s="1918">
        <f t="shared" si="16"/>
        <v>28.092031579874906</v>
      </c>
      <c r="DA305" s="1916">
        <f>BB30/1000</f>
        <v>0</v>
      </c>
      <c r="DB305" s="1918">
        <f t="shared" si="17"/>
        <v>30.186308644959102</v>
      </c>
      <c r="DC305" s="1916">
        <f>BC30/1000</f>
        <v>0</v>
      </c>
      <c r="DD305" s="1918">
        <f t="shared" si="18"/>
        <v>34.973522855066314</v>
      </c>
      <c r="DE305" s="1916">
        <f>BD30/1000</f>
        <v>0</v>
      </c>
      <c r="DF305" s="1918">
        <f t="shared" si="19"/>
        <v>35.956101163329308</v>
      </c>
      <c r="DG305" s="1916">
        <f>BE30/1000</f>
        <v>0</v>
      </c>
      <c r="DH305" s="1918">
        <f t="shared" si="20"/>
        <v>44.553994266370374</v>
      </c>
      <c r="DI305" s="1916">
        <f>BF30/1000</f>
        <v>0</v>
      </c>
      <c r="DJ305" s="1918">
        <f t="shared" si="21"/>
        <v>49.200853409843077</v>
      </c>
      <c r="DK305" s="1916">
        <f>BG30/1000</f>
        <v>0</v>
      </c>
      <c r="DL305" s="1918">
        <f t="shared" si="22"/>
        <v>56.570057590096361</v>
      </c>
      <c r="DM305" s="1916">
        <f>BH30/1000</f>
        <v>0</v>
      </c>
      <c r="DN305" s="1918">
        <f t="shared" si="23"/>
        <v>70.519052096465686</v>
      </c>
      <c r="DO305" s="1916">
        <f>BI30/1000</f>
        <v>0</v>
      </c>
      <c r="DP305" s="1918">
        <f t="shared" si="24"/>
        <v>-0.26133333333333336</v>
      </c>
      <c r="DQ305" s="1916">
        <f>BJ30/1000</f>
        <v>0</v>
      </c>
      <c r="DR305" s="1918">
        <f t="shared" si="25"/>
        <v>-0.26133333333333336</v>
      </c>
      <c r="DS305" s="1916">
        <f>BK30/1000</f>
        <v>0</v>
      </c>
      <c r="DT305" s="1918">
        <f t="shared" si="26"/>
        <v>0</v>
      </c>
      <c r="DU305" s="1916">
        <f>BL30/1000</f>
        <v>0</v>
      </c>
      <c r="DV305" s="1918">
        <f t="shared" si="27"/>
        <v>0</v>
      </c>
      <c r="DW305" s="1916">
        <f>BM30/1000</f>
        <v>0</v>
      </c>
      <c r="DX305" s="1918">
        <f t="shared" si="28"/>
        <v>0</v>
      </c>
      <c r="DY305" s="1916">
        <f>BN30/1000</f>
        <v>0</v>
      </c>
      <c r="DZ305" s="1918">
        <f t="shared" si="29"/>
        <v>0</v>
      </c>
      <c r="EA305" s="1916">
        <f>BO30/1000</f>
        <v>0</v>
      </c>
      <c r="EB305" s="1918">
        <f t="shared" si="30"/>
        <v>0</v>
      </c>
      <c r="EC305" s="1916">
        <f>BP30/1000</f>
        <v>0</v>
      </c>
      <c r="ED305" s="1918">
        <f t="shared" si="31"/>
        <v>0</v>
      </c>
      <c r="EE305" s="1916">
        <f>BQ30/1000</f>
        <v>0</v>
      </c>
      <c r="EF305" s="1918">
        <f t="shared" si="32"/>
        <v>0</v>
      </c>
      <c r="EG305" s="1916">
        <f>BR30/1000</f>
        <v>0</v>
      </c>
      <c r="EH305" s="1918">
        <f t="shared" si="33"/>
        <v>0</v>
      </c>
      <c r="EI305" s="1916">
        <f>BS30/1000</f>
        <v>0</v>
      </c>
      <c r="EJ305" s="1918">
        <f t="shared" si="34"/>
        <v>0</v>
      </c>
      <c r="EK305" s="1916">
        <f>BT30/1000</f>
        <v>0</v>
      </c>
      <c r="EL305" s="1919">
        <f>AJ305/1000</f>
        <v>55.560269549852322</v>
      </c>
      <c r="EM305" s="1922">
        <f>AK305</f>
        <v>0.273566267307357</v>
      </c>
      <c r="EN305" s="1921">
        <f>BU30/1000</f>
        <v>0</v>
      </c>
      <c r="EO305" s="1260"/>
      <c r="EP305" s="1919">
        <f>AM305/1000</f>
        <v>229.32222805945236</v>
      </c>
      <c r="EQ305" s="1921">
        <f>BW30/1000</f>
        <v>0</v>
      </c>
    </row>
    <row r="306" spans="1:147" s="1070" customFormat="1" ht="18" outlineLevel="1" x14ac:dyDescent="0.3">
      <c r="B306" s="1308" t="s">
        <v>674</v>
      </c>
      <c r="C306" s="1362"/>
      <c r="D306" s="1362"/>
      <c r="E306" s="1362"/>
      <c r="F306" s="1310">
        <f>Calc!F141</f>
        <v>0</v>
      </c>
      <c r="G306" s="1311">
        <f>Calc!G141</f>
        <v>-3620.4629005348552</v>
      </c>
      <c r="H306" s="1311">
        <f>Calc!H141</f>
        <v>-3204.4552826870922</v>
      </c>
      <c r="I306" s="1311">
        <f>Calc!I141</f>
        <v>-7803.7495606967441</v>
      </c>
      <c r="J306" s="1311">
        <f>Calc!J141</f>
        <v>-8089.9399176158076</v>
      </c>
      <c r="K306" s="1311">
        <f>Calc!K141</f>
        <v>-4941.0791143955921</v>
      </c>
      <c r="L306" s="1311">
        <f>Calc!L141</f>
        <v>4371.8328150768766</v>
      </c>
      <c r="M306" s="1311">
        <f>Calc!M141</f>
        <v>15866.227970554537</v>
      </c>
      <c r="N306" s="1311">
        <f>Calc!N141</f>
        <v>33615.983273307873</v>
      </c>
      <c r="O306" s="1311">
        <f>Calc!O141</f>
        <v>51858.922877223391</v>
      </c>
      <c r="P306" s="1311">
        <f>Calc!P141</f>
        <v>64815.98439653049</v>
      </c>
      <c r="Q306" s="1311">
        <f>Calc!Q141</f>
        <v>72236.65263396404</v>
      </c>
      <c r="R306" s="1311">
        <f>Calc!R141</f>
        <v>77621.936515609108</v>
      </c>
      <c r="S306" s="1311">
        <f>Calc!S141</f>
        <v>89931.915913027653</v>
      </c>
      <c r="T306" s="1311">
        <f>Calc!T141</f>
        <v>92458.545848561058</v>
      </c>
      <c r="U306" s="1311">
        <f>Calc!U141</f>
        <v>114567.41382780953</v>
      </c>
      <c r="V306" s="1311">
        <f>Calc!V141</f>
        <v>126516.48019673931</v>
      </c>
      <c r="W306" s="1311">
        <f>Calc!W141</f>
        <v>145465.86237453349</v>
      </c>
      <c r="X306" s="1311">
        <f>Calc!X141</f>
        <v>181334.70539091175</v>
      </c>
      <c r="Y306" s="1311">
        <f>Calc!Y141</f>
        <v>-672</v>
      </c>
      <c r="Z306" s="1311">
        <f>Calc!Z141</f>
        <v>-672</v>
      </c>
      <c r="AA306" s="1311">
        <f>Calc!AA141</f>
        <v>0</v>
      </c>
      <c r="AB306" s="1311">
        <f>Calc!AB141</f>
        <v>0</v>
      </c>
      <c r="AC306" s="1311">
        <f>Calc!AC141</f>
        <v>0</v>
      </c>
      <c r="AD306" s="1311">
        <f>Calc!AD141</f>
        <v>0</v>
      </c>
      <c r="AE306" s="1311">
        <f>Calc!AE141</f>
        <v>0</v>
      </c>
      <c r="AF306" s="1311">
        <f>Calc!AF141</f>
        <v>0</v>
      </c>
      <c r="AG306" s="1311">
        <f>Calc!AG141</f>
        <v>0</v>
      </c>
      <c r="AH306" s="1311">
        <f>Calc!AH141</f>
        <v>0</v>
      </c>
      <c r="AI306" s="1311">
        <f>Calc!AI141</f>
        <v>0</v>
      </c>
      <c r="AJ306" s="1312">
        <f>Calc!AJ141</f>
        <v>142869.26455676305</v>
      </c>
      <c r="AK306" s="1313"/>
      <c r="AL306" s="1272"/>
      <c r="AM306" s="1310">
        <f>Calc!AM141</f>
        <v>589685.72929573443</v>
      </c>
      <c r="AN306" s="1371"/>
      <c r="AO306" s="1260"/>
      <c r="AP306" s="1310">
        <f>F31</f>
        <v>0</v>
      </c>
      <c r="AQ306" s="1312">
        <f t="shared" si="35"/>
        <v>0</v>
      </c>
      <c r="AR306" s="1311">
        <f t="shared" si="35"/>
        <v>0</v>
      </c>
      <c r="AS306" s="1311">
        <f t="shared" si="35"/>
        <v>0</v>
      </c>
      <c r="AT306" s="1311">
        <f t="shared" si="35"/>
        <v>0</v>
      </c>
      <c r="AU306" s="1311">
        <f t="shared" si="35"/>
        <v>0</v>
      </c>
      <c r="AV306" s="1311">
        <f t="shared" si="35"/>
        <v>0</v>
      </c>
      <c r="AW306" s="1311">
        <f t="shared" si="35"/>
        <v>0</v>
      </c>
      <c r="AX306" s="1311">
        <f t="shared" si="35"/>
        <v>0</v>
      </c>
      <c r="AY306" s="1311">
        <f t="shared" si="35"/>
        <v>0</v>
      </c>
      <c r="AZ306" s="1311">
        <f t="shared" si="35"/>
        <v>0</v>
      </c>
      <c r="BA306" s="1311">
        <f t="shared" si="35"/>
        <v>0</v>
      </c>
      <c r="BB306" s="1311">
        <f t="shared" si="35"/>
        <v>0</v>
      </c>
      <c r="BC306" s="1311">
        <f t="shared" si="35"/>
        <v>0</v>
      </c>
      <c r="BD306" s="1311">
        <f t="shared" si="35"/>
        <v>0</v>
      </c>
      <c r="BE306" s="1311">
        <f t="shared" si="35"/>
        <v>0</v>
      </c>
      <c r="BF306" s="1311">
        <f t="shared" si="36"/>
        <v>0</v>
      </c>
      <c r="BG306" s="1311">
        <f t="shared" si="36"/>
        <v>0</v>
      </c>
      <c r="BH306" s="1311">
        <f t="shared" si="36"/>
        <v>0</v>
      </c>
      <c r="BI306" s="1311">
        <f t="shared" si="36"/>
        <v>0</v>
      </c>
      <c r="BJ306" s="1311">
        <f t="shared" si="36"/>
        <v>0</v>
      </c>
      <c r="BK306" s="1311">
        <f t="shared" si="36"/>
        <v>0</v>
      </c>
      <c r="BL306" s="1311">
        <f t="shared" si="36"/>
        <v>0</v>
      </c>
      <c r="BM306" s="1311">
        <f t="shared" si="36"/>
        <v>0</v>
      </c>
      <c r="BN306" s="1311">
        <f t="shared" si="36"/>
        <v>0</v>
      </c>
      <c r="BO306" s="1311">
        <f t="shared" si="36"/>
        <v>0</v>
      </c>
      <c r="BP306" s="1311">
        <f t="shared" si="36"/>
        <v>0</v>
      </c>
      <c r="BQ306" s="1311">
        <f t="shared" si="36"/>
        <v>0</v>
      </c>
      <c r="BR306" s="1311">
        <f t="shared" si="36"/>
        <v>0</v>
      </c>
      <c r="BS306" s="1311">
        <f t="shared" si="36"/>
        <v>0</v>
      </c>
      <c r="BT306" s="1312">
        <f t="shared" si="36"/>
        <v>0</v>
      </c>
      <c r="BU306" s="1313"/>
      <c r="BV306" s="1398"/>
      <c r="BW306" s="1310">
        <f t="shared" si="37"/>
        <v>0</v>
      </c>
      <c r="CC306" s="1924" t="s">
        <v>674</v>
      </c>
      <c r="CD306" s="1925">
        <f t="shared" si="5"/>
        <v>0</v>
      </c>
      <c r="CE306" s="1926">
        <f>AQ31/1000</f>
        <v>0</v>
      </c>
      <c r="CF306" s="1927">
        <f t="shared" si="6"/>
        <v>-3.620462900534855</v>
      </c>
      <c r="CG306" s="1926">
        <f>AR31/1000</f>
        <v>0</v>
      </c>
      <c r="CH306" s="1928">
        <f t="shared" si="7"/>
        <v>-3.2044552826870922</v>
      </c>
      <c r="CI306" s="1926">
        <f>AS31/1000</f>
        <v>0</v>
      </c>
      <c r="CJ306" s="1928">
        <f t="shared" si="8"/>
        <v>-7.803749560696744</v>
      </c>
      <c r="CK306" s="1926">
        <f>AT31/1000</f>
        <v>0</v>
      </c>
      <c r="CL306" s="1928">
        <f t="shared" si="9"/>
        <v>-8.0899399176158084</v>
      </c>
      <c r="CM306" s="1926">
        <f>AU31/1000</f>
        <v>0</v>
      </c>
      <c r="CN306" s="1928">
        <f t="shared" si="10"/>
        <v>-4.9410791143955919</v>
      </c>
      <c r="CO306" s="1926">
        <f>AV31/1000</f>
        <v>0</v>
      </c>
      <c r="CP306" s="1928">
        <f t="shared" si="11"/>
        <v>4.3718328150768766</v>
      </c>
      <c r="CQ306" s="1926">
        <f>AW31/1000</f>
        <v>0</v>
      </c>
      <c r="CR306" s="1928">
        <f t="shared" si="12"/>
        <v>15.866227970554537</v>
      </c>
      <c r="CS306" s="1926">
        <f>AX31/1000</f>
        <v>0</v>
      </c>
      <c r="CT306" s="1928">
        <f t="shared" si="13"/>
        <v>33.615983273307876</v>
      </c>
      <c r="CU306" s="1926">
        <f>AY31/1000</f>
        <v>0</v>
      </c>
      <c r="CV306" s="1928">
        <f t="shared" si="14"/>
        <v>51.858922877223392</v>
      </c>
      <c r="CW306" s="1926">
        <f>AZ31/1000</f>
        <v>0</v>
      </c>
      <c r="CX306" s="1928">
        <f t="shared" si="15"/>
        <v>64.815984396530496</v>
      </c>
      <c r="CY306" s="1926">
        <f>BA31/1000</f>
        <v>0</v>
      </c>
      <c r="CZ306" s="1928">
        <f t="shared" si="16"/>
        <v>72.236652633964042</v>
      </c>
      <c r="DA306" s="1926">
        <f>BB31/1000</f>
        <v>0</v>
      </c>
      <c r="DB306" s="1928">
        <f t="shared" si="17"/>
        <v>77.621936515609107</v>
      </c>
      <c r="DC306" s="1926">
        <f>BC31/1000</f>
        <v>0</v>
      </c>
      <c r="DD306" s="1928">
        <f t="shared" si="18"/>
        <v>89.931915913027652</v>
      </c>
      <c r="DE306" s="1926">
        <f>BD31/1000</f>
        <v>0</v>
      </c>
      <c r="DF306" s="1928">
        <f t="shared" si="19"/>
        <v>92.458545848561059</v>
      </c>
      <c r="DG306" s="1926">
        <f>BE31/1000</f>
        <v>0</v>
      </c>
      <c r="DH306" s="1928">
        <f t="shared" si="20"/>
        <v>114.56741382780953</v>
      </c>
      <c r="DI306" s="1926">
        <f>BF31/1000</f>
        <v>0</v>
      </c>
      <c r="DJ306" s="1928">
        <f t="shared" si="21"/>
        <v>126.51648019673931</v>
      </c>
      <c r="DK306" s="1926">
        <f>BG31/1000</f>
        <v>0</v>
      </c>
      <c r="DL306" s="1928">
        <f t="shared" si="22"/>
        <v>145.46586237453349</v>
      </c>
      <c r="DM306" s="1926">
        <f>BH31/1000</f>
        <v>0</v>
      </c>
      <c r="DN306" s="1928">
        <f t="shared" si="23"/>
        <v>181.33470539091175</v>
      </c>
      <c r="DO306" s="1926">
        <f>BI31/1000</f>
        <v>0</v>
      </c>
      <c r="DP306" s="1928">
        <f t="shared" si="24"/>
        <v>-0.67200000000000004</v>
      </c>
      <c r="DQ306" s="1926">
        <f>BJ31/1000</f>
        <v>0</v>
      </c>
      <c r="DR306" s="1928">
        <f t="shared" si="25"/>
        <v>-0.67200000000000004</v>
      </c>
      <c r="DS306" s="1926">
        <f>BK31/1000</f>
        <v>0</v>
      </c>
      <c r="DT306" s="1928">
        <f t="shared" si="26"/>
        <v>0</v>
      </c>
      <c r="DU306" s="1926">
        <f>BL31/1000</f>
        <v>0</v>
      </c>
      <c r="DV306" s="1928">
        <f t="shared" si="27"/>
        <v>0</v>
      </c>
      <c r="DW306" s="1926">
        <f>BM31/1000</f>
        <v>0</v>
      </c>
      <c r="DX306" s="1928">
        <f t="shared" si="28"/>
        <v>0</v>
      </c>
      <c r="DY306" s="1926">
        <f>BN31/1000</f>
        <v>0</v>
      </c>
      <c r="DZ306" s="1928">
        <f t="shared" si="29"/>
        <v>0</v>
      </c>
      <c r="EA306" s="1926">
        <f>BO31/1000</f>
        <v>0</v>
      </c>
      <c r="EB306" s="1928">
        <f t="shared" si="30"/>
        <v>0</v>
      </c>
      <c r="EC306" s="1926">
        <f>BP31/1000</f>
        <v>0</v>
      </c>
      <c r="ED306" s="1928">
        <f t="shared" si="31"/>
        <v>0</v>
      </c>
      <c r="EE306" s="1926">
        <f>BQ31/1000</f>
        <v>0</v>
      </c>
      <c r="EF306" s="1928">
        <f t="shared" si="32"/>
        <v>0</v>
      </c>
      <c r="EG306" s="1926">
        <f>BR31/1000</f>
        <v>0</v>
      </c>
      <c r="EH306" s="1928">
        <f t="shared" si="33"/>
        <v>0</v>
      </c>
      <c r="EI306" s="1926">
        <f>BS31/1000</f>
        <v>0</v>
      </c>
      <c r="EJ306" s="1928">
        <f t="shared" si="34"/>
        <v>0</v>
      </c>
      <c r="EK306" s="1926">
        <f>BT31/1000</f>
        <v>0</v>
      </c>
      <c r="EL306" s="1929">
        <f>AJ306/1000</f>
        <v>142.86926455676306</v>
      </c>
      <c r="EM306" s="1930"/>
      <c r="EN306" s="1931">
        <f>BU31/1000</f>
        <v>0</v>
      </c>
      <c r="EO306" s="1260"/>
      <c r="EP306" s="1929">
        <f>AM306/1000</f>
        <v>589.6857292957344</v>
      </c>
      <c r="EQ306" s="1931">
        <f>BW31/1000</f>
        <v>0</v>
      </c>
    </row>
    <row r="307" spans="1:147" s="1070" customFormat="1" ht="15.6" outlineLevel="1" x14ac:dyDescent="0.3">
      <c r="B307" s="1363"/>
      <c r="C307" s="1321" t="s">
        <v>1323</v>
      </c>
      <c r="D307" s="1322"/>
      <c r="E307" s="1364"/>
      <c r="F307" s="1365">
        <f>Calc!F142</f>
        <v>0</v>
      </c>
      <c r="G307" s="1325">
        <f>Calc!G142</f>
        <v>0</v>
      </c>
      <c r="H307" s="1325">
        <f>Calc!H142</f>
        <v>0</v>
      </c>
      <c r="I307" s="1325">
        <f>Calc!I142</f>
        <v>0</v>
      </c>
      <c r="J307" s="1325">
        <f>Calc!J142</f>
        <v>0</v>
      </c>
      <c r="K307" s="1325">
        <f>Calc!K142</f>
        <v>0</v>
      </c>
      <c r="L307" s="1325">
        <f>Calc!L142</f>
        <v>0.26230151537099761</v>
      </c>
      <c r="M307" s="1325">
        <f>Calc!M142</f>
        <v>0.41137543798546089</v>
      </c>
      <c r="N307" s="1325">
        <f>Calc!N142</f>
        <v>0.45721121305864537</v>
      </c>
      <c r="O307" s="1325">
        <f>Calc!O142</f>
        <v>0.47008153829488397</v>
      </c>
      <c r="P307" s="1325">
        <f>Calc!P142</f>
        <v>0.47193452064196301</v>
      </c>
      <c r="Q307" s="1325">
        <f>Calc!Q142</f>
        <v>0.47255163260692951</v>
      </c>
      <c r="R307" s="1325">
        <f>Calc!R142</f>
        <v>0.46832265999607264</v>
      </c>
      <c r="S307" s="1325">
        <f>Calc!S142</f>
        <v>0.47285333711295918</v>
      </c>
      <c r="T307" s="1325">
        <f>Calc!T142</f>
        <v>0.46502034395556308</v>
      </c>
      <c r="U307" s="1325">
        <f>Calc!U142</f>
        <v>0.47874453008202178</v>
      </c>
      <c r="V307" s="1325">
        <f>Calc!V142</f>
        <v>0.47113586572023963</v>
      </c>
      <c r="W307" s="1325">
        <f>Calc!W142</f>
        <v>0.47121600682434939</v>
      </c>
      <c r="X307" s="1325">
        <f>Calc!X142</f>
        <v>0.71734163640311588</v>
      </c>
      <c r="Y307" s="1325">
        <f>Calc!Y142</f>
        <v>0</v>
      </c>
      <c r="Z307" s="1325">
        <f>Calc!Z142</f>
        <v>0</v>
      </c>
      <c r="AA307" s="1325">
        <f>Calc!AA142</f>
        <v>0</v>
      </c>
      <c r="AB307" s="1325">
        <f>Calc!AB142</f>
        <v>0</v>
      </c>
      <c r="AC307" s="1325">
        <f>Calc!AC142</f>
        <v>0</v>
      </c>
      <c r="AD307" s="1325">
        <f>Calc!AD142</f>
        <v>0</v>
      </c>
      <c r="AE307" s="1325">
        <f>Calc!AE142</f>
        <v>0</v>
      </c>
      <c r="AF307" s="1325">
        <f>Calc!AF142</f>
        <v>0</v>
      </c>
      <c r="AG307" s="1325">
        <f>Calc!AG142</f>
        <v>0</v>
      </c>
      <c r="AH307" s="1325">
        <f>Calc!AH142</f>
        <v>0</v>
      </c>
      <c r="AI307" s="1325">
        <f>Calc!AI142</f>
        <v>0</v>
      </c>
      <c r="AJ307" s="1326">
        <f>Calc!AJ142</f>
        <v>0.37954753451747597</v>
      </c>
      <c r="AK307" s="1366"/>
      <c r="AL307" s="1488"/>
      <c r="AM307" s="1329">
        <f>Calc!AM142</f>
        <v>0.44559924677966045</v>
      </c>
      <c r="AN307" s="1379"/>
      <c r="AO307" s="1344"/>
      <c r="AP307" s="1365"/>
      <c r="AQ307" s="1326">
        <f t="shared" si="35"/>
        <v>0</v>
      </c>
      <c r="AR307" s="1325">
        <f t="shared" si="35"/>
        <v>0</v>
      </c>
      <c r="AS307" s="1325">
        <f t="shared" si="35"/>
        <v>0</v>
      </c>
      <c r="AT307" s="1325">
        <f t="shared" si="35"/>
        <v>0</v>
      </c>
      <c r="AU307" s="1325">
        <f t="shared" si="35"/>
        <v>0</v>
      </c>
      <c r="AV307" s="1325">
        <f t="shared" si="35"/>
        <v>0</v>
      </c>
      <c r="AW307" s="1325">
        <f t="shared" si="35"/>
        <v>0</v>
      </c>
      <c r="AX307" s="1325">
        <f t="shared" si="35"/>
        <v>0</v>
      </c>
      <c r="AY307" s="1325">
        <f t="shared" si="35"/>
        <v>0</v>
      </c>
      <c r="AZ307" s="1325">
        <f t="shared" si="35"/>
        <v>0</v>
      </c>
      <c r="BA307" s="1325">
        <f t="shared" si="35"/>
        <v>0</v>
      </c>
      <c r="BB307" s="1325">
        <f t="shared" si="35"/>
        <v>0</v>
      </c>
      <c r="BC307" s="1325">
        <f t="shared" si="35"/>
        <v>0</v>
      </c>
      <c r="BD307" s="1325">
        <f t="shared" si="35"/>
        <v>0</v>
      </c>
      <c r="BE307" s="1325">
        <f t="shared" si="35"/>
        <v>0</v>
      </c>
      <c r="BF307" s="1325">
        <f t="shared" si="36"/>
        <v>0</v>
      </c>
      <c r="BG307" s="1325">
        <f t="shared" si="36"/>
        <v>0</v>
      </c>
      <c r="BH307" s="1325">
        <f t="shared" si="36"/>
        <v>0</v>
      </c>
      <c r="BI307" s="1325">
        <f t="shared" si="36"/>
        <v>0</v>
      </c>
      <c r="BJ307" s="1325">
        <f t="shared" si="36"/>
        <v>0</v>
      </c>
      <c r="BK307" s="1325">
        <f t="shared" si="36"/>
        <v>0</v>
      </c>
      <c r="BL307" s="1325">
        <f t="shared" si="36"/>
        <v>0</v>
      </c>
      <c r="BM307" s="1325">
        <f t="shared" si="36"/>
        <v>0</v>
      </c>
      <c r="BN307" s="1325">
        <f t="shared" si="36"/>
        <v>0</v>
      </c>
      <c r="BO307" s="1325">
        <f t="shared" si="36"/>
        <v>0</v>
      </c>
      <c r="BP307" s="1325">
        <f t="shared" si="36"/>
        <v>0</v>
      </c>
      <c r="BQ307" s="1325">
        <f t="shared" si="36"/>
        <v>0</v>
      </c>
      <c r="BR307" s="1325">
        <f t="shared" si="36"/>
        <v>0</v>
      </c>
      <c r="BS307" s="1325">
        <f t="shared" si="36"/>
        <v>0</v>
      </c>
      <c r="BT307" s="1326">
        <f t="shared" si="36"/>
        <v>0</v>
      </c>
      <c r="BU307" s="1366"/>
      <c r="BV307" s="1970"/>
      <c r="BW307" s="1329">
        <f t="shared" si="37"/>
        <v>0</v>
      </c>
      <c r="CC307" s="1935" t="s">
        <v>1491</v>
      </c>
      <c r="CD307" s="1971" t="str">
        <f>IF(F307=0,"",F307)</f>
        <v/>
      </c>
      <c r="CE307" s="1972"/>
      <c r="CF307" s="1938" t="str">
        <f>IF(G307=0,"",G307)</f>
        <v/>
      </c>
      <c r="CG307" s="1972"/>
      <c r="CH307" s="1939" t="str">
        <f>IF(H307=0,"",H307)</f>
        <v/>
      </c>
      <c r="CI307" s="1972"/>
      <c r="CJ307" s="1939" t="str">
        <f>IF(I307=0,"",I307)</f>
        <v/>
      </c>
      <c r="CK307" s="1972"/>
      <c r="CL307" s="1939" t="str">
        <f>IF(J307=0,"",J307)</f>
        <v/>
      </c>
      <c r="CM307" s="1972"/>
      <c r="CN307" s="1939" t="str">
        <f>IF(K307=0,"",K307)</f>
        <v/>
      </c>
      <c r="CO307" s="1972"/>
      <c r="CP307" s="1939">
        <f>IF(L307=0,"",L307)</f>
        <v>0.26230151537099761</v>
      </c>
      <c r="CQ307" s="1972"/>
      <c r="CR307" s="1939">
        <f>IF(M307=0,"",M307)</f>
        <v>0.41137543798546089</v>
      </c>
      <c r="CS307" s="1972"/>
      <c r="CT307" s="1939">
        <f>IF(N307=0,"",N307)</f>
        <v>0.45721121305864537</v>
      </c>
      <c r="CU307" s="1972"/>
      <c r="CV307" s="1939">
        <f>IF(O307=0,"",O307)</f>
        <v>0.47008153829488397</v>
      </c>
      <c r="CW307" s="1972"/>
      <c r="CX307" s="1939">
        <f>IF(P307=0,"",P307)</f>
        <v>0.47193452064196301</v>
      </c>
      <c r="CY307" s="1972"/>
      <c r="CZ307" s="1939">
        <f>IF(Q307=0,"",Q307)</f>
        <v>0.47255163260692951</v>
      </c>
      <c r="DA307" s="1972"/>
      <c r="DB307" s="1939">
        <f>IF(R307=0,"",R307)</f>
        <v>0.46832265999607264</v>
      </c>
      <c r="DC307" s="1972"/>
      <c r="DD307" s="1939">
        <f>IF(S307=0,"",S307)</f>
        <v>0.47285333711295918</v>
      </c>
      <c r="DE307" s="1972"/>
      <c r="DF307" s="1939">
        <f>IF(T307=0,"",T307)</f>
        <v>0.46502034395556308</v>
      </c>
      <c r="DG307" s="1972"/>
      <c r="DH307" s="1939">
        <f>IF(U307=0,"",U307)</f>
        <v>0.47874453008202178</v>
      </c>
      <c r="DI307" s="1972"/>
      <c r="DJ307" s="1939">
        <f>IF(V307=0,"",V307)</f>
        <v>0.47113586572023963</v>
      </c>
      <c r="DK307" s="1972"/>
      <c r="DL307" s="1939">
        <f>IF(W307=0,"",W307)</f>
        <v>0.47121600682434939</v>
      </c>
      <c r="DM307" s="1972"/>
      <c r="DN307" s="1939">
        <f>IF(X307=0,"",X307)</f>
        <v>0.71734163640311588</v>
      </c>
      <c r="DO307" s="1972"/>
      <c r="DP307" s="1939" t="str">
        <f>IF(Y307=0,"",Y307)</f>
        <v/>
      </c>
      <c r="DQ307" s="1972"/>
      <c r="DR307" s="1939" t="str">
        <f>IF(Z307=0,"",Z307)</f>
        <v/>
      </c>
      <c r="DS307" s="1972"/>
      <c r="DT307" s="1939" t="str">
        <f>IF(AA307=0,"",AA307)</f>
        <v/>
      </c>
      <c r="DU307" s="1972"/>
      <c r="DV307" s="1939" t="str">
        <f>IF(AB307=0,"",AB307)</f>
        <v/>
      </c>
      <c r="DW307" s="1972"/>
      <c r="DX307" s="1939" t="str">
        <f>IF(AC307=0,"",AC307)</f>
        <v/>
      </c>
      <c r="DY307" s="1972"/>
      <c r="DZ307" s="1939" t="str">
        <f>IF(AD307=0,"",AD307)</f>
        <v/>
      </c>
      <c r="EA307" s="1972"/>
      <c r="EB307" s="1939" t="str">
        <f>IF(AE307=0,"",AE307)</f>
        <v/>
      </c>
      <c r="EC307" s="1972"/>
      <c r="ED307" s="1939" t="str">
        <f>IF(AF307=0,"",AF307)</f>
        <v/>
      </c>
      <c r="EE307" s="1972"/>
      <c r="EF307" s="1939" t="str">
        <f>IF(AG307=0,"",AG307)</f>
        <v/>
      </c>
      <c r="EG307" s="1972"/>
      <c r="EH307" s="1939" t="str">
        <f>IF(AH307=0,"",AH307)</f>
        <v/>
      </c>
      <c r="EI307" s="1972"/>
      <c r="EJ307" s="1939" t="str">
        <f>IF(AI307=0,"",AI307)</f>
        <v/>
      </c>
      <c r="EK307" s="1972"/>
      <c r="EL307" s="1940" t="str">
        <f>IF(AK307=0,"",AK307)</f>
        <v/>
      </c>
      <c r="EM307" s="1941"/>
      <c r="EN307" s="1942"/>
      <c r="EO307" s="1973"/>
      <c r="EP307" s="1940" t="str">
        <f>IF(AP307=0,"",AP307)</f>
        <v/>
      </c>
      <c r="EQ307" s="1942"/>
    </row>
    <row r="308" spans="1:147" s="1070" customFormat="1" ht="18" outlineLevel="1" x14ac:dyDescent="0.3">
      <c r="B308" s="1336" t="s">
        <v>1328</v>
      </c>
      <c r="C308" s="1337"/>
      <c r="D308" s="1298"/>
      <c r="E308" s="1337"/>
      <c r="F308" s="1303">
        <f>Calc!F143</f>
        <v>0</v>
      </c>
      <c r="G308" s="1300">
        <f>Calc!G143</f>
        <v>0</v>
      </c>
      <c r="H308" s="1300">
        <f>Calc!H143</f>
        <v>0</v>
      </c>
      <c r="I308" s="1300">
        <f>Calc!I143</f>
        <v>0</v>
      </c>
      <c r="J308" s="1300">
        <f>Calc!J143</f>
        <v>0</v>
      </c>
      <c r="K308" s="1300">
        <f>Calc!K143</f>
        <v>0</v>
      </c>
      <c r="L308" s="1300">
        <f>Calc!L143</f>
        <v>13066.666666666666</v>
      </c>
      <c r="M308" s="1300">
        <f>Calc!M143</f>
        <v>-933.33333333333337</v>
      </c>
      <c r="N308" s="1300">
        <f>Calc!N143</f>
        <v>-933.33333333333337</v>
      </c>
      <c r="O308" s="1300">
        <f>Calc!O143</f>
        <v>-933.33333333333337</v>
      </c>
      <c r="P308" s="1300">
        <f>Calc!P143</f>
        <v>-933.33333333333337</v>
      </c>
      <c r="Q308" s="1300">
        <f>Calc!Q143</f>
        <v>-933.33333333333337</v>
      </c>
      <c r="R308" s="1300">
        <f>Calc!R143</f>
        <v>-933.33333333333337</v>
      </c>
      <c r="S308" s="1300">
        <f>Calc!S143</f>
        <v>-933.33333333333337</v>
      </c>
      <c r="T308" s="1300">
        <f>Calc!T143</f>
        <v>-933.33333333333337</v>
      </c>
      <c r="U308" s="1300">
        <f>Calc!U143</f>
        <v>-933.33333333333337</v>
      </c>
      <c r="V308" s="1300">
        <f>Calc!V143</f>
        <v>-933.33333333333337</v>
      </c>
      <c r="W308" s="1300">
        <f>Calc!W143</f>
        <v>-933.33333333333337</v>
      </c>
      <c r="X308" s="1300">
        <f>Calc!X143</f>
        <v>-933.33333333333337</v>
      </c>
      <c r="Y308" s="1300">
        <f>Calc!Y143</f>
        <v>-933.33333333333337</v>
      </c>
      <c r="Z308" s="1300">
        <f>Calc!Z143</f>
        <v>-933.33333333333337</v>
      </c>
      <c r="AA308" s="1300">
        <f>Calc!AA143</f>
        <v>0</v>
      </c>
      <c r="AB308" s="1300">
        <f>Calc!AB143</f>
        <v>0</v>
      </c>
      <c r="AC308" s="1300">
        <f>Calc!AC143</f>
        <v>0</v>
      </c>
      <c r="AD308" s="1300">
        <f>Calc!AD143</f>
        <v>0</v>
      </c>
      <c r="AE308" s="1300">
        <f>Calc!AE143</f>
        <v>0</v>
      </c>
      <c r="AF308" s="1300">
        <f>Calc!AF143</f>
        <v>0</v>
      </c>
      <c r="AG308" s="1300">
        <f>Calc!AG143</f>
        <v>0</v>
      </c>
      <c r="AH308" s="1300">
        <f>Calc!AH143</f>
        <v>0</v>
      </c>
      <c r="AI308" s="1300">
        <f>Calc!AI143</f>
        <v>0</v>
      </c>
      <c r="AJ308" s="1301">
        <f>Calc!AJ143</f>
        <v>9333.3333333333303</v>
      </c>
      <c r="AK308" s="1302">
        <f>Calc!AK143</f>
        <v>2.4795001685537488E-2</v>
      </c>
      <c r="AL308" s="1272"/>
      <c r="AM308" s="1303">
        <f>Calc!AM143</f>
        <v>4666.6666666666633</v>
      </c>
      <c r="AN308" s="1913"/>
      <c r="AO308" s="1260"/>
      <c r="AP308" s="1299">
        <f>F33</f>
        <v>0</v>
      </c>
      <c r="AQ308" s="1301">
        <f t="shared" si="35"/>
        <v>0</v>
      </c>
      <c r="AR308" s="1300">
        <f t="shared" si="35"/>
        <v>0</v>
      </c>
      <c r="AS308" s="1300">
        <f t="shared" si="35"/>
        <v>0</v>
      </c>
      <c r="AT308" s="1300">
        <f t="shared" si="35"/>
        <v>0</v>
      </c>
      <c r="AU308" s="1300">
        <f t="shared" si="35"/>
        <v>0</v>
      </c>
      <c r="AV308" s="1300">
        <f t="shared" si="35"/>
        <v>0</v>
      </c>
      <c r="AW308" s="1300">
        <f t="shared" si="35"/>
        <v>0</v>
      </c>
      <c r="AX308" s="1300">
        <f t="shared" si="35"/>
        <v>0</v>
      </c>
      <c r="AY308" s="1300">
        <f t="shared" si="35"/>
        <v>0</v>
      </c>
      <c r="AZ308" s="1300">
        <f t="shared" si="35"/>
        <v>0</v>
      </c>
      <c r="BA308" s="1300">
        <f t="shared" si="35"/>
        <v>0</v>
      </c>
      <c r="BB308" s="1300">
        <f t="shared" si="35"/>
        <v>0</v>
      </c>
      <c r="BC308" s="1300">
        <f t="shared" si="35"/>
        <v>0</v>
      </c>
      <c r="BD308" s="1300">
        <f t="shared" si="35"/>
        <v>0</v>
      </c>
      <c r="BE308" s="1300">
        <f t="shared" si="35"/>
        <v>0</v>
      </c>
      <c r="BF308" s="1300">
        <f t="shared" si="36"/>
        <v>0</v>
      </c>
      <c r="BG308" s="1300">
        <f t="shared" si="36"/>
        <v>0</v>
      </c>
      <c r="BH308" s="1300">
        <f t="shared" si="36"/>
        <v>0</v>
      </c>
      <c r="BI308" s="1300">
        <f t="shared" si="36"/>
        <v>0</v>
      </c>
      <c r="BJ308" s="1300">
        <f t="shared" si="36"/>
        <v>0</v>
      </c>
      <c r="BK308" s="1300">
        <f t="shared" si="36"/>
        <v>0</v>
      </c>
      <c r="BL308" s="1300">
        <f t="shared" si="36"/>
        <v>0</v>
      </c>
      <c r="BM308" s="1300">
        <f t="shared" si="36"/>
        <v>0</v>
      </c>
      <c r="BN308" s="1300">
        <f t="shared" si="36"/>
        <v>0</v>
      </c>
      <c r="BO308" s="1300">
        <f t="shared" si="36"/>
        <v>0</v>
      </c>
      <c r="BP308" s="1300">
        <f t="shared" si="36"/>
        <v>0</v>
      </c>
      <c r="BQ308" s="1300">
        <f t="shared" si="36"/>
        <v>0</v>
      </c>
      <c r="BR308" s="1300">
        <f t="shared" si="36"/>
        <v>0</v>
      </c>
      <c r="BS308" s="1300">
        <f t="shared" si="36"/>
        <v>0</v>
      </c>
      <c r="BT308" s="1301">
        <f t="shared" si="36"/>
        <v>0</v>
      </c>
      <c r="BU308" s="1302">
        <f>AK33</f>
        <v>0</v>
      </c>
      <c r="BV308" s="1914"/>
      <c r="BW308" s="1303">
        <f t="shared" si="37"/>
        <v>0</v>
      </c>
      <c r="CC308" s="1297" t="s">
        <v>1328</v>
      </c>
      <c r="CD308" s="1915">
        <f t="shared" si="5"/>
        <v>0</v>
      </c>
      <c r="CE308" s="1916">
        <f>AQ33/1000</f>
        <v>0</v>
      </c>
      <c r="CF308" s="1917">
        <f t="shared" si="6"/>
        <v>0</v>
      </c>
      <c r="CG308" s="1916">
        <f>AR33/1000</f>
        <v>0</v>
      </c>
      <c r="CH308" s="1918">
        <f t="shared" si="7"/>
        <v>0</v>
      </c>
      <c r="CI308" s="1916">
        <f>AS33/1000</f>
        <v>0</v>
      </c>
      <c r="CJ308" s="1918">
        <f t="shared" si="8"/>
        <v>0</v>
      </c>
      <c r="CK308" s="1916">
        <f>AT33/1000</f>
        <v>0</v>
      </c>
      <c r="CL308" s="1918">
        <f t="shared" si="9"/>
        <v>0</v>
      </c>
      <c r="CM308" s="1916">
        <f>AU33/1000</f>
        <v>0</v>
      </c>
      <c r="CN308" s="1918">
        <f t="shared" si="10"/>
        <v>0</v>
      </c>
      <c r="CO308" s="1916">
        <f>AV33/1000</f>
        <v>0</v>
      </c>
      <c r="CP308" s="1918">
        <f t="shared" si="11"/>
        <v>13.066666666666666</v>
      </c>
      <c r="CQ308" s="1916">
        <f>AW33/1000</f>
        <v>0</v>
      </c>
      <c r="CR308" s="1918">
        <f t="shared" si="12"/>
        <v>-0.93333333333333335</v>
      </c>
      <c r="CS308" s="1916">
        <f>AX33/1000</f>
        <v>0</v>
      </c>
      <c r="CT308" s="1918">
        <f t="shared" si="13"/>
        <v>-0.93333333333333335</v>
      </c>
      <c r="CU308" s="1916">
        <f>AY33/1000</f>
        <v>0</v>
      </c>
      <c r="CV308" s="1918">
        <f t="shared" si="14"/>
        <v>-0.93333333333333335</v>
      </c>
      <c r="CW308" s="1916">
        <f>AZ33/1000</f>
        <v>0</v>
      </c>
      <c r="CX308" s="1918">
        <f t="shared" si="15"/>
        <v>-0.93333333333333335</v>
      </c>
      <c r="CY308" s="1916">
        <f>BA33/1000</f>
        <v>0</v>
      </c>
      <c r="CZ308" s="1918">
        <f t="shared" si="16"/>
        <v>-0.93333333333333335</v>
      </c>
      <c r="DA308" s="1916">
        <f>BB33/1000</f>
        <v>0</v>
      </c>
      <c r="DB308" s="1918">
        <f t="shared" si="17"/>
        <v>-0.93333333333333335</v>
      </c>
      <c r="DC308" s="1916">
        <f>BC33/1000</f>
        <v>0</v>
      </c>
      <c r="DD308" s="1918">
        <f t="shared" si="18"/>
        <v>-0.93333333333333335</v>
      </c>
      <c r="DE308" s="1916">
        <f>BD33/1000</f>
        <v>0</v>
      </c>
      <c r="DF308" s="1918">
        <f t="shared" si="19"/>
        <v>-0.93333333333333335</v>
      </c>
      <c r="DG308" s="1916">
        <f>BE33/1000</f>
        <v>0</v>
      </c>
      <c r="DH308" s="1918">
        <f t="shared" si="20"/>
        <v>-0.93333333333333335</v>
      </c>
      <c r="DI308" s="1916">
        <f>BF33/1000</f>
        <v>0</v>
      </c>
      <c r="DJ308" s="1918">
        <f t="shared" si="21"/>
        <v>-0.93333333333333335</v>
      </c>
      <c r="DK308" s="1916">
        <f>BG33/1000</f>
        <v>0</v>
      </c>
      <c r="DL308" s="1918">
        <f t="shared" si="22"/>
        <v>-0.93333333333333335</v>
      </c>
      <c r="DM308" s="1916">
        <f>BH33/1000</f>
        <v>0</v>
      </c>
      <c r="DN308" s="1918">
        <f t="shared" si="23"/>
        <v>-0.93333333333333335</v>
      </c>
      <c r="DO308" s="1916">
        <f>BI33/1000</f>
        <v>0</v>
      </c>
      <c r="DP308" s="1918">
        <f t="shared" si="24"/>
        <v>-0.93333333333333335</v>
      </c>
      <c r="DQ308" s="1916">
        <f>BJ33/1000</f>
        <v>0</v>
      </c>
      <c r="DR308" s="1918">
        <f t="shared" si="25"/>
        <v>-0.93333333333333335</v>
      </c>
      <c r="DS308" s="1916">
        <f>BK33/1000</f>
        <v>0</v>
      </c>
      <c r="DT308" s="1918">
        <f t="shared" si="26"/>
        <v>0</v>
      </c>
      <c r="DU308" s="1916">
        <f>BL33/1000</f>
        <v>0</v>
      </c>
      <c r="DV308" s="1918">
        <f t="shared" si="27"/>
        <v>0</v>
      </c>
      <c r="DW308" s="1916">
        <f>BM33/1000</f>
        <v>0</v>
      </c>
      <c r="DX308" s="1918">
        <f t="shared" si="28"/>
        <v>0</v>
      </c>
      <c r="DY308" s="1916">
        <f>BN33/1000</f>
        <v>0</v>
      </c>
      <c r="DZ308" s="1918">
        <f t="shared" si="29"/>
        <v>0</v>
      </c>
      <c r="EA308" s="1916">
        <f>BO33/1000</f>
        <v>0</v>
      </c>
      <c r="EB308" s="1918">
        <f t="shared" si="30"/>
        <v>0</v>
      </c>
      <c r="EC308" s="1916">
        <f>BP33/1000</f>
        <v>0</v>
      </c>
      <c r="ED308" s="1918">
        <f t="shared" si="31"/>
        <v>0</v>
      </c>
      <c r="EE308" s="1916">
        <f>BQ33/1000</f>
        <v>0</v>
      </c>
      <c r="EF308" s="1918">
        <f t="shared" si="32"/>
        <v>0</v>
      </c>
      <c r="EG308" s="1916">
        <f>BR33/1000</f>
        <v>0</v>
      </c>
      <c r="EH308" s="1918">
        <f t="shared" si="33"/>
        <v>0</v>
      </c>
      <c r="EI308" s="1916">
        <f>BS33/1000</f>
        <v>0</v>
      </c>
      <c r="EJ308" s="1918">
        <f t="shared" si="34"/>
        <v>0</v>
      </c>
      <c r="EK308" s="1916">
        <f>BT33/1000</f>
        <v>0</v>
      </c>
      <c r="EL308" s="1919">
        <f>AJ308/1000</f>
        <v>9.3333333333333304</v>
      </c>
      <c r="EM308" s="1974">
        <f>AK308</f>
        <v>2.4795001685537488E-2</v>
      </c>
      <c r="EN308" s="1921">
        <f>BU33/1000</f>
        <v>0</v>
      </c>
      <c r="EO308" s="1260"/>
      <c r="EP308" s="1919">
        <f>AM308/1000</f>
        <v>4.6666666666666634</v>
      </c>
      <c r="EQ308" s="1921">
        <f>BW33/1000</f>
        <v>0</v>
      </c>
    </row>
    <row r="309" spans="1:147" s="1070" customFormat="1" ht="18" outlineLevel="1" x14ac:dyDescent="0.3">
      <c r="B309" s="1336" t="s">
        <v>1329</v>
      </c>
      <c r="C309" s="1337"/>
      <c r="D309" s="1298"/>
      <c r="E309" s="1337"/>
      <c r="F309" s="1303">
        <f>Calc!F144</f>
        <v>0</v>
      </c>
      <c r="G309" s="1300">
        <f>Calc!G144</f>
        <v>0</v>
      </c>
      <c r="H309" s="1300">
        <f>Calc!H144</f>
        <v>0</v>
      </c>
      <c r="I309" s="1300">
        <f>Calc!I144</f>
        <v>0</v>
      </c>
      <c r="J309" s="1300">
        <f>Calc!J144</f>
        <v>0</v>
      </c>
      <c r="K309" s="1300">
        <f>Calc!K144</f>
        <v>0</v>
      </c>
      <c r="L309" s="1300">
        <f>Calc!L144</f>
        <v>3160.13687761248</v>
      </c>
      <c r="M309" s="1300">
        <f>Calc!M144</f>
        <v>4194.6694701487686</v>
      </c>
      <c r="N309" s="1300">
        <f>Calc!N144</f>
        <v>6674.0702691069473</v>
      </c>
      <c r="O309" s="1300">
        <f>Calc!O144</f>
        <v>7032.8497151280262</v>
      </c>
      <c r="P309" s="1300">
        <f>Calc!P144</f>
        <v>5195.3025800595897</v>
      </c>
      <c r="Q309" s="1300">
        <f>Calc!Q144</f>
        <v>2988.4494306812239</v>
      </c>
      <c r="R309" s="1300">
        <f>Calc!R144</f>
        <v>2704.0565805251163</v>
      </c>
      <c r="S309" s="1300">
        <f>Calc!S144</f>
        <v>4598.2114993296118</v>
      </c>
      <c r="T309" s="1300">
        <f>Calc!T144</f>
        <v>1941.0854642407503</v>
      </c>
      <c r="U309" s="1300">
        <f>Calc!U144</f>
        <v>7315.3371366588362</v>
      </c>
      <c r="V309" s="1300">
        <f>Calc!V144</f>
        <v>5978.3555525427637</v>
      </c>
      <c r="W309" s="1300">
        <f>Calc!W144</f>
        <v>7777.6097665450779</v>
      </c>
      <c r="X309" s="1300">
        <f>Calc!X144</f>
        <v>-20939.884356081711</v>
      </c>
      <c r="Y309" s="1300">
        <f>Calc!Y144</f>
        <v>-38620.249986497482</v>
      </c>
      <c r="Z309" s="1300">
        <f>Calc!Z144</f>
        <v>0</v>
      </c>
      <c r="AA309" s="1300">
        <f>Calc!AA144</f>
        <v>0</v>
      </c>
      <c r="AB309" s="1300">
        <f>Calc!AB144</f>
        <v>0</v>
      </c>
      <c r="AC309" s="1300">
        <f>Calc!AC144</f>
        <v>0</v>
      </c>
      <c r="AD309" s="1300">
        <f>Calc!AD144</f>
        <v>0</v>
      </c>
      <c r="AE309" s="1300">
        <f>Calc!AE144</f>
        <v>0</v>
      </c>
      <c r="AF309" s="1300">
        <f>Calc!AF144</f>
        <v>0</v>
      </c>
      <c r="AG309" s="1300">
        <f>Calc!AG144</f>
        <v>0</v>
      </c>
      <c r="AH309" s="1300">
        <f>Calc!AH144</f>
        <v>0</v>
      </c>
      <c r="AI309" s="1300">
        <f>Calc!AI144</f>
        <v>0</v>
      </c>
      <c r="AJ309" s="1301">
        <f>Calc!AJ144</f>
        <v>26257.028912055812</v>
      </c>
      <c r="AK309" s="1302">
        <f>Calc!AK144</f>
        <v>6.9754615299817566E-2</v>
      </c>
      <c r="AL309" s="1272"/>
      <c r="AM309" s="1303">
        <f>Calc!AM144</f>
        <v>45804.169023491355</v>
      </c>
      <c r="AN309" s="1913"/>
      <c r="AO309" s="1260"/>
      <c r="AP309" s="1299">
        <f>F34</f>
        <v>0</v>
      </c>
      <c r="AQ309" s="1301">
        <f t="shared" si="35"/>
        <v>0</v>
      </c>
      <c r="AR309" s="1300">
        <f t="shared" si="35"/>
        <v>0</v>
      </c>
      <c r="AS309" s="1300">
        <f t="shared" si="35"/>
        <v>0</v>
      </c>
      <c r="AT309" s="1300">
        <f t="shared" si="35"/>
        <v>0</v>
      </c>
      <c r="AU309" s="1300">
        <f t="shared" si="35"/>
        <v>0</v>
      </c>
      <c r="AV309" s="1300">
        <f t="shared" si="35"/>
        <v>0</v>
      </c>
      <c r="AW309" s="1300">
        <f t="shared" si="35"/>
        <v>0</v>
      </c>
      <c r="AX309" s="1300">
        <f t="shared" si="35"/>
        <v>0</v>
      </c>
      <c r="AY309" s="1300">
        <f t="shared" si="35"/>
        <v>0</v>
      </c>
      <c r="AZ309" s="1300">
        <f t="shared" si="35"/>
        <v>0</v>
      </c>
      <c r="BA309" s="1300">
        <f t="shared" si="35"/>
        <v>0</v>
      </c>
      <c r="BB309" s="1300">
        <f t="shared" si="35"/>
        <v>0</v>
      </c>
      <c r="BC309" s="1300">
        <f t="shared" si="35"/>
        <v>0</v>
      </c>
      <c r="BD309" s="1300">
        <f t="shared" si="35"/>
        <v>0</v>
      </c>
      <c r="BE309" s="1300">
        <f t="shared" si="35"/>
        <v>0</v>
      </c>
      <c r="BF309" s="1300">
        <f t="shared" si="36"/>
        <v>0</v>
      </c>
      <c r="BG309" s="1300">
        <f t="shared" si="36"/>
        <v>0</v>
      </c>
      <c r="BH309" s="1300">
        <f t="shared" si="36"/>
        <v>0</v>
      </c>
      <c r="BI309" s="1300">
        <f t="shared" si="36"/>
        <v>0</v>
      </c>
      <c r="BJ309" s="1300">
        <f t="shared" si="36"/>
        <v>0</v>
      </c>
      <c r="BK309" s="1300">
        <f t="shared" si="36"/>
        <v>0</v>
      </c>
      <c r="BL309" s="1300">
        <f t="shared" si="36"/>
        <v>0</v>
      </c>
      <c r="BM309" s="1300">
        <f t="shared" si="36"/>
        <v>0</v>
      </c>
      <c r="BN309" s="1300">
        <f t="shared" si="36"/>
        <v>0</v>
      </c>
      <c r="BO309" s="1300">
        <f t="shared" si="36"/>
        <v>0</v>
      </c>
      <c r="BP309" s="1300">
        <f t="shared" si="36"/>
        <v>0</v>
      </c>
      <c r="BQ309" s="1300">
        <f t="shared" si="36"/>
        <v>0</v>
      </c>
      <c r="BR309" s="1300">
        <f t="shared" si="36"/>
        <v>0</v>
      </c>
      <c r="BS309" s="1975">
        <f t="shared" si="36"/>
        <v>0</v>
      </c>
      <c r="BT309" s="1301">
        <f t="shared" si="36"/>
        <v>0</v>
      </c>
      <c r="BU309" s="1302">
        <f>AK34</f>
        <v>0</v>
      </c>
      <c r="BV309" s="1914"/>
      <c r="BW309" s="1303">
        <f t="shared" si="37"/>
        <v>0</v>
      </c>
      <c r="CC309" s="1297" t="s">
        <v>1494</v>
      </c>
      <c r="CD309" s="1915">
        <f t="shared" si="5"/>
        <v>0</v>
      </c>
      <c r="CE309" s="1916">
        <f>AQ34/1000</f>
        <v>0</v>
      </c>
      <c r="CF309" s="1917">
        <f t="shared" si="6"/>
        <v>0</v>
      </c>
      <c r="CG309" s="1916">
        <f>AR34/1000</f>
        <v>0</v>
      </c>
      <c r="CH309" s="1918">
        <f t="shared" si="7"/>
        <v>0</v>
      </c>
      <c r="CI309" s="1916">
        <f>AS34/1000</f>
        <v>0</v>
      </c>
      <c r="CJ309" s="1918">
        <f t="shared" si="8"/>
        <v>0</v>
      </c>
      <c r="CK309" s="1916">
        <f>AT34/1000</f>
        <v>0</v>
      </c>
      <c r="CL309" s="1918">
        <f t="shared" si="9"/>
        <v>0</v>
      </c>
      <c r="CM309" s="1916">
        <f>AU34/1000</f>
        <v>0</v>
      </c>
      <c r="CN309" s="1918">
        <f t="shared" si="10"/>
        <v>0</v>
      </c>
      <c r="CO309" s="1916">
        <f>AV34/1000</f>
        <v>0</v>
      </c>
      <c r="CP309" s="1918">
        <f t="shared" si="11"/>
        <v>3.1601368776124801</v>
      </c>
      <c r="CQ309" s="1916">
        <f>AW34/1000</f>
        <v>0</v>
      </c>
      <c r="CR309" s="1918">
        <f t="shared" si="12"/>
        <v>4.194669470148769</v>
      </c>
      <c r="CS309" s="1916">
        <f>AX34/1000</f>
        <v>0</v>
      </c>
      <c r="CT309" s="1918">
        <f t="shared" si="13"/>
        <v>6.6740702691069469</v>
      </c>
      <c r="CU309" s="1916">
        <f>AY34/1000</f>
        <v>0</v>
      </c>
      <c r="CV309" s="1918">
        <f t="shared" si="14"/>
        <v>7.0328497151280258</v>
      </c>
      <c r="CW309" s="1916">
        <f>AZ34/1000</f>
        <v>0</v>
      </c>
      <c r="CX309" s="1918">
        <f t="shared" si="15"/>
        <v>5.1953025800595896</v>
      </c>
      <c r="CY309" s="1916">
        <f>BA34/1000</f>
        <v>0</v>
      </c>
      <c r="CZ309" s="1918">
        <f t="shared" si="16"/>
        <v>2.9884494306812242</v>
      </c>
      <c r="DA309" s="1916">
        <f>BB34/1000</f>
        <v>0</v>
      </c>
      <c r="DB309" s="1918">
        <f t="shared" si="17"/>
        <v>2.7040565805251164</v>
      </c>
      <c r="DC309" s="1916">
        <f>BC34/1000</f>
        <v>0</v>
      </c>
      <c r="DD309" s="1918">
        <f t="shared" si="18"/>
        <v>4.5982114993296115</v>
      </c>
      <c r="DE309" s="1916">
        <f>BD34/1000</f>
        <v>0</v>
      </c>
      <c r="DF309" s="1918">
        <f t="shared" si="19"/>
        <v>1.9410854642407502</v>
      </c>
      <c r="DG309" s="1916">
        <f>BE34/1000</f>
        <v>0</v>
      </c>
      <c r="DH309" s="1918">
        <f t="shared" si="20"/>
        <v>7.3153371366588367</v>
      </c>
      <c r="DI309" s="1916">
        <f>BF34/1000</f>
        <v>0</v>
      </c>
      <c r="DJ309" s="1918">
        <f t="shared" si="21"/>
        <v>5.9783555525427641</v>
      </c>
      <c r="DK309" s="1916">
        <f>BG34/1000</f>
        <v>0</v>
      </c>
      <c r="DL309" s="1918">
        <f t="shared" si="22"/>
        <v>7.7776097665450781</v>
      </c>
      <c r="DM309" s="1916">
        <f>BH34/1000</f>
        <v>0</v>
      </c>
      <c r="DN309" s="1918">
        <f t="shared" si="23"/>
        <v>-20.939884356081713</v>
      </c>
      <c r="DO309" s="1916">
        <f>BI34/1000</f>
        <v>0</v>
      </c>
      <c r="DP309" s="1918">
        <f t="shared" si="24"/>
        <v>-38.620249986497484</v>
      </c>
      <c r="DQ309" s="1916">
        <f>BJ34/1000</f>
        <v>0</v>
      </c>
      <c r="DR309" s="1918">
        <f t="shared" si="25"/>
        <v>0</v>
      </c>
      <c r="DS309" s="1916">
        <f>BK34/1000</f>
        <v>0</v>
      </c>
      <c r="DT309" s="1918">
        <f t="shared" si="26"/>
        <v>0</v>
      </c>
      <c r="DU309" s="1916">
        <f>BL34/1000</f>
        <v>0</v>
      </c>
      <c r="DV309" s="1918">
        <f t="shared" si="27"/>
        <v>0</v>
      </c>
      <c r="DW309" s="1916">
        <f>BM34/1000</f>
        <v>0</v>
      </c>
      <c r="DX309" s="1918">
        <f t="shared" si="28"/>
        <v>0</v>
      </c>
      <c r="DY309" s="1916">
        <f>BN34/1000</f>
        <v>0</v>
      </c>
      <c r="DZ309" s="1918">
        <f t="shared" si="29"/>
        <v>0</v>
      </c>
      <c r="EA309" s="1916">
        <f>BO34/1000</f>
        <v>0</v>
      </c>
      <c r="EB309" s="1918">
        <f t="shared" si="30"/>
        <v>0</v>
      </c>
      <c r="EC309" s="1916">
        <f>BP34/1000</f>
        <v>0</v>
      </c>
      <c r="ED309" s="1918">
        <f t="shared" si="31"/>
        <v>0</v>
      </c>
      <c r="EE309" s="1916">
        <f>BQ34/1000</f>
        <v>0</v>
      </c>
      <c r="EF309" s="1918">
        <f t="shared" si="32"/>
        <v>0</v>
      </c>
      <c r="EG309" s="1916">
        <f>BR34/1000</f>
        <v>0</v>
      </c>
      <c r="EH309" s="1918">
        <f t="shared" si="33"/>
        <v>0</v>
      </c>
      <c r="EI309" s="1916">
        <f>BS34/1000</f>
        <v>0</v>
      </c>
      <c r="EJ309" s="1918">
        <f t="shared" si="34"/>
        <v>0</v>
      </c>
      <c r="EK309" s="1916">
        <f>BT34/1000</f>
        <v>0</v>
      </c>
      <c r="EL309" s="1919">
        <f>AJ309/1000</f>
        <v>26.257028912055812</v>
      </c>
      <c r="EM309" s="1974">
        <f>AK309</f>
        <v>6.9754615299817566E-2</v>
      </c>
      <c r="EN309" s="1921">
        <f>BU34/1000</f>
        <v>0</v>
      </c>
      <c r="EO309" s="1260"/>
      <c r="EP309" s="1919">
        <f>AM309/1000</f>
        <v>45.804169023491355</v>
      </c>
      <c r="EQ309" s="1921">
        <f>BW34/1000</f>
        <v>0</v>
      </c>
    </row>
    <row r="310" spans="1:147" s="1070" customFormat="1" ht="18" outlineLevel="1" x14ac:dyDescent="0.3">
      <c r="B310" s="1369" t="s">
        <v>1450</v>
      </c>
      <c r="C310" s="1298"/>
      <c r="D310" s="1298"/>
      <c r="E310" s="1298"/>
      <c r="F310" s="1370">
        <f>Calc!F145</f>
        <v>0</v>
      </c>
      <c r="G310" s="1371">
        <f>Calc!G145</f>
        <v>-3620.4629005348552</v>
      </c>
      <c r="H310" s="1371">
        <f>Calc!H145</f>
        <v>-3204.4552826870922</v>
      </c>
      <c r="I310" s="1371">
        <f>Calc!I145</f>
        <v>-7803.7495606967441</v>
      </c>
      <c r="J310" s="1371">
        <f>Calc!J145</f>
        <v>-8089.9399176158076</v>
      </c>
      <c r="K310" s="1371">
        <f>Calc!K145</f>
        <v>-4941.0791143955921</v>
      </c>
      <c r="L310" s="1371">
        <f>Calc!L145</f>
        <v>-11854.970729202269</v>
      </c>
      <c r="M310" s="1371">
        <f>Calc!M145</f>
        <v>12604.891833739101</v>
      </c>
      <c r="N310" s="1371">
        <f>Calc!N145</f>
        <v>27875.246337534263</v>
      </c>
      <c r="O310" s="1371">
        <f>Calc!O145</f>
        <v>45759.406495428702</v>
      </c>
      <c r="P310" s="1371">
        <f>Calc!P145</f>
        <v>60554.015149804225</v>
      </c>
      <c r="Q310" s="1371">
        <f>Calc!Q145</f>
        <v>70181.536536616142</v>
      </c>
      <c r="R310" s="1371">
        <f>Calc!R145</f>
        <v>75851.213268417327</v>
      </c>
      <c r="S310" s="1371">
        <f>Calc!S145</f>
        <v>86267.037747031369</v>
      </c>
      <c r="T310" s="1371">
        <f>Calc!T145</f>
        <v>91450.793717653636</v>
      </c>
      <c r="U310" s="1371">
        <f>Calc!U145</f>
        <v>108185.41002448402</v>
      </c>
      <c r="V310" s="1371">
        <f>Calc!V145</f>
        <v>121471.45797752988</v>
      </c>
      <c r="W310" s="1371">
        <f>Calc!W145</f>
        <v>138621.58594132177</v>
      </c>
      <c r="X310" s="1371">
        <f>Calc!X145</f>
        <v>203207.92308032681</v>
      </c>
      <c r="Y310" s="1371">
        <f>Calc!Y145</f>
        <v>38881.583319830817</v>
      </c>
      <c r="Z310" s="1371">
        <f>Calc!Z145</f>
        <v>261.33333333333337</v>
      </c>
      <c r="AA310" s="1371">
        <f>Calc!AA145</f>
        <v>0</v>
      </c>
      <c r="AB310" s="1371">
        <f>Calc!AB145</f>
        <v>0</v>
      </c>
      <c r="AC310" s="1371">
        <f>Calc!AC145</f>
        <v>0</v>
      </c>
      <c r="AD310" s="1371">
        <f>Calc!AD145</f>
        <v>0</v>
      </c>
      <c r="AE310" s="1371">
        <f>Calc!AE145</f>
        <v>0</v>
      </c>
      <c r="AF310" s="1371">
        <f>Calc!AF145</f>
        <v>0</v>
      </c>
      <c r="AG310" s="1371">
        <f>Calc!AG145</f>
        <v>0</v>
      </c>
      <c r="AH310" s="1371">
        <f>Calc!AH145</f>
        <v>0</v>
      </c>
      <c r="AI310" s="1371">
        <f>Calc!AI145</f>
        <v>0</v>
      </c>
      <c r="AJ310" s="1372">
        <f>Calc!AJ145</f>
        <v>107278.90231137389</v>
      </c>
      <c r="AK310" s="1373"/>
      <c r="AL310" s="1272"/>
      <c r="AM310" s="1370">
        <f>Calc!AM145</f>
        <v>539214.89360557648</v>
      </c>
      <c r="AN310" s="1371"/>
      <c r="AO310" s="1260"/>
      <c r="AP310" s="1370">
        <f>F35</f>
        <v>0</v>
      </c>
      <c r="AQ310" s="1372">
        <f t="shared" si="35"/>
        <v>0</v>
      </c>
      <c r="AR310" s="1371">
        <f t="shared" si="35"/>
        <v>0</v>
      </c>
      <c r="AS310" s="1371">
        <f t="shared" si="35"/>
        <v>0</v>
      </c>
      <c r="AT310" s="1371">
        <f t="shared" si="35"/>
        <v>0</v>
      </c>
      <c r="AU310" s="1371">
        <f t="shared" si="35"/>
        <v>0</v>
      </c>
      <c r="AV310" s="1371">
        <f t="shared" si="35"/>
        <v>0</v>
      </c>
      <c r="AW310" s="1371">
        <f t="shared" si="35"/>
        <v>0</v>
      </c>
      <c r="AX310" s="1371">
        <f t="shared" si="35"/>
        <v>0</v>
      </c>
      <c r="AY310" s="1371">
        <f t="shared" si="35"/>
        <v>0</v>
      </c>
      <c r="AZ310" s="1371">
        <f t="shared" si="35"/>
        <v>0</v>
      </c>
      <c r="BA310" s="1371">
        <f t="shared" si="35"/>
        <v>0</v>
      </c>
      <c r="BB310" s="1371">
        <f t="shared" si="35"/>
        <v>0</v>
      </c>
      <c r="BC310" s="1371">
        <f t="shared" si="35"/>
        <v>0</v>
      </c>
      <c r="BD310" s="1371">
        <f t="shared" si="35"/>
        <v>0</v>
      </c>
      <c r="BE310" s="1371">
        <f t="shared" si="35"/>
        <v>0</v>
      </c>
      <c r="BF310" s="1371">
        <f t="shared" si="36"/>
        <v>0</v>
      </c>
      <c r="BG310" s="1371">
        <f t="shared" si="36"/>
        <v>0</v>
      </c>
      <c r="BH310" s="1371">
        <f t="shared" si="36"/>
        <v>0</v>
      </c>
      <c r="BI310" s="1371">
        <f t="shared" si="36"/>
        <v>0</v>
      </c>
      <c r="BJ310" s="1371">
        <f t="shared" si="36"/>
        <v>0</v>
      </c>
      <c r="BK310" s="1371">
        <f t="shared" si="36"/>
        <v>0</v>
      </c>
      <c r="BL310" s="1371">
        <f t="shared" si="36"/>
        <v>0</v>
      </c>
      <c r="BM310" s="1371">
        <f t="shared" si="36"/>
        <v>0</v>
      </c>
      <c r="BN310" s="1371">
        <f t="shared" si="36"/>
        <v>0</v>
      </c>
      <c r="BO310" s="1371">
        <f t="shared" si="36"/>
        <v>0</v>
      </c>
      <c r="BP310" s="1371">
        <f t="shared" si="36"/>
        <v>0</v>
      </c>
      <c r="BQ310" s="1371">
        <f t="shared" si="36"/>
        <v>0</v>
      </c>
      <c r="BR310" s="1371">
        <f t="shared" si="36"/>
        <v>0</v>
      </c>
      <c r="BS310" s="1371">
        <f t="shared" si="36"/>
        <v>0</v>
      </c>
      <c r="BT310" s="1372">
        <f t="shared" si="36"/>
        <v>0</v>
      </c>
      <c r="BU310" s="1373"/>
      <c r="BV310" s="1398"/>
      <c r="BW310" s="1370">
        <f t="shared" si="37"/>
        <v>0</v>
      </c>
      <c r="CC310" s="1976" t="s">
        <v>1330</v>
      </c>
      <c r="CD310" s="1977">
        <f t="shared" si="5"/>
        <v>0</v>
      </c>
      <c r="CE310" s="1978">
        <f>AQ35/1000</f>
        <v>0</v>
      </c>
      <c r="CF310" s="1979">
        <f t="shared" si="6"/>
        <v>-3.620462900534855</v>
      </c>
      <c r="CG310" s="1978">
        <f>AR35/1000</f>
        <v>0</v>
      </c>
      <c r="CH310" s="1980">
        <f t="shared" si="7"/>
        <v>-3.2044552826870922</v>
      </c>
      <c r="CI310" s="1978">
        <f>AS35/1000</f>
        <v>0</v>
      </c>
      <c r="CJ310" s="1980">
        <f t="shared" si="8"/>
        <v>-7.803749560696744</v>
      </c>
      <c r="CK310" s="1978">
        <f>AT35/1000</f>
        <v>0</v>
      </c>
      <c r="CL310" s="1980">
        <f t="shared" si="9"/>
        <v>-8.0899399176158084</v>
      </c>
      <c r="CM310" s="1978">
        <f>AU35/1000</f>
        <v>0</v>
      </c>
      <c r="CN310" s="1980">
        <f t="shared" si="10"/>
        <v>-4.9410791143955919</v>
      </c>
      <c r="CO310" s="1978">
        <f>AV35/1000</f>
        <v>0</v>
      </c>
      <c r="CP310" s="1980">
        <f t="shared" si="11"/>
        <v>-11.854970729202268</v>
      </c>
      <c r="CQ310" s="1978">
        <f>AW35/1000</f>
        <v>0</v>
      </c>
      <c r="CR310" s="1980">
        <f t="shared" si="12"/>
        <v>12.604891833739101</v>
      </c>
      <c r="CS310" s="1978">
        <f>AX35/1000</f>
        <v>0</v>
      </c>
      <c r="CT310" s="1980">
        <f t="shared" si="13"/>
        <v>27.875246337534264</v>
      </c>
      <c r="CU310" s="1978">
        <f>AY35/1000</f>
        <v>0</v>
      </c>
      <c r="CV310" s="1980">
        <f t="shared" si="14"/>
        <v>45.759406495428699</v>
      </c>
      <c r="CW310" s="1978">
        <f>AZ35/1000</f>
        <v>0</v>
      </c>
      <c r="CX310" s="1980">
        <f t="shared" si="15"/>
        <v>60.554015149804222</v>
      </c>
      <c r="CY310" s="1978">
        <f>BA35/1000</f>
        <v>0</v>
      </c>
      <c r="CZ310" s="1980">
        <f t="shared" si="16"/>
        <v>70.181536536616136</v>
      </c>
      <c r="DA310" s="1978">
        <f>BB35/1000</f>
        <v>0</v>
      </c>
      <c r="DB310" s="1980">
        <f t="shared" si="17"/>
        <v>75.851213268417325</v>
      </c>
      <c r="DC310" s="1978">
        <f>BC35/1000</f>
        <v>0</v>
      </c>
      <c r="DD310" s="1980">
        <f t="shared" si="18"/>
        <v>86.267037747031367</v>
      </c>
      <c r="DE310" s="1978">
        <f>BD35/1000</f>
        <v>0</v>
      </c>
      <c r="DF310" s="1980">
        <f t="shared" si="19"/>
        <v>91.450793717653639</v>
      </c>
      <c r="DG310" s="1978">
        <f>BE35/1000</f>
        <v>0</v>
      </c>
      <c r="DH310" s="1980">
        <f t="shared" si="20"/>
        <v>108.18541002448403</v>
      </c>
      <c r="DI310" s="1978">
        <f>BF35/1000</f>
        <v>0</v>
      </c>
      <c r="DJ310" s="1980">
        <f t="shared" si="21"/>
        <v>121.47145797752988</v>
      </c>
      <c r="DK310" s="1978">
        <f>BG35/1000</f>
        <v>0</v>
      </c>
      <c r="DL310" s="1980">
        <f t="shared" si="22"/>
        <v>138.62158594132177</v>
      </c>
      <c r="DM310" s="1978">
        <f>BH35/1000</f>
        <v>0</v>
      </c>
      <c r="DN310" s="1980">
        <f t="shared" si="23"/>
        <v>203.20792308032682</v>
      </c>
      <c r="DO310" s="1978">
        <f>BI35/1000</f>
        <v>0</v>
      </c>
      <c r="DP310" s="1980">
        <f t="shared" si="24"/>
        <v>38.881583319830817</v>
      </c>
      <c r="DQ310" s="1978">
        <f>BJ35/1000</f>
        <v>0</v>
      </c>
      <c r="DR310" s="1980">
        <f t="shared" si="25"/>
        <v>0.26133333333333336</v>
      </c>
      <c r="DS310" s="1978">
        <f>BK35/1000</f>
        <v>0</v>
      </c>
      <c r="DT310" s="1980">
        <f t="shared" si="26"/>
        <v>0</v>
      </c>
      <c r="DU310" s="1978">
        <f>BL35/1000</f>
        <v>0</v>
      </c>
      <c r="DV310" s="1980">
        <f t="shared" si="27"/>
        <v>0</v>
      </c>
      <c r="DW310" s="1978">
        <f>BM35/1000</f>
        <v>0</v>
      </c>
      <c r="DX310" s="1980">
        <f t="shared" si="28"/>
        <v>0</v>
      </c>
      <c r="DY310" s="1978">
        <f>BN35/1000</f>
        <v>0</v>
      </c>
      <c r="DZ310" s="1980">
        <f t="shared" si="29"/>
        <v>0</v>
      </c>
      <c r="EA310" s="1978">
        <f>BO35/1000</f>
        <v>0</v>
      </c>
      <c r="EB310" s="1980">
        <f t="shared" si="30"/>
        <v>0</v>
      </c>
      <c r="EC310" s="1978">
        <f>BP35/1000</f>
        <v>0</v>
      </c>
      <c r="ED310" s="1980">
        <f t="shared" si="31"/>
        <v>0</v>
      </c>
      <c r="EE310" s="1978">
        <f>BQ35/1000</f>
        <v>0</v>
      </c>
      <c r="EF310" s="1980">
        <f t="shared" si="32"/>
        <v>0</v>
      </c>
      <c r="EG310" s="1978">
        <f>BR35/1000</f>
        <v>0</v>
      </c>
      <c r="EH310" s="1980">
        <f t="shared" si="33"/>
        <v>0</v>
      </c>
      <c r="EI310" s="1978">
        <f>BS35/1000</f>
        <v>0</v>
      </c>
      <c r="EJ310" s="1980">
        <f t="shared" si="34"/>
        <v>0</v>
      </c>
      <c r="EK310" s="1978">
        <f>BT35/1000</f>
        <v>0</v>
      </c>
      <c r="EL310" s="1981">
        <f>AJ310/1000</f>
        <v>107.2789023113739</v>
      </c>
      <c r="EM310" s="1982"/>
      <c r="EN310" s="1983">
        <f>BU35/1000</f>
        <v>0</v>
      </c>
      <c r="EO310" s="1260"/>
      <c r="EP310" s="1981">
        <f>AM310/1000</f>
        <v>539.21489360557644</v>
      </c>
      <c r="EQ310" s="1983">
        <f>BW35/1000</f>
        <v>0</v>
      </c>
    </row>
    <row r="311" spans="1:147" s="1070" customFormat="1" ht="18.600000000000001" outlineLevel="1" thickBot="1" x14ac:dyDescent="0.35">
      <c r="B311" s="1369"/>
      <c r="C311" s="1351" t="s">
        <v>1323</v>
      </c>
      <c r="D311" s="1298"/>
      <c r="E311" s="1298"/>
      <c r="F311" s="1378">
        <f>Calc!F146</f>
        <v>0</v>
      </c>
      <c r="G311" s="1269">
        <f>Calc!G146</f>
        <v>0</v>
      </c>
      <c r="H311" s="1269">
        <f>Calc!H146</f>
        <v>0</v>
      </c>
      <c r="I311" s="1269">
        <f>Calc!I146</f>
        <v>0</v>
      </c>
      <c r="J311" s="1269">
        <f>Calc!J146</f>
        <v>0</v>
      </c>
      <c r="K311" s="1269">
        <f>Calc!K146</f>
        <v>0</v>
      </c>
      <c r="L311" s="1269">
        <f>Calc!L146</f>
        <v>-0.71127532055314779</v>
      </c>
      <c r="M311" s="1269">
        <f>Calc!M146</f>
        <v>0.32681636167632538</v>
      </c>
      <c r="N311" s="1269">
        <f>Calc!N146</f>
        <v>0.37913141164644815</v>
      </c>
      <c r="O311" s="1269">
        <f>Calc!O146</f>
        <v>0.41479172731294001</v>
      </c>
      <c r="P311" s="1269">
        <f>Calc!P146</f>
        <v>0.44090250852070278</v>
      </c>
      <c r="Q311" s="1269">
        <f>Calc!Q146</f>
        <v>0.45910764771023843</v>
      </c>
      <c r="R311" s="1269">
        <f>Calc!R146</f>
        <v>0.45763921329959684</v>
      </c>
      <c r="S311" s="1269">
        <f>Calc!S146</f>
        <v>0.45358376130875094</v>
      </c>
      <c r="T311" s="1269">
        <f>Calc!T146</f>
        <v>0.4599518536582563</v>
      </c>
      <c r="U311" s="1269">
        <f>Calc!U146</f>
        <v>0.45207595732016453</v>
      </c>
      <c r="V311" s="1269">
        <f>Calc!V146</f>
        <v>0.4523486618150338</v>
      </c>
      <c r="W311" s="1269">
        <f>Calc!W146</f>
        <v>0.44904494512083976</v>
      </c>
      <c r="X311" s="1269">
        <f>Calc!X146</f>
        <v>0.80386985909993325</v>
      </c>
      <c r="Y311" s="1269">
        <f>Calc!Y146</f>
        <v>0</v>
      </c>
      <c r="Z311" s="1269">
        <f>Calc!Z146</f>
        <v>0</v>
      </c>
      <c r="AA311" s="1269">
        <f>Calc!AA146</f>
        <v>0</v>
      </c>
      <c r="AB311" s="1269">
        <f>Calc!AB146</f>
        <v>0</v>
      </c>
      <c r="AC311" s="1269">
        <f>Calc!AC146</f>
        <v>0</v>
      </c>
      <c r="AD311" s="1269">
        <f>Calc!AD146</f>
        <v>0</v>
      </c>
      <c r="AE311" s="1269">
        <f>Calc!AE146</f>
        <v>0</v>
      </c>
      <c r="AF311" s="1269">
        <f>Calc!AF146</f>
        <v>0</v>
      </c>
      <c r="AG311" s="1269">
        <f>Calc!AG146</f>
        <v>0</v>
      </c>
      <c r="AH311" s="1269">
        <f>Calc!AH146</f>
        <v>0</v>
      </c>
      <c r="AI311" s="1269">
        <f>Calc!AI146</f>
        <v>0</v>
      </c>
      <c r="AJ311" s="1270">
        <f>Calc!AJ146</f>
        <v>0.28499791753212089</v>
      </c>
      <c r="AK311" s="1373"/>
      <c r="AL311" s="1272"/>
      <c r="AM311" s="1273">
        <f>Calc!AM146</f>
        <v>0.40746068372721206</v>
      </c>
      <c r="AN311" s="1269"/>
      <c r="AO311" s="1272"/>
      <c r="AP311" s="1378">
        <f>F36</f>
        <v>0</v>
      </c>
      <c r="AQ311" s="1270">
        <f t="shared" si="35"/>
        <v>0</v>
      </c>
      <c r="AR311" s="1269">
        <f t="shared" si="35"/>
        <v>0</v>
      </c>
      <c r="AS311" s="1269">
        <f t="shared" si="35"/>
        <v>0</v>
      </c>
      <c r="AT311" s="1269">
        <f t="shared" si="35"/>
        <v>0</v>
      </c>
      <c r="AU311" s="1269">
        <f t="shared" si="35"/>
        <v>0</v>
      </c>
      <c r="AV311" s="1269">
        <f t="shared" si="35"/>
        <v>0</v>
      </c>
      <c r="AW311" s="1269">
        <f t="shared" si="35"/>
        <v>0</v>
      </c>
      <c r="AX311" s="1269">
        <f t="shared" si="35"/>
        <v>0</v>
      </c>
      <c r="AY311" s="1269">
        <f t="shared" si="35"/>
        <v>0</v>
      </c>
      <c r="AZ311" s="1269">
        <f t="shared" si="35"/>
        <v>0</v>
      </c>
      <c r="BA311" s="1269">
        <f t="shared" si="35"/>
        <v>0</v>
      </c>
      <c r="BB311" s="1269">
        <f t="shared" si="35"/>
        <v>0</v>
      </c>
      <c r="BC311" s="1269">
        <f t="shared" si="35"/>
        <v>0</v>
      </c>
      <c r="BD311" s="1269">
        <f t="shared" si="35"/>
        <v>0</v>
      </c>
      <c r="BE311" s="1269">
        <f t="shared" si="35"/>
        <v>0</v>
      </c>
      <c r="BF311" s="1269">
        <f t="shared" si="36"/>
        <v>0</v>
      </c>
      <c r="BG311" s="1269">
        <f t="shared" si="36"/>
        <v>0</v>
      </c>
      <c r="BH311" s="1269">
        <f t="shared" si="36"/>
        <v>0</v>
      </c>
      <c r="BI311" s="1269">
        <f t="shared" si="36"/>
        <v>0</v>
      </c>
      <c r="BJ311" s="1269">
        <f t="shared" si="36"/>
        <v>0</v>
      </c>
      <c r="BK311" s="1269">
        <f t="shared" si="36"/>
        <v>0</v>
      </c>
      <c r="BL311" s="1269">
        <f t="shared" si="36"/>
        <v>0</v>
      </c>
      <c r="BM311" s="1269">
        <f t="shared" si="36"/>
        <v>0</v>
      </c>
      <c r="BN311" s="1269">
        <f t="shared" si="36"/>
        <v>0</v>
      </c>
      <c r="BO311" s="1269">
        <f t="shared" si="36"/>
        <v>0</v>
      </c>
      <c r="BP311" s="1269">
        <f t="shared" si="36"/>
        <v>0</v>
      </c>
      <c r="BQ311" s="1269">
        <f t="shared" si="36"/>
        <v>0</v>
      </c>
      <c r="BR311" s="1269">
        <f t="shared" si="36"/>
        <v>0</v>
      </c>
      <c r="BS311" s="1269">
        <f t="shared" si="36"/>
        <v>0</v>
      </c>
      <c r="BT311" s="1270">
        <f t="shared" si="36"/>
        <v>0</v>
      </c>
      <c r="BU311" s="1373"/>
      <c r="BV311" s="1398"/>
      <c r="BW311" s="1273">
        <f t="shared" si="37"/>
        <v>0</v>
      </c>
      <c r="CC311" s="1889" t="s">
        <v>1491</v>
      </c>
      <c r="CD311" s="1984" t="str">
        <f>IF(F311=0,"",F311)</f>
        <v/>
      </c>
      <c r="CE311" s="1985"/>
      <c r="CF311" s="1986" t="str">
        <f>IF(G311=0,"",G311)</f>
        <v/>
      </c>
      <c r="CG311" s="1985"/>
      <c r="CH311" s="1987" t="str">
        <f>IF(H311=0,"",H311)</f>
        <v/>
      </c>
      <c r="CI311" s="1985"/>
      <c r="CJ311" s="1987" t="str">
        <f>IF(I311=0,"",I311)</f>
        <v/>
      </c>
      <c r="CK311" s="1985"/>
      <c r="CL311" s="1987" t="str">
        <f>IF(J311=0,"",J311)</f>
        <v/>
      </c>
      <c r="CM311" s="1985"/>
      <c r="CN311" s="1987" t="str">
        <f>IF(K311=0,"",K311)</f>
        <v/>
      </c>
      <c r="CO311" s="1985"/>
      <c r="CP311" s="1987">
        <f>IF(L311=0,"",L311)</f>
        <v>-0.71127532055314779</v>
      </c>
      <c r="CQ311" s="1985"/>
      <c r="CR311" s="1987">
        <f>IF(M311=0,"",M311)</f>
        <v>0.32681636167632538</v>
      </c>
      <c r="CS311" s="1985"/>
      <c r="CT311" s="1987">
        <f>IF(N311=0,"",N311)</f>
        <v>0.37913141164644815</v>
      </c>
      <c r="CU311" s="1985"/>
      <c r="CV311" s="1987">
        <f>IF(O311=0,"",O311)</f>
        <v>0.41479172731294001</v>
      </c>
      <c r="CW311" s="1985"/>
      <c r="CX311" s="1987">
        <f>IF(P311=0,"",P311)</f>
        <v>0.44090250852070278</v>
      </c>
      <c r="CY311" s="1985"/>
      <c r="CZ311" s="1987">
        <f>IF(Q311=0,"",Q311)</f>
        <v>0.45910764771023843</v>
      </c>
      <c r="DA311" s="1985"/>
      <c r="DB311" s="1987">
        <f>IF(R311=0,"",R311)</f>
        <v>0.45763921329959684</v>
      </c>
      <c r="DC311" s="1985"/>
      <c r="DD311" s="1987">
        <f>IF(S311=0,"",S311)</f>
        <v>0.45358376130875094</v>
      </c>
      <c r="DE311" s="1985"/>
      <c r="DF311" s="1987">
        <f>IF(T311=0,"",T311)</f>
        <v>0.4599518536582563</v>
      </c>
      <c r="DG311" s="1985"/>
      <c r="DH311" s="1987">
        <f>IF(U311=0,"",U311)</f>
        <v>0.45207595732016453</v>
      </c>
      <c r="DI311" s="1985"/>
      <c r="DJ311" s="1987">
        <f>IF(V311=0,"",V311)</f>
        <v>0.4523486618150338</v>
      </c>
      <c r="DK311" s="1985"/>
      <c r="DL311" s="1987">
        <f>IF(W311=0,"",W311)</f>
        <v>0.44904494512083976</v>
      </c>
      <c r="DM311" s="1985"/>
      <c r="DN311" s="1987">
        <f>IF(X311=0,"",X311)</f>
        <v>0.80386985909993325</v>
      </c>
      <c r="DO311" s="1985"/>
      <c r="DP311" s="1985" t="str">
        <f>IF(Y311=0,"",Y311)</f>
        <v/>
      </c>
      <c r="DQ311" s="1985"/>
      <c r="DR311" s="1985" t="str">
        <f>IF(Z311=0,"",Z311)</f>
        <v/>
      </c>
      <c r="DS311" s="1985"/>
      <c r="DT311" s="1985" t="str">
        <f>IF(AA311=0,"",AA311)</f>
        <v/>
      </c>
      <c r="DU311" s="1985"/>
      <c r="DV311" s="1985" t="str">
        <f>IF(AB311=0,"",AB311)</f>
        <v/>
      </c>
      <c r="DW311" s="1985"/>
      <c r="DX311" s="1985" t="str">
        <f>IF(AC311=0,"",AC311)</f>
        <v/>
      </c>
      <c r="DY311" s="1985"/>
      <c r="DZ311" s="1985" t="str">
        <f>IF(AD311=0,"",AD311)</f>
        <v/>
      </c>
      <c r="EA311" s="1985"/>
      <c r="EB311" s="1985" t="str">
        <f>IF(AE311=0,"",AE311)</f>
        <v/>
      </c>
      <c r="EC311" s="1985"/>
      <c r="ED311" s="1985" t="str">
        <f>IF(AF311=0,"",AF311)</f>
        <v/>
      </c>
      <c r="EE311" s="1985"/>
      <c r="EF311" s="1985" t="str">
        <f>IF(AG311=0,"",AG311)</f>
        <v/>
      </c>
      <c r="EG311" s="1985"/>
      <c r="EH311" s="1985" t="str">
        <f>IF(AH311=0,"",AH311)</f>
        <v/>
      </c>
      <c r="EI311" s="1985"/>
      <c r="EJ311" s="1987" t="str">
        <f>IF(AI311=0,"",AI311)</f>
        <v/>
      </c>
      <c r="EK311" s="1985"/>
      <c r="EL311" s="1988" t="str">
        <f>IF(AK311=0,"",AK311)</f>
        <v/>
      </c>
      <c r="EM311" s="1989"/>
      <c r="EN311" s="1990"/>
      <c r="EO311" s="1991"/>
      <c r="EP311" s="1988" t="str">
        <f>IF(AP311=0,"",AP311)</f>
        <v/>
      </c>
      <c r="EQ311" s="1990"/>
    </row>
    <row r="312" spans="1:147" s="1070" customFormat="1" ht="18.600000000000001" outlineLevel="1" thickBot="1" x14ac:dyDescent="0.35">
      <c r="B312" s="1778" t="e">
        <f>Calc!AO147</f>
        <v>#VALUE!</v>
      </c>
      <c r="C312" s="1779"/>
      <c r="D312" s="1992"/>
      <c r="E312" s="1992"/>
      <c r="F312" s="1993">
        <f>Calc!F147</f>
        <v>0</v>
      </c>
      <c r="G312" s="1994">
        <f>Calc!G147</f>
        <v>-3620.4629005348552</v>
      </c>
      <c r="H312" s="1994">
        <f>Calc!H147</f>
        <v>-2786.4828545105152</v>
      </c>
      <c r="I312" s="1994">
        <f>Calc!I147</f>
        <v>-5900.7558114909225</v>
      </c>
      <c r="J312" s="1994">
        <f>Calc!J147</f>
        <v>-5319.2668152318965</v>
      </c>
      <c r="K312" s="1994">
        <f>Calc!K147</f>
        <v>-2825.0780203876307</v>
      </c>
      <c r="L312" s="1994">
        <f>Calc!L147</f>
        <v>-5894.0156442015705</v>
      </c>
      <c r="M312" s="1994">
        <f>Calc!M147</f>
        <v>5449.4425832056359</v>
      </c>
      <c r="N312" s="1994">
        <f>Calc!N147</f>
        <v>10479.337595259662</v>
      </c>
      <c r="O312" s="1994">
        <f>Calc!O147</f>
        <v>14958.831153503485</v>
      </c>
      <c r="P312" s="1994">
        <f>Calc!P147</f>
        <v>17213.230405198876</v>
      </c>
      <c r="Q312" s="1994">
        <f>Calc!Q147</f>
        <v>17347.802483984455</v>
      </c>
      <c r="R312" s="1994">
        <f>Calc!R147</f>
        <v>16303.704226731053</v>
      </c>
      <c r="S312" s="1994">
        <f>Calc!S147</f>
        <v>16123.926180343185</v>
      </c>
      <c r="T312" s="1994">
        <f>Calc!T147</f>
        <v>14863.310640065485</v>
      </c>
      <c r="U312" s="1994">
        <f>Calc!U147</f>
        <v>15289.698812440292</v>
      </c>
      <c r="V312" s="1994">
        <f>Calc!V147</f>
        <v>14928.1722952902</v>
      </c>
      <c r="W312" s="1994">
        <f>Calc!W147</f>
        <v>14813.763863135699</v>
      </c>
      <c r="X312" s="1994">
        <f>Calc!X147</f>
        <v>18883.276443555682</v>
      </c>
      <c r="Y312" s="1994">
        <f>Calc!Y147</f>
        <v>3141.8309631357006</v>
      </c>
      <c r="Z312" s="1994">
        <f>Calc!Z147</f>
        <v>18.362670497600924</v>
      </c>
      <c r="AA312" s="1994">
        <f>Calc!AA147</f>
        <v>0</v>
      </c>
      <c r="AB312" s="1994">
        <f>Calc!AB147</f>
        <v>0</v>
      </c>
      <c r="AC312" s="1994">
        <f>Calc!AC147</f>
        <v>0</v>
      </c>
      <c r="AD312" s="1994">
        <f>Calc!AD147</f>
        <v>0</v>
      </c>
      <c r="AE312" s="1994">
        <f>Calc!AE147</f>
        <v>0</v>
      </c>
      <c r="AF312" s="1994">
        <f>Calc!AF147</f>
        <v>0</v>
      </c>
      <c r="AG312" s="1994">
        <f>Calc!AG147</f>
        <v>0</v>
      </c>
      <c r="AH312" s="1994">
        <f>Calc!AH147</f>
        <v>0</v>
      </c>
      <c r="AI312" s="1994">
        <f>Calc!AI147</f>
        <v>0</v>
      </c>
      <c r="AJ312" s="1995">
        <f>Calc!AJ147</f>
        <v>21754.779690810272</v>
      </c>
      <c r="AK312" s="1996"/>
      <c r="AL312" s="1997"/>
      <c r="AM312" s="1998">
        <f>Calc!AM147</f>
        <v>101683.22203437475</v>
      </c>
      <c r="AN312" s="1999"/>
      <c r="AO312" s="1790"/>
      <c r="AP312" s="1786"/>
      <c r="AQ312" s="1994"/>
      <c r="AR312" s="1994"/>
      <c r="AS312" s="1994"/>
      <c r="AT312" s="1994"/>
      <c r="AU312" s="1994"/>
      <c r="AV312" s="1994"/>
      <c r="AW312" s="1994"/>
      <c r="AX312" s="1994"/>
      <c r="AY312" s="1994"/>
      <c r="AZ312" s="1994"/>
      <c r="BA312" s="1994"/>
      <c r="BB312" s="1994"/>
      <c r="BC312" s="1994"/>
      <c r="BD312" s="1994"/>
      <c r="BE312" s="1994"/>
      <c r="BF312" s="1994"/>
      <c r="BG312" s="1994"/>
      <c r="BH312" s="1994"/>
      <c r="BI312" s="1994"/>
      <c r="BJ312" s="1994"/>
      <c r="BK312" s="1994"/>
      <c r="BL312" s="1994"/>
      <c r="BM312" s="1994"/>
      <c r="BN312" s="1994"/>
      <c r="BO312" s="1994"/>
      <c r="BP312" s="1994"/>
      <c r="BQ312" s="1994"/>
      <c r="BR312" s="1994"/>
      <c r="BS312" s="1994"/>
      <c r="BT312" s="1995"/>
      <c r="BU312" s="1996"/>
      <c r="BV312" s="2000"/>
      <c r="BW312" s="1998"/>
      <c r="CC312" s="1382" t="e">
        <f>Calc!AO147</f>
        <v>#VALUE!</v>
      </c>
      <c r="CD312" s="2001">
        <f t="shared" si="5"/>
        <v>0</v>
      </c>
      <c r="CE312" s="2002"/>
      <c r="CF312" s="2003">
        <f t="shared" si="6"/>
        <v>-3.620462900534855</v>
      </c>
      <c r="CG312" s="2004"/>
      <c r="CH312" s="2005">
        <f t="shared" si="7"/>
        <v>-2.7864828545105151</v>
      </c>
      <c r="CI312" s="2006"/>
      <c r="CJ312" s="2005">
        <f t="shared" si="8"/>
        <v>-5.9007558114909227</v>
      </c>
      <c r="CK312" s="2006"/>
      <c r="CL312" s="2005">
        <f t="shared" si="9"/>
        <v>-5.3192668152318969</v>
      </c>
      <c r="CM312" s="2006"/>
      <c r="CN312" s="2005">
        <f t="shared" si="10"/>
        <v>-2.8250780203876307</v>
      </c>
      <c r="CO312" s="2006"/>
      <c r="CP312" s="2005">
        <f t="shared" si="11"/>
        <v>-5.8940156442015708</v>
      </c>
      <c r="CQ312" s="2006"/>
      <c r="CR312" s="2005">
        <f t="shared" si="12"/>
        <v>5.4494425832056361</v>
      </c>
      <c r="CS312" s="2006"/>
      <c r="CT312" s="2005">
        <f t="shared" si="13"/>
        <v>10.479337595259661</v>
      </c>
      <c r="CU312" s="2006"/>
      <c r="CV312" s="2005">
        <f t="shared" si="14"/>
        <v>14.958831153503484</v>
      </c>
      <c r="CW312" s="2006"/>
      <c r="CX312" s="2005">
        <f t="shared" si="15"/>
        <v>17.213230405198875</v>
      </c>
      <c r="CY312" s="2006"/>
      <c r="CZ312" s="2005">
        <f t="shared" si="16"/>
        <v>17.347802483984456</v>
      </c>
      <c r="DA312" s="2006"/>
      <c r="DB312" s="2005">
        <f t="shared" si="17"/>
        <v>16.303704226731053</v>
      </c>
      <c r="DC312" s="2006"/>
      <c r="DD312" s="2005">
        <f t="shared" si="18"/>
        <v>16.123926180343187</v>
      </c>
      <c r="DE312" s="2006"/>
      <c r="DF312" s="2005">
        <f t="shared" si="19"/>
        <v>14.863310640065485</v>
      </c>
      <c r="DG312" s="2006"/>
      <c r="DH312" s="2005">
        <f t="shared" si="20"/>
        <v>15.289698812440292</v>
      </c>
      <c r="DI312" s="2006"/>
      <c r="DJ312" s="2005">
        <f t="shared" si="21"/>
        <v>14.928172295290199</v>
      </c>
      <c r="DK312" s="2006"/>
      <c r="DL312" s="2005">
        <f t="shared" si="22"/>
        <v>14.813763863135698</v>
      </c>
      <c r="DM312" s="2006"/>
      <c r="DN312" s="2005">
        <f t="shared" si="23"/>
        <v>18.883276443555683</v>
      </c>
      <c r="DO312" s="2006"/>
      <c r="DP312" s="2005">
        <f t="shared" si="24"/>
        <v>3.1418309631357006</v>
      </c>
      <c r="DQ312" s="2006"/>
      <c r="DR312" s="2005">
        <f t="shared" si="25"/>
        <v>1.8362670497600923E-2</v>
      </c>
      <c r="DS312" s="2006"/>
      <c r="DT312" s="2005">
        <f t="shared" si="26"/>
        <v>0</v>
      </c>
      <c r="DU312" s="2006"/>
      <c r="DV312" s="2005">
        <f t="shared" si="27"/>
        <v>0</v>
      </c>
      <c r="DW312" s="2006"/>
      <c r="DX312" s="2005">
        <f t="shared" si="28"/>
        <v>0</v>
      </c>
      <c r="DY312" s="2006"/>
      <c r="DZ312" s="2005">
        <f t="shared" si="29"/>
        <v>0</v>
      </c>
      <c r="EA312" s="2006"/>
      <c r="EB312" s="2005">
        <f t="shared" si="30"/>
        <v>0</v>
      </c>
      <c r="EC312" s="2006"/>
      <c r="ED312" s="2005">
        <f t="shared" si="31"/>
        <v>0</v>
      </c>
      <c r="EE312" s="2006"/>
      <c r="EF312" s="2005">
        <f t="shared" si="32"/>
        <v>0</v>
      </c>
      <c r="EG312" s="2006"/>
      <c r="EH312" s="2005">
        <f t="shared" si="33"/>
        <v>0</v>
      </c>
      <c r="EI312" s="2006"/>
      <c r="EJ312" s="2005">
        <f t="shared" si="34"/>
        <v>0</v>
      </c>
      <c r="EK312" s="2002"/>
      <c r="EL312" s="2007">
        <f>AJ312/1000</f>
        <v>21.75477969081027</v>
      </c>
      <c r="EM312" s="2008"/>
      <c r="EN312" s="2009"/>
      <c r="EO312" s="1272"/>
      <c r="EP312" s="2007">
        <f>AM312/1000</f>
        <v>101.68322203437475</v>
      </c>
      <c r="EQ312" s="2009"/>
    </row>
    <row r="313" spans="1:147" s="1070" customFormat="1" ht="15" outlineLevel="1" thickTop="1" x14ac:dyDescent="0.3"/>
    <row r="314" spans="1:147" s="1070" customFormat="1" outlineLevel="1" x14ac:dyDescent="0.3"/>
    <row r="315" spans="1:147" outlineLevel="1" x14ac:dyDescent="0.3">
      <c r="A315" s="1070"/>
      <c r="B315" s="1070"/>
      <c r="C315" s="1070"/>
      <c r="D315" s="1070"/>
      <c r="E315" s="1070"/>
      <c r="F315" s="1070"/>
      <c r="G315" s="1160" t="str">
        <f>B288</f>
        <v>Actuals / Projections</v>
      </c>
      <c r="H315" s="1161"/>
      <c r="I315" s="1161"/>
      <c r="J315" s="1161"/>
      <c r="K315" s="1161"/>
      <c r="L315" s="1161"/>
      <c r="M315" s="1161"/>
      <c r="N315" s="1161"/>
      <c r="O315" s="1161"/>
      <c r="P315" s="1161"/>
      <c r="Q315" s="1161"/>
      <c r="R315" s="1161"/>
      <c r="S315" s="1161"/>
      <c r="T315" s="1161"/>
      <c r="U315" s="1161"/>
      <c r="V315" s="1161"/>
      <c r="W315" s="1161"/>
      <c r="X315" s="1161"/>
      <c r="Y315" s="1161"/>
      <c r="Z315" s="1161"/>
      <c r="AA315" s="1161"/>
      <c r="AB315" s="1161"/>
      <c r="AC315" s="1161"/>
      <c r="AD315" s="1161"/>
      <c r="AE315" s="1161"/>
      <c r="AF315" s="1161"/>
      <c r="AG315" s="1161"/>
      <c r="AH315" s="1161"/>
      <c r="AI315" s="1162"/>
      <c r="AJ315" s="1070"/>
      <c r="AK315" s="1070"/>
      <c r="AL315" s="1070"/>
      <c r="AM315" s="1070"/>
      <c r="AN315" s="1070"/>
      <c r="AO315" s="1070"/>
      <c r="AP315" s="1070"/>
      <c r="AQ315" s="1160" t="str">
        <f>AP288</f>
        <v>Definition Exit Commitment (Original)</v>
      </c>
      <c r="AR315" s="1161"/>
      <c r="AS315" s="1161"/>
      <c r="AT315" s="1161"/>
      <c r="AU315" s="1161"/>
      <c r="AV315" s="1161"/>
      <c r="AW315" s="1161"/>
      <c r="AX315" s="1161"/>
      <c r="AY315" s="1161"/>
      <c r="AZ315" s="1161"/>
      <c r="BA315" s="1161"/>
      <c r="BB315" s="1161"/>
      <c r="BC315" s="1161"/>
      <c r="BD315" s="1161"/>
      <c r="BE315" s="1161"/>
      <c r="BF315" s="1161"/>
      <c r="BG315" s="1161"/>
      <c r="BH315" s="1161"/>
      <c r="BI315" s="1161"/>
      <c r="BJ315" s="1161"/>
      <c r="BK315" s="1161"/>
      <c r="BL315" s="1161"/>
      <c r="BM315" s="1161"/>
      <c r="BN315" s="1161"/>
      <c r="BO315" s="1161"/>
      <c r="BP315" s="1161"/>
      <c r="BQ315" s="1161"/>
      <c r="BR315" s="1161"/>
      <c r="BS315" s="1162"/>
      <c r="BT315" s="1070"/>
      <c r="BU315" s="1070"/>
      <c r="BV315" s="1070"/>
    </row>
    <row r="316" spans="1:147" outlineLevel="1" x14ac:dyDescent="0.3">
      <c r="A316" s="1070"/>
      <c r="B316" s="1479" t="s">
        <v>1351</v>
      </c>
      <c r="C316" s="1159"/>
      <c r="D316" s="1159"/>
      <c r="E316" s="1159"/>
      <c r="F316" s="1159"/>
      <c r="G316" s="1482">
        <f>Calc!G231</f>
        <v>18</v>
      </c>
      <c r="H316" s="1483">
        <f>Calc!H231</f>
        <v>19</v>
      </c>
      <c r="I316" s="1483">
        <f>Calc!I231</f>
        <v>20</v>
      </c>
      <c r="J316" s="1483">
        <f>Calc!J231</f>
        <v>21</v>
      </c>
      <c r="K316" s="1483">
        <f>Calc!K231</f>
        <v>22</v>
      </c>
      <c r="L316" s="1483">
        <f>Calc!L231</f>
        <v>23</v>
      </c>
      <c r="M316" s="1483">
        <f>Calc!M231</f>
        <v>24</v>
      </c>
      <c r="N316" s="1483">
        <f>Calc!N231</f>
        <v>25</v>
      </c>
      <c r="O316" s="1483">
        <f>Calc!O231</f>
        <v>26</v>
      </c>
      <c r="P316" s="1483">
        <f>Calc!P231</f>
        <v>27</v>
      </c>
      <c r="Q316" s="1483">
        <f>Calc!Q231</f>
        <v>28</v>
      </c>
      <c r="R316" s="1483">
        <f>Calc!R231</f>
        <v>29</v>
      </c>
      <c r="S316" s="1483">
        <f>Calc!S231</f>
        <v>30</v>
      </c>
      <c r="T316" s="1483">
        <f>Calc!T231</f>
        <v>31</v>
      </c>
      <c r="U316" s="1483">
        <f>Calc!U231</f>
        <v>32</v>
      </c>
      <c r="V316" s="1483">
        <f>Calc!V231</f>
        <v>33</v>
      </c>
      <c r="W316" s="1483">
        <f>Calc!W231</f>
        <v>34</v>
      </c>
      <c r="X316" s="1483">
        <f>Calc!X231</f>
        <v>35</v>
      </c>
      <c r="Y316" s="1483">
        <f>Calc!Y231</f>
        <v>36</v>
      </c>
      <c r="Z316" s="1483">
        <f>Calc!Z231</f>
        <v>37</v>
      </c>
      <c r="AA316" s="1483">
        <f>Calc!AA231</f>
        <v>38</v>
      </c>
      <c r="AB316" s="1483">
        <f>Calc!AB231</f>
        <v>39</v>
      </c>
      <c r="AC316" s="1483">
        <f>Calc!AC231</f>
        <v>40</v>
      </c>
      <c r="AD316" s="1483">
        <f>Calc!AD231</f>
        <v>41</v>
      </c>
      <c r="AE316" s="1483">
        <f>Calc!AE231</f>
        <v>42</v>
      </c>
      <c r="AF316" s="1483">
        <f>Calc!AF231</f>
        <v>43</v>
      </c>
      <c r="AG316" s="1483">
        <f>Calc!AG231</f>
        <v>44</v>
      </c>
      <c r="AH316" s="1483">
        <f>Calc!AH231</f>
        <v>45</v>
      </c>
      <c r="AI316" s="1484">
        <f>Calc!AI231</f>
        <v>46</v>
      </c>
      <c r="AJ316" s="1070"/>
      <c r="AK316" s="1070"/>
      <c r="AL316" s="1070"/>
      <c r="AM316" s="1070"/>
      <c r="AN316" s="1070"/>
      <c r="AO316" s="1070"/>
      <c r="AP316" s="1070"/>
      <c r="AQ316" s="1482">
        <f t="shared" ref="AQ316" si="39">_xlfn.NUMBERVALUE(RIGHT(AQ290,2))</f>
        <v>0</v>
      </c>
      <c r="AR316" s="1483">
        <f>_xlfn.NUMBERVALUE(RIGHT(AR290,2))</f>
        <v>0</v>
      </c>
      <c r="AS316" s="1483">
        <f t="shared" ref="AS316:BS316" si="40">_xlfn.NUMBERVALUE(RIGHT(AS290,2))</f>
        <v>0</v>
      </c>
      <c r="AT316" s="1483">
        <f t="shared" si="40"/>
        <v>0</v>
      </c>
      <c r="AU316" s="1483">
        <f t="shared" si="40"/>
        <v>0</v>
      </c>
      <c r="AV316" s="1483">
        <f t="shared" si="40"/>
        <v>0</v>
      </c>
      <c r="AW316" s="1483">
        <f t="shared" si="40"/>
        <v>0</v>
      </c>
      <c r="AX316" s="1483">
        <f t="shared" si="40"/>
        <v>0</v>
      </c>
      <c r="AY316" s="1483">
        <f t="shared" si="40"/>
        <v>0</v>
      </c>
      <c r="AZ316" s="1483">
        <f t="shared" si="40"/>
        <v>0</v>
      </c>
      <c r="BA316" s="1483">
        <f t="shared" si="40"/>
        <v>0</v>
      </c>
      <c r="BB316" s="1483">
        <f t="shared" si="40"/>
        <v>0</v>
      </c>
      <c r="BC316" s="1483">
        <f t="shared" si="40"/>
        <v>0</v>
      </c>
      <c r="BD316" s="1483">
        <f t="shared" si="40"/>
        <v>0</v>
      </c>
      <c r="BE316" s="1483">
        <f t="shared" si="40"/>
        <v>0</v>
      </c>
      <c r="BF316" s="1483">
        <f t="shared" si="40"/>
        <v>0</v>
      </c>
      <c r="BG316" s="1483">
        <f t="shared" si="40"/>
        <v>0</v>
      </c>
      <c r="BH316" s="1483">
        <f t="shared" si="40"/>
        <v>0</v>
      </c>
      <c r="BI316" s="1483">
        <f t="shared" si="40"/>
        <v>0</v>
      </c>
      <c r="BJ316" s="1483">
        <f t="shared" si="40"/>
        <v>0</v>
      </c>
      <c r="BK316" s="1483">
        <f t="shared" si="40"/>
        <v>0</v>
      </c>
      <c r="BL316" s="1483">
        <f t="shared" si="40"/>
        <v>0</v>
      </c>
      <c r="BM316" s="1483">
        <f t="shared" si="40"/>
        <v>0</v>
      </c>
      <c r="BN316" s="1483">
        <f t="shared" si="40"/>
        <v>0</v>
      </c>
      <c r="BO316" s="1483">
        <f t="shared" si="40"/>
        <v>0</v>
      </c>
      <c r="BP316" s="1483">
        <f t="shared" si="40"/>
        <v>0</v>
      </c>
      <c r="BQ316" s="1483">
        <f t="shared" si="40"/>
        <v>0</v>
      </c>
      <c r="BR316" s="1483">
        <f t="shared" si="40"/>
        <v>0</v>
      </c>
      <c r="BS316" s="1484">
        <f t="shared" si="40"/>
        <v>0</v>
      </c>
      <c r="BT316" s="1070"/>
      <c r="BU316" s="1070"/>
      <c r="BV316" s="1070"/>
    </row>
    <row r="317" spans="1:147" ht="15.6" outlineLevel="1" x14ac:dyDescent="0.3">
      <c r="A317" s="1070"/>
      <c r="B317" s="2010"/>
      <c r="C317" s="1142"/>
      <c r="D317" s="1142"/>
      <c r="E317" s="1142"/>
      <c r="F317" s="1142"/>
      <c r="G317" s="1485"/>
      <c r="H317" s="1486"/>
      <c r="I317" s="1486"/>
      <c r="J317" s="1486"/>
      <c r="K317" s="1486"/>
      <c r="L317" s="1486"/>
      <c r="M317" s="1486"/>
      <c r="N317" s="1486"/>
      <c r="O317" s="1486"/>
      <c r="P317" s="1486"/>
      <c r="Q317" s="1486"/>
      <c r="R317" s="1486"/>
      <c r="S317" s="1486"/>
      <c r="T317" s="1486"/>
      <c r="U317" s="1486"/>
      <c r="V317" s="1486"/>
      <c r="W317" s="1486"/>
      <c r="X317" s="1486"/>
      <c r="Y317" s="1486"/>
      <c r="Z317" s="1486"/>
      <c r="AA317" s="1486"/>
      <c r="AB317" s="1486"/>
      <c r="AC317" s="1486"/>
      <c r="AD317" s="1486"/>
      <c r="AE317" s="1486"/>
      <c r="AF317" s="1486"/>
      <c r="AG317" s="1486"/>
      <c r="AH317" s="1486"/>
      <c r="AI317" s="1487"/>
      <c r="AJ317" s="1070"/>
      <c r="AK317" s="1070"/>
      <c r="AL317" s="1070"/>
      <c r="AM317" s="1070"/>
      <c r="AN317" s="1070"/>
      <c r="AO317" s="1070"/>
      <c r="AP317" s="1070"/>
      <c r="AQ317" s="1485"/>
      <c r="AR317" s="1486"/>
      <c r="AS317" s="1486"/>
      <c r="AT317" s="1486"/>
      <c r="AU317" s="1486"/>
      <c r="AV317" s="1486"/>
      <c r="AW317" s="1486"/>
      <c r="AX317" s="1486"/>
      <c r="AY317" s="1486"/>
      <c r="AZ317" s="1486"/>
      <c r="BA317" s="1486"/>
      <c r="BB317" s="1486"/>
      <c r="BC317" s="1486"/>
      <c r="BD317" s="1486"/>
      <c r="BE317" s="1486"/>
      <c r="BF317" s="1486"/>
      <c r="BG317" s="1486"/>
      <c r="BH317" s="1486"/>
      <c r="BI317" s="1486"/>
      <c r="BJ317" s="1486"/>
      <c r="BK317" s="1486"/>
      <c r="BL317" s="1486"/>
      <c r="BM317" s="1486"/>
      <c r="BN317" s="1486"/>
      <c r="BO317" s="1486"/>
      <c r="BP317" s="1486"/>
      <c r="BQ317" s="1486"/>
      <c r="BR317" s="1486"/>
      <c r="BS317" s="1487"/>
      <c r="BT317" s="1070"/>
      <c r="BU317" s="1070"/>
      <c r="BV317" s="1070"/>
    </row>
    <row r="318" spans="1:147" outlineLevel="1" x14ac:dyDescent="0.3">
      <c r="A318" s="1070"/>
      <c r="B318" s="1207" t="s">
        <v>1353</v>
      </c>
      <c r="C318" s="1142"/>
      <c r="D318" s="1142"/>
      <c r="E318" s="1142"/>
      <c r="F318" s="1142"/>
      <c r="G318" s="1492">
        <f>Calc!G233</f>
        <v>-3620.4629005348552</v>
      </c>
      <c r="H318" s="1493">
        <f>Calc!H233</f>
        <v>-3204.4552826870922</v>
      </c>
      <c r="I318" s="1493">
        <f>Calc!I233</f>
        <v>-7803.7495606967441</v>
      </c>
      <c r="J318" s="1493">
        <f>Calc!J233</f>
        <v>-8089.9399176158076</v>
      </c>
      <c r="K318" s="1493">
        <f>Calc!K233</f>
        <v>-4941.0791143955921</v>
      </c>
      <c r="L318" s="1493">
        <f>Calc!L233</f>
        <v>-11854.970729202269</v>
      </c>
      <c r="M318" s="1493">
        <f>Calc!M233</f>
        <v>12604.891833739101</v>
      </c>
      <c r="N318" s="1493">
        <f>Calc!N233</f>
        <v>27875.246337534263</v>
      </c>
      <c r="O318" s="1493">
        <f>Calc!O233</f>
        <v>45759.406495428702</v>
      </c>
      <c r="P318" s="1493">
        <f>Calc!P233</f>
        <v>60554.015149804225</v>
      </c>
      <c r="Q318" s="1493">
        <f>Calc!Q233</f>
        <v>70181.536536616142</v>
      </c>
      <c r="R318" s="1493">
        <f>Calc!R233</f>
        <v>75851.213268417327</v>
      </c>
      <c r="S318" s="1493">
        <f>Calc!S233</f>
        <v>86267.037747031369</v>
      </c>
      <c r="T318" s="1493">
        <f>Calc!T233</f>
        <v>91450.793717653636</v>
      </c>
      <c r="U318" s="1493">
        <f>Calc!U233</f>
        <v>108185.41002448402</v>
      </c>
      <c r="V318" s="1493">
        <f>Calc!V233</f>
        <v>121471.45797752988</v>
      </c>
      <c r="W318" s="1493">
        <f>Calc!W233</f>
        <v>138621.58594132177</v>
      </c>
      <c r="X318" s="1493">
        <f>Calc!X233</f>
        <v>203207.92308032681</v>
      </c>
      <c r="Y318" s="1493">
        <f>Calc!Y233</f>
        <v>38881.583319830817</v>
      </c>
      <c r="Z318" s="1493">
        <f>Calc!Z233</f>
        <v>261.33333333333337</v>
      </c>
      <c r="AA318" s="1493">
        <f>Calc!AA233</f>
        <v>0</v>
      </c>
      <c r="AB318" s="1493">
        <f>Calc!AB233</f>
        <v>0</v>
      </c>
      <c r="AC318" s="1493">
        <f>Calc!AC233</f>
        <v>0</v>
      </c>
      <c r="AD318" s="1493">
        <f>Calc!AD233</f>
        <v>0</v>
      </c>
      <c r="AE318" s="1493">
        <f>Calc!AE233</f>
        <v>0</v>
      </c>
      <c r="AF318" s="1493">
        <f>Calc!AF233</f>
        <v>0</v>
      </c>
      <c r="AG318" s="1493">
        <f>Calc!AG233</f>
        <v>0</v>
      </c>
      <c r="AH318" s="1493">
        <f>Calc!AH233</f>
        <v>0</v>
      </c>
      <c r="AI318" s="1494">
        <f>Calc!AI233</f>
        <v>0</v>
      </c>
      <c r="AJ318" s="1070"/>
      <c r="AK318" s="1070"/>
      <c r="AL318" s="1070"/>
      <c r="AM318" s="1070"/>
      <c r="AN318" s="1070"/>
      <c r="AO318" s="1070"/>
      <c r="AP318" s="1070"/>
      <c r="AQ318" s="1492">
        <f>AQ310</f>
        <v>0</v>
      </c>
      <c r="AR318" s="1493">
        <f t="shared" ref="AR318:BS318" si="41">AR310</f>
        <v>0</v>
      </c>
      <c r="AS318" s="1493">
        <f t="shared" si="41"/>
        <v>0</v>
      </c>
      <c r="AT318" s="1493">
        <f t="shared" si="41"/>
        <v>0</v>
      </c>
      <c r="AU318" s="1493">
        <f t="shared" si="41"/>
        <v>0</v>
      </c>
      <c r="AV318" s="1493">
        <f t="shared" si="41"/>
        <v>0</v>
      </c>
      <c r="AW318" s="1493">
        <f t="shared" si="41"/>
        <v>0</v>
      </c>
      <c r="AX318" s="1493">
        <f t="shared" si="41"/>
        <v>0</v>
      </c>
      <c r="AY318" s="1493">
        <f t="shared" si="41"/>
        <v>0</v>
      </c>
      <c r="AZ318" s="1493">
        <f t="shared" si="41"/>
        <v>0</v>
      </c>
      <c r="BA318" s="1493">
        <f t="shared" si="41"/>
        <v>0</v>
      </c>
      <c r="BB318" s="1493">
        <f t="shared" si="41"/>
        <v>0</v>
      </c>
      <c r="BC318" s="1493">
        <f t="shared" si="41"/>
        <v>0</v>
      </c>
      <c r="BD318" s="1493">
        <f t="shared" si="41"/>
        <v>0</v>
      </c>
      <c r="BE318" s="1493">
        <f t="shared" si="41"/>
        <v>0</v>
      </c>
      <c r="BF318" s="1493">
        <f t="shared" si="41"/>
        <v>0</v>
      </c>
      <c r="BG318" s="1493">
        <f t="shared" si="41"/>
        <v>0</v>
      </c>
      <c r="BH318" s="1493">
        <f t="shared" si="41"/>
        <v>0</v>
      </c>
      <c r="BI318" s="1493">
        <f t="shared" si="41"/>
        <v>0</v>
      </c>
      <c r="BJ318" s="1493">
        <f t="shared" si="41"/>
        <v>0</v>
      </c>
      <c r="BK318" s="1493">
        <f t="shared" si="41"/>
        <v>0</v>
      </c>
      <c r="BL318" s="1493">
        <f t="shared" si="41"/>
        <v>0</v>
      </c>
      <c r="BM318" s="1493">
        <f t="shared" si="41"/>
        <v>0</v>
      </c>
      <c r="BN318" s="1493">
        <f t="shared" si="41"/>
        <v>0</v>
      </c>
      <c r="BO318" s="1493">
        <f t="shared" si="41"/>
        <v>0</v>
      </c>
      <c r="BP318" s="1493">
        <f t="shared" si="41"/>
        <v>0</v>
      </c>
      <c r="BQ318" s="1493">
        <f t="shared" si="41"/>
        <v>0</v>
      </c>
      <c r="BR318" s="1493">
        <f t="shared" si="41"/>
        <v>0</v>
      </c>
      <c r="BS318" s="1494">
        <f t="shared" si="41"/>
        <v>0</v>
      </c>
      <c r="BT318" s="1070"/>
      <c r="BU318" s="1070"/>
      <c r="BV318" s="1070"/>
    </row>
    <row r="319" spans="1:147" outlineLevel="1" x14ac:dyDescent="0.3">
      <c r="A319" s="1070"/>
      <c r="B319" s="1207" t="s">
        <v>1354</v>
      </c>
      <c r="C319" s="1142"/>
      <c r="D319" s="1142"/>
      <c r="E319" s="1142"/>
      <c r="F319" s="1142"/>
      <c r="G319" s="1492">
        <f>Calc!G234</f>
        <v>4828.4206951872993</v>
      </c>
      <c r="H319" s="1493">
        <f>Calc!H234</f>
        <v>3450.6323370654059</v>
      </c>
      <c r="I319" s="1493">
        <f>Calc!I234</f>
        <v>8338.541056523256</v>
      </c>
      <c r="J319" s="1493">
        <f>Calc!J234</f>
        <v>7736.0276633552903</v>
      </c>
      <c r="K319" s="1493">
        <f>Calc!K234</f>
        <v>2362.6098811049887</v>
      </c>
      <c r="L319" s="1493">
        <f>Calc!L234</f>
        <v>1451.8026343507922</v>
      </c>
      <c r="M319" s="1493">
        <f>Calc!M234</f>
        <v>205.83868703780806</v>
      </c>
      <c r="N319" s="1493">
        <f>Calc!N234</f>
        <v>209.9554607785642</v>
      </c>
      <c r="O319" s="1493">
        <f>Calc!O234</f>
        <v>214.1545699941355</v>
      </c>
      <c r="P319" s="1493">
        <f>Calc!P234</f>
        <v>218.43766139401816</v>
      </c>
      <c r="Q319" s="1493">
        <f>Calc!Q234</f>
        <v>222.80641462189857</v>
      </c>
      <c r="R319" s="1493">
        <f>Calc!R234</f>
        <v>0</v>
      </c>
      <c r="S319" s="1493">
        <f>Calc!S234</f>
        <v>0</v>
      </c>
      <c r="T319" s="1493">
        <f>Calc!T234</f>
        <v>0</v>
      </c>
      <c r="U319" s="1493">
        <f>Calc!U234</f>
        <v>0</v>
      </c>
      <c r="V319" s="1493">
        <f>Calc!V234</f>
        <v>0</v>
      </c>
      <c r="W319" s="1493">
        <f>Calc!W234</f>
        <v>0</v>
      </c>
      <c r="X319" s="1493">
        <f>Calc!X234</f>
        <v>0</v>
      </c>
      <c r="Y319" s="1493">
        <f>Calc!Y234</f>
        <v>0</v>
      </c>
      <c r="Z319" s="1493">
        <f>Calc!Z234</f>
        <v>0</v>
      </c>
      <c r="AA319" s="1493">
        <f>Calc!AA234</f>
        <v>0</v>
      </c>
      <c r="AB319" s="1493">
        <f>Calc!AB234</f>
        <v>0</v>
      </c>
      <c r="AC319" s="1493">
        <f>Calc!AC234</f>
        <v>0</v>
      </c>
      <c r="AD319" s="1493">
        <f>Calc!AD234</f>
        <v>0</v>
      </c>
      <c r="AE319" s="1493">
        <f>Calc!AE234</f>
        <v>0</v>
      </c>
      <c r="AF319" s="1493">
        <f>Calc!AF234</f>
        <v>0</v>
      </c>
      <c r="AG319" s="1493">
        <f>Calc!AG234</f>
        <v>0</v>
      </c>
      <c r="AH319" s="1493">
        <f>Calc!AH234</f>
        <v>0</v>
      </c>
      <c r="AI319" s="1494">
        <f>Calc!AI234</f>
        <v>0</v>
      </c>
      <c r="AJ319" s="1070"/>
      <c r="AK319" s="1070"/>
      <c r="AL319" s="1070"/>
      <c r="AM319" s="1070"/>
      <c r="AN319" s="1070"/>
      <c r="AO319" s="1070"/>
      <c r="AP319" s="1070"/>
      <c r="AQ319" s="1492">
        <f>AQ301</f>
        <v>0</v>
      </c>
      <c r="AR319" s="1493">
        <f t="shared" ref="AR319:BS319" si="42">AR301</f>
        <v>0</v>
      </c>
      <c r="AS319" s="1493">
        <f t="shared" si="42"/>
        <v>0</v>
      </c>
      <c r="AT319" s="1493">
        <f t="shared" si="42"/>
        <v>0</v>
      </c>
      <c r="AU319" s="1493">
        <f t="shared" si="42"/>
        <v>0</v>
      </c>
      <c r="AV319" s="1493">
        <f t="shared" si="42"/>
        <v>0</v>
      </c>
      <c r="AW319" s="1493">
        <f t="shared" si="42"/>
        <v>0</v>
      </c>
      <c r="AX319" s="1493">
        <f t="shared" si="42"/>
        <v>0</v>
      </c>
      <c r="AY319" s="1493">
        <f t="shared" si="42"/>
        <v>0</v>
      </c>
      <c r="AZ319" s="1493">
        <f t="shared" si="42"/>
        <v>0</v>
      </c>
      <c r="BA319" s="1493">
        <f t="shared" si="42"/>
        <v>0</v>
      </c>
      <c r="BB319" s="1493">
        <f t="shared" si="42"/>
        <v>0</v>
      </c>
      <c r="BC319" s="1493">
        <f t="shared" si="42"/>
        <v>0</v>
      </c>
      <c r="BD319" s="1493">
        <f t="shared" si="42"/>
        <v>0</v>
      </c>
      <c r="BE319" s="1493">
        <f t="shared" si="42"/>
        <v>0</v>
      </c>
      <c r="BF319" s="1493">
        <f t="shared" si="42"/>
        <v>0</v>
      </c>
      <c r="BG319" s="1493">
        <f t="shared" si="42"/>
        <v>0</v>
      </c>
      <c r="BH319" s="1493">
        <f t="shared" si="42"/>
        <v>0</v>
      </c>
      <c r="BI319" s="1493">
        <f t="shared" si="42"/>
        <v>0</v>
      </c>
      <c r="BJ319" s="1493">
        <f t="shared" si="42"/>
        <v>0</v>
      </c>
      <c r="BK319" s="1493">
        <f t="shared" si="42"/>
        <v>0</v>
      </c>
      <c r="BL319" s="1493">
        <f t="shared" si="42"/>
        <v>0</v>
      </c>
      <c r="BM319" s="1493">
        <f t="shared" si="42"/>
        <v>0</v>
      </c>
      <c r="BN319" s="1493">
        <f t="shared" si="42"/>
        <v>0</v>
      </c>
      <c r="BO319" s="1493">
        <f t="shared" si="42"/>
        <v>0</v>
      </c>
      <c r="BP319" s="1493">
        <f t="shared" si="42"/>
        <v>0</v>
      </c>
      <c r="BQ319" s="1493">
        <f t="shared" si="42"/>
        <v>0</v>
      </c>
      <c r="BR319" s="1493">
        <f t="shared" si="42"/>
        <v>0</v>
      </c>
      <c r="BS319" s="1494">
        <f t="shared" si="42"/>
        <v>0</v>
      </c>
      <c r="BT319" s="1070"/>
      <c r="BU319" s="1070"/>
      <c r="BV319" s="1070"/>
    </row>
    <row r="320" spans="1:147" outlineLevel="1" x14ac:dyDescent="0.3">
      <c r="A320" s="1070"/>
      <c r="B320" s="1207" t="s">
        <v>1355</v>
      </c>
      <c r="C320" s="1142"/>
      <c r="D320" s="1142"/>
      <c r="E320" s="1142"/>
      <c r="F320" s="1142"/>
      <c r="G320" s="1492">
        <f>Calc!G235</f>
        <v>5028.4206951872993</v>
      </c>
      <c r="H320" s="1493">
        <f>Calc!H235</f>
        <v>4450.6323370654063</v>
      </c>
      <c r="I320" s="1493">
        <f>Calc!I235</f>
        <v>10838.541056523256</v>
      </c>
      <c r="J320" s="1493">
        <f>Calc!J235</f>
        <v>11236.027663355289</v>
      </c>
      <c r="K320" s="1493">
        <f>Calc!K235</f>
        <v>6862.6098811049887</v>
      </c>
      <c r="L320" s="1493">
        <f>Calc!L235</f>
        <v>17818.478969509386</v>
      </c>
      <c r="M320" s="1493">
        <f>Calc!M235</f>
        <v>2966.7424838271418</v>
      </c>
      <c r="N320" s="1493">
        <f>Calc!N235</f>
        <v>2600.0535780250061</v>
      </c>
      <c r="O320" s="1493">
        <f>Calc!O235</f>
        <v>2766.5631468322613</v>
      </c>
      <c r="P320" s="1493">
        <f>Calc!P235</f>
        <v>3257.2432967263517</v>
      </c>
      <c r="Q320" s="1493">
        <f>Calc!Q235</f>
        <v>3541.0448835870761</v>
      </c>
      <c r="R320" s="1493">
        <f>Calc!R235</f>
        <v>3050.0688733689444</v>
      </c>
      <c r="S320" s="1493">
        <f>Calc!S235</f>
        <v>3490.0843722877039</v>
      </c>
      <c r="T320" s="1493">
        <f>Calc!T235</f>
        <v>3645.5505733740542</v>
      </c>
      <c r="U320" s="1493">
        <f>Calc!U235</f>
        <v>4374.2113367796792</v>
      </c>
      <c r="V320" s="1493">
        <f>Calc!V235</f>
        <v>4900.2970676550003</v>
      </c>
      <c r="W320" s="1493">
        <f>Calc!W235</f>
        <v>5623.3232420398217</v>
      </c>
      <c r="X320" s="1493">
        <f>Calc!X235</f>
        <v>-933.33333333333337</v>
      </c>
      <c r="Y320" s="1493">
        <f>Calc!Y235</f>
        <v>-933.33333333333337</v>
      </c>
      <c r="Z320" s="1493">
        <f>Calc!Z235</f>
        <v>-933.33333333333337</v>
      </c>
      <c r="AA320" s="1493">
        <f>Calc!AA235</f>
        <v>0</v>
      </c>
      <c r="AB320" s="1493">
        <f>Calc!AB235</f>
        <v>0</v>
      </c>
      <c r="AC320" s="1493">
        <f>Calc!AC235</f>
        <v>0</v>
      </c>
      <c r="AD320" s="1493">
        <f>Calc!AD235</f>
        <v>0</v>
      </c>
      <c r="AE320" s="1493">
        <f>Calc!AE235</f>
        <v>0</v>
      </c>
      <c r="AF320" s="1493">
        <f>Calc!AF235</f>
        <v>0</v>
      </c>
      <c r="AG320" s="1493">
        <f>Calc!AG235</f>
        <v>0</v>
      </c>
      <c r="AH320" s="1493">
        <f>Calc!AH235</f>
        <v>0</v>
      </c>
      <c r="AI320" s="1494">
        <f>Calc!AI235</f>
        <v>0</v>
      </c>
      <c r="AJ320" s="1070"/>
      <c r="AK320" s="1070"/>
      <c r="AL320" s="1070"/>
      <c r="AM320" s="1070"/>
      <c r="AN320" s="1070"/>
      <c r="AO320" s="1070"/>
      <c r="AP320" s="1070"/>
      <c r="AQ320" s="1492">
        <f>AQ300+AQ301+AQ308</f>
        <v>0</v>
      </c>
      <c r="AR320" s="1493">
        <f t="shared" ref="AR320:BS320" si="43">AR300+AR301+AR308</f>
        <v>0</v>
      </c>
      <c r="AS320" s="1493">
        <f t="shared" si="43"/>
        <v>0</v>
      </c>
      <c r="AT320" s="1493">
        <f t="shared" si="43"/>
        <v>0</v>
      </c>
      <c r="AU320" s="1493">
        <f t="shared" si="43"/>
        <v>0</v>
      </c>
      <c r="AV320" s="1493">
        <f t="shared" si="43"/>
        <v>0</v>
      </c>
      <c r="AW320" s="1493">
        <f t="shared" si="43"/>
        <v>0</v>
      </c>
      <c r="AX320" s="1493">
        <f t="shared" si="43"/>
        <v>0</v>
      </c>
      <c r="AY320" s="1493">
        <f t="shared" si="43"/>
        <v>0</v>
      </c>
      <c r="AZ320" s="1493">
        <f t="shared" si="43"/>
        <v>0</v>
      </c>
      <c r="BA320" s="1493">
        <f t="shared" si="43"/>
        <v>0</v>
      </c>
      <c r="BB320" s="1493">
        <f t="shared" si="43"/>
        <v>0</v>
      </c>
      <c r="BC320" s="1493">
        <f t="shared" si="43"/>
        <v>0</v>
      </c>
      <c r="BD320" s="1493">
        <f t="shared" si="43"/>
        <v>0</v>
      </c>
      <c r="BE320" s="1493">
        <f t="shared" si="43"/>
        <v>0</v>
      </c>
      <c r="BF320" s="1493">
        <f t="shared" si="43"/>
        <v>0</v>
      </c>
      <c r="BG320" s="1493">
        <f t="shared" si="43"/>
        <v>0</v>
      </c>
      <c r="BH320" s="1493">
        <f t="shared" si="43"/>
        <v>0</v>
      </c>
      <c r="BI320" s="1493">
        <f t="shared" si="43"/>
        <v>0</v>
      </c>
      <c r="BJ320" s="1493">
        <f t="shared" si="43"/>
        <v>0</v>
      </c>
      <c r="BK320" s="1493">
        <f t="shared" si="43"/>
        <v>0</v>
      </c>
      <c r="BL320" s="1493">
        <f t="shared" si="43"/>
        <v>0</v>
      </c>
      <c r="BM320" s="1493">
        <f t="shared" si="43"/>
        <v>0</v>
      </c>
      <c r="BN320" s="1493">
        <f t="shared" si="43"/>
        <v>0</v>
      </c>
      <c r="BO320" s="1493">
        <f t="shared" si="43"/>
        <v>0</v>
      </c>
      <c r="BP320" s="1493">
        <f t="shared" si="43"/>
        <v>0</v>
      </c>
      <c r="BQ320" s="1493">
        <f t="shared" si="43"/>
        <v>0</v>
      </c>
      <c r="BR320" s="1493">
        <f t="shared" si="43"/>
        <v>0</v>
      </c>
      <c r="BS320" s="1494">
        <f t="shared" si="43"/>
        <v>0</v>
      </c>
      <c r="BT320" s="1070"/>
      <c r="BU320" s="1070"/>
      <c r="BV320" s="1070"/>
    </row>
    <row r="321" spans="1:74" outlineLevel="1" x14ac:dyDescent="0.3">
      <c r="A321" s="1070"/>
      <c r="B321" s="1207" t="s">
        <v>1356</v>
      </c>
      <c r="C321" s="1142"/>
      <c r="D321" s="1142"/>
      <c r="E321" s="1142"/>
      <c r="F321" s="1142"/>
      <c r="G321" s="1492">
        <f>Calc!G236</f>
        <v>-5028.4206951872993</v>
      </c>
      <c r="H321" s="1493">
        <f>Calc!H236</f>
        <v>-4450.6323370654063</v>
      </c>
      <c r="I321" s="1493">
        <f>Calc!I236</f>
        <v>-10838.541056523256</v>
      </c>
      <c r="J321" s="1493">
        <f>Calc!J236</f>
        <v>-11236.027663355289</v>
      </c>
      <c r="K321" s="1493">
        <f>Calc!K236</f>
        <v>-6862.6098811049887</v>
      </c>
      <c r="L321" s="1493">
        <f>Calc!L236</f>
        <v>7005.3233542734397</v>
      </c>
      <c r="M321" s="1493">
        <f>Calc!M236</f>
        <v>22969.761070214634</v>
      </c>
      <c r="N321" s="1493">
        <f>Calc!N236</f>
        <v>47622.198990705387</v>
      </c>
      <c r="O321" s="1493">
        <f>Calc!O236</f>
        <v>72959.615107254707</v>
      </c>
      <c r="P321" s="1493">
        <f>Calc!P236</f>
        <v>90955.53388407013</v>
      </c>
      <c r="Q321" s="1493">
        <f>Calc!Q236</f>
        <v>101262.01754717228</v>
      </c>
      <c r="R321" s="1493">
        <f>Calc!R236</f>
        <v>108741.57849390154</v>
      </c>
      <c r="S321" s="1493">
        <f>Calc!S236</f>
        <v>125838.7721014273</v>
      </c>
      <c r="T321" s="1493">
        <f>Calc!T236</f>
        <v>129347.9803452237</v>
      </c>
      <c r="U321" s="1493">
        <f>Calc!U236</f>
        <v>160054.74142751325</v>
      </c>
      <c r="V321" s="1493">
        <f>Calc!V236</f>
        <v>176650.66693991574</v>
      </c>
      <c r="W321" s="1493">
        <f>Calc!W236</f>
        <v>202969.25329796318</v>
      </c>
      <c r="X321" s="1493">
        <f>Calc!X236</f>
        <v>252787.09082071079</v>
      </c>
      <c r="Y321" s="1493">
        <f>Calc!Y236</f>
        <v>0</v>
      </c>
      <c r="Z321" s="1493">
        <f>Calc!Z236</f>
        <v>0</v>
      </c>
      <c r="AA321" s="1493">
        <f>Calc!AA236</f>
        <v>0</v>
      </c>
      <c r="AB321" s="1493">
        <f>Calc!AB236</f>
        <v>0</v>
      </c>
      <c r="AC321" s="1493">
        <f>Calc!AC236</f>
        <v>0</v>
      </c>
      <c r="AD321" s="1493">
        <f>Calc!AD236</f>
        <v>0</v>
      </c>
      <c r="AE321" s="1493">
        <f>Calc!AE236</f>
        <v>0</v>
      </c>
      <c r="AF321" s="1493">
        <f>Calc!AF236</f>
        <v>0</v>
      </c>
      <c r="AG321" s="1493">
        <f>Calc!AG236</f>
        <v>0</v>
      </c>
      <c r="AH321" s="1493">
        <f>Calc!AH236</f>
        <v>0</v>
      </c>
      <c r="AI321" s="1494">
        <f>Calc!AI236</f>
        <v>0</v>
      </c>
      <c r="AJ321" s="1070"/>
      <c r="AK321" s="1070"/>
      <c r="AL321" s="1070"/>
      <c r="AM321" s="1070"/>
      <c r="AN321" s="1070"/>
      <c r="AO321" s="1070"/>
      <c r="AP321" s="1070"/>
      <c r="AQ321" s="1492">
        <f>AQ302</f>
        <v>0</v>
      </c>
      <c r="AR321" s="1493">
        <f t="shared" ref="AR321:BS321" si="44">AR302</f>
        <v>0</v>
      </c>
      <c r="AS321" s="1493">
        <f t="shared" si="44"/>
        <v>0</v>
      </c>
      <c r="AT321" s="1493">
        <f t="shared" si="44"/>
        <v>0</v>
      </c>
      <c r="AU321" s="1493">
        <f t="shared" si="44"/>
        <v>0</v>
      </c>
      <c r="AV321" s="1493">
        <f t="shared" si="44"/>
        <v>0</v>
      </c>
      <c r="AW321" s="1493">
        <f t="shared" si="44"/>
        <v>0</v>
      </c>
      <c r="AX321" s="1493">
        <f t="shared" si="44"/>
        <v>0</v>
      </c>
      <c r="AY321" s="1493">
        <f t="shared" si="44"/>
        <v>0</v>
      </c>
      <c r="AZ321" s="1493">
        <f t="shared" si="44"/>
        <v>0</v>
      </c>
      <c r="BA321" s="1493">
        <f t="shared" si="44"/>
        <v>0</v>
      </c>
      <c r="BB321" s="1493">
        <f t="shared" si="44"/>
        <v>0</v>
      </c>
      <c r="BC321" s="1493">
        <f t="shared" si="44"/>
        <v>0</v>
      </c>
      <c r="BD321" s="1493">
        <f t="shared" si="44"/>
        <v>0</v>
      </c>
      <c r="BE321" s="1493">
        <f t="shared" si="44"/>
        <v>0</v>
      </c>
      <c r="BF321" s="1493">
        <f t="shared" si="44"/>
        <v>0</v>
      </c>
      <c r="BG321" s="1493">
        <f t="shared" si="44"/>
        <v>0</v>
      </c>
      <c r="BH321" s="1493">
        <f t="shared" si="44"/>
        <v>0</v>
      </c>
      <c r="BI321" s="1493">
        <f t="shared" si="44"/>
        <v>0</v>
      </c>
      <c r="BJ321" s="1493">
        <f t="shared" si="44"/>
        <v>0</v>
      </c>
      <c r="BK321" s="1493">
        <f t="shared" si="44"/>
        <v>0</v>
      </c>
      <c r="BL321" s="1493">
        <f t="shared" si="44"/>
        <v>0</v>
      </c>
      <c r="BM321" s="1493">
        <f t="shared" si="44"/>
        <v>0</v>
      </c>
      <c r="BN321" s="1493">
        <f t="shared" si="44"/>
        <v>0</v>
      </c>
      <c r="BO321" s="1493">
        <f t="shared" si="44"/>
        <v>0</v>
      </c>
      <c r="BP321" s="1493">
        <f t="shared" si="44"/>
        <v>0</v>
      </c>
      <c r="BQ321" s="1493">
        <f t="shared" si="44"/>
        <v>0</v>
      </c>
      <c r="BR321" s="1493">
        <f t="shared" si="44"/>
        <v>0</v>
      </c>
      <c r="BS321" s="1494">
        <f t="shared" si="44"/>
        <v>0</v>
      </c>
      <c r="BT321" s="1070"/>
      <c r="BU321" s="1070"/>
      <c r="BV321" s="1070"/>
    </row>
    <row r="322" spans="1:74" outlineLevel="1" x14ac:dyDescent="0.3">
      <c r="A322" s="1070"/>
      <c r="B322" s="1207" t="s">
        <v>1357</v>
      </c>
      <c r="C322" s="1142"/>
      <c r="D322" s="1142"/>
      <c r="E322" s="1142"/>
      <c r="F322" s="1142"/>
      <c r="G322" s="1492">
        <f>Calc!G237</f>
        <v>0</v>
      </c>
      <c r="H322" s="1493">
        <f>Calc!H237</f>
        <v>0</v>
      </c>
      <c r="I322" s="1493">
        <f>Calc!I237</f>
        <v>0</v>
      </c>
      <c r="J322" s="1493">
        <f>Calc!J237</f>
        <v>0</v>
      </c>
      <c r="K322" s="1493">
        <f>Calc!K237</f>
        <v>0</v>
      </c>
      <c r="L322" s="1493">
        <f>Calc!L237</f>
        <v>0</v>
      </c>
      <c r="M322" s="1493">
        <f>Calc!M237</f>
        <v>0</v>
      </c>
      <c r="N322" s="1493">
        <f>Calc!N237</f>
        <v>0</v>
      </c>
      <c r="O322" s="1493">
        <f>Calc!O237</f>
        <v>0</v>
      </c>
      <c r="P322" s="1493">
        <f>Calc!P237</f>
        <v>0</v>
      </c>
      <c r="Q322" s="1493">
        <f>Calc!Q237</f>
        <v>0</v>
      </c>
      <c r="R322" s="1493">
        <f>Calc!R237</f>
        <v>0</v>
      </c>
      <c r="S322" s="1493">
        <f>Calc!S237</f>
        <v>0</v>
      </c>
      <c r="T322" s="1493">
        <f>Calc!T237</f>
        <v>0</v>
      </c>
      <c r="U322" s="1493">
        <f>Calc!U237</f>
        <v>0</v>
      </c>
      <c r="V322" s="1493">
        <f>Calc!V237</f>
        <v>0</v>
      </c>
      <c r="W322" s="1493">
        <f>Calc!W237</f>
        <v>0</v>
      </c>
      <c r="X322" s="1493">
        <f>Calc!X237</f>
        <v>0</v>
      </c>
      <c r="Y322" s="1493">
        <f>Calc!Y237</f>
        <v>0</v>
      </c>
      <c r="Z322" s="1493">
        <f>Calc!Z237</f>
        <v>0</v>
      </c>
      <c r="AA322" s="1493">
        <f>Calc!AA237</f>
        <v>0</v>
      </c>
      <c r="AB322" s="1493">
        <f>Calc!AB237</f>
        <v>0</v>
      </c>
      <c r="AC322" s="1493">
        <f>Calc!AC237</f>
        <v>0</v>
      </c>
      <c r="AD322" s="1493">
        <f>Calc!AD237</f>
        <v>0</v>
      </c>
      <c r="AE322" s="1493">
        <f>Calc!AE237</f>
        <v>0</v>
      </c>
      <c r="AF322" s="1493">
        <f>Calc!AF237</f>
        <v>0</v>
      </c>
      <c r="AG322" s="1493">
        <f>Calc!AG237</f>
        <v>0</v>
      </c>
      <c r="AH322" s="1493">
        <f>Calc!AH237</f>
        <v>0</v>
      </c>
      <c r="AI322" s="1494">
        <f>Calc!AI237</f>
        <v>0</v>
      </c>
      <c r="AJ322" s="1070"/>
      <c r="AK322" s="1070"/>
      <c r="AL322" s="1070"/>
      <c r="AM322" s="1070"/>
      <c r="AN322" s="1070"/>
      <c r="AO322" s="1070"/>
      <c r="AP322" s="1070"/>
      <c r="AQ322" s="1492">
        <f>IF(SUM(AQ308)-SUM(AQ297)&lt;0,0,SUM(AQ308)-SUM(AQ297))</f>
        <v>0</v>
      </c>
      <c r="AR322" s="1493">
        <f>IF(SUM($AQ$308:AR308)-SUM($AQ$297:AR297)&lt;0,0,SUM($AQ$308:AR308)-SUM($AQ$297:AR297))</f>
        <v>0</v>
      </c>
      <c r="AS322" s="1493">
        <f>IF(SUM($AQ$308:AS308)-SUM($AQ$297:AS297)&lt;0,0,SUM($AQ$308:AS308)-SUM($AQ$297:AS297))</f>
        <v>0</v>
      </c>
      <c r="AT322" s="1493">
        <f>IF(SUM($AQ$308:AT308)-SUM($AQ$297:AT297)&lt;0,0,SUM($AQ$308:AT308)-SUM($AQ$297:AT297))</f>
        <v>0</v>
      </c>
      <c r="AU322" s="1493">
        <f>IF(SUM($AQ$308:AU308)-SUM($AQ$297:AU297)&lt;0,0,SUM($AQ$308:AU308)-SUM($AQ$297:AU297))</f>
        <v>0</v>
      </c>
      <c r="AV322" s="1493">
        <f>IF(SUM($AQ$308:AV308)-SUM($AQ$297:AV297)&lt;0,0,SUM($AQ$308:AV308)-SUM($AQ$297:AV297))</f>
        <v>0</v>
      </c>
      <c r="AW322" s="1493">
        <f>IF(SUM($AQ$308:AW308)-SUM($AQ$297:AW297)&lt;0,0,SUM($AQ$308:AW308)-SUM($AQ$297:AW297))</f>
        <v>0</v>
      </c>
      <c r="AX322" s="1493">
        <f>IF(SUM($AQ$308:AX308)-SUM($AQ$297:AX297)&lt;0,0,SUM($AQ$308:AX308)-SUM($AQ$297:AX297))</f>
        <v>0</v>
      </c>
      <c r="AY322" s="1493">
        <f>IF(SUM($AQ$308:AY308)-SUM($AQ$297:AY297)&lt;0,0,SUM($AQ$308:AY308)-SUM($AQ$297:AY297))</f>
        <v>0</v>
      </c>
      <c r="AZ322" s="1493">
        <f>IF(SUM($AQ$308:AZ308)-SUM($AQ$297:AZ297)&lt;0,0,SUM($AQ$308:AZ308)-SUM($AQ$297:AZ297))</f>
        <v>0</v>
      </c>
      <c r="BA322" s="1493">
        <f>IF(SUM($AQ$308:BA308)-SUM($AQ$297:BA297)&lt;0,0,SUM($AQ$308:BA308)-SUM($AQ$297:BA297))</f>
        <v>0</v>
      </c>
      <c r="BB322" s="1493">
        <f>IF(SUM($AQ$308:BB308)-SUM($AQ$297:BB297)&lt;0,0,SUM($AQ$308:BB308)-SUM($AQ$297:BB297))</f>
        <v>0</v>
      </c>
      <c r="BC322" s="1493">
        <f>IF(SUM($AQ$308:BC308)-SUM($AQ$297:BC297)&lt;0,0,SUM($AQ$308:BC308)-SUM($AQ$297:BC297))</f>
        <v>0</v>
      </c>
      <c r="BD322" s="1493">
        <f>IF(SUM($AQ$308:BD308)-SUM($AQ$297:BD297)&lt;0,0,SUM($AQ$308:BD308)-SUM($AQ$297:BD297))</f>
        <v>0</v>
      </c>
      <c r="BE322" s="1493">
        <f>IF(SUM($AQ$308:BE308)-SUM($AQ$297:BE297)&lt;0,0,SUM($AQ$308:BE308)-SUM($AQ$297:BE297))</f>
        <v>0</v>
      </c>
      <c r="BF322" s="1493">
        <f>IF(SUM($AQ$308:BF308)-SUM($AQ$297:BF297)&lt;0,0,SUM($AQ$308:BF308)-SUM($AQ$297:BF297))</f>
        <v>0</v>
      </c>
      <c r="BG322" s="1493">
        <f>IF(SUM($AQ$308:BG308)-SUM($AQ$297:BG297)&lt;0,0,SUM($AQ$308:BG308)-SUM($AQ$297:BG297))</f>
        <v>0</v>
      </c>
      <c r="BH322" s="1493">
        <f>IF(SUM($AQ$308:BH308)-SUM($AQ$297:BH297)&lt;0,0,SUM($AQ$308:BH308)-SUM($AQ$297:BH297))</f>
        <v>0</v>
      </c>
      <c r="BI322" s="1493">
        <f>IF(SUM($AQ$308:BI308)-SUM($AQ$297:BI297)&lt;0,0,SUM($AQ$308:BI308)-SUM($AQ$297:BI297))</f>
        <v>0</v>
      </c>
      <c r="BJ322" s="1493">
        <f>IF(SUM($AQ$308:BJ308)-SUM($AQ$297:BJ297)&lt;0,0,SUM($AQ$308:BJ308)-SUM($AQ$297:BJ297))</f>
        <v>0</v>
      </c>
      <c r="BK322" s="1493">
        <f>IF(SUM($AQ$308:BK308)-SUM($AQ$297:BK297)&lt;0,0,SUM($AQ$308:BK308)-SUM($AQ$297:BK297))</f>
        <v>0</v>
      </c>
      <c r="BL322" s="1493">
        <f>IF(SUM($AQ$308:BL308)-SUM($AQ$297:BL297)&lt;0,0,SUM($AQ$308:BL308)-SUM($AQ$297:BL297))</f>
        <v>0</v>
      </c>
      <c r="BM322" s="1493">
        <f>IF(SUM($AQ$308:BM308)-SUM($AQ$297:BM297)&lt;0,0,SUM($AQ$308:BM308)-SUM($AQ$297:BM297))</f>
        <v>0</v>
      </c>
      <c r="BN322" s="1493">
        <f>IF(SUM($AQ$308:BN308)-SUM($AQ$297:BN297)&lt;0,0,SUM($AQ$308:BN308)-SUM($AQ$297:BN297))</f>
        <v>0</v>
      </c>
      <c r="BO322" s="1493">
        <f>IF(SUM($AQ$308:BO308)-SUM($AQ$297:BO297)&lt;0,0,SUM($AQ$308:BO308)-SUM($AQ$297:BO297))</f>
        <v>0</v>
      </c>
      <c r="BP322" s="1493">
        <f>IF(SUM($AQ$308:BP308)-SUM($AQ$297:BP297)&lt;0,0,SUM($AQ$308:BP308)-SUM($AQ$297:BP297))</f>
        <v>0</v>
      </c>
      <c r="BQ322" s="1493">
        <f>IF(SUM($AQ$308:BQ308)-SUM($AQ$297:BQ297)&lt;0,0,SUM($AQ$308:BQ308)-SUM($AQ$297:BQ297))</f>
        <v>0</v>
      </c>
      <c r="BR322" s="1493">
        <f>IF(SUM($AQ$308:BR308)-SUM($AQ$297:BR297)&lt;0,0,SUM($AQ$308:BR308)-SUM($AQ$297:BR297))</f>
        <v>0</v>
      </c>
      <c r="BS322" s="1494">
        <f>IF(SUM($AQ$308:BS308)-SUM($AQ$297:BS297)&lt;0,0,SUM($AQ$308:BS308)-SUM($AQ$297:BS297))</f>
        <v>0</v>
      </c>
      <c r="BT322" s="1070"/>
      <c r="BU322" s="1070"/>
      <c r="BV322" s="1070"/>
    </row>
    <row r="323" spans="1:74" outlineLevel="1" x14ac:dyDescent="0.3">
      <c r="A323" s="1070"/>
      <c r="B323" s="1207" t="s">
        <v>1358</v>
      </c>
      <c r="C323" s="1142"/>
      <c r="D323" s="1142"/>
      <c r="E323" s="1142"/>
      <c r="F323" s="1142"/>
      <c r="G323" s="1492">
        <f>Calc!G238</f>
        <v>-3620.4629005348552</v>
      </c>
      <c r="H323" s="1493">
        <f>Calc!H238</f>
        <v>-3204.4552826870922</v>
      </c>
      <c r="I323" s="1493">
        <f>Calc!I238</f>
        <v>-7803.7495606967441</v>
      </c>
      <c r="J323" s="1493">
        <f>Calc!J238</f>
        <v>-8089.9399176158076</v>
      </c>
      <c r="K323" s="1493">
        <f>Calc!K238</f>
        <v>-4941.0791143955921</v>
      </c>
      <c r="L323" s="1493">
        <f>Calc!L238</f>
        <v>-11854.970729202269</v>
      </c>
      <c r="M323" s="1493">
        <f>Calc!M238</f>
        <v>12604.891833739101</v>
      </c>
      <c r="N323" s="1493">
        <f>Calc!N238</f>
        <v>27875.246337534263</v>
      </c>
      <c r="O323" s="1493">
        <f>Calc!O238</f>
        <v>45759.406495428702</v>
      </c>
      <c r="P323" s="1493">
        <f>Calc!P238</f>
        <v>60554.015149804225</v>
      </c>
      <c r="Q323" s="1493">
        <f>Calc!Q238</f>
        <v>70181.536536616142</v>
      </c>
      <c r="R323" s="1493">
        <f>Calc!R238</f>
        <v>75851.213268417327</v>
      </c>
      <c r="S323" s="1493">
        <f>Calc!S238</f>
        <v>86267.037747031369</v>
      </c>
      <c r="T323" s="1493">
        <f>Calc!T238</f>
        <v>91450.793717653636</v>
      </c>
      <c r="U323" s="1493">
        <f>Calc!U238</f>
        <v>108185.41002448402</v>
      </c>
      <c r="V323" s="1493">
        <f>Calc!V238</f>
        <v>121471.45797752988</v>
      </c>
      <c r="W323" s="1493">
        <f>Calc!W238</f>
        <v>138621.58594132177</v>
      </c>
      <c r="X323" s="1493">
        <f>Calc!X238</f>
        <v>203207.92308032681</v>
      </c>
      <c r="Y323" s="1493">
        <f>Calc!Y238</f>
        <v>38881.583319830817</v>
      </c>
      <c r="Z323" s="1493">
        <f>Calc!Z238</f>
        <v>261.33333333333337</v>
      </c>
      <c r="AA323" s="1493">
        <f>Calc!AA238</f>
        <v>0</v>
      </c>
      <c r="AB323" s="1493">
        <f>Calc!AB238</f>
        <v>0</v>
      </c>
      <c r="AC323" s="1493">
        <f>Calc!AC238</f>
        <v>0</v>
      </c>
      <c r="AD323" s="1493">
        <f>Calc!AD238</f>
        <v>0</v>
      </c>
      <c r="AE323" s="1493">
        <f>Calc!AE238</f>
        <v>0</v>
      </c>
      <c r="AF323" s="1493">
        <f>Calc!AF238</f>
        <v>0</v>
      </c>
      <c r="AG323" s="1493">
        <f>Calc!AG238</f>
        <v>0</v>
      </c>
      <c r="AH323" s="1493">
        <f>Calc!AH238</f>
        <v>0</v>
      </c>
      <c r="AI323" s="1494">
        <f>Calc!AI238</f>
        <v>0</v>
      </c>
      <c r="AJ323" s="1070"/>
      <c r="AK323" s="1070"/>
      <c r="AL323" s="1070"/>
      <c r="AM323" s="1070"/>
      <c r="AN323" s="1070"/>
      <c r="AO323" s="1070"/>
      <c r="AP323" s="1070"/>
      <c r="AQ323" s="1492">
        <f t="shared" ref="AQ323:BS323" si="45">AQ318+AQ322</f>
        <v>0</v>
      </c>
      <c r="AR323" s="1493">
        <f t="shared" si="45"/>
        <v>0</v>
      </c>
      <c r="AS323" s="1493">
        <f t="shared" si="45"/>
        <v>0</v>
      </c>
      <c r="AT323" s="1493">
        <f t="shared" si="45"/>
        <v>0</v>
      </c>
      <c r="AU323" s="1493">
        <f t="shared" si="45"/>
        <v>0</v>
      </c>
      <c r="AV323" s="1493">
        <f t="shared" si="45"/>
        <v>0</v>
      </c>
      <c r="AW323" s="1493">
        <f t="shared" si="45"/>
        <v>0</v>
      </c>
      <c r="AX323" s="1493">
        <f t="shared" si="45"/>
        <v>0</v>
      </c>
      <c r="AY323" s="1493">
        <f t="shared" si="45"/>
        <v>0</v>
      </c>
      <c r="AZ323" s="1493">
        <f t="shared" si="45"/>
        <v>0</v>
      </c>
      <c r="BA323" s="1493">
        <f t="shared" si="45"/>
        <v>0</v>
      </c>
      <c r="BB323" s="1493">
        <f t="shared" si="45"/>
        <v>0</v>
      </c>
      <c r="BC323" s="1493">
        <f t="shared" si="45"/>
        <v>0</v>
      </c>
      <c r="BD323" s="1493">
        <f t="shared" si="45"/>
        <v>0</v>
      </c>
      <c r="BE323" s="1493">
        <f t="shared" si="45"/>
        <v>0</v>
      </c>
      <c r="BF323" s="1493">
        <f t="shared" si="45"/>
        <v>0</v>
      </c>
      <c r="BG323" s="1493">
        <f t="shared" si="45"/>
        <v>0</v>
      </c>
      <c r="BH323" s="1493">
        <f t="shared" si="45"/>
        <v>0</v>
      </c>
      <c r="BI323" s="1493">
        <f t="shared" si="45"/>
        <v>0</v>
      </c>
      <c r="BJ323" s="1493">
        <f t="shared" si="45"/>
        <v>0</v>
      </c>
      <c r="BK323" s="1493">
        <f t="shared" si="45"/>
        <v>0</v>
      </c>
      <c r="BL323" s="1493">
        <f t="shared" si="45"/>
        <v>0</v>
      </c>
      <c r="BM323" s="1493">
        <f t="shared" si="45"/>
        <v>0</v>
      </c>
      <c r="BN323" s="1493">
        <f t="shared" si="45"/>
        <v>0</v>
      </c>
      <c r="BO323" s="1493">
        <f t="shared" si="45"/>
        <v>0</v>
      </c>
      <c r="BP323" s="1493">
        <f t="shared" si="45"/>
        <v>0</v>
      </c>
      <c r="BQ323" s="1493">
        <f t="shared" si="45"/>
        <v>0</v>
      </c>
      <c r="BR323" s="1493">
        <f t="shared" si="45"/>
        <v>0</v>
      </c>
      <c r="BS323" s="1494">
        <f t="shared" si="45"/>
        <v>0</v>
      </c>
      <c r="BT323" s="1070"/>
      <c r="BU323" s="1070"/>
      <c r="BV323" s="1070"/>
    </row>
    <row r="324" spans="1:74" outlineLevel="1" x14ac:dyDescent="0.3">
      <c r="A324" s="1070"/>
      <c r="B324" s="1207" t="s">
        <v>1359</v>
      </c>
      <c r="C324" s="1142"/>
      <c r="D324" s="1142"/>
      <c r="E324" s="1142"/>
      <c r="F324" s="1142"/>
      <c r="G324" s="1492">
        <f>Calc!G239</f>
        <v>-28406.708911888862</v>
      </c>
      <c r="H324" s="1493">
        <f>Calc!H239</f>
        <v>-25142.649141083341</v>
      </c>
      <c r="I324" s="1493">
        <f>Calc!I239</f>
        <v>-61229.41963008215</v>
      </c>
      <c r="J324" s="1493">
        <f>Calc!J239</f>
        <v>-63474.913199754796</v>
      </c>
      <c r="K324" s="1493">
        <f>Calc!K239</f>
        <v>-38768.466897565413</v>
      </c>
      <c r="L324" s="1493">
        <f>Calc!L239</f>
        <v>-93015.924182971634</v>
      </c>
      <c r="M324" s="1493">
        <f>Calc!M239</f>
        <v>98899.920541645246</v>
      </c>
      <c r="N324" s="1493">
        <f>Calc!N239</f>
        <v>218713.47126373037</v>
      </c>
      <c r="O324" s="1493">
        <f>Calc!O239</f>
        <v>359035.34327182517</v>
      </c>
      <c r="P324" s="1493">
        <f>Calc!P239</f>
        <v>475116.11886769469</v>
      </c>
      <c r="Q324" s="1493">
        <f>Calc!Q239</f>
        <v>550655.13282575749</v>
      </c>
      <c r="R324" s="1493">
        <f>Calc!R239</f>
        <v>595140.28872142825</v>
      </c>
      <c r="S324" s="1493">
        <f>Calc!S239</f>
        <v>676864.45001516922</v>
      </c>
      <c r="T324" s="1493">
        <f>Calc!T239</f>
        <v>717536.99686159007</v>
      </c>
      <c r="U324" s="1493">
        <f>Calc!U239</f>
        <v>848839.37096133619</v>
      </c>
      <c r="V324" s="1493">
        <f>Calc!V239</f>
        <v>953083.74720831122</v>
      </c>
      <c r="W324" s="1493">
        <f>Calc!W239</f>
        <v>1087646.2896934478</v>
      </c>
      <c r="X324" s="1493">
        <f>Calc!X239</f>
        <v>1594400.6272456411</v>
      </c>
      <c r="Y324" s="1493">
        <f>Calc!Y239</f>
        <v>305070.88450944179</v>
      </c>
      <c r="Z324" s="1493">
        <f>Calc!Z239</f>
        <v>2050.461538461539</v>
      </c>
      <c r="AA324" s="1493">
        <f>Calc!AA239</f>
        <v>0</v>
      </c>
      <c r="AB324" s="1493">
        <f>Calc!AB239</f>
        <v>0</v>
      </c>
      <c r="AC324" s="1493">
        <f>Calc!AC239</f>
        <v>0</v>
      </c>
      <c r="AD324" s="1493">
        <f>Calc!AD239</f>
        <v>0</v>
      </c>
      <c r="AE324" s="1493">
        <f>Calc!AE239</f>
        <v>0</v>
      </c>
      <c r="AF324" s="1493">
        <f>Calc!AF239</f>
        <v>0</v>
      </c>
      <c r="AG324" s="1493">
        <f>Calc!AG239</f>
        <v>0</v>
      </c>
      <c r="AH324" s="1493">
        <f>Calc!AH239</f>
        <v>0</v>
      </c>
      <c r="AI324" s="1494">
        <f>Calc!AI239</f>
        <v>0</v>
      </c>
      <c r="AJ324" s="1070"/>
      <c r="AK324" s="1070"/>
      <c r="AL324" s="1070"/>
      <c r="AM324" s="1070"/>
      <c r="AN324" s="1070"/>
      <c r="AO324" s="1070"/>
      <c r="AP324" s="1070"/>
      <c r="AQ324" s="1492"/>
      <c r="AR324" s="1493"/>
      <c r="AS324" s="1493"/>
      <c r="AT324" s="1493"/>
      <c r="AU324" s="1493"/>
      <c r="AV324" s="1493"/>
      <c r="AW324" s="1493"/>
      <c r="AX324" s="1493"/>
      <c r="AY324" s="1493"/>
      <c r="AZ324" s="1493"/>
      <c r="BA324" s="1493"/>
      <c r="BB324" s="1493"/>
      <c r="BC324" s="1493"/>
      <c r="BD324" s="1493"/>
      <c r="BE324" s="1493"/>
      <c r="BF324" s="1493"/>
      <c r="BG324" s="1493"/>
      <c r="BH324" s="1493"/>
      <c r="BI324" s="1493"/>
      <c r="BJ324" s="1493"/>
      <c r="BK324" s="1493"/>
      <c r="BL324" s="1493"/>
      <c r="BM324" s="1493"/>
      <c r="BN324" s="1493"/>
      <c r="BO324" s="1493"/>
      <c r="BP324" s="1493"/>
      <c r="BQ324" s="1493"/>
      <c r="BR324" s="1493"/>
      <c r="BS324" s="1494"/>
      <c r="BT324" s="1070"/>
      <c r="BU324" s="1070"/>
      <c r="BV324" s="1070"/>
    </row>
    <row r="325" spans="1:74" outlineLevel="1" x14ac:dyDescent="0.3">
      <c r="A325" s="1070"/>
      <c r="B325" s="1150" t="s">
        <v>1360</v>
      </c>
      <c r="C325" s="1201"/>
      <c r="D325" s="1201"/>
      <c r="E325" s="1201"/>
      <c r="F325" s="1201"/>
      <c r="G325" s="1501">
        <f>Calc!G240</f>
        <v>-32027.171812423716</v>
      </c>
      <c r="H325" s="1500">
        <f>Calc!H240</f>
        <v>-28347.104423770434</v>
      </c>
      <c r="I325" s="1500">
        <f>Calc!I240</f>
        <v>-69033.169190778892</v>
      </c>
      <c r="J325" s="1500">
        <f>Calc!J240</f>
        <v>-71564.8531173706</v>
      </c>
      <c r="K325" s="1500">
        <f>Calc!K240</f>
        <v>-43709.546011961007</v>
      </c>
      <c r="L325" s="1500">
        <f>Calc!L240</f>
        <v>-104870.8949121739</v>
      </c>
      <c r="M325" s="1500">
        <f>Calc!M240</f>
        <v>111504.81237538435</v>
      </c>
      <c r="N325" s="1500">
        <f>Calc!N240</f>
        <v>246588.71760126465</v>
      </c>
      <c r="O325" s="1500">
        <f>Calc!O240</f>
        <v>404794.74976725387</v>
      </c>
      <c r="P325" s="1500">
        <f>Calc!P240</f>
        <v>535670.13401749893</v>
      </c>
      <c r="Q325" s="1500">
        <f>Calc!Q240</f>
        <v>620836.66936237365</v>
      </c>
      <c r="R325" s="1500">
        <f>Calc!R240</f>
        <v>670991.50198984554</v>
      </c>
      <c r="S325" s="1500">
        <f>Calc!S240</f>
        <v>763131.48776220065</v>
      </c>
      <c r="T325" s="1500">
        <f>Calc!T240</f>
        <v>808987.79057924368</v>
      </c>
      <c r="U325" s="1500">
        <f>Calc!U240</f>
        <v>957024.78098582022</v>
      </c>
      <c r="V325" s="1500">
        <f>Calc!V240</f>
        <v>1074555.2051858411</v>
      </c>
      <c r="W325" s="1500">
        <f>Calc!W240</f>
        <v>1226267.8756347694</v>
      </c>
      <c r="X325" s="1500">
        <f>Calc!X240</f>
        <v>1797608.5503259678</v>
      </c>
      <c r="Y325" s="1500">
        <f>Calc!Y240</f>
        <v>343952.46782927262</v>
      </c>
      <c r="Z325" s="1500">
        <f>Calc!Z240</f>
        <v>2311.7948717948725</v>
      </c>
      <c r="AA325" s="1500">
        <f>Calc!AA240</f>
        <v>0</v>
      </c>
      <c r="AB325" s="1500">
        <f>Calc!AB240</f>
        <v>0</v>
      </c>
      <c r="AC325" s="1500">
        <f>Calc!AC240</f>
        <v>0</v>
      </c>
      <c r="AD325" s="1500">
        <f>Calc!AD240</f>
        <v>0</v>
      </c>
      <c r="AE325" s="1500">
        <f>Calc!AE240</f>
        <v>0</v>
      </c>
      <c r="AF325" s="1500">
        <f>Calc!AF240</f>
        <v>0</v>
      </c>
      <c r="AG325" s="1500">
        <f>Calc!AG240</f>
        <v>0</v>
      </c>
      <c r="AH325" s="1500">
        <f>Calc!AH240</f>
        <v>0</v>
      </c>
      <c r="AI325" s="1502">
        <f>Calc!AI240</f>
        <v>0</v>
      </c>
      <c r="AJ325" s="1070"/>
      <c r="AK325" s="1070"/>
      <c r="AL325" s="1070"/>
      <c r="AM325" s="1070"/>
      <c r="AN325" s="1070"/>
      <c r="AO325" s="1070"/>
      <c r="AP325" s="1070"/>
      <c r="AQ325" s="1501">
        <f t="shared" ref="AQ325:BS325" si="46">AQ318+AQ322+AQ324</f>
        <v>0</v>
      </c>
      <c r="AR325" s="1500">
        <f t="shared" si="46"/>
        <v>0</v>
      </c>
      <c r="AS325" s="1500">
        <f t="shared" si="46"/>
        <v>0</v>
      </c>
      <c r="AT325" s="1500">
        <f t="shared" si="46"/>
        <v>0</v>
      </c>
      <c r="AU325" s="1500">
        <f t="shared" si="46"/>
        <v>0</v>
      </c>
      <c r="AV325" s="1500">
        <f t="shared" si="46"/>
        <v>0</v>
      </c>
      <c r="AW325" s="1500">
        <f t="shared" si="46"/>
        <v>0</v>
      </c>
      <c r="AX325" s="1500">
        <f t="shared" si="46"/>
        <v>0</v>
      </c>
      <c r="AY325" s="1500">
        <f t="shared" si="46"/>
        <v>0</v>
      </c>
      <c r="AZ325" s="1500">
        <f t="shared" si="46"/>
        <v>0</v>
      </c>
      <c r="BA325" s="1500">
        <f t="shared" si="46"/>
        <v>0</v>
      </c>
      <c r="BB325" s="1500">
        <f t="shared" si="46"/>
        <v>0</v>
      </c>
      <c r="BC325" s="1500">
        <f t="shared" si="46"/>
        <v>0</v>
      </c>
      <c r="BD325" s="1500">
        <f t="shared" si="46"/>
        <v>0</v>
      </c>
      <c r="BE325" s="1500">
        <f t="shared" si="46"/>
        <v>0</v>
      </c>
      <c r="BF325" s="1500">
        <f t="shared" si="46"/>
        <v>0</v>
      </c>
      <c r="BG325" s="1500">
        <f t="shared" si="46"/>
        <v>0</v>
      </c>
      <c r="BH325" s="1500">
        <f t="shared" si="46"/>
        <v>0</v>
      </c>
      <c r="BI325" s="1500">
        <f t="shared" si="46"/>
        <v>0</v>
      </c>
      <c r="BJ325" s="1500">
        <f t="shared" si="46"/>
        <v>0</v>
      </c>
      <c r="BK325" s="1500">
        <f t="shared" si="46"/>
        <v>0</v>
      </c>
      <c r="BL325" s="1500">
        <f t="shared" si="46"/>
        <v>0</v>
      </c>
      <c r="BM325" s="1500">
        <f t="shared" si="46"/>
        <v>0</v>
      </c>
      <c r="BN325" s="1500">
        <f t="shared" si="46"/>
        <v>0</v>
      </c>
      <c r="BO325" s="1500">
        <f t="shared" si="46"/>
        <v>0</v>
      </c>
      <c r="BP325" s="1500">
        <f t="shared" si="46"/>
        <v>0</v>
      </c>
      <c r="BQ325" s="1500">
        <f t="shared" si="46"/>
        <v>0</v>
      </c>
      <c r="BR325" s="1500">
        <f t="shared" si="46"/>
        <v>0</v>
      </c>
      <c r="BS325" s="1502">
        <f t="shared" si="46"/>
        <v>0</v>
      </c>
      <c r="BT325" s="1070"/>
      <c r="BU325" s="1070"/>
      <c r="BV325" s="1070"/>
    </row>
    <row r="326" spans="1:74" outlineLevel="1" x14ac:dyDescent="0.3">
      <c r="A326" s="1070"/>
      <c r="B326" s="1070"/>
      <c r="C326" s="1070"/>
      <c r="D326" s="1070"/>
      <c r="E326" s="1070"/>
      <c r="F326" s="1070"/>
      <c r="G326" s="1070"/>
      <c r="H326" s="1070"/>
      <c r="I326" s="1070"/>
      <c r="J326" s="1070"/>
      <c r="K326" s="1070"/>
      <c r="L326" s="1070"/>
      <c r="M326" s="1070"/>
      <c r="N326" s="1070"/>
      <c r="O326" s="1070"/>
      <c r="P326" s="1070"/>
      <c r="Q326" s="1070"/>
      <c r="R326" s="1070"/>
      <c r="S326" s="1070"/>
      <c r="T326" s="1070"/>
      <c r="U326" s="1070"/>
      <c r="V326" s="1070"/>
      <c r="W326" s="1070"/>
      <c r="X326" s="1070"/>
      <c r="Y326" s="1070"/>
      <c r="Z326" s="1070"/>
      <c r="AA326" s="1070"/>
      <c r="AB326" s="1070"/>
      <c r="AC326" s="1070"/>
      <c r="AD326" s="1070"/>
      <c r="AE326" s="1070"/>
      <c r="AF326" s="1070"/>
      <c r="AG326" s="1070"/>
      <c r="AH326" s="1070"/>
      <c r="AI326" s="1070"/>
      <c r="AJ326" s="1070"/>
      <c r="AK326" s="1070"/>
      <c r="AL326" s="1070"/>
      <c r="AM326" s="1070"/>
      <c r="AN326" s="1070"/>
      <c r="AO326" s="1070"/>
      <c r="AP326" s="1070"/>
      <c r="AQ326" s="1070"/>
      <c r="AR326" s="1070"/>
      <c r="AS326" s="1070"/>
      <c r="AT326" s="1070"/>
      <c r="AU326" s="1070"/>
      <c r="AV326" s="1070"/>
      <c r="AW326" s="1070"/>
      <c r="AX326" s="1070"/>
      <c r="AY326" s="1070"/>
      <c r="AZ326" s="1070"/>
      <c r="BA326" s="1070"/>
      <c r="BB326" s="1070"/>
      <c r="BC326" s="1070"/>
      <c r="BD326" s="1070"/>
      <c r="BE326" s="1070"/>
      <c r="BF326" s="1070"/>
      <c r="BG326" s="1070"/>
      <c r="BH326" s="1070"/>
      <c r="BI326" s="1070"/>
      <c r="BJ326" s="1070"/>
      <c r="BK326" s="1070"/>
      <c r="BL326" s="1070"/>
      <c r="BM326" s="1070"/>
      <c r="BN326" s="1070"/>
      <c r="BO326" s="1070"/>
      <c r="BP326" s="1070"/>
      <c r="BQ326" s="1070"/>
      <c r="BR326" s="1070"/>
      <c r="BS326" s="1070"/>
      <c r="BT326" s="1070"/>
      <c r="BU326" s="1070"/>
      <c r="BV326" s="1070"/>
    </row>
    <row r="327" spans="1:74" outlineLevel="1" x14ac:dyDescent="0.3">
      <c r="A327" s="1070"/>
      <c r="B327" s="1070"/>
      <c r="C327" s="1070"/>
      <c r="D327" s="1070"/>
      <c r="E327" s="1070"/>
      <c r="F327" s="1070"/>
      <c r="G327" s="3162" t="s">
        <v>1313</v>
      </c>
      <c r="H327" s="3163"/>
      <c r="I327" s="3164"/>
      <c r="J327" s="3162" t="s">
        <v>1314</v>
      </c>
      <c r="K327" s="3163"/>
      <c r="L327" s="3164"/>
      <c r="M327" s="1070"/>
      <c r="N327" s="1070"/>
      <c r="O327" s="1070"/>
      <c r="P327" s="1070"/>
      <c r="Q327" s="1070"/>
      <c r="R327" s="1070"/>
      <c r="S327" s="1070"/>
      <c r="T327" s="1070"/>
      <c r="U327" s="1070"/>
      <c r="V327" s="1070"/>
      <c r="W327" s="1070"/>
      <c r="X327" s="1070"/>
      <c r="Y327" s="1070"/>
      <c r="Z327" s="1070"/>
      <c r="AA327" s="1070"/>
      <c r="AB327" s="1070"/>
      <c r="AC327" s="1070"/>
      <c r="AD327" s="1070"/>
      <c r="AE327" s="1070"/>
      <c r="AF327" s="1070"/>
      <c r="AG327" s="1070"/>
      <c r="AH327" s="1070"/>
      <c r="AI327" s="1070"/>
      <c r="AJ327" s="1070"/>
      <c r="AK327" s="1070"/>
      <c r="AL327" s="1070"/>
      <c r="AM327" s="1070"/>
      <c r="AN327" s="1070"/>
      <c r="AO327" s="1070"/>
      <c r="AP327" s="1070"/>
      <c r="AQ327" s="1070"/>
      <c r="AR327" s="1070"/>
      <c r="AS327" s="1070"/>
      <c r="AT327" s="1070"/>
      <c r="AU327" s="1070"/>
      <c r="AV327" s="1070"/>
      <c r="AW327" s="1070"/>
      <c r="AX327" s="1070"/>
      <c r="AY327" s="1070"/>
      <c r="AZ327" s="1070"/>
      <c r="BA327" s="1070"/>
      <c r="BB327" s="1070"/>
      <c r="BC327" s="1070"/>
      <c r="BD327" s="1070"/>
      <c r="BE327" s="1070"/>
      <c r="BF327" s="1070"/>
      <c r="BG327" s="1070"/>
      <c r="BH327" s="1070"/>
      <c r="BI327" s="1070"/>
      <c r="BJ327" s="1070"/>
      <c r="BK327" s="1070"/>
      <c r="BL327" s="1070"/>
      <c r="BM327" s="1070"/>
      <c r="BN327" s="1070"/>
      <c r="BO327" s="1070"/>
      <c r="BP327" s="1070"/>
      <c r="BQ327" s="1070"/>
      <c r="BR327" s="1070"/>
      <c r="BS327" s="1070"/>
      <c r="BT327" s="1070"/>
      <c r="BU327" s="1070"/>
      <c r="BV327" s="1070"/>
    </row>
    <row r="328" spans="1:74" outlineLevel="1" x14ac:dyDescent="0.3">
      <c r="A328" s="1070"/>
      <c r="B328" s="1070"/>
      <c r="C328" s="1070"/>
      <c r="D328" s="1070"/>
      <c r="E328" s="1070"/>
      <c r="F328" s="1070"/>
      <c r="G328" s="3290" t="e">
        <f>Calc!G174</f>
        <v>#VALUE!</v>
      </c>
      <c r="H328" s="3202"/>
      <c r="I328" s="3203"/>
      <c r="J328" s="3290" t="e">
        <f>Calc!L174</f>
        <v>#VALUE!</v>
      </c>
      <c r="K328" s="3202"/>
      <c r="L328" s="3203"/>
      <c r="M328" s="1070"/>
      <c r="T328" s="1070"/>
      <c r="U328" s="1070"/>
      <c r="V328" s="1070"/>
      <c r="W328" s="1070"/>
      <c r="X328" s="1070"/>
      <c r="Y328" s="1070"/>
      <c r="Z328" s="1070"/>
      <c r="AA328" s="1070"/>
      <c r="AB328" s="1070"/>
      <c r="AC328" s="1070"/>
      <c r="AD328" s="1070"/>
      <c r="AE328" s="1070"/>
      <c r="AF328" s="1070"/>
      <c r="AG328" s="1070"/>
      <c r="AH328" s="1070"/>
      <c r="AI328" s="1070"/>
      <c r="AJ328" s="1070"/>
      <c r="AK328" s="1070"/>
      <c r="AL328" s="1070"/>
      <c r="AM328" s="1070"/>
      <c r="AN328" s="1070"/>
      <c r="AO328" s="1070"/>
      <c r="AP328" s="1070"/>
      <c r="AQ328" s="3291" t="s">
        <v>1313</v>
      </c>
      <c r="AR328" s="3292"/>
      <c r="AS328" s="3293"/>
      <c r="AT328" s="3291" t="s">
        <v>1314</v>
      </c>
      <c r="AU328" s="3292"/>
      <c r="AV328" s="3293"/>
      <c r="AW328" s="1070"/>
      <c r="AX328" s="1070"/>
      <c r="AY328" s="1070"/>
      <c r="AZ328" s="1070"/>
      <c r="BA328" s="1070"/>
      <c r="BB328" s="1070"/>
      <c r="BC328" s="1070"/>
      <c r="BD328" s="1070"/>
      <c r="BE328" s="1143" t="s">
        <v>1432</v>
      </c>
      <c r="BF328" s="1143" t="s">
        <v>682</v>
      </c>
      <c r="BG328" s="1070"/>
      <c r="BH328" s="1070"/>
      <c r="BI328" s="1070"/>
      <c r="BJ328" s="1070"/>
      <c r="BK328" s="1070"/>
      <c r="BL328" s="1070"/>
      <c r="BM328" s="1070"/>
      <c r="BN328" s="1070"/>
      <c r="BO328" s="1070"/>
      <c r="BP328" s="1070"/>
      <c r="BQ328" s="1070"/>
      <c r="BR328" s="1070"/>
      <c r="BS328" s="1070"/>
      <c r="BT328" s="1070"/>
      <c r="BU328" s="1070"/>
      <c r="BV328" s="1070"/>
    </row>
    <row r="329" spans="1:74" outlineLevel="1" x14ac:dyDescent="0.3">
      <c r="A329" s="1070"/>
      <c r="B329" s="1070"/>
      <c r="C329" s="1070"/>
      <c r="D329" s="1070"/>
      <c r="E329" s="1070"/>
      <c r="F329" s="1070"/>
      <c r="G329" s="1706"/>
      <c r="H329" s="2011" t="s">
        <v>1495</v>
      </c>
      <c r="I329" s="1708"/>
      <c r="J329" s="1706"/>
      <c r="K329" s="2011" t="s">
        <v>1495</v>
      </c>
      <c r="L329" s="1708"/>
      <c r="M329" s="1070"/>
      <c r="T329" s="1070"/>
      <c r="U329" s="1070"/>
      <c r="V329" s="1070"/>
      <c r="W329" s="1070"/>
      <c r="X329" s="1070"/>
      <c r="Y329" s="1070"/>
      <c r="Z329" s="1070"/>
      <c r="AA329" s="1070"/>
      <c r="AB329" s="1070"/>
      <c r="AC329" s="1070"/>
      <c r="AD329" s="1070"/>
      <c r="AE329" s="1070"/>
      <c r="AF329" s="1070"/>
      <c r="AG329" s="1070"/>
      <c r="AH329" s="1070"/>
      <c r="AI329" s="1070"/>
      <c r="AJ329" s="1070"/>
      <c r="AK329" s="1070"/>
      <c r="AL329" s="1070"/>
      <c r="AM329" s="1070"/>
      <c r="AN329" s="1070"/>
      <c r="AO329" s="1070"/>
      <c r="AP329" s="1070"/>
      <c r="AQ329" s="3294" t="str">
        <f>Q42</f>
        <v>FY XX - ZZ</v>
      </c>
      <c r="AR329" s="3295"/>
      <c r="AS329" s="3296"/>
      <c r="AT329" s="3297" t="str">
        <f>R42</f>
        <v>FY XX - ZZ</v>
      </c>
      <c r="AU329" s="3298"/>
      <c r="AV329" s="3299"/>
      <c r="AW329" s="1070"/>
      <c r="AX329" s="1070"/>
      <c r="AY329" s="1070"/>
      <c r="AZ329" s="1070"/>
      <c r="BA329" s="1070"/>
      <c r="BB329" s="1070"/>
      <c r="BC329" s="1164" t="s">
        <v>1395</v>
      </c>
      <c r="BD329" s="1146"/>
      <c r="BE329" s="2012" t="str">
        <f>X48</f>
        <v>N/A</v>
      </c>
      <c r="BF329" s="2013" t="str">
        <f>Y48</f>
        <v>N/A</v>
      </c>
      <c r="BG329" s="1070"/>
      <c r="BH329" s="1070"/>
      <c r="BI329" s="1070"/>
      <c r="BJ329" s="1070"/>
      <c r="BK329" s="1070"/>
      <c r="BL329" s="1070"/>
      <c r="BM329" s="1070"/>
      <c r="BN329" s="1070"/>
      <c r="BO329" s="1070"/>
      <c r="BP329" s="1070"/>
      <c r="BQ329" s="1070"/>
      <c r="BR329" s="1070"/>
      <c r="BS329" s="1070"/>
      <c r="BT329" s="1070"/>
      <c r="BU329" s="1070"/>
      <c r="BV329" s="1070"/>
    </row>
    <row r="330" spans="1:74" outlineLevel="1" x14ac:dyDescent="0.3">
      <c r="A330" s="1070"/>
      <c r="B330" s="1070"/>
      <c r="C330" s="1070"/>
      <c r="D330" s="1070"/>
      <c r="E330" s="1070"/>
      <c r="F330" s="1143" t="s">
        <v>794</v>
      </c>
      <c r="G330" s="1145"/>
      <c r="H330" s="2014" t="e">
        <f>Calc!H176</f>
        <v>#VALUE!</v>
      </c>
      <c r="I330" s="1146"/>
      <c r="J330" s="1145"/>
      <c r="K330" s="2014" t="e">
        <f>Calc!M176</f>
        <v>#VALUE!</v>
      </c>
      <c r="L330" s="1146"/>
      <c r="M330" s="1070"/>
      <c r="N330" s="1070"/>
      <c r="O330" s="1070"/>
      <c r="P330" s="1070"/>
      <c r="Q330" s="1070"/>
      <c r="R330" s="1070"/>
      <c r="S330" s="1070"/>
      <c r="T330" s="1070"/>
      <c r="U330" s="1070"/>
      <c r="V330" s="1070"/>
      <c r="W330" s="1070"/>
      <c r="X330" s="1070"/>
      <c r="Y330" s="1070"/>
      <c r="Z330" s="1070"/>
      <c r="AA330" s="1070"/>
      <c r="AB330" s="1070"/>
      <c r="AC330" s="1070"/>
      <c r="AD330" s="1070"/>
      <c r="AE330" s="1070"/>
      <c r="AF330" s="1070"/>
      <c r="AG330" s="1070"/>
      <c r="AH330" s="1070"/>
      <c r="AI330" s="1070"/>
      <c r="AJ330" s="1070"/>
      <c r="AK330" s="1070"/>
      <c r="AL330" s="1070"/>
      <c r="AM330" s="1070"/>
      <c r="AN330" s="1070"/>
      <c r="AO330" s="1070"/>
      <c r="AP330" s="1144" t="s">
        <v>794</v>
      </c>
      <c r="AQ330" s="1145"/>
      <c r="AR330" s="2015">
        <f>Q43</f>
        <v>0</v>
      </c>
      <c r="AS330" s="1216"/>
      <c r="AT330" s="1215"/>
      <c r="AU330" s="2015">
        <f>R43</f>
        <v>0</v>
      </c>
      <c r="AV330" s="1146"/>
      <c r="AW330" s="1070"/>
      <c r="AX330" s="1070"/>
      <c r="AY330" s="1070"/>
      <c r="AZ330" s="1070"/>
      <c r="BA330" s="1070"/>
      <c r="BB330" s="1070"/>
      <c r="BC330" s="1070"/>
      <c r="BD330" s="1070"/>
      <c r="BE330" s="1070"/>
      <c r="BF330" s="1070"/>
      <c r="BG330" s="1070"/>
      <c r="BH330" s="1070"/>
      <c r="BI330" s="1070"/>
      <c r="BJ330" s="1070"/>
      <c r="BK330" s="1070"/>
      <c r="BL330" s="1070"/>
      <c r="BM330" s="1070"/>
      <c r="BN330" s="1070"/>
      <c r="BO330" s="1070"/>
      <c r="BP330" s="1070"/>
      <c r="BQ330" s="1070"/>
      <c r="BR330" s="1070"/>
      <c r="BS330" s="1070"/>
      <c r="BT330" s="1070"/>
      <c r="BU330" s="1070"/>
      <c r="BV330" s="1070"/>
    </row>
    <row r="331" spans="1:74" outlineLevel="1" x14ac:dyDescent="0.3">
      <c r="A331" s="1070"/>
      <c r="B331" s="1070"/>
      <c r="C331" s="1070"/>
      <c r="D331" s="1070"/>
      <c r="E331" s="1070"/>
      <c r="F331" s="1143" t="s">
        <v>725</v>
      </c>
      <c r="G331" s="1145"/>
      <c r="H331" s="2016" t="e">
        <f>Calc!H177</f>
        <v>#VALUE!</v>
      </c>
      <c r="I331" s="1146"/>
      <c r="J331" s="1145"/>
      <c r="K331" s="2016" t="e">
        <f>Calc!M177</f>
        <v>#VALUE!</v>
      </c>
      <c r="L331" s="1146"/>
      <c r="M331" s="1070"/>
      <c r="N331" s="1070"/>
      <c r="O331" s="1070"/>
      <c r="P331" s="1070"/>
      <c r="Q331" s="1070"/>
      <c r="R331" s="1070"/>
      <c r="S331" s="1070"/>
      <c r="T331" s="1070"/>
      <c r="U331" s="1070"/>
      <c r="V331" s="1070"/>
      <c r="W331" s="1070"/>
      <c r="X331" s="1070"/>
      <c r="Y331" s="1070"/>
      <c r="Z331" s="1070"/>
      <c r="AA331" s="1070"/>
      <c r="AB331" s="1070"/>
      <c r="AC331" s="1070"/>
      <c r="AD331" s="1070"/>
      <c r="AE331" s="1070"/>
      <c r="AF331" s="1070"/>
      <c r="AG331" s="1070"/>
      <c r="AH331" s="1070"/>
      <c r="AI331" s="1070"/>
      <c r="AJ331" s="1070"/>
      <c r="AK331" s="1070"/>
      <c r="AL331" s="1070"/>
      <c r="AM331" s="1070"/>
      <c r="AN331" s="1070"/>
      <c r="AO331" s="1070"/>
      <c r="AP331" s="1144" t="s">
        <v>725</v>
      </c>
      <c r="AQ331" s="1145"/>
      <c r="AR331" s="2017">
        <f>Q44</f>
        <v>0</v>
      </c>
      <c r="AS331" s="1216"/>
      <c r="AT331" s="1215"/>
      <c r="AU331" s="2017">
        <f>R44</f>
        <v>0</v>
      </c>
      <c r="AV331" s="1146"/>
      <c r="AW331" s="1070"/>
      <c r="AX331" s="1070"/>
      <c r="AY331" s="1070"/>
      <c r="AZ331" s="1070"/>
      <c r="BA331" s="1070"/>
      <c r="BB331" s="1070"/>
      <c r="BC331" s="1070"/>
      <c r="BD331" s="1070"/>
      <c r="BE331" s="1070"/>
      <c r="BF331" s="1070"/>
      <c r="BG331" s="1070"/>
      <c r="BH331" s="1070"/>
      <c r="BI331" s="1070"/>
      <c r="BJ331" s="1070"/>
      <c r="BK331" s="1070"/>
      <c r="BL331" s="1070"/>
      <c r="BM331" s="1070"/>
      <c r="BN331" s="1070"/>
      <c r="BO331" s="1070"/>
      <c r="BP331" s="1070"/>
      <c r="BQ331" s="1070"/>
      <c r="BR331" s="1070"/>
      <c r="BS331" s="1070"/>
      <c r="BT331" s="1070"/>
      <c r="BU331" s="1070"/>
      <c r="BV331" s="1070"/>
    </row>
    <row r="332" spans="1:74" outlineLevel="1" x14ac:dyDescent="0.3">
      <c r="A332" s="1070"/>
      <c r="B332" s="1070"/>
      <c r="C332" s="1070"/>
      <c r="D332" s="1070"/>
      <c r="E332" s="1070"/>
      <c r="F332" s="1070"/>
      <c r="G332" s="1070"/>
      <c r="H332" s="1070"/>
      <c r="I332" s="1070"/>
      <c r="J332" s="1070"/>
      <c r="K332" s="1070"/>
      <c r="L332" s="1070"/>
      <c r="M332" s="1070"/>
      <c r="N332" s="1070"/>
      <c r="O332" s="1070"/>
      <c r="P332" s="1070"/>
      <c r="Q332" s="1070"/>
      <c r="R332" s="1070"/>
      <c r="S332" s="1070"/>
      <c r="T332" s="1070"/>
      <c r="U332" s="1070"/>
      <c r="V332" s="1070"/>
      <c r="W332" s="1070"/>
      <c r="X332" s="1070"/>
      <c r="Y332" s="1070"/>
      <c r="Z332" s="1070"/>
      <c r="AA332" s="1070"/>
      <c r="AB332" s="1070"/>
      <c r="AC332" s="1070"/>
      <c r="AD332" s="1070"/>
      <c r="AE332" s="1070"/>
      <c r="AF332" s="1070"/>
      <c r="AG332" s="1070"/>
      <c r="AH332" s="1070"/>
      <c r="AI332" s="1070"/>
      <c r="AJ332" s="1070"/>
      <c r="AK332" s="1070"/>
      <c r="AL332" s="1070"/>
      <c r="AM332" s="1070"/>
      <c r="AN332" s="1070"/>
      <c r="AO332" s="1070"/>
      <c r="AP332" s="1070"/>
      <c r="AQ332" s="1070"/>
      <c r="AR332" s="1082"/>
      <c r="AS332" s="1082"/>
      <c r="AT332" s="1082"/>
      <c r="AU332" s="1082"/>
      <c r="AV332" s="1070"/>
      <c r="AW332" s="1070"/>
      <c r="AX332" s="1070"/>
      <c r="AY332" s="1070"/>
      <c r="AZ332" s="1070"/>
      <c r="BA332" s="1070"/>
      <c r="BB332" s="1070"/>
      <c r="BC332" s="1070"/>
      <c r="BD332" s="1070"/>
      <c r="BE332" s="1070"/>
      <c r="BF332" s="1070"/>
      <c r="BG332" s="1070"/>
      <c r="BH332" s="1070"/>
      <c r="BI332" s="1070"/>
      <c r="BJ332" s="1070"/>
      <c r="BK332" s="1070"/>
      <c r="BL332" s="1070"/>
      <c r="BM332" s="1070"/>
      <c r="BN332" s="1070"/>
      <c r="BO332" s="1070"/>
      <c r="BP332" s="1070"/>
      <c r="BQ332" s="1070"/>
      <c r="BR332" s="1070"/>
      <c r="BS332" s="1070"/>
      <c r="BT332" s="1070"/>
      <c r="BU332" s="1070"/>
      <c r="BV332" s="1070"/>
    </row>
    <row r="333" spans="1:74" outlineLevel="1" x14ac:dyDescent="0.3">
      <c r="A333" s="1070"/>
      <c r="B333" s="1070"/>
      <c r="C333" s="1070"/>
      <c r="D333" s="1070"/>
      <c r="E333" s="1070"/>
      <c r="F333" s="1070"/>
      <c r="G333" s="1070"/>
      <c r="H333" s="1070"/>
      <c r="I333" s="1070"/>
      <c r="J333" s="1070"/>
      <c r="K333" s="1070"/>
      <c r="L333" s="1070"/>
      <c r="M333" s="1070"/>
      <c r="N333" s="1070"/>
      <c r="O333" s="1070"/>
      <c r="P333" s="1070"/>
      <c r="Q333" s="1070"/>
      <c r="R333" s="1070"/>
      <c r="S333" s="1070"/>
      <c r="T333" s="1070"/>
      <c r="U333" s="1070"/>
      <c r="V333" s="1070"/>
      <c r="W333" s="1070"/>
      <c r="X333" s="1070"/>
      <c r="Y333" s="1070"/>
      <c r="Z333" s="1070"/>
      <c r="AA333" s="1070"/>
      <c r="AB333" s="1070"/>
      <c r="AC333" s="1070"/>
      <c r="AD333" s="1070"/>
      <c r="AE333" s="1070"/>
      <c r="AF333" s="1070"/>
      <c r="AG333" s="1070"/>
      <c r="AH333" s="1070"/>
      <c r="AI333" s="1070"/>
      <c r="AJ333" s="1070"/>
      <c r="AK333" s="1070"/>
      <c r="AL333" s="1070"/>
      <c r="AM333" s="1070"/>
      <c r="AN333" s="1070"/>
      <c r="AO333" s="1070"/>
      <c r="AP333" s="1070"/>
      <c r="AQ333" s="1070"/>
      <c r="AR333" s="1070"/>
      <c r="AS333" s="1070"/>
      <c r="AT333" s="1070"/>
      <c r="AU333" s="1070"/>
      <c r="AV333" s="1070"/>
      <c r="AW333" s="1070"/>
      <c r="AX333" s="1070"/>
      <c r="AY333" s="1070"/>
      <c r="AZ333" s="1070"/>
      <c r="BA333" s="1070"/>
      <c r="BB333" s="1070"/>
      <c r="BC333" s="1070"/>
      <c r="BD333" s="1070"/>
      <c r="BE333" s="1070"/>
      <c r="BF333" s="1070"/>
      <c r="BG333" s="1070"/>
      <c r="BH333" s="1070"/>
      <c r="BI333" s="1070"/>
      <c r="BJ333" s="1070"/>
      <c r="BK333" s="1070"/>
      <c r="BL333" s="1070"/>
      <c r="BM333" s="1070"/>
      <c r="BN333" s="1070"/>
      <c r="BO333" s="1070"/>
      <c r="BP333" s="1070"/>
      <c r="BQ333" s="1070"/>
      <c r="BR333" s="1070"/>
      <c r="BS333" s="1070"/>
      <c r="BT333" s="1070"/>
      <c r="BU333" s="1070"/>
      <c r="BV333" s="1070"/>
    </row>
    <row r="334" spans="1:74" outlineLevel="1" x14ac:dyDescent="0.3">
      <c r="A334" s="1070"/>
      <c r="B334" s="1070"/>
      <c r="C334" s="1070"/>
      <c r="D334" s="1070"/>
      <c r="E334" s="1070"/>
      <c r="F334" s="1070"/>
      <c r="G334" s="1070"/>
      <c r="H334" s="1070"/>
      <c r="I334" s="1070"/>
      <c r="J334" s="1070"/>
      <c r="K334" s="1070"/>
      <c r="L334" s="1070"/>
      <c r="M334" s="1070"/>
      <c r="N334" s="1070"/>
      <c r="O334" s="1070"/>
      <c r="P334" s="1070"/>
      <c r="Q334" s="1070"/>
      <c r="R334" s="1070"/>
      <c r="S334" s="1070"/>
      <c r="T334" s="1070"/>
      <c r="U334" s="1070"/>
      <c r="V334" s="1070"/>
      <c r="W334" s="1070"/>
      <c r="X334" s="1070"/>
      <c r="Y334" s="1070"/>
      <c r="Z334" s="1070"/>
      <c r="AA334" s="1070"/>
      <c r="AB334" s="1070"/>
      <c r="AC334" s="1070"/>
      <c r="AD334" s="1070"/>
      <c r="AE334" s="1070"/>
      <c r="AF334" s="1070"/>
      <c r="AG334" s="1070"/>
      <c r="AH334" s="1070"/>
      <c r="AI334" s="1070"/>
      <c r="AJ334" s="1070"/>
      <c r="AK334" s="1070"/>
      <c r="AL334" s="1070"/>
      <c r="AM334" s="1070"/>
      <c r="AN334" s="1070"/>
      <c r="AO334" s="1070"/>
      <c r="AP334" s="1070"/>
      <c r="AQ334" s="1070"/>
      <c r="AR334" s="1070"/>
      <c r="AS334" s="1070"/>
      <c r="AT334" s="1070"/>
      <c r="AU334" s="1070"/>
      <c r="AV334" s="1070"/>
      <c r="AW334" s="1070"/>
      <c r="AX334" s="1070"/>
      <c r="AY334" s="1070"/>
      <c r="AZ334" s="1070"/>
      <c r="BA334" s="1070"/>
      <c r="BB334" s="1070"/>
      <c r="BC334" s="1070"/>
      <c r="BD334" s="1070"/>
      <c r="BE334" s="1070"/>
      <c r="BF334" s="1070"/>
      <c r="BG334" s="1070"/>
      <c r="BH334" s="1070"/>
      <c r="BI334" s="1070"/>
      <c r="BJ334" s="1070"/>
      <c r="BK334" s="1070"/>
      <c r="BL334" s="1070"/>
      <c r="BM334" s="1070"/>
      <c r="BN334" s="1070"/>
      <c r="BO334" s="1070"/>
      <c r="BP334" s="1070"/>
      <c r="BQ334" s="1070"/>
      <c r="BR334" s="1070"/>
      <c r="BS334" s="1070"/>
      <c r="BT334" s="1070"/>
      <c r="BU334" s="1070"/>
      <c r="BV334" s="1070"/>
    </row>
    <row r="335" spans="1:74" ht="15" outlineLevel="1" thickBot="1" x14ac:dyDescent="0.35">
      <c r="A335" s="1070"/>
      <c r="B335" s="1070"/>
      <c r="C335" s="1070"/>
      <c r="D335" s="1070"/>
      <c r="E335" s="1070"/>
      <c r="F335" s="1070"/>
      <c r="G335" s="1070"/>
      <c r="H335" s="1070"/>
      <c r="I335" s="1070"/>
      <c r="J335" s="1070"/>
      <c r="K335" s="1070"/>
      <c r="L335" s="1070"/>
      <c r="M335" s="1070"/>
      <c r="N335" s="1070"/>
      <c r="O335" s="1070"/>
      <c r="P335" s="1070"/>
      <c r="Q335" s="1070"/>
      <c r="R335" s="1070"/>
      <c r="S335" s="1070"/>
      <c r="T335" s="1070"/>
      <c r="U335" s="1070"/>
      <c r="V335" s="1070"/>
      <c r="W335" s="1070"/>
      <c r="X335" s="1070"/>
      <c r="Y335" s="1070"/>
      <c r="Z335" s="1070"/>
      <c r="AA335" s="1070"/>
      <c r="AB335" s="1070"/>
      <c r="AC335" s="1070"/>
      <c r="AD335" s="1070"/>
      <c r="AE335" s="1070"/>
      <c r="AF335" s="1070"/>
      <c r="AG335" s="1070"/>
      <c r="AH335" s="1070"/>
      <c r="AI335" s="1070"/>
      <c r="AJ335" s="1070"/>
      <c r="AK335" s="1070"/>
      <c r="AL335" s="1070"/>
      <c r="AM335" s="1070"/>
      <c r="AN335" s="1070"/>
      <c r="AO335" s="1070"/>
      <c r="AP335" s="1070"/>
      <c r="AQ335" s="1070"/>
      <c r="AR335" s="1070"/>
      <c r="AS335" s="1070"/>
      <c r="AT335" s="1070"/>
      <c r="AU335" s="1070"/>
      <c r="AV335" s="1070"/>
      <c r="AW335" s="1070"/>
      <c r="AX335" s="1070"/>
      <c r="AY335" s="1070"/>
      <c r="AZ335" s="1070"/>
      <c r="BA335" s="1070"/>
      <c r="BB335" s="1070"/>
      <c r="BC335" s="1070"/>
      <c r="BD335" s="1070"/>
      <c r="BE335" s="1070"/>
      <c r="BF335" s="1070"/>
      <c r="BG335" s="1070"/>
      <c r="BH335" s="1070"/>
      <c r="BI335" s="1070"/>
      <c r="BJ335" s="1070"/>
      <c r="BK335" s="1070"/>
      <c r="BL335" s="1070"/>
      <c r="BM335" s="1070"/>
      <c r="BN335" s="1070"/>
      <c r="BO335" s="1070"/>
      <c r="BP335" s="1070"/>
      <c r="BQ335" s="1070"/>
      <c r="BR335" s="1070"/>
      <c r="BS335" s="1070"/>
      <c r="BT335" s="1070"/>
      <c r="BU335" s="1070"/>
      <c r="BV335" s="1070"/>
    </row>
    <row r="336" spans="1:74" outlineLevel="1" x14ac:dyDescent="0.3">
      <c r="A336" s="1517"/>
      <c r="B336" s="1518" t="s">
        <v>1496</v>
      </c>
      <c r="C336" s="1519"/>
      <c r="D336" s="1520"/>
      <c r="E336" s="1521"/>
      <c r="F336" s="1522"/>
      <c r="G336" s="1523"/>
      <c r="H336" s="1523"/>
      <c r="I336" s="1523"/>
      <c r="J336" s="1523"/>
      <c r="K336" s="1523"/>
      <c r="L336" s="1523"/>
      <c r="M336" s="1523"/>
      <c r="N336" s="1522"/>
      <c r="O336" s="1522"/>
      <c r="P336" s="1522"/>
      <c r="Q336" s="1522"/>
      <c r="R336" s="1522"/>
      <c r="S336" s="1522"/>
      <c r="T336" s="1522"/>
      <c r="U336" s="1522"/>
      <c r="V336" s="1522"/>
      <c r="W336" s="1522"/>
      <c r="X336" s="1522"/>
      <c r="Y336" s="1522"/>
      <c r="Z336" s="1522"/>
      <c r="AA336" s="1522"/>
      <c r="AB336" s="1522"/>
      <c r="AC336" s="1522"/>
      <c r="AD336" s="1522"/>
      <c r="AE336" s="1522"/>
      <c r="AF336" s="1522"/>
      <c r="AG336" s="1522"/>
      <c r="AH336" s="1522"/>
      <c r="AI336" s="1522"/>
      <c r="AJ336" s="1472"/>
      <c r="AK336" s="1472"/>
      <c r="AL336" s="1472"/>
      <c r="AM336" s="1472"/>
      <c r="AN336" s="1472"/>
      <c r="AO336" s="1525"/>
      <c r="AP336" s="1472"/>
      <c r="AQ336" s="1472"/>
      <c r="AR336" s="1472"/>
      <c r="AS336" s="1472"/>
      <c r="AT336" s="1472"/>
      <c r="AU336" s="1472"/>
      <c r="AV336" s="1472"/>
      <c r="AW336" s="1472"/>
      <c r="AX336" s="1472"/>
      <c r="AY336" s="1472"/>
      <c r="AZ336" s="1472"/>
      <c r="BA336" s="1472"/>
      <c r="BB336" s="1472"/>
      <c r="BC336" s="1472"/>
      <c r="BD336" s="1472"/>
      <c r="BE336" s="1472"/>
      <c r="BF336" s="1472"/>
      <c r="BG336" s="1472"/>
      <c r="BH336" s="1472"/>
      <c r="BI336" s="1472"/>
      <c r="BJ336" s="1472"/>
      <c r="BK336" s="1472"/>
      <c r="BL336" s="1472"/>
      <c r="BM336" s="1472"/>
      <c r="BN336" s="1472"/>
      <c r="BO336" s="1472"/>
      <c r="BP336" s="1472"/>
      <c r="BQ336" s="1472"/>
      <c r="BR336" s="1472"/>
      <c r="BS336" s="1472"/>
      <c r="BT336" s="1472"/>
      <c r="BU336" s="1473"/>
      <c r="BV336" s="1070"/>
    </row>
    <row r="337" spans="1:76" outlineLevel="1" x14ac:dyDescent="0.3">
      <c r="A337" s="1527"/>
      <c r="B337" s="1142"/>
      <c r="C337" s="1142"/>
      <c r="D337" s="1352"/>
      <c r="E337" s="1528"/>
      <c r="F337" s="1529"/>
      <c r="G337" s="1530"/>
      <c r="H337" s="1530"/>
      <c r="I337" s="1530"/>
      <c r="J337" s="1530"/>
      <c r="K337" s="1530"/>
      <c r="L337" s="1530"/>
      <c r="M337" s="1530"/>
      <c r="N337" s="1529"/>
      <c r="O337" s="1529"/>
      <c r="P337" s="2018"/>
      <c r="Q337" s="1529"/>
      <c r="R337" s="1529"/>
      <c r="S337" s="1529"/>
      <c r="T337" s="1529"/>
      <c r="U337" s="1529"/>
      <c r="V337" s="1529"/>
      <c r="W337" s="1529"/>
      <c r="X337" s="1529"/>
      <c r="Y337" s="1529"/>
      <c r="Z337" s="1529"/>
      <c r="AA337" s="1529"/>
      <c r="AB337" s="1529"/>
      <c r="AC337" s="1529"/>
      <c r="AD337" s="1529"/>
      <c r="AE337" s="1529"/>
      <c r="AF337" s="1529"/>
      <c r="AG337" s="1529"/>
      <c r="AH337" s="1529"/>
      <c r="AI337" s="1529"/>
      <c r="AJ337" s="1142"/>
      <c r="AK337" s="1142"/>
      <c r="AL337" s="1142"/>
      <c r="AM337" s="1142"/>
      <c r="AN337" s="1142"/>
      <c r="AO337" s="1149"/>
      <c r="AP337" s="1142"/>
      <c r="AQ337" s="1142"/>
      <c r="AR337" s="1142"/>
      <c r="AS337" s="1142"/>
      <c r="AT337" s="1142"/>
      <c r="AU337" s="1142"/>
      <c r="AV337" s="1142"/>
      <c r="AW337" s="1142"/>
      <c r="AX337" s="1142"/>
      <c r="AY337" s="1142"/>
      <c r="AZ337" s="1142"/>
      <c r="BA337" s="1142"/>
      <c r="BB337" s="1142"/>
      <c r="BC337" s="1142"/>
      <c r="BD337" s="1142"/>
      <c r="BE337" s="1142"/>
      <c r="BF337" s="1142"/>
      <c r="BG337" s="1142"/>
      <c r="BH337" s="1142"/>
      <c r="BI337" s="1142"/>
      <c r="BJ337" s="1142"/>
      <c r="BK337" s="1142"/>
      <c r="BL337" s="1142"/>
      <c r="BM337" s="1142"/>
      <c r="BN337" s="1142"/>
      <c r="BO337" s="1142"/>
      <c r="BP337" s="1142"/>
      <c r="BQ337" s="1142"/>
      <c r="BR337" s="1142"/>
      <c r="BS337" s="1142"/>
      <c r="BT337" s="1142"/>
      <c r="BU337" s="1478"/>
      <c r="BV337" s="1070"/>
    </row>
    <row r="338" spans="1:76" hidden="1" outlineLevel="2" x14ac:dyDescent="0.3">
      <c r="A338" s="1527"/>
      <c r="B338" s="1479" t="s">
        <v>1497</v>
      </c>
      <c r="C338" s="1159"/>
      <c r="D338" s="1322"/>
      <c r="E338" s="1323"/>
      <c r="F338" s="1534"/>
      <c r="G338" s="1534" t="s">
        <v>1363</v>
      </c>
      <c r="H338" s="1534" t="s">
        <v>1364</v>
      </c>
      <c r="I338" s="1533"/>
      <c r="J338" s="1533"/>
      <c r="K338" s="1533"/>
      <c r="L338" s="1533"/>
      <c r="M338" s="1533"/>
      <c r="N338" s="1535"/>
      <c r="O338" s="1535"/>
      <c r="P338" s="1535"/>
      <c r="Q338" s="1535"/>
      <c r="R338" s="1535"/>
      <c r="S338" s="1535"/>
      <c r="T338" s="1535"/>
      <c r="U338" s="1535"/>
      <c r="V338" s="1535"/>
      <c r="W338" s="1535"/>
      <c r="X338" s="1535"/>
      <c r="Y338" s="1535"/>
      <c r="Z338" s="1535"/>
      <c r="AA338" s="1535"/>
      <c r="AB338" s="1535"/>
      <c r="AC338" s="1535"/>
      <c r="AD338" s="1535"/>
      <c r="AE338" s="1535"/>
      <c r="AF338" s="1535"/>
      <c r="AG338" s="1535"/>
      <c r="AH338" s="1535"/>
      <c r="AI338" s="1535"/>
      <c r="AJ338" s="1186"/>
      <c r="AK338" s="1142"/>
      <c r="AL338" s="1142"/>
      <c r="AM338" s="1142"/>
      <c r="AN338" s="1142"/>
      <c r="AO338" s="1149"/>
      <c r="AP338" s="1142"/>
      <c r="AQ338" s="1479" t="s">
        <v>1498</v>
      </c>
      <c r="AR338" s="2019"/>
      <c r="AS338" s="2019"/>
      <c r="AT338" s="2019"/>
      <c r="AU338" s="2019"/>
      <c r="AV338" s="2019"/>
      <c r="AW338" s="2019"/>
      <c r="AX338" s="2020"/>
      <c r="AY338" s="2020"/>
      <c r="AZ338" s="2020"/>
      <c r="BA338" s="2020"/>
      <c r="BB338" s="2020"/>
      <c r="BC338" s="2020"/>
      <c r="BD338" s="2020"/>
      <c r="BE338" s="2020"/>
      <c r="BF338" s="2020"/>
      <c r="BG338" s="2020"/>
      <c r="BH338" s="2020"/>
      <c r="BI338" s="2020"/>
      <c r="BJ338" s="2020"/>
      <c r="BK338" s="2020"/>
      <c r="BL338" s="2020"/>
      <c r="BM338" s="2020"/>
      <c r="BN338" s="2020"/>
      <c r="BO338" s="2020"/>
      <c r="BP338" s="2020"/>
      <c r="BQ338" s="2020"/>
      <c r="BR338" s="2020"/>
      <c r="BS338" s="2020"/>
      <c r="BT338" s="1412"/>
      <c r="BU338" s="1550"/>
      <c r="BV338" s="1070"/>
    </row>
    <row r="339" spans="1:76" hidden="1" outlineLevel="2" x14ac:dyDescent="0.3">
      <c r="A339" s="1527"/>
      <c r="B339" s="1149"/>
      <c r="C339" s="1536"/>
      <c r="D339" s="1352"/>
      <c r="E339" s="1528"/>
      <c r="F339" s="1070"/>
      <c r="G339" s="2021">
        <f>G316</f>
        <v>18</v>
      </c>
      <c r="H339" s="1539">
        <f t="shared" ref="H339:AI339" si="47">H316</f>
        <v>19</v>
      </c>
      <c r="I339" s="1539">
        <f t="shared" si="47"/>
        <v>20</v>
      </c>
      <c r="J339" s="1539">
        <f t="shared" si="47"/>
        <v>21</v>
      </c>
      <c r="K339" s="1539">
        <f t="shared" si="47"/>
        <v>22</v>
      </c>
      <c r="L339" s="1539">
        <f t="shared" si="47"/>
        <v>23</v>
      </c>
      <c r="M339" s="1539">
        <f t="shared" si="47"/>
        <v>24</v>
      </c>
      <c r="N339" s="1539">
        <f t="shared" si="47"/>
        <v>25</v>
      </c>
      <c r="O339" s="1539">
        <f t="shared" si="47"/>
        <v>26</v>
      </c>
      <c r="P339" s="1539">
        <f t="shared" si="47"/>
        <v>27</v>
      </c>
      <c r="Q339" s="1539">
        <f t="shared" si="47"/>
        <v>28</v>
      </c>
      <c r="R339" s="1539">
        <f t="shared" si="47"/>
        <v>29</v>
      </c>
      <c r="S339" s="1539">
        <f t="shared" si="47"/>
        <v>30</v>
      </c>
      <c r="T339" s="1539">
        <f t="shared" si="47"/>
        <v>31</v>
      </c>
      <c r="U339" s="1539">
        <f t="shared" si="47"/>
        <v>32</v>
      </c>
      <c r="V339" s="1539">
        <f t="shared" si="47"/>
        <v>33</v>
      </c>
      <c r="W339" s="1539">
        <f t="shared" si="47"/>
        <v>34</v>
      </c>
      <c r="X339" s="1539">
        <f t="shared" si="47"/>
        <v>35</v>
      </c>
      <c r="Y339" s="1539">
        <f t="shared" si="47"/>
        <v>36</v>
      </c>
      <c r="Z339" s="1539">
        <f t="shared" si="47"/>
        <v>37</v>
      </c>
      <c r="AA339" s="1539">
        <f t="shared" si="47"/>
        <v>38</v>
      </c>
      <c r="AB339" s="1539">
        <f t="shared" si="47"/>
        <v>39</v>
      </c>
      <c r="AC339" s="1539">
        <f t="shared" si="47"/>
        <v>40</v>
      </c>
      <c r="AD339" s="1539">
        <f t="shared" si="47"/>
        <v>41</v>
      </c>
      <c r="AE339" s="1539">
        <f t="shared" si="47"/>
        <v>42</v>
      </c>
      <c r="AF339" s="1539">
        <f t="shared" si="47"/>
        <v>43</v>
      </c>
      <c r="AG339" s="1539">
        <f t="shared" si="47"/>
        <v>44</v>
      </c>
      <c r="AH339" s="1539">
        <f t="shared" si="47"/>
        <v>45</v>
      </c>
      <c r="AI339" s="1540">
        <f t="shared" si="47"/>
        <v>46</v>
      </c>
      <c r="AJ339" s="1541" t="e">
        <f>"FY"&amp;DefExitFY&amp;"-"&amp;DefExitFY+9</f>
        <v>#VALUE!</v>
      </c>
      <c r="AK339" s="1116"/>
      <c r="AL339" s="1142"/>
      <c r="AM339" s="1142"/>
      <c r="AN339" s="1142"/>
      <c r="AO339" s="1149"/>
      <c r="AP339" s="1142"/>
      <c r="AQ339" s="2022">
        <f>AQ316</f>
        <v>0</v>
      </c>
      <c r="AR339" s="2023">
        <f t="shared" ref="AR339:BS339" si="48">AR316</f>
        <v>0</v>
      </c>
      <c r="AS339" s="2023">
        <f t="shared" si="48"/>
        <v>0</v>
      </c>
      <c r="AT339" s="2023">
        <f t="shared" si="48"/>
        <v>0</v>
      </c>
      <c r="AU339" s="2023">
        <f t="shared" si="48"/>
        <v>0</v>
      </c>
      <c r="AV339" s="2023">
        <f t="shared" si="48"/>
        <v>0</v>
      </c>
      <c r="AW339" s="2023">
        <f t="shared" si="48"/>
        <v>0</v>
      </c>
      <c r="AX339" s="2023">
        <f t="shared" si="48"/>
        <v>0</v>
      </c>
      <c r="AY339" s="2023">
        <f t="shared" si="48"/>
        <v>0</v>
      </c>
      <c r="AZ339" s="2023">
        <f t="shared" si="48"/>
        <v>0</v>
      </c>
      <c r="BA339" s="2023">
        <f t="shared" si="48"/>
        <v>0</v>
      </c>
      <c r="BB339" s="2023">
        <f t="shared" si="48"/>
        <v>0</v>
      </c>
      <c r="BC339" s="2023">
        <f t="shared" si="48"/>
        <v>0</v>
      </c>
      <c r="BD339" s="2023">
        <f t="shared" si="48"/>
        <v>0</v>
      </c>
      <c r="BE339" s="2023">
        <f t="shared" si="48"/>
        <v>0</v>
      </c>
      <c r="BF339" s="2023">
        <f t="shared" si="48"/>
        <v>0</v>
      </c>
      <c r="BG339" s="2023">
        <f t="shared" si="48"/>
        <v>0</v>
      </c>
      <c r="BH339" s="2023">
        <f t="shared" si="48"/>
        <v>0</v>
      </c>
      <c r="BI339" s="2023">
        <f t="shared" si="48"/>
        <v>0</v>
      </c>
      <c r="BJ339" s="2023">
        <f t="shared" si="48"/>
        <v>0</v>
      </c>
      <c r="BK339" s="2023">
        <f t="shared" si="48"/>
        <v>0</v>
      </c>
      <c r="BL339" s="2023">
        <f t="shared" si="48"/>
        <v>0</v>
      </c>
      <c r="BM339" s="2023">
        <f t="shared" si="48"/>
        <v>0</v>
      </c>
      <c r="BN339" s="2023">
        <f t="shared" si="48"/>
        <v>0</v>
      </c>
      <c r="BO339" s="2023">
        <f t="shared" si="48"/>
        <v>0</v>
      </c>
      <c r="BP339" s="2023">
        <f t="shared" si="48"/>
        <v>0</v>
      </c>
      <c r="BQ339" s="2023">
        <f t="shared" si="48"/>
        <v>0</v>
      </c>
      <c r="BR339" s="2023">
        <f t="shared" si="48"/>
        <v>0</v>
      </c>
      <c r="BS339" s="2024">
        <f t="shared" si="48"/>
        <v>0</v>
      </c>
      <c r="BT339" s="1541" t="e">
        <f>"FY"&amp;DefExitFY&amp;"-"&amp;DefExitFY+14</f>
        <v>#VALUE!</v>
      </c>
      <c r="BU339" s="1550"/>
      <c r="BV339" s="1070"/>
    </row>
    <row r="340" spans="1:76" hidden="1" outlineLevel="2" x14ac:dyDescent="0.3">
      <c r="A340" s="1527"/>
      <c r="B340" s="1207" t="s">
        <v>690</v>
      </c>
      <c r="C340" s="1536"/>
      <c r="D340" s="1352"/>
      <c r="E340" s="1528"/>
      <c r="F340" s="1544"/>
      <c r="G340" s="1545" t="e">
        <f t="shared" ref="G340:AI340" si="49">-IF(AND(G352=1,G353=1),(G360/(1+DiscRDEOrig)^G$355)-(G361/(1+DiscRDEOrig)^G$355),0)</f>
        <v>#VALUE!</v>
      </c>
      <c r="H340" s="1546" t="e">
        <f t="shared" si="49"/>
        <v>#VALUE!</v>
      </c>
      <c r="I340" s="1546" t="e">
        <f t="shared" si="49"/>
        <v>#VALUE!</v>
      </c>
      <c r="J340" s="1546" t="e">
        <f t="shared" si="49"/>
        <v>#VALUE!</v>
      </c>
      <c r="K340" s="1546" t="e">
        <f t="shared" si="49"/>
        <v>#VALUE!</v>
      </c>
      <c r="L340" s="1546" t="e">
        <f t="shared" si="49"/>
        <v>#VALUE!</v>
      </c>
      <c r="M340" s="1546" t="e">
        <f t="shared" si="49"/>
        <v>#VALUE!</v>
      </c>
      <c r="N340" s="1546" t="e">
        <f t="shared" si="49"/>
        <v>#VALUE!</v>
      </c>
      <c r="O340" s="1546" t="e">
        <f t="shared" si="49"/>
        <v>#VALUE!</v>
      </c>
      <c r="P340" s="1546" t="e">
        <f t="shared" si="49"/>
        <v>#VALUE!</v>
      </c>
      <c r="Q340" s="1546" t="e">
        <f t="shared" si="49"/>
        <v>#VALUE!</v>
      </c>
      <c r="R340" s="1546" t="e">
        <f t="shared" si="49"/>
        <v>#VALUE!</v>
      </c>
      <c r="S340" s="1546" t="e">
        <f t="shared" si="49"/>
        <v>#VALUE!</v>
      </c>
      <c r="T340" s="1546" t="e">
        <f t="shared" si="49"/>
        <v>#VALUE!</v>
      </c>
      <c r="U340" s="1546" t="e">
        <f t="shared" si="49"/>
        <v>#VALUE!</v>
      </c>
      <c r="V340" s="1546" t="e">
        <f t="shared" si="49"/>
        <v>#VALUE!</v>
      </c>
      <c r="W340" s="1546" t="e">
        <f t="shared" si="49"/>
        <v>#VALUE!</v>
      </c>
      <c r="X340" s="1546" t="e">
        <f t="shared" si="49"/>
        <v>#VALUE!</v>
      </c>
      <c r="Y340" s="1546" t="e">
        <f t="shared" si="49"/>
        <v>#VALUE!</v>
      </c>
      <c r="Z340" s="1546" t="e">
        <f t="shared" si="49"/>
        <v>#VALUE!</v>
      </c>
      <c r="AA340" s="1546" t="e">
        <f t="shared" si="49"/>
        <v>#VALUE!</v>
      </c>
      <c r="AB340" s="1546" t="e">
        <f t="shared" si="49"/>
        <v>#VALUE!</v>
      </c>
      <c r="AC340" s="1546" t="e">
        <f t="shared" si="49"/>
        <v>#VALUE!</v>
      </c>
      <c r="AD340" s="1546" t="e">
        <f t="shared" si="49"/>
        <v>#VALUE!</v>
      </c>
      <c r="AE340" s="1546" t="e">
        <f t="shared" si="49"/>
        <v>#VALUE!</v>
      </c>
      <c r="AF340" s="1546" t="e">
        <f t="shared" si="49"/>
        <v>#VALUE!</v>
      </c>
      <c r="AG340" s="1546" t="e">
        <f t="shared" si="49"/>
        <v>#VALUE!</v>
      </c>
      <c r="AH340" s="1546" t="e">
        <f t="shared" si="49"/>
        <v>#VALUE!</v>
      </c>
      <c r="AI340" s="1546" t="e">
        <f t="shared" si="49"/>
        <v>#VALUE!</v>
      </c>
      <c r="AJ340" s="1547">
        <f t="shared" ref="AJ340:AJ349" si="50">SUMIF($G$354:$AI$354,TRUE,G340:AI340)</f>
        <v>0</v>
      </c>
      <c r="AK340" s="2025"/>
      <c r="AL340" s="1142"/>
      <c r="AM340" s="1604"/>
      <c r="AN340" s="1604"/>
      <c r="AO340" s="1149"/>
      <c r="AP340" s="1142"/>
      <c r="AQ340" s="1548" t="e">
        <f t="shared" ref="AQ340:BS340" si="51">-IF(AND(G352=1,G353=1),(G360/(1+DiscRDEOrig)^G$355)-(G361/(1+DiscRDEOrig)^G$355),0)</f>
        <v>#VALUE!</v>
      </c>
      <c r="AR340" s="1546" t="e">
        <f t="shared" si="51"/>
        <v>#VALUE!</v>
      </c>
      <c r="AS340" s="1546" t="e">
        <f t="shared" si="51"/>
        <v>#VALUE!</v>
      </c>
      <c r="AT340" s="1546" t="e">
        <f t="shared" si="51"/>
        <v>#VALUE!</v>
      </c>
      <c r="AU340" s="1546" t="e">
        <f t="shared" si="51"/>
        <v>#VALUE!</v>
      </c>
      <c r="AV340" s="1546" t="e">
        <f t="shared" si="51"/>
        <v>#VALUE!</v>
      </c>
      <c r="AW340" s="1546" t="e">
        <f t="shared" si="51"/>
        <v>#VALUE!</v>
      </c>
      <c r="AX340" s="1546" t="e">
        <f t="shared" si="51"/>
        <v>#VALUE!</v>
      </c>
      <c r="AY340" s="1546" t="e">
        <f t="shared" si="51"/>
        <v>#VALUE!</v>
      </c>
      <c r="AZ340" s="1546" t="e">
        <f t="shared" si="51"/>
        <v>#VALUE!</v>
      </c>
      <c r="BA340" s="1546" t="e">
        <f t="shared" si="51"/>
        <v>#VALUE!</v>
      </c>
      <c r="BB340" s="1546" t="e">
        <f t="shared" si="51"/>
        <v>#VALUE!</v>
      </c>
      <c r="BC340" s="1546" t="e">
        <f t="shared" si="51"/>
        <v>#VALUE!</v>
      </c>
      <c r="BD340" s="1546" t="e">
        <f t="shared" si="51"/>
        <v>#VALUE!</v>
      </c>
      <c r="BE340" s="1546" t="e">
        <f t="shared" si="51"/>
        <v>#VALUE!</v>
      </c>
      <c r="BF340" s="1546" t="e">
        <f t="shared" si="51"/>
        <v>#VALUE!</v>
      </c>
      <c r="BG340" s="1546" t="e">
        <f t="shared" si="51"/>
        <v>#VALUE!</v>
      </c>
      <c r="BH340" s="1546" t="e">
        <f t="shared" si="51"/>
        <v>#VALUE!</v>
      </c>
      <c r="BI340" s="1546" t="e">
        <f t="shared" si="51"/>
        <v>#VALUE!</v>
      </c>
      <c r="BJ340" s="1546" t="e">
        <f t="shared" si="51"/>
        <v>#VALUE!</v>
      </c>
      <c r="BK340" s="1546" t="e">
        <f t="shared" si="51"/>
        <v>#VALUE!</v>
      </c>
      <c r="BL340" s="1546" t="e">
        <f t="shared" si="51"/>
        <v>#VALUE!</v>
      </c>
      <c r="BM340" s="1546" t="e">
        <f t="shared" si="51"/>
        <v>#VALUE!</v>
      </c>
      <c r="BN340" s="1546" t="e">
        <f t="shared" si="51"/>
        <v>#VALUE!</v>
      </c>
      <c r="BO340" s="1546" t="e">
        <f t="shared" si="51"/>
        <v>#VALUE!</v>
      </c>
      <c r="BP340" s="1546" t="e">
        <f t="shared" si="51"/>
        <v>#VALUE!</v>
      </c>
      <c r="BQ340" s="1546" t="e">
        <f t="shared" si="51"/>
        <v>#VALUE!</v>
      </c>
      <c r="BR340" s="1546" t="e">
        <f t="shared" si="51"/>
        <v>#VALUE!</v>
      </c>
      <c r="BS340" s="1546" t="e">
        <f t="shared" si="51"/>
        <v>#VALUE!</v>
      </c>
      <c r="BT340" s="1547">
        <f t="shared" ref="BT340:BT346" si="52">SUMIF($AQ$354:$BS$354,TRUE,AQ340:BS340)</f>
        <v>0</v>
      </c>
      <c r="BU340" s="2026"/>
      <c r="BV340" s="1070"/>
      <c r="BW340" s="2027"/>
      <c r="BX340" s="2027"/>
    </row>
    <row r="341" spans="1:76" hidden="1" outlineLevel="2" x14ac:dyDescent="0.3">
      <c r="A341" s="1527"/>
      <c r="B341" s="1207" t="s">
        <v>446</v>
      </c>
      <c r="C341" s="1536"/>
      <c r="D341" s="1352"/>
      <c r="E341" s="1528"/>
      <c r="F341" s="1544"/>
      <c r="G341" s="1545" t="e">
        <f t="shared" ref="G341:AI341" si="53">-IF(AND(G352=1,G353=1),(G362/(1+DiscRDEOrig)^G$355)-(G363/(1+DiscRDEOrig)^G$355),0)</f>
        <v>#VALUE!</v>
      </c>
      <c r="H341" s="1546" t="e">
        <f t="shared" si="53"/>
        <v>#VALUE!</v>
      </c>
      <c r="I341" s="1546" t="e">
        <f t="shared" si="53"/>
        <v>#VALUE!</v>
      </c>
      <c r="J341" s="1546" t="e">
        <f t="shared" si="53"/>
        <v>#VALUE!</v>
      </c>
      <c r="K341" s="1546" t="e">
        <f t="shared" si="53"/>
        <v>#VALUE!</v>
      </c>
      <c r="L341" s="1546" t="e">
        <f t="shared" si="53"/>
        <v>#VALUE!</v>
      </c>
      <c r="M341" s="1546" t="e">
        <f t="shared" si="53"/>
        <v>#VALUE!</v>
      </c>
      <c r="N341" s="1546" t="e">
        <f t="shared" si="53"/>
        <v>#VALUE!</v>
      </c>
      <c r="O341" s="1546" t="e">
        <f t="shared" si="53"/>
        <v>#VALUE!</v>
      </c>
      <c r="P341" s="1546" t="e">
        <f t="shared" si="53"/>
        <v>#VALUE!</v>
      </c>
      <c r="Q341" s="1546" t="e">
        <f t="shared" si="53"/>
        <v>#VALUE!</v>
      </c>
      <c r="R341" s="1546" t="e">
        <f t="shared" si="53"/>
        <v>#VALUE!</v>
      </c>
      <c r="S341" s="1546" t="e">
        <f t="shared" si="53"/>
        <v>#VALUE!</v>
      </c>
      <c r="T341" s="1546" t="e">
        <f t="shared" si="53"/>
        <v>#VALUE!</v>
      </c>
      <c r="U341" s="1546" t="e">
        <f t="shared" si="53"/>
        <v>#VALUE!</v>
      </c>
      <c r="V341" s="1546" t="e">
        <f t="shared" si="53"/>
        <v>#VALUE!</v>
      </c>
      <c r="W341" s="1546" t="e">
        <f t="shared" si="53"/>
        <v>#VALUE!</v>
      </c>
      <c r="X341" s="1546" t="e">
        <f t="shared" si="53"/>
        <v>#VALUE!</v>
      </c>
      <c r="Y341" s="1546" t="e">
        <f t="shared" si="53"/>
        <v>#VALUE!</v>
      </c>
      <c r="Z341" s="1546" t="e">
        <f t="shared" si="53"/>
        <v>#VALUE!</v>
      </c>
      <c r="AA341" s="1546" t="e">
        <f t="shared" si="53"/>
        <v>#VALUE!</v>
      </c>
      <c r="AB341" s="1546" t="e">
        <f t="shared" si="53"/>
        <v>#VALUE!</v>
      </c>
      <c r="AC341" s="1546" t="e">
        <f t="shared" si="53"/>
        <v>#VALUE!</v>
      </c>
      <c r="AD341" s="1546" t="e">
        <f t="shared" si="53"/>
        <v>#VALUE!</v>
      </c>
      <c r="AE341" s="1546" t="e">
        <f t="shared" si="53"/>
        <v>#VALUE!</v>
      </c>
      <c r="AF341" s="1546" t="e">
        <f t="shared" si="53"/>
        <v>#VALUE!</v>
      </c>
      <c r="AG341" s="1546" t="e">
        <f t="shared" si="53"/>
        <v>#VALUE!</v>
      </c>
      <c r="AH341" s="1546" t="e">
        <f t="shared" si="53"/>
        <v>#VALUE!</v>
      </c>
      <c r="AI341" s="1546" t="e">
        <f t="shared" si="53"/>
        <v>#VALUE!</v>
      </c>
      <c r="AJ341" s="1547">
        <f t="shared" si="50"/>
        <v>0</v>
      </c>
      <c r="AK341" s="2028"/>
      <c r="AL341" s="1142"/>
      <c r="AM341" s="1604"/>
      <c r="AN341" s="1604"/>
      <c r="AO341" s="1149"/>
      <c r="AP341" s="1142"/>
      <c r="AQ341" s="1548" t="e">
        <f t="shared" ref="AQ341:BS341" si="54">-IF(AND(G352=1,G353=1),(G362/(1+DiscRDEOrig)^G$355)-(G363/(1+DiscRDEOrig)^G$355),0)</f>
        <v>#VALUE!</v>
      </c>
      <c r="AR341" s="1546" t="e">
        <f t="shared" si="54"/>
        <v>#VALUE!</v>
      </c>
      <c r="AS341" s="1546" t="e">
        <f t="shared" si="54"/>
        <v>#VALUE!</v>
      </c>
      <c r="AT341" s="1546" t="e">
        <f t="shared" si="54"/>
        <v>#VALUE!</v>
      </c>
      <c r="AU341" s="1546" t="e">
        <f t="shared" si="54"/>
        <v>#VALUE!</v>
      </c>
      <c r="AV341" s="1546" t="e">
        <f t="shared" si="54"/>
        <v>#VALUE!</v>
      </c>
      <c r="AW341" s="1546" t="e">
        <f t="shared" si="54"/>
        <v>#VALUE!</v>
      </c>
      <c r="AX341" s="1546" t="e">
        <f t="shared" si="54"/>
        <v>#VALUE!</v>
      </c>
      <c r="AY341" s="1546" t="e">
        <f t="shared" si="54"/>
        <v>#VALUE!</v>
      </c>
      <c r="AZ341" s="1546" t="e">
        <f t="shared" si="54"/>
        <v>#VALUE!</v>
      </c>
      <c r="BA341" s="1546" t="e">
        <f t="shared" si="54"/>
        <v>#VALUE!</v>
      </c>
      <c r="BB341" s="1546" t="e">
        <f t="shared" si="54"/>
        <v>#VALUE!</v>
      </c>
      <c r="BC341" s="1546" t="e">
        <f t="shared" si="54"/>
        <v>#VALUE!</v>
      </c>
      <c r="BD341" s="1546" t="e">
        <f t="shared" si="54"/>
        <v>#VALUE!</v>
      </c>
      <c r="BE341" s="1546" t="e">
        <f t="shared" si="54"/>
        <v>#VALUE!</v>
      </c>
      <c r="BF341" s="1546" t="e">
        <f t="shared" si="54"/>
        <v>#VALUE!</v>
      </c>
      <c r="BG341" s="1546" t="e">
        <f t="shared" si="54"/>
        <v>#VALUE!</v>
      </c>
      <c r="BH341" s="1546" t="e">
        <f t="shared" si="54"/>
        <v>#VALUE!</v>
      </c>
      <c r="BI341" s="1546" t="e">
        <f t="shared" si="54"/>
        <v>#VALUE!</v>
      </c>
      <c r="BJ341" s="1546" t="e">
        <f t="shared" si="54"/>
        <v>#VALUE!</v>
      </c>
      <c r="BK341" s="1546" t="e">
        <f t="shared" si="54"/>
        <v>#VALUE!</v>
      </c>
      <c r="BL341" s="1546" t="e">
        <f t="shared" si="54"/>
        <v>#VALUE!</v>
      </c>
      <c r="BM341" s="1546" t="e">
        <f t="shared" si="54"/>
        <v>#VALUE!</v>
      </c>
      <c r="BN341" s="1546" t="e">
        <f t="shared" si="54"/>
        <v>#VALUE!</v>
      </c>
      <c r="BO341" s="1546" t="e">
        <f t="shared" si="54"/>
        <v>#VALUE!</v>
      </c>
      <c r="BP341" s="1546" t="e">
        <f t="shared" si="54"/>
        <v>#VALUE!</v>
      </c>
      <c r="BQ341" s="1546" t="e">
        <f t="shared" si="54"/>
        <v>#VALUE!</v>
      </c>
      <c r="BR341" s="1546" t="e">
        <f t="shared" si="54"/>
        <v>#VALUE!</v>
      </c>
      <c r="BS341" s="1546" t="e">
        <f t="shared" si="54"/>
        <v>#VALUE!</v>
      </c>
      <c r="BT341" s="1547">
        <f t="shared" si="52"/>
        <v>0</v>
      </c>
      <c r="BU341" s="2029"/>
      <c r="BV341" s="1070"/>
      <c r="BW341" s="2027"/>
      <c r="BX341" s="2027"/>
    </row>
    <row r="342" spans="1:76" hidden="1" outlineLevel="2" x14ac:dyDescent="0.3">
      <c r="A342" s="1527"/>
      <c r="B342" s="1207" t="s">
        <v>1366</v>
      </c>
      <c r="C342" s="1536"/>
      <c r="D342" s="1352"/>
      <c r="E342" s="1528"/>
      <c r="F342" s="1544"/>
      <c r="G342" s="1545" t="e">
        <f t="shared" ref="G342:AI342" si="55">-IF(AND(G352=1,G353=1),(G364/(1+DiscRDEOrig)^G$355)-(G365/(1+DiscRDEOrig)^G$355),0)</f>
        <v>#VALUE!</v>
      </c>
      <c r="H342" s="1546" t="e">
        <f t="shared" si="55"/>
        <v>#VALUE!</v>
      </c>
      <c r="I342" s="1546" t="e">
        <f t="shared" si="55"/>
        <v>#VALUE!</v>
      </c>
      <c r="J342" s="1546" t="e">
        <f t="shared" si="55"/>
        <v>#VALUE!</v>
      </c>
      <c r="K342" s="1546" t="e">
        <f t="shared" si="55"/>
        <v>#VALUE!</v>
      </c>
      <c r="L342" s="1546" t="e">
        <f t="shared" si="55"/>
        <v>#VALUE!</v>
      </c>
      <c r="M342" s="1546" t="e">
        <f t="shared" si="55"/>
        <v>#VALUE!</v>
      </c>
      <c r="N342" s="1546" t="e">
        <f t="shared" si="55"/>
        <v>#VALUE!</v>
      </c>
      <c r="O342" s="1546" t="e">
        <f t="shared" si="55"/>
        <v>#VALUE!</v>
      </c>
      <c r="P342" s="1546" t="e">
        <f t="shared" si="55"/>
        <v>#VALUE!</v>
      </c>
      <c r="Q342" s="1546" t="e">
        <f t="shared" si="55"/>
        <v>#VALUE!</v>
      </c>
      <c r="R342" s="1546" t="e">
        <f t="shared" si="55"/>
        <v>#VALUE!</v>
      </c>
      <c r="S342" s="1546" t="e">
        <f t="shared" si="55"/>
        <v>#VALUE!</v>
      </c>
      <c r="T342" s="1546" t="e">
        <f t="shared" si="55"/>
        <v>#VALUE!</v>
      </c>
      <c r="U342" s="1546" t="e">
        <f t="shared" si="55"/>
        <v>#VALUE!</v>
      </c>
      <c r="V342" s="1546" t="e">
        <f t="shared" si="55"/>
        <v>#VALUE!</v>
      </c>
      <c r="W342" s="1546" t="e">
        <f t="shared" si="55"/>
        <v>#VALUE!</v>
      </c>
      <c r="X342" s="1546" t="e">
        <f t="shared" si="55"/>
        <v>#VALUE!</v>
      </c>
      <c r="Y342" s="1546" t="e">
        <f t="shared" si="55"/>
        <v>#VALUE!</v>
      </c>
      <c r="Z342" s="1546" t="e">
        <f t="shared" si="55"/>
        <v>#VALUE!</v>
      </c>
      <c r="AA342" s="1546" t="e">
        <f t="shared" si="55"/>
        <v>#VALUE!</v>
      </c>
      <c r="AB342" s="1546" t="e">
        <f t="shared" si="55"/>
        <v>#VALUE!</v>
      </c>
      <c r="AC342" s="1546" t="e">
        <f t="shared" si="55"/>
        <v>#VALUE!</v>
      </c>
      <c r="AD342" s="1546" t="e">
        <f t="shared" si="55"/>
        <v>#VALUE!</v>
      </c>
      <c r="AE342" s="1546" t="e">
        <f t="shared" si="55"/>
        <v>#VALUE!</v>
      </c>
      <c r="AF342" s="1546" t="e">
        <f t="shared" si="55"/>
        <v>#VALUE!</v>
      </c>
      <c r="AG342" s="1546" t="e">
        <f t="shared" si="55"/>
        <v>#VALUE!</v>
      </c>
      <c r="AH342" s="1546" t="e">
        <f t="shared" si="55"/>
        <v>#VALUE!</v>
      </c>
      <c r="AI342" s="1546" t="e">
        <f t="shared" si="55"/>
        <v>#VALUE!</v>
      </c>
      <c r="AJ342" s="1547">
        <f t="shared" si="50"/>
        <v>0</v>
      </c>
      <c r="AK342" s="2028"/>
      <c r="AL342" s="1142"/>
      <c r="AM342" s="1604"/>
      <c r="AN342" s="1604"/>
      <c r="AO342" s="1149"/>
      <c r="AP342" s="1142"/>
      <c r="AQ342" s="1548" t="e">
        <f t="shared" ref="AQ342:BS342" si="56">-IF(AND(G352=1,G353=1),(G364/(1+DiscRDEOrig)^G$355)-(G365/(1+DiscRDEOrig)^G$355),0)</f>
        <v>#VALUE!</v>
      </c>
      <c r="AR342" s="1546" t="e">
        <f t="shared" si="56"/>
        <v>#VALUE!</v>
      </c>
      <c r="AS342" s="1546" t="e">
        <f t="shared" si="56"/>
        <v>#VALUE!</v>
      </c>
      <c r="AT342" s="1546" t="e">
        <f t="shared" si="56"/>
        <v>#VALUE!</v>
      </c>
      <c r="AU342" s="1546" t="e">
        <f t="shared" si="56"/>
        <v>#VALUE!</v>
      </c>
      <c r="AV342" s="1546" t="e">
        <f t="shared" si="56"/>
        <v>#VALUE!</v>
      </c>
      <c r="AW342" s="1546" t="e">
        <f t="shared" si="56"/>
        <v>#VALUE!</v>
      </c>
      <c r="AX342" s="1546" t="e">
        <f t="shared" si="56"/>
        <v>#VALUE!</v>
      </c>
      <c r="AY342" s="1546" t="e">
        <f t="shared" si="56"/>
        <v>#VALUE!</v>
      </c>
      <c r="AZ342" s="1546" t="e">
        <f t="shared" si="56"/>
        <v>#VALUE!</v>
      </c>
      <c r="BA342" s="1546" t="e">
        <f t="shared" si="56"/>
        <v>#VALUE!</v>
      </c>
      <c r="BB342" s="1546" t="e">
        <f t="shared" si="56"/>
        <v>#VALUE!</v>
      </c>
      <c r="BC342" s="1546" t="e">
        <f t="shared" si="56"/>
        <v>#VALUE!</v>
      </c>
      <c r="BD342" s="1546" t="e">
        <f t="shared" si="56"/>
        <v>#VALUE!</v>
      </c>
      <c r="BE342" s="1546" t="e">
        <f t="shared" si="56"/>
        <v>#VALUE!</v>
      </c>
      <c r="BF342" s="1546" t="e">
        <f t="shared" si="56"/>
        <v>#VALUE!</v>
      </c>
      <c r="BG342" s="1546" t="e">
        <f t="shared" si="56"/>
        <v>#VALUE!</v>
      </c>
      <c r="BH342" s="1546" t="e">
        <f t="shared" si="56"/>
        <v>#VALUE!</v>
      </c>
      <c r="BI342" s="1546" t="e">
        <f t="shared" si="56"/>
        <v>#VALUE!</v>
      </c>
      <c r="BJ342" s="1546" t="e">
        <f t="shared" si="56"/>
        <v>#VALUE!</v>
      </c>
      <c r="BK342" s="1546" t="e">
        <f t="shared" si="56"/>
        <v>#VALUE!</v>
      </c>
      <c r="BL342" s="1546" t="e">
        <f t="shared" si="56"/>
        <v>#VALUE!</v>
      </c>
      <c r="BM342" s="1546" t="e">
        <f t="shared" si="56"/>
        <v>#VALUE!</v>
      </c>
      <c r="BN342" s="1546" t="e">
        <f t="shared" si="56"/>
        <v>#VALUE!</v>
      </c>
      <c r="BO342" s="1546" t="e">
        <f t="shared" si="56"/>
        <v>#VALUE!</v>
      </c>
      <c r="BP342" s="1546" t="e">
        <f t="shared" si="56"/>
        <v>#VALUE!</v>
      </c>
      <c r="BQ342" s="1546" t="e">
        <f t="shared" si="56"/>
        <v>#VALUE!</v>
      </c>
      <c r="BR342" s="1546" t="e">
        <f t="shared" si="56"/>
        <v>#VALUE!</v>
      </c>
      <c r="BS342" s="1546" t="e">
        <f t="shared" si="56"/>
        <v>#VALUE!</v>
      </c>
      <c r="BT342" s="1547">
        <f t="shared" si="52"/>
        <v>0</v>
      </c>
      <c r="BU342" s="2029"/>
      <c r="BV342" s="1070"/>
      <c r="BW342" s="2027"/>
      <c r="BX342" s="2027"/>
    </row>
    <row r="343" spans="1:76" hidden="1" outlineLevel="2" x14ac:dyDescent="0.3">
      <c r="A343" s="1527"/>
      <c r="B343" s="1543" t="s">
        <v>1367</v>
      </c>
      <c r="C343" s="1536"/>
      <c r="D343" s="1352"/>
      <c r="E343" s="1528"/>
      <c r="F343" s="1493"/>
      <c r="G343" s="1545" t="e">
        <f>SUM(G340:G342)</f>
        <v>#VALUE!</v>
      </c>
      <c r="H343" s="1546" t="e">
        <f t="shared" ref="H343:AI343" si="57">SUM(H340:H342)</f>
        <v>#VALUE!</v>
      </c>
      <c r="I343" s="1546" t="e">
        <f t="shared" si="57"/>
        <v>#VALUE!</v>
      </c>
      <c r="J343" s="1546" t="e">
        <f t="shared" si="57"/>
        <v>#VALUE!</v>
      </c>
      <c r="K343" s="1546" t="e">
        <f t="shared" si="57"/>
        <v>#VALUE!</v>
      </c>
      <c r="L343" s="1546" t="e">
        <f t="shared" si="57"/>
        <v>#VALUE!</v>
      </c>
      <c r="M343" s="1546" t="e">
        <f t="shared" si="57"/>
        <v>#VALUE!</v>
      </c>
      <c r="N343" s="1546" t="e">
        <f t="shared" si="57"/>
        <v>#VALUE!</v>
      </c>
      <c r="O343" s="1546" t="e">
        <f t="shared" si="57"/>
        <v>#VALUE!</v>
      </c>
      <c r="P343" s="1546" t="e">
        <f t="shared" si="57"/>
        <v>#VALUE!</v>
      </c>
      <c r="Q343" s="1546" t="e">
        <f t="shared" si="57"/>
        <v>#VALUE!</v>
      </c>
      <c r="R343" s="1546" t="e">
        <f t="shared" si="57"/>
        <v>#VALUE!</v>
      </c>
      <c r="S343" s="1546" t="e">
        <f t="shared" si="57"/>
        <v>#VALUE!</v>
      </c>
      <c r="T343" s="1546" t="e">
        <f t="shared" si="57"/>
        <v>#VALUE!</v>
      </c>
      <c r="U343" s="1546" t="e">
        <f t="shared" si="57"/>
        <v>#VALUE!</v>
      </c>
      <c r="V343" s="1546" t="e">
        <f t="shared" si="57"/>
        <v>#VALUE!</v>
      </c>
      <c r="W343" s="1546" t="e">
        <f t="shared" si="57"/>
        <v>#VALUE!</v>
      </c>
      <c r="X343" s="1546" t="e">
        <f t="shared" si="57"/>
        <v>#VALUE!</v>
      </c>
      <c r="Y343" s="1546" t="e">
        <f t="shared" si="57"/>
        <v>#VALUE!</v>
      </c>
      <c r="Z343" s="1546" t="e">
        <f t="shared" si="57"/>
        <v>#VALUE!</v>
      </c>
      <c r="AA343" s="1546" t="e">
        <f t="shared" si="57"/>
        <v>#VALUE!</v>
      </c>
      <c r="AB343" s="1546" t="e">
        <f t="shared" si="57"/>
        <v>#VALUE!</v>
      </c>
      <c r="AC343" s="1546" t="e">
        <f t="shared" si="57"/>
        <v>#VALUE!</v>
      </c>
      <c r="AD343" s="1546" t="e">
        <f t="shared" si="57"/>
        <v>#VALUE!</v>
      </c>
      <c r="AE343" s="1546" t="e">
        <f t="shared" si="57"/>
        <v>#VALUE!</v>
      </c>
      <c r="AF343" s="1546" t="e">
        <f t="shared" si="57"/>
        <v>#VALUE!</v>
      </c>
      <c r="AG343" s="1546" t="e">
        <f t="shared" si="57"/>
        <v>#VALUE!</v>
      </c>
      <c r="AH343" s="1546" t="e">
        <f t="shared" si="57"/>
        <v>#VALUE!</v>
      </c>
      <c r="AI343" s="1546" t="e">
        <f t="shared" si="57"/>
        <v>#VALUE!</v>
      </c>
      <c r="AJ343" s="1547">
        <f t="shared" si="50"/>
        <v>0</v>
      </c>
      <c r="AK343" s="2028"/>
      <c r="AL343" s="1142"/>
      <c r="AM343" s="1604"/>
      <c r="AN343" s="1604"/>
      <c r="AO343" s="1149"/>
      <c r="AP343" s="1142"/>
      <c r="AQ343" s="1548" t="e">
        <f>SUM(AQ340:AQ342)</f>
        <v>#VALUE!</v>
      </c>
      <c r="AR343" s="1546" t="e">
        <f t="shared" ref="AR343:BS343" si="58">SUM(AR340:AR342)</f>
        <v>#VALUE!</v>
      </c>
      <c r="AS343" s="1546" t="e">
        <f t="shared" si="58"/>
        <v>#VALUE!</v>
      </c>
      <c r="AT343" s="1546" t="e">
        <f t="shared" si="58"/>
        <v>#VALUE!</v>
      </c>
      <c r="AU343" s="1546" t="e">
        <f t="shared" si="58"/>
        <v>#VALUE!</v>
      </c>
      <c r="AV343" s="1546" t="e">
        <f t="shared" si="58"/>
        <v>#VALUE!</v>
      </c>
      <c r="AW343" s="1546" t="e">
        <f t="shared" si="58"/>
        <v>#VALUE!</v>
      </c>
      <c r="AX343" s="1546" t="e">
        <f t="shared" si="58"/>
        <v>#VALUE!</v>
      </c>
      <c r="AY343" s="1546" t="e">
        <f t="shared" si="58"/>
        <v>#VALUE!</v>
      </c>
      <c r="AZ343" s="1546" t="e">
        <f t="shared" si="58"/>
        <v>#VALUE!</v>
      </c>
      <c r="BA343" s="1546" t="e">
        <f t="shared" si="58"/>
        <v>#VALUE!</v>
      </c>
      <c r="BB343" s="1546" t="e">
        <f t="shared" si="58"/>
        <v>#VALUE!</v>
      </c>
      <c r="BC343" s="1546" t="e">
        <f t="shared" si="58"/>
        <v>#VALUE!</v>
      </c>
      <c r="BD343" s="1546" t="e">
        <f t="shared" si="58"/>
        <v>#VALUE!</v>
      </c>
      <c r="BE343" s="1546" t="e">
        <f t="shared" si="58"/>
        <v>#VALUE!</v>
      </c>
      <c r="BF343" s="1546" t="e">
        <f t="shared" si="58"/>
        <v>#VALUE!</v>
      </c>
      <c r="BG343" s="1546" t="e">
        <f t="shared" si="58"/>
        <v>#VALUE!</v>
      </c>
      <c r="BH343" s="1546" t="e">
        <f t="shared" si="58"/>
        <v>#VALUE!</v>
      </c>
      <c r="BI343" s="1546" t="e">
        <f t="shared" si="58"/>
        <v>#VALUE!</v>
      </c>
      <c r="BJ343" s="1546" t="e">
        <f t="shared" si="58"/>
        <v>#VALUE!</v>
      </c>
      <c r="BK343" s="1546" t="e">
        <f t="shared" si="58"/>
        <v>#VALUE!</v>
      </c>
      <c r="BL343" s="1546" t="e">
        <f t="shared" si="58"/>
        <v>#VALUE!</v>
      </c>
      <c r="BM343" s="1546" t="e">
        <f t="shared" si="58"/>
        <v>#VALUE!</v>
      </c>
      <c r="BN343" s="1546" t="e">
        <f t="shared" si="58"/>
        <v>#VALUE!</v>
      </c>
      <c r="BO343" s="1546" t="e">
        <f t="shared" si="58"/>
        <v>#VALUE!</v>
      </c>
      <c r="BP343" s="1546" t="e">
        <f t="shared" si="58"/>
        <v>#VALUE!</v>
      </c>
      <c r="BQ343" s="1546" t="e">
        <f t="shared" si="58"/>
        <v>#VALUE!</v>
      </c>
      <c r="BR343" s="1546" t="e">
        <f t="shared" si="58"/>
        <v>#VALUE!</v>
      </c>
      <c r="BS343" s="1546" t="e">
        <f t="shared" si="58"/>
        <v>#VALUE!</v>
      </c>
      <c r="BT343" s="1547">
        <f t="shared" si="52"/>
        <v>0</v>
      </c>
      <c r="BU343" s="2029"/>
      <c r="BV343" s="1070"/>
      <c r="BW343" s="2027"/>
      <c r="BX343" s="2027"/>
    </row>
    <row r="344" spans="1:76" hidden="1" outlineLevel="2" x14ac:dyDescent="0.3">
      <c r="A344" s="1527"/>
      <c r="B344" s="1543" t="s">
        <v>1368</v>
      </c>
      <c r="C344" s="1536"/>
      <c r="D344" s="1352"/>
      <c r="E344" s="1528"/>
      <c r="F344" s="1493"/>
      <c r="G344" s="1545" t="e">
        <f>IF($P$369="Delay",G380-G379,G389-G388)</f>
        <v>#VALUE!</v>
      </c>
      <c r="H344" s="1546" t="e">
        <f t="shared" ref="H344:AI344" si="59">IF($P$369="Delay",H380-H379,H389-H388)</f>
        <v>#VALUE!</v>
      </c>
      <c r="I344" s="1546" t="e">
        <f t="shared" si="59"/>
        <v>#VALUE!</v>
      </c>
      <c r="J344" s="1546" t="e">
        <f t="shared" si="59"/>
        <v>#VALUE!</v>
      </c>
      <c r="K344" s="1546" t="e">
        <f t="shared" si="59"/>
        <v>#VALUE!</v>
      </c>
      <c r="L344" s="1546" t="e">
        <f t="shared" si="59"/>
        <v>#VALUE!</v>
      </c>
      <c r="M344" s="1546" t="e">
        <f t="shared" si="59"/>
        <v>#VALUE!</v>
      </c>
      <c r="N344" s="1546" t="e">
        <f t="shared" si="59"/>
        <v>#VALUE!</v>
      </c>
      <c r="O344" s="1546" t="e">
        <f t="shared" si="59"/>
        <v>#VALUE!</v>
      </c>
      <c r="P344" s="1546" t="e">
        <f t="shared" si="59"/>
        <v>#VALUE!</v>
      </c>
      <c r="Q344" s="1546" t="e">
        <f t="shared" si="59"/>
        <v>#VALUE!</v>
      </c>
      <c r="R344" s="1546" t="e">
        <f t="shared" si="59"/>
        <v>#VALUE!</v>
      </c>
      <c r="S344" s="1546" t="e">
        <f t="shared" si="59"/>
        <v>#VALUE!</v>
      </c>
      <c r="T344" s="1546" t="e">
        <f t="shared" si="59"/>
        <v>#VALUE!</v>
      </c>
      <c r="U344" s="1546" t="e">
        <f t="shared" si="59"/>
        <v>#VALUE!</v>
      </c>
      <c r="V344" s="1546" t="e">
        <f t="shared" si="59"/>
        <v>#VALUE!</v>
      </c>
      <c r="W344" s="1546" t="e">
        <f t="shared" si="59"/>
        <v>#VALUE!</v>
      </c>
      <c r="X344" s="1546" t="e">
        <f t="shared" si="59"/>
        <v>#VALUE!</v>
      </c>
      <c r="Y344" s="1546" t="e">
        <f t="shared" si="59"/>
        <v>#VALUE!</v>
      </c>
      <c r="Z344" s="1546" t="e">
        <f t="shared" si="59"/>
        <v>#VALUE!</v>
      </c>
      <c r="AA344" s="1546" t="e">
        <f t="shared" si="59"/>
        <v>#VALUE!</v>
      </c>
      <c r="AB344" s="1546" t="e">
        <f t="shared" si="59"/>
        <v>#VALUE!</v>
      </c>
      <c r="AC344" s="1546" t="e">
        <f t="shared" si="59"/>
        <v>#VALUE!</v>
      </c>
      <c r="AD344" s="1546" t="e">
        <f t="shared" si="59"/>
        <v>#VALUE!</v>
      </c>
      <c r="AE344" s="1546" t="e">
        <f t="shared" si="59"/>
        <v>#VALUE!</v>
      </c>
      <c r="AF344" s="1546" t="e">
        <f t="shared" si="59"/>
        <v>#VALUE!</v>
      </c>
      <c r="AG344" s="1546" t="e">
        <f t="shared" si="59"/>
        <v>#VALUE!</v>
      </c>
      <c r="AH344" s="1546" t="e">
        <f t="shared" si="59"/>
        <v>#VALUE!</v>
      </c>
      <c r="AI344" s="1546" t="e">
        <f t="shared" si="59"/>
        <v>#VALUE!</v>
      </c>
      <c r="AJ344" s="1547">
        <f t="shared" si="50"/>
        <v>0</v>
      </c>
      <c r="AK344" s="2028"/>
      <c r="AL344" s="1142"/>
      <c r="AM344" s="1604"/>
      <c r="AN344" s="1604"/>
      <c r="AO344" s="1149"/>
      <c r="AP344" s="1142"/>
      <c r="AQ344" s="1548" t="e">
        <f>IF($AZ$369="Delay",AQ380-AQ379,AQ389-AQ388)</f>
        <v>#VALUE!</v>
      </c>
      <c r="AR344" s="1546" t="e">
        <f t="shared" ref="AR344:BS344" si="60">IF($AZ$369="Delay",AR380-AR379,AR389-AR388)</f>
        <v>#VALUE!</v>
      </c>
      <c r="AS344" s="1546" t="e">
        <f t="shared" si="60"/>
        <v>#VALUE!</v>
      </c>
      <c r="AT344" s="1546" t="e">
        <f t="shared" si="60"/>
        <v>#VALUE!</v>
      </c>
      <c r="AU344" s="1546" t="e">
        <f t="shared" si="60"/>
        <v>#VALUE!</v>
      </c>
      <c r="AV344" s="1546" t="e">
        <f t="shared" si="60"/>
        <v>#VALUE!</v>
      </c>
      <c r="AW344" s="1546" t="e">
        <f t="shared" si="60"/>
        <v>#VALUE!</v>
      </c>
      <c r="AX344" s="1546" t="e">
        <f t="shared" si="60"/>
        <v>#VALUE!</v>
      </c>
      <c r="AY344" s="1546" t="e">
        <f t="shared" si="60"/>
        <v>#VALUE!</v>
      </c>
      <c r="AZ344" s="1546" t="e">
        <f t="shared" si="60"/>
        <v>#VALUE!</v>
      </c>
      <c r="BA344" s="1546" t="e">
        <f t="shared" si="60"/>
        <v>#VALUE!</v>
      </c>
      <c r="BB344" s="1546" t="e">
        <f t="shared" si="60"/>
        <v>#VALUE!</v>
      </c>
      <c r="BC344" s="1546" t="e">
        <f t="shared" si="60"/>
        <v>#VALUE!</v>
      </c>
      <c r="BD344" s="1546" t="e">
        <f t="shared" si="60"/>
        <v>#VALUE!</v>
      </c>
      <c r="BE344" s="1546" t="e">
        <f t="shared" si="60"/>
        <v>#VALUE!</v>
      </c>
      <c r="BF344" s="1546" t="e">
        <f t="shared" si="60"/>
        <v>#VALUE!</v>
      </c>
      <c r="BG344" s="1546" t="e">
        <f t="shared" si="60"/>
        <v>#VALUE!</v>
      </c>
      <c r="BH344" s="1546" t="e">
        <f t="shared" si="60"/>
        <v>#VALUE!</v>
      </c>
      <c r="BI344" s="1546" t="e">
        <f t="shared" si="60"/>
        <v>#VALUE!</v>
      </c>
      <c r="BJ344" s="1546" t="e">
        <f t="shared" si="60"/>
        <v>#VALUE!</v>
      </c>
      <c r="BK344" s="1546" t="e">
        <f t="shared" si="60"/>
        <v>#VALUE!</v>
      </c>
      <c r="BL344" s="1546" t="e">
        <f t="shared" si="60"/>
        <v>#VALUE!</v>
      </c>
      <c r="BM344" s="1546" t="e">
        <f t="shared" si="60"/>
        <v>#VALUE!</v>
      </c>
      <c r="BN344" s="1546" t="e">
        <f t="shared" si="60"/>
        <v>#VALUE!</v>
      </c>
      <c r="BO344" s="1546" t="e">
        <f t="shared" si="60"/>
        <v>#VALUE!</v>
      </c>
      <c r="BP344" s="1546" t="e">
        <f t="shared" si="60"/>
        <v>#VALUE!</v>
      </c>
      <c r="BQ344" s="1546" t="e">
        <f t="shared" si="60"/>
        <v>#VALUE!</v>
      </c>
      <c r="BR344" s="1546" t="e">
        <f t="shared" si="60"/>
        <v>#VALUE!</v>
      </c>
      <c r="BS344" s="1546" t="e">
        <f t="shared" si="60"/>
        <v>#VALUE!</v>
      </c>
      <c r="BT344" s="1547">
        <f t="shared" si="52"/>
        <v>0</v>
      </c>
      <c r="BU344" s="2029"/>
      <c r="BV344" s="1070"/>
      <c r="BW344" s="2027"/>
      <c r="BX344" s="2027"/>
    </row>
    <row r="345" spans="1:76" hidden="1" outlineLevel="2" x14ac:dyDescent="0.3">
      <c r="A345" s="1527"/>
      <c r="B345" s="1543" t="s">
        <v>1369</v>
      </c>
      <c r="C345" s="1491"/>
      <c r="D345" s="1352"/>
      <c r="E345" s="1267"/>
      <c r="F345" s="1493"/>
      <c r="G345" s="1545" t="e">
        <f t="shared" ref="G345:AI345" si="61">(G394/(1+DiscRDEOrig)^G$355)-(G395/(1+DiscRDEOrig)^G$355)-G344</f>
        <v>#VALUE!</v>
      </c>
      <c r="H345" s="1546" t="e">
        <f t="shared" si="61"/>
        <v>#VALUE!</v>
      </c>
      <c r="I345" s="1546" t="e">
        <f t="shared" si="61"/>
        <v>#VALUE!</v>
      </c>
      <c r="J345" s="1546" t="e">
        <f t="shared" si="61"/>
        <v>#VALUE!</v>
      </c>
      <c r="K345" s="1546" t="e">
        <f t="shared" si="61"/>
        <v>#VALUE!</v>
      </c>
      <c r="L345" s="1546" t="e">
        <f t="shared" si="61"/>
        <v>#VALUE!</v>
      </c>
      <c r="M345" s="1546" t="e">
        <f t="shared" si="61"/>
        <v>#VALUE!</v>
      </c>
      <c r="N345" s="1546" t="e">
        <f t="shared" si="61"/>
        <v>#VALUE!</v>
      </c>
      <c r="O345" s="1546" t="e">
        <f t="shared" si="61"/>
        <v>#VALUE!</v>
      </c>
      <c r="P345" s="1546" t="e">
        <f t="shared" si="61"/>
        <v>#VALUE!</v>
      </c>
      <c r="Q345" s="1546" t="e">
        <f t="shared" si="61"/>
        <v>#VALUE!</v>
      </c>
      <c r="R345" s="1546" t="e">
        <f t="shared" si="61"/>
        <v>#VALUE!</v>
      </c>
      <c r="S345" s="1546" t="e">
        <f t="shared" si="61"/>
        <v>#VALUE!</v>
      </c>
      <c r="T345" s="1546" t="e">
        <f t="shared" si="61"/>
        <v>#VALUE!</v>
      </c>
      <c r="U345" s="1546" t="e">
        <f t="shared" si="61"/>
        <v>#VALUE!</v>
      </c>
      <c r="V345" s="1546" t="e">
        <f t="shared" si="61"/>
        <v>#VALUE!</v>
      </c>
      <c r="W345" s="1546" t="e">
        <f t="shared" si="61"/>
        <v>#VALUE!</v>
      </c>
      <c r="X345" s="1546" t="e">
        <f t="shared" si="61"/>
        <v>#VALUE!</v>
      </c>
      <c r="Y345" s="1546" t="e">
        <f t="shared" si="61"/>
        <v>#VALUE!</v>
      </c>
      <c r="Z345" s="1546" t="e">
        <f t="shared" si="61"/>
        <v>#VALUE!</v>
      </c>
      <c r="AA345" s="1546" t="e">
        <f t="shared" si="61"/>
        <v>#VALUE!</v>
      </c>
      <c r="AB345" s="1546" t="e">
        <f t="shared" si="61"/>
        <v>#VALUE!</v>
      </c>
      <c r="AC345" s="1546" t="e">
        <f t="shared" si="61"/>
        <v>#VALUE!</v>
      </c>
      <c r="AD345" s="1546" t="e">
        <f t="shared" si="61"/>
        <v>#VALUE!</v>
      </c>
      <c r="AE345" s="1546" t="e">
        <f t="shared" si="61"/>
        <v>#VALUE!</v>
      </c>
      <c r="AF345" s="1546" t="e">
        <f t="shared" si="61"/>
        <v>#VALUE!</v>
      </c>
      <c r="AG345" s="1546" t="e">
        <f t="shared" si="61"/>
        <v>#VALUE!</v>
      </c>
      <c r="AH345" s="1546" t="e">
        <f t="shared" si="61"/>
        <v>#VALUE!</v>
      </c>
      <c r="AI345" s="1546" t="e">
        <f t="shared" si="61"/>
        <v>#VALUE!</v>
      </c>
      <c r="AJ345" s="1547">
        <f t="shared" si="50"/>
        <v>0</v>
      </c>
      <c r="AK345" s="2028"/>
      <c r="AL345" s="1142"/>
      <c r="AM345" s="1604"/>
      <c r="AN345" s="1604"/>
      <c r="AO345" s="1149"/>
      <c r="AP345" s="1142"/>
      <c r="AQ345" s="1548" t="e">
        <f t="shared" ref="AQ345:BS345" si="62">(AQ394/(1+DiscRDEOrig)^AQ$355)-(AQ395/(1+DiscRDEOrig)^AQ$355)-AQ344</f>
        <v>#VALUE!</v>
      </c>
      <c r="AR345" s="1546" t="e">
        <f t="shared" si="62"/>
        <v>#VALUE!</v>
      </c>
      <c r="AS345" s="1546" t="e">
        <f t="shared" si="62"/>
        <v>#VALUE!</v>
      </c>
      <c r="AT345" s="1546" t="e">
        <f t="shared" si="62"/>
        <v>#VALUE!</v>
      </c>
      <c r="AU345" s="1546" t="e">
        <f t="shared" si="62"/>
        <v>#VALUE!</v>
      </c>
      <c r="AV345" s="1546" t="e">
        <f t="shared" si="62"/>
        <v>#VALUE!</v>
      </c>
      <c r="AW345" s="1546" t="e">
        <f t="shared" si="62"/>
        <v>#VALUE!</v>
      </c>
      <c r="AX345" s="1546" t="e">
        <f t="shared" si="62"/>
        <v>#VALUE!</v>
      </c>
      <c r="AY345" s="1546" t="e">
        <f t="shared" si="62"/>
        <v>#VALUE!</v>
      </c>
      <c r="AZ345" s="1546" t="e">
        <f t="shared" si="62"/>
        <v>#VALUE!</v>
      </c>
      <c r="BA345" s="1546" t="e">
        <f t="shared" si="62"/>
        <v>#VALUE!</v>
      </c>
      <c r="BB345" s="1546" t="e">
        <f t="shared" si="62"/>
        <v>#VALUE!</v>
      </c>
      <c r="BC345" s="1546" t="e">
        <f t="shared" si="62"/>
        <v>#VALUE!</v>
      </c>
      <c r="BD345" s="1546" t="e">
        <f t="shared" si="62"/>
        <v>#VALUE!</v>
      </c>
      <c r="BE345" s="1546" t="e">
        <f t="shared" si="62"/>
        <v>#VALUE!</v>
      </c>
      <c r="BF345" s="1546" t="e">
        <f t="shared" si="62"/>
        <v>#VALUE!</v>
      </c>
      <c r="BG345" s="1546" t="e">
        <f t="shared" si="62"/>
        <v>#VALUE!</v>
      </c>
      <c r="BH345" s="1546" t="e">
        <f t="shared" si="62"/>
        <v>#VALUE!</v>
      </c>
      <c r="BI345" s="1546" t="e">
        <f t="shared" si="62"/>
        <v>#VALUE!</v>
      </c>
      <c r="BJ345" s="1546" t="e">
        <f t="shared" si="62"/>
        <v>#VALUE!</v>
      </c>
      <c r="BK345" s="1546" t="e">
        <f t="shared" si="62"/>
        <v>#VALUE!</v>
      </c>
      <c r="BL345" s="1546" t="e">
        <f t="shared" si="62"/>
        <v>#VALUE!</v>
      </c>
      <c r="BM345" s="1546" t="e">
        <f t="shared" si="62"/>
        <v>#VALUE!</v>
      </c>
      <c r="BN345" s="1546" t="e">
        <f t="shared" si="62"/>
        <v>#VALUE!</v>
      </c>
      <c r="BO345" s="1546" t="e">
        <f t="shared" si="62"/>
        <v>#VALUE!</v>
      </c>
      <c r="BP345" s="1546" t="e">
        <f t="shared" si="62"/>
        <v>#VALUE!</v>
      </c>
      <c r="BQ345" s="1546" t="e">
        <f t="shared" si="62"/>
        <v>#VALUE!</v>
      </c>
      <c r="BR345" s="1546" t="e">
        <f t="shared" si="62"/>
        <v>#VALUE!</v>
      </c>
      <c r="BS345" s="1546" t="e">
        <f t="shared" si="62"/>
        <v>#VALUE!</v>
      </c>
      <c r="BT345" s="1547">
        <f t="shared" si="52"/>
        <v>0</v>
      </c>
      <c r="BU345" s="2029"/>
      <c r="BV345" s="1070"/>
      <c r="BW345" s="2027"/>
      <c r="BX345" s="2027"/>
    </row>
    <row r="346" spans="1:76" hidden="1" outlineLevel="2" x14ac:dyDescent="0.3">
      <c r="A346" s="1527"/>
      <c r="B346" s="1543" t="s">
        <v>1370</v>
      </c>
      <c r="C346" s="1491"/>
      <c r="D346" s="1352"/>
      <c r="E346" s="1267"/>
      <c r="F346" s="1493"/>
      <c r="G346" s="1545" t="e">
        <f t="shared" ref="G346:AI346" si="63">(G398/(1+DiscRDEOrig)^G$355)-(G399/(1+DiscRDEOrig)^G$355)</f>
        <v>#VALUE!</v>
      </c>
      <c r="H346" s="1546" t="e">
        <f t="shared" si="63"/>
        <v>#VALUE!</v>
      </c>
      <c r="I346" s="1546" t="e">
        <f t="shared" si="63"/>
        <v>#VALUE!</v>
      </c>
      <c r="J346" s="1546" t="e">
        <f t="shared" si="63"/>
        <v>#VALUE!</v>
      </c>
      <c r="K346" s="1546" t="e">
        <f t="shared" si="63"/>
        <v>#VALUE!</v>
      </c>
      <c r="L346" s="1546" t="e">
        <f t="shared" si="63"/>
        <v>#VALUE!</v>
      </c>
      <c r="M346" s="1546" t="e">
        <f t="shared" si="63"/>
        <v>#VALUE!</v>
      </c>
      <c r="N346" s="1546" t="e">
        <f t="shared" si="63"/>
        <v>#VALUE!</v>
      </c>
      <c r="O346" s="1546" t="e">
        <f t="shared" si="63"/>
        <v>#VALUE!</v>
      </c>
      <c r="P346" s="1546" t="e">
        <f t="shared" si="63"/>
        <v>#VALUE!</v>
      </c>
      <c r="Q346" s="1546" t="e">
        <f t="shared" si="63"/>
        <v>#VALUE!</v>
      </c>
      <c r="R346" s="1546" t="e">
        <f t="shared" si="63"/>
        <v>#VALUE!</v>
      </c>
      <c r="S346" s="1546" t="e">
        <f t="shared" si="63"/>
        <v>#VALUE!</v>
      </c>
      <c r="T346" s="1546" t="e">
        <f t="shared" si="63"/>
        <v>#VALUE!</v>
      </c>
      <c r="U346" s="1546" t="e">
        <f t="shared" si="63"/>
        <v>#VALUE!</v>
      </c>
      <c r="V346" s="1546" t="e">
        <f t="shared" si="63"/>
        <v>#VALUE!</v>
      </c>
      <c r="W346" s="1546" t="e">
        <f t="shared" si="63"/>
        <v>#VALUE!</v>
      </c>
      <c r="X346" s="1546" t="e">
        <f t="shared" si="63"/>
        <v>#VALUE!</v>
      </c>
      <c r="Y346" s="1546" t="e">
        <f t="shared" si="63"/>
        <v>#VALUE!</v>
      </c>
      <c r="Z346" s="1546" t="e">
        <f t="shared" si="63"/>
        <v>#VALUE!</v>
      </c>
      <c r="AA346" s="1546" t="e">
        <f t="shared" si="63"/>
        <v>#VALUE!</v>
      </c>
      <c r="AB346" s="1546" t="e">
        <f t="shared" si="63"/>
        <v>#VALUE!</v>
      </c>
      <c r="AC346" s="1546" t="e">
        <f t="shared" si="63"/>
        <v>#VALUE!</v>
      </c>
      <c r="AD346" s="1546" t="e">
        <f t="shared" si="63"/>
        <v>#VALUE!</v>
      </c>
      <c r="AE346" s="1546" t="e">
        <f t="shared" si="63"/>
        <v>#VALUE!</v>
      </c>
      <c r="AF346" s="1546" t="e">
        <f t="shared" si="63"/>
        <v>#VALUE!</v>
      </c>
      <c r="AG346" s="1546" t="e">
        <f t="shared" si="63"/>
        <v>#VALUE!</v>
      </c>
      <c r="AH346" s="1546" t="e">
        <f t="shared" si="63"/>
        <v>#VALUE!</v>
      </c>
      <c r="AI346" s="1546" t="e">
        <f t="shared" si="63"/>
        <v>#VALUE!</v>
      </c>
      <c r="AJ346" s="1547">
        <f t="shared" si="50"/>
        <v>0</v>
      </c>
      <c r="AK346" s="2030">
        <f>SUM(AJ343:AJ346)</f>
        <v>0</v>
      </c>
      <c r="AL346" s="1142"/>
      <c r="AM346" s="1604"/>
      <c r="AN346" s="1604"/>
      <c r="AO346" s="1149"/>
      <c r="AP346" s="1142"/>
      <c r="AQ346" s="1548" t="e">
        <f t="shared" ref="AQ346:BS346" si="64">(AQ398/(1+DiscRDEOrig)^AQ$355)-(AQ399/(1+DiscRDEOrig)^AQ$355)</f>
        <v>#VALUE!</v>
      </c>
      <c r="AR346" s="1546" t="e">
        <f t="shared" si="64"/>
        <v>#VALUE!</v>
      </c>
      <c r="AS346" s="1546" t="e">
        <f t="shared" si="64"/>
        <v>#VALUE!</v>
      </c>
      <c r="AT346" s="1546" t="e">
        <f t="shared" si="64"/>
        <v>#VALUE!</v>
      </c>
      <c r="AU346" s="1546" t="e">
        <f t="shared" si="64"/>
        <v>#VALUE!</v>
      </c>
      <c r="AV346" s="1546" t="e">
        <f t="shared" si="64"/>
        <v>#VALUE!</v>
      </c>
      <c r="AW346" s="1546" t="e">
        <f t="shared" si="64"/>
        <v>#VALUE!</v>
      </c>
      <c r="AX346" s="1546" t="e">
        <f t="shared" si="64"/>
        <v>#VALUE!</v>
      </c>
      <c r="AY346" s="1546" t="e">
        <f t="shared" si="64"/>
        <v>#VALUE!</v>
      </c>
      <c r="AZ346" s="1546" t="e">
        <f t="shared" si="64"/>
        <v>#VALUE!</v>
      </c>
      <c r="BA346" s="1546" t="e">
        <f t="shared" si="64"/>
        <v>#VALUE!</v>
      </c>
      <c r="BB346" s="1546" t="e">
        <f t="shared" si="64"/>
        <v>#VALUE!</v>
      </c>
      <c r="BC346" s="1546" t="e">
        <f t="shared" si="64"/>
        <v>#VALUE!</v>
      </c>
      <c r="BD346" s="1546" t="e">
        <f t="shared" si="64"/>
        <v>#VALUE!</v>
      </c>
      <c r="BE346" s="1546" t="e">
        <f t="shared" si="64"/>
        <v>#VALUE!</v>
      </c>
      <c r="BF346" s="1546" t="e">
        <f t="shared" si="64"/>
        <v>#VALUE!</v>
      </c>
      <c r="BG346" s="1546" t="e">
        <f t="shared" si="64"/>
        <v>#VALUE!</v>
      </c>
      <c r="BH346" s="1546" t="e">
        <f t="shared" si="64"/>
        <v>#VALUE!</v>
      </c>
      <c r="BI346" s="1546" t="e">
        <f t="shared" si="64"/>
        <v>#VALUE!</v>
      </c>
      <c r="BJ346" s="1546" t="e">
        <f t="shared" si="64"/>
        <v>#VALUE!</v>
      </c>
      <c r="BK346" s="1546" t="e">
        <f t="shared" si="64"/>
        <v>#VALUE!</v>
      </c>
      <c r="BL346" s="1546" t="e">
        <f t="shared" si="64"/>
        <v>#VALUE!</v>
      </c>
      <c r="BM346" s="1546" t="e">
        <f t="shared" si="64"/>
        <v>#VALUE!</v>
      </c>
      <c r="BN346" s="1546" t="e">
        <f t="shared" si="64"/>
        <v>#VALUE!</v>
      </c>
      <c r="BO346" s="1546" t="e">
        <f t="shared" si="64"/>
        <v>#VALUE!</v>
      </c>
      <c r="BP346" s="1546" t="e">
        <f t="shared" si="64"/>
        <v>#VALUE!</v>
      </c>
      <c r="BQ346" s="1546" t="e">
        <f t="shared" si="64"/>
        <v>#VALUE!</v>
      </c>
      <c r="BR346" s="1546" t="e">
        <f t="shared" si="64"/>
        <v>#VALUE!</v>
      </c>
      <c r="BS346" s="1546" t="e">
        <f t="shared" si="64"/>
        <v>#VALUE!</v>
      </c>
      <c r="BT346" s="1547">
        <f t="shared" si="52"/>
        <v>0</v>
      </c>
      <c r="BU346" s="2031">
        <f>SUM(BT343:BT346)</f>
        <v>0</v>
      </c>
      <c r="BV346" s="1070"/>
      <c r="BW346" s="2027"/>
      <c r="BX346" s="2027"/>
    </row>
    <row r="347" spans="1:76" hidden="1" outlineLevel="2" x14ac:dyDescent="0.3">
      <c r="A347" s="1527"/>
      <c r="B347" s="1543" t="s">
        <v>1499</v>
      </c>
      <c r="C347" s="1491"/>
      <c r="D347" s="1352"/>
      <c r="E347" s="1267"/>
      <c r="F347" s="2032">
        <f>Q49</f>
        <v>0</v>
      </c>
      <c r="G347" s="1545" t="e">
        <f t="shared" ref="G347:AI347" si="65">((G318/(1+DiscRDEOrig)^G$355)-(AQ318/(1+DiscRDEOrig)^G$355))-((G318/(1+$F$347)^G$355)-(AQ318/(1+$F$347)^G$355))</f>
        <v>#VALUE!</v>
      </c>
      <c r="H347" s="1546" t="e">
        <f t="shared" si="65"/>
        <v>#VALUE!</v>
      </c>
      <c r="I347" s="1546" t="e">
        <f t="shared" si="65"/>
        <v>#VALUE!</v>
      </c>
      <c r="J347" s="1546" t="e">
        <f t="shared" si="65"/>
        <v>#VALUE!</v>
      </c>
      <c r="K347" s="1546" t="e">
        <f t="shared" si="65"/>
        <v>#VALUE!</v>
      </c>
      <c r="L347" s="1546" t="e">
        <f t="shared" si="65"/>
        <v>#VALUE!</v>
      </c>
      <c r="M347" s="1546" t="e">
        <f t="shared" si="65"/>
        <v>#VALUE!</v>
      </c>
      <c r="N347" s="1546" t="e">
        <f t="shared" si="65"/>
        <v>#VALUE!</v>
      </c>
      <c r="O347" s="1546" t="e">
        <f t="shared" si="65"/>
        <v>#VALUE!</v>
      </c>
      <c r="P347" s="1546" t="e">
        <f t="shared" si="65"/>
        <v>#VALUE!</v>
      </c>
      <c r="Q347" s="1546" t="e">
        <f t="shared" si="65"/>
        <v>#VALUE!</v>
      </c>
      <c r="R347" s="1546" t="e">
        <f t="shared" si="65"/>
        <v>#VALUE!</v>
      </c>
      <c r="S347" s="1546" t="e">
        <f t="shared" si="65"/>
        <v>#VALUE!</v>
      </c>
      <c r="T347" s="1546" t="e">
        <f t="shared" si="65"/>
        <v>#VALUE!</v>
      </c>
      <c r="U347" s="1546" t="e">
        <f t="shared" si="65"/>
        <v>#VALUE!</v>
      </c>
      <c r="V347" s="1546" t="e">
        <f t="shared" si="65"/>
        <v>#VALUE!</v>
      </c>
      <c r="W347" s="1546" t="e">
        <f t="shared" si="65"/>
        <v>#VALUE!</v>
      </c>
      <c r="X347" s="1546" t="e">
        <f t="shared" si="65"/>
        <v>#VALUE!</v>
      </c>
      <c r="Y347" s="1546" t="e">
        <f t="shared" si="65"/>
        <v>#VALUE!</v>
      </c>
      <c r="Z347" s="1546" t="e">
        <f t="shared" si="65"/>
        <v>#VALUE!</v>
      </c>
      <c r="AA347" s="1546" t="e">
        <f t="shared" si="65"/>
        <v>#VALUE!</v>
      </c>
      <c r="AB347" s="1546" t="e">
        <f t="shared" si="65"/>
        <v>#VALUE!</v>
      </c>
      <c r="AC347" s="1546" t="e">
        <f t="shared" si="65"/>
        <v>#VALUE!</v>
      </c>
      <c r="AD347" s="1546" t="e">
        <f t="shared" si="65"/>
        <v>#VALUE!</v>
      </c>
      <c r="AE347" s="1546" t="e">
        <f t="shared" si="65"/>
        <v>#VALUE!</v>
      </c>
      <c r="AF347" s="1546" t="e">
        <f t="shared" si="65"/>
        <v>#VALUE!</v>
      </c>
      <c r="AG347" s="1546" t="e">
        <f t="shared" si="65"/>
        <v>#VALUE!</v>
      </c>
      <c r="AH347" s="1546" t="e">
        <f t="shared" si="65"/>
        <v>#VALUE!</v>
      </c>
      <c r="AI347" s="1546" t="e">
        <f t="shared" si="65"/>
        <v>#VALUE!</v>
      </c>
      <c r="AJ347" s="1547">
        <f t="shared" si="50"/>
        <v>0</v>
      </c>
      <c r="AK347" s="2028"/>
      <c r="AL347" s="1142"/>
      <c r="AM347" s="1604"/>
      <c r="AN347" s="1604"/>
      <c r="AO347" s="1149"/>
      <c r="AP347" s="1142"/>
      <c r="AQ347" s="1548" t="e">
        <f t="shared" ref="AQ347:BS347" si="66">((G318/(1+DiscRDEOrig)^AQ$355)-(AQ318/(1+DiscRDEOrig)^AQ$355))-((G318/(1+$F$347)^AQ$355)-(AQ318/(1+$F$347)^AQ$355))</f>
        <v>#VALUE!</v>
      </c>
      <c r="AR347" s="1546" t="e">
        <f t="shared" si="66"/>
        <v>#VALUE!</v>
      </c>
      <c r="AS347" s="1546" t="e">
        <f t="shared" si="66"/>
        <v>#VALUE!</v>
      </c>
      <c r="AT347" s="1546" t="e">
        <f t="shared" si="66"/>
        <v>#VALUE!</v>
      </c>
      <c r="AU347" s="1546" t="e">
        <f t="shared" si="66"/>
        <v>#VALUE!</v>
      </c>
      <c r="AV347" s="1546" t="e">
        <f t="shared" si="66"/>
        <v>#VALUE!</v>
      </c>
      <c r="AW347" s="1546" t="e">
        <f t="shared" si="66"/>
        <v>#VALUE!</v>
      </c>
      <c r="AX347" s="1546" t="e">
        <f t="shared" si="66"/>
        <v>#VALUE!</v>
      </c>
      <c r="AY347" s="1546" t="e">
        <f t="shared" si="66"/>
        <v>#VALUE!</v>
      </c>
      <c r="AZ347" s="1546" t="e">
        <f t="shared" si="66"/>
        <v>#VALUE!</v>
      </c>
      <c r="BA347" s="1546" t="e">
        <f t="shared" si="66"/>
        <v>#VALUE!</v>
      </c>
      <c r="BB347" s="1546" t="e">
        <f t="shared" si="66"/>
        <v>#VALUE!</v>
      </c>
      <c r="BC347" s="1546" t="e">
        <f t="shared" si="66"/>
        <v>#VALUE!</v>
      </c>
      <c r="BD347" s="1546" t="e">
        <f t="shared" si="66"/>
        <v>#VALUE!</v>
      </c>
      <c r="BE347" s="1546" t="e">
        <f t="shared" si="66"/>
        <v>#VALUE!</v>
      </c>
      <c r="BF347" s="1546" t="e">
        <f t="shared" si="66"/>
        <v>#VALUE!</v>
      </c>
      <c r="BG347" s="1546" t="e">
        <f t="shared" si="66"/>
        <v>#VALUE!</v>
      </c>
      <c r="BH347" s="1546" t="e">
        <f t="shared" si="66"/>
        <v>#VALUE!</v>
      </c>
      <c r="BI347" s="1546" t="e">
        <f t="shared" si="66"/>
        <v>#VALUE!</v>
      </c>
      <c r="BJ347" s="1546" t="e">
        <f t="shared" si="66"/>
        <v>#VALUE!</v>
      </c>
      <c r="BK347" s="1546" t="e">
        <f t="shared" si="66"/>
        <v>#VALUE!</v>
      </c>
      <c r="BL347" s="1546" t="e">
        <f t="shared" si="66"/>
        <v>#VALUE!</v>
      </c>
      <c r="BM347" s="1546" t="e">
        <f t="shared" si="66"/>
        <v>#VALUE!</v>
      </c>
      <c r="BN347" s="1546" t="e">
        <f t="shared" si="66"/>
        <v>#VALUE!</v>
      </c>
      <c r="BO347" s="1546" t="e">
        <f t="shared" si="66"/>
        <v>#VALUE!</v>
      </c>
      <c r="BP347" s="1546" t="e">
        <f t="shared" si="66"/>
        <v>#VALUE!</v>
      </c>
      <c r="BQ347" s="1546" t="e">
        <f t="shared" si="66"/>
        <v>#VALUE!</v>
      </c>
      <c r="BR347" s="1546" t="e">
        <f t="shared" si="66"/>
        <v>#VALUE!</v>
      </c>
      <c r="BS347" s="1546" t="e">
        <f t="shared" si="66"/>
        <v>#VALUE!</v>
      </c>
      <c r="BT347" s="1547">
        <f t="shared" ref="BT347" si="67">((AJ318/(1+DiscRDE)^BT$355)-(BT318/(1+DiscRDE)^BT$355))-((AJ318/(1+$F$347)^BT$355)-(BT318/(1+$F$347)^BT$355))</f>
        <v>0</v>
      </c>
      <c r="BU347" s="2029"/>
      <c r="BV347" s="1070"/>
      <c r="BW347" s="2027"/>
      <c r="BX347" s="2027"/>
    </row>
    <row r="348" spans="1:76" hidden="1" outlineLevel="2" x14ac:dyDescent="0.3">
      <c r="A348" s="1527"/>
      <c r="B348" s="1543" t="s">
        <v>1500</v>
      </c>
      <c r="C348" s="1491"/>
      <c r="D348" s="1352"/>
      <c r="E348" s="1267"/>
      <c r="F348" s="1493"/>
      <c r="G348" s="1545" t="e">
        <f t="shared" ref="G348:AI348" si="68">((IF(G316=DefExitFY+9,G323,G318)/(1+DiscRDEOrig)^G$355)-(IF(DefExitFY+9=AQ316,AQ323,AQ318)/(1+DiscRDEOrig)^G$355))-SUM(G343:G347)</f>
        <v>#VALUE!</v>
      </c>
      <c r="H348" s="1556" t="e">
        <f t="shared" si="68"/>
        <v>#VALUE!</v>
      </c>
      <c r="I348" s="1556" t="e">
        <f t="shared" si="68"/>
        <v>#VALUE!</v>
      </c>
      <c r="J348" s="1556" t="e">
        <f t="shared" si="68"/>
        <v>#VALUE!</v>
      </c>
      <c r="K348" s="1556" t="e">
        <f t="shared" si="68"/>
        <v>#VALUE!</v>
      </c>
      <c r="L348" s="1556" t="e">
        <f t="shared" si="68"/>
        <v>#VALUE!</v>
      </c>
      <c r="M348" s="1556" t="e">
        <f t="shared" si="68"/>
        <v>#VALUE!</v>
      </c>
      <c r="N348" s="1556" t="e">
        <f t="shared" si="68"/>
        <v>#VALUE!</v>
      </c>
      <c r="O348" s="1556" t="e">
        <f t="shared" si="68"/>
        <v>#VALUE!</v>
      </c>
      <c r="P348" s="1556" t="e">
        <f t="shared" si="68"/>
        <v>#VALUE!</v>
      </c>
      <c r="Q348" s="1556" t="e">
        <f t="shared" si="68"/>
        <v>#VALUE!</v>
      </c>
      <c r="R348" s="1556" t="e">
        <f t="shared" si="68"/>
        <v>#VALUE!</v>
      </c>
      <c r="S348" s="1556" t="e">
        <f t="shared" si="68"/>
        <v>#VALUE!</v>
      </c>
      <c r="T348" s="1556" t="e">
        <f t="shared" si="68"/>
        <v>#VALUE!</v>
      </c>
      <c r="U348" s="1556" t="e">
        <f t="shared" si="68"/>
        <v>#VALUE!</v>
      </c>
      <c r="V348" s="1556" t="e">
        <f t="shared" si="68"/>
        <v>#VALUE!</v>
      </c>
      <c r="W348" s="1556" t="e">
        <f t="shared" si="68"/>
        <v>#VALUE!</v>
      </c>
      <c r="X348" s="1556" t="e">
        <f t="shared" si="68"/>
        <v>#VALUE!</v>
      </c>
      <c r="Y348" s="1556" t="e">
        <f t="shared" si="68"/>
        <v>#VALUE!</v>
      </c>
      <c r="Z348" s="1556" t="e">
        <f t="shared" si="68"/>
        <v>#VALUE!</v>
      </c>
      <c r="AA348" s="1556" t="e">
        <f t="shared" si="68"/>
        <v>#VALUE!</v>
      </c>
      <c r="AB348" s="1556" t="e">
        <f t="shared" si="68"/>
        <v>#VALUE!</v>
      </c>
      <c r="AC348" s="1556" t="e">
        <f t="shared" si="68"/>
        <v>#VALUE!</v>
      </c>
      <c r="AD348" s="1556" t="e">
        <f t="shared" si="68"/>
        <v>#VALUE!</v>
      </c>
      <c r="AE348" s="1556" t="e">
        <f t="shared" si="68"/>
        <v>#VALUE!</v>
      </c>
      <c r="AF348" s="1556" t="e">
        <f t="shared" si="68"/>
        <v>#VALUE!</v>
      </c>
      <c r="AG348" s="1556" t="e">
        <f t="shared" si="68"/>
        <v>#VALUE!</v>
      </c>
      <c r="AH348" s="1556" t="e">
        <f t="shared" si="68"/>
        <v>#VALUE!</v>
      </c>
      <c r="AI348" s="1556" t="e">
        <f t="shared" si="68"/>
        <v>#VALUE!</v>
      </c>
      <c r="AJ348" s="1547">
        <f t="shared" si="50"/>
        <v>0</v>
      </c>
      <c r="AK348" s="2030" t="e">
        <f>(H331-AR331)-AK346</f>
        <v>#VALUE!</v>
      </c>
      <c r="AL348" s="1142"/>
      <c r="AM348" s="1604"/>
      <c r="AN348" s="1604"/>
      <c r="AO348" s="1149"/>
      <c r="AP348" s="1142"/>
      <c r="AQ348" s="1548" t="e">
        <f t="shared" ref="AQ348:BS348" si="69">((IF(AQ316=DefExitFY+14,G323,G318)/(1+DiscRDEOrig)^AQ$355)-(IF(DefExitFY+14=AQ316,AQ323,AQ318)/(1+DiscRDEOrig)^AQ$355))-SUM(AQ343:AQ347)</f>
        <v>#VALUE!</v>
      </c>
      <c r="AR348" s="1556" t="e">
        <f t="shared" si="69"/>
        <v>#VALUE!</v>
      </c>
      <c r="AS348" s="1556" t="e">
        <f t="shared" si="69"/>
        <v>#VALUE!</v>
      </c>
      <c r="AT348" s="1556" t="e">
        <f t="shared" si="69"/>
        <v>#VALUE!</v>
      </c>
      <c r="AU348" s="1556" t="e">
        <f t="shared" si="69"/>
        <v>#VALUE!</v>
      </c>
      <c r="AV348" s="1556" t="e">
        <f t="shared" si="69"/>
        <v>#VALUE!</v>
      </c>
      <c r="AW348" s="1556" t="e">
        <f t="shared" si="69"/>
        <v>#VALUE!</v>
      </c>
      <c r="AX348" s="1556" t="e">
        <f t="shared" si="69"/>
        <v>#VALUE!</v>
      </c>
      <c r="AY348" s="1556" t="e">
        <f t="shared" si="69"/>
        <v>#VALUE!</v>
      </c>
      <c r="AZ348" s="1556" t="e">
        <f t="shared" si="69"/>
        <v>#VALUE!</v>
      </c>
      <c r="BA348" s="1556" t="e">
        <f t="shared" si="69"/>
        <v>#VALUE!</v>
      </c>
      <c r="BB348" s="1556" t="e">
        <f t="shared" si="69"/>
        <v>#VALUE!</v>
      </c>
      <c r="BC348" s="1556" t="e">
        <f t="shared" si="69"/>
        <v>#VALUE!</v>
      </c>
      <c r="BD348" s="1556" t="e">
        <f t="shared" si="69"/>
        <v>#VALUE!</v>
      </c>
      <c r="BE348" s="1556" t="e">
        <f t="shared" si="69"/>
        <v>#VALUE!</v>
      </c>
      <c r="BF348" s="1556" t="e">
        <f t="shared" si="69"/>
        <v>#VALUE!</v>
      </c>
      <c r="BG348" s="1556" t="e">
        <f t="shared" si="69"/>
        <v>#VALUE!</v>
      </c>
      <c r="BH348" s="1556" t="e">
        <f t="shared" si="69"/>
        <v>#VALUE!</v>
      </c>
      <c r="BI348" s="1556" t="e">
        <f t="shared" si="69"/>
        <v>#VALUE!</v>
      </c>
      <c r="BJ348" s="1556" t="e">
        <f t="shared" si="69"/>
        <v>#VALUE!</v>
      </c>
      <c r="BK348" s="1556" t="e">
        <f t="shared" si="69"/>
        <v>#VALUE!</v>
      </c>
      <c r="BL348" s="1556" t="e">
        <f t="shared" si="69"/>
        <v>#VALUE!</v>
      </c>
      <c r="BM348" s="1556" t="e">
        <f t="shared" si="69"/>
        <v>#VALUE!</v>
      </c>
      <c r="BN348" s="1556" t="e">
        <f t="shared" si="69"/>
        <v>#VALUE!</v>
      </c>
      <c r="BO348" s="1556" t="e">
        <f t="shared" si="69"/>
        <v>#VALUE!</v>
      </c>
      <c r="BP348" s="1556" t="e">
        <f t="shared" si="69"/>
        <v>#VALUE!</v>
      </c>
      <c r="BQ348" s="1556" t="e">
        <f t="shared" si="69"/>
        <v>#VALUE!</v>
      </c>
      <c r="BR348" s="1556" t="e">
        <f t="shared" si="69"/>
        <v>#VALUE!</v>
      </c>
      <c r="BS348" s="1556" t="e">
        <f t="shared" si="69"/>
        <v>#VALUE!</v>
      </c>
      <c r="BT348" s="1547">
        <f>SUMIF($AQ$354:$BS$354,TRUE,AQ348:BS348)</f>
        <v>0</v>
      </c>
      <c r="BU348" s="2033" t="e">
        <f>(K331-AU331)-BU346</f>
        <v>#VALUE!</v>
      </c>
      <c r="BV348" s="1070"/>
      <c r="BW348" s="2027"/>
      <c r="BX348" s="2027"/>
    </row>
    <row r="349" spans="1:76" hidden="1" outlineLevel="2" x14ac:dyDescent="0.3">
      <c r="A349" s="1527"/>
      <c r="B349" s="1434" t="s">
        <v>1501</v>
      </c>
      <c r="C349" s="1201"/>
      <c r="D349" s="1232"/>
      <c r="E349" s="1232"/>
      <c r="F349" s="1557"/>
      <c r="G349" s="1558" t="e">
        <f t="shared" ref="G349:AI349" si="70">SUM(G343:G348)</f>
        <v>#VALUE!</v>
      </c>
      <c r="H349" s="1559" t="e">
        <f t="shared" si="70"/>
        <v>#VALUE!</v>
      </c>
      <c r="I349" s="1559" t="e">
        <f t="shared" si="70"/>
        <v>#VALUE!</v>
      </c>
      <c r="J349" s="1559" t="e">
        <f t="shared" si="70"/>
        <v>#VALUE!</v>
      </c>
      <c r="K349" s="1559" t="e">
        <f t="shared" si="70"/>
        <v>#VALUE!</v>
      </c>
      <c r="L349" s="1559" t="e">
        <f t="shared" si="70"/>
        <v>#VALUE!</v>
      </c>
      <c r="M349" s="1559" t="e">
        <f t="shared" si="70"/>
        <v>#VALUE!</v>
      </c>
      <c r="N349" s="1559" t="e">
        <f t="shared" si="70"/>
        <v>#VALUE!</v>
      </c>
      <c r="O349" s="1559" t="e">
        <f t="shared" si="70"/>
        <v>#VALUE!</v>
      </c>
      <c r="P349" s="1559" t="e">
        <f t="shared" si="70"/>
        <v>#VALUE!</v>
      </c>
      <c r="Q349" s="1559" t="e">
        <f t="shared" si="70"/>
        <v>#VALUE!</v>
      </c>
      <c r="R349" s="1559" t="e">
        <f t="shared" si="70"/>
        <v>#VALUE!</v>
      </c>
      <c r="S349" s="1559" t="e">
        <f t="shared" si="70"/>
        <v>#VALUE!</v>
      </c>
      <c r="T349" s="1559" t="e">
        <f t="shared" si="70"/>
        <v>#VALUE!</v>
      </c>
      <c r="U349" s="1559" t="e">
        <f t="shared" si="70"/>
        <v>#VALUE!</v>
      </c>
      <c r="V349" s="1559" t="e">
        <f t="shared" si="70"/>
        <v>#VALUE!</v>
      </c>
      <c r="W349" s="1559" t="e">
        <f t="shared" si="70"/>
        <v>#VALUE!</v>
      </c>
      <c r="X349" s="1559" t="e">
        <f t="shared" si="70"/>
        <v>#VALUE!</v>
      </c>
      <c r="Y349" s="1559" t="e">
        <f t="shared" si="70"/>
        <v>#VALUE!</v>
      </c>
      <c r="Z349" s="1559" t="e">
        <f t="shared" si="70"/>
        <v>#VALUE!</v>
      </c>
      <c r="AA349" s="1559" t="e">
        <f t="shared" si="70"/>
        <v>#VALUE!</v>
      </c>
      <c r="AB349" s="1559" t="e">
        <f t="shared" si="70"/>
        <v>#VALUE!</v>
      </c>
      <c r="AC349" s="1559" t="e">
        <f t="shared" si="70"/>
        <v>#VALUE!</v>
      </c>
      <c r="AD349" s="1559" t="e">
        <f t="shared" si="70"/>
        <v>#VALUE!</v>
      </c>
      <c r="AE349" s="1559" t="e">
        <f t="shared" si="70"/>
        <v>#VALUE!</v>
      </c>
      <c r="AF349" s="1559" t="e">
        <f t="shared" si="70"/>
        <v>#VALUE!</v>
      </c>
      <c r="AG349" s="1559" t="e">
        <f t="shared" si="70"/>
        <v>#VALUE!</v>
      </c>
      <c r="AH349" s="1559" t="e">
        <f t="shared" si="70"/>
        <v>#VALUE!</v>
      </c>
      <c r="AI349" s="1559" t="e">
        <f t="shared" si="70"/>
        <v>#VALUE!</v>
      </c>
      <c r="AJ349" s="1560">
        <f t="shared" si="50"/>
        <v>0</v>
      </c>
      <c r="AK349" s="2034"/>
      <c r="AL349" s="1142"/>
      <c r="AM349" s="1604"/>
      <c r="AN349" s="1604"/>
      <c r="AO349" s="1149"/>
      <c r="AP349" s="1142"/>
      <c r="AQ349" s="1561" t="e">
        <f t="shared" ref="AQ349:BS349" si="71">SUM(AQ343:AQ348)</f>
        <v>#VALUE!</v>
      </c>
      <c r="AR349" s="1559" t="e">
        <f t="shared" si="71"/>
        <v>#VALUE!</v>
      </c>
      <c r="AS349" s="1559" t="e">
        <f t="shared" si="71"/>
        <v>#VALUE!</v>
      </c>
      <c r="AT349" s="1559" t="e">
        <f t="shared" si="71"/>
        <v>#VALUE!</v>
      </c>
      <c r="AU349" s="1559" t="e">
        <f t="shared" si="71"/>
        <v>#VALUE!</v>
      </c>
      <c r="AV349" s="1559" t="e">
        <f t="shared" si="71"/>
        <v>#VALUE!</v>
      </c>
      <c r="AW349" s="1559" t="e">
        <f t="shared" si="71"/>
        <v>#VALUE!</v>
      </c>
      <c r="AX349" s="1559" t="e">
        <f t="shared" si="71"/>
        <v>#VALUE!</v>
      </c>
      <c r="AY349" s="1559" t="e">
        <f t="shared" si="71"/>
        <v>#VALUE!</v>
      </c>
      <c r="AZ349" s="1559" t="e">
        <f t="shared" si="71"/>
        <v>#VALUE!</v>
      </c>
      <c r="BA349" s="1559" t="e">
        <f t="shared" si="71"/>
        <v>#VALUE!</v>
      </c>
      <c r="BB349" s="1559" t="e">
        <f t="shared" si="71"/>
        <v>#VALUE!</v>
      </c>
      <c r="BC349" s="1559" t="e">
        <f t="shared" si="71"/>
        <v>#VALUE!</v>
      </c>
      <c r="BD349" s="1559" t="e">
        <f t="shared" si="71"/>
        <v>#VALUE!</v>
      </c>
      <c r="BE349" s="1559" t="e">
        <f t="shared" si="71"/>
        <v>#VALUE!</v>
      </c>
      <c r="BF349" s="1559" t="e">
        <f t="shared" si="71"/>
        <v>#VALUE!</v>
      </c>
      <c r="BG349" s="1559" t="e">
        <f t="shared" si="71"/>
        <v>#VALUE!</v>
      </c>
      <c r="BH349" s="1559" t="e">
        <f t="shared" si="71"/>
        <v>#VALUE!</v>
      </c>
      <c r="BI349" s="1559" t="e">
        <f t="shared" si="71"/>
        <v>#VALUE!</v>
      </c>
      <c r="BJ349" s="1559" t="e">
        <f t="shared" si="71"/>
        <v>#VALUE!</v>
      </c>
      <c r="BK349" s="1559" t="e">
        <f t="shared" si="71"/>
        <v>#VALUE!</v>
      </c>
      <c r="BL349" s="1559" t="e">
        <f t="shared" si="71"/>
        <v>#VALUE!</v>
      </c>
      <c r="BM349" s="1559" t="e">
        <f t="shared" si="71"/>
        <v>#VALUE!</v>
      </c>
      <c r="BN349" s="1559" t="e">
        <f t="shared" si="71"/>
        <v>#VALUE!</v>
      </c>
      <c r="BO349" s="1559" t="e">
        <f t="shared" si="71"/>
        <v>#VALUE!</v>
      </c>
      <c r="BP349" s="1559" t="e">
        <f t="shared" si="71"/>
        <v>#VALUE!</v>
      </c>
      <c r="BQ349" s="1559" t="e">
        <f t="shared" si="71"/>
        <v>#VALUE!</v>
      </c>
      <c r="BR349" s="1559" t="e">
        <f t="shared" si="71"/>
        <v>#VALUE!</v>
      </c>
      <c r="BS349" s="1559" t="e">
        <f t="shared" si="71"/>
        <v>#VALUE!</v>
      </c>
      <c r="BT349" s="1560">
        <f>SUMIF($AQ$354:$BS$354,TRUE,AQ349:BS349)</f>
        <v>0</v>
      </c>
      <c r="BU349" s="2035"/>
      <c r="BV349" s="1070"/>
      <c r="BW349" s="2027"/>
      <c r="BX349" s="2027"/>
    </row>
    <row r="350" spans="1:76" hidden="1" outlineLevel="2" x14ac:dyDescent="0.3">
      <c r="A350" s="1527"/>
      <c r="B350" s="1142"/>
      <c r="C350" s="1142"/>
      <c r="D350" s="1142"/>
      <c r="E350" s="1142"/>
      <c r="F350" s="1142"/>
      <c r="G350" s="2036"/>
      <c r="H350" s="2036"/>
      <c r="I350" s="2036"/>
      <c r="J350" s="2036"/>
      <c r="K350" s="2036"/>
      <c r="L350" s="2036"/>
      <c r="M350" s="2036"/>
      <c r="N350" s="2036"/>
      <c r="O350" s="2036"/>
      <c r="P350" s="2036"/>
      <c r="Q350" s="2036"/>
      <c r="R350" s="2036"/>
      <c r="S350" s="2036"/>
      <c r="T350" s="2036"/>
      <c r="U350" s="2036"/>
      <c r="V350" s="2036"/>
      <c r="W350" s="2036"/>
      <c r="X350" s="2036"/>
      <c r="Y350" s="2036"/>
      <c r="Z350" s="2036"/>
      <c r="AA350" s="2036"/>
      <c r="AB350" s="2036"/>
      <c r="AC350" s="2036"/>
      <c r="AD350" s="2036"/>
      <c r="AE350" s="2036"/>
      <c r="AF350" s="2036"/>
      <c r="AG350" s="2036"/>
      <c r="AH350" s="2036"/>
      <c r="AI350" s="2036"/>
      <c r="AJ350" s="2036"/>
      <c r="AK350" s="1142"/>
      <c r="AL350" s="1142"/>
      <c r="AM350" s="1142"/>
      <c r="AN350" s="1142"/>
      <c r="AO350" s="1149"/>
      <c r="AP350" s="1142"/>
      <c r="AQ350" s="2037"/>
      <c r="AR350" s="2037"/>
      <c r="AS350" s="2037"/>
      <c r="AT350" s="2037"/>
      <c r="AU350" s="2037"/>
      <c r="AV350" s="2037"/>
      <c r="AW350" s="2037"/>
      <c r="AX350" s="2037"/>
      <c r="AY350" s="2037"/>
      <c r="AZ350" s="2037"/>
      <c r="BA350" s="2037"/>
      <c r="BB350" s="2037"/>
      <c r="BC350" s="2037"/>
      <c r="BD350" s="2037"/>
      <c r="BE350" s="2037"/>
      <c r="BF350" s="2037"/>
      <c r="BG350" s="2037"/>
      <c r="BH350" s="2037"/>
      <c r="BI350" s="2037"/>
      <c r="BJ350" s="2037"/>
      <c r="BK350" s="2037"/>
      <c r="BL350" s="2037"/>
      <c r="BM350" s="2037"/>
      <c r="BN350" s="2037"/>
      <c r="BO350" s="2037"/>
      <c r="BP350" s="2037"/>
      <c r="BQ350" s="2037"/>
      <c r="BR350" s="2037"/>
      <c r="BS350" s="2037"/>
      <c r="BT350" s="1116"/>
      <c r="BU350" s="1550"/>
      <c r="BV350" s="1070"/>
    </row>
    <row r="351" spans="1:76" hidden="1" outlineLevel="2" x14ac:dyDescent="0.3">
      <c r="A351" s="1474"/>
      <c r="B351" s="1479" t="s">
        <v>1373</v>
      </c>
      <c r="C351" s="1218"/>
      <c r="D351" s="1218"/>
      <c r="E351" s="1218"/>
      <c r="F351" s="1218"/>
      <c r="G351" s="2038"/>
      <c r="H351" s="2038"/>
      <c r="I351" s="2038"/>
      <c r="J351" s="2038"/>
      <c r="K351" s="2038"/>
      <c r="L351" s="2038"/>
      <c r="M351" s="2038"/>
      <c r="N351" s="2038"/>
      <c r="O351" s="2038"/>
      <c r="P351" s="2038"/>
      <c r="Q351" s="2038"/>
      <c r="R351" s="2038"/>
      <c r="S351" s="2038"/>
      <c r="T351" s="2038"/>
      <c r="U351" s="2038"/>
      <c r="V351" s="2038"/>
      <c r="W351" s="2038"/>
      <c r="X351" s="2038"/>
      <c r="Y351" s="2038"/>
      <c r="Z351" s="2038"/>
      <c r="AA351" s="2038"/>
      <c r="AB351" s="2038"/>
      <c r="AC351" s="2038"/>
      <c r="AD351" s="2038"/>
      <c r="AE351" s="2038"/>
      <c r="AF351" s="2038"/>
      <c r="AG351" s="2038"/>
      <c r="AH351" s="2038"/>
      <c r="AI351" s="2039"/>
      <c r="AJ351" s="1564"/>
      <c r="AK351" s="1142"/>
      <c r="AL351" s="1142"/>
      <c r="AM351" s="1142"/>
      <c r="AN351" s="1142"/>
      <c r="AO351" s="1149"/>
      <c r="AP351" s="1142"/>
      <c r="AQ351" s="1569" t="s">
        <v>1373</v>
      </c>
      <c r="AR351" s="1159"/>
      <c r="AS351" s="1159"/>
      <c r="AT351" s="1159"/>
      <c r="AU351" s="1159"/>
      <c r="AV351" s="1159"/>
      <c r="AW351" s="1159"/>
      <c r="AX351" s="1159"/>
      <c r="AY351" s="1159"/>
      <c r="AZ351" s="1159"/>
      <c r="BA351" s="1159"/>
      <c r="BB351" s="1159"/>
      <c r="BC351" s="1159"/>
      <c r="BD351" s="1159"/>
      <c r="BE351" s="1159"/>
      <c r="BF351" s="1159"/>
      <c r="BG351" s="1159"/>
      <c r="BH351" s="1159"/>
      <c r="BI351" s="1159"/>
      <c r="BJ351" s="1159"/>
      <c r="BK351" s="1159"/>
      <c r="BL351" s="1159"/>
      <c r="BM351" s="1159"/>
      <c r="BN351" s="1159"/>
      <c r="BO351" s="1159"/>
      <c r="BP351" s="1159"/>
      <c r="BQ351" s="1159"/>
      <c r="BR351" s="1159"/>
      <c r="BS351" s="1186"/>
      <c r="BT351" s="1142"/>
      <c r="BU351" s="1478"/>
      <c r="BV351" s="1070"/>
    </row>
    <row r="352" spans="1:76" hidden="1" outlineLevel="2" x14ac:dyDescent="0.3">
      <c r="A352" s="1474"/>
      <c r="B352" s="1207" t="s">
        <v>1374</v>
      </c>
      <c r="C352" s="1116"/>
      <c r="D352" s="1116"/>
      <c r="E352" s="1116"/>
      <c r="F352" s="1116"/>
      <c r="G352" s="1570" t="e">
        <f t="shared" ref="G352:AI352" si="72">IF(LaunchFY="NA",2,IF((LaunchFY+3)&gt;G339,1,0))</f>
        <v>#VALUE!</v>
      </c>
      <c r="H352" s="1571" t="e">
        <f t="shared" si="72"/>
        <v>#VALUE!</v>
      </c>
      <c r="I352" s="1571" t="e">
        <f t="shared" si="72"/>
        <v>#VALUE!</v>
      </c>
      <c r="J352" s="1571" t="e">
        <f t="shared" si="72"/>
        <v>#VALUE!</v>
      </c>
      <c r="K352" s="1571" t="e">
        <f t="shared" si="72"/>
        <v>#VALUE!</v>
      </c>
      <c r="L352" s="1571" t="e">
        <f t="shared" si="72"/>
        <v>#VALUE!</v>
      </c>
      <c r="M352" s="1571" t="e">
        <f t="shared" si="72"/>
        <v>#VALUE!</v>
      </c>
      <c r="N352" s="1571" t="e">
        <f t="shared" si="72"/>
        <v>#VALUE!</v>
      </c>
      <c r="O352" s="1571" t="e">
        <f t="shared" si="72"/>
        <v>#VALUE!</v>
      </c>
      <c r="P352" s="1571" t="e">
        <f t="shared" si="72"/>
        <v>#VALUE!</v>
      </c>
      <c r="Q352" s="1571" t="e">
        <f t="shared" si="72"/>
        <v>#VALUE!</v>
      </c>
      <c r="R352" s="1571" t="e">
        <f t="shared" si="72"/>
        <v>#VALUE!</v>
      </c>
      <c r="S352" s="1571" t="e">
        <f t="shared" si="72"/>
        <v>#VALUE!</v>
      </c>
      <c r="T352" s="1571" t="e">
        <f t="shared" si="72"/>
        <v>#VALUE!</v>
      </c>
      <c r="U352" s="1571" t="e">
        <f t="shared" si="72"/>
        <v>#VALUE!</v>
      </c>
      <c r="V352" s="1571" t="e">
        <f t="shared" si="72"/>
        <v>#VALUE!</v>
      </c>
      <c r="W352" s="1571" t="e">
        <f t="shared" si="72"/>
        <v>#VALUE!</v>
      </c>
      <c r="X352" s="1571" t="e">
        <f t="shared" si="72"/>
        <v>#VALUE!</v>
      </c>
      <c r="Y352" s="1571" t="e">
        <f t="shared" si="72"/>
        <v>#VALUE!</v>
      </c>
      <c r="Z352" s="1571" t="e">
        <f t="shared" si="72"/>
        <v>#VALUE!</v>
      </c>
      <c r="AA352" s="1571" t="e">
        <f t="shared" si="72"/>
        <v>#VALUE!</v>
      </c>
      <c r="AB352" s="1571" t="e">
        <f t="shared" si="72"/>
        <v>#VALUE!</v>
      </c>
      <c r="AC352" s="1571" t="e">
        <f t="shared" si="72"/>
        <v>#VALUE!</v>
      </c>
      <c r="AD352" s="1571" t="e">
        <f t="shared" si="72"/>
        <v>#VALUE!</v>
      </c>
      <c r="AE352" s="1571" t="e">
        <f t="shared" si="72"/>
        <v>#VALUE!</v>
      </c>
      <c r="AF352" s="1571" t="e">
        <f t="shared" si="72"/>
        <v>#VALUE!</v>
      </c>
      <c r="AG352" s="1571" t="e">
        <f t="shared" si="72"/>
        <v>#VALUE!</v>
      </c>
      <c r="AH352" s="1571" t="e">
        <f t="shared" si="72"/>
        <v>#VALUE!</v>
      </c>
      <c r="AI352" s="1572" t="e">
        <f t="shared" si="72"/>
        <v>#VALUE!</v>
      </c>
      <c r="AJ352" s="1564"/>
      <c r="AK352" s="1142"/>
      <c r="AL352" s="1142"/>
      <c r="AM352" s="1142"/>
      <c r="AN352" s="1142"/>
      <c r="AO352" s="1567"/>
      <c r="AP352" s="1568"/>
      <c r="AQ352" s="1573"/>
      <c r="AR352" s="1571"/>
      <c r="AS352" s="1571"/>
      <c r="AT352" s="1571"/>
      <c r="AU352" s="1571"/>
      <c r="AV352" s="1571"/>
      <c r="AW352" s="1571"/>
      <c r="AX352" s="1571"/>
      <c r="AY352" s="1571"/>
      <c r="AZ352" s="1571"/>
      <c r="BA352" s="1571"/>
      <c r="BB352" s="1571"/>
      <c r="BC352" s="1571"/>
      <c r="BD352" s="1571"/>
      <c r="BE352" s="1571"/>
      <c r="BF352" s="1571"/>
      <c r="BG352" s="1571"/>
      <c r="BH352" s="1571"/>
      <c r="BI352" s="1571"/>
      <c r="BJ352" s="1571"/>
      <c r="BK352" s="1571"/>
      <c r="BL352" s="1571"/>
      <c r="BM352" s="1571"/>
      <c r="BN352" s="1571"/>
      <c r="BO352" s="1571"/>
      <c r="BP352" s="1571"/>
      <c r="BQ352" s="1571"/>
      <c r="BR352" s="1571"/>
      <c r="BS352" s="1572"/>
      <c r="BT352" s="1142"/>
      <c r="BU352" s="1478"/>
      <c r="BV352" s="1070"/>
    </row>
    <row r="353" spans="1:74" hidden="1" outlineLevel="2" x14ac:dyDescent="0.3">
      <c r="A353" s="1474"/>
      <c r="B353" s="1207" t="s">
        <v>1502</v>
      </c>
      <c r="C353" s="1116"/>
      <c r="D353" s="1116"/>
      <c r="E353" s="1116"/>
      <c r="F353" s="1116"/>
      <c r="G353" s="1574" t="e">
        <f t="shared" ref="G353:AI353" si="73">IF(LaunchDefExitOrigFY="NA",2,IF(G339&gt;=DefExitFYOrig,1,0))</f>
        <v>#VALUE!</v>
      </c>
      <c r="H353" s="1556" t="e">
        <f t="shared" si="73"/>
        <v>#VALUE!</v>
      </c>
      <c r="I353" s="1556" t="e">
        <f t="shared" si="73"/>
        <v>#VALUE!</v>
      </c>
      <c r="J353" s="1556" t="e">
        <f t="shared" si="73"/>
        <v>#VALUE!</v>
      </c>
      <c r="K353" s="1556" t="e">
        <f t="shared" si="73"/>
        <v>#VALUE!</v>
      </c>
      <c r="L353" s="1556" t="e">
        <f t="shared" si="73"/>
        <v>#VALUE!</v>
      </c>
      <c r="M353" s="1556" t="e">
        <f t="shared" si="73"/>
        <v>#VALUE!</v>
      </c>
      <c r="N353" s="1556" t="e">
        <f t="shared" si="73"/>
        <v>#VALUE!</v>
      </c>
      <c r="O353" s="1556" t="e">
        <f t="shared" si="73"/>
        <v>#VALUE!</v>
      </c>
      <c r="P353" s="1556" t="e">
        <f t="shared" si="73"/>
        <v>#VALUE!</v>
      </c>
      <c r="Q353" s="1556" t="e">
        <f t="shared" si="73"/>
        <v>#VALUE!</v>
      </c>
      <c r="R353" s="1556" t="e">
        <f t="shared" si="73"/>
        <v>#VALUE!</v>
      </c>
      <c r="S353" s="1556" t="e">
        <f t="shared" si="73"/>
        <v>#VALUE!</v>
      </c>
      <c r="T353" s="1556" t="e">
        <f t="shared" si="73"/>
        <v>#VALUE!</v>
      </c>
      <c r="U353" s="1556" t="e">
        <f t="shared" si="73"/>
        <v>#VALUE!</v>
      </c>
      <c r="V353" s="1556" t="e">
        <f t="shared" si="73"/>
        <v>#VALUE!</v>
      </c>
      <c r="W353" s="1556" t="e">
        <f t="shared" si="73"/>
        <v>#VALUE!</v>
      </c>
      <c r="X353" s="1556" t="e">
        <f t="shared" si="73"/>
        <v>#VALUE!</v>
      </c>
      <c r="Y353" s="1556" t="e">
        <f t="shared" si="73"/>
        <v>#VALUE!</v>
      </c>
      <c r="Z353" s="1556" t="e">
        <f t="shared" si="73"/>
        <v>#VALUE!</v>
      </c>
      <c r="AA353" s="1556" t="e">
        <f t="shared" si="73"/>
        <v>#VALUE!</v>
      </c>
      <c r="AB353" s="1556" t="e">
        <f t="shared" si="73"/>
        <v>#VALUE!</v>
      </c>
      <c r="AC353" s="1556" t="e">
        <f t="shared" si="73"/>
        <v>#VALUE!</v>
      </c>
      <c r="AD353" s="1556" t="e">
        <f t="shared" si="73"/>
        <v>#VALUE!</v>
      </c>
      <c r="AE353" s="1556" t="e">
        <f t="shared" si="73"/>
        <v>#VALUE!</v>
      </c>
      <c r="AF353" s="1556" t="e">
        <f t="shared" si="73"/>
        <v>#VALUE!</v>
      </c>
      <c r="AG353" s="1556" t="e">
        <f t="shared" si="73"/>
        <v>#VALUE!</v>
      </c>
      <c r="AH353" s="1556" t="e">
        <f t="shared" si="73"/>
        <v>#VALUE!</v>
      </c>
      <c r="AI353" s="1575" t="e">
        <f t="shared" si="73"/>
        <v>#VALUE!</v>
      </c>
      <c r="AJ353" s="1564"/>
      <c r="AK353" s="1142"/>
      <c r="AL353" s="1142"/>
      <c r="AM353" s="1142"/>
      <c r="AN353" s="1142"/>
      <c r="AO353" s="1149"/>
      <c r="AP353" s="1437"/>
      <c r="AQ353" s="1577"/>
      <c r="AR353" s="1556"/>
      <c r="AS353" s="1556"/>
      <c r="AT353" s="1556"/>
      <c r="AU353" s="1556"/>
      <c r="AV353" s="1556"/>
      <c r="AW353" s="1556"/>
      <c r="AX353" s="1556"/>
      <c r="AY353" s="1556"/>
      <c r="AZ353" s="1556"/>
      <c r="BA353" s="1556"/>
      <c r="BB353" s="1556"/>
      <c r="BC353" s="1556"/>
      <c r="BD353" s="1556"/>
      <c r="BE353" s="1556"/>
      <c r="BF353" s="1556"/>
      <c r="BG353" s="1556"/>
      <c r="BH353" s="1556"/>
      <c r="BI353" s="1556"/>
      <c r="BJ353" s="1556"/>
      <c r="BK353" s="1556"/>
      <c r="BL353" s="1556"/>
      <c r="BM353" s="1556"/>
      <c r="BN353" s="1556"/>
      <c r="BO353" s="1556"/>
      <c r="BP353" s="1556"/>
      <c r="BQ353" s="1556"/>
      <c r="BR353" s="1556"/>
      <c r="BS353" s="1575"/>
      <c r="BT353" s="1142"/>
      <c r="BU353" s="1478"/>
      <c r="BV353" s="1070"/>
    </row>
    <row r="354" spans="1:74" hidden="1" outlineLevel="2" x14ac:dyDescent="0.3">
      <c r="A354" s="1474"/>
      <c r="B354" s="1207" t="s">
        <v>1377</v>
      </c>
      <c r="C354" s="1116"/>
      <c r="D354" s="1116"/>
      <c r="E354" s="1116"/>
      <c r="F354" s="1116"/>
      <c r="G354" s="1574" t="e">
        <f t="shared" ref="G354:AI354" si="74">AND(G339&gt;=DefExitFYOrig,G339&lt;=DefExitFYOrig+9)</f>
        <v>#VALUE!</v>
      </c>
      <c r="H354" s="1556" t="e">
        <f t="shared" si="74"/>
        <v>#VALUE!</v>
      </c>
      <c r="I354" s="1556" t="e">
        <f t="shared" si="74"/>
        <v>#VALUE!</v>
      </c>
      <c r="J354" s="1556" t="e">
        <f t="shared" si="74"/>
        <v>#VALUE!</v>
      </c>
      <c r="K354" s="1556" t="e">
        <f t="shared" si="74"/>
        <v>#VALUE!</v>
      </c>
      <c r="L354" s="1556" t="e">
        <f t="shared" si="74"/>
        <v>#VALUE!</v>
      </c>
      <c r="M354" s="1556" t="e">
        <f t="shared" si="74"/>
        <v>#VALUE!</v>
      </c>
      <c r="N354" s="1556" t="e">
        <f t="shared" si="74"/>
        <v>#VALUE!</v>
      </c>
      <c r="O354" s="1556" t="e">
        <f t="shared" si="74"/>
        <v>#VALUE!</v>
      </c>
      <c r="P354" s="1556" t="e">
        <f t="shared" si="74"/>
        <v>#VALUE!</v>
      </c>
      <c r="Q354" s="1556" t="e">
        <f t="shared" si="74"/>
        <v>#VALUE!</v>
      </c>
      <c r="R354" s="1556" t="e">
        <f t="shared" si="74"/>
        <v>#VALUE!</v>
      </c>
      <c r="S354" s="1556" t="e">
        <f t="shared" si="74"/>
        <v>#VALUE!</v>
      </c>
      <c r="T354" s="1556" t="e">
        <f t="shared" si="74"/>
        <v>#VALUE!</v>
      </c>
      <c r="U354" s="1556" t="e">
        <f t="shared" si="74"/>
        <v>#VALUE!</v>
      </c>
      <c r="V354" s="1556" t="e">
        <f t="shared" si="74"/>
        <v>#VALUE!</v>
      </c>
      <c r="W354" s="1556" t="e">
        <f t="shared" si="74"/>
        <v>#VALUE!</v>
      </c>
      <c r="X354" s="1556" t="e">
        <f t="shared" si="74"/>
        <v>#VALUE!</v>
      </c>
      <c r="Y354" s="1556" t="e">
        <f t="shared" si="74"/>
        <v>#VALUE!</v>
      </c>
      <c r="Z354" s="1556" t="e">
        <f t="shared" si="74"/>
        <v>#VALUE!</v>
      </c>
      <c r="AA354" s="1556" t="e">
        <f t="shared" si="74"/>
        <v>#VALUE!</v>
      </c>
      <c r="AB354" s="1556" t="e">
        <f t="shared" si="74"/>
        <v>#VALUE!</v>
      </c>
      <c r="AC354" s="1556" t="e">
        <f t="shared" si="74"/>
        <v>#VALUE!</v>
      </c>
      <c r="AD354" s="1556" t="e">
        <f t="shared" si="74"/>
        <v>#VALUE!</v>
      </c>
      <c r="AE354" s="1556" t="e">
        <f t="shared" si="74"/>
        <v>#VALUE!</v>
      </c>
      <c r="AF354" s="1556" t="e">
        <f t="shared" si="74"/>
        <v>#VALUE!</v>
      </c>
      <c r="AG354" s="1556" t="e">
        <f t="shared" si="74"/>
        <v>#VALUE!</v>
      </c>
      <c r="AH354" s="1556" t="e">
        <f t="shared" si="74"/>
        <v>#VALUE!</v>
      </c>
      <c r="AI354" s="1575" t="e">
        <f t="shared" si="74"/>
        <v>#VALUE!</v>
      </c>
      <c r="AJ354" s="1564"/>
      <c r="AK354" s="1142"/>
      <c r="AL354" s="1142"/>
      <c r="AM354" s="1142"/>
      <c r="AN354" s="1142"/>
      <c r="AO354" s="1149" t="s">
        <v>1379</v>
      </c>
      <c r="AP354" s="1477"/>
      <c r="AQ354" s="1577" t="e">
        <f t="shared" ref="AQ354:BS354" si="75">AND(AQ339&gt;=DefExitFYOrig,AQ339&lt;=DefExitFYOrig+14)</f>
        <v>#VALUE!</v>
      </c>
      <c r="AR354" s="1556" t="e">
        <f t="shared" si="75"/>
        <v>#VALUE!</v>
      </c>
      <c r="AS354" s="1556" t="e">
        <f t="shared" si="75"/>
        <v>#VALUE!</v>
      </c>
      <c r="AT354" s="1556" t="e">
        <f t="shared" si="75"/>
        <v>#VALUE!</v>
      </c>
      <c r="AU354" s="1556" t="e">
        <f t="shared" si="75"/>
        <v>#VALUE!</v>
      </c>
      <c r="AV354" s="1556" t="e">
        <f t="shared" si="75"/>
        <v>#VALUE!</v>
      </c>
      <c r="AW354" s="1556" t="e">
        <f t="shared" si="75"/>
        <v>#VALUE!</v>
      </c>
      <c r="AX354" s="1556" t="e">
        <f t="shared" si="75"/>
        <v>#VALUE!</v>
      </c>
      <c r="AY354" s="1556" t="e">
        <f t="shared" si="75"/>
        <v>#VALUE!</v>
      </c>
      <c r="AZ354" s="1556" t="e">
        <f t="shared" si="75"/>
        <v>#VALUE!</v>
      </c>
      <c r="BA354" s="1556" t="e">
        <f t="shared" si="75"/>
        <v>#VALUE!</v>
      </c>
      <c r="BB354" s="1556" t="e">
        <f t="shared" si="75"/>
        <v>#VALUE!</v>
      </c>
      <c r="BC354" s="1556" t="e">
        <f t="shared" si="75"/>
        <v>#VALUE!</v>
      </c>
      <c r="BD354" s="1556" t="e">
        <f t="shared" si="75"/>
        <v>#VALUE!</v>
      </c>
      <c r="BE354" s="1556" t="e">
        <f t="shared" si="75"/>
        <v>#VALUE!</v>
      </c>
      <c r="BF354" s="1556" t="e">
        <f t="shared" si="75"/>
        <v>#VALUE!</v>
      </c>
      <c r="BG354" s="1556" t="e">
        <f t="shared" si="75"/>
        <v>#VALUE!</v>
      </c>
      <c r="BH354" s="1556" t="e">
        <f t="shared" si="75"/>
        <v>#VALUE!</v>
      </c>
      <c r="BI354" s="1556" t="e">
        <f t="shared" si="75"/>
        <v>#VALUE!</v>
      </c>
      <c r="BJ354" s="1556" t="e">
        <f t="shared" si="75"/>
        <v>#VALUE!</v>
      </c>
      <c r="BK354" s="1556" t="e">
        <f t="shared" si="75"/>
        <v>#VALUE!</v>
      </c>
      <c r="BL354" s="1556" t="e">
        <f t="shared" si="75"/>
        <v>#VALUE!</v>
      </c>
      <c r="BM354" s="1556" t="e">
        <f t="shared" si="75"/>
        <v>#VALUE!</v>
      </c>
      <c r="BN354" s="1556" t="e">
        <f t="shared" si="75"/>
        <v>#VALUE!</v>
      </c>
      <c r="BO354" s="1556" t="e">
        <f t="shared" si="75"/>
        <v>#VALUE!</v>
      </c>
      <c r="BP354" s="1556" t="e">
        <f t="shared" si="75"/>
        <v>#VALUE!</v>
      </c>
      <c r="BQ354" s="1556" t="e">
        <f t="shared" si="75"/>
        <v>#VALUE!</v>
      </c>
      <c r="BR354" s="1556" t="e">
        <f t="shared" si="75"/>
        <v>#VALUE!</v>
      </c>
      <c r="BS354" s="1575" t="e">
        <f t="shared" si="75"/>
        <v>#VALUE!</v>
      </c>
      <c r="BT354" s="1142"/>
      <c r="BU354" s="1478"/>
      <c r="BV354" s="1070"/>
    </row>
    <row r="355" spans="1:74" hidden="1" outlineLevel="2" x14ac:dyDescent="0.3">
      <c r="A355" s="1474"/>
      <c r="B355" s="1207" t="s">
        <v>1380</v>
      </c>
      <c r="C355" s="1116"/>
      <c r="D355" s="1116"/>
      <c r="E355" s="1116"/>
      <c r="F355" s="1116"/>
      <c r="G355" s="1581" t="e">
        <f>IF(G339=DefExitFYOrig,0,IF(G339&gt;DefExitFYOrig,F355+1,))</f>
        <v>#VALUE!</v>
      </c>
      <c r="H355" s="1116" t="e">
        <f t="shared" ref="H355:AI355" si="76">IF(H339=DefExitFYOrig,0,IF(H339&gt;DefExitFYOrig,G355+1,"x"))</f>
        <v>#VALUE!</v>
      </c>
      <c r="I355" s="1116" t="e">
        <f t="shared" si="76"/>
        <v>#VALUE!</v>
      </c>
      <c r="J355" s="1116" t="e">
        <f t="shared" si="76"/>
        <v>#VALUE!</v>
      </c>
      <c r="K355" s="1116" t="e">
        <f t="shared" si="76"/>
        <v>#VALUE!</v>
      </c>
      <c r="L355" s="1116" t="e">
        <f t="shared" si="76"/>
        <v>#VALUE!</v>
      </c>
      <c r="M355" s="1116" t="e">
        <f t="shared" si="76"/>
        <v>#VALUE!</v>
      </c>
      <c r="N355" s="1116" t="e">
        <f t="shared" si="76"/>
        <v>#VALUE!</v>
      </c>
      <c r="O355" s="1116" t="e">
        <f t="shared" si="76"/>
        <v>#VALUE!</v>
      </c>
      <c r="P355" s="1116" t="e">
        <f t="shared" si="76"/>
        <v>#VALUE!</v>
      </c>
      <c r="Q355" s="1116" t="e">
        <f t="shared" si="76"/>
        <v>#VALUE!</v>
      </c>
      <c r="R355" s="1116" t="e">
        <f t="shared" si="76"/>
        <v>#VALUE!</v>
      </c>
      <c r="S355" s="1116" t="e">
        <f t="shared" si="76"/>
        <v>#VALUE!</v>
      </c>
      <c r="T355" s="1116" t="e">
        <f t="shared" si="76"/>
        <v>#VALUE!</v>
      </c>
      <c r="U355" s="1116" t="e">
        <f t="shared" si="76"/>
        <v>#VALUE!</v>
      </c>
      <c r="V355" s="1116" t="e">
        <f t="shared" si="76"/>
        <v>#VALUE!</v>
      </c>
      <c r="W355" s="1116" t="e">
        <f t="shared" si="76"/>
        <v>#VALUE!</v>
      </c>
      <c r="X355" s="1116" t="e">
        <f t="shared" si="76"/>
        <v>#VALUE!</v>
      </c>
      <c r="Y355" s="1116" t="e">
        <f t="shared" si="76"/>
        <v>#VALUE!</v>
      </c>
      <c r="Z355" s="1116" t="e">
        <f t="shared" si="76"/>
        <v>#VALUE!</v>
      </c>
      <c r="AA355" s="1116" t="e">
        <f t="shared" si="76"/>
        <v>#VALUE!</v>
      </c>
      <c r="AB355" s="1116" t="e">
        <f t="shared" si="76"/>
        <v>#VALUE!</v>
      </c>
      <c r="AC355" s="1116" t="e">
        <f t="shared" si="76"/>
        <v>#VALUE!</v>
      </c>
      <c r="AD355" s="1116" t="e">
        <f t="shared" si="76"/>
        <v>#VALUE!</v>
      </c>
      <c r="AE355" s="1116" t="e">
        <f t="shared" si="76"/>
        <v>#VALUE!</v>
      </c>
      <c r="AF355" s="1116" t="e">
        <f t="shared" si="76"/>
        <v>#VALUE!</v>
      </c>
      <c r="AG355" s="1116" t="e">
        <f t="shared" si="76"/>
        <v>#VALUE!</v>
      </c>
      <c r="AH355" s="1116" t="e">
        <f t="shared" si="76"/>
        <v>#VALUE!</v>
      </c>
      <c r="AI355" s="1477" t="e">
        <f t="shared" si="76"/>
        <v>#VALUE!</v>
      </c>
      <c r="AJ355" s="1564"/>
      <c r="AK355" s="1142"/>
      <c r="AL355" s="1142"/>
      <c r="AM355" s="1142"/>
      <c r="AN355" s="1142"/>
      <c r="AO355" s="1149"/>
      <c r="AP355" s="1477"/>
      <c r="AQ355" s="1207" t="e">
        <f t="shared" ref="AQ355:BS355" si="77">IF(AQ339=DefExitFYOrig,0,IF(AQ339&gt;DefExitFYOrig,AP355+1,))</f>
        <v>#VALUE!</v>
      </c>
      <c r="AR355" s="1116" t="e">
        <f t="shared" si="77"/>
        <v>#VALUE!</v>
      </c>
      <c r="AS355" s="1116" t="e">
        <f t="shared" si="77"/>
        <v>#VALUE!</v>
      </c>
      <c r="AT355" s="1116" t="e">
        <f t="shared" si="77"/>
        <v>#VALUE!</v>
      </c>
      <c r="AU355" s="1116" t="e">
        <f t="shared" si="77"/>
        <v>#VALUE!</v>
      </c>
      <c r="AV355" s="1116" t="e">
        <f t="shared" si="77"/>
        <v>#VALUE!</v>
      </c>
      <c r="AW355" s="1116" t="e">
        <f t="shared" si="77"/>
        <v>#VALUE!</v>
      </c>
      <c r="AX355" s="1116" t="e">
        <f t="shared" si="77"/>
        <v>#VALUE!</v>
      </c>
      <c r="AY355" s="1116" t="e">
        <f t="shared" si="77"/>
        <v>#VALUE!</v>
      </c>
      <c r="AZ355" s="1116" t="e">
        <f t="shared" si="77"/>
        <v>#VALUE!</v>
      </c>
      <c r="BA355" s="1116" t="e">
        <f t="shared" si="77"/>
        <v>#VALUE!</v>
      </c>
      <c r="BB355" s="1116" t="e">
        <f t="shared" si="77"/>
        <v>#VALUE!</v>
      </c>
      <c r="BC355" s="1116" t="e">
        <f t="shared" si="77"/>
        <v>#VALUE!</v>
      </c>
      <c r="BD355" s="1116" t="e">
        <f t="shared" si="77"/>
        <v>#VALUE!</v>
      </c>
      <c r="BE355" s="1116" t="e">
        <f t="shared" si="77"/>
        <v>#VALUE!</v>
      </c>
      <c r="BF355" s="1116" t="e">
        <f t="shared" si="77"/>
        <v>#VALUE!</v>
      </c>
      <c r="BG355" s="1116" t="e">
        <f t="shared" si="77"/>
        <v>#VALUE!</v>
      </c>
      <c r="BH355" s="1116" t="e">
        <f t="shared" si="77"/>
        <v>#VALUE!</v>
      </c>
      <c r="BI355" s="1116" t="e">
        <f t="shared" si="77"/>
        <v>#VALUE!</v>
      </c>
      <c r="BJ355" s="1116" t="e">
        <f t="shared" si="77"/>
        <v>#VALUE!</v>
      </c>
      <c r="BK355" s="1116" t="e">
        <f t="shared" si="77"/>
        <v>#VALUE!</v>
      </c>
      <c r="BL355" s="1116" t="e">
        <f t="shared" si="77"/>
        <v>#VALUE!</v>
      </c>
      <c r="BM355" s="1116" t="e">
        <f t="shared" si="77"/>
        <v>#VALUE!</v>
      </c>
      <c r="BN355" s="1116" t="e">
        <f t="shared" si="77"/>
        <v>#VALUE!</v>
      </c>
      <c r="BO355" s="1116" t="e">
        <f t="shared" si="77"/>
        <v>#VALUE!</v>
      </c>
      <c r="BP355" s="1116" t="e">
        <f t="shared" si="77"/>
        <v>#VALUE!</v>
      </c>
      <c r="BQ355" s="1116" t="e">
        <f t="shared" si="77"/>
        <v>#VALUE!</v>
      </c>
      <c r="BR355" s="1116" t="e">
        <f t="shared" si="77"/>
        <v>#VALUE!</v>
      </c>
      <c r="BS355" s="1477" t="e">
        <f t="shared" si="77"/>
        <v>#VALUE!</v>
      </c>
      <c r="BT355" s="1142"/>
      <c r="BU355" s="1478"/>
      <c r="BV355" s="1070"/>
    </row>
    <row r="356" spans="1:74" hidden="1" outlineLevel="2" x14ac:dyDescent="0.3">
      <c r="A356" s="1474"/>
      <c r="B356" s="1150" t="s">
        <v>1503</v>
      </c>
      <c r="C356" s="1232"/>
      <c r="D356" s="1232"/>
      <c r="E356" s="1232"/>
      <c r="F356" s="1232"/>
      <c r="G356" s="1588" t="e">
        <f t="shared" ref="G356:AI356" si="78">IF(AND(G339&gt;=DefExitFYOrig,G339&lt;=DefExitFYOrig+9),1,0)</f>
        <v>#VALUE!</v>
      </c>
      <c r="H356" s="1232" t="e">
        <f t="shared" si="78"/>
        <v>#VALUE!</v>
      </c>
      <c r="I356" s="1232" t="e">
        <f t="shared" si="78"/>
        <v>#VALUE!</v>
      </c>
      <c r="J356" s="1232" t="e">
        <f t="shared" si="78"/>
        <v>#VALUE!</v>
      </c>
      <c r="K356" s="1232" t="e">
        <f t="shared" si="78"/>
        <v>#VALUE!</v>
      </c>
      <c r="L356" s="1232" t="e">
        <f t="shared" si="78"/>
        <v>#VALUE!</v>
      </c>
      <c r="M356" s="1232" t="e">
        <f t="shared" si="78"/>
        <v>#VALUE!</v>
      </c>
      <c r="N356" s="1232" t="e">
        <f t="shared" si="78"/>
        <v>#VALUE!</v>
      </c>
      <c r="O356" s="1232" t="e">
        <f t="shared" si="78"/>
        <v>#VALUE!</v>
      </c>
      <c r="P356" s="1232" t="e">
        <f t="shared" si="78"/>
        <v>#VALUE!</v>
      </c>
      <c r="Q356" s="1232" t="e">
        <f t="shared" si="78"/>
        <v>#VALUE!</v>
      </c>
      <c r="R356" s="1232" t="e">
        <f t="shared" si="78"/>
        <v>#VALUE!</v>
      </c>
      <c r="S356" s="1232" t="e">
        <f t="shared" si="78"/>
        <v>#VALUE!</v>
      </c>
      <c r="T356" s="1232" t="e">
        <f t="shared" si="78"/>
        <v>#VALUE!</v>
      </c>
      <c r="U356" s="1232" t="e">
        <f t="shared" si="78"/>
        <v>#VALUE!</v>
      </c>
      <c r="V356" s="1232" t="e">
        <f t="shared" si="78"/>
        <v>#VALUE!</v>
      </c>
      <c r="W356" s="1232" t="e">
        <f t="shared" si="78"/>
        <v>#VALUE!</v>
      </c>
      <c r="X356" s="1232" t="e">
        <f t="shared" si="78"/>
        <v>#VALUE!</v>
      </c>
      <c r="Y356" s="1232" t="e">
        <f t="shared" si="78"/>
        <v>#VALUE!</v>
      </c>
      <c r="Z356" s="1232" t="e">
        <f t="shared" si="78"/>
        <v>#VALUE!</v>
      </c>
      <c r="AA356" s="1232" t="e">
        <f t="shared" si="78"/>
        <v>#VALUE!</v>
      </c>
      <c r="AB356" s="1232" t="e">
        <f t="shared" si="78"/>
        <v>#VALUE!</v>
      </c>
      <c r="AC356" s="1232" t="e">
        <f t="shared" si="78"/>
        <v>#VALUE!</v>
      </c>
      <c r="AD356" s="1232" t="e">
        <f t="shared" si="78"/>
        <v>#VALUE!</v>
      </c>
      <c r="AE356" s="1232" t="e">
        <f t="shared" si="78"/>
        <v>#VALUE!</v>
      </c>
      <c r="AF356" s="1232" t="e">
        <f t="shared" si="78"/>
        <v>#VALUE!</v>
      </c>
      <c r="AG356" s="1232" t="e">
        <f t="shared" si="78"/>
        <v>#VALUE!</v>
      </c>
      <c r="AH356" s="1232" t="e">
        <f t="shared" si="78"/>
        <v>#VALUE!</v>
      </c>
      <c r="AI356" s="1435" t="e">
        <f t="shared" si="78"/>
        <v>#VALUE!</v>
      </c>
      <c r="AJ356" s="1564"/>
      <c r="AK356" s="1142"/>
      <c r="AL356" s="1142"/>
      <c r="AM356" s="1142"/>
      <c r="AN356" s="1142"/>
      <c r="AO356" s="1592" t="s">
        <v>1504</v>
      </c>
      <c r="AP356" s="2040"/>
      <c r="AQ356" s="1150" t="e">
        <f t="shared" ref="AQ356:BS356" si="79">IF(AND(G339&gt;=DefExitFYOrig,G339&lt;=DefExitFYOrig+14),1,0)</f>
        <v>#VALUE!</v>
      </c>
      <c r="AR356" s="1232" t="e">
        <f t="shared" si="79"/>
        <v>#VALUE!</v>
      </c>
      <c r="AS356" s="1232" t="e">
        <f t="shared" si="79"/>
        <v>#VALUE!</v>
      </c>
      <c r="AT356" s="1232" t="e">
        <f t="shared" si="79"/>
        <v>#VALUE!</v>
      </c>
      <c r="AU356" s="1232" t="e">
        <f t="shared" si="79"/>
        <v>#VALUE!</v>
      </c>
      <c r="AV356" s="1232" t="e">
        <f t="shared" si="79"/>
        <v>#VALUE!</v>
      </c>
      <c r="AW356" s="1232" t="e">
        <f t="shared" si="79"/>
        <v>#VALUE!</v>
      </c>
      <c r="AX356" s="1232" t="e">
        <f t="shared" si="79"/>
        <v>#VALUE!</v>
      </c>
      <c r="AY356" s="1232" t="e">
        <f t="shared" si="79"/>
        <v>#VALUE!</v>
      </c>
      <c r="AZ356" s="1232" t="e">
        <f t="shared" si="79"/>
        <v>#VALUE!</v>
      </c>
      <c r="BA356" s="1232" t="e">
        <f t="shared" si="79"/>
        <v>#VALUE!</v>
      </c>
      <c r="BB356" s="1232" t="e">
        <f t="shared" si="79"/>
        <v>#VALUE!</v>
      </c>
      <c r="BC356" s="1232" t="e">
        <f t="shared" si="79"/>
        <v>#VALUE!</v>
      </c>
      <c r="BD356" s="1232" t="e">
        <f t="shared" si="79"/>
        <v>#VALUE!</v>
      </c>
      <c r="BE356" s="1232" t="e">
        <f t="shared" si="79"/>
        <v>#VALUE!</v>
      </c>
      <c r="BF356" s="1232" t="e">
        <f t="shared" si="79"/>
        <v>#VALUE!</v>
      </c>
      <c r="BG356" s="1232" t="e">
        <f t="shared" si="79"/>
        <v>#VALUE!</v>
      </c>
      <c r="BH356" s="1232" t="e">
        <f t="shared" si="79"/>
        <v>#VALUE!</v>
      </c>
      <c r="BI356" s="1232" t="e">
        <f t="shared" si="79"/>
        <v>#VALUE!</v>
      </c>
      <c r="BJ356" s="1232" t="e">
        <f t="shared" si="79"/>
        <v>#VALUE!</v>
      </c>
      <c r="BK356" s="1232" t="e">
        <f t="shared" si="79"/>
        <v>#VALUE!</v>
      </c>
      <c r="BL356" s="1232" t="e">
        <f t="shared" si="79"/>
        <v>#VALUE!</v>
      </c>
      <c r="BM356" s="1232" t="e">
        <f t="shared" si="79"/>
        <v>#VALUE!</v>
      </c>
      <c r="BN356" s="1232" t="e">
        <f t="shared" si="79"/>
        <v>#VALUE!</v>
      </c>
      <c r="BO356" s="1232" t="e">
        <f t="shared" si="79"/>
        <v>#VALUE!</v>
      </c>
      <c r="BP356" s="1232" t="e">
        <f t="shared" si="79"/>
        <v>#VALUE!</v>
      </c>
      <c r="BQ356" s="1232" t="e">
        <f t="shared" si="79"/>
        <v>#VALUE!</v>
      </c>
      <c r="BR356" s="1232" t="e">
        <f t="shared" si="79"/>
        <v>#VALUE!</v>
      </c>
      <c r="BS356" s="1435" t="e">
        <f t="shared" si="79"/>
        <v>#VALUE!</v>
      </c>
      <c r="BT356" s="1142"/>
      <c r="BU356" s="1478"/>
      <c r="BV356" s="1070"/>
    </row>
    <row r="357" spans="1:74" hidden="1" outlineLevel="2" x14ac:dyDescent="0.3">
      <c r="A357" s="1527"/>
      <c r="B357" s="1142"/>
      <c r="C357" s="1142"/>
      <c r="D357" s="1142"/>
      <c r="E357" s="1142"/>
      <c r="F357" s="1142"/>
      <c r="G357" s="1142"/>
      <c r="H357" s="1142"/>
      <c r="I357" s="1142"/>
      <c r="J357" s="1142"/>
      <c r="K357" s="1142"/>
      <c r="L357" s="1142"/>
      <c r="M357" s="1142"/>
      <c r="N357" s="1142"/>
      <c r="O357" s="1142"/>
      <c r="P357" s="1142"/>
      <c r="Q357" s="1142"/>
      <c r="R357" s="1142"/>
      <c r="S357" s="1142"/>
      <c r="T357" s="1142"/>
      <c r="U357" s="1142"/>
      <c r="V357" s="1142"/>
      <c r="W357" s="1142"/>
      <c r="X357" s="1142"/>
      <c r="Y357" s="1142"/>
      <c r="Z357" s="1142"/>
      <c r="AA357" s="1142"/>
      <c r="AB357" s="1142"/>
      <c r="AC357" s="1142"/>
      <c r="AD357" s="1142"/>
      <c r="AE357" s="1142"/>
      <c r="AF357" s="1142"/>
      <c r="AG357" s="1142"/>
      <c r="AH357" s="1142"/>
      <c r="AI357" s="1142"/>
      <c r="AJ357" s="1564"/>
      <c r="AK357" s="1142"/>
      <c r="AL357" s="1142"/>
      <c r="AM357" s="1142"/>
      <c r="AN357" s="1142"/>
      <c r="AO357" s="1149"/>
      <c r="AP357" s="1142"/>
      <c r="AQ357" s="1142"/>
      <c r="AR357" s="1142"/>
      <c r="AS357" s="1142"/>
      <c r="AT357" s="1142"/>
      <c r="AU357" s="1142"/>
      <c r="AV357" s="1142"/>
      <c r="AW357" s="1142"/>
      <c r="AX357" s="1142"/>
      <c r="AY357" s="1142"/>
      <c r="AZ357" s="1142"/>
      <c r="BA357" s="1142"/>
      <c r="BB357" s="1142"/>
      <c r="BC357" s="1142"/>
      <c r="BD357" s="1142"/>
      <c r="BE357" s="1142"/>
      <c r="BF357" s="1142"/>
      <c r="BG357" s="1142"/>
      <c r="BH357" s="1142"/>
      <c r="BI357" s="1142"/>
      <c r="BJ357" s="1142"/>
      <c r="BK357" s="1142"/>
      <c r="BL357" s="1142"/>
      <c r="BM357" s="1142"/>
      <c r="BN357" s="1142"/>
      <c r="BO357" s="1142"/>
      <c r="BP357" s="1142"/>
      <c r="BQ357" s="1142"/>
      <c r="BR357" s="1142"/>
      <c r="BS357" s="1142"/>
      <c r="BT357" s="1142"/>
      <c r="BU357" s="1478"/>
      <c r="BV357" s="1070"/>
    </row>
    <row r="358" spans="1:74" hidden="1" outlineLevel="2" x14ac:dyDescent="0.3">
      <c r="A358" s="1474"/>
      <c r="B358" s="1479" t="s">
        <v>1384</v>
      </c>
      <c r="C358" s="1159"/>
      <c r="D358" s="1159"/>
      <c r="E358" s="1159"/>
      <c r="F358" s="1159"/>
      <c r="G358" s="1159"/>
      <c r="H358" s="1159"/>
      <c r="I358" s="1159"/>
      <c r="J358" s="1159"/>
      <c r="K358" s="1159"/>
      <c r="L358" s="1159"/>
      <c r="M358" s="1159"/>
      <c r="N358" s="1159"/>
      <c r="O358" s="1159"/>
      <c r="P358" s="1159"/>
      <c r="Q358" s="1159"/>
      <c r="R358" s="1159"/>
      <c r="S358" s="1159"/>
      <c r="T358" s="1159"/>
      <c r="U358" s="1159"/>
      <c r="V358" s="1159"/>
      <c r="W358" s="1159"/>
      <c r="X358" s="1159"/>
      <c r="Y358" s="1159"/>
      <c r="Z358" s="1159"/>
      <c r="AA358" s="1159"/>
      <c r="AB358" s="1159"/>
      <c r="AC358" s="1159"/>
      <c r="AD358" s="1159"/>
      <c r="AE358" s="1159"/>
      <c r="AF358" s="1159"/>
      <c r="AG358" s="1159"/>
      <c r="AH358" s="1159"/>
      <c r="AI358" s="1186"/>
      <c r="AJ358" s="1564"/>
      <c r="AK358" s="1142"/>
      <c r="AL358" s="1142"/>
      <c r="AM358" s="1142"/>
      <c r="AN358" s="1142"/>
      <c r="AO358" s="1149"/>
      <c r="AP358" s="1142"/>
      <c r="AQ358" s="1142"/>
      <c r="AR358" s="1142"/>
      <c r="AS358" s="1142"/>
      <c r="AT358" s="1142"/>
      <c r="AU358" s="1142"/>
      <c r="AV358" s="1142"/>
      <c r="AW358" s="1142"/>
      <c r="AX358" s="1142"/>
      <c r="AY358" s="1142"/>
      <c r="AZ358" s="1142"/>
      <c r="BA358" s="1142"/>
      <c r="BB358" s="1142"/>
      <c r="BC358" s="1142"/>
      <c r="BD358" s="1142"/>
      <c r="BE358" s="1142"/>
      <c r="BF358" s="1142"/>
      <c r="BG358" s="1142"/>
      <c r="BH358" s="1142"/>
      <c r="BI358" s="1142"/>
      <c r="BJ358" s="1142"/>
      <c r="BK358" s="1142"/>
      <c r="BL358" s="1142"/>
      <c r="BM358" s="1142"/>
      <c r="BN358" s="1142"/>
      <c r="BO358" s="1142"/>
      <c r="BP358" s="1142"/>
      <c r="BQ358" s="1142"/>
      <c r="BR358" s="1142"/>
      <c r="BS358" s="1142"/>
      <c r="BT358" s="1142"/>
      <c r="BU358" s="1478"/>
      <c r="BV358" s="1070"/>
    </row>
    <row r="359" spans="1:74" hidden="1" outlineLevel="2" x14ac:dyDescent="0.3">
      <c r="A359" s="1474"/>
      <c r="B359" s="1598" t="s">
        <v>1385</v>
      </c>
      <c r="C359" s="1142"/>
      <c r="D359" s="1142"/>
      <c r="E359" s="1142"/>
      <c r="F359" s="1142"/>
      <c r="G359" s="1142"/>
      <c r="H359" s="1142"/>
      <c r="I359" s="1142"/>
      <c r="J359" s="1142"/>
      <c r="K359" s="1142"/>
      <c r="L359" s="1142"/>
      <c r="M359" s="1142"/>
      <c r="N359" s="1142"/>
      <c r="O359" s="1142"/>
      <c r="P359" s="1142"/>
      <c r="Q359" s="1142"/>
      <c r="R359" s="1142"/>
      <c r="S359" s="1142"/>
      <c r="T359" s="1142"/>
      <c r="U359" s="1142"/>
      <c r="V359" s="1142"/>
      <c r="W359" s="1142"/>
      <c r="X359" s="1142"/>
      <c r="Y359" s="1142"/>
      <c r="Z359" s="1142"/>
      <c r="AA359" s="1142"/>
      <c r="AB359" s="1142"/>
      <c r="AC359" s="1142"/>
      <c r="AD359" s="1142"/>
      <c r="AE359" s="1142"/>
      <c r="AF359" s="1142"/>
      <c r="AG359" s="1142"/>
      <c r="AH359" s="1142"/>
      <c r="AI359" s="1437"/>
      <c r="AJ359" s="1564"/>
      <c r="AK359" s="1142"/>
      <c r="AL359" s="1142"/>
      <c r="AM359" s="1142"/>
      <c r="AN359" s="1142"/>
      <c r="AO359" s="1149"/>
      <c r="AP359" s="1142"/>
      <c r="AQ359" s="1142"/>
      <c r="AR359" s="1142"/>
      <c r="AS359" s="1142"/>
      <c r="AT359" s="1142"/>
      <c r="AU359" s="1142"/>
      <c r="AV359" s="1142"/>
      <c r="AW359" s="1142"/>
      <c r="AX359" s="1142"/>
      <c r="AY359" s="1142"/>
      <c r="AZ359" s="1142"/>
      <c r="BA359" s="1142"/>
      <c r="BB359" s="1142"/>
      <c r="BC359" s="1142"/>
      <c r="BD359" s="1142"/>
      <c r="BE359" s="1142"/>
      <c r="BF359" s="1142"/>
      <c r="BG359" s="1142"/>
      <c r="BH359" s="1142"/>
      <c r="BI359" s="1142"/>
      <c r="BJ359" s="1142"/>
      <c r="BK359" s="1142"/>
      <c r="BL359" s="1142"/>
      <c r="BM359" s="1142"/>
      <c r="BN359" s="1142"/>
      <c r="BO359" s="1142"/>
      <c r="BP359" s="1142"/>
      <c r="BQ359" s="1142"/>
      <c r="BR359" s="1142"/>
      <c r="BS359" s="1142"/>
      <c r="BT359" s="1142"/>
      <c r="BU359" s="1478"/>
      <c r="BV359" s="1070"/>
    </row>
    <row r="360" spans="1:74" hidden="1" outlineLevel="2" x14ac:dyDescent="0.3">
      <c r="A360" s="1474"/>
      <c r="B360" s="1599" t="s">
        <v>690</v>
      </c>
      <c r="C360" s="1222" t="s">
        <v>1505</v>
      </c>
      <c r="D360" s="1222"/>
      <c r="E360" s="1222"/>
      <c r="F360" s="1222"/>
      <c r="G360" s="1601">
        <f>((G300)*(1-$BU$305))</f>
        <v>200</v>
      </c>
      <c r="H360" s="1601">
        <f t="shared" ref="H360:AI360" si="80">((H300)*(1-$BU$305))</f>
        <v>1000</v>
      </c>
      <c r="I360" s="1601">
        <f t="shared" si="80"/>
        <v>2500</v>
      </c>
      <c r="J360" s="1601">
        <f t="shared" si="80"/>
        <v>3500</v>
      </c>
      <c r="K360" s="1601">
        <f t="shared" si="80"/>
        <v>4500</v>
      </c>
      <c r="L360" s="1601">
        <f t="shared" si="80"/>
        <v>3300.0096684919295</v>
      </c>
      <c r="M360" s="1601">
        <f t="shared" si="80"/>
        <v>3694.2371301226672</v>
      </c>
      <c r="N360" s="1601">
        <f t="shared" si="80"/>
        <v>3323.4314505797752</v>
      </c>
      <c r="O360" s="1601">
        <f t="shared" si="80"/>
        <v>3485.7419101714595</v>
      </c>
      <c r="P360" s="1601">
        <f t="shared" si="80"/>
        <v>3972.1389686656671</v>
      </c>
      <c r="Q360" s="1601">
        <f t="shared" si="80"/>
        <v>4251.5718022985111</v>
      </c>
      <c r="R360" s="1601">
        <f t="shared" si="80"/>
        <v>3983.4022067022779</v>
      </c>
      <c r="S360" s="1601">
        <f t="shared" si="80"/>
        <v>4423.4177056210374</v>
      </c>
      <c r="T360" s="1601">
        <f t="shared" si="80"/>
        <v>4578.8839067073877</v>
      </c>
      <c r="U360" s="1601">
        <f t="shared" si="80"/>
        <v>5307.5446701130122</v>
      </c>
      <c r="V360" s="1601">
        <f t="shared" si="80"/>
        <v>5833.6304009883333</v>
      </c>
      <c r="W360" s="1601">
        <f t="shared" si="80"/>
        <v>6556.6565753731547</v>
      </c>
      <c r="X360" s="1601">
        <f t="shared" si="80"/>
        <v>0</v>
      </c>
      <c r="Y360" s="1601">
        <f t="shared" si="80"/>
        <v>0</v>
      </c>
      <c r="Z360" s="1601">
        <f t="shared" si="80"/>
        <v>0</v>
      </c>
      <c r="AA360" s="1601">
        <f t="shared" si="80"/>
        <v>0</v>
      </c>
      <c r="AB360" s="1601">
        <f t="shared" si="80"/>
        <v>0</v>
      </c>
      <c r="AC360" s="1601">
        <f t="shared" si="80"/>
        <v>0</v>
      </c>
      <c r="AD360" s="1601">
        <f t="shared" si="80"/>
        <v>0</v>
      </c>
      <c r="AE360" s="1601">
        <f t="shared" si="80"/>
        <v>0</v>
      </c>
      <c r="AF360" s="1601">
        <f t="shared" si="80"/>
        <v>0</v>
      </c>
      <c r="AG360" s="1601">
        <f t="shared" si="80"/>
        <v>0</v>
      </c>
      <c r="AH360" s="1601">
        <f t="shared" si="80"/>
        <v>0</v>
      </c>
      <c r="AI360" s="1602">
        <f t="shared" si="80"/>
        <v>0</v>
      </c>
      <c r="AJ360" s="1564"/>
      <c r="AK360" s="1142"/>
      <c r="AL360" s="1142"/>
      <c r="AM360" s="1142"/>
      <c r="AN360" s="1142"/>
      <c r="AO360" s="1149"/>
      <c r="AP360" s="1142"/>
      <c r="AQ360" s="1142"/>
      <c r="AR360" s="1142"/>
      <c r="AS360" s="1142"/>
      <c r="AT360" s="1142"/>
      <c r="AU360" s="1142"/>
      <c r="AV360" s="1142"/>
      <c r="AW360" s="1142"/>
      <c r="AX360" s="1142"/>
      <c r="AY360" s="1142"/>
      <c r="AZ360" s="1142"/>
      <c r="BA360" s="1142"/>
      <c r="BB360" s="1142"/>
      <c r="BC360" s="1142"/>
      <c r="BD360" s="1142"/>
      <c r="BE360" s="1142"/>
      <c r="BF360" s="1142"/>
      <c r="BG360" s="1142"/>
      <c r="BH360" s="1142"/>
      <c r="BI360" s="1142"/>
      <c r="BJ360" s="1142"/>
      <c r="BK360" s="1142"/>
      <c r="BL360" s="1142"/>
      <c r="BM360" s="1142"/>
      <c r="BN360" s="1142"/>
      <c r="BO360" s="1142"/>
      <c r="BP360" s="1142"/>
      <c r="BQ360" s="1142"/>
      <c r="BR360" s="1142"/>
      <c r="BS360" s="1142"/>
      <c r="BT360" s="1142"/>
      <c r="BU360" s="1478"/>
      <c r="BV360" s="1070"/>
    </row>
    <row r="361" spans="1:74" hidden="1" outlineLevel="2" x14ac:dyDescent="0.3">
      <c r="A361" s="1474"/>
      <c r="B361" s="1207"/>
      <c r="C361" s="1116" t="s">
        <v>1452</v>
      </c>
      <c r="D361" s="1116"/>
      <c r="E361" s="1116"/>
      <c r="F361" s="1116"/>
      <c r="G361" s="1604">
        <f>((AQ300)*(1-$BU$305))</f>
        <v>0</v>
      </c>
      <c r="H361" s="1604">
        <f t="shared" ref="H361:AI361" si="81">((AR300)*(1-$BU$305))</f>
        <v>0</v>
      </c>
      <c r="I361" s="1604">
        <f t="shared" si="81"/>
        <v>0</v>
      </c>
      <c r="J361" s="1604">
        <f t="shared" si="81"/>
        <v>0</v>
      </c>
      <c r="K361" s="1604">
        <f t="shared" si="81"/>
        <v>0</v>
      </c>
      <c r="L361" s="1604">
        <f t="shared" si="81"/>
        <v>0</v>
      </c>
      <c r="M361" s="1604">
        <f t="shared" si="81"/>
        <v>0</v>
      </c>
      <c r="N361" s="1604">
        <f t="shared" si="81"/>
        <v>0</v>
      </c>
      <c r="O361" s="1604">
        <f t="shared" si="81"/>
        <v>0</v>
      </c>
      <c r="P361" s="1604">
        <f t="shared" si="81"/>
        <v>0</v>
      </c>
      <c r="Q361" s="1604">
        <f t="shared" si="81"/>
        <v>0</v>
      </c>
      <c r="R361" s="1604">
        <f t="shared" si="81"/>
        <v>0</v>
      </c>
      <c r="S361" s="1604">
        <f t="shared" si="81"/>
        <v>0</v>
      </c>
      <c r="T361" s="1604">
        <f t="shared" si="81"/>
        <v>0</v>
      </c>
      <c r="U361" s="1604">
        <f t="shared" si="81"/>
        <v>0</v>
      </c>
      <c r="V361" s="1604">
        <f t="shared" si="81"/>
        <v>0</v>
      </c>
      <c r="W361" s="1604">
        <f t="shared" si="81"/>
        <v>0</v>
      </c>
      <c r="X361" s="1604">
        <f t="shared" si="81"/>
        <v>0</v>
      </c>
      <c r="Y361" s="1604">
        <f t="shared" si="81"/>
        <v>0</v>
      </c>
      <c r="Z361" s="1604">
        <f t="shared" si="81"/>
        <v>0</v>
      </c>
      <c r="AA361" s="1604">
        <f t="shared" si="81"/>
        <v>0</v>
      </c>
      <c r="AB361" s="1604">
        <f t="shared" si="81"/>
        <v>0</v>
      </c>
      <c r="AC361" s="1604">
        <f t="shared" si="81"/>
        <v>0</v>
      </c>
      <c r="AD361" s="1604">
        <f t="shared" si="81"/>
        <v>0</v>
      </c>
      <c r="AE361" s="1604">
        <f t="shared" si="81"/>
        <v>0</v>
      </c>
      <c r="AF361" s="1604">
        <f t="shared" si="81"/>
        <v>0</v>
      </c>
      <c r="AG361" s="1604">
        <f t="shared" si="81"/>
        <v>0</v>
      </c>
      <c r="AH361" s="1604">
        <f t="shared" si="81"/>
        <v>0</v>
      </c>
      <c r="AI361" s="1605">
        <f t="shared" si="81"/>
        <v>0</v>
      </c>
      <c r="AJ361" s="1564"/>
      <c r="AK361" s="1142"/>
      <c r="AL361" s="1142"/>
      <c r="AM361" s="1142"/>
      <c r="AN361" s="1142"/>
      <c r="AO361" s="1149"/>
      <c r="AP361" s="1142"/>
      <c r="AQ361" s="1142"/>
      <c r="AR361" s="1142"/>
      <c r="AS361" s="1142"/>
      <c r="AT361" s="1142"/>
      <c r="AU361" s="1142"/>
      <c r="AV361" s="1142"/>
      <c r="AW361" s="1142"/>
      <c r="AX361" s="1142"/>
      <c r="AY361" s="1142"/>
      <c r="AZ361" s="1142"/>
      <c r="BA361" s="1142"/>
      <c r="BB361" s="1142"/>
      <c r="BC361" s="1142"/>
      <c r="BD361" s="1142"/>
      <c r="BE361" s="1142"/>
      <c r="BF361" s="1142"/>
      <c r="BG361" s="1142"/>
      <c r="BH361" s="1142"/>
      <c r="BI361" s="1142"/>
      <c r="BJ361" s="1142"/>
      <c r="BK361" s="1142"/>
      <c r="BL361" s="1142"/>
      <c r="BM361" s="1142"/>
      <c r="BN361" s="1142"/>
      <c r="BO361" s="1142"/>
      <c r="BP361" s="1142"/>
      <c r="BQ361" s="1142"/>
      <c r="BR361" s="1142"/>
      <c r="BS361" s="1142"/>
      <c r="BT361" s="1142"/>
      <c r="BU361" s="1478"/>
      <c r="BV361" s="1070"/>
    </row>
    <row r="362" spans="1:74" hidden="1" outlineLevel="2" x14ac:dyDescent="0.3">
      <c r="A362" s="1474"/>
      <c r="B362" s="1207" t="s">
        <v>446</v>
      </c>
      <c r="C362" s="1116" t="s">
        <v>1506</v>
      </c>
      <c r="D362" s="1116"/>
      <c r="E362" s="1116"/>
      <c r="F362" s="1116"/>
      <c r="G362" s="1604">
        <f>((G301)*(1-$BU$305))</f>
        <v>4828.4206951872993</v>
      </c>
      <c r="H362" s="1604">
        <f t="shared" ref="H362:AI362" si="82">((H301)*(1-$BU$305))</f>
        <v>3450.6323370654059</v>
      </c>
      <c r="I362" s="1604">
        <f t="shared" si="82"/>
        <v>8338.541056523256</v>
      </c>
      <c r="J362" s="1604">
        <f t="shared" si="82"/>
        <v>7736.0276633552903</v>
      </c>
      <c r="K362" s="1604">
        <f t="shared" si="82"/>
        <v>2362.6098811049887</v>
      </c>
      <c r="L362" s="1604">
        <f t="shared" si="82"/>
        <v>1451.8026343507922</v>
      </c>
      <c r="M362" s="1604">
        <f t="shared" si="82"/>
        <v>205.83868703780806</v>
      </c>
      <c r="N362" s="1604">
        <f t="shared" si="82"/>
        <v>209.9554607785642</v>
      </c>
      <c r="O362" s="1604">
        <f t="shared" si="82"/>
        <v>214.1545699941355</v>
      </c>
      <c r="P362" s="1604">
        <f t="shared" si="82"/>
        <v>218.43766139401816</v>
      </c>
      <c r="Q362" s="1604">
        <f t="shared" si="82"/>
        <v>222.80641462189857</v>
      </c>
      <c r="R362" s="1604">
        <f t="shared" si="82"/>
        <v>0</v>
      </c>
      <c r="S362" s="1604">
        <f t="shared" si="82"/>
        <v>0</v>
      </c>
      <c r="T362" s="1604">
        <f t="shared" si="82"/>
        <v>0</v>
      </c>
      <c r="U362" s="1604">
        <f t="shared" si="82"/>
        <v>0</v>
      </c>
      <c r="V362" s="1604">
        <f t="shared" si="82"/>
        <v>0</v>
      </c>
      <c r="W362" s="1604">
        <f t="shared" si="82"/>
        <v>0</v>
      </c>
      <c r="X362" s="1604">
        <f t="shared" si="82"/>
        <v>0</v>
      </c>
      <c r="Y362" s="1604">
        <f t="shared" si="82"/>
        <v>0</v>
      </c>
      <c r="Z362" s="1604">
        <f t="shared" si="82"/>
        <v>0</v>
      </c>
      <c r="AA362" s="1604">
        <f t="shared" si="82"/>
        <v>0</v>
      </c>
      <c r="AB362" s="1604">
        <f t="shared" si="82"/>
        <v>0</v>
      </c>
      <c r="AC362" s="1604">
        <f t="shared" si="82"/>
        <v>0</v>
      </c>
      <c r="AD362" s="1604">
        <f t="shared" si="82"/>
        <v>0</v>
      </c>
      <c r="AE362" s="1604">
        <f t="shared" si="82"/>
        <v>0</v>
      </c>
      <c r="AF362" s="1604">
        <f t="shared" si="82"/>
        <v>0</v>
      </c>
      <c r="AG362" s="1604">
        <f t="shared" si="82"/>
        <v>0</v>
      </c>
      <c r="AH362" s="1604">
        <f t="shared" si="82"/>
        <v>0</v>
      </c>
      <c r="AI362" s="1605">
        <f t="shared" si="82"/>
        <v>0</v>
      </c>
      <c r="AJ362" s="1564"/>
      <c r="AK362" s="1142"/>
      <c r="AL362" s="1142"/>
      <c r="AM362" s="1142"/>
      <c r="AN362" s="1142"/>
      <c r="AO362" s="1149"/>
      <c r="AP362" s="1142"/>
      <c r="AQ362" s="1142"/>
      <c r="AR362" s="1142"/>
      <c r="AS362" s="1142"/>
      <c r="AT362" s="1142"/>
      <c r="AU362" s="1142"/>
      <c r="AV362" s="1142"/>
      <c r="AW362" s="1142"/>
      <c r="AX362" s="1142"/>
      <c r="AY362" s="1142"/>
      <c r="AZ362" s="1142"/>
      <c r="BA362" s="1142"/>
      <c r="BB362" s="1142"/>
      <c r="BC362" s="1142"/>
      <c r="BD362" s="1142"/>
      <c r="BE362" s="1142"/>
      <c r="BF362" s="1142"/>
      <c r="BG362" s="1142"/>
      <c r="BH362" s="1142"/>
      <c r="BI362" s="1142"/>
      <c r="BJ362" s="1142"/>
      <c r="BK362" s="1142"/>
      <c r="BL362" s="1142"/>
      <c r="BM362" s="1142"/>
      <c r="BN362" s="1142"/>
      <c r="BO362" s="1142"/>
      <c r="BP362" s="1142"/>
      <c r="BQ362" s="1142"/>
      <c r="BR362" s="1142"/>
      <c r="BS362" s="1142"/>
      <c r="BT362" s="1142"/>
      <c r="BU362" s="1478"/>
      <c r="BV362" s="1070"/>
    </row>
    <row r="363" spans="1:74" hidden="1" outlineLevel="2" x14ac:dyDescent="0.3">
      <c r="A363" s="1474"/>
      <c r="B363" s="1207"/>
      <c r="C363" s="1116" t="s">
        <v>1452</v>
      </c>
      <c r="D363" s="1116"/>
      <c r="E363" s="1116"/>
      <c r="F363" s="1116"/>
      <c r="G363" s="1604">
        <f>((AQ301)*(1-$BU$305))</f>
        <v>0</v>
      </c>
      <c r="H363" s="1604">
        <f t="shared" ref="H363:AI363" si="83">((AR301)*(1-$BU$305))</f>
        <v>0</v>
      </c>
      <c r="I363" s="1604">
        <f t="shared" si="83"/>
        <v>0</v>
      </c>
      <c r="J363" s="1604">
        <f t="shared" si="83"/>
        <v>0</v>
      </c>
      <c r="K363" s="1604">
        <f t="shared" si="83"/>
        <v>0</v>
      </c>
      <c r="L363" s="1604">
        <f t="shared" si="83"/>
        <v>0</v>
      </c>
      <c r="M363" s="1604">
        <f t="shared" si="83"/>
        <v>0</v>
      </c>
      <c r="N363" s="1604">
        <f t="shared" si="83"/>
        <v>0</v>
      </c>
      <c r="O363" s="1604">
        <f t="shared" si="83"/>
        <v>0</v>
      </c>
      <c r="P363" s="1604">
        <f t="shared" si="83"/>
        <v>0</v>
      </c>
      <c r="Q363" s="1604">
        <f t="shared" si="83"/>
        <v>0</v>
      </c>
      <c r="R363" s="1604">
        <f t="shared" si="83"/>
        <v>0</v>
      </c>
      <c r="S363" s="1604">
        <f t="shared" si="83"/>
        <v>0</v>
      </c>
      <c r="T363" s="1604">
        <f t="shared" si="83"/>
        <v>0</v>
      </c>
      <c r="U363" s="1604">
        <f t="shared" si="83"/>
        <v>0</v>
      </c>
      <c r="V363" s="1604">
        <f t="shared" si="83"/>
        <v>0</v>
      </c>
      <c r="W363" s="1604">
        <f t="shared" si="83"/>
        <v>0</v>
      </c>
      <c r="X363" s="1604">
        <f t="shared" si="83"/>
        <v>0</v>
      </c>
      <c r="Y363" s="1604">
        <f t="shared" si="83"/>
        <v>0</v>
      </c>
      <c r="Z363" s="1604">
        <f t="shared" si="83"/>
        <v>0</v>
      </c>
      <c r="AA363" s="1604">
        <f t="shared" si="83"/>
        <v>0</v>
      </c>
      <c r="AB363" s="1604">
        <f t="shared" si="83"/>
        <v>0</v>
      </c>
      <c r="AC363" s="1604">
        <f t="shared" si="83"/>
        <v>0</v>
      </c>
      <c r="AD363" s="1604">
        <f t="shared" si="83"/>
        <v>0</v>
      </c>
      <c r="AE363" s="1604">
        <f t="shared" si="83"/>
        <v>0</v>
      </c>
      <c r="AF363" s="1604">
        <f t="shared" si="83"/>
        <v>0</v>
      </c>
      <c r="AG363" s="1604">
        <f t="shared" si="83"/>
        <v>0</v>
      </c>
      <c r="AH363" s="1604">
        <f t="shared" si="83"/>
        <v>0</v>
      </c>
      <c r="AI363" s="1605">
        <f t="shared" si="83"/>
        <v>0</v>
      </c>
      <c r="AJ363" s="1564"/>
      <c r="AK363" s="1142"/>
      <c r="AL363" s="1142"/>
      <c r="AM363" s="1142"/>
      <c r="AN363" s="1142"/>
      <c r="AO363" s="1149"/>
      <c r="AP363" s="1142"/>
      <c r="AQ363" s="1142"/>
      <c r="AR363" s="1142"/>
      <c r="AS363" s="1142"/>
      <c r="AT363" s="1142"/>
      <c r="AU363" s="1142"/>
      <c r="AV363" s="1142"/>
      <c r="AW363" s="1142"/>
      <c r="AX363" s="1142"/>
      <c r="AY363" s="1142"/>
      <c r="AZ363" s="1142"/>
      <c r="BA363" s="1142"/>
      <c r="BB363" s="1142"/>
      <c r="BC363" s="1142"/>
      <c r="BD363" s="1142"/>
      <c r="BE363" s="1142"/>
      <c r="BF363" s="1142"/>
      <c r="BG363" s="1142"/>
      <c r="BH363" s="1142"/>
      <c r="BI363" s="1142"/>
      <c r="BJ363" s="1142"/>
      <c r="BK363" s="1142"/>
      <c r="BL363" s="1142"/>
      <c r="BM363" s="1142"/>
      <c r="BN363" s="1142"/>
      <c r="BO363" s="1142"/>
      <c r="BP363" s="1142"/>
      <c r="BQ363" s="1142"/>
      <c r="BR363" s="1142"/>
      <c r="BS363" s="1142"/>
      <c r="BT363" s="1142"/>
      <c r="BU363" s="1478"/>
      <c r="BV363" s="1070"/>
    </row>
    <row r="364" spans="1:74" hidden="1" outlineLevel="2" x14ac:dyDescent="0.3">
      <c r="A364" s="1474"/>
      <c r="B364" s="1207" t="s">
        <v>1366</v>
      </c>
      <c r="C364" s="1116" t="s">
        <v>1506</v>
      </c>
      <c r="D364" s="1116"/>
      <c r="E364" s="1116"/>
      <c r="F364" s="1116"/>
      <c r="G364" s="1604">
        <f>G308</f>
        <v>0</v>
      </c>
      <c r="H364" s="1604">
        <f t="shared" ref="H364:AI364" si="84">H308</f>
        <v>0</v>
      </c>
      <c r="I364" s="1604">
        <f t="shared" si="84"/>
        <v>0</v>
      </c>
      <c r="J364" s="1604">
        <f t="shared" si="84"/>
        <v>0</v>
      </c>
      <c r="K364" s="1604">
        <f t="shared" si="84"/>
        <v>0</v>
      </c>
      <c r="L364" s="1604">
        <f t="shared" si="84"/>
        <v>13066.666666666666</v>
      </c>
      <c r="M364" s="1604">
        <f t="shared" si="84"/>
        <v>-933.33333333333337</v>
      </c>
      <c r="N364" s="1604">
        <f t="shared" si="84"/>
        <v>-933.33333333333337</v>
      </c>
      <c r="O364" s="1604">
        <f t="shared" si="84"/>
        <v>-933.33333333333337</v>
      </c>
      <c r="P364" s="1604">
        <f t="shared" si="84"/>
        <v>-933.33333333333337</v>
      </c>
      <c r="Q364" s="1604">
        <f t="shared" si="84"/>
        <v>-933.33333333333337</v>
      </c>
      <c r="R364" s="1604">
        <f t="shared" si="84"/>
        <v>-933.33333333333337</v>
      </c>
      <c r="S364" s="1604">
        <f t="shared" si="84"/>
        <v>-933.33333333333337</v>
      </c>
      <c r="T364" s="1604">
        <f t="shared" si="84"/>
        <v>-933.33333333333337</v>
      </c>
      <c r="U364" s="1604">
        <f t="shared" si="84"/>
        <v>-933.33333333333337</v>
      </c>
      <c r="V364" s="1604">
        <f t="shared" si="84"/>
        <v>-933.33333333333337</v>
      </c>
      <c r="W364" s="1604">
        <f t="shared" si="84"/>
        <v>-933.33333333333337</v>
      </c>
      <c r="X364" s="1604">
        <f t="shared" si="84"/>
        <v>-933.33333333333337</v>
      </c>
      <c r="Y364" s="1604">
        <f t="shared" si="84"/>
        <v>-933.33333333333337</v>
      </c>
      <c r="Z364" s="1604">
        <f t="shared" si="84"/>
        <v>-933.33333333333337</v>
      </c>
      <c r="AA364" s="1604">
        <f t="shared" si="84"/>
        <v>0</v>
      </c>
      <c r="AB364" s="1604">
        <f t="shared" si="84"/>
        <v>0</v>
      </c>
      <c r="AC364" s="1604">
        <f t="shared" si="84"/>
        <v>0</v>
      </c>
      <c r="AD364" s="1604">
        <f t="shared" si="84"/>
        <v>0</v>
      </c>
      <c r="AE364" s="1604">
        <f t="shared" si="84"/>
        <v>0</v>
      </c>
      <c r="AF364" s="1604">
        <f t="shared" si="84"/>
        <v>0</v>
      </c>
      <c r="AG364" s="1604">
        <f t="shared" si="84"/>
        <v>0</v>
      </c>
      <c r="AH364" s="1604">
        <f t="shared" si="84"/>
        <v>0</v>
      </c>
      <c r="AI364" s="1605">
        <f t="shared" si="84"/>
        <v>0</v>
      </c>
      <c r="AJ364" s="1564"/>
      <c r="AK364" s="1142"/>
      <c r="AL364" s="1142"/>
      <c r="AM364" s="1142"/>
      <c r="AN364" s="1142"/>
      <c r="AO364" s="1149"/>
      <c r="AP364" s="1142"/>
      <c r="AQ364" s="1142"/>
      <c r="AR364" s="1142"/>
      <c r="AS364" s="1142"/>
      <c r="AT364" s="1142"/>
      <c r="AU364" s="1142"/>
      <c r="AV364" s="1142"/>
      <c r="AW364" s="1142"/>
      <c r="AX364" s="1142"/>
      <c r="AY364" s="1142"/>
      <c r="AZ364" s="1142"/>
      <c r="BA364" s="1142"/>
      <c r="BB364" s="1142"/>
      <c r="BC364" s="1142"/>
      <c r="BD364" s="1142"/>
      <c r="BE364" s="1142"/>
      <c r="BF364" s="1142"/>
      <c r="BG364" s="1142"/>
      <c r="BH364" s="1142"/>
      <c r="BI364" s="1142"/>
      <c r="BJ364" s="1142"/>
      <c r="BK364" s="1142"/>
      <c r="BL364" s="1142"/>
      <c r="BM364" s="1142"/>
      <c r="BN364" s="1142"/>
      <c r="BO364" s="1142"/>
      <c r="BP364" s="1142"/>
      <c r="BQ364" s="1142"/>
      <c r="BR364" s="1142"/>
      <c r="BS364" s="1142"/>
      <c r="BT364" s="1142"/>
      <c r="BU364" s="1478"/>
      <c r="BV364" s="1070"/>
    </row>
    <row r="365" spans="1:74" hidden="1" outlineLevel="2" x14ac:dyDescent="0.3">
      <c r="A365" s="1474"/>
      <c r="B365" s="1606"/>
      <c r="C365" s="1226" t="s">
        <v>1452</v>
      </c>
      <c r="D365" s="1226"/>
      <c r="E365" s="1226"/>
      <c r="F365" s="1226"/>
      <c r="G365" s="1608">
        <f>AQ308</f>
        <v>0</v>
      </c>
      <c r="H365" s="1608">
        <f t="shared" ref="H365:AI365" si="85">AR308</f>
        <v>0</v>
      </c>
      <c r="I365" s="1608">
        <f t="shared" si="85"/>
        <v>0</v>
      </c>
      <c r="J365" s="1608">
        <f t="shared" si="85"/>
        <v>0</v>
      </c>
      <c r="K365" s="1608">
        <f t="shared" si="85"/>
        <v>0</v>
      </c>
      <c r="L365" s="1608">
        <f t="shared" si="85"/>
        <v>0</v>
      </c>
      <c r="M365" s="1608">
        <f t="shared" si="85"/>
        <v>0</v>
      </c>
      <c r="N365" s="1608">
        <f t="shared" si="85"/>
        <v>0</v>
      </c>
      <c r="O365" s="1608">
        <f t="shared" si="85"/>
        <v>0</v>
      </c>
      <c r="P365" s="1608">
        <f t="shared" si="85"/>
        <v>0</v>
      </c>
      <c r="Q365" s="1608">
        <f t="shared" si="85"/>
        <v>0</v>
      </c>
      <c r="R365" s="1608">
        <f t="shared" si="85"/>
        <v>0</v>
      </c>
      <c r="S365" s="1608">
        <f t="shared" si="85"/>
        <v>0</v>
      </c>
      <c r="T365" s="1608">
        <f t="shared" si="85"/>
        <v>0</v>
      </c>
      <c r="U365" s="1608">
        <f t="shared" si="85"/>
        <v>0</v>
      </c>
      <c r="V365" s="1608">
        <f t="shared" si="85"/>
        <v>0</v>
      </c>
      <c r="W365" s="1608">
        <f t="shared" si="85"/>
        <v>0</v>
      </c>
      <c r="X365" s="1608">
        <f t="shared" si="85"/>
        <v>0</v>
      </c>
      <c r="Y365" s="1608">
        <f t="shared" si="85"/>
        <v>0</v>
      </c>
      <c r="Z365" s="1608">
        <f t="shared" si="85"/>
        <v>0</v>
      </c>
      <c r="AA365" s="1608">
        <f t="shared" si="85"/>
        <v>0</v>
      </c>
      <c r="AB365" s="1608">
        <f t="shared" si="85"/>
        <v>0</v>
      </c>
      <c r="AC365" s="1608">
        <f t="shared" si="85"/>
        <v>0</v>
      </c>
      <c r="AD365" s="1608">
        <f t="shared" si="85"/>
        <v>0</v>
      </c>
      <c r="AE365" s="1608">
        <f t="shared" si="85"/>
        <v>0</v>
      </c>
      <c r="AF365" s="1608">
        <f t="shared" si="85"/>
        <v>0</v>
      </c>
      <c r="AG365" s="1608">
        <f t="shared" si="85"/>
        <v>0</v>
      </c>
      <c r="AH365" s="1608">
        <f t="shared" si="85"/>
        <v>0</v>
      </c>
      <c r="AI365" s="1609">
        <f t="shared" si="85"/>
        <v>0</v>
      </c>
      <c r="AJ365" s="1564"/>
      <c r="AK365" s="1142"/>
      <c r="AL365" s="1142"/>
      <c r="AM365" s="1142"/>
      <c r="AN365" s="1142"/>
      <c r="AO365" s="1149"/>
      <c r="AP365" s="1142"/>
      <c r="AQ365" s="1142"/>
      <c r="AR365" s="1142"/>
      <c r="AS365" s="1142"/>
      <c r="AT365" s="1142"/>
      <c r="AU365" s="1142"/>
      <c r="AV365" s="1142"/>
      <c r="AW365" s="1142"/>
      <c r="AX365" s="1142"/>
      <c r="AY365" s="1142"/>
      <c r="AZ365" s="1142"/>
      <c r="BA365" s="1142"/>
      <c r="BB365" s="1142"/>
      <c r="BC365" s="1142"/>
      <c r="BD365" s="1142"/>
      <c r="BE365" s="1142"/>
      <c r="BF365" s="1142"/>
      <c r="BG365" s="1142"/>
      <c r="BH365" s="1142"/>
      <c r="BI365" s="1142"/>
      <c r="BJ365" s="1142"/>
      <c r="BK365" s="1142"/>
      <c r="BL365" s="1142"/>
      <c r="BM365" s="1142"/>
      <c r="BN365" s="1142"/>
      <c r="BO365" s="1142"/>
      <c r="BP365" s="1142"/>
      <c r="BQ365" s="1142"/>
      <c r="BR365" s="1142"/>
      <c r="BS365" s="1142"/>
      <c r="BT365" s="1142"/>
      <c r="BU365" s="1478"/>
      <c r="BV365" s="1070"/>
    </row>
    <row r="366" spans="1:74" hidden="1" outlineLevel="2" x14ac:dyDescent="0.3">
      <c r="A366" s="1474"/>
      <c r="B366" s="1598"/>
      <c r="C366" s="1142"/>
      <c r="D366" s="1142"/>
      <c r="E366" s="1142"/>
      <c r="F366" s="1142"/>
      <c r="G366" s="1142"/>
      <c r="H366" s="1142"/>
      <c r="I366" s="1142"/>
      <c r="J366" s="1142"/>
      <c r="K366" s="1142"/>
      <c r="L366" s="1142"/>
      <c r="M366" s="1142"/>
      <c r="N366" s="1142"/>
      <c r="O366" s="1142"/>
      <c r="P366" s="1142"/>
      <c r="Q366" s="1142"/>
      <c r="R366" s="1142"/>
      <c r="S366" s="1142"/>
      <c r="T366" s="1142"/>
      <c r="U366" s="1142"/>
      <c r="V366" s="1142"/>
      <c r="W366" s="1142"/>
      <c r="X366" s="1142"/>
      <c r="Y366" s="1142"/>
      <c r="Z366" s="1142"/>
      <c r="AA366" s="1142"/>
      <c r="AB366" s="1142"/>
      <c r="AC366" s="1142"/>
      <c r="AD366" s="1142"/>
      <c r="AE366" s="1142"/>
      <c r="AF366" s="1142"/>
      <c r="AG366" s="1142"/>
      <c r="AH366" s="1142"/>
      <c r="AI366" s="1437"/>
      <c r="AJ366" s="1564"/>
      <c r="AK366" s="1142"/>
      <c r="AL366" s="1142"/>
      <c r="AM366" s="1142"/>
      <c r="AN366" s="1142"/>
      <c r="AO366" s="1149"/>
      <c r="AP366" s="1142"/>
      <c r="AQ366" s="1142"/>
      <c r="AR366" s="1142"/>
      <c r="AS366" s="1142"/>
      <c r="AT366" s="1142"/>
      <c r="AU366" s="1142"/>
      <c r="AV366" s="1142"/>
      <c r="AW366" s="1142"/>
      <c r="AX366" s="1142"/>
      <c r="AY366" s="1142"/>
      <c r="AZ366" s="1142"/>
      <c r="BA366" s="1142"/>
      <c r="BB366" s="1142"/>
      <c r="BC366" s="1142"/>
      <c r="BD366" s="1142"/>
      <c r="BE366" s="1142"/>
      <c r="BF366" s="1142"/>
      <c r="BG366" s="1142"/>
      <c r="BH366" s="1142"/>
      <c r="BI366" s="1142"/>
      <c r="BJ366" s="1142"/>
      <c r="BK366" s="1142"/>
      <c r="BL366" s="1142"/>
      <c r="BM366" s="1142"/>
      <c r="BN366" s="1142"/>
      <c r="BO366" s="1142"/>
      <c r="BP366" s="1142"/>
      <c r="BQ366" s="1142"/>
      <c r="BR366" s="1142"/>
      <c r="BS366" s="1142"/>
      <c r="BT366" s="1142"/>
      <c r="BU366" s="1478"/>
      <c r="BV366" s="1070"/>
    </row>
    <row r="367" spans="1:74" hidden="1" outlineLevel="2" x14ac:dyDescent="0.3">
      <c r="A367" s="1474"/>
      <c r="B367" s="1598" t="s">
        <v>1507</v>
      </c>
      <c r="C367" s="1142"/>
      <c r="D367" s="1142"/>
      <c r="E367" s="1116"/>
      <c r="F367" s="1116"/>
      <c r="G367" s="1116"/>
      <c r="H367" s="1116"/>
      <c r="I367" s="1116"/>
      <c r="J367" s="1116"/>
      <c r="K367" s="1116"/>
      <c r="L367" s="1116"/>
      <c r="M367" s="1116"/>
      <c r="N367" s="1116"/>
      <c r="O367" s="1610"/>
      <c r="P367" s="1116"/>
      <c r="Q367" s="1116"/>
      <c r="R367" s="1142"/>
      <c r="S367" s="1142"/>
      <c r="T367" s="1142"/>
      <c r="U367" s="1142"/>
      <c r="V367" s="1142"/>
      <c r="W367" s="1142"/>
      <c r="X367" s="1142"/>
      <c r="Y367" s="1142"/>
      <c r="Z367" s="1142"/>
      <c r="AA367" s="1142"/>
      <c r="AB367" s="1142"/>
      <c r="AC367" s="1142"/>
      <c r="AD367" s="1142"/>
      <c r="AE367" s="1142"/>
      <c r="AF367" s="1142"/>
      <c r="AG367" s="1142"/>
      <c r="AH367" s="1142"/>
      <c r="AI367" s="1437"/>
      <c r="AJ367" s="1564"/>
      <c r="AK367" s="1142"/>
      <c r="AL367" s="1142"/>
      <c r="AM367" s="1142"/>
      <c r="AN367" s="1142"/>
      <c r="AO367" s="1598" t="s">
        <v>1508</v>
      </c>
      <c r="AP367" s="1116"/>
      <c r="AQ367" s="1116"/>
      <c r="AR367" s="1116"/>
      <c r="AS367" s="1116"/>
      <c r="AT367" s="1116"/>
      <c r="AU367" s="1116"/>
      <c r="AV367" s="1116"/>
      <c r="AW367" s="1116"/>
      <c r="AX367" s="1116"/>
      <c r="AY367" s="1116"/>
      <c r="AZ367" s="1116"/>
      <c r="BA367" s="1116"/>
      <c r="BB367" s="1116"/>
      <c r="BC367" s="1116"/>
      <c r="BD367" s="1116"/>
      <c r="BE367" s="1116"/>
      <c r="BF367" s="1116"/>
      <c r="BG367" s="1116"/>
      <c r="BH367" s="1116"/>
      <c r="BI367" s="1116"/>
      <c r="BJ367" s="1116"/>
      <c r="BK367" s="1116"/>
      <c r="BL367" s="1116"/>
      <c r="BM367" s="1116"/>
      <c r="BN367" s="1116"/>
      <c r="BO367" s="1116"/>
      <c r="BP367" s="1116"/>
      <c r="BQ367" s="1116"/>
      <c r="BR367" s="1116"/>
      <c r="BS367" s="1116"/>
      <c r="BT367" s="1142"/>
      <c r="BU367" s="1478"/>
      <c r="BV367" s="1070"/>
    </row>
    <row r="368" spans="1:74" hidden="1" outlineLevel="2" x14ac:dyDescent="0.3">
      <c r="A368" s="1474"/>
      <c r="B368" s="1207"/>
      <c r="C368" s="1116"/>
      <c r="D368" s="1116"/>
      <c r="E368" s="1116"/>
      <c r="F368" s="1116"/>
      <c r="G368" s="1611" t="s">
        <v>49</v>
      </c>
      <c r="H368" s="1611" t="s">
        <v>1509</v>
      </c>
      <c r="I368" s="1611"/>
      <c r="J368" s="1611" t="s">
        <v>1392</v>
      </c>
      <c r="K368" s="1611" t="s">
        <v>1393</v>
      </c>
      <c r="L368" s="1611" t="s">
        <v>1394</v>
      </c>
      <c r="M368" s="1116"/>
      <c r="N368" s="1116"/>
      <c r="O368" s="1229" t="s">
        <v>1392</v>
      </c>
      <c r="P368" s="1612"/>
      <c r="Q368" s="1116"/>
      <c r="R368" s="1116"/>
      <c r="S368" s="1116"/>
      <c r="T368" s="1116"/>
      <c r="U368" s="1116"/>
      <c r="V368" s="1116"/>
      <c r="W368" s="1116"/>
      <c r="X368" s="1116"/>
      <c r="Y368" s="1116"/>
      <c r="Z368" s="1116"/>
      <c r="AA368" s="1116"/>
      <c r="AB368" s="1116"/>
      <c r="AC368" s="1116"/>
      <c r="AD368" s="1116"/>
      <c r="AE368" s="1116"/>
      <c r="AF368" s="1116"/>
      <c r="AG368" s="1116"/>
      <c r="AH368" s="1116"/>
      <c r="AI368" s="1477"/>
      <c r="AJ368" s="1476"/>
      <c r="AK368" s="1142"/>
      <c r="AL368" s="1142"/>
      <c r="AM368" s="1142"/>
      <c r="AN368" s="1142"/>
      <c r="AO368" s="1207"/>
      <c r="AP368" s="1116"/>
      <c r="AQ368" s="1611" t="s">
        <v>49</v>
      </c>
      <c r="AR368" s="1611" t="s">
        <v>1254</v>
      </c>
      <c r="AS368" s="1611"/>
      <c r="AT368" s="1611" t="s">
        <v>1392</v>
      </c>
      <c r="AU368" s="1611" t="s">
        <v>1393</v>
      </c>
      <c r="AV368" s="1611" t="s">
        <v>1394</v>
      </c>
      <c r="AW368" s="1116"/>
      <c r="AX368" s="1116"/>
      <c r="AY368" s="1229" t="s">
        <v>1392</v>
      </c>
      <c r="AZ368" s="1612"/>
      <c r="BA368" s="1116"/>
      <c r="BB368" s="1116"/>
      <c r="BC368" s="1116"/>
      <c r="BD368" s="1116"/>
      <c r="BE368" s="1116"/>
      <c r="BF368" s="1116"/>
      <c r="BG368" s="1116"/>
      <c r="BH368" s="1116"/>
      <c r="BI368" s="1116"/>
      <c r="BJ368" s="1116"/>
      <c r="BK368" s="1116"/>
      <c r="BL368" s="1116"/>
      <c r="BM368" s="1116"/>
      <c r="BN368" s="1116"/>
      <c r="BO368" s="1116"/>
      <c r="BP368" s="1116"/>
      <c r="BQ368" s="1116"/>
      <c r="BR368" s="1116"/>
      <c r="BS368" s="1116"/>
      <c r="BT368" s="1142"/>
      <c r="BU368" s="1478"/>
      <c r="BV368" s="1070"/>
    </row>
    <row r="369" spans="1:74" hidden="1" outlineLevel="2" x14ac:dyDescent="0.3">
      <c r="A369" s="1474"/>
      <c r="B369" s="1207"/>
      <c r="C369" s="1611" t="s">
        <v>1395</v>
      </c>
      <c r="D369" s="1222"/>
      <c r="E369" s="1222"/>
      <c r="F369" s="1612"/>
      <c r="G369" s="1617" t="str">
        <f>IFERROR(IF(Input!$D$63="Feb",DATE("20"&amp;Input!$E$63,VLOOKUP(Input!$D$63,FT_PPD_DD!$Y$84:$Z$97,2,0),28),DATE("20"&amp;Input!$E$63,VLOOKUP(Input!$D$63,FT_PPD_DD!$Y$84:$Z$97,2,0),30)),"No")</f>
        <v>No</v>
      </c>
      <c r="H369" s="1617" t="str">
        <f>IFERROR(IF($BE$329="Feb",DATE("20"&amp;BF329,VLOOKUP($BE$329,FT_PPD_DD!$Y$84:$Z$97,2,0),28),DATE("20"&amp;BF329,VLOOKUP(BE329,FT_PPD_DD!$Y$84:$Z$97,2,0),30)),"No")</f>
        <v>No</v>
      </c>
      <c r="I369" s="1618"/>
      <c r="J369" s="1619" t="e">
        <f>ABS(ROUND((G369-H369)/365,2))</f>
        <v>#VALUE!</v>
      </c>
      <c r="K369" s="1620" t="e">
        <f>ROUNDDOWN(J369,0)</f>
        <v>#VALUE!</v>
      </c>
      <c r="L369" s="1620" t="e">
        <f>J369-ROUNDDOWN(J369,0)</f>
        <v>#VALUE!</v>
      </c>
      <c r="M369" s="1621"/>
      <c r="N369" s="1116"/>
      <c r="O369" s="1622" t="e">
        <f>ROUND((G369-H369)/365,2)</f>
        <v>#VALUE!</v>
      </c>
      <c r="P369" s="1623" t="e">
        <f>IF(O369&gt;=0,"Delay","Earlier")</f>
        <v>#VALUE!</v>
      </c>
      <c r="Q369" s="1116"/>
      <c r="R369" s="1116"/>
      <c r="S369" s="1116"/>
      <c r="T369" s="1116"/>
      <c r="U369" s="1116"/>
      <c r="V369" s="1116"/>
      <c r="W369" s="1116"/>
      <c r="X369" s="1116"/>
      <c r="Y369" s="1116"/>
      <c r="Z369" s="1116"/>
      <c r="AA369" s="1116"/>
      <c r="AB369" s="1116"/>
      <c r="AC369" s="1116"/>
      <c r="AD369" s="1116"/>
      <c r="AE369" s="1116"/>
      <c r="AF369" s="1116"/>
      <c r="AG369" s="1116"/>
      <c r="AH369" s="1116"/>
      <c r="AI369" s="1477"/>
      <c r="AJ369" s="1476"/>
      <c r="AK369" s="1142"/>
      <c r="AL369" s="1142"/>
      <c r="AM369" s="1142"/>
      <c r="AN369" s="1142"/>
      <c r="AO369" s="1207"/>
      <c r="AP369" s="1116"/>
      <c r="AQ369" s="1617" t="str">
        <f>IFERROR(IF(Input!$D$63="Feb",DATE("20"&amp;Input!$E$63,VLOOKUP(Input!$D$63,FT_PPD_DD!$Y$84:$Z$97,2,0),28),DATE("20"&amp;Input!$E$63,VLOOKUP(Input!$D$63,FT_PPD_DD!$Y$84:$Z$97,2,0),30)),"No")</f>
        <v>No</v>
      </c>
      <c r="AR369" s="1617" t="str">
        <f>IFERROR(IF($BE$329="Feb",DATE("20"&amp;BF329,VLOOKUP($BE$329,FT_PPD_DD!$Y$84:$Z$97,2,0),28),DATE("20"&amp;BF329,VLOOKUP(BE329,FT_PPD_DD!$Y$84:$Z$97,2,0),30)),"No")</f>
        <v>No</v>
      </c>
      <c r="AS369" s="1618"/>
      <c r="AT369" s="1619" t="e">
        <f>ABS(ROUND((AQ369-AR369)/365,2))</f>
        <v>#VALUE!</v>
      </c>
      <c r="AU369" s="1620" t="e">
        <f>ROUNDDOWN(AT369,0)</f>
        <v>#VALUE!</v>
      </c>
      <c r="AV369" s="1620" t="e">
        <f>AT369-ROUNDDOWN(AT369,0)</f>
        <v>#VALUE!</v>
      </c>
      <c r="AW369" s="1621"/>
      <c r="AX369" s="1116"/>
      <c r="AY369" s="1622" t="e">
        <f>ROUND((AQ369-AR369)/365,2)</f>
        <v>#VALUE!</v>
      </c>
      <c r="AZ369" s="1623" t="e">
        <f>IF(AY369&gt;=0,"Delay","Earlier")</f>
        <v>#VALUE!</v>
      </c>
      <c r="BA369" s="1116"/>
      <c r="BB369" s="1116"/>
      <c r="BC369" s="1116"/>
      <c r="BD369" s="1116"/>
      <c r="BE369" s="1116"/>
      <c r="BF369" s="1116"/>
      <c r="BG369" s="1116"/>
      <c r="BH369" s="1116"/>
      <c r="BI369" s="1116"/>
      <c r="BJ369" s="1116"/>
      <c r="BK369" s="1116"/>
      <c r="BL369" s="1116"/>
      <c r="BM369" s="1116"/>
      <c r="BN369" s="1116"/>
      <c r="BO369" s="1116"/>
      <c r="BP369" s="1116"/>
      <c r="BQ369" s="1116"/>
      <c r="BR369" s="1116"/>
      <c r="BS369" s="1116"/>
      <c r="BT369" s="1142"/>
      <c r="BU369" s="1478"/>
      <c r="BV369" s="1070"/>
    </row>
    <row r="370" spans="1:74" hidden="1" outlineLevel="2" x14ac:dyDescent="0.3">
      <c r="A370" s="1474"/>
      <c r="B370" s="1207"/>
      <c r="C370" s="2041" t="s">
        <v>1396</v>
      </c>
      <c r="D370" s="1116"/>
      <c r="E370" s="1116"/>
      <c r="F370" s="1624"/>
      <c r="G370" s="1600" t="e">
        <f t="shared" ref="G370:AI370" si="86">IF(G356=1,IF(LaunchDefExitOrigFY&lt;=G339,IF(G339=DefExitFY+9,AQ323,AQ318),0),0)</f>
        <v>#VALUE!</v>
      </c>
      <c r="H370" s="1601" t="e">
        <f t="shared" si="86"/>
        <v>#VALUE!</v>
      </c>
      <c r="I370" s="1601" t="e">
        <f t="shared" si="86"/>
        <v>#VALUE!</v>
      </c>
      <c r="J370" s="1601" t="e">
        <f t="shared" si="86"/>
        <v>#VALUE!</v>
      </c>
      <c r="K370" s="1601" t="e">
        <f t="shared" si="86"/>
        <v>#VALUE!</v>
      </c>
      <c r="L370" s="1601" t="e">
        <f t="shared" si="86"/>
        <v>#VALUE!</v>
      </c>
      <c r="M370" s="1601" t="e">
        <f t="shared" si="86"/>
        <v>#VALUE!</v>
      </c>
      <c r="N370" s="1601" t="e">
        <f t="shared" si="86"/>
        <v>#VALUE!</v>
      </c>
      <c r="O370" s="1601" t="e">
        <f t="shared" si="86"/>
        <v>#VALUE!</v>
      </c>
      <c r="P370" s="1601" t="e">
        <f t="shared" si="86"/>
        <v>#VALUE!</v>
      </c>
      <c r="Q370" s="1601" t="e">
        <f t="shared" si="86"/>
        <v>#VALUE!</v>
      </c>
      <c r="R370" s="1601" t="e">
        <f t="shared" si="86"/>
        <v>#VALUE!</v>
      </c>
      <c r="S370" s="1601" t="e">
        <f t="shared" si="86"/>
        <v>#VALUE!</v>
      </c>
      <c r="T370" s="1601" t="e">
        <f t="shared" si="86"/>
        <v>#VALUE!</v>
      </c>
      <c r="U370" s="1601" t="e">
        <f t="shared" si="86"/>
        <v>#VALUE!</v>
      </c>
      <c r="V370" s="1601" t="e">
        <f t="shared" si="86"/>
        <v>#VALUE!</v>
      </c>
      <c r="W370" s="1601" t="e">
        <f t="shared" si="86"/>
        <v>#VALUE!</v>
      </c>
      <c r="X370" s="1601" t="e">
        <f t="shared" si="86"/>
        <v>#VALUE!</v>
      </c>
      <c r="Y370" s="1601" t="e">
        <f t="shared" si="86"/>
        <v>#VALUE!</v>
      </c>
      <c r="Z370" s="1601" t="e">
        <f t="shared" si="86"/>
        <v>#VALUE!</v>
      </c>
      <c r="AA370" s="1601" t="e">
        <f t="shared" si="86"/>
        <v>#VALUE!</v>
      </c>
      <c r="AB370" s="1601" t="e">
        <f t="shared" si="86"/>
        <v>#VALUE!</v>
      </c>
      <c r="AC370" s="1601" t="e">
        <f t="shared" si="86"/>
        <v>#VALUE!</v>
      </c>
      <c r="AD370" s="1601" t="e">
        <f t="shared" si="86"/>
        <v>#VALUE!</v>
      </c>
      <c r="AE370" s="1601" t="e">
        <f t="shared" si="86"/>
        <v>#VALUE!</v>
      </c>
      <c r="AF370" s="1601" t="e">
        <f t="shared" si="86"/>
        <v>#VALUE!</v>
      </c>
      <c r="AG370" s="1601" t="e">
        <f t="shared" si="86"/>
        <v>#VALUE!</v>
      </c>
      <c r="AH370" s="1601" t="e">
        <f t="shared" si="86"/>
        <v>#VALUE!</v>
      </c>
      <c r="AI370" s="1602" t="e">
        <f t="shared" si="86"/>
        <v>#VALUE!</v>
      </c>
      <c r="AJ370" s="1476"/>
      <c r="AK370" s="1142"/>
      <c r="AL370" s="1142"/>
      <c r="AM370" s="1142"/>
      <c r="AN370" s="1142"/>
      <c r="AO370" s="1207"/>
      <c r="AP370" s="1116"/>
      <c r="AQ370" s="1600" t="e">
        <f t="shared" ref="AQ370:BS370" si="87">IF(AQ356=1,IF(LaunchDefExitOrigFY&lt;=G339,IF(G339=DefExitFY+14,AQ323,AQ318),0),0)</f>
        <v>#VALUE!</v>
      </c>
      <c r="AR370" s="1601" t="e">
        <f t="shared" si="87"/>
        <v>#VALUE!</v>
      </c>
      <c r="AS370" s="1601" t="e">
        <f t="shared" si="87"/>
        <v>#VALUE!</v>
      </c>
      <c r="AT370" s="1601" t="e">
        <f t="shared" si="87"/>
        <v>#VALUE!</v>
      </c>
      <c r="AU370" s="1601" t="e">
        <f t="shared" si="87"/>
        <v>#VALUE!</v>
      </c>
      <c r="AV370" s="1601" t="e">
        <f t="shared" si="87"/>
        <v>#VALUE!</v>
      </c>
      <c r="AW370" s="1601" t="e">
        <f t="shared" si="87"/>
        <v>#VALUE!</v>
      </c>
      <c r="AX370" s="1601" t="e">
        <f t="shared" si="87"/>
        <v>#VALUE!</v>
      </c>
      <c r="AY370" s="1601" t="e">
        <f t="shared" si="87"/>
        <v>#VALUE!</v>
      </c>
      <c r="AZ370" s="1601" t="e">
        <f t="shared" si="87"/>
        <v>#VALUE!</v>
      </c>
      <c r="BA370" s="1601" t="e">
        <f t="shared" si="87"/>
        <v>#VALUE!</v>
      </c>
      <c r="BB370" s="1601" t="e">
        <f t="shared" si="87"/>
        <v>#VALUE!</v>
      </c>
      <c r="BC370" s="1601" t="e">
        <f t="shared" si="87"/>
        <v>#VALUE!</v>
      </c>
      <c r="BD370" s="1601" t="e">
        <f t="shared" si="87"/>
        <v>#VALUE!</v>
      </c>
      <c r="BE370" s="1601" t="e">
        <f t="shared" si="87"/>
        <v>#VALUE!</v>
      </c>
      <c r="BF370" s="1601" t="e">
        <f t="shared" si="87"/>
        <v>#VALUE!</v>
      </c>
      <c r="BG370" s="1601" t="e">
        <f t="shared" si="87"/>
        <v>#VALUE!</v>
      </c>
      <c r="BH370" s="1601" t="e">
        <f t="shared" si="87"/>
        <v>#VALUE!</v>
      </c>
      <c r="BI370" s="1601" t="e">
        <f t="shared" si="87"/>
        <v>#VALUE!</v>
      </c>
      <c r="BJ370" s="1601" t="e">
        <f t="shared" si="87"/>
        <v>#VALUE!</v>
      </c>
      <c r="BK370" s="1601" t="e">
        <f t="shared" si="87"/>
        <v>#VALUE!</v>
      </c>
      <c r="BL370" s="1601" t="e">
        <f t="shared" si="87"/>
        <v>#VALUE!</v>
      </c>
      <c r="BM370" s="1601" t="e">
        <f t="shared" si="87"/>
        <v>#VALUE!</v>
      </c>
      <c r="BN370" s="1601" t="e">
        <f t="shared" si="87"/>
        <v>#VALUE!</v>
      </c>
      <c r="BO370" s="1601" t="e">
        <f t="shared" si="87"/>
        <v>#VALUE!</v>
      </c>
      <c r="BP370" s="1601" t="e">
        <f t="shared" si="87"/>
        <v>#VALUE!</v>
      </c>
      <c r="BQ370" s="1601" t="e">
        <f t="shared" si="87"/>
        <v>#VALUE!</v>
      </c>
      <c r="BR370" s="1601" t="e">
        <f t="shared" si="87"/>
        <v>#VALUE!</v>
      </c>
      <c r="BS370" s="2042" t="e">
        <f t="shared" si="87"/>
        <v>#VALUE!</v>
      </c>
      <c r="BT370" s="1142"/>
      <c r="BU370" s="1478"/>
      <c r="BV370" s="1070"/>
    </row>
    <row r="371" spans="1:74" hidden="1" outlineLevel="2" x14ac:dyDescent="0.3">
      <c r="A371" s="1474"/>
      <c r="B371" s="1207"/>
      <c r="C371" s="1618" t="s">
        <v>1397</v>
      </c>
      <c r="D371" s="1226"/>
      <c r="E371" s="1226"/>
      <c r="F371" s="1623"/>
      <c r="G371" s="1607" t="e">
        <f>$L$369*G370</f>
        <v>#VALUE!</v>
      </c>
      <c r="H371" s="1608" t="e">
        <f t="shared" ref="H371:AI371" si="88">$L$369*H370</f>
        <v>#VALUE!</v>
      </c>
      <c r="I371" s="1608" t="e">
        <f t="shared" si="88"/>
        <v>#VALUE!</v>
      </c>
      <c r="J371" s="1608" t="e">
        <f t="shared" si="88"/>
        <v>#VALUE!</v>
      </c>
      <c r="K371" s="1608" t="e">
        <f t="shared" si="88"/>
        <v>#VALUE!</v>
      </c>
      <c r="L371" s="1608" t="e">
        <f t="shared" si="88"/>
        <v>#VALUE!</v>
      </c>
      <c r="M371" s="1608" t="e">
        <f t="shared" si="88"/>
        <v>#VALUE!</v>
      </c>
      <c r="N371" s="1608" t="e">
        <f t="shared" si="88"/>
        <v>#VALUE!</v>
      </c>
      <c r="O371" s="1608" t="e">
        <f t="shared" si="88"/>
        <v>#VALUE!</v>
      </c>
      <c r="P371" s="1608" t="e">
        <f t="shared" si="88"/>
        <v>#VALUE!</v>
      </c>
      <c r="Q371" s="1608" t="e">
        <f t="shared" si="88"/>
        <v>#VALUE!</v>
      </c>
      <c r="R371" s="1608" t="e">
        <f t="shared" si="88"/>
        <v>#VALUE!</v>
      </c>
      <c r="S371" s="1608" t="e">
        <f t="shared" si="88"/>
        <v>#VALUE!</v>
      </c>
      <c r="T371" s="1608" t="e">
        <f t="shared" si="88"/>
        <v>#VALUE!</v>
      </c>
      <c r="U371" s="1608" t="e">
        <f t="shared" si="88"/>
        <v>#VALUE!</v>
      </c>
      <c r="V371" s="1608" t="e">
        <f t="shared" si="88"/>
        <v>#VALUE!</v>
      </c>
      <c r="W371" s="1608" t="e">
        <f t="shared" si="88"/>
        <v>#VALUE!</v>
      </c>
      <c r="X371" s="1608" t="e">
        <f t="shared" si="88"/>
        <v>#VALUE!</v>
      </c>
      <c r="Y371" s="1608" t="e">
        <f t="shared" si="88"/>
        <v>#VALUE!</v>
      </c>
      <c r="Z371" s="1608" t="e">
        <f t="shared" si="88"/>
        <v>#VALUE!</v>
      </c>
      <c r="AA371" s="1608" t="e">
        <f t="shared" si="88"/>
        <v>#VALUE!</v>
      </c>
      <c r="AB371" s="1608" t="e">
        <f t="shared" si="88"/>
        <v>#VALUE!</v>
      </c>
      <c r="AC371" s="1608" t="e">
        <f t="shared" si="88"/>
        <v>#VALUE!</v>
      </c>
      <c r="AD371" s="1608" t="e">
        <f t="shared" si="88"/>
        <v>#VALUE!</v>
      </c>
      <c r="AE371" s="1608" t="e">
        <f t="shared" si="88"/>
        <v>#VALUE!</v>
      </c>
      <c r="AF371" s="1608" t="e">
        <f t="shared" si="88"/>
        <v>#VALUE!</v>
      </c>
      <c r="AG371" s="1608" t="e">
        <f t="shared" si="88"/>
        <v>#VALUE!</v>
      </c>
      <c r="AH371" s="1608" t="e">
        <f t="shared" si="88"/>
        <v>#VALUE!</v>
      </c>
      <c r="AI371" s="1609" t="e">
        <f t="shared" si="88"/>
        <v>#VALUE!</v>
      </c>
      <c r="AJ371" s="1476"/>
      <c r="AK371" s="1142"/>
      <c r="AL371" s="1142"/>
      <c r="AM371" s="1142"/>
      <c r="AN371" s="1142"/>
      <c r="AO371" s="1207"/>
      <c r="AP371" s="1116"/>
      <c r="AQ371" s="1607" t="e">
        <f>$AV$369*AQ370</f>
        <v>#VALUE!</v>
      </c>
      <c r="AR371" s="1608" t="e">
        <f t="shared" ref="AR371:BS371" si="89">$AV$369*AR370</f>
        <v>#VALUE!</v>
      </c>
      <c r="AS371" s="1608" t="e">
        <f t="shared" si="89"/>
        <v>#VALUE!</v>
      </c>
      <c r="AT371" s="1608" t="e">
        <f t="shared" si="89"/>
        <v>#VALUE!</v>
      </c>
      <c r="AU371" s="1608" t="e">
        <f t="shared" si="89"/>
        <v>#VALUE!</v>
      </c>
      <c r="AV371" s="1608" t="e">
        <f t="shared" si="89"/>
        <v>#VALUE!</v>
      </c>
      <c r="AW371" s="1608" t="e">
        <f t="shared" si="89"/>
        <v>#VALUE!</v>
      </c>
      <c r="AX371" s="1608" t="e">
        <f t="shared" si="89"/>
        <v>#VALUE!</v>
      </c>
      <c r="AY371" s="1608" t="e">
        <f t="shared" si="89"/>
        <v>#VALUE!</v>
      </c>
      <c r="AZ371" s="1608" t="e">
        <f t="shared" si="89"/>
        <v>#VALUE!</v>
      </c>
      <c r="BA371" s="1608" t="e">
        <f t="shared" si="89"/>
        <v>#VALUE!</v>
      </c>
      <c r="BB371" s="1608" t="e">
        <f t="shared" si="89"/>
        <v>#VALUE!</v>
      </c>
      <c r="BC371" s="1608" t="e">
        <f t="shared" si="89"/>
        <v>#VALUE!</v>
      </c>
      <c r="BD371" s="1608" t="e">
        <f t="shared" si="89"/>
        <v>#VALUE!</v>
      </c>
      <c r="BE371" s="1608" t="e">
        <f t="shared" si="89"/>
        <v>#VALUE!</v>
      </c>
      <c r="BF371" s="1608" t="e">
        <f t="shared" si="89"/>
        <v>#VALUE!</v>
      </c>
      <c r="BG371" s="1608" t="e">
        <f t="shared" si="89"/>
        <v>#VALUE!</v>
      </c>
      <c r="BH371" s="1608" t="e">
        <f t="shared" si="89"/>
        <v>#VALUE!</v>
      </c>
      <c r="BI371" s="1608" t="e">
        <f t="shared" si="89"/>
        <v>#VALUE!</v>
      </c>
      <c r="BJ371" s="1608" t="e">
        <f t="shared" si="89"/>
        <v>#VALUE!</v>
      </c>
      <c r="BK371" s="1608" t="e">
        <f t="shared" si="89"/>
        <v>#VALUE!</v>
      </c>
      <c r="BL371" s="1608" t="e">
        <f t="shared" si="89"/>
        <v>#VALUE!</v>
      </c>
      <c r="BM371" s="1608" t="e">
        <f t="shared" si="89"/>
        <v>#VALUE!</v>
      </c>
      <c r="BN371" s="1608" t="e">
        <f t="shared" si="89"/>
        <v>#VALUE!</v>
      </c>
      <c r="BO371" s="1608" t="e">
        <f t="shared" si="89"/>
        <v>#VALUE!</v>
      </c>
      <c r="BP371" s="1608" t="e">
        <f t="shared" si="89"/>
        <v>#VALUE!</v>
      </c>
      <c r="BQ371" s="1608" t="e">
        <f t="shared" si="89"/>
        <v>#VALUE!</v>
      </c>
      <c r="BR371" s="1608" t="e">
        <f t="shared" si="89"/>
        <v>#VALUE!</v>
      </c>
      <c r="BS371" s="2043" t="e">
        <f t="shared" si="89"/>
        <v>#VALUE!</v>
      </c>
      <c r="BT371" s="1142"/>
      <c r="BU371" s="1478"/>
      <c r="BV371" s="1070"/>
    </row>
    <row r="372" spans="1:74" hidden="1" outlineLevel="2" x14ac:dyDescent="0.3">
      <c r="A372" s="1474"/>
      <c r="B372" s="1207"/>
      <c r="C372" s="1116"/>
      <c r="D372" s="1116"/>
      <c r="E372" s="1116"/>
      <c r="F372" s="1116"/>
      <c r="G372" s="1116"/>
      <c r="H372" s="1116"/>
      <c r="I372" s="1116"/>
      <c r="J372" s="1116"/>
      <c r="K372" s="1116"/>
      <c r="L372" s="1116"/>
      <c r="M372" s="1116"/>
      <c r="N372" s="1116"/>
      <c r="O372" s="1116"/>
      <c r="P372" s="1116"/>
      <c r="Q372" s="1116"/>
      <c r="R372" s="1116"/>
      <c r="S372" s="1116"/>
      <c r="T372" s="1116"/>
      <c r="U372" s="1116"/>
      <c r="V372" s="1116"/>
      <c r="W372" s="1116"/>
      <c r="X372" s="1116"/>
      <c r="Y372" s="1116"/>
      <c r="Z372" s="1116"/>
      <c r="AA372" s="1116"/>
      <c r="AB372" s="1116"/>
      <c r="AC372" s="1116"/>
      <c r="AD372" s="1116"/>
      <c r="AE372" s="1116"/>
      <c r="AF372" s="1116"/>
      <c r="AG372" s="1116"/>
      <c r="AH372" s="1116"/>
      <c r="AI372" s="1477"/>
      <c r="AJ372" s="1476"/>
      <c r="AK372" s="1142"/>
      <c r="AL372" s="1142"/>
      <c r="AM372" s="1142"/>
      <c r="AN372" s="1142"/>
      <c r="AO372" s="1207"/>
      <c r="AP372" s="1116"/>
      <c r="AQ372" s="1116"/>
      <c r="AR372" s="1116"/>
      <c r="AS372" s="1116"/>
      <c r="AT372" s="1116"/>
      <c r="AU372" s="1116"/>
      <c r="AV372" s="1116"/>
      <c r="AW372" s="1116"/>
      <c r="AX372" s="1116"/>
      <c r="AY372" s="1116"/>
      <c r="AZ372" s="1116"/>
      <c r="BA372" s="1116"/>
      <c r="BB372" s="1116"/>
      <c r="BC372" s="1116"/>
      <c r="BD372" s="1116"/>
      <c r="BE372" s="1116"/>
      <c r="BF372" s="1116"/>
      <c r="BG372" s="1116"/>
      <c r="BH372" s="1116"/>
      <c r="BI372" s="1116"/>
      <c r="BJ372" s="1116"/>
      <c r="BK372" s="1116"/>
      <c r="BL372" s="1116"/>
      <c r="BM372" s="1116"/>
      <c r="BN372" s="1116"/>
      <c r="BO372" s="1116"/>
      <c r="BP372" s="1116"/>
      <c r="BQ372" s="1116"/>
      <c r="BR372" s="1116"/>
      <c r="BS372" s="1116"/>
      <c r="BT372" s="1142"/>
      <c r="BU372" s="1478"/>
      <c r="BV372" s="1070"/>
    </row>
    <row r="373" spans="1:74" hidden="1" outlineLevel="2" x14ac:dyDescent="0.3">
      <c r="A373" s="1474"/>
      <c r="B373" s="1598"/>
      <c r="C373" s="1626" t="s">
        <v>1398</v>
      </c>
      <c r="D373" s="1229"/>
      <c r="E373" s="1612"/>
      <c r="F373" s="1626" t="s">
        <v>1398</v>
      </c>
      <c r="G373" s="1627" t="s">
        <v>1399</v>
      </c>
      <c r="H373" s="1628"/>
      <c r="I373" s="1628"/>
      <c r="J373" s="1628"/>
      <c r="K373" s="1628"/>
      <c r="L373" s="1629"/>
      <c r="M373" s="1629"/>
      <c r="N373" s="1629"/>
      <c r="O373" s="1629"/>
      <c r="P373" s="1629"/>
      <c r="Q373" s="1629"/>
      <c r="R373" s="1628"/>
      <c r="S373" s="1628"/>
      <c r="T373" s="1628"/>
      <c r="U373" s="1628"/>
      <c r="V373" s="1628"/>
      <c r="W373" s="1628"/>
      <c r="X373" s="1628"/>
      <c r="Y373" s="1628"/>
      <c r="Z373" s="1628"/>
      <c r="AA373" s="1628"/>
      <c r="AB373" s="1628"/>
      <c r="AC373" s="1628"/>
      <c r="AD373" s="1628"/>
      <c r="AE373" s="1628"/>
      <c r="AF373" s="1628"/>
      <c r="AG373" s="1628"/>
      <c r="AH373" s="1628"/>
      <c r="AI373" s="1630"/>
      <c r="AJ373" s="1476"/>
      <c r="AK373" s="1116"/>
      <c r="AL373" s="1116"/>
      <c r="AM373" s="1116"/>
      <c r="AN373" s="1116"/>
      <c r="AO373" s="1207"/>
      <c r="AP373" s="1626" t="s">
        <v>1398</v>
      </c>
      <c r="AQ373" s="1627" t="s">
        <v>1399</v>
      </c>
      <c r="AR373" s="1628"/>
      <c r="AS373" s="1628"/>
      <c r="AT373" s="1628"/>
      <c r="AU373" s="1628"/>
      <c r="AV373" s="1629"/>
      <c r="AW373" s="1629"/>
      <c r="AX373" s="1629"/>
      <c r="AY373" s="1629"/>
      <c r="AZ373" s="1629"/>
      <c r="BA373" s="1629"/>
      <c r="BB373" s="1628"/>
      <c r="BC373" s="1628"/>
      <c r="BD373" s="1628"/>
      <c r="BE373" s="1628"/>
      <c r="BF373" s="1628"/>
      <c r="BG373" s="1628"/>
      <c r="BH373" s="1628"/>
      <c r="BI373" s="1628"/>
      <c r="BJ373" s="1628"/>
      <c r="BK373" s="1628"/>
      <c r="BL373" s="1628"/>
      <c r="BM373" s="1628"/>
      <c r="BN373" s="1628"/>
      <c r="BO373" s="1628"/>
      <c r="BP373" s="1628"/>
      <c r="BQ373" s="1628"/>
      <c r="BR373" s="1628"/>
      <c r="BS373" s="2044"/>
      <c r="BT373" s="1142"/>
      <c r="BU373" s="1478"/>
      <c r="BV373" s="1070"/>
    </row>
    <row r="374" spans="1:74" hidden="1" outlineLevel="2" x14ac:dyDescent="0.3">
      <c r="A374" s="1474"/>
      <c r="B374" s="1598"/>
      <c r="C374" s="1631" t="s">
        <v>1400</v>
      </c>
      <c r="D374" s="1116"/>
      <c r="E374" s="1116"/>
      <c r="F374" s="1632">
        <v>0</v>
      </c>
      <c r="G374" s="1633" t="e">
        <f>IF(G370=0,0,G$370-G$371+#REF!)</f>
        <v>#VALUE!</v>
      </c>
      <c r="H374" s="1634" t="e">
        <f t="shared" ref="H374:AI374" si="90">IF(H370=0,0,H$370-H$371+G371)</f>
        <v>#VALUE!</v>
      </c>
      <c r="I374" s="1634" t="e">
        <f t="shared" si="90"/>
        <v>#VALUE!</v>
      </c>
      <c r="J374" s="1634" t="e">
        <f t="shared" si="90"/>
        <v>#VALUE!</v>
      </c>
      <c r="K374" s="1634" t="e">
        <f t="shared" si="90"/>
        <v>#VALUE!</v>
      </c>
      <c r="L374" s="1634" t="e">
        <f t="shared" si="90"/>
        <v>#VALUE!</v>
      </c>
      <c r="M374" s="1634" t="e">
        <f t="shared" si="90"/>
        <v>#VALUE!</v>
      </c>
      <c r="N374" s="1634" t="e">
        <f t="shared" si="90"/>
        <v>#VALUE!</v>
      </c>
      <c r="O374" s="1634" t="e">
        <f t="shared" si="90"/>
        <v>#VALUE!</v>
      </c>
      <c r="P374" s="1634" t="e">
        <f t="shared" si="90"/>
        <v>#VALUE!</v>
      </c>
      <c r="Q374" s="1634" t="e">
        <f t="shared" si="90"/>
        <v>#VALUE!</v>
      </c>
      <c r="R374" s="1634" t="e">
        <f t="shared" si="90"/>
        <v>#VALUE!</v>
      </c>
      <c r="S374" s="1634" t="e">
        <f t="shared" si="90"/>
        <v>#VALUE!</v>
      </c>
      <c r="T374" s="1634" t="e">
        <f t="shared" si="90"/>
        <v>#VALUE!</v>
      </c>
      <c r="U374" s="1634" t="e">
        <f t="shared" si="90"/>
        <v>#VALUE!</v>
      </c>
      <c r="V374" s="1634" t="e">
        <f t="shared" si="90"/>
        <v>#VALUE!</v>
      </c>
      <c r="W374" s="1634" t="e">
        <f t="shared" si="90"/>
        <v>#VALUE!</v>
      </c>
      <c r="X374" s="1634" t="e">
        <f t="shared" si="90"/>
        <v>#VALUE!</v>
      </c>
      <c r="Y374" s="1634" t="e">
        <f t="shared" si="90"/>
        <v>#VALUE!</v>
      </c>
      <c r="Z374" s="1634" t="e">
        <f t="shared" si="90"/>
        <v>#VALUE!</v>
      </c>
      <c r="AA374" s="1634" t="e">
        <f t="shared" si="90"/>
        <v>#VALUE!</v>
      </c>
      <c r="AB374" s="1634" t="e">
        <f t="shared" si="90"/>
        <v>#VALUE!</v>
      </c>
      <c r="AC374" s="1634" t="e">
        <f t="shared" si="90"/>
        <v>#VALUE!</v>
      </c>
      <c r="AD374" s="1634" t="e">
        <f t="shared" si="90"/>
        <v>#VALUE!</v>
      </c>
      <c r="AE374" s="1634" t="e">
        <f t="shared" si="90"/>
        <v>#VALUE!</v>
      </c>
      <c r="AF374" s="1634" t="e">
        <f t="shared" si="90"/>
        <v>#VALUE!</v>
      </c>
      <c r="AG374" s="1634" t="e">
        <f t="shared" si="90"/>
        <v>#VALUE!</v>
      </c>
      <c r="AH374" s="1634" t="e">
        <f t="shared" si="90"/>
        <v>#VALUE!</v>
      </c>
      <c r="AI374" s="1635" t="e">
        <f t="shared" si="90"/>
        <v>#VALUE!</v>
      </c>
      <c r="AJ374" s="1476"/>
      <c r="AK374" s="1116"/>
      <c r="AL374" s="1116"/>
      <c r="AM374" s="1116"/>
      <c r="AN374" s="1116"/>
      <c r="AO374" s="1207"/>
      <c r="AP374" s="1632">
        <v>0</v>
      </c>
      <c r="AQ374" s="1633" t="e">
        <f>IF(AQ370=0,0,AQ$370-AQ$371+#REF!)</f>
        <v>#VALUE!</v>
      </c>
      <c r="AR374" s="1634" t="e">
        <f t="shared" ref="AR374:BS374" si="91">IF(AR370=0,0,AR$370-AR$371+AQ371)</f>
        <v>#VALUE!</v>
      </c>
      <c r="AS374" s="1634" t="e">
        <f t="shared" si="91"/>
        <v>#VALUE!</v>
      </c>
      <c r="AT374" s="1634" t="e">
        <f t="shared" si="91"/>
        <v>#VALUE!</v>
      </c>
      <c r="AU374" s="1634" t="e">
        <f t="shared" si="91"/>
        <v>#VALUE!</v>
      </c>
      <c r="AV374" s="1634" t="e">
        <f t="shared" si="91"/>
        <v>#VALUE!</v>
      </c>
      <c r="AW374" s="1634" t="e">
        <f t="shared" si="91"/>
        <v>#VALUE!</v>
      </c>
      <c r="AX374" s="1634" t="e">
        <f t="shared" si="91"/>
        <v>#VALUE!</v>
      </c>
      <c r="AY374" s="1634" t="e">
        <f t="shared" si="91"/>
        <v>#VALUE!</v>
      </c>
      <c r="AZ374" s="1634" t="e">
        <f t="shared" si="91"/>
        <v>#VALUE!</v>
      </c>
      <c r="BA374" s="1634" t="e">
        <f t="shared" si="91"/>
        <v>#VALUE!</v>
      </c>
      <c r="BB374" s="1634" t="e">
        <f t="shared" si="91"/>
        <v>#VALUE!</v>
      </c>
      <c r="BC374" s="1634" t="e">
        <f t="shared" si="91"/>
        <v>#VALUE!</v>
      </c>
      <c r="BD374" s="1634" t="e">
        <f t="shared" si="91"/>
        <v>#VALUE!</v>
      </c>
      <c r="BE374" s="1634" t="e">
        <f t="shared" si="91"/>
        <v>#VALUE!</v>
      </c>
      <c r="BF374" s="1634" t="e">
        <f t="shared" si="91"/>
        <v>#VALUE!</v>
      </c>
      <c r="BG374" s="1634" t="e">
        <f t="shared" si="91"/>
        <v>#VALUE!</v>
      </c>
      <c r="BH374" s="1634" t="e">
        <f t="shared" si="91"/>
        <v>#VALUE!</v>
      </c>
      <c r="BI374" s="1634" t="e">
        <f t="shared" si="91"/>
        <v>#VALUE!</v>
      </c>
      <c r="BJ374" s="1634" t="e">
        <f t="shared" si="91"/>
        <v>#VALUE!</v>
      </c>
      <c r="BK374" s="1634" t="e">
        <f t="shared" si="91"/>
        <v>#VALUE!</v>
      </c>
      <c r="BL374" s="1634" t="e">
        <f t="shared" si="91"/>
        <v>#VALUE!</v>
      </c>
      <c r="BM374" s="1634" t="e">
        <f t="shared" si="91"/>
        <v>#VALUE!</v>
      </c>
      <c r="BN374" s="1634" t="e">
        <f t="shared" si="91"/>
        <v>#VALUE!</v>
      </c>
      <c r="BO374" s="1634" t="e">
        <f t="shared" si="91"/>
        <v>#VALUE!</v>
      </c>
      <c r="BP374" s="1634" t="e">
        <f t="shared" si="91"/>
        <v>#VALUE!</v>
      </c>
      <c r="BQ374" s="1634" t="e">
        <f t="shared" si="91"/>
        <v>#VALUE!</v>
      </c>
      <c r="BR374" s="1634" t="e">
        <f t="shared" si="91"/>
        <v>#VALUE!</v>
      </c>
      <c r="BS374" s="2045" t="e">
        <f t="shared" si="91"/>
        <v>#VALUE!</v>
      </c>
      <c r="BT374" s="1142"/>
      <c r="BU374" s="1478"/>
      <c r="BV374" s="1070"/>
    </row>
    <row r="375" spans="1:74" hidden="1" outlineLevel="2" x14ac:dyDescent="0.3">
      <c r="A375" s="1474"/>
      <c r="B375" s="1598"/>
      <c r="C375" s="1636" t="s">
        <v>1401</v>
      </c>
      <c r="D375" s="1116"/>
      <c r="E375" s="1116"/>
      <c r="F375" s="1637">
        <v>1</v>
      </c>
      <c r="G375" s="1610" t="e">
        <f>IF(G$370=0,0,IF($J$369=1,0,0))</f>
        <v>#VALUE!</v>
      </c>
      <c r="H375" s="1610" t="e">
        <f>IF(H$370=0,0,IF($J$369=1,G$370,G$370-G$371))</f>
        <v>#VALUE!</v>
      </c>
      <c r="I375" s="1610" t="e">
        <f t="shared" ref="I375:AI375" si="92">IF(I$370=0,0,IF($J$369=1,H$370,H$370-H$371+G$371))</f>
        <v>#VALUE!</v>
      </c>
      <c r="J375" s="1610" t="e">
        <f t="shared" si="92"/>
        <v>#VALUE!</v>
      </c>
      <c r="K375" s="1610" t="e">
        <f t="shared" si="92"/>
        <v>#VALUE!</v>
      </c>
      <c r="L375" s="1610" t="e">
        <f t="shared" si="92"/>
        <v>#VALUE!</v>
      </c>
      <c r="M375" s="1610" t="e">
        <f t="shared" si="92"/>
        <v>#VALUE!</v>
      </c>
      <c r="N375" s="1610" t="e">
        <f t="shared" si="92"/>
        <v>#VALUE!</v>
      </c>
      <c r="O375" s="1610" t="e">
        <f t="shared" si="92"/>
        <v>#VALUE!</v>
      </c>
      <c r="P375" s="1610" t="e">
        <f t="shared" si="92"/>
        <v>#VALUE!</v>
      </c>
      <c r="Q375" s="1610" t="e">
        <f t="shared" si="92"/>
        <v>#VALUE!</v>
      </c>
      <c r="R375" s="1610" t="e">
        <f t="shared" si="92"/>
        <v>#VALUE!</v>
      </c>
      <c r="S375" s="1610" t="e">
        <f t="shared" si="92"/>
        <v>#VALUE!</v>
      </c>
      <c r="T375" s="1610" t="e">
        <f t="shared" si="92"/>
        <v>#VALUE!</v>
      </c>
      <c r="U375" s="1610" t="e">
        <f t="shared" si="92"/>
        <v>#VALUE!</v>
      </c>
      <c r="V375" s="1610" t="e">
        <f t="shared" si="92"/>
        <v>#VALUE!</v>
      </c>
      <c r="W375" s="1610" t="e">
        <f t="shared" si="92"/>
        <v>#VALUE!</v>
      </c>
      <c r="X375" s="1610" t="e">
        <f t="shared" si="92"/>
        <v>#VALUE!</v>
      </c>
      <c r="Y375" s="1610" t="e">
        <f t="shared" si="92"/>
        <v>#VALUE!</v>
      </c>
      <c r="Z375" s="1610" t="e">
        <f t="shared" si="92"/>
        <v>#VALUE!</v>
      </c>
      <c r="AA375" s="1610" t="e">
        <f t="shared" si="92"/>
        <v>#VALUE!</v>
      </c>
      <c r="AB375" s="1610" t="e">
        <f t="shared" si="92"/>
        <v>#VALUE!</v>
      </c>
      <c r="AC375" s="1610" t="e">
        <f t="shared" si="92"/>
        <v>#VALUE!</v>
      </c>
      <c r="AD375" s="1610" t="e">
        <f t="shared" si="92"/>
        <v>#VALUE!</v>
      </c>
      <c r="AE375" s="1610" t="e">
        <f t="shared" si="92"/>
        <v>#VALUE!</v>
      </c>
      <c r="AF375" s="1610" t="e">
        <f t="shared" si="92"/>
        <v>#VALUE!</v>
      </c>
      <c r="AG375" s="1610" t="e">
        <f t="shared" si="92"/>
        <v>#VALUE!</v>
      </c>
      <c r="AH375" s="1610" t="e">
        <f t="shared" si="92"/>
        <v>#VALUE!</v>
      </c>
      <c r="AI375" s="1638" t="e">
        <f t="shared" si="92"/>
        <v>#VALUE!</v>
      </c>
      <c r="AJ375" s="1476"/>
      <c r="AK375" s="1116"/>
      <c r="AL375" s="1116"/>
      <c r="AM375" s="1116"/>
      <c r="AN375" s="1116"/>
      <c r="AO375" s="1207"/>
      <c r="AP375" s="1637">
        <v>1</v>
      </c>
      <c r="AQ375" s="1610" t="e">
        <f>IF(AQ$370=0,0,IF($AT$369=1,0,0))</f>
        <v>#VALUE!</v>
      </c>
      <c r="AR375" s="1610" t="e">
        <f>IF(AR$370=0,0,IF($AT$369=1,AQ$370,AQ$370-AQ$371))</f>
        <v>#VALUE!</v>
      </c>
      <c r="AS375" s="1610" t="e">
        <f t="shared" ref="AS375:BS375" si="93">IF(AS$370=0,0,IF($AT$369=1,AR$370,AR$370-AR$371+AQ$371))</f>
        <v>#VALUE!</v>
      </c>
      <c r="AT375" s="1610" t="e">
        <f t="shared" si="93"/>
        <v>#VALUE!</v>
      </c>
      <c r="AU375" s="1610" t="e">
        <f t="shared" si="93"/>
        <v>#VALUE!</v>
      </c>
      <c r="AV375" s="1610" t="e">
        <f t="shared" si="93"/>
        <v>#VALUE!</v>
      </c>
      <c r="AW375" s="1610" t="e">
        <f t="shared" si="93"/>
        <v>#VALUE!</v>
      </c>
      <c r="AX375" s="1610" t="e">
        <f t="shared" si="93"/>
        <v>#VALUE!</v>
      </c>
      <c r="AY375" s="1610" t="e">
        <f t="shared" si="93"/>
        <v>#VALUE!</v>
      </c>
      <c r="AZ375" s="1610" t="e">
        <f t="shared" si="93"/>
        <v>#VALUE!</v>
      </c>
      <c r="BA375" s="1610" t="e">
        <f t="shared" si="93"/>
        <v>#VALUE!</v>
      </c>
      <c r="BB375" s="1610" t="e">
        <f t="shared" si="93"/>
        <v>#VALUE!</v>
      </c>
      <c r="BC375" s="1610" t="e">
        <f t="shared" si="93"/>
        <v>#VALUE!</v>
      </c>
      <c r="BD375" s="1610" t="e">
        <f t="shared" si="93"/>
        <v>#VALUE!</v>
      </c>
      <c r="BE375" s="1610" t="e">
        <f t="shared" si="93"/>
        <v>#VALUE!</v>
      </c>
      <c r="BF375" s="1610" t="e">
        <f t="shared" si="93"/>
        <v>#VALUE!</v>
      </c>
      <c r="BG375" s="1610" t="e">
        <f t="shared" si="93"/>
        <v>#VALUE!</v>
      </c>
      <c r="BH375" s="1610" t="e">
        <f t="shared" si="93"/>
        <v>#VALUE!</v>
      </c>
      <c r="BI375" s="1610" t="e">
        <f t="shared" si="93"/>
        <v>#VALUE!</v>
      </c>
      <c r="BJ375" s="1610" t="e">
        <f t="shared" si="93"/>
        <v>#VALUE!</v>
      </c>
      <c r="BK375" s="1610" t="e">
        <f t="shared" si="93"/>
        <v>#VALUE!</v>
      </c>
      <c r="BL375" s="1610" t="e">
        <f t="shared" si="93"/>
        <v>#VALUE!</v>
      </c>
      <c r="BM375" s="1610" t="e">
        <f t="shared" si="93"/>
        <v>#VALUE!</v>
      </c>
      <c r="BN375" s="1610" t="e">
        <f t="shared" si="93"/>
        <v>#VALUE!</v>
      </c>
      <c r="BO375" s="1610" t="e">
        <f t="shared" si="93"/>
        <v>#VALUE!</v>
      </c>
      <c r="BP375" s="1610" t="e">
        <f t="shared" si="93"/>
        <v>#VALUE!</v>
      </c>
      <c r="BQ375" s="1610" t="e">
        <f t="shared" si="93"/>
        <v>#VALUE!</v>
      </c>
      <c r="BR375" s="1610" t="e">
        <f t="shared" si="93"/>
        <v>#VALUE!</v>
      </c>
      <c r="BS375" s="2046" t="e">
        <f t="shared" si="93"/>
        <v>#VALUE!</v>
      </c>
      <c r="BT375" s="1142"/>
      <c r="BU375" s="1478"/>
      <c r="BV375" s="1070"/>
    </row>
    <row r="376" spans="1:74" hidden="1" outlineLevel="2" x14ac:dyDescent="0.3">
      <c r="A376" s="1474"/>
      <c r="B376" s="1598"/>
      <c r="C376" s="1636" t="s">
        <v>1402</v>
      </c>
      <c r="D376" s="1116"/>
      <c r="E376" s="1116"/>
      <c r="F376" s="1637">
        <v>2</v>
      </c>
      <c r="G376" s="1610" t="e">
        <f>IF(G$370=0,0,IF($J$369=2,0,0))</f>
        <v>#VALUE!</v>
      </c>
      <c r="H376" s="1610" t="e">
        <f>IF(H$370=0,0,IF($J$369=2,0,0))</f>
        <v>#VALUE!</v>
      </c>
      <c r="I376" s="1610" t="e">
        <f>IF(I$370=0,0,IF($J$369=2,G$370,G$370-G$371))</f>
        <v>#VALUE!</v>
      </c>
      <c r="J376" s="1610" t="e">
        <f t="shared" ref="J376:AI376" si="94">IF(J$370=0,0,IF($J$369=2,H$370,H$370-H$371+G$371))</f>
        <v>#VALUE!</v>
      </c>
      <c r="K376" s="1610" t="e">
        <f t="shared" si="94"/>
        <v>#VALUE!</v>
      </c>
      <c r="L376" s="1610" t="e">
        <f t="shared" si="94"/>
        <v>#VALUE!</v>
      </c>
      <c r="M376" s="1610" t="e">
        <f t="shared" si="94"/>
        <v>#VALUE!</v>
      </c>
      <c r="N376" s="1610" t="e">
        <f t="shared" si="94"/>
        <v>#VALUE!</v>
      </c>
      <c r="O376" s="1610" t="e">
        <f t="shared" si="94"/>
        <v>#VALUE!</v>
      </c>
      <c r="P376" s="1610" t="e">
        <f t="shared" si="94"/>
        <v>#VALUE!</v>
      </c>
      <c r="Q376" s="1610" t="e">
        <f t="shared" si="94"/>
        <v>#VALUE!</v>
      </c>
      <c r="R376" s="1610" t="e">
        <f t="shared" si="94"/>
        <v>#VALUE!</v>
      </c>
      <c r="S376" s="1610" t="e">
        <f t="shared" si="94"/>
        <v>#VALUE!</v>
      </c>
      <c r="T376" s="1610" t="e">
        <f t="shared" si="94"/>
        <v>#VALUE!</v>
      </c>
      <c r="U376" s="1610" t="e">
        <f t="shared" si="94"/>
        <v>#VALUE!</v>
      </c>
      <c r="V376" s="1610" t="e">
        <f t="shared" si="94"/>
        <v>#VALUE!</v>
      </c>
      <c r="W376" s="1610" t="e">
        <f t="shared" si="94"/>
        <v>#VALUE!</v>
      </c>
      <c r="X376" s="1610" t="e">
        <f t="shared" si="94"/>
        <v>#VALUE!</v>
      </c>
      <c r="Y376" s="1610" t="e">
        <f t="shared" si="94"/>
        <v>#VALUE!</v>
      </c>
      <c r="Z376" s="1610" t="e">
        <f t="shared" si="94"/>
        <v>#VALUE!</v>
      </c>
      <c r="AA376" s="1610" t="e">
        <f t="shared" si="94"/>
        <v>#VALUE!</v>
      </c>
      <c r="AB376" s="1610" t="e">
        <f t="shared" si="94"/>
        <v>#VALUE!</v>
      </c>
      <c r="AC376" s="1610" t="e">
        <f t="shared" si="94"/>
        <v>#VALUE!</v>
      </c>
      <c r="AD376" s="1610" t="e">
        <f t="shared" si="94"/>
        <v>#VALUE!</v>
      </c>
      <c r="AE376" s="1610" t="e">
        <f t="shared" si="94"/>
        <v>#VALUE!</v>
      </c>
      <c r="AF376" s="1610" t="e">
        <f t="shared" si="94"/>
        <v>#VALUE!</v>
      </c>
      <c r="AG376" s="1610" t="e">
        <f t="shared" si="94"/>
        <v>#VALUE!</v>
      </c>
      <c r="AH376" s="1610" t="e">
        <f t="shared" si="94"/>
        <v>#VALUE!</v>
      </c>
      <c r="AI376" s="1638" t="e">
        <f t="shared" si="94"/>
        <v>#VALUE!</v>
      </c>
      <c r="AJ376" s="1476"/>
      <c r="AK376" s="1116"/>
      <c r="AL376" s="1116"/>
      <c r="AM376" s="1116"/>
      <c r="AN376" s="1116"/>
      <c r="AO376" s="1207"/>
      <c r="AP376" s="1637">
        <v>2</v>
      </c>
      <c r="AQ376" s="1610" t="e">
        <f>IF(AQ$370=0,0,IF($AT$369=2,0,0))</f>
        <v>#VALUE!</v>
      </c>
      <c r="AR376" s="1610" t="e">
        <f>IF(AR$370=0,0,IF($AT$369=2,0,0))</f>
        <v>#VALUE!</v>
      </c>
      <c r="AS376" s="1610" t="e">
        <f>IF(AS$370=0,0,IF($AT$369=2,AQ$370,AQ$370-AQ$371))</f>
        <v>#VALUE!</v>
      </c>
      <c r="AT376" s="1610" t="e">
        <f t="shared" ref="AT376:BS376" si="95">IF(AT$370=0,0,IF($AT$369=2,AR$370,AR$370-AR$371+AQ$371))</f>
        <v>#VALUE!</v>
      </c>
      <c r="AU376" s="1610" t="e">
        <f t="shared" si="95"/>
        <v>#VALUE!</v>
      </c>
      <c r="AV376" s="1610" t="e">
        <f t="shared" si="95"/>
        <v>#VALUE!</v>
      </c>
      <c r="AW376" s="1610" t="e">
        <f t="shared" si="95"/>
        <v>#VALUE!</v>
      </c>
      <c r="AX376" s="1610" t="e">
        <f t="shared" si="95"/>
        <v>#VALUE!</v>
      </c>
      <c r="AY376" s="1610" t="e">
        <f t="shared" si="95"/>
        <v>#VALUE!</v>
      </c>
      <c r="AZ376" s="1610" t="e">
        <f t="shared" si="95"/>
        <v>#VALUE!</v>
      </c>
      <c r="BA376" s="1610" t="e">
        <f t="shared" si="95"/>
        <v>#VALUE!</v>
      </c>
      <c r="BB376" s="1610" t="e">
        <f t="shared" si="95"/>
        <v>#VALUE!</v>
      </c>
      <c r="BC376" s="1610" t="e">
        <f t="shared" si="95"/>
        <v>#VALUE!</v>
      </c>
      <c r="BD376" s="1610" t="e">
        <f t="shared" si="95"/>
        <v>#VALUE!</v>
      </c>
      <c r="BE376" s="1610" t="e">
        <f t="shared" si="95"/>
        <v>#VALUE!</v>
      </c>
      <c r="BF376" s="1610" t="e">
        <f t="shared" si="95"/>
        <v>#VALUE!</v>
      </c>
      <c r="BG376" s="1610" t="e">
        <f t="shared" si="95"/>
        <v>#VALUE!</v>
      </c>
      <c r="BH376" s="1610" t="e">
        <f t="shared" si="95"/>
        <v>#VALUE!</v>
      </c>
      <c r="BI376" s="1610" t="e">
        <f t="shared" si="95"/>
        <v>#VALUE!</v>
      </c>
      <c r="BJ376" s="1610" t="e">
        <f t="shared" si="95"/>
        <v>#VALUE!</v>
      </c>
      <c r="BK376" s="1610" t="e">
        <f t="shared" si="95"/>
        <v>#VALUE!</v>
      </c>
      <c r="BL376" s="1610" t="e">
        <f t="shared" si="95"/>
        <v>#VALUE!</v>
      </c>
      <c r="BM376" s="1610" t="e">
        <f t="shared" si="95"/>
        <v>#VALUE!</v>
      </c>
      <c r="BN376" s="1610" t="e">
        <f t="shared" si="95"/>
        <v>#VALUE!</v>
      </c>
      <c r="BO376" s="1610" t="e">
        <f t="shared" si="95"/>
        <v>#VALUE!</v>
      </c>
      <c r="BP376" s="1610" t="e">
        <f t="shared" si="95"/>
        <v>#VALUE!</v>
      </c>
      <c r="BQ376" s="1610" t="e">
        <f t="shared" si="95"/>
        <v>#VALUE!</v>
      </c>
      <c r="BR376" s="1610" t="e">
        <f t="shared" si="95"/>
        <v>#VALUE!</v>
      </c>
      <c r="BS376" s="2046" t="e">
        <f t="shared" si="95"/>
        <v>#VALUE!</v>
      </c>
      <c r="BT376" s="1142"/>
      <c r="BU376" s="1478"/>
      <c r="BV376" s="1070"/>
    </row>
    <row r="377" spans="1:74" hidden="1" outlineLevel="2" x14ac:dyDescent="0.3">
      <c r="A377" s="1474"/>
      <c r="B377" s="1598"/>
      <c r="C377" s="1636" t="s">
        <v>1403</v>
      </c>
      <c r="D377" s="1116"/>
      <c r="E377" s="1116"/>
      <c r="F377" s="1637">
        <v>3</v>
      </c>
      <c r="G377" s="1610" t="e">
        <f>IF(G$370=0,0,IF($J$369=3,0,0))</f>
        <v>#VALUE!</v>
      </c>
      <c r="H377" s="1610" t="e">
        <f>IF(H$370=0,0,IF($J$369=3,0,0))</f>
        <v>#VALUE!</v>
      </c>
      <c r="I377" s="1610" t="e">
        <f>IF(I$370=0,0,IF($J$369=3,0,0))</f>
        <v>#VALUE!</v>
      </c>
      <c r="J377" s="1610" t="e">
        <f>IF(J$370=0,0,IF($J$369=3,G$370,G$370-G$371))</f>
        <v>#VALUE!</v>
      </c>
      <c r="K377" s="1610" t="e">
        <f t="shared" ref="K377:AI377" si="96">IF(K$370=0,0,IF($J$369=3,H$370,H$370-H$371+G$371))</f>
        <v>#VALUE!</v>
      </c>
      <c r="L377" s="1610" t="e">
        <f t="shared" si="96"/>
        <v>#VALUE!</v>
      </c>
      <c r="M377" s="1610" t="e">
        <f t="shared" si="96"/>
        <v>#VALUE!</v>
      </c>
      <c r="N377" s="1610" t="e">
        <f t="shared" si="96"/>
        <v>#VALUE!</v>
      </c>
      <c r="O377" s="1610" t="e">
        <f t="shared" si="96"/>
        <v>#VALUE!</v>
      </c>
      <c r="P377" s="1610" t="e">
        <f t="shared" si="96"/>
        <v>#VALUE!</v>
      </c>
      <c r="Q377" s="1610" t="e">
        <f t="shared" si="96"/>
        <v>#VALUE!</v>
      </c>
      <c r="R377" s="1610" t="e">
        <f t="shared" si="96"/>
        <v>#VALUE!</v>
      </c>
      <c r="S377" s="1610" t="e">
        <f t="shared" si="96"/>
        <v>#VALUE!</v>
      </c>
      <c r="T377" s="1610" t="e">
        <f t="shared" si="96"/>
        <v>#VALUE!</v>
      </c>
      <c r="U377" s="1610" t="e">
        <f t="shared" si="96"/>
        <v>#VALUE!</v>
      </c>
      <c r="V377" s="1610" t="e">
        <f t="shared" si="96"/>
        <v>#VALUE!</v>
      </c>
      <c r="W377" s="1610" t="e">
        <f t="shared" si="96"/>
        <v>#VALUE!</v>
      </c>
      <c r="X377" s="1610" t="e">
        <f t="shared" si="96"/>
        <v>#VALUE!</v>
      </c>
      <c r="Y377" s="1610" t="e">
        <f t="shared" si="96"/>
        <v>#VALUE!</v>
      </c>
      <c r="Z377" s="1610" t="e">
        <f t="shared" si="96"/>
        <v>#VALUE!</v>
      </c>
      <c r="AA377" s="1610" t="e">
        <f t="shared" si="96"/>
        <v>#VALUE!</v>
      </c>
      <c r="AB377" s="1610" t="e">
        <f t="shared" si="96"/>
        <v>#VALUE!</v>
      </c>
      <c r="AC377" s="1610" t="e">
        <f t="shared" si="96"/>
        <v>#VALUE!</v>
      </c>
      <c r="AD377" s="1610" t="e">
        <f t="shared" si="96"/>
        <v>#VALUE!</v>
      </c>
      <c r="AE377" s="1610" t="e">
        <f t="shared" si="96"/>
        <v>#VALUE!</v>
      </c>
      <c r="AF377" s="1610" t="e">
        <f t="shared" si="96"/>
        <v>#VALUE!</v>
      </c>
      <c r="AG377" s="1610" t="e">
        <f t="shared" si="96"/>
        <v>#VALUE!</v>
      </c>
      <c r="AH377" s="1610" t="e">
        <f t="shared" si="96"/>
        <v>#VALUE!</v>
      </c>
      <c r="AI377" s="1638" t="e">
        <f t="shared" si="96"/>
        <v>#VALUE!</v>
      </c>
      <c r="AJ377" s="1476"/>
      <c r="AK377" s="1116"/>
      <c r="AL377" s="1116"/>
      <c r="AM377" s="1116"/>
      <c r="AN377" s="1116"/>
      <c r="AO377" s="1207"/>
      <c r="AP377" s="1637">
        <v>3</v>
      </c>
      <c r="AQ377" s="1610" t="e">
        <f>IF(AQ$370=0,0,IF($AT$369=3,0,0))</f>
        <v>#VALUE!</v>
      </c>
      <c r="AR377" s="1610" t="e">
        <f>IF(AR$370=0,0,IF($AT$369=3,0,0))</f>
        <v>#VALUE!</v>
      </c>
      <c r="AS377" s="1610" t="e">
        <f>IF(AS$370=0,0,IF($AT$369=3,0,0))</f>
        <v>#VALUE!</v>
      </c>
      <c r="AT377" s="1610" t="e">
        <f>IF(AT$370=0,0,IF($AT$369=3,AQ$370,AQ$370-AQ$371))</f>
        <v>#VALUE!</v>
      </c>
      <c r="AU377" s="1610" t="e">
        <f t="shared" ref="AU377:BS377" si="97">IF(AU$370=0,0,IF($AT$369=3,AR$370,AR$370-AR$371+AQ$371))</f>
        <v>#VALUE!</v>
      </c>
      <c r="AV377" s="1610" t="e">
        <f t="shared" si="97"/>
        <v>#VALUE!</v>
      </c>
      <c r="AW377" s="1610" t="e">
        <f t="shared" si="97"/>
        <v>#VALUE!</v>
      </c>
      <c r="AX377" s="1610" t="e">
        <f t="shared" si="97"/>
        <v>#VALUE!</v>
      </c>
      <c r="AY377" s="1610" t="e">
        <f t="shared" si="97"/>
        <v>#VALUE!</v>
      </c>
      <c r="AZ377" s="1610" t="e">
        <f t="shared" si="97"/>
        <v>#VALUE!</v>
      </c>
      <c r="BA377" s="1610" t="e">
        <f t="shared" si="97"/>
        <v>#VALUE!</v>
      </c>
      <c r="BB377" s="1610" t="e">
        <f t="shared" si="97"/>
        <v>#VALUE!</v>
      </c>
      <c r="BC377" s="1610" t="e">
        <f t="shared" si="97"/>
        <v>#VALUE!</v>
      </c>
      <c r="BD377" s="1610" t="e">
        <f t="shared" si="97"/>
        <v>#VALUE!</v>
      </c>
      <c r="BE377" s="1610" t="e">
        <f t="shared" si="97"/>
        <v>#VALUE!</v>
      </c>
      <c r="BF377" s="1610" t="e">
        <f t="shared" si="97"/>
        <v>#VALUE!</v>
      </c>
      <c r="BG377" s="1610" t="e">
        <f t="shared" si="97"/>
        <v>#VALUE!</v>
      </c>
      <c r="BH377" s="1610" t="e">
        <f t="shared" si="97"/>
        <v>#VALUE!</v>
      </c>
      <c r="BI377" s="1610" t="e">
        <f t="shared" si="97"/>
        <v>#VALUE!</v>
      </c>
      <c r="BJ377" s="1610" t="e">
        <f t="shared" si="97"/>
        <v>#VALUE!</v>
      </c>
      <c r="BK377" s="1610" t="e">
        <f t="shared" si="97"/>
        <v>#VALUE!</v>
      </c>
      <c r="BL377" s="1610" t="e">
        <f t="shared" si="97"/>
        <v>#VALUE!</v>
      </c>
      <c r="BM377" s="1610" t="e">
        <f t="shared" si="97"/>
        <v>#VALUE!</v>
      </c>
      <c r="BN377" s="1610" t="e">
        <f t="shared" si="97"/>
        <v>#VALUE!</v>
      </c>
      <c r="BO377" s="1610" t="e">
        <f t="shared" si="97"/>
        <v>#VALUE!</v>
      </c>
      <c r="BP377" s="1610" t="e">
        <f t="shared" si="97"/>
        <v>#VALUE!</v>
      </c>
      <c r="BQ377" s="1610" t="e">
        <f t="shared" si="97"/>
        <v>#VALUE!</v>
      </c>
      <c r="BR377" s="1610" t="e">
        <f t="shared" si="97"/>
        <v>#VALUE!</v>
      </c>
      <c r="BS377" s="2046" t="e">
        <f t="shared" si="97"/>
        <v>#VALUE!</v>
      </c>
      <c r="BT377" s="1142"/>
      <c r="BU377" s="1478"/>
      <c r="BV377" s="1070"/>
    </row>
    <row r="378" spans="1:74" hidden="1" outlineLevel="2" x14ac:dyDescent="0.3">
      <c r="A378" s="1474"/>
      <c r="B378" s="1598"/>
      <c r="C378" s="1639" t="s">
        <v>1404</v>
      </c>
      <c r="D378" s="1116"/>
      <c r="E378" s="1116"/>
      <c r="F378" s="1640">
        <v>4</v>
      </c>
      <c r="G378" s="1641" t="e">
        <f>IF(G$370=0,0,IF($J$369=4,0,0))</f>
        <v>#VALUE!</v>
      </c>
      <c r="H378" s="1641" t="e">
        <f>IF(H$370=0,0,IF($J$369=4,0,0))</f>
        <v>#VALUE!</v>
      </c>
      <c r="I378" s="1641" t="e">
        <f>IF(I$370=0,0,IF($J$369=4,0,0))</f>
        <v>#VALUE!</v>
      </c>
      <c r="J378" s="1641" t="e">
        <f>IF(J$370=0,0,IF($J$369=4,0,0))</f>
        <v>#VALUE!</v>
      </c>
      <c r="K378" s="1641" t="e">
        <f>IF(K$370=0,0,IF($J$369=4,G$370,G$370-G$371))</f>
        <v>#VALUE!</v>
      </c>
      <c r="L378" s="1641" t="e">
        <f t="shared" ref="L378:AI378" si="98">IF(L$370=0,0,IF($J$369=4,H$370,H$370-H$371+G$371))</f>
        <v>#VALUE!</v>
      </c>
      <c r="M378" s="1641" t="e">
        <f t="shared" si="98"/>
        <v>#VALUE!</v>
      </c>
      <c r="N378" s="1641" t="e">
        <f t="shared" si="98"/>
        <v>#VALUE!</v>
      </c>
      <c r="O378" s="1641" t="e">
        <f t="shared" si="98"/>
        <v>#VALUE!</v>
      </c>
      <c r="P378" s="1641" t="e">
        <f t="shared" si="98"/>
        <v>#VALUE!</v>
      </c>
      <c r="Q378" s="1641" t="e">
        <f t="shared" si="98"/>
        <v>#VALUE!</v>
      </c>
      <c r="R378" s="1641" t="e">
        <f t="shared" si="98"/>
        <v>#VALUE!</v>
      </c>
      <c r="S378" s="1641" t="e">
        <f t="shared" si="98"/>
        <v>#VALUE!</v>
      </c>
      <c r="T378" s="1641" t="e">
        <f t="shared" si="98"/>
        <v>#VALUE!</v>
      </c>
      <c r="U378" s="1641" t="e">
        <f t="shared" si="98"/>
        <v>#VALUE!</v>
      </c>
      <c r="V378" s="1641" t="e">
        <f t="shared" si="98"/>
        <v>#VALUE!</v>
      </c>
      <c r="W378" s="1641" t="e">
        <f t="shared" si="98"/>
        <v>#VALUE!</v>
      </c>
      <c r="X378" s="1641" t="e">
        <f t="shared" si="98"/>
        <v>#VALUE!</v>
      </c>
      <c r="Y378" s="1641" t="e">
        <f t="shared" si="98"/>
        <v>#VALUE!</v>
      </c>
      <c r="Z378" s="1641" t="e">
        <f t="shared" si="98"/>
        <v>#VALUE!</v>
      </c>
      <c r="AA378" s="1641" t="e">
        <f t="shared" si="98"/>
        <v>#VALUE!</v>
      </c>
      <c r="AB378" s="1641" t="e">
        <f t="shared" si="98"/>
        <v>#VALUE!</v>
      </c>
      <c r="AC378" s="1641" t="e">
        <f t="shared" si="98"/>
        <v>#VALUE!</v>
      </c>
      <c r="AD378" s="1641" t="e">
        <f t="shared" si="98"/>
        <v>#VALUE!</v>
      </c>
      <c r="AE378" s="1641" t="e">
        <f t="shared" si="98"/>
        <v>#VALUE!</v>
      </c>
      <c r="AF378" s="1641" t="e">
        <f t="shared" si="98"/>
        <v>#VALUE!</v>
      </c>
      <c r="AG378" s="1641" t="e">
        <f t="shared" si="98"/>
        <v>#VALUE!</v>
      </c>
      <c r="AH378" s="1641" t="e">
        <f t="shared" si="98"/>
        <v>#VALUE!</v>
      </c>
      <c r="AI378" s="1642" t="e">
        <f t="shared" si="98"/>
        <v>#VALUE!</v>
      </c>
      <c r="AJ378" s="1476"/>
      <c r="AK378" s="1116"/>
      <c r="AL378" s="1116"/>
      <c r="AM378" s="1116"/>
      <c r="AN378" s="1116"/>
      <c r="AO378" s="1207"/>
      <c r="AP378" s="1640">
        <v>4</v>
      </c>
      <c r="AQ378" s="1641" t="e">
        <f>IF(AQ$370=0,0,IF($AT$369=4,0,0))</f>
        <v>#VALUE!</v>
      </c>
      <c r="AR378" s="1641" t="e">
        <f>IF(AR$370=0,0,IF($AT$369=4,0,0))</f>
        <v>#VALUE!</v>
      </c>
      <c r="AS378" s="1641" t="e">
        <f>IF(AS$370=0,0,IF($AT$369=4,0,0))</f>
        <v>#VALUE!</v>
      </c>
      <c r="AT378" s="1641" t="e">
        <f>IF(AT$370=0,0,IF($AT$369=4,0,0))</f>
        <v>#VALUE!</v>
      </c>
      <c r="AU378" s="1641" t="e">
        <f>IF(AU$370=0,0,IF($AT$369=4,AQ$370,AQ$370-AQ$371))</f>
        <v>#VALUE!</v>
      </c>
      <c r="AV378" s="1641" t="e">
        <f t="shared" ref="AV378:BS378" si="99">IF(AV$370=0,0,IF($AT$369=4,AR$370,AR$370-AR$371+AQ$371))</f>
        <v>#VALUE!</v>
      </c>
      <c r="AW378" s="1641" t="e">
        <f t="shared" si="99"/>
        <v>#VALUE!</v>
      </c>
      <c r="AX378" s="1641" t="e">
        <f t="shared" si="99"/>
        <v>#VALUE!</v>
      </c>
      <c r="AY378" s="1641" t="e">
        <f t="shared" si="99"/>
        <v>#VALUE!</v>
      </c>
      <c r="AZ378" s="1641" t="e">
        <f t="shared" si="99"/>
        <v>#VALUE!</v>
      </c>
      <c r="BA378" s="1641" t="e">
        <f t="shared" si="99"/>
        <v>#VALUE!</v>
      </c>
      <c r="BB378" s="1641" t="e">
        <f t="shared" si="99"/>
        <v>#VALUE!</v>
      </c>
      <c r="BC378" s="1641" t="e">
        <f t="shared" si="99"/>
        <v>#VALUE!</v>
      </c>
      <c r="BD378" s="1641" t="e">
        <f t="shared" si="99"/>
        <v>#VALUE!</v>
      </c>
      <c r="BE378" s="1641" t="e">
        <f t="shared" si="99"/>
        <v>#VALUE!</v>
      </c>
      <c r="BF378" s="1641" t="e">
        <f t="shared" si="99"/>
        <v>#VALUE!</v>
      </c>
      <c r="BG378" s="1641" t="e">
        <f t="shared" si="99"/>
        <v>#VALUE!</v>
      </c>
      <c r="BH378" s="1641" t="e">
        <f t="shared" si="99"/>
        <v>#VALUE!</v>
      </c>
      <c r="BI378" s="1641" t="e">
        <f t="shared" si="99"/>
        <v>#VALUE!</v>
      </c>
      <c r="BJ378" s="1641" t="e">
        <f t="shared" si="99"/>
        <v>#VALUE!</v>
      </c>
      <c r="BK378" s="1641" t="e">
        <f t="shared" si="99"/>
        <v>#VALUE!</v>
      </c>
      <c r="BL378" s="1641" t="e">
        <f t="shared" si="99"/>
        <v>#VALUE!</v>
      </c>
      <c r="BM378" s="1641" t="e">
        <f t="shared" si="99"/>
        <v>#VALUE!</v>
      </c>
      <c r="BN378" s="1641" t="e">
        <f t="shared" si="99"/>
        <v>#VALUE!</v>
      </c>
      <c r="BO378" s="1641" t="e">
        <f t="shared" si="99"/>
        <v>#VALUE!</v>
      </c>
      <c r="BP378" s="1641" t="e">
        <f t="shared" si="99"/>
        <v>#VALUE!</v>
      </c>
      <c r="BQ378" s="1641" t="e">
        <f t="shared" si="99"/>
        <v>#VALUE!</v>
      </c>
      <c r="BR378" s="1641" t="e">
        <f t="shared" si="99"/>
        <v>#VALUE!</v>
      </c>
      <c r="BS378" s="2047" t="e">
        <f t="shared" si="99"/>
        <v>#VALUE!</v>
      </c>
      <c r="BT378" s="1142"/>
      <c r="BU378" s="1478"/>
      <c r="BV378" s="1070"/>
    </row>
    <row r="379" spans="1:74" hidden="1" outlineLevel="2" x14ac:dyDescent="0.3">
      <c r="A379" s="1474"/>
      <c r="B379" s="1598"/>
      <c r="C379" s="1643" t="s">
        <v>1405</v>
      </c>
      <c r="D379" s="1222"/>
      <c r="E379" s="1222"/>
      <c r="F379" s="1644"/>
      <c r="G379" s="1633" t="e">
        <f>IF(G355="x",0,G370/(1+DiscRDEOrig)^G355)</f>
        <v>#VALUE!</v>
      </c>
      <c r="H379" s="1634" t="e">
        <f t="shared" ref="H379:AI379" si="100">H370/(1+DiscRDEOrig)^H355</f>
        <v>#VALUE!</v>
      </c>
      <c r="I379" s="1634" t="e">
        <f t="shared" si="100"/>
        <v>#VALUE!</v>
      </c>
      <c r="J379" s="1634" t="e">
        <f t="shared" si="100"/>
        <v>#VALUE!</v>
      </c>
      <c r="K379" s="1634" t="e">
        <f t="shared" si="100"/>
        <v>#VALUE!</v>
      </c>
      <c r="L379" s="1634" t="e">
        <f t="shared" si="100"/>
        <v>#VALUE!</v>
      </c>
      <c r="M379" s="1634" t="e">
        <f t="shared" si="100"/>
        <v>#VALUE!</v>
      </c>
      <c r="N379" s="1634" t="e">
        <f t="shared" si="100"/>
        <v>#VALUE!</v>
      </c>
      <c r="O379" s="1634" t="e">
        <f t="shared" si="100"/>
        <v>#VALUE!</v>
      </c>
      <c r="P379" s="1634" t="e">
        <f t="shared" si="100"/>
        <v>#VALUE!</v>
      </c>
      <c r="Q379" s="1634" t="e">
        <f t="shared" si="100"/>
        <v>#VALUE!</v>
      </c>
      <c r="R379" s="1634" t="e">
        <f t="shared" si="100"/>
        <v>#VALUE!</v>
      </c>
      <c r="S379" s="1634" t="e">
        <f t="shared" si="100"/>
        <v>#VALUE!</v>
      </c>
      <c r="T379" s="1634" t="e">
        <f t="shared" si="100"/>
        <v>#VALUE!</v>
      </c>
      <c r="U379" s="1634" t="e">
        <f t="shared" si="100"/>
        <v>#VALUE!</v>
      </c>
      <c r="V379" s="1634" t="e">
        <f t="shared" si="100"/>
        <v>#VALUE!</v>
      </c>
      <c r="W379" s="1634" t="e">
        <f t="shared" si="100"/>
        <v>#VALUE!</v>
      </c>
      <c r="X379" s="1634" t="e">
        <f t="shared" si="100"/>
        <v>#VALUE!</v>
      </c>
      <c r="Y379" s="1634" t="e">
        <f t="shared" si="100"/>
        <v>#VALUE!</v>
      </c>
      <c r="Z379" s="1634" t="e">
        <f t="shared" si="100"/>
        <v>#VALUE!</v>
      </c>
      <c r="AA379" s="1634" t="e">
        <f t="shared" si="100"/>
        <v>#VALUE!</v>
      </c>
      <c r="AB379" s="1634" t="e">
        <f t="shared" si="100"/>
        <v>#VALUE!</v>
      </c>
      <c r="AC379" s="1634" t="e">
        <f t="shared" si="100"/>
        <v>#VALUE!</v>
      </c>
      <c r="AD379" s="1634" t="e">
        <f t="shared" si="100"/>
        <v>#VALUE!</v>
      </c>
      <c r="AE379" s="1634" t="e">
        <f t="shared" si="100"/>
        <v>#VALUE!</v>
      </c>
      <c r="AF379" s="1634" t="e">
        <f t="shared" si="100"/>
        <v>#VALUE!</v>
      </c>
      <c r="AG379" s="1634" t="e">
        <f t="shared" si="100"/>
        <v>#VALUE!</v>
      </c>
      <c r="AH379" s="1634" t="e">
        <f t="shared" si="100"/>
        <v>#VALUE!</v>
      </c>
      <c r="AI379" s="1635" t="e">
        <f t="shared" si="100"/>
        <v>#VALUE!</v>
      </c>
      <c r="AJ379" s="1476"/>
      <c r="AK379" s="1116"/>
      <c r="AL379" s="1116"/>
      <c r="AM379" s="1116"/>
      <c r="AN379" s="1116"/>
      <c r="AO379" s="1207"/>
      <c r="AP379" s="1644"/>
      <c r="AQ379" s="1633" t="e">
        <f>IF(AQ355="x",0,AQ370/(1+DiscRDEOrig)^AQ355)</f>
        <v>#VALUE!</v>
      </c>
      <c r="AR379" s="1634" t="e">
        <f t="shared" ref="AR379:BS379" si="101">AR370/(1+DiscRDEOrig)^AR355</f>
        <v>#VALUE!</v>
      </c>
      <c r="AS379" s="1634" t="e">
        <f t="shared" si="101"/>
        <v>#VALUE!</v>
      </c>
      <c r="AT379" s="1634" t="e">
        <f t="shared" si="101"/>
        <v>#VALUE!</v>
      </c>
      <c r="AU379" s="1634" t="e">
        <f t="shared" si="101"/>
        <v>#VALUE!</v>
      </c>
      <c r="AV379" s="1634" t="e">
        <f t="shared" si="101"/>
        <v>#VALUE!</v>
      </c>
      <c r="AW379" s="1634" t="e">
        <f t="shared" si="101"/>
        <v>#VALUE!</v>
      </c>
      <c r="AX379" s="1634" t="e">
        <f t="shared" si="101"/>
        <v>#VALUE!</v>
      </c>
      <c r="AY379" s="1634" t="e">
        <f t="shared" si="101"/>
        <v>#VALUE!</v>
      </c>
      <c r="AZ379" s="1634" t="e">
        <f t="shared" si="101"/>
        <v>#VALUE!</v>
      </c>
      <c r="BA379" s="1634" t="e">
        <f t="shared" si="101"/>
        <v>#VALUE!</v>
      </c>
      <c r="BB379" s="1634" t="e">
        <f t="shared" si="101"/>
        <v>#VALUE!</v>
      </c>
      <c r="BC379" s="1634" t="e">
        <f t="shared" si="101"/>
        <v>#VALUE!</v>
      </c>
      <c r="BD379" s="1634" t="e">
        <f t="shared" si="101"/>
        <v>#VALUE!</v>
      </c>
      <c r="BE379" s="1634" t="e">
        <f t="shared" si="101"/>
        <v>#VALUE!</v>
      </c>
      <c r="BF379" s="1634" t="e">
        <f t="shared" si="101"/>
        <v>#VALUE!</v>
      </c>
      <c r="BG379" s="1634" t="e">
        <f t="shared" si="101"/>
        <v>#VALUE!</v>
      </c>
      <c r="BH379" s="1634" t="e">
        <f t="shared" si="101"/>
        <v>#VALUE!</v>
      </c>
      <c r="BI379" s="1634" t="e">
        <f t="shared" si="101"/>
        <v>#VALUE!</v>
      </c>
      <c r="BJ379" s="1634" t="e">
        <f t="shared" si="101"/>
        <v>#VALUE!</v>
      </c>
      <c r="BK379" s="1634" t="e">
        <f t="shared" si="101"/>
        <v>#VALUE!</v>
      </c>
      <c r="BL379" s="1634" t="e">
        <f t="shared" si="101"/>
        <v>#VALUE!</v>
      </c>
      <c r="BM379" s="1634" t="e">
        <f t="shared" si="101"/>
        <v>#VALUE!</v>
      </c>
      <c r="BN379" s="1634" t="e">
        <f t="shared" si="101"/>
        <v>#VALUE!</v>
      </c>
      <c r="BO379" s="1634" t="e">
        <f t="shared" si="101"/>
        <v>#VALUE!</v>
      </c>
      <c r="BP379" s="1634" t="e">
        <f t="shared" si="101"/>
        <v>#VALUE!</v>
      </c>
      <c r="BQ379" s="1634" t="e">
        <f t="shared" si="101"/>
        <v>#VALUE!</v>
      </c>
      <c r="BR379" s="1634" t="e">
        <f t="shared" si="101"/>
        <v>#VALUE!</v>
      </c>
      <c r="BS379" s="2045" t="e">
        <f t="shared" si="101"/>
        <v>#VALUE!</v>
      </c>
      <c r="BT379" s="1142"/>
      <c r="BU379" s="1478"/>
      <c r="BV379" s="1070"/>
    </row>
    <row r="380" spans="1:74" hidden="1" outlineLevel="2" x14ac:dyDescent="0.3">
      <c r="A380" s="1474"/>
      <c r="B380" s="1598"/>
      <c r="C380" s="1645" t="s">
        <v>1406</v>
      </c>
      <c r="D380" s="1226"/>
      <c r="E380" s="1226"/>
      <c r="F380" s="1646"/>
      <c r="G380" s="1647" t="e">
        <f>VLOOKUP(ABS($K$369),$F$374:$AI$378,2,0)/(1+DiscRDEOrig)^G355</f>
        <v>#VALUE!</v>
      </c>
      <c r="H380" s="1641" t="e">
        <f>VLOOKUP(ABS($K$369),$F$374:$AI$378,3,0)/(1+DiscRDEOrig)^H355</f>
        <v>#VALUE!</v>
      </c>
      <c r="I380" s="1641" t="e">
        <f>VLOOKUP(ABS($K$369),$F$374:$AI$378,4,0)/(1+DiscRDEOrig)^I355</f>
        <v>#VALUE!</v>
      </c>
      <c r="J380" s="1641" t="e">
        <f>VLOOKUP(ABS($K$369),$F$374:$AI$378,5,0)/(1+DiscRDEOrig)^J355</f>
        <v>#VALUE!</v>
      </c>
      <c r="K380" s="1641" t="e">
        <f>VLOOKUP(ABS($K$369),$F$374:$AI$378,6,0)/(1+DiscRDEOrig)^K355</f>
        <v>#VALUE!</v>
      </c>
      <c r="L380" s="1641" t="e">
        <f>VLOOKUP(ABS($K$369),$F$374:$AI$378,7,0)/(1+DiscRDEOrig)^L355</f>
        <v>#VALUE!</v>
      </c>
      <c r="M380" s="1641" t="e">
        <f>VLOOKUP(ABS($K$369),$F$374:$AI$378,8,0)/(1+DiscRDEOrig)^M355</f>
        <v>#VALUE!</v>
      </c>
      <c r="N380" s="1641" t="e">
        <f>VLOOKUP(ABS($K$369),$F$374:$AI$378,9,0)/(1+DiscRDEOrig)^N355</f>
        <v>#VALUE!</v>
      </c>
      <c r="O380" s="1641" t="e">
        <f>VLOOKUP(ABS($K$369),$F$374:$AI$378,10,0)/(1+DiscRDEOrig)^O355</f>
        <v>#VALUE!</v>
      </c>
      <c r="P380" s="1641" t="e">
        <f>VLOOKUP(ABS($K$369),$F$374:$AI$378,11,0)/(1+DiscRDEOrig)^P355</f>
        <v>#VALUE!</v>
      </c>
      <c r="Q380" s="1641" t="e">
        <f>VLOOKUP(ABS($K$369),$F$374:$AI$378,12,0)/(1+DiscRDEOrig)^Q355</f>
        <v>#VALUE!</v>
      </c>
      <c r="R380" s="1641" t="e">
        <f>VLOOKUP(ABS($K$369),$F$374:$AI$378,13,0)/(1+DiscRDEOrig)^R355</f>
        <v>#VALUE!</v>
      </c>
      <c r="S380" s="1641" t="e">
        <f>VLOOKUP(ABS($K$369),$F$374:$AI$378,14,0)/(1+DiscRDEOrig)^S355</f>
        <v>#VALUE!</v>
      </c>
      <c r="T380" s="1641" t="e">
        <f>VLOOKUP(ABS($K$369),$F$374:$AI$378,15,0)/(1+DiscRDEOrig)^T355</f>
        <v>#VALUE!</v>
      </c>
      <c r="U380" s="1641" t="e">
        <f>VLOOKUP(ABS($K$369),$F$374:$AI$378,16,0)/(1+DiscRDEOrig)^U355</f>
        <v>#VALUE!</v>
      </c>
      <c r="V380" s="1641" t="e">
        <f>VLOOKUP(ABS($K$369),$F$374:$AI$378,17,0)/(1+DiscRDEOrig)^V355</f>
        <v>#VALUE!</v>
      </c>
      <c r="W380" s="1641" t="e">
        <f>VLOOKUP(ABS($K$369),$F$374:$AI$378,18,0)/(1+DiscRDEOrig)^W355</f>
        <v>#VALUE!</v>
      </c>
      <c r="X380" s="1641" t="e">
        <f>VLOOKUP(ABS($K$369),$F$374:$AI$378,19,0)/(1+DiscRDEOrig)^X355</f>
        <v>#VALUE!</v>
      </c>
      <c r="Y380" s="1641" t="e">
        <f>VLOOKUP(ABS($K$369),$F$374:$AI$378,20,0)/(1+DiscRDEOrig)^Y355</f>
        <v>#VALUE!</v>
      </c>
      <c r="Z380" s="1641" t="e">
        <f>VLOOKUP(ABS($K$369),$F$374:$AI$378,21,0)/(1+DiscRDEOrig)^Z355</f>
        <v>#VALUE!</v>
      </c>
      <c r="AA380" s="1641" t="e">
        <f>VLOOKUP(ABS($K$369),$F$374:$AI$378,22,0)/(1+DiscRDEOrig)^AA355</f>
        <v>#VALUE!</v>
      </c>
      <c r="AB380" s="1641" t="e">
        <f>VLOOKUP(ABS($K$369),$F$374:$AI$378,23,0)/(1+DiscRDEOrig)^AB355</f>
        <v>#VALUE!</v>
      </c>
      <c r="AC380" s="1641" t="e">
        <f>VLOOKUP(ABS($K$369),$F$374:$AI$378,24,0)/(1+DiscRDEOrig)^AC355</f>
        <v>#VALUE!</v>
      </c>
      <c r="AD380" s="1641" t="e">
        <f>VLOOKUP(ABS($K$369),$F$374:$AI$378,25,0)/(1+DiscRDEOrig)^AD355</f>
        <v>#VALUE!</v>
      </c>
      <c r="AE380" s="1641" t="e">
        <f>VLOOKUP(ABS($K$369),$F$374:$AI$378,26,0)/(1+DiscRDEOrig)^AE355</f>
        <v>#VALUE!</v>
      </c>
      <c r="AF380" s="1641" t="e">
        <f>VLOOKUP(ABS($K$369),$F$374:$AI$378,27,0)/(1+DiscRDEOrig)^AF355</f>
        <v>#VALUE!</v>
      </c>
      <c r="AG380" s="1641" t="e">
        <f>VLOOKUP(ABS($K$369),$F$374:$AI$378,28,0)/(1+DiscRDEOrig)^AG355</f>
        <v>#VALUE!</v>
      </c>
      <c r="AH380" s="1641" t="e">
        <f>VLOOKUP(ABS($K$369),$F$374:$AI$378,29,0)/(1+DiscRDEOrig)^AH355</f>
        <v>#VALUE!</v>
      </c>
      <c r="AI380" s="1642" t="e">
        <f>VLOOKUP(ABS($K$369),$F$374:$AI$378,30,0)/(1+DiscRDEOrig)^AI355</f>
        <v>#VALUE!</v>
      </c>
      <c r="AJ380" s="1476"/>
      <c r="AK380" s="1116"/>
      <c r="AL380" s="1116"/>
      <c r="AM380" s="1116"/>
      <c r="AN380" s="1116"/>
      <c r="AO380" s="1207"/>
      <c r="AP380" s="1648"/>
      <c r="AQ380" s="1647" t="e">
        <f>VLOOKUP(ABS($AU$369),$AP$374:$BS$378,2,0)/(1+DiscRDEOrig)^AQ355</f>
        <v>#VALUE!</v>
      </c>
      <c r="AR380" s="1641" t="e">
        <f>VLOOKUP(ABS($AU$369),$AP$374:$BS$378,3,0)/(1+DiscRDEOrig)^AR355</f>
        <v>#VALUE!</v>
      </c>
      <c r="AS380" s="1641" t="e">
        <f>VLOOKUP(ABS($AU$369),$AP$374:$BS$378,4,0)/(1+DiscRDEOrig)^AS355</f>
        <v>#VALUE!</v>
      </c>
      <c r="AT380" s="1641" t="e">
        <f>VLOOKUP(ABS($AU$369),$AP$374:$BS$378,5,0)/(1+DiscRDEOrig)^AT355</f>
        <v>#VALUE!</v>
      </c>
      <c r="AU380" s="1641" t="e">
        <f>VLOOKUP(ABS($AU$369),$AP$374:$BS$378,6,0)/(1+DiscRDEOrig)^AU355</f>
        <v>#VALUE!</v>
      </c>
      <c r="AV380" s="1641" t="e">
        <f>VLOOKUP(ABS($AU$369),$AP$374:$BS$378,7,0)/(1+DiscRDEOrig)^AV355</f>
        <v>#VALUE!</v>
      </c>
      <c r="AW380" s="1641" t="e">
        <f>VLOOKUP(ABS($AU$369),$AP$374:$BS$378,8,0)/(1+DiscRDEOrig)^AW355</f>
        <v>#VALUE!</v>
      </c>
      <c r="AX380" s="1641" t="e">
        <f>VLOOKUP(ABS($AU$369),$AP$374:$BS$378,9,0)/(1+DiscRDEOrig)^AX355</f>
        <v>#VALUE!</v>
      </c>
      <c r="AY380" s="1641" t="e">
        <f>VLOOKUP(ABS($AU$369),$AP$374:$BS$378,10,0)/(1+DiscRDEOrig)^AY355</f>
        <v>#VALUE!</v>
      </c>
      <c r="AZ380" s="1641" t="e">
        <f>VLOOKUP(ABS($AU$369),$AP$374:$BS$378,11,0)/(1+DiscRDEOrig)^AZ355</f>
        <v>#VALUE!</v>
      </c>
      <c r="BA380" s="1641" t="e">
        <f>VLOOKUP(ABS($AU$369),$AP$374:$BS$378,12,0)/(1+DiscRDEOrig)^BA355</f>
        <v>#VALUE!</v>
      </c>
      <c r="BB380" s="1641" t="e">
        <f>VLOOKUP(ABS($AU$369),$AP$374:$BS$378,13,0)/(1+DiscRDEOrig)^BB355</f>
        <v>#VALUE!</v>
      </c>
      <c r="BC380" s="1641" t="e">
        <f>VLOOKUP(ABS($AU$369),$AP$374:$BS$378,14,0)/(1+DiscRDEOrig)^BC355</f>
        <v>#VALUE!</v>
      </c>
      <c r="BD380" s="1641" t="e">
        <f>VLOOKUP(ABS($AU$369),$AP$374:$BS$378,15,0)/(1+DiscRDEOrig)^BD355</f>
        <v>#VALUE!</v>
      </c>
      <c r="BE380" s="1641" t="e">
        <f>VLOOKUP(ABS($AU$369),$AP$374:$BS$378,16,0)/(1+DiscRDEOrig)^BE355</f>
        <v>#VALUE!</v>
      </c>
      <c r="BF380" s="1641" t="e">
        <f>VLOOKUP(ABS($AU$369),$AP$374:$BS$378,17,0)/(1+DiscRDEOrig)^BF355</f>
        <v>#VALUE!</v>
      </c>
      <c r="BG380" s="1641" t="e">
        <f>VLOOKUP(ABS($AU$369),$AP$374:$BS$378,18,0)/(1+DiscRDEOrig)^BG355</f>
        <v>#VALUE!</v>
      </c>
      <c r="BH380" s="1641" t="e">
        <f>VLOOKUP(ABS($AU$369),$AP$374:$BS$378,19,0)/(1+DiscRDEOrig)^BH355</f>
        <v>#VALUE!</v>
      </c>
      <c r="BI380" s="1641" t="e">
        <f>VLOOKUP(ABS($AU$369),$AP$374:$BS$378,20,0)/(1+DiscRDEOrig)^BI355</f>
        <v>#VALUE!</v>
      </c>
      <c r="BJ380" s="1641" t="e">
        <f>VLOOKUP(ABS($AU$369),$AP$374:$BS$378,21,0)/(1+DiscRDEOrig)^BJ355</f>
        <v>#VALUE!</v>
      </c>
      <c r="BK380" s="1641" t="e">
        <f>VLOOKUP(ABS($AU$369),$AP$374:$BS$378,22,0)/(1+DiscRDEOrig)^BK355</f>
        <v>#VALUE!</v>
      </c>
      <c r="BL380" s="1641" t="e">
        <f>VLOOKUP(ABS($AU$369),$AP$374:$BS$378,23,0)/(1+DiscRDEOrig)^BL355</f>
        <v>#VALUE!</v>
      </c>
      <c r="BM380" s="1641" t="e">
        <f>VLOOKUP(ABS($AU$369),$AP$374:$BS$378,24,0)/(1+DiscRDEOrig)^BM355</f>
        <v>#VALUE!</v>
      </c>
      <c r="BN380" s="1641" t="e">
        <f>VLOOKUP(ABS($AU$369),$AP$374:$BS$378,25,0)/(1+DiscRDEOrig)^BN355</f>
        <v>#VALUE!</v>
      </c>
      <c r="BO380" s="1641" t="e">
        <f>VLOOKUP(ABS($AU$369),$AP$374:$BS$378,26,0)/(1+DiscRDEOrig)^BO355</f>
        <v>#VALUE!</v>
      </c>
      <c r="BP380" s="1641" t="e">
        <f>VLOOKUP(ABS($AU$369),$AP$374:$BS$378,27,0)/(1+DiscRDEOrig)^BP355</f>
        <v>#VALUE!</v>
      </c>
      <c r="BQ380" s="1641" t="e">
        <f>VLOOKUP(ABS($AU$369),$AP$374:$BS$378,28,0)/(1+DiscRDEOrig)^BQ355</f>
        <v>#VALUE!</v>
      </c>
      <c r="BR380" s="1641" t="e">
        <f>VLOOKUP(ABS($AU$369),$AP$374:$BS$378,29,0)/(1+DiscRDEOrig)^BR355</f>
        <v>#VALUE!</v>
      </c>
      <c r="BS380" s="2047" t="e">
        <f>VLOOKUP(ABS($AU$369),$AP$374:$BS$378,30,0)/(1+DiscRDEOrig)^BS355</f>
        <v>#VALUE!</v>
      </c>
      <c r="BT380" s="1142"/>
      <c r="BU380" s="1478"/>
      <c r="BV380" s="1070"/>
    </row>
    <row r="381" spans="1:74" hidden="1" outlineLevel="2" x14ac:dyDescent="0.3">
      <c r="A381" s="1474"/>
      <c r="B381" s="1598"/>
      <c r="C381" s="1555"/>
      <c r="D381" s="1116"/>
      <c r="E381" s="1116"/>
      <c r="F381" s="1476"/>
      <c r="G381" s="1610"/>
      <c r="H381" s="1610"/>
      <c r="I381" s="1610"/>
      <c r="J381" s="1610"/>
      <c r="K381" s="1610"/>
      <c r="L381" s="1610"/>
      <c r="M381" s="1610"/>
      <c r="N381" s="1610"/>
      <c r="O381" s="1610"/>
      <c r="P381" s="1610"/>
      <c r="Q381" s="1610"/>
      <c r="R381" s="1610"/>
      <c r="S381" s="1610"/>
      <c r="T381" s="1610"/>
      <c r="U381" s="1610"/>
      <c r="V381" s="1610"/>
      <c r="W381" s="1610"/>
      <c r="X381" s="1610"/>
      <c r="Y381" s="1610"/>
      <c r="Z381" s="1610"/>
      <c r="AA381" s="1610"/>
      <c r="AB381" s="1610"/>
      <c r="AC381" s="1610"/>
      <c r="AD381" s="1610"/>
      <c r="AE381" s="1610"/>
      <c r="AF381" s="1610"/>
      <c r="AG381" s="1610"/>
      <c r="AH381" s="1610"/>
      <c r="AI381" s="1638"/>
      <c r="AJ381" s="1476"/>
      <c r="AK381" s="1116"/>
      <c r="AL381" s="1116"/>
      <c r="AM381" s="1116"/>
      <c r="AN381" s="1116"/>
      <c r="AO381" s="1207"/>
      <c r="AP381" s="1476"/>
      <c r="AQ381" s="1610"/>
      <c r="AR381" s="1610"/>
      <c r="AS381" s="1610"/>
      <c r="AT381" s="1610"/>
      <c r="AU381" s="1610"/>
      <c r="AV381" s="1610"/>
      <c r="AW381" s="1610"/>
      <c r="AX381" s="1610"/>
      <c r="AY381" s="1610"/>
      <c r="AZ381" s="1610"/>
      <c r="BA381" s="1610"/>
      <c r="BB381" s="1610"/>
      <c r="BC381" s="1610"/>
      <c r="BD381" s="1610"/>
      <c r="BE381" s="1610"/>
      <c r="BF381" s="1610"/>
      <c r="BG381" s="1610"/>
      <c r="BH381" s="1610"/>
      <c r="BI381" s="1610"/>
      <c r="BJ381" s="1610"/>
      <c r="BK381" s="1610"/>
      <c r="BL381" s="1610"/>
      <c r="BM381" s="1610"/>
      <c r="BN381" s="1610"/>
      <c r="BO381" s="1610"/>
      <c r="BP381" s="1610"/>
      <c r="BQ381" s="1610"/>
      <c r="BR381" s="1610"/>
      <c r="BS381" s="1610"/>
      <c r="BT381" s="1142"/>
      <c r="BU381" s="1478"/>
      <c r="BV381" s="1070"/>
    </row>
    <row r="382" spans="1:74" hidden="1" outlineLevel="2" x14ac:dyDescent="0.3">
      <c r="A382" s="1474"/>
      <c r="B382" s="1598"/>
      <c r="C382" s="1626" t="s">
        <v>1407</v>
      </c>
      <c r="D382" s="1229"/>
      <c r="E382" s="1612"/>
      <c r="F382" s="1626" t="s">
        <v>1408</v>
      </c>
      <c r="G382" s="1627" t="s">
        <v>1399</v>
      </c>
      <c r="H382" s="1628"/>
      <c r="I382" s="1628"/>
      <c r="J382" s="1628"/>
      <c r="K382" s="1628"/>
      <c r="L382" s="1629"/>
      <c r="M382" s="1629"/>
      <c r="N382" s="1629"/>
      <c r="O382" s="1629"/>
      <c r="P382" s="1629"/>
      <c r="Q382" s="1629"/>
      <c r="R382" s="1628"/>
      <c r="S382" s="1628"/>
      <c r="T382" s="1628"/>
      <c r="U382" s="1628"/>
      <c r="V382" s="1628"/>
      <c r="W382" s="1628"/>
      <c r="X382" s="1628"/>
      <c r="Y382" s="1628"/>
      <c r="Z382" s="1628"/>
      <c r="AA382" s="1628"/>
      <c r="AB382" s="1628"/>
      <c r="AC382" s="1628"/>
      <c r="AD382" s="1628"/>
      <c r="AE382" s="1628"/>
      <c r="AF382" s="1628"/>
      <c r="AG382" s="1628"/>
      <c r="AH382" s="1628"/>
      <c r="AI382" s="1630"/>
      <c r="AJ382" s="1476"/>
      <c r="AK382" s="1116"/>
      <c r="AL382" s="1116"/>
      <c r="AM382" s="1116"/>
      <c r="AN382" s="1116"/>
      <c r="AO382" s="1207"/>
      <c r="AP382" s="1626" t="s">
        <v>1408</v>
      </c>
      <c r="AQ382" s="1627" t="s">
        <v>1399</v>
      </c>
      <c r="AR382" s="1628"/>
      <c r="AS382" s="1628"/>
      <c r="AT382" s="1628"/>
      <c r="AU382" s="1628"/>
      <c r="AV382" s="1629"/>
      <c r="AW382" s="1629"/>
      <c r="AX382" s="1629"/>
      <c r="AY382" s="1629"/>
      <c r="AZ382" s="1629"/>
      <c r="BA382" s="1629"/>
      <c r="BB382" s="1628"/>
      <c r="BC382" s="1628"/>
      <c r="BD382" s="1628"/>
      <c r="BE382" s="1628"/>
      <c r="BF382" s="1628"/>
      <c r="BG382" s="1628"/>
      <c r="BH382" s="1628"/>
      <c r="BI382" s="1628"/>
      <c r="BJ382" s="1628"/>
      <c r="BK382" s="1628"/>
      <c r="BL382" s="1628"/>
      <c r="BM382" s="1628"/>
      <c r="BN382" s="1628"/>
      <c r="BO382" s="1628"/>
      <c r="BP382" s="1628"/>
      <c r="BQ382" s="1628"/>
      <c r="BR382" s="1628"/>
      <c r="BS382" s="2044"/>
      <c r="BT382" s="1142"/>
      <c r="BU382" s="1478"/>
      <c r="BV382" s="1070"/>
    </row>
    <row r="383" spans="1:74" hidden="1" outlineLevel="2" x14ac:dyDescent="0.3">
      <c r="A383" s="1474"/>
      <c r="B383" s="1598"/>
      <c r="C383" s="1631" t="s">
        <v>1400</v>
      </c>
      <c r="D383" s="1116"/>
      <c r="E383" s="1116"/>
      <c r="F383" s="1632">
        <v>0</v>
      </c>
      <c r="G383" s="1610" t="e">
        <f t="shared" ref="G383:AI383" si="102">IF(G370=0,0,G$370-G$371+H371)</f>
        <v>#VALUE!</v>
      </c>
      <c r="H383" s="1610" t="e">
        <f t="shared" si="102"/>
        <v>#VALUE!</v>
      </c>
      <c r="I383" s="1610" t="e">
        <f t="shared" si="102"/>
        <v>#VALUE!</v>
      </c>
      <c r="J383" s="1610" t="e">
        <f t="shared" si="102"/>
        <v>#VALUE!</v>
      </c>
      <c r="K383" s="1610" t="e">
        <f t="shared" si="102"/>
        <v>#VALUE!</v>
      </c>
      <c r="L383" s="1610" t="e">
        <f t="shared" si="102"/>
        <v>#VALUE!</v>
      </c>
      <c r="M383" s="1610" t="e">
        <f t="shared" si="102"/>
        <v>#VALUE!</v>
      </c>
      <c r="N383" s="1610" t="e">
        <f t="shared" si="102"/>
        <v>#VALUE!</v>
      </c>
      <c r="O383" s="1610" t="e">
        <f t="shared" si="102"/>
        <v>#VALUE!</v>
      </c>
      <c r="P383" s="1610" t="e">
        <f t="shared" si="102"/>
        <v>#VALUE!</v>
      </c>
      <c r="Q383" s="1610" t="e">
        <f t="shared" si="102"/>
        <v>#VALUE!</v>
      </c>
      <c r="R383" s="1610" t="e">
        <f t="shared" si="102"/>
        <v>#VALUE!</v>
      </c>
      <c r="S383" s="1610" t="e">
        <f t="shared" si="102"/>
        <v>#VALUE!</v>
      </c>
      <c r="T383" s="1610" t="e">
        <f t="shared" si="102"/>
        <v>#VALUE!</v>
      </c>
      <c r="U383" s="1610" t="e">
        <f t="shared" si="102"/>
        <v>#VALUE!</v>
      </c>
      <c r="V383" s="1610" t="e">
        <f t="shared" si="102"/>
        <v>#VALUE!</v>
      </c>
      <c r="W383" s="1610" t="e">
        <f t="shared" si="102"/>
        <v>#VALUE!</v>
      </c>
      <c r="X383" s="1610" t="e">
        <f t="shared" si="102"/>
        <v>#VALUE!</v>
      </c>
      <c r="Y383" s="1610" t="e">
        <f t="shared" si="102"/>
        <v>#VALUE!</v>
      </c>
      <c r="Z383" s="1610" t="e">
        <f t="shared" si="102"/>
        <v>#VALUE!</v>
      </c>
      <c r="AA383" s="1610" t="e">
        <f t="shared" si="102"/>
        <v>#VALUE!</v>
      </c>
      <c r="AB383" s="1610" t="e">
        <f t="shared" si="102"/>
        <v>#VALUE!</v>
      </c>
      <c r="AC383" s="1610" t="e">
        <f t="shared" si="102"/>
        <v>#VALUE!</v>
      </c>
      <c r="AD383" s="1610" t="e">
        <f t="shared" si="102"/>
        <v>#VALUE!</v>
      </c>
      <c r="AE383" s="1610" t="e">
        <f t="shared" si="102"/>
        <v>#VALUE!</v>
      </c>
      <c r="AF383" s="1610" t="e">
        <f t="shared" si="102"/>
        <v>#VALUE!</v>
      </c>
      <c r="AG383" s="1610" t="e">
        <f t="shared" si="102"/>
        <v>#VALUE!</v>
      </c>
      <c r="AH383" s="1610" t="e">
        <f t="shared" si="102"/>
        <v>#VALUE!</v>
      </c>
      <c r="AI383" s="1638" t="e">
        <f t="shared" si="102"/>
        <v>#VALUE!</v>
      </c>
      <c r="AJ383" s="1476"/>
      <c r="AK383" s="1116"/>
      <c r="AL383" s="1116"/>
      <c r="AM383" s="1116"/>
      <c r="AN383" s="1116"/>
      <c r="AO383" s="1207"/>
      <c r="AP383" s="1632">
        <v>0</v>
      </c>
      <c r="AQ383" s="1610" t="e">
        <f t="shared" ref="AQ383:BS383" si="103">IF(AQ370=0,0,AQ$370-AQ$371+AR371)</f>
        <v>#VALUE!</v>
      </c>
      <c r="AR383" s="1610" t="e">
        <f t="shared" si="103"/>
        <v>#VALUE!</v>
      </c>
      <c r="AS383" s="1610" t="e">
        <f t="shared" si="103"/>
        <v>#VALUE!</v>
      </c>
      <c r="AT383" s="1610" t="e">
        <f t="shared" si="103"/>
        <v>#VALUE!</v>
      </c>
      <c r="AU383" s="1610" t="e">
        <f t="shared" si="103"/>
        <v>#VALUE!</v>
      </c>
      <c r="AV383" s="1610" t="e">
        <f t="shared" si="103"/>
        <v>#VALUE!</v>
      </c>
      <c r="AW383" s="1610" t="e">
        <f t="shared" si="103"/>
        <v>#VALUE!</v>
      </c>
      <c r="AX383" s="1610" t="e">
        <f t="shared" si="103"/>
        <v>#VALUE!</v>
      </c>
      <c r="AY383" s="1610" t="e">
        <f t="shared" si="103"/>
        <v>#VALUE!</v>
      </c>
      <c r="AZ383" s="1610" t="e">
        <f t="shared" si="103"/>
        <v>#VALUE!</v>
      </c>
      <c r="BA383" s="1610" t="e">
        <f t="shared" si="103"/>
        <v>#VALUE!</v>
      </c>
      <c r="BB383" s="1610" t="e">
        <f t="shared" si="103"/>
        <v>#VALUE!</v>
      </c>
      <c r="BC383" s="1610" t="e">
        <f t="shared" si="103"/>
        <v>#VALUE!</v>
      </c>
      <c r="BD383" s="1610" t="e">
        <f t="shared" si="103"/>
        <v>#VALUE!</v>
      </c>
      <c r="BE383" s="1610" t="e">
        <f t="shared" si="103"/>
        <v>#VALUE!</v>
      </c>
      <c r="BF383" s="1610" t="e">
        <f t="shared" si="103"/>
        <v>#VALUE!</v>
      </c>
      <c r="BG383" s="1610" t="e">
        <f t="shared" si="103"/>
        <v>#VALUE!</v>
      </c>
      <c r="BH383" s="1610" t="e">
        <f t="shared" si="103"/>
        <v>#VALUE!</v>
      </c>
      <c r="BI383" s="1610" t="e">
        <f t="shared" si="103"/>
        <v>#VALUE!</v>
      </c>
      <c r="BJ383" s="1610" t="e">
        <f t="shared" si="103"/>
        <v>#VALUE!</v>
      </c>
      <c r="BK383" s="1610" t="e">
        <f t="shared" si="103"/>
        <v>#VALUE!</v>
      </c>
      <c r="BL383" s="1610" t="e">
        <f t="shared" si="103"/>
        <v>#VALUE!</v>
      </c>
      <c r="BM383" s="1610" t="e">
        <f t="shared" si="103"/>
        <v>#VALUE!</v>
      </c>
      <c r="BN383" s="1610" t="e">
        <f t="shared" si="103"/>
        <v>#VALUE!</v>
      </c>
      <c r="BO383" s="1610" t="e">
        <f t="shared" si="103"/>
        <v>#VALUE!</v>
      </c>
      <c r="BP383" s="1610" t="e">
        <f t="shared" si="103"/>
        <v>#VALUE!</v>
      </c>
      <c r="BQ383" s="1610" t="e">
        <f t="shared" si="103"/>
        <v>#VALUE!</v>
      </c>
      <c r="BR383" s="1610" t="e">
        <f t="shared" si="103"/>
        <v>#VALUE!</v>
      </c>
      <c r="BS383" s="2045" t="e">
        <f t="shared" si="103"/>
        <v>#VALUE!</v>
      </c>
      <c r="BT383" s="1142"/>
      <c r="BU383" s="1478"/>
      <c r="BV383" s="1070"/>
    </row>
    <row r="384" spans="1:74" hidden="1" outlineLevel="2" x14ac:dyDescent="0.3">
      <c r="A384" s="1474"/>
      <c r="B384" s="1598"/>
      <c r="C384" s="1636" t="s">
        <v>1401</v>
      </c>
      <c r="D384" s="1116"/>
      <c r="E384" s="1116"/>
      <c r="F384" s="1637">
        <v>1</v>
      </c>
      <c r="G384" s="1610" t="e">
        <f t="shared" ref="G384:W384" si="104">IF(G$370=0,0,IF($J$369=1,H$370,H$370-H$371+I$371))</f>
        <v>#VALUE!</v>
      </c>
      <c r="H384" s="1610" t="e">
        <f t="shared" si="104"/>
        <v>#VALUE!</v>
      </c>
      <c r="I384" s="1610" t="e">
        <f t="shared" si="104"/>
        <v>#VALUE!</v>
      </c>
      <c r="J384" s="1610" t="e">
        <f t="shared" si="104"/>
        <v>#VALUE!</v>
      </c>
      <c r="K384" s="1610" t="e">
        <f t="shared" si="104"/>
        <v>#VALUE!</v>
      </c>
      <c r="L384" s="1610" t="e">
        <f t="shared" si="104"/>
        <v>#VALUE!</v>
      </c>
      <c r="M384" s="1610" t="e">
        <f t="shared" si="104"/>
        <v>#VALUE!</v>
      </c>
      <c r="N384" s="1610" t="e">
        <f t="shared" si="104"/>
        <v>#VALUE!</v>
      </c>
      <c r="O384" s="1610" t="e">
        <f t="shared" si="104"/>
        <v>#VALUE!</v>
      </c>
      <c r="P384" s="1610" t="e">
        <f t="shared" si="104"/>
        <v>#VALUE!</v>
      </c>
      <c r="Q384" s="1610" t="e">
        <f t="shared" si="104"/>
        <v>#VALUE!</v>
      </c>
      <c r="R384" s="1610" t="e">
        <f t="shared" si="104"/>
        <v>#VALUE!</v>
      </c>
      <c r="S384" s="1610" t="e">
        <f t="shared" si="104"/>
        <v>#VALUE!</v>
      </c>
      <c r="T384" s="1610" t="e">
        <f t="shared" si="104"/>
        <v>#VALUE!</v>
      </c>
      <c r="U384" s="1610" t="e">
        <f t="shared" si="104"/>
        <v>#VALUE!</v>
      </c>
      <c r="V384" s="1610" t="e">
        <f t="shared" si="104"/>
        <v>#VALUE!</v>
      </c>
      <c r="W384" s="1610" t="e">
        <f t="shared" si="104"/>
        <v>#VALUE!</v>
      </c>
      <c r="X384" s="1610" t="e">
        <f t="shared" ref="X384:AI384" si="105">IF(X$370=0,0,IF($J$369=1,Y$370,Y$370-Y$371+AJ$371))</f>
        <v>#VALUE!</v>
      </c>
      <c r="Y384" s="1610" t="e">
        <f t="shared" si="105"/>
        <v>#VALUE!</v>
      </c>
      <c r="Z384" s="1610" t="e">
        <f t="shared" si="105"/>
        <v>#VALUE!</v>
      </c>
      <c r="AA384" s="1610" t="e">
        <f t="shared" si="105"/>
        <v>#VALUE!</v>
      </c>
      <c r="AB384" s="1610" t="e">
        <f t="shared" si="105"/>
        <v>#VALUE!</v>
      </c>
      <c r="AC384" s="1610" t="e">
        <f t="shared" si="105"/>
        <v>#VALUE!</v>
      </c>
      <c r="AD384" s="1610" t="e">
        <f t="shared" si="105"/>
        <v>#VALUE!</v>
      </c>
      <c r="AE384" s="1610" t="e">
        <f t="shared" si="105"/>
        <v>#VALUE!</v>
      </c>
      <c r="AF384" s="1610" t="e">
        <f t="shared" si="105"/>
        <v>#VALUE!</v>
      </c>
      <c r="AG384" s="1610" t="e">
        <f t="shared" si="105"/>
        <v>#VALUE!</v>
      </c>
      <c r="AH384" s="1610" t="e">
        <f t="shared" si="105"/>
        <v>#VALUE!</v>
      </c>
      <c r="AI384" s="1638" t="e">
        <f t="shared" si="105"/>
        <v>#VALUE!</v>
      </c>
      <c r="AJ384" s="1476"/>
      <c r="AK384" s="1116"/>
      <c r="AL384" s="1116"/>
      <c r="AM384" s="1116"/>
      <c r="AN384" s="1116"/>
      <c r="AO384" s="1207"/>
      <c r="AP384" s="1637">
        <v>1</v>
      </c>
      <c r="AQ384" s="1610" t="e">
        <f t="shared" ref="AQ384:BG384" si="106">IF(AQ$370=0,0,IF($AT$369=1,AR$370,AR$370-AR$371+AS$371))</f>
        <v>#VALUE!</v>
      </c>
      <c r="AR384" s="1610" t="e">
        <f t="shared" si="106"/>
        <v>#VALUE!</v>
      </c>
      <c r="AS384" s="1610" t="e">
        <f t="shared" si="106"/>
        <v>#VALUE!</v>
      </c>
      <c r="AT384" s="1610" t="e">
        <f t="shared" si="106"/>
        <v>#VALUE!</v>
      </c>
      <c r="AU384" s="1610" t="e">
        <f t="shared" si="106"/>
        <v>#VALUE!</v>
      </c>
      <c r="AV384" s="1610" t="e">
        <f t="shared" si="106"/>
        <v>#VALUE!</v>
      </c>
      <c r="AW384" s="1610" t="e">
        <f t="shared" si="106"/>
        <v>#VALUE!</v>
      </c>
      <c r="AX384" s="1610" t="e">
        <f t="shared" si="106"/>
        <v>#VALUE!</v>
      </c>
      <c r="AY384" s="1610" t="e">
        <f t="shared" si="106"/>
        <v>#VALUE!</v>
      </c>
      <c r="AZ384" s="1610" t="e">
        <f t="shared" si="106"/>
        <v>#VALUE!</v>
      </c>
      <c r="BA384" s="1610" t="e">
        <f t="shared" si="106"/>
        <v>#VALUE!</v>
      </c>
      <c r="BB384" s="1610" t="e">
        <f t="shared" si="106"/>
        <v>#VALUE!</v>
      </c>
      <c r="BC384" s="1610" t="e">
        <f t="shared" si="106"/>
        <v>#VALUE!</v>
      </c>
      <c r="BD384" s="1610" t="e">
        <f t="shared" si="106"/>
        <v>#VALUE!</v>
      </c>
      <c r="BE384" s="1610" t="e">
        <f t="shared" si="106"/>
        <v>#VALUE!</v>
      </c>
      <c r="BF384" s="1610" t="e">
        <f t="shared" si="106"/>
        <v>#VALUE!</v>
      </c>
      <c r="BG384" s="1610" t="e">
        <f t="shared" si="106"/>
        <v>#VALUE!</v>
      </c>
      <c r="BH384" s="1610" t="e">
        <f t="shared" ref="BH384:BS384" si="107">IF(BH$370=0,0,IF($AT$369=1,BI$370,BI$370-BI$371+BT$371))</f>
        <v>#VALUE!</v>
      </c>
      <c r="BI384" s="1610" t="e">
        <f t="shared" si="107"/>
        <v>#VALUE!</v>
      </c>
      <c r="BJ384" s="1610" t="e">
        <f t="shared" si="107"/>
        <v>#VALUE!</v>
      </c>
      <c r="BK384" s="1610" t="e">
        <f t="shared" si="107"/>
        <v>#VALUE!</v>
      </c>
      <c r="BL384" s="1610" t="e">
        <f t="shared" si="107"/>
        <v>#VALUE!</v>
      </c>
      <c r="BM384" s="1610" t="e">
        <f t="shared" si="107"/>
        <v>#VALUE!</v>
      </c>
      <c r="BN384" s="1610" t="e">
        <f t="shared" si="107"/>
        <v>#VALUE!</v>
      </c>
      <c r="BO384" s="1610" t="e">
        <f t="shared" si="107"/>
        <v>#VALUE!</v>
      </c>
      <c r="BP384" s="1610" t="e">
        <f t="shared" si="107"/>
        <v>#VALUE!</v>
      </c>
      <c r="BQ384" s="1610" t="e">
        <f t="shared" si="107"/>
        <v>#VALUE!</v>
      </c>
      <c r="BR384" s="1610" t="e">
        <f t="shared" si="107"/>
        <v>#VALUE!</v>
      </c>
      <c r="BS384" s="2046" t="e">
        <f t="shared" si="107"/>
        <v>#VALUE!</v>
      </c>
      <c r="BT384" s="1142"/>
      <c r="BU384" s="1478"/>
      <c r="BV384" s="1070"/>
    </row>
    <row r="385" spans="1:74" hidden="1" outlineLevel="2" x14ac:dyDescent="0.3">
      <c r="A385" s="1474"/>
      <c r="B385" s="1598"/>
      <c r="C385" s="1636" t="s">
        <v>1402</v>
      </c>
      <c r="D385" s="1116"/>
      <c r="E385" s="1116"/>
      <c r="F385" s="1637">
        <v>2</v>
      </c>
      <c r="G385" s="1610" t="e">
        <f t="shared" ref="G385:V385" si="108">IF(G$370=0,0,IF($J$369=2,I$370,I$370-I$371+J$371))</f>
        <v>#VALUE!</v>
      </c>
      <c r="H385" s="1610" t="e">
        <f t="shared" si="108"/>
        <v>#VALUE!</v>
      </c>
      <c r="I385" s="1610" t="e">
        <f t="shared" si="108"/>
        <v>#VALUE!</v>
      </c>
      <c r="J385" s="1610" t="e">
        <f t="shared" si="108"/>
        <v>#VALUE!</v>
      </c>
      <c r="K385" s="1610" t="e">
        <f t="shared" si="108"/>
        <v>#VALUE!</v>
      </c>
      <c r="L385" s="1610" t="e">
        <f t="shared" si="108"/>
        <v>#VALUE!</v>
      </c>
      <c r="M385" s="1610" t="e">
        <f t="shared" si="108"/>
        <v>#VALUE!</v>
      </c>
      <c r="N385" s="1610" t="e">
        <f t="shared" si="108"/>
        <v>#VALUE!</v>
      </c>
      <c r="O385" s="1610" t="e">
        <f t="shared" si="108"/>
        <v>#VALUE!</v>
      </c>
      <c r="P385" s="1610" t="e">
        <f t="shared" si="108"/>
        <v>#VALUE!</v>
      </c>
      <c r="Q385" s="1610" t="e">
        <f t="shared" si="108"/>
        <v>#VALUE!</v>
      </c>
      <c r="R385" s="1610" t="e">
        <f t="shared" si="108"/>
        <v>#VALUE!</v>
      </c>
      <c r="S385" s="1610" t="e">
        <f t="shared" si="108"/>
        <v>#VALUE!</v>
      </c>
      <c r="T385" s="1610" t="e">
        <f t="shared" si="108"/>
        <v>#VALUE!</v>
      </c>
      <c r="U385" s="1610" t="e">
        <f t="shared" si="108"/>
        <v>#VALUE!</v>
      </c>
      <c r="V385" s="1610" t="e">
        <f t="shared" si="108"/>
        <v>#VALUE!</v>
      </c>
      <c r="W385" s="1610" t="e">
        <f>IF(W$370=0,0,IF($J$369=2,Y$370,Y$370-Y$371+AJ$371))</f>
        <v>#VALUE!</v>
      </c>
      <c r="X385" s="1610" t="e">
        <f t="shared" ref="X385:AI385" si="109">IF(X$370=0,0,IF($J$369=2,AJ$370,AJ$370-AJ$371+AK$371))</f>
        <v>#VALUE!</v>
      </c>
      <c r="Y385" s="1610" t="e">
        <f t="shared" si="109"/>
        <v>#VALUE!</v>
      </c>
      <c r="Z385" s="1610" t="e">
        <f t="shared" si="109"/>
        <v>#VALUE!</v>
      </c>
      <c r="AA385" s="1610" t="e">
        <f t="shared" si="109"/>
        <v>#VALUE!</v>
      </c>
      <c r="AB385" s="1610" t="e">
        <f t="shared" si="109"/>
        <v>#VALUE!</v>
      </c>
      <c r="AC385" s="1610" t="e">
        <f t="shared" si="109"/>
        <v>#VALUE!</v>
      </c>
      <c r="AD385" s="1610" t="e">
        <f t="shared" si="109"/>
        <v>#VALUE!</v>
      </c>
      <c r="AE385" s="1610" t="e">
        <f t="shared" si="109"/>
        <v>#VALUE!</v>
      </c>
      <c r="AF385" s="1610" t="e">
        <f t="shared" si="109"/>
        <v>#VALUE!</v>
      </c>
      <c r="AG385" s="1610" t="e">
        <f t="shared" si="109"/>
        <v>#VALUE!</v>
      </c>
      <c r="AH385" s="1610" t="e">
        <f t="shared" si="109"/>
        <v>#VALUE!</v>
      </c>
      <c r="AI385" s="1638" t="e">
        <f t="shared" si="109"/>
        <v>#VALUE!</v>
      </c>
      <c r="AJ385" s="1476"/>
      <c r="AK385" s="1116"/>
      <c r="AL385" s="1116"/>
      <c r="AM385" s="1116"/>
      <c r="AN385" s="1116"/>
      <c r="AO385" s="1207"/>
      <c r="AP385" s="1637">
        <v>2</v>
      </c>
      <c r="AQ385" s="1610" t="e">
        <f t="shared" ref="AQ385:BF385" si="110">IF(AQ$370=0,0,IF($AT$369=2,AS$370,AS$370-AS$371+AT$371))</f>
        <v>#VALUE!</v>
      </c>
      <c r="AR385" s="1610" t="e">
        <f t="shared" si="110"/>
        <v>#VALUE!</v>
      </c>
      <c r="AS385" s="1610" t="e">
        <f t="shared" si="110"/>
        <v>#VALUE!</v>
      </c>
      <c r="AT385" s="1610" t="e">
        <f t="shared" si="110"/>
        <v>#VALUE!</v>
      </c>
      <c r="AU385" s="1610" t="e">
        <f t="shared" si="110"/>
        <v>#VALUE!</v>
      </c>
      <c r="AV385" s="1610" t="e">
        <f t="shared" si="110"/>
        <v>#VALUE!</v>
      </c>
      <c r="AW385" s="1610" t="e">
        <f t="shared" si="110"/>
        <v>#VALUE!</v>
      </c>
      <c r="AX385" s="1610" t="e">
        <f t="shared" si="110"/>
        <v>#VALUE!</v>
      </c>
      <c r="AY385" s="1610" t="e">
        <f t="shared" si="110"/>
        <v>#VALUE!</v>
      </c>
      <c r="AZ385" s="1610" t="e">
        <f t="shared" si="110"/>
        <v>#VALUE!</v>
      </c>
      <c r="BA385" s="1610" t="e">
        <f t="shared" si="110"/>
        <v>#VALUE!</v>
      </c>
      <c r="BB385" s="1610" t="e">
        <f t="shared" si="110"/>
        <v>#VALUE!</v>
      </c>
      <c r="BC385" s="1610" t="e">
        <f t="shared" si="110"/>
        <v>#VALUE!</v>
      </c>
      <c r="BD385" s="1610" t="e">
        <f t="shared" si="110"/>
        <v>#VALUE!</v>
      </c>
      <c r="BE385" s="1610" t="e">
        <f t="shared" si="110"/>
        <v>#VALUE!</v>
      </c>
      <c r="BF385" s="1610" t="e">
        <f t="shared" si="110"/>
        <v>#VALUE!</v>
      </c>
      <c r="BG385" s="1610" t="e">
        <f>IF(BG$370=0,0,IF($AT$369=2,BI$370,BI$370-BI$371+BT$371))</f>
        <v>#VALUE!</v>
      </c>
      <c r="BH385" s="1610" t="e">
        <f t="shared" ref="BH385:BS385" si="111">IF(BH$370=0,0,IF($AT$369=2,BT$370,BT$370-BT$371+BU$371))</f>
        <v>#VALUE!</v>
      </c>
      <c r="BI385" s="1610" t="e">
        <f t="shared" si="111"/>
        <v>#VALUE!</v>
      </c>
      <c r="BJ385" s="1610" t="e">
        <f t="shared" si="111"/>
        <v>#VALUE!</v>
      </c>
      <c r="BK385" s="1610" t="e">
        <f t="shared" si="111"/>
        <v>#VALUE!</v>
      </c>
      <c r="BL385" s="1610" t="e">
        <f t="shared" si="111"/>
        <v>#VALUE!</v>
      </c>
      <c r="BM385" s="1610" t="e">
        <f t="shared" si="111"/>
        <v>#VALUE!</v>
      </c>
      <c r="BN385" s="1610" t="e">
        <f t="shared" si="111"/>
        <v>#VALUE!</v>
      </c>
      <c r="BO385" s="1610" t="e">
        <f t="shared" si="111"/>
        <v>#VALUE!</v>
      </c>
      <c r="BP385" s="1610" t="e">
        <f t="shared" si="111"/>
        <v>#VALUE!</v>
      </c>
      <c r="BQ385" s="1610" t="e">
        <f t="shared" si="111"/>
        <v>#VALUE!</v>
      </c>
      <c r="BR385" s="1610" t="e">
        <f t="shared" si="111"/>
        <v>#VALUE!</v>
      </c>
      <c r="BS385" s="2046" t="e">
        <f t="shared" si="111"/>
        <v>#VALUE!</v>
      </c>
      <c r="BT385" s="1142"/>
      <c r="BU385" s="1478"/>
      <c r="BV385" s="1070"/>
    </row>
    <row r="386" spans="1:74" hidden="1" outlineLevel="2" x14ac:dyDescent="0.3">
      <c r="A386" s="1474"/>
      <c r="B386" s="1598"/>
      <c r="C386" s="1636" t="s">
        <v>1403</v>
      </c>
      <c r="D386" s="1116"/>
      <c r="E386" s="1116"/>
      <c r="F386" s="1637">
        <v>3</v>
      </c>
      <c r="G386" s="1610" t="e">
        <f t="shared" ref="G386:U386" si="112">IF(G$370=0,0,IF($J$369=3,J$370,J$370-J$371+K$371))</f>
        <v>#VALUE!</v>
      </c>
      <c r="H386" s="1610" t="e">
        <f t="shared" si="112"/>
        <v>#VALUE!</v>
      </c>
      <c r="I386" s="1610" t="e">
        <f t="shared" si="112"/>
        <v>#VALUE!</v>
      </c>
      <c r="J386" s="1610" t="e">
        <f t="shared" si="112"/>
        <v>#VALUE!</v>
      </c>
      <c r="K386" s="1610" t="e">
        <f t="shared" si="112"/>
        <v>#VALUE!</v>
      </c>
      <c r="L386" s="1610" t="e">
        <f t="shared" si="112"/>
        <v>#VALUE!</v>
      </c>
      <c r="M386" s="1610" t="e">
        <f t="shared" si="112"/>
        <v>#VALUE!</v>
      </c>
      <c r="N386" s="1610" t="e">
        <f t="shared" si="112"/>
        <v>#VALUE!</v>
      </c>
      <c r="O386" s="1610" t="e">
        <f t="shared" si="112"/>
        <v>#VALUE!</v>
      </c>
      <c r="P386" s="1610" t="e">
        <f t="shared" si="112"/>
        <v>#VALUE!</v>
      </c>
      <c r="Q386" s="1610" t="e">
        <f t="shared" si="112"/>
        <v>#VALUE!</v>
      </c>
      <c r="R386" s="1610" t="e">
        <f t="shared" si="112"/>
        <v>#VALUE!</v>
      </c>
      <c r="S386" s="1610" t="e">
        <f t="shared" si="112"/>
        <v>#VALUE!</v>
      </c>
      <c r="T386" s="1610" t="e">
        <f t="shared" si="112"/>
        <v>#VALUE!</v>
      </c>
      <c r="U386" s="1610" t="e">
        <f t="shared" si="112"/>
        <v>#VALUE!</v>
      </c>
      <c r="V386" s="1610" t="e">
        <f>IF(V$370=0,0,IF($J$369=3,Y$370,Y$370-Y$371+AJ$371))</f>
        <v>#VALUE!</v>
      </c>
      <c r="W386" s="1610" t="e">
        <f t="shared" ref="W386:AI386" si="113">IF(W$370=0,0,IF($J$369=3,AJ$370,AJ$370-AJ$371+AK$371))</f>
        <v>#VALUE!</v>
      </c>
      <c r="X386" s="1610" t="e">
        <f t="shared" si="113"/>
        <v>#VALUE!</v>
      </c>
      <c r="Y386" s="1610" t="e">
        <f t="shared" si="113"/>
        <v>#VALUE!</v>
      </c>
      <c r="Z386" s="1610" t="e">
        <f t="shared" si="113"/>
        <v>#VALUE!</v>
      </c>
      <c r="AA386" s="1610" t="e">
        <f t="shared" si="113"/>
        <v>#VALUE!</v>
      </c>
      <c r="AB386" s="1610" t="e">
        <f t="shared" si="113"/>
        <v>#VALUE!</v>
      </c>
      <c r="AC386" s="1610" t="e">
        <f t="shared" si="113"/>
        <v>#VALUE!</v>
      </c>
      <c r="AD386" s="1610" t="e">
        <f t="shared" si="113"/>
        <v>#VALUE!</v>
      </c>
      <c r="AE386" s="1610" t="e">
        <f t="shared" si="113"/>
        <v>#VALUE!</v>
      </c>
      <c r="AF386" s="1610" t="e">
        <f t="shared" si="113"/>
        <v>#VALUE!</v>
      </c>
      <c r="AG386" s="1610" t="e">
        <f t="shared" si="113"/>
        <v>#VALUE!</v>
      </c>
      <c r="AH386" s="1610" t="e">
        <f t="shared" si="113"/>
        <v>#VALUE!</v>
      </c>
      <c r="AI386" s="1638" t="e">
        <f t="shared" si="113"/>
        <v>#VALUE!</v>
      </c>
      <c r="AJ386" s="1476"/>
      <c r="AK386" s="1116"/>
      <c r="AL386" s="1116"/>
      <c r="AM386" s="1116"/>
      <c r="AN386" s="1116"/>
      <c r="AO386" s="1207"/>
      <c r="AP386" s="1637">
        <v>3</v>
      </c>
      <c r="AQ386" s="1610" t="e">
        <f t="shared" ref="AQ386:BE386" si="114">IF(AQ$370=0,0,IF($AT$369=3,AT$370,AT$370-AT$371+AU$371))</f>
        <v>#VALUE!</v>
      </c>
      <c r="AR386" s="1610" t="e">
        <f t="shared" si="114"/>
        <v>#VALUE!</v>
      </c>
      <c r="AS386" s="1610" t="e">
        <f t="shared" si="114"/>
        <v>#VALUE!</v>
      </c>
      <c r="AT386" s="1610" t="e">
        <f t="shared" si="114"/>
        <v>#VALUE!</v>
      </c>
      <c r="AU386" s="1610" t="e">
        <f t="shared" si="114"/>
        <v>#VALUE!</v>
      </c>
      <c r="AV386" s="1610" t="e">
        <f t="shared" si="114"/>
        <v>#VALUE!</v>
      </c>
      <c r="AW386" s="1610" t="e">
        <f t="shared" si="114"/>
        <v>#VALUE!</v>
      </c>
      <c r="AX386" s="1610" t="e">
        <f t="shared" si="114"/>
        <v>#VALUE!</v>
      </c>
      <c r="AY386" s="1610" t="e">
        <f t="shared" si="114"/>
        <v>#VALUE!</v>
      </c>
      <c r="AZ386" s="1610" t="e">
        <f t="shared" si="114"/>
        <v>#VALUE!</v>
      </c>
      <c r="BA386" s="1610" t="e">
        <f t="shared" si="114"/>
        <v>#VALUE!</v>
      </c>
      <c r="BB386" s="1610" t="e">
        <f t="shared" si="114"/>
        <v>#VALUE!</v>
      </c>
      <c r="BC386" s="1610" t="e">
        <f t="shared" si="114"/>
        <v>#VALUE!</v>
      </c>
      <c r="BD386" s="1610" t="e">
        <f t="shared" si="114"/>
        <v>#VALUE!</v>
      </c>
      <c r="BE386" s="1610" t="e">
        <f t="shared" si="114"/>
        <v>#VALUE!</v>
      </c>
      <c r="BF386" s="1610" t="e">
        <f>IF(BF$370=0,0,IF($AT$369=3,BI$370,BI$370-BI$371+BT$371))</f>
        <v>#VALUE!</v>
      </c>
      <c r="BG386" s="1610" t="e">
        <f t="shared" ref="BG386:BS386" si="115">IF(BG$370=0,0,IF($AT$369=3,BT$370,BT$370-BT$371+BU$371))</f>
        <v>#VALUE!</v>
      </c>
      <c r="BH386" s="1610" t="e">
        <f t="shared" si="115"/>
        <v>#VALUE!</v>
      </c>
      <c r="BI386" s="1610" t="e">
        <f t="shared" si="115"/>
        <v>#VALUE!</v>
      </c>
      <c r="BJ386" s="1610" t="e">
        <f t="shared" si="115"/>
        <v>#VALUE!</v>
      </c>
      <c r="BK386" s="1610" t="e">
        <f t="shared" si="115"/>
        <v>#VALUE!</v>
      </c>
      <c r="BL386" s="1610" t="e">
        <f t="shared" si="115"/>
        <v>#VALUE!</v>
      </c>
      <c r="BM386" s="1610" t="e">
        <f t="shared" si="115"/>
        <v>#VALUE!</v>
      </c>
      <c r="BN386" s="1610" t="e">
        <f t="shared" si="115"/>
        <v>#VALUE!</v>
      </c>
      <c r="BO386" s="1610" t="e">
        <f t="shared" si="115"/>
        <v>#VALUE!</v>
      </c>
      <c r="BP386" s="1610" t="e">
        <f t="shared" si="115"/>
        <v>#VALUE!</v>
      </c>
      <c r="BQ386" s="1610" t="e">
        <f t="shared" si="115"/>
        <v>#VALUE!</v>
      </c>
      <c r="BR386" s="1610" t="e">
        <f t="shared" si="115"/>
        <v>#VALUE!</v>
      </c>
      <c r="BS386" s="2046" t="e">
        <f t="shared" si="115"/>
        <v>#VALUE!</v>
      </c>
      <c r="BT386" s="1142"/>
      <c r="BU386" s="1478"/>
      <c r="BV386" s="1070"/>
    </row>
    <row r="387" spans="1:74" hidden="1" outlineLevel="2" x14ac:dyDescent="0.3">
      <c r="A387" s="1474"/>
      <c r="B387" s="1598"/>
      <c r="C387" s="1639" t="s">
        <v>1404</v>
      </c>
      <c r="D387" s="1116"/>
      <c r="E387" s="1116"/>
      <c r="F387" s="1640">
        <v>4</v>
      </c>
      <c r="G387" s="1610" t="e">
        <f t="shared" ref="G387:T387" si="116">IF(G$370=0,0,IF($J$369=4,K$370,K$370-K$371+L$371))</f>
        <v>#VALUE!</v>
      </c>
      <c r="H387" s="1610" t="e">
        <f t="shared" si="116"/>
        <v>#VALUE!</v>
      </c>
      <c r="I387" s="1610" t="e">
        <f t="shared" si="116"/>
        <v>#VALUE!</v>
      </c>
      <c r="J387" s="1610" t="e">
        <f t="shared" si="116"/>
        <v>#VALUE!</v>
      </c>
      <c r="K387" s="1610" t="e">
        <f t="shared" si="116"/>
        <v>#VALUE!</v>
      </c>
      <c r="L387" s="1610" t="e">
        <f t="shared" si="116"/>
        <v>#VALUE!</v>
      </c>
      <c r="M387" s="1610" t="e">
        <f t="shared" si="116"/>
        <v>#VALUE!</v>
      </c>
      <c r="N387" s="1610" t="e">
        <f t="shared" si="116"/>
        <v>#VALUE!</v>
      </c>
      <c r="O387" s="1610" t="e">
        <f t="shared" si="116"/>
        <v>#VALUE!</v>
      </c>
      <c r="P387" s="1610" t="e">
        <f t="shared" si="116"/>
        <v>#VALUE!</v>
      </c>
      <c r="Q387" s="1610" t="e">
        <f t="shared" si="116"/>
        <v>#VALUE!</v>
      </c>
      <c r="R387" s="1610" t="e">
        <f t="shared" si="116"/>
        <v>#VALUE!</v>
      </c>
      <c r="S387" s="1610" t="e">
        <f t="shared" si="116"/>
        <v>#VALUE!</v>
      </c>
      <c r="T387" s="1610" t="e">
        <f t="shared" si="116"/>
        <v>#VALUE!</v>
      </c>
      <c r="U387" s="1610" t="e">
        <f>IF(U$370=0,0,IF($J$369=4,Y$370,Y$370-Y$371+AJ$371))</f>
        <v>#VALUE!</v>
      </c>
      <c r="V387" s="1610" t="e">
        <f t="shared" ref="V387:AI387" si="117">IF(V$370=0,0,IF($J$369=4,AJ$370,AJ$370-AJ$371+AK$371))</f>
        <v>#VALUE!</v>
      </c>
      <c r="W387" s="1610" t="e">
        <f t="shared" si="117"/>
        <v>#VALUE!</v>
      </c>
      <c r="X387" s="1610" t="e">
        <f t="shared" si="117"/>
        <v>#VALUE!</v>
      </c>
      <c r="Y387" s="1610" t="e">
        <f t="shared" si="117"/>
        <v>#VALUE!</v>
      </c>
      <c r="Z387" s="1610" t="e">
        <f t="shared" si="117"/>
        <v>#VALUE!</v>
      </c>
      <c r="AA387" s="1610" t="e">
        <f t="shared" si="117"/>
        <v>#VALUE!</v>
      </c>
      <c r="AB387" s="1610" t="e">
        <f t="shared" si="117"/>
        <v>#VALUE!</v>
      </c>
      <c r="AC387" s="1610" t="e">
        <f t="shared" si="117"/>
        <v>#VALUE!</v>
      </c>
      <c r="AD387" s="1610" t="e">
        <f t="shared" si="117"/>
        <v>#VALUE!</v>
      </c>
      <c r="AE387" s="1610" t="e">
        <f t="shared" si="117"/>
        <v>#VALUE!</v>
      </c>
      <c r="AF387" s="1610" t="e">
        <f t="shared" si="117"/>
        <v>#VALUE!</v>
      </c>
      <c r="AG387" s="1610" t="e">
        <f t="shared" si="117"/>
        <v>#VALUE!</v>
      </c>
      <c r="AH387" s="1610" t="e">
        <f t="shared" si="117"/>
        <v>#VALUE!</v>
      </c>
      <c r="AI387" s="1638" t="e">
        <f t="shared" si="117"/>
        <v>#VALUE!</v>
      </c>
      <c r="AJ387" s="1476"/>
      <c r="AK387" s="1116"/>
      <c r="AL387" s="1116"/>
      <c r="AM387" s="1116"/>
      <c r="AN387" s="1116"/>
      <c r="AO387" s="1207"/>
      <c r="AP387" s="1640">
        <v>4</v>
      </c>
      <c r="AQ387" s="1610" t="e">
        <f t="shared" ref="AQ387:BD387" si="118">IF(AQ$370=0,0,IF($AT$369=4,AU$370,AU$370-AU$371+AV$371))</f>
        <v>#VALUE!</v>
      </c>
      <c r="AR387" s="1610" t="e">
        <f t="shared" si="118"/>
        <v>#VALUE!</v>
      </c>
      <c r="AS387" s="1610" t="e">
        <f t="shared" si="118"/>
        <v>#VALUE!</v>
      </c>
      <c r="AT387" s="1610" t="e">
        <f t="shared" si="118"/>
        <v>#VALUE!</v>
      </c>
      <c r="AU387" s="1610" t="e">
        <f t="shared" si="118"/>
        <v>#VALUE!</v>
      </c>
      <c r="AV387" s="1610" t="e">
        <f t="shared" si="118"/>
        <v>#VALUE!</v>
      </c>
      <c r="AW387" s="1610" t="e">
        <f t="shared" si="118"/>
        <v>#VALUE!</v>
      </c>
      <c r="AX387" s="1610" t="e">
        <f t="shared" si="118"/>
        <v>#VALUE!</v>
      </c>
      <c r="AY387" s="1610" t="e">
        <f t="shared" si="118"/>
        <v>#VALUE!</v>
      </c>
      <c r="AZ387" s="1610" t="e">
        <f t="shared" si="118"/>
        <v>#VALUE!</v>
      </c>
      <c r="BA387" s="1610" t="e">
        <f t="shared" si="118"/>
        <v>#VALUE!</v>
      </c>
      <c r="BB387" s="1610" t="e">
        <f t="shared" si="118"/>
        <v>#VALUE!</v>
      </c>
      <c r="BC387" s="1610" t="e">
        <f t="shared" si="118"/>
        <v>#VALUE!</v>
      </c>
      <c r="BD387" s="1610" t="e">
        <f t="shared" si="118"/>
        <v>#VALUE!</v>
      </c>
      <c r="BE387" s="1610" t="e">
        <f>IF(BE$370=0,0,IF($AT$369=4,BI$370,BI$370-BI$371+BT$371))</f>
        <v>#VALUE!</v>
      </c>
      <c r="BF387" s="1610" t="e">
        <f t="shared" ref="BF387:BS387" si="119">IF(BF$370=0,0,IF($AT$369=4,BT$370,BT$370-BT$371+BU$371))</f>
        <v>#VALUE!</v>
      </c>
      <c r="BG387" s="1610" t="e">
        <f t="shared" si="119"/>
        <v>#VALUE!</v>
      </c>
      <c r="BH387" s="1610" t="e">
        <f t="shared" si="119"/>
        <v>#VALUE!</v>
      </c>
      <c r="BI387" s="1610" t="e">
        <f t="shared" si="119"/>
        <v>#VALUE!</v>
      </c>
      <c r="BJ387" s="1610" t="e">
        <f t="shared" si="119"/>
        <v>#VALUE!</v>
      </c>
      <c r="BK387" s="1610" t="e">
        <f t="shared" si="119"/>
        <v>#VALUE!</v>
      </c>
      <c r="BL387" s="1610" t="e">
        <f t="shared" si="119"/>
        <v>#VALUE!</v>
      </c>
      <c r="BM387" s="1610" t="e">
        <f t="shared" si="119"/>
        <v>#VALUE!</v>
      </c>
      <c r="BN387" s="1610" t="e">
        <f t="shared" si="119"/>
        <v>#VALUE!</v>
      </c>
      <c r="BO387" s="1610" t="e">
        <f t="shared" si="119"/>
        <v>#VALUE!</v>
      </c>
      <c r="BP387" s="1610" t="e">
        <f t="shared" si="119"/>
        <v>#VALUE!</v>
      </c>
      <c r="BQ387" s="1610" t="e">
        <f t="shared" si="119"/>
        <v>#VALUE!</v>
      </c>
      <c r="BR387" s="1610" t="e">
        <f t="shared" si="119"/>
        <v>#VALUE!</v>
      </c>
      <c r="BS387" s="2046" t="e">
        <f t="shared" si="119"/>
        <v>#VALUE!</v>
      </c>
      <c r="BT387" s="1142"/>
      <c r="BU387" s="1478"/>
      <c r="BV387" s="1070"/>
    </row>
    <row r="388" spans="1:74" hidden="1" outlineLevel="2" x14ac:dyDescent="0.3">
      <c r="A388" s="1474"/>
      <c r="B388" s="1598"/>
      <c r="C388" s="1643" t="s">
        <v>1405</v>
      </c>
      <c r="D388" s="1229"/>
      <c r="E388" s="1612"/>
      <c r="F388" s="1644"/>
      <c r="G388" s="1634" t="e">
        <f t="shared" ref="G388:AI388" si="120">G370/(1+DiscRDEOrig)^G355</f>
        <v>#VALUE!</v>
      </c>
      <c r="H388" s="1634" t="e">
        <f t="shared" si="120"/>
        <v>#VALUE!</v>
      </c>
      <c r="I388" s="1634" t="e">
        <f t="shared" si="120"/>
        <v>#VALUE!</v>
      </c>
      <c r="J388" s="1634" t="e">
        <f t="shared" si="120"/>
        <v>#VALUE!</v>
      </c>
      <c r="K388" s="1634" t="e">
        <f t="shared" si="120"/>
        <v>#VALUE!</v>
      </c>
      <c r="L388" s="1634" t="e">
        <f t="shared" si="120"/>
        <v>#VALUE!</v>
      </c>
      <c r="M388" s="1634" t="e">
        <f t="shared" si="120"/>
        <v>#VALUE!</v>
      </c>
      <c r="N388" s="1634" t="e">
        <f t="shared" si="120"/>
        <v>#VALUE!</v>
      </c>
      <c r="O388" s="1634" t="e">
        <f t="shared" si="120"/>
        <v>#VALUE!</v>
      </c>
      <c r="P388" s="1634" t="e">
        <f t="shared" si="120"/>
        <v>#VALUE!</v>
      </c>
      <c r="Q388" s="1634" t="e">
        <f t="shared" si="120"/>
        <v>#VALUE!</v>
      </c>
      <c r="R388" s="1634" t="e">
        <f t="shared" si="120"/>
        <v>#VALUE!</v>
      </c>
      <c r="S388" s="1634" t="e">
        <f t="shared" si="120"/>
        <v>#VALUE!</v>
      </c>
      <c r="T388" s="1634" t="e">
        <f t="shared" si="120"/>
        <v>#VALUE!</v>
      </c>
      <c r="U388" s="1634" t="e">
        <f t="shared" si="120"/>
        <v>#VALUE!</v>
      </c>
      <c r="V388" s="1634" t="e">
        <f t="shared" si="120"/>
        <v>#VALUE!</v>
      </c>
      <c r="W388" s="1634" t="e">
        <f t="shared" si="120"/>
        <v>#VALUE!</v>
      </c>
      <c r="X388" s="1634" t="e">
        <f t="shared" si="120"/>
        <v>#VALUE!</v>
      </c>
      <c r="Y388" s="1634" t="e">
        <f t="shared" si="120"/>
        <v>#VALUE!</v>
      </c>
      <c r="Z388" s="1634" t="e">
        <f t="shared" si="120"/>
        <v>#VALUE!</v>
      </c>
      <c r="AA388" s="1634" t="e">
        <f t="shared" si="120"/>
        <v>#VALUE!</v>
      </c>
      <c r="AB388" s="1634" t="e">
        <f t="shared" si="120"/>
        <v>#VALUE!</v>
      </c>
      <c r="AC388" s="1634" t="e">
        <f t="shared" si="120"/>
        <v>#VALUE!</v>
      </c>
      <c r="AD388" s="1634" t="e">
        <f t="shared" si="120"/>
        <v>#VALUE!</v>
      </c>
      <c r="AE388" s="1634" t="e">
        <f t="shared" si="120"/>
        <v>#VALUE!</v>
      </c>
      <c r="AF388" s="1634" t="e">
        <f t="shared" si="120"/>
        <v>#VALUE!</v>
      </c>
      <c r="AG388" s="1634" t="e">
        <f t="shared" si="120"/>
        <v>#VALUE!</v>
      </c>
      <c r="AH388" s="1634" t="e">
        <f t="shared" si="120"/>
        <v>#VALUE!</v>
      </c>
      <c r="AI388" s="1635" t="e">
        <f t="shared" si="120"/>
        <v>#VALUE!</v>
      </c>
      <c r="AJ388" s="1476"/>
      <c r="AK388" s="1116"/>
      <c r="AL388" s="1116"/>
      <c r="AM388" s="1116"/>
      <c r="AN388" s="1116"/>
      <c r="AO388" s="1207"/>
      <c r="AP388" s="1644"/>
      <c r="AQ388" s="1634" t="e">
        <f t="shared" ref="AQ388:BS388" si="121">AQ370/(1+DiscRDEOrig)^AQ355</f>
        <v>#VALUE!</v>
      </c>
      <c r="AR388" s="1634" t="e">
        <f t="shared" si="121"/>
        <v>#VALUE!</v>
      </c>
      <c r="AS388" s="1634" t="e">
        <f t="shared" si="121"/>
        <v>#VALUE!</v>
      </c>
      <c r="AT388" s="1634" t="e">
        <f t="shared" si="121"/>
        <v>#VALUE!</v>
      </c>
      <c r="AU388" s="1634" t="e">
        <f t="shared" si="121"/>
        <v>#VALUE!</v>
      </c>
      <c r="AV388" s="1634" t="e">
        <f t="shared" si="121"/>
        <v>#VALUE!</v>
      </c>
      <c r="AW388" s="1634" t="e">
        <f t="shared" si="121"/>
        <v>#VALUE!</v>
      </c>
      <c r="AX388" s="1634" t="e">
        <f t="shared" si="121"/>
        <v>#VALUE!</v>
      </c>
      <c r="AY388" s="1634" t="e">
        <f t="shared" si="121"/>
        <v>#VALUE!</v>
      </c>
      <c r="AZ388" s="1634" t="e">
        <f t="shared" si="121"/>
        <v>#VALUE!</v>
      </c>
      <c r="BA388" s="1634" t="e">
        <f t="shared" si="121"/>
        <v>#VALUE!</v>
      </c>
      <c r="BB388" s="1634" t="e">
        <f t="shared" si="121"/>
        <v>#VALUE!</v>
      </c>
      <c r="BC388" s="1634" t="e">
        <f t="shared" si="121"/>
        <v>#VALUE!</v>
      </c>
      <c r="BD388" s="1634" t="e">
        <f t="shared" si="121"/>
        <v>#VALUE!</v>
      </c>
      <c r="BE388" s="1634" t="e">
        <f t="shared" si="121"/>
        <v>#VALUE!</v>
      </c>
      <c r="BF388" s="1634" t="e">
        <f t="shared" si="121"/>
        <v>#VALUE!</v>
      </c>
      <c r="BG388" s="1634" t="e">
        <f t="shared" si="121"/>
        <v>#VALUE!</v>
      </c>
      <c r="BH388" s="1634" t="e">
        <f t="shared" si="121"/>
        <v>#VALUE!</v>
      </c>
      <c r="BI388" s="1634" t="e">
        <f t="shared" si="121"/>
        <v>#VALUE!</v>
      </c>
      <c r="BJ388" s="1634" t="e">
        <f t="shared" si="121"/>
        <v>#VALUE!</v>
      </c>
      <c r="BK388" s="1634" t="e">
        <f t="shared" si="121"/>
        <v>#VALUE!</v>
      </c>
      <c r="BL388" s="1634" t="e">
        <f t="shared" si="121"/>
        <v>#VALUE!</v>
      </c>
      <c r="BM388" s="1634" t="e">
        <f t="shared" si="121"/>
        <v>#VALUE!</v>
      </c>
      <c r="BN388" s="1634" t="e">
        <f t="shared" si="121"/>
        <v>#VALUE!</v>
      </c>
      <c r="BO388" s="1634" t="e">
        <f t="shared" si="121"/>
        <v>#VALUE!</v>
      </c>
      <c r="BP388" s="1634" t="e">
        <f t="shared" si="121"/>
        <v>#VALUE!</v>
      </c>
      <c r="BQ388" s="1634" t="e">
        <f t="shared" si="121"/>
        <v>#VALUE!</v>
      </c>
      <c r="BR388" s="1634" t="e">
        <f t="shared" si="121"/>
        <v>#VALUE!</v>
      </c>
      <c r="BS388" s="2045" t="e">
        <f t="shared" si="121"/>
        <v>#VALUE!</v>
      </c>
      <c r="BT388" s="1142"/>
      <c r="BU388" s="1478"/>
      <c r="BV388" s="1070"/>
    </row>
    <row r="389" spans="1:74" hidden="1" outlineLevel="2" x14ac:dyDescent="0.3">
      <c r="A389" s="1474"/>
      <c r="B389" s="1598"/>
      <c r="C389" s="1645" t="s">
        <v>1406</v>
      </c>
      <c r="D389" s="1226"/>
      <c r="E389" s="1226"/>
      <c r="F389" s="1646"/>
      <c r="G389" s="1641" t="e">
        <f>VLOOKUP(ABS($K$369),$F$383:$AI$387,2,0)/(1+DiscRDEOrig)^G355</f>
        <v>#VALUE!</v>
      </c>
      <c r="H389" s="1641" t="e">
        <f>VLOOKUP(ABS($K$369),$F$383:$AI$387,3,0)/(1+DiscRDEOrig)^H355</f>
        <v>#VALUE!</v>
      </c>
      <c r="I389" s="1641" t="e">
        <f>VLOOKUP(ABS($K$369),$F$383:$AI$387,4,0)/(1+DiscRDEOrig)^I355</f>
        <v>#VALUE!</v>
      </c>
      <c r="J389" s="1641" t="e">
        <f>VLOOKUP(ABS($K$369),$F$383:$AI$387,5,0)/(1+DiscRDEOrig)^J355</f>
        <v>#VALUE!</v>
      </c>
      <c r="K389" s="1641" t="e">
        <f>VLOOKUP(ABS($K$369),$F$383:$AI$387,6,0)/(1+DiscRDEOrig)^K355</f>
        <v>#VALUE!</v>
      </c>
      <c r="L389" s="1641" t="e">
        <f>VLOOKUP(ABS($K$369),$F$383:$AI$387,7,0)/(1+DiscRDEOrig)^L355</f>
        <v>#VALUE!</v>
      </c>
      <c r="M389" s="1641" t="e">
        <f>VLOOKUP(ABS($K$369),$F$383:$AI$387,8,0)/(1+DiscRDEOrig)^M355</f>
        <v>#VALUE!</v>
      </c>
      <c r="N389" s="1641" t="e">
        <f>VLOOKUP(ABS($K$369),$F$383:$AI$387,9,0)/(1+DiscRDEOrig)^N355</f>
        <v>#VALUE!</v>
      </c>
      <c r="O389" s="1641" t="e">
        <f>VLOOKUP(ABS($K$369),$F$383:$AI$387,10,0)/(1+DiscRDEOrig)^O355</f>
        <v>#VALUE!</v>
      </c>
      <c r="P389" s="1641" t="e">
        <f>VLOOKUP(ABS($K$369),$F$383:$AI$387,11,0)/(1+DiscRDEOrig)^P355</f>
        <v>#VALUE!</v>
      </c>
      <c r="Q389" s="1641" t="e">
        <f>VLOOKUP(ABS($K$369),$F$383:$AI$387,12,0)/(1+DiscRDEOrig)^Q355</f>
        <v>#VALUE!</v>
      </c>
      <c r="R389" s="1641" t="e">
        <f>VLOOKUP(ABS($K$369),$F$383:$AI$387,13,0)/(1+DiscRDEOrig)^R355</f>
        <v>#VALUE!</v>
      </c>
      <c r="S389" s="1641" t="e">
        <f>VLOOKUP(ABS($K$369),$F$383:$AI$387,14,0)/(1+DiscRDEOrig)^S355</f>
        <v>#VALUE!</v>
      </c>
      <c r="T389" s="1641" t="e">
        <f>VLOOKUP(ABS($K$369),$F$383:$AI$387,15,0)/(1+DiscRDEOrig)^T355</f>
        <v>#VALUE!</v>
      </c>
      <c r="U389" s="1641" t="e">
        <f>VLOOKUP(ABS($K$369),$F$383:$AI$387,16,0)/(1+DiscRDEOrig)^U355</f>
        <v>#VALUE!</v>
      </c>
      <c r="V389" s="1641" t="e">
        <f>VLOOKUP(ABS($K$369),$F$383:$AI$387,17,0)/(1+DiscRDEOrig)^V355</f>
        <v>#VALUE!</v>
      </c>
      <c r="W389" s="1641" t="e">
        <f>VLOOKUP(ABS($K$369),$F$383:$AI$387,18,0)/(1+DiscRDEOrig)^W355</f>
        <v>#VALUE!</v>
      </c>
      <c r="X389" s="1641" t="e">
        <f>VLOOKUP(ABS($K$369),$F$383:$AI$387,19,0)/(1+DiscRDEOrig)^X355</f>
        <v>#VALUE!</v>
      </c>
      <c r="Y389" s="1641" t="e">
        <f>VLOOKUP(ABS($K$369),$F$383:$AI$387,20,0)/(1+DiscRDEOrig)^Y355</f>
        <v>#VALUE!</v>
      </c>
      <c r="Z389" s="1641" t="e">
        <f>VLOOKUP(ABS($K$369),$F$383:$AI$387,21,0)/(1+DiscRDEOrig)^Z355</f>
        <v>#VALUE!</v>
      </c>
      <c r="AA389" s="1641" t="e">
        <f>VLOOKUP(ABS($K$369),$F$383:$AI$387,22,0)/(1+DiscRDEOrig)^AA355</f>
        <v>#VALUE!</v>
      </c>
      <c r="AB389" s="1641" t="e">
        <f>VLOOKUP(ABS($K$369),$F$383:$AI$387,23,0)/(1+DiscRDEOrig)^AB355</f>
        <v>#VALUE!</v>
      </c>
      <c r="AC389" s="1641" t="e">
        <f>VLOOKUP(ABS($K$369),$F$383:$AI$387,24,0)/(1+DiscRDEOrig)^AC355</f>
        <v>#VALUE!</v>
      </c>
      <c r="AD389" s="1641" t="e">
        <f>VLOOKUP(ABS($K$369),$F$383:$AI$387,25,0)/(1+DiscRDEOrig)^AD355</f>
        <v>#VALUE!</v>
      </c>
      <c r="AE389" s="1641" t="e">
        <f>VLOOKUP(ABS($K$369),$F$383:$AI$387,26,0)/(1+DiscRDEOrig)^AE355</f>
        <v>#VALUE!</v>
      </c>
      <c r="AF389" s="1641" t="e">
        <f>VLOOKUP(ABS($K$369),$F$383:$AI$387,27,0)/(1+DiscRDEOrig)^AF355</f>
        <v>#VALUE!</v>
      </c>
      <c r="AG389" s="1641" t="e">
        <f>VLOOKUP(ABS($K$369),$F$383:$AI$387,28,0)/(1+DiscRDEOrig)^AG355</f>
        <v>#VALUE!</v>
      </c>
      <c r="AH389" s="1641" t="e">
        <f>VLOOKUP(ABS($K$369),$F$383:$AI$387,29,0)/(1+DiscRDEOrig)^AH355</f>
        <v>#VALUE!</v>
      </c>
      <c r="AI389" s="1642" t="e">
        <f>VLOOKUP(ABS($K$369),$F$383:$AI$387,30,0)/(1+DiscRDEOrig)^AI355</f>
        <v>#VALUE!</v>
      </c>
      <c r="AJ389" s="1476"/>
      <c r="AK389" s="1116"/>
      <c r="AL389" s="1116"/>
      <c r="AM389" s="1116"/>
      <c r="AN389" s="1116"/>
      <c r="AO389" s="1207"/>
      <c r="AP389" s="1648"/>
      <c r="AQ389" s="1647" t="e">
        <f>VLOOKUP(ABS($AU$369),$AP$383:$BS$387,2,0)/(1+DiscRDEOrig)^AQ355</f>
        <v>#VALUE!</v>
      </c>
      <c r="AR389" s="1641" t="e">
        <f>VLOOKUP(ABS($AU$369),$AP$383:$BS$387,3,0)/(1+DiscRDEOrig)^AR355</f>
        <v>#VALUE!</v>
      </c>
      <c r="AS389" s="1641" t="e">
        <f>VLOOKUP(ABS($AU$369),$AP$383:$BS$387,4,0)/(1+DiscRDEOrig)^AS355</f>
        <v>#VALUE!</v>
      </c>
      <c r="AT389" s="1641" t="e">
        <f>VLOOKUP(ABS($AU$369),$AP$383:$BS$387,5,0)/(1+DiscRDEOrig)^AT355</f>
        <v>#VALUE!</v>
      </c>
      <c r="AU389" s="1641" t="e">
        <f>VLOOKUP(ABS($AU$369),$AP$383:$BS$387,6,0)/(1+DiscRDEOrig)^AU355</f>
        <v>#VALUE!</v>
      </c>
      <c r="AV389" s="1641" t="e">
        <f>VLOOKUP(ABS($AU$369),$AP$383:$BS$387,7,0)/(1+DiscRDEOrig)^AV355</f>
        <v>#VALUE!</v>
      </c>
      <c r="AW389" s="1641" t="e">
        <f>VLOOKUP(ABS($AU$369),$AP$383:$BS$387,8,0)/(1+DiscRDEOrig)^AW355</f>
        <v>#VALUE!</v>
      </c>
      <c r="AX389" s="1641" t="e">
        <f>VLOOKUP(ABS($AU$369),$AP$383:$BS$387,9,0)/(1+DiscRDEOrig)^AX355</f>
        <v>#VALUE!</v>
      </c>
      <c r="AY389" s="1641" t="e">
        <f>VLOOKUP(ABS($AU$369),$AP$383:$BS$387,10,0)/(1+DiscRDEOrig)^AY355</f>
        <v>#VALUE!</v>
      </c>
      <c r="AZ389" s="1641" t="e">
        <f>VLOOKUP(ABS($AU$369),$AP$383:$BS$387,11,0)/(1+DiscRDEOrig)^AZ355</f>
        <v>#VALUE!</v>
      </c>
      <c r="BA389" s="1641" t="e">
        <f>VLOOKUP(ABS($AU$369),$AP$383:$BS$387,12,0)/(1+DiscRDEOrig)^BA355</f>
        <v>#VALUE!</v>
      </c>
      <c r="BB389" s="1641" t="e">
        <f>VLOOKUP(ABS($AU$369),$AP$383:$BS$387,13,0)/(1+DiscRDEOrig)^BB355</f>
        <v>#VALUE!</v>
      </c>
      <c r="BC389" s="1641" t="e">
        <f>VLOOKUP(ABS($AU$369),$AP$383:$BS$387,14,0)/(1+DiscRDEOrig)^BC355</f>
        <v>#VALUE!</v>
      </c>
      <c r="BD389" s="1641" t="e">
        <f>VLOOKUP(ABS($AU$369),$AP$383:$BS$387,15,0)/(1+DiscRDEOrig)^BD355</f>
        <v>#VALUE!</v>
      </c>
      <c r="BE389" s="1641" t="e">
        <f>VLOOKUP(ABS($AU$369),$AP$383:$BS$387,16,0)/(1+DiscRDEOrig)^BE355</f>
        <v>#VALUE!</v>
      </c>
      <c r="BF389" s="1641" t="e">
        <f>VLOOKUP(ABS($AU$369),$AP$383:$BS$387,17,0)/(1+DiscRDEOrig)^BF355</f>
        <v>#VALUE!</v>
      </c>
      <c r="BG389" s="1641" t="e">
        <f>VLOOKUP(ABS($AU$369),$AP$383:$BS$387,18,0)/(1+DiscRDEOrig)^BG355</f>
        <v>#VALUE!</v>
      </c>
      <c r="BH389" s="1641" t="e">
        <f>VLOOKUP(ABS($AU$369),$AP$383:$BS$387,19,0)/(1+DiscRDEOrig)^BH355</f>
        <v>#VALUE!</v>
      </c>
      <c r="BI389" s="1641" t="e">
        <f>VLOOKUP(ABS($AU$369),$AP$383:$BS$387,20,0)/(1+DiscRDEOrig)^BI355</f>
        <v>#VALUE!</v>
      </c>
      <c r="BJ389" s="1641" t="e">
        <f>VLOOKUP(ABS($AU$369),$AP$383:$BS$387,21,0)/(1+DiscRDEOrig)^BJ355</f>
        <v>#VALUE!</v>
      </c>
      <c r="BK389" s="1641" t="e">
        <f>VLOOKUP(ABS($AU$369),$AP$383:$BS$387,22,0)/(1+DiscRDEOrig)^BK355</f>
        <v>#VALUE!</v>
      </c>
      <c r="BL389" s="1641" t="e">
        <f>VLOOKUP(ABS($AU$369),$AP$383:$BS$387,23,0)/(1+DiscRDEOrig)^BL355</f>
        <v>#VALUE!</v>
      </c>
      <c r="BM389" s="1641" t="e">
        <f>VLOOKUP(ABS($AU$369),$AP$383:$BS$387,24,0)/(1+DiscRDEOrig)^BM355</f>
        <v>#VALUE!</v>
      </c>
      <c r="BN389" s="1641" t="e">
        <f>VLOOKUP(ABS($AU$369),$AP$383:$BS$387,25,0)/(1+DiscRDEOrig)^BN355</f>
        <v>#VALUE!</v>
      </c>
      <c r="BO389" s="1641" t="e">
        <f>VLOOKUP(ABS($AU$369),$AP$383:$BS$387,26,0)/(1+DiscRDEOrig)^BO355</f>
        <v>#VALUE!</v>
      </c>
      <c r="BP389" s="1641" t="e">
        <f>VLOOKUP(ABS($AU$369),$AP$383:$BS$387,27,0)/(1+DiscRDEOrig)^BP355</f>
        <v>#VALUE!</v>
      </c>
      <c r="BQ389" s="1641" t="e">
        <f>VLOOKUP(ABS($AU$369),$AP$383:$BS$387,28,0)/(1+DiscRDEOrig)^BQ355</f>
        <v>#VALUE!</v>
      </c>
      <c r="BR389" s="1641" t="e">
        <f>VLOOKUP(ABS($AU$369),$AP$383:$BS$387,29,0)/(1+DiscRDEOrig)^BR355</f>
        <v>#VALUE!</v>
      </c>
      <c r="BS389" s="2047" t="e">
        <f>VLOOKUP(ABS($AU$369),$AP$383:$BS$387,30,0)/(1+DiscRDEOrig)^BS355</f>
        <v>#VALUE!</v>
      </c>
      <c r="BT389" s="1142"/>
      <c r="BU389" s="1478"/>
      <c r="BV389" s="1070"/>
    </row>
    <row r="390" spans="1:74" hidden="1" outlineLevel="2" x14ac:dyDescent="0.3">
      <c r="A390" s="1474"/>
      <c r="B390" s="1207"/>
      <c r="C390" s="1116"/>
      <c r="D390" s="1116"/>
      <c r="E390" s="1116"/>
      <c r="F390" s="1116"/>
      <c r="G390" s="1116"/>
      <c r="H390" s="1116"/>
      <c r="I390" s="1116"/>
      <c r="J390" s="1116"/>
      <c r="K390" s="1116"/>
      <c r="L390" s="1116"/>
      <c r="M390" s="1116"/>
      <c r="N390" s="1116"/>
      <c r="O390" s="1116"/>
      <c r="P390" s="1116"/>
      <c r="Q390" s="1116"/>
      <c r="R390" s="1116"/>
      <c r="S390" s="1116"/>
      <c r="T390" s="1116"/>
      <c r="U390" s="1116"/>
      <c r="V390" s="1116"/>
      <c r="W390" s="1116"/>
      <c r="X390" s="1116"/>
      <c r="Y390" s="1116"/>
      <c r="Z390" s="1116"/>
      <c r="AA390" s="1116"/>
      <c r="AB390" s="1116"/>
      <c r="AC390" s="1116"/>
      <c r="AD390" s="1116"/>
      <c r="AE390" s="1116"/>
      <c r="AF390" s="1116"/>
      <c r="AG390" s="1116"/>
      <c r="AH390" s="1116"/>
      <c r="AI390" s="1477"/>
      <c r="AJ390" s="1476"/>
      <c r="AK390" s="1116"/>
      <c r="AL390" s="1116"/>
      <c r="AM390" s="1116"/>
      <c r="AN390" s="1116"/>
      <c r="AO390" s="1207"/>
      <c r="AP390" s="1116"/>
      <c r="AQ390" s="1116"/>
      <c r="AR390" s="1116"/>
      <c r="AS390" s="1116"/>
      <c r="AT390" s="1116"/>
      <c r="AU390" s="1116"/>
      <c r="AV390" s="1116"/>
      <c r="AW390" s="1116"/>
      <c r="AX390" s="1116"/>
      <c r="AY390" s="1116"/>
      <c r="AZ390" s="1116"/>
      <c r="BA390" s="1116"/>
      <c r="BB390" s="1116"/>
      <c r="BC390" s="1116"/>
      <c r="BD390" s="1116"/>
      <c r="BE390" s="1116"/>
      <c r="BF390" s="1116"/>
      <c r="BG390" s="1116"/>
      <c r="BH390" s="1116"/>
      <c r="BI390" s="1116"/>
      <c r="BJ390" s="1116"/>
      <c r="BK390" s="1116"/>
      <c r="BL390" s="1116"/>
      <c r="BM390" s="1116"/>
      <c r="BN390" s="1116"/>
      <c r="BO390" s="1116"/>
      <c r="BP390" s="1116"/>
      <c r="BQ390" s="1116"/>
      <c r="BR390" s="1116"/>
      <c r="BS390" s="1116"/>
      <c r="BT390" s="1142"/>
      <c r="BU390" s="1478"/>
      <c r="BV390" s="1070"/>
    </row>
    <row r="391" spans="1:74" hidden="1" outlineLevel="2" x14ac:dyDescent="0.3">
      <c r="A391" s="1474"/>
      <c r="B391" s="1207"/>
      <c r="C391" s="1116"/>
      <c r="D391" s="1116"/>
      <c r="E391" s="1116"/>
      <c r="F391" s="1116"/>
      <c r="G391" s="1116"/>
      <c r="H391" s="1116"/>
      <c r="I391" s="1116"/>
      <c r="J391" s="1116"/>
      <c r="K391" s="1116"/>
      <c r="L391" s="1116"/>
      <c r="M391" s="1116"/>
      <c r="N391" s="1116"/>
      <c r="O391" s="1116"/>
      <c r="P391" s="1116"/>
      <c r="Q391" s="1116"/>
      <c r="R391" s="1116"/>
      <c r="S391" s="1116"/>
      <c r="T391" s="1116"/>
      <c r="U391" s="1116"/>
      <c r="V391" s="1116"/>
      <c r="W391" s="1116"/>
      <c r="X391" s="1116"/>
      <c r="Y391" s="1116"/>
      <c r="Z391" s="1116"/>
      <c r="AA391" s="1116"/>
      <c r="AB391" s="1116"/>
      <c r="AC391" s="1116"/>
      <c r="AD391" s="1116"/>
      <c r="AE391" s="1116"/>
      <c r="AF391" s="1116"/>
      <c r="AG391" s="1116"/>
      <c r="AH391" s="1116"/>
      <c r="AI391" s="1477"/>
      <c r="AJ391" s="1476"/>
      <c r="AK391" s="1116"/>
      <c r="AL391" s="1116"/>
      <c r="AM391" s="1116"/>
      <c r="AN391" s="1116"/>
      <c r="AO391" s="1207"/>
      <c r="AP391" s="1116"/>
      <c r="AQ391" s="1116"/>
      <c r="AR391" s="1116"/>
      <c r="AS391" s="1116"/>
      <c r="AT391" s="1116"/>
      <c r="AU391" s="1116"/>
      <c r="AV391" s="1116"/>
      <c r="AW391" s="1116"/>
      <c r="AX391" s="1116"/>
      <c r="AY391" s="1116"/>
      <c r="AZ391" s="1116"/>
      <c r="BA391" s="1116"/>
      <c r="BB391" s="1116"/>
      <c r="BC391" s="1116"/>
      <c r="BD391" s="1116"/>
      <c r="BE391" s="1116"/>
      <c r="BF391" s="1116"/>
      <c r="BG391" s="1116"/>
      <c r="BH391" s="1116"/>
      <c r="BI391" s="1116"/>
      <c r="BJ391" s="1116"/>
      <c r="BK391" s="1116"/>
      <c r="BL391" s="1116"/>
      <c r="BM391" s="1116"/>
      <c r="BN391" s="1116"/>
      <c r="BO391" s="1116"/>
      <c r="BP391" s="1116"/>
      <c r="BQ391" s="1116"/>
      <c r="BR391" s="1116"/>
      <c r="BS391" s="1116"/>
      <c r="BT391" s="1142"/>
      <c r="BU391" s="1478"/>
      <c r="BV391" s="1070"/>
    </row>
    <row r="392" spans="1:74" hidden="1" outlineLevel="2" x14ac:dyDescent="0.3">
      <c r="A392" s="1474"/>
      <c r="B392" s="1598" t="s">
        <v>1369</v>
      </c>
      <c r="C392" s="1116"/>
      <c r="D392" s="1116"/>
      <c r="E392" s="1116"/>
      <c r="F392" s="1116"/>
      <c r="G392" s="1116"/>
      <c r="H392" s="1116"/>
      <c r="I392" s="1116"/>
      <c r="J392" s="1116"/>
      <c r="K392" s="1116"/>
      <c r="L392" s="1116"/>
      <c r="M392" s="1116"/>
      <c r="N392" s="1116"/>
      <c r="O392" s="1116"/>
      <c r="P392" s="1116"/>
      <c r="Q392" s="1116"/>
      <c r="R392" s="1116"/>
      <c r="S392" s="1116"/>
      <c r="T392" s="1116"/>
      <c r="U392" s="1116"/>
      <c r="V392" s="1116"/>
      <c r="W392" s="1116"/>
      <c r="X392" s="1116"/>
      <c r="Y392" s="1116"/>
      <c r="Z392" s="1116"/>
      <c r="AA392" s="1116"/>
      <c r="AB392" s="1116"/>
      <c r="AC392" s="1116"/>
      <c r="AD392" s="1116"/>
      <c r="AE392" s="1116"/>
      <c r="AF392" s="1116"/>
      <c r="AG392" s="1116"/>
      <c r="AH392" s="1116"/>
      <c r="AI392" s="1477"/>
      <c r="AJ392" s="1476"/>
      <c r="AK392" s="1116"/>
      <c r="AL392" s="1116"/>
      <c r="AM392" s="1116"/>
      <c r="AN392" s="1116"/>
      <c r="AO392" s="1207"/>
      <c r="AP392" s="1116"/>
      <c r="AQ392" s="1479" t="s">
        <v>1369</v>
      </c>
      <c r="AR392" s="1218"/>
      <c r="AS392" s="1218"/>
      <c r="AT392" s="1218"/>
      <c r="AU392" s="1218"/>
      <c r="AV392" s="1218"/>
      <c r="AW392" s="1218"/>
      <c r="AX392" s="1218"/>
      <c r="AY392" s="1218"/>
      <c r="AZ392" s="1218"/>
      <c r="BA392" s="1218"/>
      <c r="BB392" s="1218"/>
      <c r="BC392" s="1218"/>
      <c r="BD392" s="1218"/>
      <c r="BE392" s="1218"/>
      <c r="BF392" s="1218"/>
      <c r="BG392" s="1218"/>
      <c r="BH392" s="1218"/>
      <c r="BI392" s="1218"/>
      <c r="BJ392" s="1218"/>
      <c r="BK392" s="1218"/>
      <c r="BL392" s="1218"/>
      <c r="BM392" s="1218"/>
      <c r="BN392" s="1218"/>
      <c r="BO392" s="1218"/>
      <c r="BP392" s="1218"/>
      <c r="BQ392" s="1218"/>
      <c r="BR392" s="1218"/>
      <c r="BS392" s="1412"/>
      <c r="BT392" s="1142"/>
      <c r="BU392" s="1478"/>
      <c r="BV392" s="1070"/>
    </row>
    <row r="393" spans="1:74" hidden="1" outlineLevel="2" x14ac:dyDescent="0.3">
      <c r="A393" s="1474"/>
      <c r="B393" s="1207" t="s">
        <v>1409</v>
      </c>
      <c r="C393" s="1116"/>
      <c r="D393" s="1116"/>
      <c r="E393" s="1116"/>
      <c r="F393" s="1116"/>
      <c r="G393" s="1229" t="s">
        <v>1410</v>
      </c>
      <c r="H393" s="1222"/>
      <c r="I393" s="1649" t="e">
        <f>SUMIF(G356:AI356,1,G296:AI296)/SUMIF(G356:AI356,1,G292:AI292)</f>
        <v>#DIV/0!</v>
      </c>
      <c r="J393" s="1116"/>
      <c r="K393" s="1229" t="s">
        <v>1411</v>
      </c>
      <c r="L393" s="1649" t="e">
        <f>SUMIF(G356:AI356,1,AQ296:BS296)/SUMIF(G356:AI356,1,AQ292:BS292)</f>
        <v>#DIV/0!</v>
      </c>
      <c r="M393" s="1116"/>
      <c r="N393" s="1116"/>
      <c r="O393" s="1116"/>
      <c r="P393" s="1116"/>
      <c r="Q393" s="1116"/>
      <c r="R393" s="1116"/>
      <c r="S393" s="1116"/>
      <c r="T393" s="1116"/>
      <c r="U393" s="1116"/>
      <c r="V393" s="1116"/>
      <c r="W393" s="1116"/>
      <c r="X393" s="1116"/>
      <c r="Y393" s="1116"/>
      <c r="Z393" s="1116"/>
      <c r="AA393" s="1116"/>
      <c r="AB393" s="1116"/>
      <c r="AC393" s="1116"/>
      <c r="AD393" s="1116"/>
      <c r="AE393" s="1116"/>
      <c r="AF393" s="1116"/>
      <c r="AG393" s="1116"/>
      <c r="AH393" s="1116"/>
      <c r="AI393" s="1477"/>
      <c r="AJ393" s="1476"/>
      <c r="AK393" s="1116"/>
      <c r="AL393" s="1116"/>
      <c r="AM393" s="1116"/>
      <c r="AN393" s="1116"/>
      <c r="AO393" s="1207"/>
      <c r="AP393" s="1116"/>
      <c r="AQ393" s="1599" t="s">
        <v>1410</v>
      </c>
      <c r="AR393" s="1222"/>
      <c r="AS393" s="1650" t="e">
        <f>SUMIF(AQ356:BS356,1,G296:AI296)/SUMIF(AQ356:BS356,1,G292:AI292)</f>
        <v>#DIV/0!</v>
      </c>
      <c r="AT393" s="1618"/>
      <c r="AU393" s="1222" t="s">
        <v>1411</v>
      </c>
      <c r="AV393" s="1651" t="e">
        <f>SUMIF(AQ356:BS356,1,AQ296:BS296)/SUMIF(AQ356:BS356,1,AQ292:BS292)</f>
        <v>#DIV/0!</v>
      </c>
      <c r="AW393" s="1116"/>
      <c r="AX393" s="1116"/>
      <c r="AY393" s="1116"/>
      <c r="AZ393" s="1116"/>
      <c r="BA393" s="1116"/>
      <c r="BB393" s="1116"/>
      <c r="BC393" s="1116"/>
      <c r="BD393" s="1116"/>
      <c r="BE393" s="1116"/>
      <c r="BF393" s="1116"/>
      <c r="BG393" s="1116"/>
      <c r="BH393" s="1116"/>
      <c r="BI393" s="1116"/>
      <c r="BJ393" s="1116"/>
      <c r="BK393" s="1116"/>
      <c r="BL393" s="1116"/>
      <c r="BM393" s="1116"/>
      <c r="BN393" s="1116"/>
      <c r="BO393" s="1116"/>
      <c r="BP393" s="1116"/>
      <c r="BQ393" s="1116"/>
      <c r="BR393" s="1116"/>
      <c r="BS393" s="1477"/>
      <c r="BT393" s="1142"/>
      <c r="BU393" s="1478"/>
      <c r="BV393" s="1070"/>
    </row>
    <row r="394" spans="1:74" hidden="1" outlineLevel="2" x14ac:dyDescent="0.3">
      <c r="A394" s="1474"/>
      <c r="B394" s="1207" t="s">
        <v>1510</v>
      </c>
      <c r="C394" s="1116"/>
      <c r="D394" s="1116"/>
      <c r="E394" s="1116"/>
      <c r="F394" s="1116"/>
      <c r="G394" s="1600" t="e">
        <f>IF(G$356=1,G$292*(1-$L$393)*(1-$BU$305),0)</f>
        <v>#VALUE!</v>
      </c>
      <c r="H394" s="1601" t="e">
        <f t="shared" ref="H394:AI394" si="122">IF(H$356=1,H$292*(1-$L$393)*(1-$BU$305),0)</f>
        <v>#VALUE!</v>
      </c>
      <c r="I394" s="1601" t="e">
        <f t="shared" si="122"/>
        <v>#VALUE!</v>
      </c>
      <c r="J394" s="1601" t="e">
        <f t="shared" si="122"/>
        <v>#VALUE!</v>
      </c>
      <c r="K394" s="1601" t="e">
        <f t="shared" si="122"/>
        <v>#VALUE!</v>
      </c>
      <c r="L394" s="1601" t="e">
        <f t="shared" si="122"/>
        <v>#VALUE!</v>
      </c>
      <c r="M394" s="1601" t="e">
        <f t="shared" si="122"/>
        <v>#VALUE!</v>
      </c>
      <c r="N394" s="1601" t="e">
        <f t="shared" si="122"/>
        <v>#VALUE!</v>
      </c>
      <c r="O394" s="1601" t="e">
        <f t="shared" si="122"/>
        <v>#VALUE!</v>
      </c>
      <c r="P394" s="1601" t="e">
        <f t="shared" si="122"/>
        <v>#VALUE!</v>
      </c>
      <c r="Q394" s="1601" t="e">
        <f t="shared" si="122"/>
        <v>#VALUE!</v>
      </c>
      <c r="R394" s="1601" t="e">
        <f t="shared" si="122"/>
        <v>#VALUE!</v>
      </c>
      <c r="S394" s="1601" t="e">
        <f t="shared" si="122"/>
        <v>#VALUE!</v>
      </c>
      <c r="T394" s="1601" t="e">
        <f t="shared" si="122"/>
        <v>#VALUE!</v>
      </c>
      <c r="U394" s="1601" t="e">
        <f t="shared" si="122"/>
        <v>#VALUE!</v>
      </c>
      <c r="V394" s="1601" t="e">
        <f t="shared" si="122"/>
        <v>#VALUE!</v>
      </c>
      <c r="W394" s="1601" t="e">
        <f t="shared" si="122"/>
        <v>#VALUE!</v>
      </c>
      <c r="X394" s="1601" t="e">
        <f t="shared" si="122"/>
        <v>#VALUE!</v>
      </c>
      <c r="Y394" s="1601" t="e">
        <f t="shared" si="122"/>
        <v>#VALUE!</v>
      </c>
      <c r="Z394" s="1601" t="e">
        <f t="shared" si="122"/>
        <v>#VALUE!</v>
      </c>
      <c r="AA394" s="1601" t="e">
        <f t="shared" si="122"/>
        <v>#VALUE!</v>
      </c>
      <c r="AB394" s="1601" t="e">
        <f t="shared" si="122"/>
        <v>#VALUE!</v>
      </c>
      <c r="AC394" s="1601" t="e">
        <f t="shared" si="122"/>
        <v>#VALUE!</v>
      </c>
      <c r="AD394" s="1601" t="e">
        <f t="shared" si="122"/>
        <v>#VALUE!</v>
      </c>
      <c r="AE394" s="1601" t="e">
        <f t="shared" si="122"/>
        <v>#VALUE!</v>
      </c>
      <c r="AF394" s="1601" t="e">
        <f t="shared" si="122"/>
        <v>#VALUE!</v>
      </c>
      <c r="AG394" s="1601" t="e">
        <f t="shared" si="122"/>
        <v>#VALUE!</v>
      </c>
      <c r="AH394" s="1601" t="e">
        <f t="shared" si="122"/>
        <v>#VALUE!</v>
      </c>
      <c r="AI394" s="1602" t="e">
        <f t="shared" si="122"/>
        <v>#VALUE!</v>
      </c>
      <c r="AJ394" s="1476"/>
      <c r="AK394" s="1116"/>
      <c r="AL394" s="1116"/>
      <c r="AM394" s="1116"/>
      <c r="AN394" s="1116"/>
      <c r="AO394" s="1207"/>
      <c r="AP394" s="1116"/>
      <c r="AQ394" s="2048" t="e">
        <f>IF(AQ$356=1,G$292*(1-$AV$393)*(1-$BU$305),0)</f>
        <v>#VALUE!</v>
      </c>
      <c r="AR394" s="1601" t="e">
        <f t="shared" ref="AR394:BS394" si="123">IF(AR$356=1,H$292*(1-$AV$393)*(1-$BU$305),0)</f>
        <v>#VALUE!</v>
      </c>
      <c r="AS394" s="1601" t="e">
        <f t="shared" si="123"/>
        <v>#VALUE!</v>
      </c>
      <c r="AT394" s="1601" t="e">
        <f t="shared" si="123"/>
        <v>#VALUE!</v>
      </c>
      <c r="AU394" s="1601" t="e">
        <f t="shared" si="123"/>
        <v>#VALUE!</v>
      </c>
      <c r="AV394" s="1601" t="e">
        <f t="shared" si="123"/>
        <v>#VALUE!</v>
      </c>
      <c r="AW394" s="1601" t="e">
        <f t="shared" si="123"/>
        <v>#VALUE!</v>
      </c>
      <c r="AX394" s="1601" t="e">
        <f t="shared" si="123"/>
        <v>#VALUE!</v>
      </c>
      <c r="AY394" s="1601" t="e">
        <f t="shared" si="123"/>
        <v>#VALUE!</v>
      </c>
      <c r="AZ394" s="1601" t="e">
        <f t="shared" si="123"/>
        <v>#VALUE!</v>
      </c>
      <c r="BA394" s="1601" t="e">
        <f t="shared" si="123"/>
        <v>#VALUE!</v>
      </c>
      <c r="BB394" s="1601" t="e">
        <f t="shared" si="123"/>
        <v>#VALUE!</v>
      </c>
      <c r="BC394" s="1601" t="e">
        <f t="shared" si="123"/>
        <v>#VALUE!</v>
      </c>
      <c r="BD394" s="1601" t="e">
        <f t="shared" si="123"/>
        <v>#VALUE!</v>
      </c>
      <c r="BE394" s="1601" t="e">
        <f t="shared" si="123"/>
        <v>#VALUE!</v>
      </c>
      <c r="BF394" s="1601" t="e">
        <f t="shared" si="123"/>
        <v>#VALUE!</v>
      </c>
      <c r="BG394" s="1601" t="e">
        <f t="shared" si="123"/>
        <v>#VALUE!</v>
      </c>
      <c r="BH394" s="1601" t="e">
        <f t="shared" si="123"/>
        <v>#VALUE!</v>
      </c>
      <c r="BI394" s="1601" t="e">
        <f t="shared" si="123"/>
        <v>#VALUE!</v>
      </c>
      <c r="BJ394" s="1601" t="e">
        <f t="shared" si="123"/>
        <v>#VALUE!</v>
      </c>
      <c r="BK394" s="1601" t="e">
        <f t="shared" si="123"/>
        <v>#VALUE!</v>
      </c>
      <c r="BL394" s="1601" t="e">
        <f t="shared" si="123"/>
        <v>#VALUE!</v>
      </c>
      <c r="BM394" s="1601" t="e">
        <f t="shared" si="123"/>
        <v>#VALUE!</v>
      </c>
      <c r="BN394" s="1601" t="e">
        <f t="shared" si="123"/>
        <v>#VALUE!</v>
      </c>
      <c r="BO394" s="1601" t="e">
        <f t="shared" si="123"/>
        <v>#VALUE!</v>
      </c>
      <c r="BP394" s="1601" t="e">
        <f t="shared" si="123"/>
        <v>#VALUE!</v>
      </c>
      <c r="BQ394" s="1601" t="e">
        <f t="shared" si="123"/>
        <v>#VALUE!</v>
      </c>
      <c r="BR394" s="1601" t="e">
        <f t="shared" si="123"/>
        <v>#VALUE!</v>
      </c>
      <c r="BS394" s="1602" t="e">
        <f t="shared" si="123"/>
        <v>#VALUE!</v>
      </c>
      <c r="BT394" s="1142"/>
      <c r="BU394" s="1478"/>
      <c r="BV394" s="1070"/>
    </row>
    <row r="395" spans="1:74" hidden="1" outlineLevel="2" x14ac:dyDescent="0.3">
      <c r="A395" s="1474"/>
      <c r="B395" s="1606" t="s">
        <v>1511</v>
      </c>
      <c r="C395" s="1226"/>
      <c r="D395" s="1226"/>
      <c r="E395" s="1226"/>
      <c r="F395" s="1226"/>
      <c r="G395" s="1607" t="e">
        <f>IF(G$356=1,AQ$292*(1-$L$393)*(1-$BU$305),0)</f>
        <v>#VALUE!</v>
      </c>
      <c r="H395" s="1608" t="e">
        <f t="shared" ref="H395:AI395" si="124">IF(H$356=1,AR$292*(1-$L$393)*(1-$BU$305),0)</f>
        <v>#VALUE!</v>
      </c>
      <c r="I395" s="1608" t="e">
        <f t="shared" si="124"/>
        <v>#VALUE!</v>
      </c>
      <c r="J395" s="1608" t="e">
        <f t="shared" si="124"/>
        <v>#VALUE!</v>
      </c>
      <c r="K395" s="1608" t="e">
        <f t="shared" si="124"/>
        <v>#VALUE!</v>
      </c>
      <c r="L395" s="1608" t="e">
        <f t="shared" si="124"/>
        <v>#VALUE!</v>
      </c>
      <c r="M395" s="1608" t="e">
        <f t="shared" si="124"/>
        <v>#VALUE!</v>
      </c>
      <c r="N395" s="1608" t="e">
        <f t="shared" si="124"/>
        <v>#VALUE!</v>
      </c>
      <c r="O395" s="1608" t="e">
        <f t="shared" si="124"/>
        <v>#VALUE!</v>
      </c>
      <c r="P395" s="1608" t="e">
        <f t="shared" si="124"/>
        <v>#VALUE!</v>
      </c>
      <c r="Q395" s="1608" t="e">
        <f t="shared" si="124"/>
        <v>#VALUE!</v>
      </c>
      <c r="R395" s="1608" t="e">
        <f t="shared" si="124"/>
        <v>#VALUE!</v>
      </c>
      <c r="S395" s="1608" t="e">
        <f t="shared" si="124"/>
        <v>#VALUE!</v>
      </c>
      <c r="T395" s="1608" t="e">
        <f t="shared" si="124"/>
        <v>#VALUE!</v>
      </c>
      <c r="U395" s="1608" t="e">
        <f t="shared" si="124"/>
        <v>#VALUE!</v>
      </c>
      <c r="V395" s="1608" t="e">
        <f t="shared" si="124"/>
        <v>#VALUE!</v>
      </c>
      <c r="W395" s="1608" t="e">
        <f t="shared" si="124"/>
        <v>#VALUE!</v>
      </c>
      <c r="X395" s="1608" t="e">
        <f t="shared" si="124"/>
        <v>#VALUE!</v>
      </c>
      <c r="Y395" s="1608" t="e">
        <f t="shared" si="124"/>
        <v>#VALUE!</v>
      </c>
      <c r="Z395" s="1608" t="e">
        <f t="shared" si="124"/>
        <v>#VALUE!</v>
      </c>
      <c r="AA395" s="1608" t="e">
        <f t="shared" si="124"/>
        <v>#VALUE!</v>
      </c>
      <c r="AB395" s="1608" t="e">
        <f t="shared" si="124"/>
        <v>#VALUE!</v>
      </c>
      <c r="AC395" s="1608" t="e">
        <f t="shared" si="124"/>
        <v>#VALUE!</v>
      </c>
      <c r="AD395" s="1608" t="e">
        <f t="shared" si="124"/>
        <v>#VALUE!</v>
      </c>
      <c r="AE395" s="1608" t="e">
        <f t="shared" si="124"/>
        <v>#VALUE!</v>
      </c>
      <c r="AF395" s="1608" t="e">
        <f t="shared" si="124"/>
        <v>#VALUE!</v>
      </c>
      <c r="AG395" s="1608" t="e">
        <f t="shared" si="124"/>
        <v>#VALUE!</v>
      </c>
      <c r="AH395" s="1608" t="e">
        <f t="shared" si="124"/>
        <v>#VALUE!</v>
      </c>
      <c r="AI395" s="1609" t="e">
        <f t="shared" si="124"/>
        <v>#VALUE!</v>
      </c>
      <c r="AJ395" s="1476"/>
      <c r="AK395" s="1116"/>
      <c r="AL395" s="1116"/>
      <c r="AM395" s="1116"/>
      <c r="AN395" s="1116"/>
      <c r="AO395" s="1207"/>
      <c r="AP395" s="1116"/>
      <c r="AQ395" s="2049" t="e">
        <f>IF(AQ$356=1,AQ$292*(1-$AV$393)*(1-$BU$305),0)</f>
        <v>#VALUE!</v>
      </c>
      <c r="AR395" s="1608" t="e">
        <f t="shared" ref="AR395:BS395" si="125">IF(AR$356=1,AR$292*(1-$AV$393)*(1-$BU$305),0)</f>
        <v>#VALUE!</v>
      </c>
      <c r="AS395" s="1608" t="e">
        <f t="shared" si="125"/>
        <v>#VALUE!</v>
      </c>
      <c r="AT395" s="1608" t="e">
        <f t="shared" si="125"/>
        <v>#VALUE!</v>
      </c>
      <c r="AU395" s="1608" t="e">
        <f t="shared" si="125"/>
        <v>#VALUE!</v>
      </c>
      <c r="AV395" s="1608" t="e">
        <f t="shared" si="125"/>
        <v>#VALUE!</v>
      </c>
      <c r="AW395" s="1608" t="e">
        <f t="shared" si="125"/>
        <v>#VALUE!</v>
      </c>
      <c r="AX395" s="1608" t="e">
        <f t="shared" si="125"/>
        <v>#VALUE!</v>
      </c>
      <c r="AY395" s="1608" t="e">
        <f t="shared" si="125"/>
        <v>#VALUE!</v>
      </c>
      <c r="AZ395" s="1608" t="e">
        <f t="shared" si="125"/>
        <v>#VALUE!</v>
      </c>
      <c r="BA395" s="1608" t="e">
        <f t="shared" si="125"/>
        <v>#VALUE!</v>
      </c>
      <c r="BB395" s="1608" t="e">
        <f t="shared" si="125"/>
        <v>#VALUE!</v>
      </c>
      <c r="BC395" s="1608" t="e">
        <f t="shared" si="125"/>
        <v>#VALUE!</v>
      </c>
      <c r="BD395" s="1608" t="e">
        <f t="shared" si="125"/>
        <v>#VALUE!</v>
      </c>
      <c r="BE395" s="1608" t="e">
        <f t="shared" si="125"/>
        <v>#VALUE!</v>
      </c>
      <c r="BF395" s="1608" t="e">
        <f t="shared" si="125"/>
        <v>#VALUE!</v>
      </c>
      <c r="BG395" s="1608" t="e">
        <f t="shared" si="125"/>
        <v>#VALUE!</v>
      </c>
      <c r="BH395" s="1608" t="e">
        <f t="shared" si="125"/>
        <v>#VALUE!</v>
      </c>
      <c r="BI395" s="1608" t="e">
        <f t="shared" si="125"/>
        <v>#VALUE!</v>
      </c>
      <c r="BJ395" s="1608" t="e">
        <f t="shared" si="125"/>
        <v>#VALUE!</v>
      </c>
      <c r="BK395" s="1608" t="e">
        <f t="shared" si="125"/>
        <v>#VALUE!</v>
      </c>
      <c r="BL395" s="1608" t="e">
        <f t="shared" si="125"/>
        <v>#VALUE!</v>
      </c>
      <c r="BM395" s="1608" t="e">
        <f t="shared" si="125"/>
        <v>#VALUE!</v>
      </c>
      <c r="BN395" s="1608" t="e">
        <f t="shared" si="125"/>
        <v>#VALUE!</v>
      </c>
      <c r="BO395" s="1608" t="e">
        <f t="shared" si="125"/>
        <v>#VALUE!</v>
      </c>
      <c r="BP395" s="1608" t="e">
        <f t="shared" si="125"/>
        <v>#VALUE!</v>
      </c>
      <c r="BQ395" s="1608" t="e">
        <f t="shared" si="125"/>
        <v>#VALUE!</v>
      </c>
      <c r="BR395" s="1608" t="e">
        <f t="shared" si="125"/>
        <v>#VALUE!</v>
      </c>
      <c r="BS395" s="1609" t="e">
        <f t="shared" si="125"/>
        <v>#VALUE!</v>
      </c>
      <c r="BT395" s="1142"/>
      <c r="BU395" s="1478"/>
      <c r="BV395" s="1070"/>
    </row>
    <row r="396" spans="1:74" hidden="1" outlineLevel="2" x14ac:dyDescent="0.3">
      <c r="A396" s="1474"/>
      <c r="B396" s="1207"/>
      <c r="C396" s="1116"/>
      <c r="D396" s="1116"/>
      <c r="E396" s="1116"/>
      <c r="F396" s="1116"/>
      <c r="G396" s="1604"/>
      <c r="H396" s="1604"/>
      <c r="I396" s="1604"/>
      <c r="J396" s="1604"/>
      <c r="K396" s="1604"/>
      <c r="L396" s="1604"/>
      <c r="M396" s="1604"/>
      <c r="N396" s="1604"/>
      <c r="O396" s="1604"/>
      <c r="P396" s="1604"/>
      <c r="Q396" s="1604"/>
      <c r="R396" s="1604"/>
      <c r="S396" s="1604"/>
      <c r="T396" s="1604"/>
      <c r="U396" s="1604"/>
      <c r="V396" s="1604"/>
      <c r="W396" s="1604"/>
      <c r="X396" s="1604"/>
      <c r="Y396" s="1604"/>
      <c r="Z396" s="1604"/>
      <c r="AA396" s="1604"/>
      <c r="AB396" s="1604"/>
      <c r="AC396" s="1604"/>
      <c r="AD396" s="1604"/>
      <c r="AE396" s="1604"/>
      <c r="AF396" s="1604"/>
      <c r="AG396" s="1604"/>
      <c r="AH396" s="1604"/>
      <c r="AI396" s="1605"/>
      <c r="AJ396" s="1476"/>
      <c r="AK396" s="1116"/>
      <c r="AL396" s="1116"/>
      <c r="AM396" s="1116"/>
      <c r="AN396" s="1116"/>
      <c r="AO396" s="1207"/>
      <c r="AP396" s="1116"/>
      <c r="AQ396" s="2050"/>
      <c r="AR396" s="1604"/>
      <c r="AS396" s="1604"/>
      <c r="AT396" s="1604"/>
      <c r="AU396" s="1604"/>
      <c r="AV396" s="1604"/>
      <c r="AW396" s="1604"/>
      <c r="AX396" s="1604"/>
      <c r="AY396" s="1604"/>
      <c r="AZ396" s="1604"/>
      <c r="BA396" s="1604"/>
      <c r="BB396" s="1604"/>
      <c r="BC396" s="1604"/>
      <c r="BD396" s="1604"/>
      <c r="BE396" s="1604"/>
      <c r="BF396" s="1604"/>
      <c r="BG396" s="1604"/>
      <c r="BH396" s="1604"/>
      <c r="BI396" s="1604"/>
      <c r="BJ396" s="1604"/>
      <c r="BK396" s="1604"/>
      <c r="BL396" s="1604"/>
      <c r="BM396" s="1604"/>
      <c r="BN396" s="1604"/>
      <c r="BO396" s="1604"/>
      <c r="BP396" s="1604"/>
      <c r="BQ396" s="1604"/>
      <c r="BR396" s="1604"/>
      <c r="BS396" s="1605"/>
      <c r="BT396" s="1142"/>
      <c r="BU396" s="1478"/>
      <c r="BV396" s="1070"/>
    </row>
    <row r="397" spans="1:74" hidden="1" outlineLevel="2" x14ac:dyDescent="0.3">
      <c r="A397" s="1474"/>
      <c r="B397" s="1598" t="s">
        <v>1370</v>
      </c>
      <c r="C397" s="1116"/>
      <c r="D397" s="1116"/>
      <c r="E397" s="1116"/>
      <c r="F397" s="1116"/>
      <c r="G397" s="1604"/>
      <c r="H397" s="1604"/>
      <c r="I397" s="1604"/>
      <c r="J397" s="1604"/>
      <c r="K397" s="1604"/>
      <c r="L397" s="1604"/>
      <c r="M397" s="1604"/>
      <c r="N397" s="1604"/>
      <c r="O397" s="1604"/>
      <c r="P397" s="1604"/>
      <c r="Q397" s="1604"/>
      <c r="R397" s="1604"/>
      <c r="S397" s="1604"/>
      <c r="T397" s="1604"/>
      <c r="U397" s="1604"/>
      <c r="V397" s="1604"/>
      <c r="W397" s="1604"/>
      <c r="X397" s="1604"/>
      <c r="Y397" s="1604"/>
      <c r="Z397" s="1604"/>
      <c r="AA397" s="1604"/>
      <c r="AB397" s="1604"/>
      <c r="AC397" s="1604"/>
      <c r="AD397" s="1604"/>
      <c r="AE397" s="1604"/>
      <c r="AF397" s="1604"/>
      <c r="AG397" s="1604"/>
      <c r="AH397" s="1604"/>
      <c r="AI397" s="1605"/>
      <c r="AJ397" s="1476"/>
      <c r="AK397" s="1116"/>
      <c r="AL397" s="1116"/>
      <c r="AM397" s="1116"/>
      <c r="AN397" s="1116"/>
      <c r="AO397" s="1207"/>
      <c r="AP397" s="1116"/>
      <c r="AQ397" s="2050"/>
      <c r="AR397" s="1604"/>
      <c r="AS397" s="1604"/>
      <c r="AT397" s="1604"/>
      <c r="AU397" s="1604"/>
      <c r="AV397" s="1604"/>
      <c r="AW397" s="1604"/>
      <c r="AX397" s="1604"/>
      <c r="AY397" s="1604"/>
      <c r="AZ397" s="1604"/>
      <c r="BA397" s="1604"/>
      <c r="BB397" s="1604"/>
      <c r="BC397" s="1604"/>
      <c r="BD397" s="1604"/>
      <c r="BE397" s="1604"/>
      <c r="BF397" s="1604"/>
      <c r="BG397" s="1604"/>
      <c r="BH397" s="1604"/>
      <c r="BI397" s="1604"/>
      <c r="BJ397" s="1604"/>
      <c r="BK397" s="1604"/>
      <c r="BL397" s="1604"/>
      <c r="BM397" s="1604"/>
      <c r="BN397" s="1604"/>
      <c r="BO397" s="1604"/>
      <c r="BP397" s="1604"/>
      <c r="BQ397" s="1604"/>
      <c r="BR397" s="1604"/>
      <c r="BS397" s="1605"/>
      <c r="BT397" s="1142"/>
      <c r="BU397" s="1478"/>
      <c r="BV397" s="1070"/>
    </row>
    <row r="398" spans="1:74" hidden="1" outlineLevel="2" x14ac:dyDescent="0.3">
      <c r="A398" s="1474"/>
      <c r="B398" s="1207" t="s">
        <v>1510</v>
      </c>
      <c r="C398" s="1116"/>
      <c r="D398" s="1116"/>
      <c r="E398" s="1116"/>
      <c r="F398" s="1116"/>
      <c r="G398" s="1600" t="e">
        <f>-IF(G$356=1,G$292*$I$393*(1-$BU$305),0)</f>
        <v>#VALUE!</v>
      </c>
      <c r="H398" s="1601" t="e">
        <f t="shared" ref="H398:AI398" si="126">-IF(H$356=1,H$292*$I$393*(1-$BU$305),0)</f>
        <v>#VALUE!</v>
      </c>
      <c r="I398" s="1601" t="e">
        <f t="shared" si="126"/>
        <v>#VALUE!</v>
      </c>
      <c r="J398" s="1601" t="e">
        <f t="shared" si="126"/>
        <v>#VALUE!</v>
      </c>
      <c r="K398" s="1601" t="e">
        <f t="shared" si="126"/>
        <v>#VALUE!</v>
      </c>
      <c r="L398" s="1601" t="e">
        <f t="shared" si="126"/>
        <v>#VALUE!</v>
      </c>
      <c r="M398" s="1601" t="e">
        <f t="shared" si="126"/>
        <v>#VALUE!</v>
      </c>
      <c r="N398" s="1601" t="e">
        <f t="shared" si="126"/>
        <v>#VALUE!</v>
      </c>
      <c r="O398" s="1601" t="e">
        <f t="shared" si="126"/>
        <v>#VALUE!</v>
      </c>
      <c r="P398" s="1601" t="e">
        <f t="shared" si="126"/>
        <v>#VALUE!</v>
      </c>
      <c r="Q398" s="1601" t="e">
        <f t="shared" si="126"/>
        <v>#VALUE!</v>
      </c>
      <c r="R398" s="1601" t="e">
        <f t="shared" si="126"/>
        <v>#VALUE!</v>
      </c>
      <c r="S398" s="1601" t="e">
        <f t="shared" si="126"/>
        <v>#VALUE!</v>
      </c>
      <c r="T398" s="1601" t="e">
        <f t="shared" si="126"/>
        <v>#VALUE!</v>
      </c>
      <c r="U398" s="1601" t="e">
        <f t="shared" si="126"/>
        <v>#VALUE!</v>
      </c>
      <c r="V398" s="1601" t="e">
        <f t="shared" si="126"/>
        <v>#VALUE!</v>
      </c>
      <c r="W398" s="1601" t="e">
        <f t="shared" si="126"/>
        <v>#VALUE!</v>
      </c>
      <c r="X398" s="1601" t="e">
        <f t="shared" si="126"/>
        <v>#VALUE!</v>
      </c>
      <c r="Y398" s="1601" t="e">
        <f t="shared" si="126"/>
        <v>#VALUE!</v>
      </c>
      <c r="Z398" s="1601" t="e">
        <f t="shared" si="126"/>
        <v>#VALUE!</v>
      </c>
      <c r="AA398" s="1601" t="e">
        <f t="shared" si="126"/>
        <v>#VALUE!</v>
      </c>
      <c r="AB398" s="1601" t="e">
        <f t="shared" si="126"/>
        <v>#VALUE!</v>
      </c>
      <c r="AC398" s="1601" t="e">
        <f t="shared" si="126"/>
        <v>#VALUE!</v>
      </c>
      <c r="AD398" s="1601" t="e">
        <f t="shared" si="126"/>
        <v>#VALUE!</v>
      </c>
      <c r="AE398" s="1601" t="e">
        <f t="shared" si="126"/>
        <v>#VALUE!</v>
      </c>
      <c r="AF398" s="1601" t="e">
        <f t="shared" si="126"/>
        <v>#VALUE!</v>
      </c>
      <c r="AG398" s="1601" t="e">
        <f t="shared" si="126"/>
        <v>#VALUE!</v>
      </c>
      <c r="AH398" s="1601" t="e">
        <f t="shared" si="126"/>
        <v>#VALUE!</v>
      </c>
      <c r="AI398" s="1602" t="e">
        <f t="shared" si="126"/>
        <v>#VALUE!</v>
      </c>
      <c r="AJ398" s="1476"/>
      <c r="AK398" s="1116"/>
      <c r="AL398" s="1116"/>
      <c r="AM398" s="1116"/>
      <c r="AN398" s="1116"/>
      <c r="AO398" s="1207"/>
      <c r="AP398" s="1116"/>
      <c r="AQ398" s="2048" t="e">
        <f>-IF(AQ$356=1,G$292*$AS$393*(1-$BU$305),0)</f>
        <v>#VALUE!</v>
      </c>
      <c r="AR398" s="1601" t="e">
        <f t="shared" ref="AR398:BS398" si="127">-IF(AR$356=1,H$292*$AS$393*(1-$BU$305),0)</f>
        <v>#VALUE!</v>
      </c>
      <c r="AS398" s="1601" t="e">
        <f t="shared" si="127"/>
        <v>#VALUE!</v>
      </c>
      <c r="AT398" s="1601" t="e">
        <f t="shared" si="127"/>
        <v>#VALUE!</v>
      </c>
      <c r="AU398" s="1601" t="e">
        <f t="shared" si="127"/>
        <v>#VALUE!</v>
      </c>
      <c r="AV398" s="1601" t="e">
        <f t="shared" si="127"/>
        <v>#VALUE!</v>
      </c>
      <c r="AW398" s="1601" t="e">
        <f t="shared" si="127"/>
        <v>#VALUE!</v>
      </c>
      <c r="AX398" s="1601" t="e">
        <f t="shared" si="127"/>
        <v>#VALUE!</v>
      </c>
      <c r="AY398" s="1601" t="e">
        <f t="shared" si="127"/>
        <v>#VALUE!</v>
      </c>
      <c r="AZ398" s="1601" t="e">
        <f t="shared" si="127"/>
        <v>#VALUE!</v>
      </c>
      <c r="BA398" s="1601" t="e">
        <f t="shared" si="127"/>
        <v>#VALUE!</v>
      </c>
      <c r="BB398" s="1601" t="e">
        <f t="shared" si="127"/>
        <v>#VALUE!</v>
      </c>
      <c r="BC398" s="1601" t="e">
        <f t="shared" si="127"/>
        <v>#VALUE!</v>
      </c>
      <c r="BD398" s="1601" t="e">
        <f t="shared" si="127"/>
        <v>#VALUE!</v>
      </c>
      <c r="BE398" s="1601" t="e">
        <f t="shared" si="127"/>
        <v>#VALUE!</v>
      </c>
      <c r="BF398" s="1601" t="e">
        <f t="shared" si="127"/>
        <v>#VALUE!</v>
      </c>
      <c r="BG398" s="1601" t="e">
        <f t="shared" si="127"/>
        <v>#VALUE!</v>
      </c>
      <c r="BH398" s="1601" t="e">
        <f t="shared" si="127"/>
        <v>#VALUE!</v>
      </c>
      <c r="BI398" s="1601" t="e">
        <f t="shared" si="127"/>
        <v>#VALUE!</v>
      </c>
      <c r="BJ398" s="1601" t="e">
        <f t="shared" si="127"/>
        <v>#VALUE!</v>
      </c>
      <c r="BK398" s="1601" t="e">
        <f t="shared" si="127"/>
        <v>#VALUE!</v>
      </c>
      <c r="BL398" s="1601" t="e">
        <f t="shared" si="127"/>
        <v>#VALUE!</v>
      </c>
      <c r="BM398" s="1601" t="e">
        <f t="shared" si="127"/>
        <v>#VALUE!</v>
      </c>
      <c r="BN398" s="1601" t="e">
        <f t="shared" si="127"/>
        <v>#VALUE!</v>
      </c>
      <c r="BO398" s="1601" t="e">
        <f t="shared" si="127"/>
        <v>#VALUE!</v>
      </c>
      <c r="BP398" s="1601" t="e">
        <f t="shared" si="127"/>
        <v>#VALUE!</v>
      </c>
      <c r="BQ398" s="1601" t="e">
        <f t="shared" si="127"/>
        <v>#VALUE!</v>
      </c>
      <c r="BR398" s="1601" t="e">
        <f t="shared" si="127"/>
        <v>#VALUE!</v>
      </c>
      <c r="BS398" s="1602" t="e">
        <f t="shared" si="127"/>
        <v>#VALUE!</v>
      </c>
      <c r="BT398" s="1142"/>
      <c r="BU398" s="1478"/>
      <c r="BV398" s="1070"/>
    </row>
    <row r="399" spans="1:74" hidden="1" outlineLevel="2" x14ac:dyDescent="0.3">
      <c r="A399" s="1474"/>
      <c r="B399" s="1150" t="s">
        <v>1511</v>
      </c>
      <c r="C399" s="1232"/>
      <c r="D399" s="1232"/>
      <c r="E399" s="1232"/>
      <c r="F399" s="1232"/>
      <c r="G399" s="1652" t="e">
        <f>-IF(G$356=1,G$292*$L$393*(1-$BU$305),0)</f>
        <v>#VALUE!</v>
      </c>
      <c r="H399" s="1653" t="e">
        <f t="shared" ref="H399:AI399" si="128">-IF(H$356=1,H$292*$L$393*(1-$BU$305),0)</f>
        <v>#VALUE!</v>
      </c>
      <c r="I399" s="1653" t="e">
        <f t="shared" si="128"/>
        <v>#VALUE!</v>
      </c>
      <c r="J399" s="1653" t="e">
        <f t="shared" si="128"/>
        <v>#VALUE!</v>
      </c>
      <c r="K399" s="1653" t="e">
        <f t="shared" si="128"/>
        <v>#VALUE!</v>
      </c>
      <c r="L399" s="1653" t="e">
        <f t="shared" si="128"/>
        <v>#VALUE!</v>
      </c>
      <c r="M399" s="1653" t="e">
        <f t="shared" si="128"/>
        <v>#VALUE!</v>
      </c>
      <c r="N399" s="1653" t="e">
        <f t="shared" si="128"/>
        <v>#VALUE!</v>
      </c>
      <c r="O399" s="1653" t="e">
        <f t="shared" si="128"/>
        <v>#VALUE!</v>
      </c>
      <c r="P399" s="1653" t="e">
        <f t="shared" si="128"/>
        <v>#VALUE!</v>
      </c>
      <c r="Q399" s="1653" t="e">
        <f t="shared" si="128"/>
        <v>#VALUE!</v>
      </c>
      <c r="R399" s="1653" t="e">
        <f t="shared" si="128"/>
        <v>#VALUE!</v>
      </c>
      <c r="S399" s="1653" t="e">
        <f t="shared" si="128"/>
        <v>#VALUE!</v>
      </c>
      <c r="T399" s="1653" t="e">
        <f t="shared" si="128"/>
        <v>#VALUE!</v>
      </c>
      <c r="U399" s="1653" t="e">
        <f t="shared" si="128"/>
        <v>#VALUE!</v>
      </c>
      <c r="V399" s="1653" t="e">
        <f t="shared" si="128"/>
        <v>#VALUE!</v>
      </c>
      <c r="W399" s="1653" t="e">
        <f t="shared" si="128"/>
        <v>#VALUE!</v>
      </c>
      <c r="X399" s="1653" t="e">
        <f t="shared" si="128"/>
        <v>#VALUE!</v>
      </c>
      <c r="Y399" s="1653" t="e">
        <f t="shared" si="128"/>
        <v>#VALUE!</v>
      </c>
      <c r="Z399" s="1653" t="e">
        <f t="shared" si="128"/>
        <v>#VALUE!</v>
      </c>
      <c r="AA399" s="1653" t="e">
        <f t="shared" si="128"/>
        <v>#VALUE!</v>
      </c>
      <c r="AB399" s="1653" t="e">
        <f t="shared" si="128"/>
        <v>#VALUE!</v>
      </c>
      <c r="AC399" s="1653" t="e">
        <f t="shared" si="128"/>
        <v>#VALUE!</v>
      </c>
      <c r="AD399" s="1653" t="e">
        <f t="shared" si="128"/>
        <v>#VALUE!</v>
      </c>
      <c r="AE399" s="1653" t="e">
        <f t="shared" si="128"/>
        <v>#VALUE!</v>
      </c>
      <c r="AF399" s="1653" t="e">
        <f t="shared" si="128"/>
        <v>#VALUE!</v>
      </c>
      <c r="AG399" s="1653" t="e">
        <f t="shared" si="128"/>
        <v>#VALUE!</v>
      </c>
      <c r="AH399" s="1653" t="e">
        <f t="shared" si="128"/>
        <v>#VALUE!</v>
      </c>
      <c r="AI399" s="1654" t="e">
        <f t="shared" si="128"/>
        <v>#VALUE!</v>
      </c>
      <c r="AJ399" s="1476"/>
      <c r="AK399" s="1116"/>
      <c r="AL399" s="1116"/>
      <c r="AM399" s="1116"/>
      <c r="AN399" s="1116"/>
      <c r="AO399" s="1207"/>
      <c r="AP399" s="1116"/>
      <c r="AQ399" s="2051" t="e">
        <f>-IF(AQ$356=1,G$292*$AV$393*(1-$BU$305),0)</f>
        <v>#VALUE!</v>
      </c>
      <c r="AR399" s="1653" t="e">
        <f t="shared" ref="AR399:BS399" si="129">-IF(AR$356=1,H$292*$AV$393*(1-$BU$305),0)</f>
        <v>#VALUE!</v>
      </c>
      <c r="AS399" s="1653" t="e">
        <f t="shared" si="129"/>
        <v>#VALUE!</v>
      </c>
      <c r="AT399" s="1653" t="e">
        <f t="shared" si="129"/>
        <v>#VALUE!</v>
      </c>
      <c r="AU399" s="1653" t="e">
        <f t="shared" si="129"/>
        <v>#VALUE!</v>
      </c>
      <c r="AV399" s="1653" t="e">
        <f t="shared" si="129"/>
        <v>#VALUE!</v>
      </c>
      <c r="AW399" s="1653" t="e">
        <f t="shared" si="129"/>
        <v>#VALUE!</v>
      </c>
      <c r="AX399" s="1653" t="e">
        <f t="shared" si="129"/>
        <v>#VALUE!</v>
      </c>
      <c r="AY399" s="1653" t="e">
        <f t="shared" si="129"/>
        <v>#VALUE!</v>
      </c>
      <c r="AZ399" s="1653" t="e">
        <f t="shared" si="129"/>
        <v>#VALUE!</v>
      </c>
      <c r="BA399" s="1653" t="e">
        <f t="shared" si="129"/>
        <v>#VALUE!</v>
      </c>
      <c r="BB399" s="1653" t="e">
        <f t="shared" si="129"/>
        <v>#VALUE!</v>
      </c>
      <c r="BC399" s="1653" t="e">
        <f t="shared" si="129"/>
        <v>#VALUE!</v>
      </c>
      <c r="BD399" s="1653" t="e">
        <f t="shared" si="129"/>
        <v>#VALUE!</v>
      </c>
      <c r="BE399" s="1653" t="e">
        <f t="shared" si="129"/>
        <v>#VALUE!</v>
      </c>
      <c r="BF399" s="1653" t="e">
        <f t="shared" si="129"/>
        <v>#VALUE!</v>
      </c>
      <c r="BG399" s="1653" t="e">
        <f t="shared" si="129"/>
        <v>#VALUE!</v>
      </c>
      <c r="BH399" s="1653" t="e">
        <f t="shared" si="129"/>
        <v>#VALUE!</v>
      </c>
      <c r="BI399" s="1653" t="e">
        <f t="shared" si="129"/>
        <v>#VALUE!</v>
      </c>
      <c r="BJ399" s="1653" t="e">
        <f t="shared" si="129"/>
        <v>#VALUE!</v>
      </c>
      <c r="BK399" s="1653" t="e">
        <f t="shared" si="129"/>
        <v>#VALUE!</v>
      </c>
      <c r="BL399" s="1653" t="e">
        <f t="shared" si="129"/>
        <v>#VALUE!</v>
      </c>
      <c r="BM399" s="1653" t="e">
        <f t="shared" si="129"/>
        <v>#VALUE!</v>
      </c>
      <c r="BN399" s="1653" t="e">
        <f t="shared" si="129"/>
        <v>#VALUE!</v>
      </c>
      <c r="BO399" s="1653" t="e">
        <f t="shared" si="129"/>
        <v>#VALUE!</v>
      </c>
      <c r="BP399" s="1653" t="e">
        <f t="shared" si="129"/>
        <v>#VALUE!</v>
      </c>
      <c r="BQ399" s="1653" t="e">
        <f t="shared" si="129"/>
        <v>#VALUE!</v>
      </c>
      <c r="BR399" s="1653" t="e">
        <f t="shared" si="129"/>
        <v>#VALUE!</v>
      </c>
      <c r="BS399" s="1654" t="e">
        <f t="shared" si="129"/>
        <v>#VALUE!</v>
      </c>
      <c r="BT399" s="1142"/>
      <c r="BU399" s="1478"/>
      <c r="BV399" s="1070"/>
    </row>
    <row r="400" spans="1:74" outlineLevel="1" collapsed="1" x14ac:dyDescent="0.3">
      <c r="A400" s="1527"/>
      <c r="B400" s="1142"/>
      <c r="C400" s="1142"/>
      <c r="D400" s="1142"/>
      <c r="E400" s="1142"/>
      <c r="F400" s="1142"/>
      <c r="G400" s="1142"/>
      <c r="H400" s="1142"/>
      <c r="I400" s="1142"/>
      <c r="J400" s="1142"/>
      <c r="K400" s="1142"/>
      <c r="L400" s="1142"/>
      <c r="M400" s="1142"/>
      <c r="N400" s="1142"/>
      <c r="O400" s="1142"/>
      <c r="P400" s="1142"/>
      <c r="Q400" s="1142"/>
      <c r="R400" s="1142"/>
      <c r="S400" s="1142"/>
      <c r="T400" s="1142"/>
      <c r="U400" s="1142"/>
      <c r="V400" s="1142"/>
      <c r="W400" s="1142"/>
      <c r="X400" s="1142"/>
      <c r="Y400" s="1142"/>
      <c r="Z400" s="1142"/>
      <c r="AA400" s="1142"/>
      <c r="AB400" s="1142"/>
      <c r="AC400" s="1142"/>
      <c r="AD400" s="1142"/>
      <c r="AE400" s="1142"/>
      <c r="AF400" s="1142"/>
      <c r="AG400" s="1142"/>
      <c r="AH400" s="1142"/>
      <c r="AI400" s="1142"/>
      <c r="AJ400" s="1564"/>
      <c r="AK400" s="1142"/>
      <c r="AL400" s="1142"/>
      <c r="AM400" s="1142"/>
      <c r="AN400" s="1142"/>
      <c r="AO400" s="1149"/>
      <c r="AP400" s="1142"/>
      <c r="AQ400" s="1142"/>
      <c r="AR400" s="1142"/>
      <c r="AS400" s="1142"/>
      <c r="AT400" s="1142"/>
      <c r="AU400" s="1142"/>
      <c r="AV400" s="1142"/>
      <c r="AW400" s="1142"/>
      <c r="AX400" s="1142"/>
      <c r="AY400" s="1142"/>
      <c r="AZ400" s="1142"/>
      <c r="BA400" s="1142"/>
      <c r="BB400" s="1142"/>
      <c r="BC400" s="1142"/>
      <c r="BD400" s="1142"/>
      <c r="BE400" s="1142"/>
      <c r="BF400" s="1142"/>
      <c r="BG400" s="1142"/>
      <c r="BH400" s="1142"/>
      <c r="BI400" s="1142"/>
      <c r="BJ400" s="1142"/>
      <c r="BK400" s="1142"/>
      <c r="BL400" s="1142"/>
      <c r="BM400" s="1142"/>
      <c r="BN400" s="1142"/>
      <c r="BO400" s="1142"/>
      <c r="BP400" s="1142"/>
      <c r="BQ400" s="1142"/>
      <c r="BR400" s="1142"/>
      <c r="BS400" s="1142"/>
      <c r="BT400" s="1142"/>
      <c r="BU400" s="1478"/>
      <c r="BV400" s="1070"/>
    </row>
    <row r="401" spans="1:74" outlineLevel="1" x14ac:dyDescent="0.3">
      <c r="A401" s="1527"/>
      <c r="B401" s="1142"/>
      <c r="C401" s="1142"/>
      <c r="D401" s="1142"/>
      <c r="E401" s="1142"/>
      <c r="F401" s="1142"/>
      <c r="G401" s="1142"/>
      <c r="H401" s="1142"/>
      <c r="I401" s="1142"/>
      <c r="J401" s="1142"/>
      <c r="K401" s="1142"/>
      <c r="L401" s="1142"/>
      <c r="M401" s="1142"/>
      <c r="N401" s="1142"/>
      <c r="O401" s="1142"/>
      <c r="P401" s="1142"/>
      <c r="Q401" s="1142"/>
      <c r="R401" s="1142"/>
      <c r="S401" s="1142"/>
      <c r="T401" s="1142"/>
      <c r="U401" s="1142"/>
      <c r="V401" s="1142"/>
      <c r="W401" s="1142"/>
      <c r="X401" s="1142"/>
      <c r="Y401" s="1142"/>
      <c r="Z401" s="1142"/>
      <c r="AA401" s="1142"/>
      <c r="AB401" s="1142"/>
      <c r="AC401" s="1142"/>
      <c r="AD401" s="1142"/>
      <c r="AE401" s="1142"/>
      <c r="AF401" s="1142"/>
      <c r="AG401" s="1142"/>
      <c r="AH401" s="1142"/>
      <c r="AI401" s="1142"/>
      <c r="AJ401" s="1564"/>
      <c r="AK401" s="1142"/>
      <c r="AL401" s="1142"/>
      <c r="AM401" s="1142"/>
      <c r="AN401" s="1142"/>
      <c r="AO401" s="1149"/>
      <c r="AP401" s="1142"/>
      <c r="AQ401" s="1142"/>
      <c r="AR401" s="1142"/>
      <c r="AS401" s="1142"/>
      <c r="AT401" s="1142"/>
      <c r="AU401" s="1142"/>
      <c r="AV401" s="1142"/>
      <c r="AW401" s="1142"/>
      <c r="AX401" s="1142"/>
      <c r="AY401" s="1142"/>
      <c r="AZ401" s="1142"/>
      <c r="BA401" s="1142"/>
      <c r="BB401" s="1142"/>
      <c r="BC401" s="1142"/>
      <c r="BD401" s="1142"/>
      <c r="BE401" s="1142"/>
      <c r="BF401" s="1142"/>
      <c r="BG401" s="1142"/>
      <c r="BH401" s="1142"/>
      <c r="BI401" s="1142"/>
      <c r="BJ401" s="1142"/>
      <c r="BK401" s="1142"/>
      <c r="BL401" s="1142"/>
      <c r="BM401" s="1142"/>
      <c r="BN401" s="1142"/>
      <c r="BO401" s="1142"/>
      <c r="BP401" s="1142"/>
      <c r="BQ401" s="1142"/>
      <c r="BR401" s="1142"/>
      <c r="BS401" s="1142"/>
      <c r="BT401" s="1142"/>
      <c r="BU401" s="1478"/>
      <c r="BV401" s="1070"/>
    </row>
    <row r="402" spans="1:74" outlineLevel="1" x14ac:dyDescent="0.3">
      <c r="A402" s="1527"/>
      <c r="B402" s="1142"/>
      <c r="C402" s="1142"/>
      <c r="D402" s="1142"/>
      <c r="E402" s="1142"/>
      <c r="F402" s="1142"/>
      <c r="G402" s="1142"/>
      <c r="H402" s="1142"/>
      <c r="I402" s="1142"/>
      <c r="J402" s="1142"/>
      <c r="K402" s="1142"/>
      <c r="L402" s="1142"/>
      <c r="M402" s="1142"/>
      <c r="N402" s="1142"/>
      <c r="O402" s="1070"/>
      <c r="P402" s="1070"/>
      <c r="Q402" s="1070"/>
      <c r="R402" s="1070"/>
      <c r="S402" s="1070"/>
      <c r="T402" s="1070"/>
      <c r="U402" s="1070"/>
      <c r="V402" s="1070"/>
      <c r="W402" s="1070"/>
      <c r="X402" s="1070"/>
      <c r="Y402" s="1142"/>
      <c r="Z402" s="1142"/>
      <c r="AA402" s="1142"/>
      <c r="AB402" s="1142"/>
      <c r="AC402" s="1142"/>
      <c r="AD402" s="1142"/>
      <c r="AE402" s="1142"/>
      <c r="AF402" s="1142"/>
      <c r="AG402" s="1142"/>
      <c r="AH402" s="1142"/>
      <c r="AI402" s="1142"/>
      <c r="AJ402" s="1564"/>
      <c r="AK402" s="1142"/>
      <c r="AL402" s="1142"/>
      <c r="AM402" s="1142"/>
      <c r="AN402" s="1142"/>
      <c r="AO402" s="1149"/>
      <c r="AP402" s="1142"/>
      <c r="AQ402" s="1142"/>
      <c r="AR402" s="1142"/>
      <c r="AS402" s="1142"/>
      <c r="AT402" s="1142"/>
      <c r="AU402" s="1142"/>
      <c r="AV402" s="1142"/>
      <c r="AW402" s="1142"/>
      <c r="AX402" s="1142"/>
      <c r="AY402" s="1142"/>
      <c r="AZ402" s="1142"/>
      <c r="BA402" s="1142"/>
      <c r="BB402" s="1142"/>
      <c r="BC402" s="1142"/>
      <c r="BD402" s="1142"/>
      <c r="BE402" s="1142"/>
      <c r="BF402" s="1142"/>
      <c r="BG402" s="1142"/>
      <c r="BH402" s="1142"/>
      <c r="BI402" s="1142"/>
      <c r="BJ402" s="1142"/>
      <c r="BK402" s="1142"/>
      <c r="BL402" s="1142"/>
      <c r="BM402" s="1142"/>
      <c r="BN402" s="1142"/>
      <c r="BO402" s="1142"/>
      <c r="BP402" s="1142"/>
      <c r="BQ402" s="1142"/>
      <c r="BR402" s="1142"/>
      <c r="BS402" s="1142"/>
      <c r="BT402" s="1142"/>
      <c r="BU402" s="1478"/>
      <c r="BV402" s="1070"/>
    </row>
    <row r="403" spans="1:74" outlineLevel="1" x14ac:dyDescent="0.3">
      <c r="A403" s="1527"/>
      <c r="B403" s="1142"/>
      <c r="C403" s="1142"/>
      <c r="D403" s="1142"/>
      <c r="E403" s="1142"/>
      <c r="F403" s="1142"/>
      <c r="G403" s="1142"/>
      <c r="H403" s="1142"/>
      <c r="I403" s="1142"/>
      <c r="J403" s="1142"/>
      <c r="K403" s="1142"/>
      <c r="L403" s="1142"/>
      <c r="M403" s="1142"/>
      <c r="N403" s="1142"/>
      <c r="O403" s="1070"/>
      <c r="P403" s="1070"/>
      <c r="Q403" s="1070"/>
      <c r="R403" s="1070"/>
      <c r="S403" s="1070"/>
      <c r="T403" s="1070"/>
      <c r="U403" s="1070"/>
      <c r="V403" s="1070"/>
      <c r="W403" s="1070"/>
      <c r="X403" s="1070"/>
      <c r="Y403" s="1142"/>
      <c r="Z403" s="1142"/>
      <c r="AA403" s="1142"/>
      <c r="AB403" s="1142"/>
      <c r="AC403" s="1142"/>
      <c r="AD403" s="1142"/>
      <c r="AE403" s="1142"/>
      <c r="AF403" s="1142"/>
      <c r="AG403" s="1142"/>
      <c r="AH403" s="1142"/>
      <c r="AI403" s="1142"/>
      <c r="AJ403" s="1564"/>
      <c r="AK403" s="1142"/>
      <c r="AL403" s="1142"/>
      <c r="AM403" s="1142"/>
      <c r="AN403" s="1142"/>
      <c r="AO403" s="1149"/>
      <c r="AP403" s="1142"/>
      <c r="AQ403" s="1142"/>
      <c r="AR403" s="1142"/>
      <c r="AS403" s="1142"/>
      <c r="AT403" s="1142"/>
      <c r="AU403" s="1142"/>
      <c r="AV403" s="1142"/>
      <c r="AW403" s="1142"/>
      <c r="AX403" s="1142"/>
      <c r="AY403" s="1142"/>
      <c r="AZ403" s="1142"/>
      <c r="BA403" s="1142"/>
      <c r="BB403" s="1142"/>
      <c r="BC403" s="1142"/>
      <c r="BD403" s="1142"/>
      <c r="BE403" s="1142"/>
      <c r="BF403" s="1142"/>
      <c r="BG403" s="1142"/>
      <c r="BH403" s="1142"/>
      <c r="BI403" s="1142"/>
      <c r="BJ403" s="1142"/>
      <c r="BK403" s="1142"/>
      <c r="BL403" s="1142"/>
      <c r="BM403" s="1142"/>
      <c r="BN403" s="1142"/>
      <c r="BO403" s="1142"/>
      <c r="BP403" s="1142"/>
      <c r="BQ403" s="1142"/>
      <c r="BR403" s="1142"/>
      <c r="BS403" s="1142"/>
      <c r="BT403" s="1142"/>
      <c r="BU403" s="1478"/>
      <c r="BV403" s="1070"/>
    </row>
    <row r="404" spans="1:74" outlineLevel="1" x14ac:dyDescent="0.3">
      <c r="A404" s="1527"/>
      <c r="B404" s="1142"/>
      <c r="C404" s="1142"/>
      <c r="D404" s="1142"/>
      <c r="E404" s="1142"/>
      <c r="F404" s="1142"/>
      <c r="G404" s="1142"/>
      <c r="H404" s="1142"/>
      <c r="I404" s="1142"/>
      <c r="J404" s="1142"/>
      <c r="K404" s="1142"/>
      <c r="L404" s="1142"/>
      <c r="M404" s="1142"/>
      <c r="N404" s="1142"/>
      <c r="O404" s="1070"/>
      <c r="P404" s="1142"/>
      <c r="Q404" s="1142"/>
      <c r="R404" s="1142"/>
      <c r="S404" s="1142"/>
      <c r="T404" s="1142"/>
      <c r="U404" s="1142"/>
      <c r="V404" s="1142"/>
      <c r="W404" s="1142"/>
      <c r="X404" s="1070"/>
      <c r="Y404" s="1142"/>
      <c r="Z404" s="1142"/>
      <c r="AA404" s="1142"/>
      <c r="AB404" s="1142"/>
      <c r="AC404" s="1142"/>
      <c r="AD404" s="1142"/>
      <c r="AE404" s="1142"/>
      <c r="AF404" s="1142"/>
      <c r="AG404" s="1142"/>
      <c r="AH404" s="1142"/>
      <c r="AI404" s="1142"/>
      <c r="AJ404" s="1564"/>
      <c r="AK404" s="1142"/>
      <c r="AL404" s="1142"/>
      <c r="AM404" s="1142"/>
      <c r="AN404" s="1142"/>
      <c r="AO404" s="1149"/>
      <c r="AP404" s="1142"/>
      <c r="AQ404" s="1142"/>
      <c r="AR404" s="1142"/>
      <c r="AS404" s="1142"/>
      <c r="AT404" s="1142"/>
      <c r="AU404" s="1142"/>
      <c r="AV404" s="1142"/>
      <c r="AW404" s="1142"/>
      <c r="AX404" s="1142"/>
      <c r="AY404" s="1142"/>
      <c r="AZ404" s="1142"/>
      <c r="BA404" s="1142"/>
      <c r="BB404" s="1142"/>
      <c r="BC404" s="1142"/>
      <c r="BD404" s="1142"/>
      <c r="BE404" s="1142"/>
      <c r="BF404" s="1142"/>
      <c r="BG404" s="1142"/>
      <c r="BH404" s="1142"/>
      <c r="BI404" s="1142"/>
      <c r="BJ404" s="1142"/>
      <c r="BK404" s="1142"/>
      <c r="BL404" s="1142"/>
      <c r="BM404" s="1142"/>
      <c r="BN404" s="1142"/>
      <c r="BO404" s="1142"/>
      <c r="BP404" s="1142"/>
      <c r="BQ404" s="1142"/>
      <c r="BR404" s="1142"/>
      <c r="BS404" s="1142"/>
      <c r="BT404" s="1142"/>
      <c r="BU404" s="1478"/>
      <c r="BV404" s="1070"/>
    </row>
    <row r="405" spans="1:74" outlineLevel="1" x14ac:dyDescent="0.3">
      <c r="A405" s="1527"/>
      <c r="B405" s="1070"/>
      <c r="C405" s="1070"/>
      <c r="D405" s="1070"/>
      <c r="E405" s="1070"/>
      <c r="F405" s="1142"/>
      <c r="G405" s="1657" t="s">
        <v>1313</v>
      </c>
      <c r="H405" s="1658"/>
      <c r="I405" s="1658"/>
      <c r="J405" s="1658"/>
      <c r="K405" s="1658"/>
      <c r="L405" s="1658"/>
      <c r="M405" s="1658"/>
      <c r="N405" s="1658"/>
      <c r="O405" s="1659"/>
      <c r="P405" s="1142"/>
      <c r="Q405" s="1660"/>
      <c r="R405" s="1661"/>
      <c r="S405" s="1661"/>
      <c r="T405" s="1661"/>
      <c r="U405" s="1661"/>
      <c r="V405" s="1661"/>
      <c r="W405" s="1661"/>
      <c r="X405" s="1661"/>
      <c r="Y405" s="1661"/>
      <c r="Z405" s="1662"/>
      <c r="AA405" s="1142"/>
      <c r="AB405" s="1142"/>
      <c r="AC405" s="1142"/>
      <c r="AD405" s="1142"/>
      <c r="AE405" s="1142"/>
      <c r="AF405" s="1142"/>
      <c r="AG405" s="1142"/>
      <c r="AH405" s="1142"/>
      <c r="AI405" s="1142"/>
      <c r="AJ405" s="1564"/>
      <c r="AK405" s="1142"/>
      <c r="AL405" s="1142"/>
      <c r="AM405" s="1142"/>
      <c r="AN405" s="1142"/>
      <c r="AO405" s="1149"/>
      <c r="AP405" s="1657" t="s">
        <v>1314</v>
      </c>
      <c r="AQ405" s="1658"/>
      <c r="AR405" s="1658"/>
      <c r="AS405" s="1658"/>
      <c r="AT405" s="1658"/>
      <c r="AU405" s="1658"/>
      <c r="AV405" s="1658"/>
      <c r="AW405" s="1658"/>
      <c r="AX405" s="1659"/>
      <c r="AY405" s="1070"/>
      <c r="AZ405" s="1660"/>
      <c r="BA405" s="1661"/>
      <c r="BB405" s="1661"/>
      <c r="BC405" s="1661"/>
      <c r="BD405" s="1661"/>
      <c r="BE405" s="1661"/>
      <c r="BF405" s="1661"/>
      <c r="BG405" s="1661"/>
      <c r="BH405" s="1661"/>
      <c r="BI405" s="1662"/>
      <c r="BJ405" s="1142"/>
      <c r="BK405" s="1142"/>
      <c r="BL405" s="1142"/>
      <c r="BM405" s="1142"/>
      <c r="BN405" s="1142"/>
      <c r="BO405" s="1142"/>
      <c r="BP405" s="1142"/>
      <c r="BQ405" s="1142"/>
      <c r="BR405" s="1142"/>
      <c r="BS405" s="1142"/>
      <c r="BT405" s="1142"/>
      <c r="BU405" s="1478"/>
      <c r="BV405" s="1070"/>
    </row>
    <row r="406" spans="1:74" outlineLevel="1" x14ac:dyDescent="0.3">
      <c r="A406" s="1527"/>
      <c r="B406" s="1070"/>
      <c r="C406" s="1070"/>
      <c r="D406" s="1070"/>
      <c r="E406" s="1070"/>
      <c r="F406" s="1142"/>
      <c r="G406" s="1663" t="e">
        <f>"NPV Change Drivers "&amp;"FY"&amp;DefExitFYOrig&amp;"-"&amp;DefExitFYOrig+9</f>
        <v>#VALUE!</v>
      </c>
      <c r="H406" s="1664"/>
      <c r="I406" s="1664"/>
      <c r="J406" s="1664"/>
      <c r="K406" s="1664"/>
      <c r="L406" s="1664"/>
      <c r="M406" s="1664"/>
      <c r="N406" s="1664"/>
      <c r="O406" s="1665"/>
      <c r="P406" s="1142"/>
      <c r="Q406" s="2052" t="e">
        <f>G406</f>
        <v>#VALUE!</v>
      </c>
      <c r="R406" s="1669"/>
      <c r="S406" s="1669"/>
      <c r="T406" s="1669"/>
      <c r="U406" s="1667"/>
      <c r="V406" s="1669"/>
      <c r="W406" s="1669"/>
      <c r="X406" s="1669"/>
      <c r="Y406" s="1669"/>
      <c r="Z406" s="1670"/>
      <c r="AA406" s="1142"/>
      <c r="AB406" s="1142"/>
      <c r="AC406" s="1142"/>
      <c r="AD406" s="1142"/>
      <c r="AE406" s="1142"/>
      <c r="AF406" s="1142"/>
      <c r="AG406" s="1142"/>
      <c r="AH406" s="1142"/>
      <c r="AI406" s="1142"/>
      <c r="AJ406" s="1564"/>
      <c r="AK406" s="1142"/>
      <c r="AL406" s="1142"/>
      <c r="AM406" s="1142"/>
      <c r="AN406" s="1142"/>
      <c r="AO406" s="1149"/>
      <c r="AP406" s="1663" t="e">
        <f>"NPV Change Drivers "&amp;"FY"&amp;DefExitFYOrig&amp;"-"&amp;DefExitFYOrig+14</f>
        <v>#VALUE!</v>
      </c>
      <c r="AQ406" s="1664"/>
      <c r="AR406" s="1664"/>
      <c r="AS406" s="1664"/>
      <c r="AT406" s="1664"/>
      <c r="AU406" s="1664"/>
      <c r="AV406" s="1664"/>
      <c r="AW406" s="1664"/>
      <c r="AX406" s="1665"/>
      <c r="AY406" s="1070"/>
      <c r="AZ406" s="2052" t="e">
        <f>AP406</f>
        <v>#VALUE!</v>
      </c>
      <c r="BA406" s="1667"/>
      <c r="BB406" s="1667"/>
      <c r="BC406" s="1667"/>
      <c r="BD406" s="1667"/>
      <c r="BE406" s="1667"/>
      <c r="BF406" s="1667"/>
      <c r="BG406" s="1667"/>
      <c r="BH406" s="1667"/>
      <c r="BI406" s="1668"/>
      <c r="BJ406" s="1142"/>
      <c r="BK406" s="1142"/>
      <c r="BL406" s="1142"/>
      <c r="BM406" s="1142"/>
      <c r="BN406" s="1142"/>
      <c r="BO406" s="1142"/>
      <c r="BP406" s="1142"/>
      <c r="BQ406" s="1142"/>
      <c r="BR406" s="1142"/>
      <c r="BS406" s="1142"/>
      <c r="BT406" s="1142"/>
      <c r="BU406" s="1478"/>
      <c r="BV406" s="1070"/>
    </row>
    <row r="407" spans="1:74" outlineLevel="1" x14ac:dyDescent="0.3">
      <c r="A407" s="1527"/>
      <c r="B407" s="1070"/>
      <c r="C407" s="1070"/>
      <c r="D407" s="1070"/>
      <c r="E407" s="1070"/>
      <c r="F407" s="1142"/>
      <c r="G407" s="2053"/>
      <c r="H407" s="2054"/>
      <c r="I407" s="1218"/>
      <c r="J407" s="1673" t="s">
        <v>1414</v>
      </c>
      <c r="K407" s="1674" t="s">
        <v>1415</v>
      </c>
      <c r="L407" s="1674" t="s">
        <v>1416</v>
      </c>
      <c r="M407" s="1674" t="s">
        <v>1417</v>
      </c>
      <c r="N407" s="1675" t="s">
        <v>1418</v>
      </c>
      <c r="O407" s="1676" t="s">
        <v>1419</v>
      </c>
      <c r="P407" s="1142"/>
      <c r="Q407" s="1677"/>
      <c r="R407" s="1234"/>
      <c r="S407" s="1234"/>
      <c r="T407" s="1234"/>
      <c r="U407" s="1234"/>
      <c r="V407" s="1234"/>
      <c r="W407" s="1234"/>
      <c r="X407" s="1234"/>
      <c r="Y407" s="1234"/>
      <c r="Z407" s="1678"/>
      <c r="AA407" s="1142"/>
      <c r="AB407" s="1142"/>
      <c r="AC407" s="1142"/>
      <c r="AD407" s="1142"/>
      <c r="AE407" s="1142"/>
      <c r="AF407" s="1142"/>
      <c r="AG407" s="1142"/>
      <c r="AH407" s="1142"/>
      <c r="AI407" s="1142"/>
      <c r="AJ407" s="1564"/>
      <c r="AK407" s="1142"/>
      <c r="AL407" s="1142"/>
      <c r="AM407" s="1142"/>
      <c r="AN407" s="1142"/>
      <c r="AO407" s="1149"/>
      <c r="AP407" s="2053"/>
      <c r="AQ407" s="2054"/>
      <c r="AR407" s="1218"/>
      <c r="AS407" s="1673" t="s">
        <v>1414</v>
      </c>
      <c r="AT407" s="1674" t="s">
        <v>1415</v>
      </c>
      <c r="AU407" s="1674" t="s">
        <v>1416</v>
      </c>
      <c r="AV407" s="1674" t="s">
        <v>1417</v>
      </c>
      <c r="AW407" s="1675" t="s">
        <v>1418</v>
      </c>
      <c r="AX407" s="1676"/>
      <c r="AY407" s="1070"/>
      <c r="AZ407" s="1677"/>
      <c r="BA407" s="1234"/>
      <c r="BB407" s="1234"/>
      <c r="BC407" s="1234"/>
      <c r="BD407" s="1234"/>
      <c r="BE407" s="1234"/>
      <c r="BF407" s="1234"/>
      <c r="BG407" s="1234"/>
      <c r="BH407" s="1234"/>
      <c r="BI407" s="1678"/>
      <c r="BJ407" s="1142"/>
      <c r="BK407" s="1142"/>
      <c r="BL407" s="1142"/>
      <c r="BM407" s="1142"/>
      <c r="BN407" s="1142"/>
      <c r="BO407" s="1142"/>
      <c r="BP407" s="1142"/>
      <c r="BQ407" s="1142"/>
      <c r="BR407" s="1142"/>
      <c r="BS407" s="1142"/>
      <c r="BT407" s="1142"/>
      <c r="BU407" s="1478"/>
      <c r="BV407" s="1070"/>
    </row>
    <row r="408" spans="1:74" ht="26.25" customHeight="1" outlineLevel="1" x14ac:dyDescent="0.3">
      <c r="A408" s="1527"/>
      <c r="B408" s="1070"/>
      <c r="C408" s="1070"/>
      <c r="D408" s="1070"/>
      <c r="E408" s="1070"/>
      <c r="F408" s="1070"/>
      <c r="G408" s="3300" t="e">
        <f>"FY"&amp;DefExitFY&amp;"-"&amp;DefExitFY+9</f>
        <v>#VALUE!</v>
      </c>
      <c r="H408" s="3303" t="s">
        <v>1512</v>
      </c>
      <c r="I408" s="3250"/>
      <c r="J408" s="1679">
        <f>AR331/1000</f>
        <v>0</v>
      </c>
      <c r="K408" s="1680">
        <f>J408</f>
        <v>0</v>
      </c>
      <c r="L408" s="1680"/>
      <c r="M408" s="1680"/>
      <c r="N408" s="1681">
        <f>AR330-DiscRDE</f>
        <v>-0.15</v>
      </c>
      <c r="O408" s="1682"/>
      <c r="P408" s="1070"/>
      <c r="Q408" s="1677"/>
      <c r="R408" s="1234"/>
      <c r="S408" s="1234"/>
      <c r="T408" s="1234"/>
      <c r="U408" s="1234"/>
      <c r="V408" s="1234"/>
      <c r="W408" s="1234"/>
      <c r="X408" s="1234"/>
      <c r="Y408" s="1234"/>
      <c r="Z408" s="1678"/>
      <c r="AA408" s="1142"/>
      <c r="AB408" s="1142"/>
      <c r="AC408" s="1142"/>
      <c r="AD408" s="1142"/>
      <c r="AE408" s="1142"/>
      <c r="AF408" s="1142"/>
      <c r="AG408" s="1142"/>
      <c r="AH408" s="1142"/>
      <c r="AI408" s="1142"/>
      <c r="AJ408" s="1564"/>
      <c r="AK408" s="1142"/>
      <c r="AL408" s="1142"/>
      <c r="AM408" s="1142"/>
      <c r="AN408" s="1142"/>
      <c r="AO408" s="1149"/>
      <c r="AP408" s="3300" t="e">
        <f>"FY"&amp;DefExitFY&amp;"-"&amp;DefExitFY+14</f>
        <v>#VALUE!</v>
      </c>
      <c r="AQ408" s="3303" t="s">
        <v>1512</v>
      </c>
      <c r="AR408" s="3250"/>
      <c r="AS408" s="1679">
        <f>AU331/1000</f>
        <v>0</v>
      </c>
      <c r="AT408" s="1680">
        <f>AS408</f>
        <v>0</v>
      </c>
      <c r="AU408" s="1680"/>
      <c r="AV408" s="1680"/>
      <c r="AW408" s="1681">
        <f>AU330-DiscRDE</f>
        <v>-0.15</v>
      </c>
      <c r="AX408" s="1682"/>
      <c r="AY408" s="1070"/>
      <c r="AZ408" s="1677"/>
      <c r="BA408" s="1234"/>
      <c r="BB408" s="1234"/>
      <c r="BC408" s="1234"/>
      <c r="BD408" s="1234"/>
      <c r="BE408" s="1234"/>
      <c r="BF408" s="1234"/>
      <c r="BG408" s="1234"/>
      <c r="BH408" s="1234"/>
      <c r="BI408" s="1678"/>
      <c r="BJ408" s="1142"/>
      <c r="BK408" s="1142"/>
      <c r="BL408" s="1142"/>
      <c r="BM408" s="1142"/>
      <c r="BN408" s="1142"/>
      <c r="BO408" s="1142"/>
      <c r="BP408" s="1142"/>
      <c r="BQ408" s="1142"/>
      <c r="BR408" s="1142"/>
      <c r="BS408" s="1142"/>
      <c r="BT408" s="1142"/>
      <c r="BU408" s="1478"/>
      <c r="BV408" s="1070"/>
    </row>
    <row r="409" spans="1:74" ht="26.25" customHeight="1" outlineLevel="1" x14ac:dyDescent="0.3">
      <c r="A409" s="1527"/>
      <c r="B409" s="1070"/>
      <c r="C409" s="1070"/>
      <c r="D409" s="1070"/>
      <c r="E409" s="1070"/>
      <c r="F409" s="1070"/>
      <c r="G409" s="3301"/>
      <c r="H409" s="3304" t="s">
        <v>1421</v>
      </c>
      <c r="I409" s="3252"/>
      <c r="J409" s="1684">
        <f>AJ343/1000</f>
        <v>0</v>
      </c>
      <c r="K409" s="1685"/>
      <c r="L409" s="1685">
        <f>SUM(J$408:J408)</f>
        <v>0</v>
      </c>
      <c r="M409" s="1685">
        <f>SUM(J$408:J409)</f>
        <v>0</v>
      </c>
      <c r="N409" s="1686"/>
      <c r="O409" s="1687" t="e">
        <f>J409/ABS($J$408-$K$414)</f>
        <v>#VALUE!</v>
      </c>
      <c r="P409" s="1070"/>
      <c r="Q409" s="1677"/>
      <c r="R409" s="1234"/>
      <c r="S409" s="1234"/>
      <c r="T409" s="1234"/>
      <c r="U409" s="1234"/>
      <c r="V409" s="1234"/>
      <c r="W409" s="1234"/>
      <c r="X409" s="1234"/>
      <c r="Y409" s="1234"/>
      <c r="Z409" s="1678"/>
      <c r="AA409" s="1142"/>
      <c r="AB409" s="1142"/>
      <c r="AC409" s="1142"/>
      <c r="AD409" s="1142"/>
      <c r="AE409" s="1142"/>
      <c r="AF409" s="1142"/>
      <c r="AG409" s="1142"/>
      <c r="AH409" s="1142"/>
      <c r="AI409" s="1142"/>
      <c r="AJ409" s="1564"/>
      <c r="AK409" s="1142"/>
      <c r="AL409" s="1142"/>
      <c r="AM409" s="1142"/>
      <c r="AN409" s="1142"/>
      <c r="AO409" s="1149"/>
      <c r="AP409" s="3301"/>
      <c r="AQ409" s="3304" t="s">
        <v>1421</v>
      </c>
      <c r="AR409" s="3252"/>
      <c r="AS409" s="1684">
        <f>BT343/1000</f>
        <v>0</v>
      </c>
      <c r="AT409" s="1685"/>
      <c r="AU409" s="1685">
        <f>SUM(AS$408:AS408)</f>
        <v>0</v>
      </c>
      <c r="AV409" s="1685">
        <f>SUM(AS$408:AS409)</f>
        <v>0</v>
      </c>
      <c r="AW409" s="1686"/>
      <c r="AX409" s="1687" t="e">
        <f>AS409/ABS($AS$408-$AT$414)</f>
        <v>#DIV/0!</v>
      </c>
      <c r="AY409" s="1070"/>
      <c r="AZ409" s="1677"/>
      <c r="BA409" s="1234"/>
      <c r="BB409" s="1234"/>
      <c r="BC409" s="1234"/>
      <c r="BD409" s="1234"/>
      <c r="BE409" s="1234"/>
      <c r="BF409" s="1234"/>
      <c r="BG409" s="1234"/>
      <c r="BH409" s="1234"/>
      <c r="BI409" s="1678"/>
      <c r="BJ409" s="1142"/>
      <c r="BK409" s="1142"/>
      <c r="BL409" s="1142"/>
      <c r="BM409" s="1142"/>
      <c r="BN409" s="1142"/>
      <c r="BO409" s="1142"/>
      <c r="BP409" s="1142"/>
      <c r="BQ409" s="1142"/>
      <c r="BR409" s="1142"/>
      <c r="BS409" s="1142"/>
      <c r="BT409" s="1142"/>
      <c r="BU409" s="1478"/>
      <c r="BV409" s="1070"/>
    </row>
    <row r="410" spans="1:74" ht="26.25" customHeight="1" outlineLevel="1" x14ac:dyDescent="0.3">
      <c r="A410" s="1527"/>
      <c r="B410" s="1070"/>
      <c r="C410" s="1070"/>
      <c r="D410" s="1070"/>
      <c r="E410" s="1070"/>
      <c r="F410" s="1070"/>
      <c r="G410" s="3301"/>
      <c r="H410" s="3304" t="s">
        <v>1422</v>
      </c>
      <c r="I410" s="3252"/>
      <c r="J410" s="1684">
        <f>AJ344/1000</f>
        <v>0</v>
      </c>
      <c r="K410" s="1688"/>
      <c r="L410" s="1685">
        <f>SUM(J$408:J409)</f>
        <v>0</v>
      </c>
      <c r="M410" s="1685">
        <f>SUM(J$408:J410)</f>
        <v>0</v>
      </c>
      <c r="N410" s="1686"/>
      <c r="O410" s="1687" t="e">
        <f>J410/ABS($J$408-$K$414)</f>
        <v>#VALUE!</v>
      </c>
      <c r="P410" s="1070"/>
      <c r="Q410" s="1677"/>
      <c r="R410" s="1234"/>
      <c r="S410" s="1234"/>
      <c r="T410" s="1234"/>
      <c r="U410" s="1234"/>
      <c r="V410" s="1234"/>
      <c r="W410" s="1234"/>
      <c r="X410" s="1234"/>
      <c r="Y410" s="1234"/>
      <c r="Z410" s="1678"/>
      <c r="AA410" s="1142"/>
      <c r="AB410" s="1142"/>
      <c r="AC410" s="1142"/>
      <c r="AD410" s="1142"/>
      <c r="AE410" s="1142"/>
      <c r="AF410" s="1142"/>
      <c r="AG410" s="1142"/>
      <c r="AH410" s="1142"/>
      <c r="AI410" s="1142"/>
      <c r="AJ410" s="1564"/>
      <c r="AK410" s="1142"/>
      <c r="AL410" s="1142"/>
      <c r="AM410" s="1142"/>
      <c r="AN410" s="1142"/>
      <c r="AO410" s="1149"/>
      <c r="AP410" s="3301"/>
      <c r="AQ410" s="3304" t="s">
        <v>1422</v>
      </c>
      <c r="AR410" s="3252"/>
      <c r="AS410" s="1684">
        <f>BT344/1000</f>
        <v>0</v>
      </c>
      <c r="AT410" s="1688"/>
      <c r="AU410" s="1685">
        <f>SUM(AS$408:AS409)</f>
        <v>0</v>
      </c>
      <c r="AV410" s="1685">
        <f>SUM(AS$408:AS410)</f>
        <v>0</v>
      </c>
      <c r="AW410" s="1686"/>
      <c r="AX410" s="1687" t="e">
        <f>AS410/ABS($AS$408-$AT$414)</f>
        <v>#DIV/0!</v>
      </c>
      <c r="AY410" s="1070"/>
      <c r="AZ410" s="1677"/>
      <c r="BA410" s="1234"/>
      <c r="BB410" s="1234"/>
      <c r="BC410" s="1234"/>
      <c r="BD410" s="1234"/>
      <c r="BE410" s="1234"/>
      <c r="BF410" s="1234"/>
      <c r="BG410" s="1234"/>
      <c r="BH410" s="1234"/>
      <c r="BI410" s="1678"/>
      <c r="BJ410" s="1142"/>
      <c r="BK410" s="1142"/>
      <c r="BL410" s="1142"/>
      <c r="BM410" s="1142"/>
      <c r="BN410" s="1142"/>
      <c r="BO410" s="1142"/>
      <c r="BP410" s="1142"/>
      <c r="BQ410" s="1142"/>
      <c r="BR410" s="1142"/>
      <c r="BS410" s="1142"/>
      <c r="BT410" s="1142"/>
      <c r="BU410" s="1478"/>
      <c r="BV410" s="1070"/>
    </row>
    <row r="411" spans="1:74" ht="26.25" customHeight="1" outlineLevel="1" x14ac:dyDescent="0.3">
      <c r="A411" s="1527"/>
      <c r="B411" s="1070"/>
      <c r="C411" s="1070"/>
      <c r="D411" s="1070"/>
      <c r="E411" s="1070"/>
      <c r="F411" s="1070"/>
      <c r="G411" s="3301"/>
      <c r="H411" s="3304" t="s">
        <v>1423</v>
      </c>
      <c r="I411" s="3252"/>
      <c r="J411" s="1684">
        <f>AJ345/1000</f>
        <v>0</v>
      </c>
      <c r="K411" s="1685"/>
      <c r="L411" s="1685">
        <f>SUM(J$408:J410)</f>
        <v>0</v>
      </c>
      <c r="M411" s="1685">
        <f>SUM(J$408:J411)</f>
        <v>0</v>
      </c>
      <c r="N411" s="1686"/>
      <c r="O411" s="1687" t="e">
        <f>J411/ABS($J$408-$K$414)</f>
        <v>#VALUE!</v>
      </c>
      <c r="P411" s="1070"/>
      <c r="Q411" s="1677"/>
      <c r="R411" s="1234"/>
      <c r="S411" s="1234"/>
      <c r="T411" s="1234"/>
      <c r="U411" s="1234"/>
      <c r="V411" s="1234"/>
      <c r="W411" s="1234"/>
      <c r="X411" s="1234"/>
      <c r="Y411" s="1234"/>
      <c r="Z411" s="1678"/>
      <c r="AA411" s="1142"/>
      <c r="AB411" s="1142"/>
      <c r="AC411" s="1142"/>
      <c r="AD411" s="1142"/>
      <c r="AE411" s="1142"/>
      <c r="AF411" s="1142"/>
      <c r="AG411" s="1142"/>
      <c r="AH411" s="1142"/>
      <c r="AI411" s="1142"/>
      <c r="AJ411" s="1564"/>
      <c r="AK411" s="1142"/>
      <c r="AL411" s="1142"/>
      <c r="AM411" s="1142"/>
      <c r="AN411" s="1142"/>
      <c r="AO411" s="1149"/>
      <c r="AP411" s="3301"/>
      <c r="AQ411" s="3304" t="s">
        <v>1423</v>
      </c>
      <c r="AR411" s="3252"/>
      <c r="AS411" s="1684">
        <f>BT345/1000</f>
        <v>0</v>
      </c>
      <c r="AT411" s="1685"/>
      <c r="AU411" s="1685">
        <f>SUM(AS$408:AS410)</f>
        <v>0</v>
      </c>
      <c r="AV411" s="1685">
        <f>SUM(AS$408:AS411)</f>
        <v>0</v>
      </c>
      <c r="AW411" s="1686"/>
      <c r="AX411" s="1687" t="e">
        <f>AS411/ABS($AS$408-$AT$414)</f>
        <v>#DIV/0!</v>
      </c>
      <c r="AY411" s="1070"/>
      <c r="AZ411" s="1677"/>
      <c r="BA411" s="1234"/>
      <c r="BB411" s="1234"/>
      <c r="BC411" s="1234"/>
      <c r="BD411" s="1234"/>
      <c r="BE411" s="1234"/>
      <c r="BF411" s="1234"/>
      <c r="BG411" s="1234"/>
      <c r="BH411" s="1234"/>
      <c r="BI411" s="1678"/>
      <c r="BJ411" s="1142"/>
      <c r="BK411" s="1142"/>
      <c r="BL411" s="1142"/>
      <c r="BM411" s="1142"/>
      <c r="BN411" s="1142"/>
      <c r="BO411" s="1142"/>
      <c r="BP411" s="1142"/>
      <c r="BQ411" s="1142"/>
      <c r="BR411" s="1142"/>
      <c r="BS411" s="1142"/>
      <c r="BT411" s="1142"/>
      <c r="BU411" s="1478"/>
      <c r="BV411" s="1070"/>
    </row>
    <row r="412" spans="1:74" ht="26.25" customHeight="1" outlineLevel="1" x14ac:dyDescent="0.3">
      <c r="A412" s="1527"/>
      <c r="B412" s="1070"/>
      <c r="C412" s="1070"/>
      <c r="D412" s="1070"/>
      <c r="E412" s="1070"/>
      <c r="F412" s="1070"/>
      <c r="G412" s="3301"/>
      <c r="H412" s="3305" t="s">
        <v>1424</v>
      </c>
      <c r="I412" s="3254"/>
      <c r="J412" s="1684">
        <f>AJ346/1000</f>
        <v>0</v>
      </c>
      <c r="K412" s="1685"/>
      <c r="L412" s="1685">
        <f>SUM(J$408:J411)</f>
        <v>0</v>
      </c>
      <c r="M412" s="1685">
        <f>SUM(J$408:J412)</f>
        <v>0</v>
      </c>
      <c r="N412" s="1686"/>
      <c r="O412" s="1687" t="e">
        <f>J412/ABS($J$408-$K$414)</f>
        <v>#VALUE!</v>
      </c>
      <c r="P412" s="1070"/>
      <c r="Q412" s="1677"/>
      <c r="R412" s="1234"/>
      <c r="S412" s="1234"/>
      <c r="T412" s="1234"/>
      <c r="U412" s="1234"/>
      <c r="V412" s="1234"/>
      <c r="W412" s="1234"/>
      <c r="X412" s="1234"/>
      <c r="Y412" s="1234"/>
      <c r="Z412" s="1678"/>
      <c r="AA412" s="1142"/>
      <c r="AB412" s="1142"/>
      <c r="AC412" s="1142"/>
      <c r="AD412" s="1142"/>
      <c r="AE412" s="1142"/>
      <c r="AF412" s="1142"/>
      <c r="AG412" s="1142"/>
      <c r="AH412" s="1142"/>
      <c r="AI412" s="1142"/>
      <c r="AJ412" s="1564"/>
      <c r="AK412" s="1142"/>
      <c r="AL412" s="1142"/>
      <c r="AM412" s="1142"/>
      <c r="AN412" s="1142"/>
      <c r="AO412" s="1149"/>
      <c r="AP412" s="3301"/>
      <c r="AQ412" s="3305" t="s">
        <v>1424</v>
      </c>
      <c r="AR412" s="3254"/>
      <c r="AS412" s="1684">
        <f>BT346/1000</f>
        <v>0</v>
      </c>
      <c r="AT412" s="1685"/>
      <c r="AU412" s="1685">
        <f>SUM(AS$408:AS411)</f>
        <v>0</v>
      </c>
      <c r="AV412" s="1685">
        <f>SUM(AS$408:AS412)</f>
        <v>0</v>
      </c>
      <c r="AW412" s="1686"/>
      <c r="AX412" s="1687" t="e">
        <f>AS412/ABS($AS$408-$AT$414)</f>
        <v>#DIV/0!</v>
      </c>
      <c r="AY412" s="1070"/>
      <c r="AZ412" s="1677"/>
      <c r="BA412" s="1234"/>
      <c r="BB412" s="1234"/>
      <c r="BC412" s="1234"/>
      <c r="BD412" s="1234"/>
      <c r="BE412" s="1234"/>
      <c r="BF412" s="1234"/>
      <c r="BG412" s="1234"/>
      <c r="BH412" s="1234"/>
      <c r="BI412" s="1678"/>
      <c r="BJ412" s="1142"/>
      <c r="BK412" s="1142"/>
      <c r="BL412" s="1142"/>
      <c r="BM412" s="1142"/>
      <c r="BN412" s="1142"/>
      <c r="BO412" s="1142"/>
      <c r="BP412" s="1142"/>
      <c r="BQ412" s="1142"/>
      <c r="BR412" s="1142"/>
      <c r="BS412" s="1142"/>
      <c r="BT412" s="1142"/>
      <c r="BU412" s="1478"/>
      <c r="BV412" s="1070"/>
    </row>
    <row r="413" spans="1:74" ht="26.25" customHeight="1" outlineLevel="1" x14ac:dyDescent="0.3">
      <c r="A413" s="1527"/>
      <c r="B413" s="1070"/>
      <c r="C413" s="1070"/>
      <c r="D413" s="1070"/>
      <c r="E413" s="1070"/>
      <c r="F413" s="1070"/>
      <c r="G413" s="3301"/>
      <c r="H413" s="3305" t="s">
        <v>415</v>
      </c>
      <c r="I413" s="3254"/>
      <c r="J413" s="1684" t="e">
        <f>AK348/1000</f>
        <v>#VALUE!</v>
      </c>
      <c r="K413" s="1685"/>
      <c r="L413" s="1685">
        <f>SUM(J$408:J412)</f>
        <v>0</v>
      </c>
      <c r="M413" s="1685" t="e">
        <f>SUM(J$408:J413)</f>
        <v>#VALUE!</v>
      </c>
      <c r="N413" s="1686"/>
      <c r="O413" s="1687" t="e">
        <f>J413/ABS($J$408-$K$414)</f>
        <v>#VALUE!</v>
      </c>
      <c r="P413" s="1070"/>
      <c r="Q413" s="1677"/>
      <c r="R413" s="1234"/>
      <c r="S413" s="1234"/>
      <c r="T413" s="1234"/>
      <c r="U413" s="1234"/>
      <c r="V413" s="1234"/>
      <c r="W413" s="1234"/>
      <c r="X413" s="1234"/>
      <c r="Y413" s="1234"/>
      <c r="Z413" s="1678"/>
      <c r="AA413" s="1142"/>
      <c r="AB413" s="1142"/>
      <c r="AC413" s="1142"/>
      <c r="AD413" s="1142"/>
      <c r="AE413" s="1142"/>
      <c r="AF413" s="1142"/>
      <c r="AG413" s="1142"/>
      <c r="AH413" s="1142"/>
      <c r="AI413" s="1142"/>
      <c r="AJ413" s="1564"/>
      <c r="AK413" s="1142"/>
      <c r="AL413" s="1142"/>
      <c r="AM413" s="1142"/>
      <c r="AN413" s="1142"/>
      <c r="AO413" s="1149"/>
      <c r="AP413" s="3301"/>
      <c r="AQ413" s="3305" t="s">
        <v>415</v>
      </c>
      <c r="AR413" s="3254"/>
      <c r="AS413" s="1684">
        <f>BT348/1000</f>
        <v>0</v>
      </c>
      <c r="AT413" s="1685"/>
      <c r="AU413" s="1685">
        <f>SUM(AS$408:AS412)</f>
        <v>0</v>
      </c>
      <c r="AV413" s="1685">
        <f>SUM(AS$408:AS413)</f>
        <v>0</v>
      </c>
      <c r="AW413" s="1686"/>
      <c r="AX413" s="1687" t="e">
        <f>AS413/ABS($AS$408-$AT$414)</f>
        <v>#DIV/0!</v>
      </c>
      <c r="AY413" s="1070"/>
      <c r="AZ413" s="1677"/>
      <c r="BA413" s="1234"/>
      <c r="BB413" s="1234"/>
      <c r="BC413" s="1234"/>
      <c r="BD413" s="1234"/>
      <c r="BE413" s="1234"/>
      <c r="BF413" s="1234"/>
      <c r="BG413" s="1234"/>
      <c r="BH413" s="1234"/>
      <c r="BI413" s="1678"/>
      <c r="BJ413" s="1142"/>
      <c r="BK413" s="1142"/>
      <c r="BL413" s="1142"/>
      <c r="BM413" s="1142"/>
      <c r="BN413" s="1142"/>
      <c r="BO413" s="1142"/>
      <c r="BP413" s="1142"/>
      <c r="BQ413" s="1142"/>
      <c r="BR413" s="1142"/>
      <c r="BS413" s="1142"/>
      <c r="BT413" s="1142"/>
      <c r="BU413" s="1478"/>
      <c r="BV413" s="1070"/>
    </row>
    <row r="414" spans="1:74" ht="26.25" customHeight="1" outlineLevel="1" x14ac:dyDescent="0.3">
      <c r="A414" s="1527"/>
      <c r="B414" s="1070"/>
      <c r="C414" s="1070"/>
      <c r="D414" s="1070"/>
      <c r="E414" s="1070"/>
      <c r="F414" s="1070"/>
      <c r="G414" s="3302"/>
      <c r="H414" s="3306" t="s">
        <v>1513</v>
      </c>
      <c r="I414" s="3257"/>
      <c r="J414" s="1684"/>
      <c r="K414" s="1685" t="e">
        <f>SUM(J408:J413)</f>
        <v>#VALUE!</v>
      </c>
      <c r="L414" s="1685"/>
      <c r="M414" s="1685"/>
      <c r="N414" s="1690" t="e">
        <f>H330-DiscRDE</f>
        <v>#VALUE!</v>
      </c>
      <c r="O414" s="1691" t="e">
        <f>IF(ABS((K414-J408)/ABS(J408))&gt;200%,"N/A",((K414-J408)/ABS(J408)))</f>
        <v>#VALUE!</v>
      </c>
      <c r="P414" s="1070"/>
      <c r="Q414" s="1677"/>
      <c r="R414" s="1234"/>
      <c r="S414" s="1234"/>
      <c r="T414" s="1234"/>
      <c r="U414" s="1234"/>
      <c r="V414" s="1234"/>
      <c r="W414" s="1234"/>
      <c r="X414" s="1234"/>
      <c r="Y414" s="1234"/>
      <c r="Z414" s="1678"/>
      <c r="AA414" s="1142"/>
      <c r="AB414" s="1142"/>
      <c r="AC414" s="1142"/>
      <c r="AD414" s="1142"/>
      <c r="AE414" s="1142"/>
      <c r="AF414" s="1142"/>
      <c r="AG414" s="1142"/>
      <c r="AH414" s="1142"/>
      <c r="AI414" s="1142"/>
      <c r="AJ414" s="1564"/>
      <c r="AK414" s="1142"/>
      <c r="AL414" s="1142"/>
      <c r="AM414" s="1142"/>
      <c r="AN414" s="1142"/>
      <c r="AO414" s="1149"/>
      <c r="AP414" s="3302"/>
      <c r="AQ414" s="3306" t="s">
        <v>1513</v>
      </c>
      <c r="AR414" s="3257"/>
      <c r="AS414" s="1684"/>
      <c r="AT414" s="1685">
        <f>SUM(AS408:AS413)</f>
        <v>0</v>
      </c>
      <c r="AU414" s="1685"/>
      <c r="AV414" s="1685"/>
      <c r="AW414" s="1690" t="e">
        <f>K330-DiscRDE</f>
        <v>#VALUE!</v>
      </c>
      <c r="AX414" s="1691" t="e">
        <f>IF(ABS((AT414-AS408)/ABS(AS408))&gt;200%,"N/A",(AT414-AS408)/ABS(AS408))</f>
        <v>#DIV/0!</v>
      </c>
      <c r="AY414" s="1070"/>
      <c r="AZ414" s="1677"/>
      <c r="BA414" s="1234"/>
      <c r="BB414" s="1234"/>
      <c r="BC414" s="1234"/>
      <c r="BD414" s="1234"/>
      <c r="BE414" s="1234"/>
      <c r="BF414" s="1234"/>
      <c r="BG414" s="1234"/>
      <c r="BH414" s="1234"/>
      <c r="BI414" s="1678"/>
      <c r="BJ414" s="1142"/>
      <c r="BK414" s="1142"/>
      <c r="BL414" s="1142"/>
      <c r="BM414" s="1142"/>
      <c r="BN414" s="1142"/>
      <c r="BO414" s="1142"/>
      <c r="BP414" s="1142"/>
      <c r="BQ414" s="1142"/>
      <c r="BR414" s="1142"/>
      <c r="BS414" s="1142"/>
      <c r="BT414" s="1142"/>
      <c r="BU414" s="1478"/>
      <c r="BV414" s="1070"/>
    </row>
    <row r="415" spans="1:74" outlineLevel="1" x14ac:dyDescent="0.3">
      <c r="A415" s="1527"/>
      <c r="B415" s="1070"/>
      <c r="C415" s="1070"/>
      <c r="D415" s="1070"/>
      <c r="E415" s="1070"/>
      <c r="F415" s="1142"/>
      <c r="G415" s="1116"/>
      <c r="H415" s="1693"/>
      <c r="I415" s="1222"/>
      <c r="J415" s="2055"/>
      <c r="K415" s="1680"/>
      <c r="L415" s="1680"/>
      <c r="M415" s="1680"/>
      <c r="N415" s="1637"/>
      <c r="O415" s="1197"/>
      <c r="P415" s="1142"/>
      <c r="Q415" s="1677"/>
      <c r="R415" s="1234"/>
      <c r="S415" s="1234"/>
      <c r="T415" s="1234"/>
      <c r="U415" s="1234"/>
      <c r="V415" s="1234"/>
      <c r="W415" s="1234"/>
      <c r="X415" s="1234"/>
      <c r="Y415" s="1234"/>
      <c r="Z415" s="1678"/>
      <c r="AA415" s="1142"/>
      <c r="AB415" s="1142"/>
      <c r="AC415" s="1142"/>
      <c r="AD415" s="1142"/>
      <c r="AE415" s="1142"/>
      <c r="AF415" s="1142"/>
      <c r="AG415" s="1142"/>
      <c r="AH415" s="1142"/>
      <c r="AI415" s="1142"/>
      <c r="AJ415" s="1564"/>
      <c r="AK415" s="1142"/>
      <c r="AL415" s="1142"/>
      <c r="AM415" s="1142"/>
      <c r="AN415" s="1142"/>
      <c r="AO415" s="1149"/>
      <c r="AP415" s="1116"/>
      <c r="AQ415" s="1693"/>
      <c r="AR415" s="1222"/>
      <c r="AS415" s="2055"/>
      <c r="AT415" s="1680"/>
      <c r="AU415" s="1680"/>
      <c r="AV415" s="1680"/>
      <c r="AW415" s="1637"/>
      <c r="AX415" s="1197"/>
      <c r="AY415" s="1070"/>
      <c r="AZ415" s="1677"/>
      <c r="BA415" s="1234"/>
      <c r="BB415" s="1234"/>
      <c r="BC415" s="1234"/>
      <c r="BD415" s="1234"/>
      <c r="BE415" s="1234"/>
      <c r="BF415" s="1234"/>
      <c r="BG415" s="1234"/>
      <c r="BH415" s="1234"/>
      <c r="BI415" s="1678"/>
      <c r="BJ415" s="1142"/>
      <c r="BK415" s="1142"/>
      <c r="BL415" s="1142"/>
      <c r="BM415" s="1142"/>
      <c r="BN415" s="1142"/>
      <c r="BO415" s="1142"/>
      <c r="BP415" s="1142"/>
      <c r="BQ415" s="1142"/>
      <c r="BR415" s="1142"/>
      <c r="BS415" s="1142"/>
      <c r="BT415" s="1142"/>
      <c r="BU415" s="1478"/>
      <c r="BV415" s="1070"/>
    </row>
    <row r="416" spans="1:74" outlineLevel="1" x14ac:dyDescent="0.3">
      <c r="A416" s="1527"/>
      <c r="B416" s="1070"/>
      <c r="C416" s="1070"/>
      <c r="D416" s="1070"/>
      <c r="E416" s="1070"/>
      <c r="F416" s="1142"/>
      <c r="G416" s="1116"/>
      <c r="H416" s="1543" t="str">
        <f>IF(J416&gt;=0,"SSGA +"&amp;ABS(ROUND(J416,0)),"SSGA -"&amp;ABS(ROUND(J416,0)))</f>
        <v>SSGA +0</v>
      </c>
      <c r="I416" s="1082"/>
      <c r="J416" s="1697">
        <f>AJ340/1000</f>
        <v>0</v>
      </c>
      <c r="K416" s="1685"/>
      <c r="L416" s="1685"/>
      <c r="M416" s="1685"/>
      <c r="N416" s="1686"/>
      <c r="O416" s="1699"/>
      <c r="P416" s="1142"/>
      <c r="Q416" s="1677"/>
      <c r="R416" s="1234"/>
      <c r="S416" s="1234"/>
      <c r="T416" s="1234"/>
      <c r="U416" s="1234"/>
      <c r="V416" s="1234"/>
      <c r="W416" s="1234"/>
      <c r="X416" s="1234"/>
      <c r="Y416" s="1234"/>
      <c r="Z416" s="1678"/>
      <c r="AA416" s="1142"/>
      <c r="AB416" s="1142"/>
      <c r="AC416" s="1142"/>
      <c r="AD416" s="1142"/>
      <c r="AE416" s="1142"/>
      <c r="AF416" s="1142"/>
      <c r="AG416" s="1142"/>
      <c r="AH416" s="1142"/>
      <c r="AI416" s="1142"/>
      <c r="AJ416" s="1564"/>
      <c r="AK416" s="1142"/>
      <c r="AL416" s="1142"/>
      <c r="AM416" s="1142"/>
      <c r="AN416" s="1142"/>
      <c r="AO416" s="1149"/>
      <c r="AP416" s="1116"/>
      <c r="AQ416" s="1543" t="str">
        <f>IF(AS416&gt;=0,"SSGA +"&amp;ABS(ROUND(AS416,0)),"SSGA -"&amp;ABS(ROUND(AS416,0)))</f>
        <v>SSGA +0</v>
      </c>
      <c r="AR416" s="1082"/>
      <c r="AS416" s="1697">
        <f>BT340/1000</f>
        <v>0</v>
      </c>
      <c r="AT416" s="1685"/>
      <c r="AU416" s="1685"/>
      <c r="AV416" s="1685"/>
      <c r="AW416" s="1686"/>
      <c r="AX416" s="1699"/>
      <c r="AY416" s="1070"/>
      <c r="AZ416" s="1677"/>
      <c r="BA416" s="1234"/>
      <c r="BB416" s="1234"/>
      <c r="BC416" s="1234"/>
      <c r="BD416" s="1234"/>
      <c r="BE416" s="1234"/>
      <c r="BF416" s="1234"/>
      <c r="BG416" s="1234"/>
      <c r="BH416" s="1234"/>
      <c r="BI416" s="1678"/>
      <c r="BJ416" s="1142"/>
      <c r="BK416" s="1142"/>
      <c r="BL416" s="1142"/>
      <c r="BM416" s="1142"/>
      <c r="BN416" s="1142"/>
      <c r="BO416" s="1142"/>
      <c r="BP416" s="1142"/>
      <c r="BQ416" s="1142"/>
      <c r="BR416" s="1142"/>
      <c r="BS416" s="1142"/>
      <c r="BT416" s="1142"/>
      <c r="BU416" s="1478"/>
      <c r="BV416" s="1070"/>
    </row>
    <row r="417" spans="1:16378" outlineLevel="1" x14ac:dyDescent="0.3">
      <c r="A417" s="1527"/>
      <c r="B417" s="1070"/>
      <c r="C417" s="1070"/>
      <c r="D417" s="1070"/>
      <c r="E417" s="1070"/>
      <c r="F417" s="1142"/>
      <c r="G417" s="1116"/>
      <c r="H417" s="1543" t="str">
        <f>IF(J417&gt;=0,"R&amp;D +"&amp;ABS(ROUND(J417,0)),"R&amp;D -"&amp;ABS(ROUND(J417,0)))</f>
        <v>R&amp;D +0</v>
      </c>
      <c r="I417" s="1082"/>
      <c r="J417" s="1697">
        <f>AJ341/1000</f>
        <v>0</v>
      </c>
      <c r="K417" s="1700"/>
      <c r="L417" s="1685"/>
      <c r="M417" s="1685"/>
      <c r="N417" s="1686"/>
      <c r="O417" s="1699"/>
      <c r="P417" s="1142"/>
      <c r="Q417" s="1677"/>
      <c r="R417" s="1234"/>
      <c r="S417" s="1234"/>
      <c r="T417" s="1234"/>
      <c r="U417" s="1234"/>
      <c r="V417" s="1234"/>
      <c r="W417" s="1234"/>
      <c r="X417" s="1234"/>
      <c r="Y417" s="1234"/>
      <c r="Z417" s="1678"/>
      <c r="AA417" s="1142"/>
      <c r="AB417" s="1142"/>
      <c r="AC417" s="1142"/>
      <c r="AD417" s="1142"/>
      <c r="AE417" s="1142"/>
      <c r="AF417" s="1142"/>
      <c r="AG417" s="1142"/>
      <c r="AH417" s="1142"/>
      <c r="AI417" s="1142"/>
      <c r="AJ417" s="1564"/>
      <c r="AK417" s="1142"/>
      <c r="AL417" s="1142"/>
      <c r="AM417" s="1142"/>
      <c r="AN417" s="1142"/>
      <c r="AO417" s="1149"/>
      <c r="AP417" s="1116"/>
      <c r="AQ417" s="1543" t="str">
        <f>IF(AS417&gt;=0,"R&amp;D +"&amp;ABS(ROUND(AS417,0)),"R&amp;D -"&amp;ABS(ROUND(AS417,0)))</f>
        <v>R&amp;D +0</v>
      </c>
      <c r="AR417" s="1082"/>
      <c r="AS417" s="1697">
        <f>BT341/1000</f>
        <v>0</v>
      </c>
      <c r="AT417" s="1700"/>
      <c r="AU417" s="1685"/>
      <c r="AV417" s="1685"/>
      <c r="AW417" s="1686"/>
      <c r="AX417" s="1699"/>
      <c r="AY417" s="1070"/>
      <c r="AZ417" s="1677"/>
      <c r="BA417" s="1234"/>
      <c r="BB417" s="1234"/>
      <c r="BC417" s="1234"/>
      <c r="BD417" s="1234"/>
      <c r="BE417" s="1234"/>
      <c r="BF417" s="1234"/>
      <c r="BG417" s="1234"/>
      <c r="BH417" s="1234"/>
      <c r="BI417" s="1678"/>
      <c r="BJ417" s="1142"/>
      <c r="BK417" s="1142"/>
      <c r="BL417" s="1142"/>
      <c r="BM417" s="1142"/>
      <c r="BN417" s="1142"/>
      <c r="BO417" s="1142"/>
      <c r="BP417" s="1142"/>
      <c r="BQ417" s="1142"/>
      <c r="BR417" s="1142"/>
      <c r="BS417" s="1142"/>
      <c r="BT417" s="1142"/>
      <c r="BU417" s="1478"/>
      <c r="BV417" s="1070"/>
    </row>
    <row r="418" spans="1:16378" outlineLevel="1" x14ac:dyDescent="0.3">
      <c r="A418" s="1527"/>
      <c r="B418" s="1070"/>
      <c r="C418" s="1070"/>
      <c r="D418" s="1070"/>
      <c r="E418" s="1070"/>
      <c r="F418" s="1142"/>
      <c r="G418" s="1116"/>
      <c r="H418" s="1543" t="str">
        <f>IF(J418&gt;=0,"CapEx +"&amp;ABS(ROUND(J418,0)),"CapEx -"&amp;ABS(ROUND(J418,0)))</f>
        <v>CapEx +0</v>
      </c>
      <c r="I418" s="1082"/>
      <c r="J418" s="1697">
        <f>AJ342/1000</f>
        <v>0</v>
      </c>
      <c r="K418" s="1116"/>
      <c r="L418" s="1116"/>
      <c r="M418" s="1116"/>
      <c r="N418" s="1686"/>
      <c r="O418" s="1699"/>
      <c r="P418" s="1142"/>
      <c r="Q418" s="1677"/>
      <c r="R418" s="1234"/>
      <c r="S418" s="1234"/>
      <c r="T418" s="1234"/>
      <c r="U418" s="1234"/>
      <c r="V418" s="1234"/>
      <c r="W418" s="1234"/>
      <c r="X418" s="1234"/>
      <c r="Y418" s="1234"/>
      <c r="Z418" s="1678"/>
      <c r="AA418" s="1142"/>
      <c r="AB418" s="1142"/>
      <c r="AC418" s="1142"/>
      <c r="AD418" s="1142"/>
      <c r="AE418" s="1142"/>
      <c r="AF418" s="1142"/>
      <c r="AG418" s="1142"/>
      <c r="AH418" s="1142"/>
      <c r="AI418" s="1142"/>
      <c r="AJ418" s="1564"/>
      <c r="AK418" s="1142"/>
      <c r="AL418" s="1142"/>
      <c r="AM418" s="1142"/>
      <c r="AN418" s="1142"/>
      <c r="AO418" s="1149"/>
      <c r="AP418" s="1116"/>
      <c r="AQ418" s="1543" t="str">
        <f>IF(AS418&gt;=0,"CapEx +"&amp;ABS(ROUND(AS418,0)),"CapEx -"&amp;ABS(ROUND(AS418,0)))</f>
        <v>CapEx +0</v>
      </c>
      <c r="AR418" s="1082"/>
      <c r="AS418" s="1697">
        <f>BT342/1000</f>
        <v>0</v>
      </c>
      <c r="AT418" s="1116"/>
      <c r="AU418" s="1116"/>
      <c r="AV418" s="1116"/>
      <c r="AW418" s="1686"/>
      <c r="AX418" s="1699"/>
      <c r="AY418" s="1070"/>
      <c r="AZ418" s="1677"/>
      <c r="BA418" s="1234"/>
      <c r="BB418" s="1234"/>
      <c r="BC418" s="1234"/>
      <c r="BD418" s="1234"/>
      <c r="BE418" s="1234"/>
      <c r="BF418" s="1234"/>
      <c r="BG418" s="1234"/>
      <c r="BH418" s="1234"/>
      <c r="BI418" s="1678"/>
      <c r="BJ418" s="1142"/>
      <c r="BK418" s="1142"/>
      <c r="BL418" s="1142"/>
      <c r="BM418" s="1142"/>
      <c r="BN418" s="1142"/>
      <c r="BO418" s="1142"/>
      <c r="BP418" s="1142"/>
      <c r="BQ418" s="1142"/>
      <c r="BR418" s="1142"/>
      <c r="BS418" s="1142"/>
      <c r="BT418" s="1142"/>
      <c r="BU418" s="1478"/>
      <c r="BV418" s="1070"/>
    </row>
    <row r="419" spans="1:16378" outlineLevel="1" x14ac:dyDescent="0.3">
      <c r="A419" s="1527"/>
      <c r="B419" s="1142"/>
      <c r="C419" s="1142"/>
      <c r="D419" s="1070"/>
      <c r="E419" s="1070"/>
      <c r="F419" s="1142"/>
      <c r="G419" s="1116"/>
      <c r="H419" s="1543" t="str">
        <f>IF(J419=0,"",IF(J419&gt;0,"Hurdle +"&amp;ABS(ROUND(J419,0)),"Hurdle -"&amp;ABS(ROUND(J419,0))))</f>
        <v/>
      </c>
      <c r="I419" s="1082"/>
      <c r="J419" s="1697">
        <f>AJ347/1000</f>
        <v>0</v>
      </c>
      <c r="K419" s="1116"/>
      <c r="L419" s="1116"/>
      <c r="M419" s="1116"/>
      <c r="N419" s="1686"/>
      <c r="O419" s="1699"/>
      <c r="P419" s="1142"/>
      <c r="Q419" s="1677"/>
      <c r="R419" s="1234"/>
      <c r="S419" s="1234"/>
      <c r="T419" s="1234"/>
      <c r="U419" s="1234"/>
      <c r="V419" s="1234"/>
      <c r="W419" s="1234"/>
      <c r="X419" s="1234"/>
      <c r="Y419" s="1234"/>
      <c r="Z419" s="1678"/>
      <c r="AA419" s="1142"/>
      <c r="AB419" s="1142"/>
      <c r="AC419" s="1142"/>
      <c r="AD419" s="1142"/>
      <c r="AE419" s="1142"/>
      <c r="AF419" s="1142"/>
      <c r="AG419" s="1142"/>
      <c r="AH419" s="1142"/>
      <c r="AI419" s="1142"/>
      <c r="AJ419" s="1564"/>
      <c r="AK419" s="1142"/>
      <c r="AL419" s="1142"/>
      <c r="AM419" s="1142"/>
      <c r="AN419" s="1142"/>
      <c r="AO419" s="1149"/>
      <c r="AP419" s="1116"/>
      <c r="AQ419" s="1543" t="str">
        <f>IF(AS419=0,"",IF(AS419&gt;0,"Hurdle +"&amp;ABS(ROUND(AS419,0)),"Hurdle -"&amp;ABS(ROUND(AS419,0))))</f>
        <v/>
      </c>
      <c r="AR419" s="1082"/>
      <c r="AS419" s="1697">
        <f>BT347/1000</f>
        <v>0</v>
      </c>
      <c r="AT419" s="1116"/>
      <c r="AU419" s="1116"/>
      <c r="AV419" s="1116"/>
      <c r="AW419" s="1686"/>
      <c r="AX419" s="1699"/>
      <c r="AY419" s="1070"/>
      <c r="AZ419" s="1677"/>
      <c r="BA419" s="1234"/>
      <c r="BB419" s="1234"/>
      <c r="BC419" s="1234"/>
      <c r="BD419" s="1234"/>
      <c r="BE419" s="1234"/>
      <c r="BF419" s="1234"/>
      <c r="BG419" s="1234"/>
      <c r="BH419" s="1234"/>
      <c r="BI419" s="1678"/>
      <c r="BJ419" s="1142"/>
      <c r="BK419" s="1142"/>
      <c r="BL419" s="1142"/>
      <c r="BM419" s="1142"/>
      <c r="BN419" s="1142"/>
      <c r="BO419" s="1142"/>
      <c r="BP419" s="1142"/>
      <c r="BQ419" s="1142"/>
      <c r="BR419" s="1142"/>
      <c r="BS419" s="1142"/>
      <c r="BT419" s="1142"/>
      <c r="BU419" s="1478"/>
      <c r="BV419" s="1070"/>
    </row>
    <row r="420" spans="1:16378" outlineLevel="1" x14ac:dyDescent="0.3">
      <c r="A420" s="1527"/>
      <c r="B420" s="1142"/>
      <c r="C420" s="1142"/>
      <c r="D420" s="1070"/>
      <c r="E420" s="1070"/>
      <c r="F420" s="1142"/>
      <c r="G420" s="1116"/>
      <c r="H420" s="1434" t="str">
        <f>IF(J419=0,"",IF(J420&gt;0,"Other +"&amp;ABS(ROUND(J420,0)),"Other -"&amp;ABS(ROUND(J420,0))))</f>
        <v/>
      </c>
      <c r="I420" s="1232"/>
      <c r="J420" s="1703" t="e">
        <f>(AK348-AJ347)/1000</f>
        <v>#VALUE!</v>
      </c>
      <c r="K420" s="1232"/>
      <c r="L420" s="1232"/>
      <c r="M420" s="1232"/>
      <c r="N420" s="2056"/>
      <c r="O420" s="1705"/>
      <c r="P420" s="1142"/>
      <c r="Q420" s="1706"/>
      <c r="R420" s="1707"/>
      <c r="S420" s="1707"/>
      <c r="T420" s="1707"/>
      <c r="U420" s="1707"/>
      <c r="V420" s="1707"/>
      <c r="W420" s="1707"/>
      <c r="X420" s="1707"/>
      <c r="Y420" s="1707"/>
      <c r="Z420" s="1708"/>
      <c r="AA420" s="1142"/>
      <c r="AB420" s="1142"/>
      <c r="AC420" s="1142"/>
      <c r="AD420" s="1142"/>
      <c r="AE420" s="1142"/>
      <c r="AF420" s="1142"/>
      <c r="AG420" s="1142"/>
      <c r="AH420" s="1142"/>
      <c r="AI420" s="1142"/>
      <c r="AJ420" s="1564"/>
      <c r="AK420" s="1142"/>
      <c r="AL420" s="1142"/>
      <c r="AM420" s="1142"/>
      <c r="AN420" s="1142"/>
      <c r="AO420" s="1149"/>
      <c r="AP420" s="1116"/>
      <c r="AQ420" s="1434" t="str">
        <f>IF(AS419=0,"",IF(AS420&gt;0,"Other +"&amp;ABS(ROUND(AS420,0)),"Other -"&amp;ABS(ROUND(AS420,0))))</f>
        <v/>
      </c>
      <c r="AR420" s="1232"/>
      <c r="AS420" s="1703" t="e">
        <f>(BT348-BS347)/1000</f>
        <v>#VALUE!</v>
      </c>
      <c r="AT420" s="1232"/>
      <c r="AU420" s="1232"/>
      <c r="AV420" s="1232"/>
      <c r="AW420" s="2056"/>
      <c r="AX420" s="1705"/>
      <c r="AY420" s="1070"/>
      <c r="AZ420" s="1706"/>
      <c r="BA420" s="1707"/>
      <c r="BB420" s="1707"/>
      <c r="BC420" s="1707"/>
      <c r="BD420" s="1707"/>
      <c r="BE420" s="1707"/>
      <c r="BF420" s="1707"/>
      <c r="BG420" s="1707"/>
      <c r="BH420" s="1707"/>
      <c r="BI420" s="1708"/>
      <c r="BJ420" s="1142"/>
      <c r="BK420" s="1142"/>
      <c r="BL420" s="1142"/>
      <c r="BM420" s="1142"/>
      <c r="BN420" s="1142"/>
      <c r="BO420" s="1142"/>
      <c r="BP420" s="1142"/>
      <c r="BQ420" s="1142"/>
      <c r="BR420" s="1142"/>
      <c r="BS420" s="1142"/>
      <c r="BT420" s="1142"/>
      <c r="BU420" s="1478"/>
      <c r="BV420" s="1070"/>
    </row>
    <row r="421" spans="1:16378" outlineLevel="1" x14ac:dyDescent="0.3">
      <c r="A421" s="1527"/>
      <c r="B421" s="1142"/>
      <c r="C421" s="1142"/>
      <c r="D421" s="1142"/>
      <c r="E421" s="1142"/>
      <c r="F421" s="1142"/>
      <c r="G421" s="1070"/>
      <c r="H421" s="1070"/>
      <c r="I421" s="1142"/>
      <c r="J421" s="1142"/>
      <c r="K421" s="1142"/>
      <c r="L421" s="1142"/>
      <c r="M421" s="1142"/>
      <c r="N421" s="1142"/>
      <c r="O421" s="1142"/>
      <c r="P421" s="1142"/>
      <c r="Q421" s="1142"/>
      <c r="R421" s="1142"/>
      <c r="S421" s="1142"/>
      <c r="T421" s="1142"/>
      <c r="U421" s="1142"/>
      <c r="V421" s="1142"/>
      <c r="W421" s="1142"/>
      <c r="X421" s="1142"/>
      <c r="Y421" s="1142"/>
      <c r="Z421" s="1142"/>
      <c r="AA421" s="1142"/>
      <c r="AB421" s="1142"/>
      <c r="AC421" s="1142"/>
      <c r="AD421" s="1142"/>
      <c r="AE421" s="1142"/>
      <c r="AF421" s="1142"/>
      <c r="AG421" s="1142"/>
      <c r="AH421" s="1142"/>
      <c r="AI421" s="1142"/>
      <c r="AJ421" s="1564"/>
      <c r="AK421" s="1142"/>
      <c r="AL421" s="1142"/>
      <c r="AM421" s="1142"/>
      <c r="AN421" s="1142"/>
      <c r="AO421" s="1149"/>
      <c r="AP421" s="1142"/>
      <c r="AQ421" s="1070"/>
      <c r="AR421" s="1070"/>
      <c r="AS421" s="1709"/>
      <c r="AT421" s="1142"/>
      <c r="AU421" s="1142"/>
      <c r="AV421" s="1142"/>
      <c r="AW421" s="1142"/>
      <c r="AX421" s="1142"/>
      <c r="AY421" s="1142"/>
      <c r="AZ421" s="1142"/>
      <c r="BA421" s="1142"/>
      <c r="BB421" s="1142"/>
      <c r="BC421" s="1142"/>
      <c r="BD421" s="1142"/>
      <c r="BE421" s="1142"/>
      <c r="BF421" s="1142"/>
      <c r="BG421" s="1142"/>
      <c r="BH421" s="1142"/>
      <c r="BI421" s="1142"/>
      <c r="BJ421" s="1142"/>
      <c r="BK421" s="1142"/>
      <c r="BL421" s="1142"/>
      <c r="BM421" s="1142"/>
      <c r="BN421" s="1142"/>
      <c r="BO421" s="1142"/>
      <c r="BP421" s="1142"/>
      <c r="BQ421" s="1142"/>
      <c r="BR421" s="1142"/>
      <c r="BS421" s="1142"/>
      <c r="BT421" s="1142"/>
      <c r="BU421" s="1478"/>
      <c r="BV421" s="1070"/>
    </row>
    <row r="422" spans="1:16378" outlineLevel="1" x14ac:dyDescent="0.3">
      <c r="A422" s="1527"/>
      <c r="B422" s="1142"/>
      <c r="C422" s="1142"/>
      <c r="D422" s="1142"/>
      <c r="E422" s="1142"/>
      <c r="F422" s="1142"/>
      <c r="G422" s="1070"/>
      <c r="H422" s="1070"/>
      <c r="I422" s="1142"/>
      <c r="J422" s="1142"/>
      <c r="K422" s="1142"/>
      <c r="L422" s="1142"/>
      <c r="M422" s="1142"/>
      <c r="N422" s="1142"/>
      <c r="O422" s="1142"/>
      <c r="P422" s="1142"/>
      <c r="Q422" s="1142"/>
      <c r="R422" s="1142"/>
      <c r="S422" s="1142"/>
      <c r="T422" s="1142"/>
      <c r="U422" s="1142"/>
      <c r="V422" s="1142"/>
      <c r="W422" s="1142"/>
      <c r="X422" s="1142"/>
      <c r="Y422" s="1142"/>
      <c r="Z422" s="1142"/>
      <c r="AA422" s="1142"/>
      <c r="AB422" s="1142"/>
      <c r="AC422" s="1142"/>
      <c r="AD422" s="1142"/>
      <c r="AE422" s="1142"/>
      <c r="AF422" s="1142"/>
      <c r="AG422" s="1142"/>
      <c r="AH422" s="1142"/>
      <c r="AI422" s="1142"/>
      <c r="AJ422" s="1564"/>
      <c r="AK422" s="1142"/>
      <c r="AL422" s="1142"/>
      <c r="AM422" s="1142"/>
      <c r="AN422" s="1142"/>
      <c r="AO422" s="1149"/>
      <c r="AP422" s="1142"/>
      <c r="AQ422" s="1070"/>
      <c r="AR422" s="1070"/>
      <c r="AS422" s="1709"/>
      <c r="AT422" s="1142"/>
      <c r="AU422" s="1142"/>
      <c r="AV422" s="1142"/>
      <c r="AW422" s="1142"/>
      <c r="AX422" s="1142"/>
      <c r="AY422" s="1142"/>
      <c r="AZ422" s="1142"/>
      <c r="BA422" s="1142"/>
      <c r="BB422" s="1142"/>
      <c r="BC422" s="1142"/>
      <c r="BD422" s="1142"/>
      <c r="BE422" s="1142"/>
      <c r="BF422" s="1142"/>
      <c r="BG422" s="1142"/>
      <c r="BH422" s="1142"/>
      <c r="BI422" s="1142"/>
      <c r="BJ422" s="1142"/>
      <c r="BK422" s="1142"/>
      <c r="BL422" s="1142"/>
      <c r="BM422" s="1142"/>
      <c r="BN422" s="1142"/>
      <c r="BO422" s="1142"/>
      <c r="BP422" s="1142"/>
      <c r="BQ422" s="1142"/>
      <c r="BR422" s="1142"/>
      <c r="BS422" s="1142"/>
      <c r="BT422" s="1142"/>
      <c r="BU422" s="1478"/>
      <c r="BV422" s="1070"/>
    </row>
    <row r="423" spans="1:16378" ht="15" thickBot="1" x14ac:dyDescent="0.35">
      <c r="A423" s="1710"/>
      <c r="B423" s="1515"/>
      <c r="C423" s="1515"/>
      <c r="D423" s="1515"/>
      <c r="E423" s="1515"/>
      <c r="F423" s="1515"/>
      <c r="G423" s="1515"/>
      <c r="H423" s="1515"/>
      <c r="I423" s="1515"/>
      <c r="J423" s="1515"/>
      <c r="K423" s="1515"/>
      <c r="L423" s="1515"/>
      <c r="M423" s="1515"/>
      <c r="N423" s="1515"/>
      <c r="O423" s="1515"/>
      <c r="P423" s="1515"/>
      <c r="Q423" s="1515"/>
      <c r="R423" s="1515"/>
      <c r="S423" s="1515"/>
      <c r="T423" s="1515"/>
      <c r="U423" s="1515"/>
      <c r="V423" s="1515"/>
      <c r="W423" s="1515"/>
      <c r="X423" s="1515"/>
      <c r="Y423" s="1515"/>
      <c r="Z423" s="1515"/>
      <c r="AA423" s="1515"/>
      <c r="AB423" s="1515"/>
      <c r="AC423" s="1515"/>
      <c r="AD423" s="1515"/>
      <c r="AE423" s="1515"/>
      <c r="AF423" s="1515"/>
      <c r="AG423" s="1515"/>
      <c r="AH423" s="1515"/>
      <c r="AI423" s="1515"/>
      <c r="AJ423" s="1711"/>
      <c r="AK423" s="1515"/>
      <c r="AL423" s="1515"/>
      <c r="AM423" s="1515"/>
      <c r="AN423" s="1515"/>
      <c r="AO423" s="1712"/>
      <c r="AP423" s="1515"/>
      <c r="AQ423" s="1515"/>
      <c r="AR423" s="1515"/>
      <c r="AS423" s="1515"/>
      <c r="AT423" s="1515"/>
      <c r="AU423" s="1515"/>
      <c r="AV423" s="1515"/>
      <c r="AW423" s="1515"/>
      <c r="AX423" s="1515"/>
      <c r="AY423" s="1515"/>
      <c r="AZ423" s="1515"/>
      <c r="BA423" s="1515"/>
      <c r="BB423" s="1515"/>
      <c r="BC423" s="1515"/>
      <c r="BD423" s="1515"/>
      <c r="BE423" s="1515"/>
      <c r="BF423" s="1515"/>
      <c r="BG423" s="1515"/>
      <c r="BH423" s="1515"/>
      <c r="BI423" s="1515"/>
      <c r="BJ423" s="1515"/>
      <c r="BK423" s="1515"/>
      <c r="BL423" s="1515"/>
      <c r="BM423" s="1515"/>
      <c r="BN423" s="1515"/>
      <c r="BO423" s="1515"/>
      <c r="BP423" s="1515"/>
      <c r="BQ423" s="1515"/>
      <c r="BR423" s="1515"/>
      <c r="BS423" s="1515"/>
      <c r="BT423" s="1515"/>
      <c r="BU423" s="1516"/>
      <c r="BV423" s="1070"/>
    </row>
    <row r="424" spans="1:16378" x14ac:dyDescent="0.3">
      <c r="A424" s="1070"/>
      <c r="B424" s="1070"/>
      <c r="C424" s="1070"/>
      <c r="D424" s="1070"/>
      <c r="E424" s="1070"/>
      <c r="F424" s="1070"/>
      <c r="G424" s="1070"/>
      <c r="H424" s="1070"/>
      <c r="I424" s="1070"/>
      <c r="J424" s="1070"/>
      <c r="K424" s="1070"/>
      <c r="L424" s="1070"/>
      <c r="M424" s="1070"/>
      <c r="N424" s="1070"/>
      <c r="O424" s="1070"/>
      <c r="P424" s="1070"/>
      <c r="Q424" s="1070"/>
      <c r="R424" s="1070"/>
      <c r="S424" s="1070"/>
      <c r="T424" s="1070"/>
      <c r="U424" s="1070"/>
      <c r="V424" s="1070"/>
      <c r="W424" s="1070"/>
      <c r="X424" s="1070"/>
      <c r="Y424" s="1070"/>
      <c r="Z424" s="1070"/>
      <c r="AA424" s="1070"/>
      <c r="AB424" s="1070"/>
      <c r="AC424" s="1070"/>
      <c r="AD424" s="1070"/>
      <c r="AE424" s="1070"/>
      <c r="AF424" s="1070"/>
      <c r="AG424" s="1070"/>
      <c r="AH424" s="1070"/>
      <c r="AI424" s="1070"/>
      <c r="AJ424" s="1070"/>
      <c r="AK424" s="1070"/>
      <c r="AL424" s="1070"/>
      <c r="AM424" s="1070"/>
      <c r="AN424" s="1070"/>
      <c r="AO424" s="1070"/>
      <c r="AP424" s="1070"/>
      <c r="AQ424" s="1070"/>
      <c r="AR424" s="1070"/>
      <c r="AS424" s="1070"/>
      <c r="AT424" s="1070"/>
      <c r="AU424" s="1070"/>
      <c r="AV424" s="1070"/>
      <c r="AW424" s="1070"/>
      <c r="AX424" s="1070"/>
      <c r="AY424" s="1070"/>
      <c r="AZ424" s="1070"/>
      <c r="BA424" s="1070"/>
      <c r="BB424" s="1070"/>
      <c r="BC424" s="1070"/>
      <c r="BD424" s="1070"/>
      <c r="BE424" s="1070"/>
      <c r="BF424" s="1070"/>
      <c r="BG424" s="1070"/>
      <c r="BH424" s="1070"/>
      <c r="BI424" s="1070"/>
      <c r="BJ424" s="1070"/>
      <c r="BK424" s="1070"/>
      <c r="BL424" s="1070"/>
      <c r="BM424" s="1070"/>
      <c r="BN424" s="1070"/>
      <c r="BO424" s="1070"/>
      <c r="BP424" s="1070"/>
      <c r="BQ424" s="1070"/>
      <c r="BR424" s="1070"/>
      <c r="BS424" s="1070"/>
      <c r="BT424" s="1070"/>
      <c r="BU424" s="1070"/>
      <c r="BV424" s="1070"/>
    </row>
    <row r="425" spans="1:16378" s="1070" customFormat="1" ht="9.9" customHeight="1" x14ac:dyDescent="0.3">
      <c r="A425" s="1824"/>
      <c r="B425" s="1824"/>
      <c r="C425" s="1824"/>
      <c r="D425" s="1824"/>
      <c r="E425" s="1824"/>
      <c r="F425" s="1824"/>
      <c r="G425" s="1824"/>
      <c r="H425" s="1824"/>
      <c r="I425" s="1824"/>
      <c r="J425" s="1824"/>
      <c r="K425" s="1824"/>
      <c r="L425" s="1824"/>
      <c r="M425" s="1824"/>
      <c r="N425" s="1824"/>
      <c r="O425" s="1824"/>
      <c r="P425" s="1824"/>
      <c r="Q425" s="1824"/>
      <c r="R425" s="1824"/>
      <c r="S425" s="1824"/>
      <c r="T425" s="1824"/>
      <c r="U425" s="1824"/>
      <c r="V425" s="1824"/>
      <c r="W425" s="1824"/>
      <c r="X425" s="1824"/>
      <c r="Y425" s="1824"/>
      <c r="Z425" s="1824"/>
      <c r="AA425" s="1824"/>
      <c r="AB425" s="1824"/>
      <c r="AC425" s="1824"/>
      <c r="AD425" s="1824"/>
      <c r="AE425" s="1824"/>
      <c r="AF425" s="1824"/>
      <c r="AG425" s="1824"/>
      <c r="AH425" s="1824"/>
      <c r="AI425" s="1824"/>
      <c r="AJ425" s="1824"/>
      <c r="AK425" s="1824"/>
      <c r="AL425" s="1824"/>
      <c r="AM425" s="1824"/>
      <c r="AN425" s="1824"/>
      <c r="AO425" s="1824"/>
      <c r="AP425" s="1824"/>
      <c r="AQ425" s="1824"/>
      <c r="AR425" s="1824"/>
      <c r="AS425" s="1824"/>
      <c r="AT425" s="1824"/>
      <c r="AU425" s="1824"/>
      <c r="AV425" s="1824"/>
      <c r="AW425" s="1824"/>
      <c r="AX425" s="1824"/>
      <c r="AY425" s="1824"/>
      <c r="AZ425" s="1824"/>
      <c r="BA425" s="1824"/>
      <c r="BB425" s="1824"/>
      <c r="BC425" s="1824"/>
      <c r="BD425" s="1824"/>
      <c r="BE425" s="1824"/>
      <c r="BF425" s="1824"/>
      <c r="BG425" s="1824"/>
      <c r="BH425" s="1824"/>
      <c r="BI425" s="1824"/>
      <c r="BJ425" s="1824"/>
      <c r="BK425" s="1824"/>
      <c r="BL425" s="1824"/>
      <c r="BM425" s="1824"/>
      <c r="BN425" s="1824"/>
      <c r="BO425" s="1824"/>
      <c r="BP425" s="1824"/>
      <c r="BQ425" s="1824"/>
      <c r="BR425" s="1824"/>
      <c r="BS425" s="1824"/>
      <c r="BT425" s="1824"/>
      <c r="BU425" s="1824"/>
      <c r="BV425" s="1824"/>
      <c r="BW425" s="1824"/>
      <c r="BX425" s="1824"/>
      <c r="BY425" s="1824"/>
      <c r="BZ425" s="1824"/>
      <c r="CA425" s="1824"/>
      <c r="CB425" s="1824"/>
      <c r="CC425" s="1824"/>
      <c r="CD425" s="1824"/>
      <c r="CE425" s="1824"/>
      <c r="CF425" s="1824"/>
      <c r="CG425" s="1824"/>
      <c r="CH425" s="1824"/>
      <c r="CI425" s="1824"/>
      <c r="CJ425" s="1824"/>
      <c r="CK425" s="1824"/>
      <c r="CL425" s="1824"/>
      <c r="CM425" s="1824"/>
      <c r="CN425" s="1824"/>
      <c r="CO425" s="1824"/>
      <c r="CP425" s="1824"/>
      <c r="CQ425" s="1824"/>
      <c r="CR425" s="1824"/>
      <c r="CS425" s="1824"/>
      <c r="CT425" s="1824"/>
      <c r="CU425" s="1824"/>
      <c r="CV425" s="1824"/>
      <c r="CW425" s="1824"/>
      <c r="CX425" s="1824"/>
      <c r="CY425" s="1824"/>
      <c r="CZ425" s="1824"/>
      <c r="DA425" s="1824"/>
      <c r="DB425" s="1824"/>
      <c r="DC425" s="1824"/>
      <c r="DD425" s="1824"/>
      <c r="DE425" s="1824"/>
      <c r="DF425" s="1824"/>
      <c r="DG425" s="1824"/>
      <c r="DH425" s="1824"/>
      <c r="DI425" s="1824"/>
      <c r="DJ425" s="1824"/>
      <c r="DK425" s="1824"/>
      <c r="DL425" s="1824"/>
      <c r="DM425" s="1824"/>
      <c r="DN425" s="1824"/>
      <c r="DO425" s="1824"/>
      <c r="DP425" s="1824"/>
      <c r="DQ425" s="1824"/>
      <c r="DR425" s="1824"/>
      <c r="DS425" s="1824"/>
      <c r="DT425" s="1824"/>
      <c r="DU425" s="1824"/>
      <c r="DV425" s="1824"/>
      <c r="DW425" s="1824"/>
      <c r="DX425" s="1824"/>
      <c r="DY425" s="1824"/>
      <c r="DZ425" s="1824"/>
      <c r="EA425" s="1824"/>
      <c r="EB425" s="1824"/>
      <c r="EC425" s="1824"/>
      <c r="ED425" s="1824"/>
      <c r="EE425" s="1824"/>
      <c r="EF425" s="1824"/>
      <c r="EG425" s="1824"/>
      <c r="EH425" s="1824"/>
      <c r="EI425" s="1824"/>
      <c r="EJ425" s="1824"/>
      <c r="EK425" s="1824"/>
      <c r="EL425" s="1824"/>
      <c r="EM425" s="1824"/>
      <c r="EN425" s="1824"/>
      <c r="EO425" s="1824"/>
      <c r="EP425" s="1824"/>
      <c r="EQ425" s="1824"/>
      <c r="ER425" s="1824"/>
      <c r="ES425" s="1824"/>
      <c r="ET425" s="1824"/>
      <c r="EU425" s="1824"/>
      <c r="EV425" s="1824"/>
      <c r="EW425" s="1824"/>
      <c r="EX425" s="1824"/>
      <c r="EY425" s="1824"/>
      <c r="EZ425" s="1824"/>
      <c r="FA425" s="1824"/>
      <c r="FB425" s="1824"/>
      <c r="FC425" s="1824"/>
      <c r="FD425" s="1824"/>
      <c r="FE425" s="1824"/>
      <c r="FF425" s="1824"/>
      <c r="FG425" s="1824"/>
      <c r="FH425" s="1824"/>
      <c r="FI425" s="1824"/>
      <c r="FJ425" s="1824"/>
      <c r="FK425" s="1824"/>
      <c r="FL425" s="1824"/>
      <c r="FM425" s="1824"/>
      <c r="FN425" s="1824"/>
      <c r="FO425" s="1824"/>
      <c r="FP425" s="1824"/>
      <c r="FQ425" s="1824"/>
      <c r="FR425" s="1824"/>
      <c r="FS425" s="1824"/>
      <c r="FT425" s="1824"/>
      <c r="FU425" s="1824"/>
      <c r="FV425" s="1824"/>
      <c r="FW425" s="1824"/>
      <c r="FX425" s="1824"/>
      <c r="FY425" s="1824"/>
      <c r="FZ425" s="1824"/>
      <c r="GA425" s="1824"/>
      <c r="GB425" s="1824"/>
      <c r="GC425" s="1824"/>
      <c r="GD425" s="1824"/>
      <c r="GE425" s="1824"/>
      <c r="GF425" s="1824"/>
      <c r="GG425" s="1824"/>
      <c r="GH425" s="1824"/>
      <c r="GI425" s="1824"/>
      <c r="GJ425" s="1824"/>
      <c r="GK425" s="1824"/>
      <c r="GL425" s="1824"/>
      <c r="GM425" s="1824"/>
      <c r="GN425" s="1824"/>
      <c r="GO425" s="1824"/>
      <c r="GP425" s="1824"/>
      <c r="GQ425" s="1824"/>
      <c r="GR425" s="1824"/>
      <c r="GS425" s="1824"/>
      <c r="GT425" s="1824"/>
      <c r="GU425" s="1824"/>
      <c r="GV425" s="1824"/>
      <c r="GW425" s="1824"/>
      <c r="GX425" s="1824"/>
      <c r="GY425" s="1824"/>
      <c r="GZ425" s="1824"/>
      <c r="HA425" s="1824"/>
      <c r="HB425" s="1824"/>
      <c r="HC425" s="1824"/>
      <c r="HD425" s="1824"/>
      <c r="HE425" s="1824"/>
      <c r="HF425" s="1824"/>
      <c r="HG425" s="1824"/>
      <c r="HH425" s="1824"/>
      <c r="HI425" s="1824"/>
      <c r="HJ425" s="1824"/>
      <c r="HK425" s="1824"/>
      <c r="HL425" s="1824"/>
      <c r="HM425" s="1824"/>
      <c r="HN425" s="1824"/>
      <c r="HO425" s="1824"/>
      <c r="HP425" s="1824"/>
      <c r="HQ425" s="1824"/>
      <c r="HR425" s="1824"/>
      <c r="HS425" s="1824"/>
      <c r="HT425" s="1824"/>
      <c r="HU425" s="1824"/>
      <c r="HV425" s="1824"/>
      <c r="HW425" s="1824"/>
      <c r="HX425" s="1824"/>
      <c r="HY425" s="1824"/>
      <c r="HZ425" s="1824"/>
      <c r="IA425" s="1824"/>
      <c r="IB425" s="1824"/>
      <c r="IC425" s="1824"/>
      <c r="ID425" s="1824"/>
      <c r="IE425" s="1824"/>
      <c r="IF425" s="1824"/>
      <c r="IG425" s="1824"/>
      <c r="IH425" s="1824"/>
      <c r="II425" s="1824"/>
      <c r="IJ425" s="1824"/>
      <c r="IK425" s="1824"/>
      <c r="IL425" s="1824"/>
      <c r="IM425" s="1824"/>
      <c r="IN425" s="1824"/>
      <c r="IO425" s="1824"/>
      <c r="IP425" s="1824"/>
      <c r="IQ425" s="1824"/>
      <c r="IR425" s="1824"/>
      <c r="IS425" s="1824"/>
      <c r="IT425" s="1824"/>
      <c r="IU425" s="1824"/>
      <c r="IV425" s="1824"/>
      <c r="IW425" s="1824"/>
      <c r="IX425" s="1824"/>
      <c r="IY425" s="1824"/>
      <c r="IZ425" s="1824"/>
      <c r="JA425" s="1824"/>
      <c r="JB425" s="1824"/>
      <c r="JC425" s="1824"/>
      <c r="JD425" s="1824"/>
      <c r="JE425" s="1824"/>
      <c r="JF425" s="1824"/>
      <c r="JG425" s="1824"/>
      <c r="JH425" s="1824"/>
      <c r="JI425" s="1824"/>
      <c r="JJ425" s="1824"/>
      <c r="JK425" s="1824"/>
      <c r="JL425" s="1824"/>
      <c r="JM425" s="1824"/>
      <c r="JN425" s="1824"/>
      <c r="JO425" s="1824"/>
      <c r="JP425" s="1824"/>
      <c r="JQ425" s="1824"/>
      <c r="JR425" s="1824"/>
      <c r="JS425" s="1824"/>
      <c r="JT425" s="1824"/>
      <c r="JU425" s="1824"/>
      <c r="JV425" s="1824"/>
      <c r="JW425" s="1824"/>
      <c r="JX425" s="1824"/>
      <c r="JY425" s="1824"/>
      <c r="JZ425" s="1824"/>
      <c r="KA425" s="1824"/>
      <c r="KB425" s="1824"/>
      <c r="KC425" s="1824"/>
      <c r="KD425" s="1824"/>
      <c r="KE425" s="1824"/>
      <c r="KF425" s="1824"/>
      <c r="KG425" s="1824"/>
      <c r="KH425" s="1824"/>
      <c r="KI425" s="1824"/>
      <c r="KJ425" s="1824"/>
      <c r="KK425" s="1824"/>
      <c r="KL425" s="1824"/>
      <c r="KM425" s="1824"/>
      <c r="KN425" s="1824"/>
      <c r="KO425" s="1824"/>
      <c r="KP425" s="1824"/>
      <c r="KQ425" s="1824"/>
      <c r="KR425" s="1824"/>
      <c r="KS425" s="1824"/>
      <c r="KT425" s="1824"/>
      <c r="KU425" s="1824"/>
      <c r="KV425" s="1824"/>
      <c r="KW425" s="1824"/>
      <c r="KX425" s="1824"/>
      <c r="KY425" s="1824"/>
      <c r="KZ425" s="1824"/>
      <c r="LA425" s="1824"/>
      <c r="LB425" s="1824"/>
      <c r="LC425" s="1824"/>
      <c r="LD425" s="1824"/>
      <c r="LE425" s="1824"/>
      <c r="LF425" s="1824"/>
      <c r="LG425" s="1824"/>
      <c r="LH425" s="1824"/>
      <c r="LI425" s="1824"/>
      <c r="LJ425" s="1824"/>
      <c r="LK425" s="1824"/>
      <c r="LL425" s="1824"/>
      <c r="LM425" s="1824"/>
      <c r="LN425" s="1824"/>
      <c r="LO425" s="1824"/>
      <c r="LP425" s="1824"/>
      <c r="LQ425" s="1824"/>
      <c r="LR425" s="1824"/>
      <c r="LS425" s="1824"/>
      <c r="LT425" s="1824"/>
      <c r="LU425" s="1824"/>
      <c r="LV425" s="1824"/>
      <c r="LW425" s="1824"/>
      <c r="LX425" s="1824"/>
      <c r="LY425" s="1824"/>
      <c r="LZ425" s="1824"/>
      <c r="MA425" s="1824"/>
      <c r="MB425" s="1824"/>
      <c r="MC425" s="1824"/>
      <c r="MD425" s="1824"/>
      <c r="ME425" s="1824"/>
      <c r="MF425" s="1824"/>
      <c r="MG425" s="1824"/>
      <c r="MH425" s="1824"/>
      <c r="MI425" s="1824"/>
      <c r="MJ425" s="1824"/>
      <c r="MK425" s="1824"/>
      <c r="ML425" s="1824"/>
      <c r="MM425" s="1824"/>
      <c r="MN425" s="1824"/>
      <c r="MO425" s="1824"/>
      <c r="MP425" s="1824"/>
      <c r="MQ425" s="1824"/>
      <c r="MR425" s="1824"/>
      <c r="MS425" s="1824"/>
      <c r="MT425" s="1824"/>
      <c r="MU425" s="1824"/>
      <c r="MV425" s="1824"/>
      <c r="MW425" s="1824"/>
      <c r="MX425" s="1824"/>
      <c r="MY425" s="1824"/>
      <c r="MZ425" s="1824"/>
      <c r="NA425" s="1824"/>
      <c r="NB425" s="1824"/>
      <c r="NC425" s="1824"/>
      <c r="ND425" s="1824"/>
      <c r="NE425" s="1824"/>
      <c r="NF425" s="1824"/>
      <c r="NG425" s="1824"/>
      <c r="NH425" s="1824"/>
      <c r="NI425" s="1824"/>
      <c r="NJ425" s="1824"/>
      <c r="NK425" s="1824"/>
      <c r="NL425" s="1824"/>
      <c r="NM425" s="1824"/>
      <c r="NN425" s="1824"/>
      <c r="NO425" s="1824"/>
      <c r="NP425" s="1824"/>
      <c r="NQ425" s="1824"/>
      <c r="NR425" s="1824"/>
      <c r="NS425" s="1824"/>
      <c r="NT425" s="1824"/>
      <c r="NU425" s="1824"/>
      <c r="NV425" s="1824"/>
      <c r="NW425" s="1824"/>
      <c r="NX425" s="1824"/>
      <c r="NY425" s="1824"/>
      <c r="NZ425" s="1824"/>
      <c r="OA425" s="1824"/>
      <c r="OB425" s="1824"/>
      <c r="OC425" s="1824"/>
      <c r="OD425" s="1824"/>
      <c r="OE425" s="1824"/>
      <c r="OF425" s="1824"/>
      <c r="OG425" s="1824"/>
      <c r="OH425" s="1824"/>
      <c r="OI425" s="1824"/>
      <c r="OJ425" s="1824"/>
      <c r="OK425" s="1824"/>
      <c r="OL425" s="1824"/>
      <c r="OM425" s="1824"/>
      <c r="ON425" s="1824"/>
      <c r="OO425" s="1824"/>
      <c r="OP425" s="1824"/>
      <c r="OQ425" s="1824"/>
      <c r="OR425" s="1824"/>
      <c r="OS425" s="1824"/>
      <c r="OT425" s="1824"/>
      <c r="OU425" s="1824"/>
      <c r="OV425" s="1824"/>
      <c r="OW425" s="1824"/>
      <c r="OX425" s="1824"/>
      <c r="OY425" s="1824"/>
      <c r="OZ425" s="1824"/>
      <c r="PA425" s="1824"/>
      <c r="PB425" s="1824"/>
      <c r="PC425" s="1824"/>
      <c r="PD425" s="1824"/>
      <c r="PE425" s="1824"/>
      <c r="PF425" s="1824"/>
      <c r="PG425" s="1824"/>
      <c r="PH425" s="1824"/>
      <c r="PI425" s="1824"/>
      <c r="PJ425" s="1824"/>
      <c r="PK425" s="1824"/>
      <c r="PL425" s="1824"/>
      <c r="PM425" s="1824"/>
      <c r="PN425" s="1824"/>
      <c r="PO425" s="1824"/>
      <c r="PP425" s="1824"/>
      <c r="PQ425" s="1824"/>
      <c r="PR425" s="1824"/>
      <c r="PS425" s="1824"/>
      <c r="PT425" s="1824"/>
      <c r="PU425" s="1824"/>
      <c r="PV425" s="1824"/>
      <c r="PW425" s="1824"/>
      <c r="PX425" s="1824"/>
      <c r="PY425" s="1824"/>
      <c r="PZ425" s="1824"/>
      <c r="QA425" s="1824"/>
      <c r="QB425" s="1824"/>
      <c r="QC425" s="1824"/>
      <c r="QD425" s="1824"/>
      <c r="QE425" s="1824"/>
      <c r="QF425" s="1824"/>
      <c r="QG425" s="1824"/>
      <c r="QH425" s="1824"/>
      <c r="QI425" s="1824"/>
      <c r="QJ425" s="1824"/>
      <c r="QK425" s="1824"/>
      <c r="QL425" s="1824"/>
      <c r="QM425" s="1824"/>
      <c r="QN425" s="1824"/>
      <c r="QO425" s="1824"/>
      <c r="QP425" s="1824"/>
      <c r="QQ425" s="1824"/>
      <c r="QR425" s="1824"/>
      <c r="QS425" s="1824"/>
      <c r="QT425" s="1824"/>
      <c r="QU425" s="1824"/>
      <c r="QV425" s="1824"/>
      <c r="QW425" s="1824"/>
      <c r="QX425" s="1824"/>
      <c r="QY425" s="1824"/>
      <c r="QZ425" s="1824"/>
      <c r="RA425" s="1824"/>
      <c r="RB425" s="1824"/>
      <c r="RC425" s="1824"/>
      <c r="RD425" s="1824"/>
      <c r="RE425" s="1824"/>
      <c r="RF425" s="1824"/>
      <c r="RG425" s="1824"/>
      <c r="RH425" s="1824"/>
      <c r="RI425" s="1824"/>
      <c r="RJ425" s="1824"/>
      <c r="RK425" s="1824"/>
      <c r="RL425" s="1824"/>
      <c r="RM425" s="1824"/>
      <c r="RN425" s="1824"/>
      <c r="RO425" s="1824"/>
      <c r="RP425" s="1824"/>
      <c r="RQ425" s="1824"/>
      <c r="RR425" s="1824"/>
      <c r="RS425" s="1824"/>
      <c r="RT425" s="1824"/>
      <c r="RU425" s="1824"/>
      <c r="RV425" s="1824"/>
      <c r="RW425" s="1824"/>
      <c r="RX425" s="1824"/>
      <c r="RY425" s="1824"/>
      <c r="RZ425" s="1824"/>
      <c r="SA425" s="1824"/>
      <c r="SB425" s="1824"/>
      <c r="SC425" s="1824"/>
      <c r="SD425" s="1824"/>
      <c r="SE425" s="1824"/>
      <c r="SF425" s="1824"/>
      <c r="SG425" s="1824"/>
      <c r="SH425" s="1824"/>
      <c r="SI425" s="1824"/>
      <c r="SJ425" s="1824"/>
      <c r="SK425" s="1824"/>
      <c r="SL425" s="1824"/>
      <c r="SM425" s="1824"/>
      <c r="SN425" s="1824"/>
      <c r="SO425" s="1824"/>
      <c r="SP425" s="1824"/>
      <c r="SQ425" s="1824"/>
      <c r="SR425" s="1824"/>
      <c r="SS425" s="1824"/>
      <c r="ST425" s="1824"/>
      <c r="SU425" s="1824"/>
      <c r="SV425" s="1824"/>
      <c r="SW425" s="1824"/>
      <c r="SX425" s="1824"/>
      <c r="SY425" s="1824"/>
      <c r="SZ425" s="1824"/>
      <c r="TA425" s="1824"/>
      <c r="TB425" s="1824"/>
      <c r="TC425" s="1824"/>
      <c r="TD425" s="1824"/>
      <c r="TE425" s="1824"/>
      <c r="TF425" s="1824"/>
      <c r="TG425" s="1824"/>
      <c r="TH425" s="1824"/>
      <c r="TI425" s="1824"/>
      <c r="TJ425" s="1824"/>
      <c r="TK425" s="1824"/>
      <c r="TL425" s="1824"/>
      <c r="TM425" s="1824"/>
      <c r="TN425" s="1824"/>
      <c r="TO425" s="1824"/>
      <c r="TP425" s="1824"/>
      <c r="TQ425" s="1824"/>
      <c r="TR425" s="1824"/>
      <c r="TS425" s="1824"/>
      <c r="TT425" s="1824"/>
      <c r="TU425" s="1824"/>
      <c r="TV425" s="1824"/>
      <c r="TW425" s="1824"/>
      <c r="TX425" s="1824"/>
      <c r="TY425" s="1824"/>
      <c r="TZ425" s="1824"/>
      <c r="UA425" s="1824"/>
      <c r="UB425" s="1824"/>
      <c r="UC425" s="1824"/>
      <c r="UD425" s="1824"/>
      <c r="UE425" s="1824"/>
      <c r="UF425" s="1824"/>
      <c r="UG425" s="1824"/>
      <c r="UH425" s="1824"/>
      <c r="UI425" s="1824"/>
      <c r="UJ425" s="1824"/>
      <c r="UK425" s="1824"/>
      <c r="UL425" s="1824"/>
      <c r="UM425" s="1824"/>
      <c r="UN425" s="1824"/>
      <c r="UO425" s="1824"/>
      <c r="UP425" s="1824"/>
      <c r="UQ425" s="1824"/>
      <c r="UR425" s="1824"/>
      <c r="US425" s="1824"/>
      <c r="UT425" s="1824"/>
      <c r="UU425" s="1824"/>
      <c r="UV425" s="1824"/>
      <c r="UW425" s="1824"/>
      <c r="UX425" s="1824"/>
      <c r="UY425" s="1824"/>
      <c r="UZ425" s="1824"/>
      <c r="VA425" s="1824"/>
      <c r="VB425" s="1824"/>
      <c r="VC425" s="1824"/>
      <c r="VD425" s="1824"/>
      <c r="VE425" s="1824"/>
      <c r="VF425" s="1824"/>
      <c r="VG425" s="1824"/>
      <c r="VH425" s="1824"/>
      <c r="VI425" s="1824"/>
      <c r="VJ425" s="1824"/>
      <c r="VK425" s="1824"/>
      <c r="VL425" s="1824"/>
      <c r="VM425" s="1824"/>
      <c r="VN425" s="1824"/>
      <c r="VO425" s="1824"/>
      <c r="VP425" s="1824"/>
      <c r="VQ425" s="1824"/>
      <c r="VR425" s="1824"/>
      <c r="VS425" s="1824"/>
      <c r="VT425" s="1824"/>
      <c r="VU425" s="1824"/>
      <c r="VV425" s="1824"/>
      <c r="VW425" s="1824"/>
      <c r="VX425" s="1824"/>
      <c r="VY425" s="1824"/>
      <c r="VZ425" s="1824"/>
      <c r="WA425" s="1824"/>
      <c r="WB425" s="1824"/>
      <c r="WC425" s="1824"/>
      <c r="WD425" s="1824"/>
      <c r="WE425" s="1824"/>
      <c r="WF425" s="1824"/>
      <c r="WG425" s="1824"/>
      <c r="WH425" s="1824"/>
      <c r="WI425" s="1824"/>
      <c r="WJ425" s="1824"/>
      <c r="WK425" s="1824"/>
      <c r="WL425" s="1824"/>
      <c r="WM425" s="1824"/>
      <c r="WN425" s="1824"/>
      <c r="WO425" s="1824"/>
      <c r="WP425" s="1824"/>
      <c r="WQ425" s="1824"/>
      <c r="WR425" s="1824"/>
      <c r="WS425" s="1824"/>
      <c r="WT425" s="1824"/>
      <c r="WU425" s="1824"/>
      <c r="WV425" s="1824"/>
      <c r="WW425" s="1824"/>
      <c r="WX425" s="1824"/>
      <c r="WY425" s="1824"/>
      <c r="WZ425" s="1824"/>
      <c r="XA425" s="1824"/>
      <c r="XB425" s="1824"/>
      <c r="XC425" s="1824"/>
      <c r="XD425" s="1824"/>
      <c r="XE425" s="1824"/>
      <c r="XF425" s="1824"/>
      <c r="XG425" s="1824"/>
      <c r="XH425" s="1824"/>
      <c r="XI425" s="1824"/>
      <c r="XJ425" s="1824"/>
      <c r="XK425" s="1824"/>
      <c r="XL425" s="1824"/>
      <c r="XM425" s="1824"/>
      <c r="XN425" s="1824"/>
      <c r="XO425" s="1824"/>
      <c r="XP425" s="1824"/>
      <c r="XQ425" s="1824"/>
      <c r="XR425" s="1824"/>
      <c r="XS425" s="1824"/>
      <c r="XT425" s="1824"/>
      <c r="XU425" s="1824"/>
      <c r="XV425" s="1824"/>
      <c r="XW425" s="1824"/>
      <c r="XX425" s="1824"/>
      <c r="XY425" s="1824"/>
      <c r="XZ425" s="1824"/>
      <c r="YA425" s="1824"/>
      <c r="YB425" s="1824"/>
      <c r="YC425" s="1824"/>
      <c r="YD425" s="1824"/>
      <c r="YE425" s="1824"/>
      <c r="YF425" s="1824"/>
      <c r="YG425" s="1824"/>
      <c r="YH425" s="1824"/>
      <c r="YI425" s="1824"/>
      <c r="YJ425" s="1824"/>
      <c r="YK425" s="1824"/>
      <c r="YL425" s="1824"/>
      <c r="YM425" s="1824"/>
      <c r="YN425" s="1824"/>
      <c r="YO425" s="1824"/>
      <c r="YP425" s="1824"/>
      <c r="YQ425" s="1824"/>
      <c r="YR425" s="1824"/>
      <c r="YS425" s="1824"/>
      <c r="YT425" s="1824"/>
      <c r="YU425" s="1824"/>
      <c r="YV425" s="1824"/>
      <c r="YW425" s="1824"/>
      <c r="YX425" s="1824"/>
      <c r="YY425" s="1824"/>
      <c r="YZ425" s="1824"/>
      <c r="ZA425" s="1824"/>
      <c r="ZB425" s="1824"/>
      <c r="ZC425" s="1824"/>
      <c r="ZD425" s="1824"/>
      <c r="ZE425" s="1824"/>
      <c r="ZF425" s="1824"/>
      <c r="ZG425" s="1824"/>
      <c r="ZH425" s="1824"/>
      <c r="ZI425" s="1824"/>
      <c r="ZJ425" s="1824"/>
      <c r="ZK425" s="1824"/>
      <c r="ZL425" s="1824"/>
      <c r="ZM425" s="1824"/>
      <c r="ZN425" s="1824"/>
      <c r="ZO425" s="1824"/>
      <c r="ZP425" s="1824"/>
      <c r="ZQ425" s="1824"/>
      <c r="ZR425" s="1824"/>
      <c r="ZS425" s="1824"/>
      <c r="ZT425" s="1824"/>
      <c r="ZU425" s="1824"/>
      <c r="ZV425" s="1824"/>
      <c r="ZW425" s="1824"/>
      <c r="ZX425" s="1824"/>
      <c r="ZY425" s="1824"/>
      <c r="ZZ425" s="1824"/>
      <c r="AAA425" s="1824"/>
      <c r="AAB425" s="1824"/>
      <c r="AAC425" s="1824"/>
      <c r="AAD425" s="1824"/>
      <c r="AAE425" s="1824"/>
      <c r="AAF425" s="1824"/>
      <c r="AAG425" s="1824"/>
      <c r="AAH425" s="1824"/>
      <c r="AAI425" s="1824"/>
      <c r="AAJ425" s="1824"/>
      <c r="AAK425" s="1824"/>
      <c r="AAL425" s="1824"/>
      <c r="AAM425" s="1824"/>
      <c r="AAN425" s="1824"/>
      <c r="AAO425" s="1824"/>
      <c r="AAP425" s="1824"/>
      <c r="AAQ425" s="1824"/>
      <c r="AAR425" s="1824"/>
      <c r="AAS425" s="1824"/>
      <c r="AAT425" s="1824"/>
      <c r="AAU425" s="1824"/>
      <c r="AAV425" s="1824"/>
      <c r="AAW425" s="1824"/>
      <c r="AAX425" s="1824"/>
      <c r="AAY425" s="1824"/>
      <c r="AAZ425" s="1824"/>
      <c r="ABA425" s="1824"/>
      <c r="ABB425" s="1824"/>
      <c r="ABC425" s="1824"/>
      <c r="ABD425" s="1824"/>
      <c r="ABE425" s="1824"/>
      <c r="ABF425" s="1824"/>
      <c r="ABG425" s="1824"/>
      <c r="ABH425" s="1824"/>
      <c r="ABI425" s="1824"/>
      <c r="ABJ425" s="1824"/>
      <c r="ABK425" s="1824"/>
      <c r="ABL425" s="1824"/>
      <c r="ABM425" s="1824"/>
      <c r="ABN425" s="1824"/>
      <c r="ABO425" s="1824"/>
      <c r="ABP425" s="1824"/>
      <c r="ABQ425" s="1824"/>
      <c r="ABR425" s="1824"/>
      <c r="ABS425" s="1824"/>
      <c r="ABT425" s="1824"/>
      <c r="ABU425" s="1824"/>
      <c r="ABV425" s="1824"/>
      <c r="ABW425" s="1824"/>
      <c r="ABX425" s="1824"/>
      <c r="ABY425" s="1824"/>
      <c r="ABZ425" s="1824"/>
      <c r="ACA425" s="1824"/>
      <c r="ACB425" s="1824"/>
      <c r="ACC425" s="1824"/>
      <c r="ACD425" s="1824"/>
      <c r="ACE425" s="1824"/>
      <c r="ACF425" s="1824"/>
      <c r="ACG425" s="1824"/>
      <c r="ACH425" s="1824"/>
      <c r="ACI425" s="1824"/>
      <c r="ACJ425" s="1824"/>
      <c r="ACK425" s="1824"/>
      <c r="ACL425" s="1824"/>
      <c r="ACM425" s="1824"/>
      <c r="ACN425" s="1824"/>
      <c r="ACO425" s="1824"/>
      <c r="ACP425" s="1824"/>
      <c r="ACQ425" s="1824"/>
      <c r="ACR425" s="1824"/>
      <c r="ACS425" s="1824"/>
      <c r="ACT425" s="1824"/>
      <c r="ACU425" s="1824"/>
      <c r="ACV425" s="1824"/>
      <c r="ACW425" s="1824"/>
      <c r="ACX425" s="1824"/>
      <c r="ACY425" s="1824"/>
      <c r="ACZ425" s="1824"/>
      <c r="ADA425" s="1824"/>
      <c r="ADB425" s="1824"/>
      <c r="ADC425" s="1824"/>
      <c r="ADD425" s="1824"/>
      <c r="ADE425" s="1824"/>
      <c r="ADF425" s="1824"/>
      <c r="ADG425" s="1824"/>
      <c r="ADH425" s="1824"/>
      <c r="ADI425" s="1824"/>
      <c r="ADJ425" s="1824"/>
      <c r="ADK425" s="1824"/>
      <c r="ADL425" s="1824"/>
      <c r="ADM425" s="1824"/>
      <c r="ADN425" s="1824"/>
      <c r="ADO425" s="1824"/>
      <c r="ADP425" s="1824"/>
      <c r="ADQ425" s="1824"/>
      <c r="ADR425" s="1824"/>
      <c r="ADS425" s="1824"/>
      <c r="ADT425" s="1824"/>
      <c r="ADU425" s="1824"/>
      <c r="ADV425" s="1824"/>
      <c r="ADW425" s="1824"/>
      <c r="ADX425" s="1824"/>
      <c r="ADY425" s="1824"/>
      <c r="ADZ425" s="1824"/>
      <c r="AEA425" s="1824"/>
      <c r="AEB425" s="1824"/>
      <c r="AEC425" s="1824"/>
      <c r="AED425" s="1824"/>
      <c r="AEE425" s="1824"/>
      <c r="AEF425" s="1824"/>
      <c r="AEG425" s="1824"/>
      <c r="AEH425" s="1824"/>
      <c r="AEI425" s="1824"/>
      <c r="AEJ425" s="1824"/>
      <c r="AEK425" s="1824"/>
      <c r="AEL425" s="1824"/>
      <c r="AEM425" s="1824"/>
      <c r="AEN425" s="1824"/>
      <c r="AEO425" s="1824"/>
      <c r="AEP425" s="1824"/>
      <c r="AEQ425" s="1824"/>
      <c r="AER425" s="1824"/>
      <c r="AES425" s="1824"/>
      <c r="AET425" s="1824"/>
      <c r="AEU425" s="1824"/>
      <c r="AEV425" s="1824"/>
      <c r="AEW425" s="1824"/>
      <c r="AEX425" s="1824"/>
      <c r="AEY425" s="1824"/>
      <c r="AEZ425" s="1824"/>
      <c r="AFA425" s="1824"/>
      <c r="AFB425" s="1824"/>
      <c r="AFC425" s="1824"/>
      <c r="AFD425" s="1824"/>
      <c r="AFE425" s="1824"/>
      <c r="AFF425" s="1824"/>
      <c r="AFG425" s="1824"/>
      <c r="AFH425" s="1824"/>
      <c r="AFI425" s="1824"/>
      <c r="AFJ425" s="1824"/>
      <c r="AFK425" s="1824"/>
      <c r="AFL425" s="1824"/>
      <c r="AFM425" s="1824"/>
      <c r="AFN425" s="1824"/>
      <c r="AFO425" s="1824"/>
      <c r="AFP425" s="1824"/>
      <c r="AFQ425" s="1824"/>
      <c r="AFR425" s="1824"/>
      <c r="AFS425" s="1824"/>
      <c r="AFT425" s="1824"/>
      <c r="AFU425" s="1824"/>
      <c r="AFV425" s="1824"/>
      <c r="AFW425" s="1824"/>
      <c r="AFX425" s="1824"/>
      <c r="AFY425" s="1824"/>
      <c r="AFZ425" s="1824"/>
      <c r="AGA425" s="1824"/>
      <c r="AGB425" s="1824"/>
      <c r="AGC425" s="1824"/>
      <c r="AGD425" s="1824"/>
      <c r="AGE425" s="1824"/>
      <c r="AGF425" s="1824"/>
      <c r="AGG425" s="1824"/>
      <c r="AGH425" s="1824"/>
      <c r="AGI425" s="1824"/>
      <c r="AGJ425" s="1824"/>
      <c r="AGK425" s="1824"/>
      <c r="AGL425" s="1824"/>
      <c r="AGM425" s="1824"/>
      <c r="AGN425" s="1824"/>
      <c r="AGO425" s="1824"/>
      <c r="AGP425" s="1824"/>
      <c r="AGQ425" s="1824"/>
      <c r="AGR425" s="1824"/>
      <c r="AGS425" s="1824"/>
      <c r="AGT425" s="1824"/>
      <c r="AGU425" s="1824"/>
      <c r="AGV425" s="1824"/>
      <c r="AGW425" s="1824"/>
      <c r="AGX425" s="1824"/>
      <c r="AGY425" s="1824"/>
      <c r="AGZ425" s="1824"/>
      <c r="AHA425" s="1824"/>
      <c r="AHB425" s="1824"/>
      <c r="AHC425" s="1824"/>
      <c r="AHD425" s="1824"/>
      <c r="AHE425" s="1824"/>
      <c r="AHF425" s="1824"/>
      <c r="AHG425" s="1824"/>
      <c r="AHH425" s="1824"/>
      <c r="AHI425" s="1824"/>
      <c r="AHJ425" s="1824"/>
      <c r="AHK425" s="1824"/>
      <c r="AHL425" s="1824"/>
      <c r="AHM425" s="1824"/>
      <c r="AHN425" s="1824"/>
      <c r="AHO425" s="1824"/>
      <c r="AHP425" s="1824"/>
      <c r="AHQ425" s="1824"/>
      <c r="AHR425" s="1824"/>
      <c r="AHS425" s="1824"/>
      <c r="AHT425" s="1824"/>
      <c r="AHU425" s="1824"/>
      <c r="AHV425" s="1824"/>
      <c r="AHW425" s="1824"/>
      <c r="AHX425" s="1824"/>
      <c r="AHY425" s="1824"/>
      <c r="AHZ425" s="1824"/>
      <c r="AIA425" s="1824"/>
      <c r="AIB425" s="1824"/>
      <c r="AIC425" s="1824"/>
      <c r="AID425" s="1824"/>
      <c r="AIE425" s="1824"/>
      <c r="AIF425" s="1824"/>
      <c r="AIG425" s="1824"/>
      <c r="AIH425" s="1824"/>
      <c r="AII425" s="1824"/>
      <c r="AIJ425" s="1824"/>
      <c r="AIK425" s="1824"/>
      <c r="AIL425" s="1824"/>
      <c r="AIM425" s="1824"/>
      <c r="AIN425" s="1824"/>
      <c r="AIO425" s="1824"/>
      <c r="AIP425" s="1824"/>
      <c r="AIQ425" s="1824"/>
      <c r="AIR425" s="1824"/>
      <c r="AIS425" s="1824"/>
      <c r="AIT425" s="1824"/>
      <c r="AIU425" s="1824"/>
      <c r="AIV425" s="1824"/>
      <c r="AIW425" s="1824"/>
      <c r="AIX425" s="1824"/>
      <c r="AIY425" s="1824"/>
      <c r="AIZ425" s="1824"/>
      <c r="AJA425" s="1824"/>
      <c r="AJB425" s="1824"/>
      <c r="AJC425" s="1824"/>
      <c r="AJD425" s="1824"/>
      <c r="AJE425" s="1824"/>
      <c r="AJF425" s="1824"/>
      <c r="AJG425" s="1824"/>
      <c r="AJH425" s="1824"/>
      <c r="AJI425" s="1824"/>
      <c r="AJJ425" s="1824"/>
      <c r="AJK425" s="1824"/>
      <c r="AJL425" s="1824"/>
      <c r="AJM425" s="1824"/>
      <c r="AJN425" s="1824"/>
      <c r="AJO425" s="1824"/>
      <c r="AJP425" s="1824"/>
      <c r="AJQ425" s="1824"/>
      <c r="AJR425" s="1824"/>
      <c r="AJS425" s="1824"/>
      <c r="AJT425" s="1824"/>
      <c r="AJU425" s="1824"/>
      <c r="AJV425" s="1824"/>
      <c r="AJW425" s="1824"/>
      <c r="AJX425" s="1824"/>
      <c r="AJY425" s="1824"/>
      <c r="AJZ425" s="1824"/>
      <c r="AKA425" s="1824"/>
      <c r="AKB425" s="1824"/>
      <c r="AKC425" s="1824"/>
      <c r="AKD425" s="1824"/>
      <c r="AKE425" s="1824"/>
      <c r="AKF425" s="1824"/>
      <c r="AKG425" s="1824"/>
      <c r="AKH425" s="1824"/>
      <c r="AKI425" s="1824"/>
      <c r="AKJ425" s="1824"/>
      <c r="AKK425" s="1824"/>
      <c r="AKL425" s="1824"/>
      <c r="AKM425" s="1824"/>
      <c r="AKN425" s="1824"/>
      <c r="AKO425" s="1824"/>
      <c r="AKP425" s="1824"/>
      <c r="AKQ425" s="1824"/>
      <c r="AKR425" s="1824"/>
      <c r="AKS425" s="1824"/>
      <c r="AKT425" s="1824"/>
      <c r="AKU425" s="1824"/>
      <c r="AKV425" s="1824"/>
      <c r="AKW425" s="1824"/>
      <c r="AKX425" s="1824"/>
      <c r="AKY425" s="1824"/>
      <c r="AKZ425" s="1824"/>
      <c r="ALA425" s="1824"/>
      <c r="ALB425" s="1824"/>
      <c r="ALC425" s="1824"/>
      <c r="ALD425" s="1824"/>
      <c r="ALE425" s="1824"/>
      <c r="ALF425" s="1824"/>
      <c r="ALG425" s="1824"/>
      <c r="ALH425" s="1824"/>
      <c r="ALI425" s="1824"/>
      <c r="ALJ425" s="1824"/>
      <c r="ALK425" s="1824"/>
      <c r="ALL425" s="1824"/>
      <c r="ALM425" s="1824"/>
      <c r="ALN425" s="1824"/>
      <c r="ALO425" s="1824"/>
      <c r="ALP425" s="1824"/>
      <c r="ALQ425" s="1824"/>
      <c r="ALR425" s="1824"/>
      <c r="ALS425" s="1824"/>
      <c r="ALT425" s="1824"/>
      <c r="ALU425" s="1824"/>
      <c r="ALV425" s="1824"/>
      <c r="ALW425" s="1824"/>
      <c r="ALX425" s="1824"/>
      <c r="ALY425" s="1824"/>
      <c r="ALZ425" s="1824"/>
      <c r="AMA425" s="1824"/>
      <c r="AMB425" s="1824"/>
      <c r="AMC425" s="1824"/>
      <c r="AMD425" s="1824"/>
      <c r="AME425" s="1824"/>
      <c r="AMF425" s="1824"/>
      <c r="AMG425" s="1824"/>
      <c r="AMH425" s="1824"/>
      <c r="AMI425" s="1824"/>
      <c r="AMJ425" s="1824"/>
      <c r="AMK425" s="1824"/>
      <c r="AML425" s="1824"/>
      <c r="AMM425" s="1824"/>
      <c r="AMN425" s="1824"/>
      <c r="AMO425" s="1824"/>
      <c r="AMP425" s="1824"/>
      <c r="AMQ425" s="1824"/>
      <c r="AMR425" s="1824"/>
      <c r="AMS425" s="1824"/>
      <c r="AMT425" s="1824"/>
      <c r="AMU425" s="1824"/>
      <c r="AMV425" s="1824"/>
      <c r="AMW425" s="1824"/>
      <c r="AMX425" s="1824"/>
      <c r="AMY425" s="1824"/>
      <c r="AMZ425" s="1824"/>
      <c r="ANA425" s="1824"/>
      <c r="ANB425" s="1824"/>
      <c r="ANC425" s="1824"/>
      <c r="AND425" s="1824"/>
      <c r="ANE425" s="1824"/>
      <c r="ANF425" s="1824"/>
      <c r="ANG425" s="1824"/>
      <c r="ANH425" s="1824"/>
      <c r="ANI425" s="1824"/>
      <c r="ANJ425" s="1824"/>
      <c r="ANK425" s="1824"/>
      <c r="ANL425" s="1824"/>
      <c r="ANM425" s="1824"/>
      <c r="ANN425" s="1824"/>
      <c r="ANO425" s="1824"/>
      <c r="ANP425" s="1824"/>
      <c r="ANQ425" s="1824"/>
      <c r="ANR425" s="1824"/>
      <c r="ANS425" s="1824"/>
      <c r="ANT425" s="1824"/>
      <c r="ANU425" s="1824"/>
      <c r="ANV425" s="1824"/>
      <c r="ANW425" s="1824"/>
      <c r="ANX425" s="1824"/>
      <c r="ANY425" s="1824"/>
      <c r="ANZ425" s="1824"/>
      <c r="AOA425" s="1824"/>
      <c r="AOB425" s="1824"/>
      <c r="AOC425" s="1824"/>
      <c r="AOD425" s="1824"/>
      <c r="AOE425" s="1824"/>
      <c r="AOF425" s="1824"/>
      <c r="AOG425" s="1824"/>
      <c r="AOH425" s="1824"/>
      <c r="AOI425" s="1824"/>
      <c r="AOJ425" s="1824"/>
      <c r="AOK425" s="1824"/>
      <c r="AOL425" s="1824"/>
      <c r="AOM425" s="1824"/>
      <c r="AON425" s="1824"/>
      <c r="AOO425" s="1824"/>
      <c r="AOP425" s="1824"/>
      <c r="AOQ425" s="1824"/>
      <c r="AOR425" s="1824"/>
      <c r="AOS425" s="1824"/>
      <c r="AOT425" s="1824"/>
      <c r="AOU425" s="1824"/>
      <c r="AOV425" s="1824"/>
      <c r="AOW425" s="1824"/>
      <c r="AOX425" s="1824"/>
      <c r="AOY425" s="1824"/>
      <c r="AOZ425" s="1824"/>
      <c r="APA425" s="1824"/>
      <c r="APB425" s="1824"/>
      <c r="APC425" s="1824"/>
      <c r="APD425" s="1824"/>
      <c r="APE425" s="1824"/>
      <c r="APF425" s="1824"/>
      <c r="APG425" s="1824"/>
      <c r="APH425" s="1824"/>
      <c r="API425" s="1824"/>
      <c r="APJ425" s="1824"/>
      <c r="APK425" s="1824"/>
      <c r="APL425" s="1824"/>
      <c r="APM425" s="1824"/>
      <c r="APN425" s="1824"/>
      <c r="APO425" s="1824"/>
      <c r="APP425" s="1824"/>
      <c r="APQ425" s="1824"/>
      <c r="APR425" s="1824"/>
      <c r="APS425" s="1824"/>
      <c r="APT425" s="1824"/>
      <c r="APU425" s="1824"/>
      <c r="APV425" s="1824"/>
      <c r="APW425" s="1824"/>
      <c r="APX425" s="1824"/>
      <c r="APY425" s="1824"/>
      <c r="APZ425" s="1824"/>
      <c r="AQA425" s="1824"/>
      <c r="AQB425" s="1824"/>
      <c r="AQC425" s="1824"/>
      <c r="AQD425" s="1824"/>
      <c r="AQE425" s="1824"/>
      <c r="AQF425" s="1824"/>
      <c r="AQG425" s="1824"/>
      <c r="AQH425" s="1824"/>
      <c r="AQI425" s="1824"/>
      <c r="AQJ425" s="1824"/>
      <c r="AQK425" s="1824"/>
      <c r="AQL425" s="1824"/>
      <c r="AQM425" s="1824"/>
      <c r="AQN425" s="1824"/>
      <c r="AQO425" s="1824"/>
      <c r="AQP425" s="1824"/>
      <c r="AQQ425" s="1824"/>
      <c r="AQR425" s="1824"/>
      <c r="AQS425" s="1824"/>
      <c r="AQT425" s="1824"/>
      <c r="AQU425" s="1824"/>
      <c r="AQV425" s="1824"/>
      <c r="AQW425" s="1824"/>
      <c r="AQX425" s="1824"/>
      <c r="AQY425" s="1824"/>
      <c r="AQZ425" s="1824"/>
      <c r="ARA425" s="1824"/>
      <c r="ARB425" s="1824"/>
      <c r="ARC425" s="1824"/>
      <c r="ARD425" s="1824"/>
      <c r="ARE425" s="1824"/>
      <c r="ARF425" s="1824"/>
      <c r="ARG425" s="1824"/>
      <c r="ARH425" s="1824"/>
      <c r="ARI425" s="1824"/>
      <c r="ARJ425" s="1824"/>
      <c r="ARK425" s="1824"/>
      <c r="ARL425" s="1824"/>
      <c r="ARM425" s="1824"/>
      <c r="ARN425" s="1824"/>
      <c r="ARO425" s="1824"/>
      <c r="ARP425" s="1824"/>
      <c r="ARQ425" s="1824"/>
      <c r="ARR425" s="1824"/>
      <c r="ARS425" s="1824"/>
      <c r="ART425" s="1824"/>
      <c r="ARU425" s="1824"/>
      <c r="ARV425" s="1824"/>
      <c r="ARW425" s="1824"/>
      <c r="ARX425" s="1824"/>
      <c r="ARY425" s="1824"/>
      <c r="ARZ425" s="1824"/>
      <c r="ASA425" s="1824"/>
      <c r="ASB425" s="1824"/>
      <c r="ASC425" s="1824"/>
      <c r="ASD425" s="1824"/>
      <c r="ASE425" s="1824"/>
      <c r="ASF425" s="1824"/>
      <c r="ASG425" s="1824"/>
      <c r="ASH425" s="1824"/>
      <c r="ASI425" s="1824"/>
      <c r="ASJ425" s="1824"/>
      <c r="ASK425" s="1824"/>
      <c r="ASL425" s="1824"/>
      <c r="ASM425" s="1824"/>
      <c r="ASN425" s="1824"/>
      <c r="ASO425" s="1824"/>
      <c r="ASP425" s="1824"/>
      <c r="ASQ425" s="1824"/>
      <c r="ASR425" s="1824"/>
      <c r="ASS425" s="1824"/>
      <c r="AST425" s="1824"/>
      <c r="ASU425" s="1824"/>
      <c r="ASV425" s="1824"/>
      <c r="ASW425" s="1824"/>
      <c r="ASX425" s="1824"/>
      <c r="ASY425" s="1824"/>
      <c r="ASZ425" s="1824"/>
      <c r="ATA425" s="1824"/>
      <c r="ATB425" s="1824"/>
      <c r="ATC425" s="1824"/>
      <c r="ATD425" s="1824"/>
      <c r="ATE425" s="1824"/>
      <c r="ATF425" s="1824"/>
      <c r="ATG425" s="1824"/>
      <c r="ATH425" s="1824"/>
      <c r="ATI425" s="1824"/>
      <c r="ATJ425" s="1824"/>
      <c r="ATK425" s="1824"/>
      <c r="ATL425" s="1824"/>
      <c r="ATM425" s="1824"/>
      <c r="ATN425" s="1824"/>
      <c r="ATO425" s="1824"/>
      <c r="ATP425" s="1824"/>
      <c r="ATQ425" s="1824"/>
      <c r="ATR425" s="1824"/>
      <c r="ATS425" s="1824"/>
      <c r="ATT425" s="1824"/>
      <c r="ATU425" s="1824"/>
      <c r="ATV425" s="1824"/>
      <c r="ATW425" s="1824"/>
      <c r="ATX425" s="1824"/>
      <c r="ATY425" s="1824"/>
      <c r="ATZ425" s="1824"/>
      <c r="AUA425" s="1824"/>
      <c r="AUB425" s="1824"/>
      <c r="AUC425" s="1824"/>
      <c r="AUD425" s="1824"/>
      <c r="AUE425" s="1824"/>
      <c r="AUF425" s="1824"/>
      <c r="AUG425" s="1824"/>
      <c r="AUH425" s="1824"/>
      <c r="AUI425" s="1824"/>
      <c r="AUJ425" s="1824"/>
      <c r="AUK425" s="1824"/>
      <c r="AUL425" s="1824"/>
      <c r="AUM425" s="1824"/>
      <c r="AUN425" s="1824"/>
      <c r="AUO425" s="1824"/>
      <c r="AUP425" s="1824"/>
      <c r="AUQ425" s="1824"/>
      <c r="AUR425" s="1824"/>
      <c r="AUS425" s="1824"/>
      <c r="AUT425" s="1824"/>
      <c r="AUU425" s="1824"/>
      <c r="AUV425" s="1824"/>
      <c r="AUW425" s="1824"/>
      <c r="AUX425" s="1824"/>
      <c r="AUY425" s="1824"/>
      <c r="AUZ425" s="1824"/>
      <c r="AVA425" s="1824"/>
      <c r="AVB425" s="1824"/>
      <c r="AVC425" s="1824"/>
      <c r="AVD425" s="1824"/>
      <c r="AVE425" s="1824"/>
      <c r="AVF425" s="1824"/>
      <c r="AVG425" s="1824"/>
      <c r="AVH425" s="1824"/>
      <c r="AVI425" s="1824"/>
      <c r="AVJ425" s="1824"/>
      <c r="AVK425" s="1824"/>
      <c r="AVL425" s="1824"/>
      <c r="AVM425" s="1824"/>
      <c r="AVN425" s="1824"/>
      <c r="AVO425" s="1824"/>
      <c r="AVP425" s="1824"/>
      <c r="AVQ425" s="1824"/>
      <c r="AVR425" s="1824"/>
      <c r="AVS425" s="1824"/>
      <c r="AVT425" s="1824"/>
      <c r="AVU425" s="1824"/>
      <c r="AVV425" s="1824"/>
      <c r="AVW425" s="1824"/>
      <c r="AVX425" s="1824"/>
      <c r="AVY425" s="1824"/>
      <c r="AVZ425" s="1824"/>
      <c r="AWA425" s="1824"/>
      <c r="AWB425" s="1824"/>
      <c r="AWC425" s="1824"/>
      <c r="AWD425" s="1824"/>
      <c r="AWE425" s="1824"/>
      <c r="AWF425" s="1824"/>
      <c r="AWG425" s="1824"/>
      <c r="AWH425" s="1824"/>
      <c r="AWI425" s="1824"/>
      <c r="AWJ425" s="1824"/>
      <c r="AWK425" s="1824"/>
      <c r="AWL425" s="1824"/>
      <c r="AWM425" s="1824"/>
      <c r="AWN425" s="1824"/>
      <c r="AWO425" s="1824"/>
      <c r="AWP425" s="1824"/>
      <c r="AWQ425" s="1824"/>
      <c r="AWR425" s="1824"/>
      <c r="AWS425" s="1824"/>
      <c r="AWT425" s="1824"/>
      <c r="AWU425" s="1824"/>
      <c r="AWV425" s="1824"/>
      <c r="AWW425" s="1824"/>
      <c r="AWX425" s="1824"/>
      <c r="AWY425" s="1824"/>
      <c r="AWZ425" s="1824"/>
      <c r="AXA425" s="1824"/>
      <c r="AXB425" s="1824"/>
      <c r="AXC425" s="1824"/>
      <c r="AXD425" s="1824"/>
      <c r="AXE425" s="1824"/>
      <c r="AXF425" s="1824"/>
      <c r="AXG425" s="1824"/>
      <c r="AXH425" s="1824"/>
      <c r="AXI425" s="1824"/>
      <c r="AXJ425" s="1824"/>
      <c r="AXK425" s="1824"/>
      <c r="AXL425" s="1824"/>
      <c r="AXM425" s="1824"/>
      <c r="AXN425" s="1824"/>
      <c r="AXO425" s="1824"/>
      <c r="AXP425" s="1824"/>
      <c r="AXQ425" s="1824"/>
      <c r="AXR425" s="1824"/>
      <c r="AXS425" s="1824"/>
      <c r="AXT425" s="1824"/>
      <c r="AXU425" s="1824"/>
      <c r="AXV425" s="1824"/>
      <c r="AXW425" s="1824"/>
      <c r="AXX425" s="1824"/>
      <c r="AXY425" s="1824"/>
      <c r="AXZ425" s="1824"/>
      <c r="AYA425" s="1824"/>
      <c r="AYB425" s="1824"/>
      <c r="AYC425" s="1824"/>
      <c r="AYD425" s="1824"/>
      <c r="AYE425" s="1824"/>
      <c r="AYF425" s="1824"/>
      <c r="AYG425" s="1824"/>
      <c r="AYH425" s="1824"/>
      <c r="AYI425" s="1824"/>
      <c r="AYJ425" s="1824"/>
      <c r="AYK425" s="1824"/>
      <c r="AYL425" s="1824"/>
      <c r="AYM425" s="1824"/>
      <c r="AYN425" s="1824"/>
      <c r="AYO425" s="1824"/>
      <c r="AYP425" s="1824"/>
      <c r="AYQ425" s="1824"/>
      <c r="AYR425" s="1824"/>
      <c r="AYS425" s="1824"/>
      <c r="AYT425" s="1824"/>
      <c r="AYU425" s="1824"/>
      <c r="AYV425" s="1824"/>
      <c r="AYW425" s="1824"/>
      <c r="AYX425" s="1824"/>
      <c r="AYY425" s="1824"/>
      <c r="AYZ425" s="1824"/>
      <c r="AZA425" s="1824"/>
      <c r="AZB425" s="1824"/>
      <c r="AZC425" s="1824"/>
      <c r="AZD425" s="1824"/>
      <c r="AZE425" s="1824"/>
      <c r="AZF425" s="1824"/>
      <c r="AZG425" s="1824"/>
      <c r="AZH425" s="1824"/>
      <c r="AZI425" s="1824"/>
      <c r="AZJ425" s="1824"/>
      <c r="AZK425" s="1824"/>
      <c r="AZL425" s="1824"/>
      <c r="AZM425" s="1824"/>
      <c r="AZN425" s="1824"/>
      <c r="AZO425" s="1824"/>
      <c r="AZP425" s="1824"/>
      <c r="AZQ425" s="1824"/>
      <c r="AZR425" s="1824"/>
      <c r="AZS425" s="1824"/>
      <c r="AZT425" s="1824"/>
      <c r="AZU425" s="1824"/>
      <c r="AZV425" s="1824"/>
      <c r="AZW425" s="1824"/>
      <c r="AZX425" s="1824"/>
      <c r="AZY425" s="1824"/>
      <c r="AZZ425" s="1824"/>
      <c r="BAA425" s="1824"/>
      <c r="BAB425" s="1824"/>
      <c r="BAC425" s="1824"/>
      <c r="BAD425" s="1824"/>
      <c r="BAE425" s="1824"/>
      <c r="BAF425" s="1824"/>
      <c r="BAG425" s="1824"/>
      <c r="BAH425" s="1824"/>
      <c r="BAI425" s="1824"/>
      <c r="BAJ425" s="1824"/>
      <c r="BAK425" s="1824"/>
      <c r="BAL425" s="1824"/>
      <c r="BAM425" s="1824"/>
      <c r="BAN425" s="1824"/>
      <c r="BAO425" s="1824"/>
      <c r="BAP425" s="1824"/>
      <c r="BAQ425" s="1824"/>
      <c r="BAR425" s="1824"/>
      <c r="BAS425" s="1824"/>
      <c r="BAT425" s="1824"/>
      <c r="BAU425" s="1824"/>
      <c r="BAV425" s="1824"/>
      <c r="BAW425" s="1824"/>
      <c r="BAX425" s="1824"/>
      <c r="BAY425" s="1824"/>
      <c r="BAZ425" s="1824"/>
      <c r="BBA425" s="1824"/>
      <c r="BBB425" s="1824"/>
      <c r="BBC425" s="1824"/>
      <c r="BBD425" s="1824"/>
      <c r="BBE425" s="1824"/>
      <c r="BBF425" s="1824"/>
      <c r="BBG425" s="1824"/>
      <c r="BBH425" s="1824"/>
      <c r="BBI425" s="1824"/>
      <c r="BBJ425" s="1824"/>
      <c r="BBK425" s="1824"/>
      <c r="BBL425" s="1824"/>
      <c r="BBM425" s="1824"/>
      <c r="BBN425" s="1824"/>
      <c r="BBO425" s="1824"/>
      <c r="BBP425" s="1824"/>
      <c r="BBQ425" s="1824"/>
      <c r="BBR425" s="1824"/>
      <c r="BBS425" s="1824"/>
      <c r="BBT425" s="1824"/>
      <c r="BBU425" s="1824"/>
      <c r="BBV425" s="1824"/>
      <c r="BBW425" s="1824"/>
      <c r="BBX425" s="1824"/>
      <c r="BBY425" s="1824"/>
      <c r="BBZ425" s="1824"/>
      <c r="BCA425" s="1824"/>
      <c r="BCB425" s="1824"/>
      <c r="BCC425" s="1824"/>
      <c r="BCD425" s="1824"/>
      <c r="BCE425" s="1824"/>
      <c r="BCF425" s="1824"/>
      <c r="BCG425" s="1824"/>
      <c r="BCH425" s="1824"/>
      <c r="BCI425" s="1824"/>
      <c r="BCJ425" s="1824"/>
      <c r="BCK425" s="1824"/>
      <c r="BCL425" s="1824"/>
      <c r="BCM425" s="1824"/>
      <c r="BCN425" s="1824"/>
      <c r="BCO425" s="1824"/>
      <c r="BCP425" s="1824"/>
      <c r="BCQ425" s="1824"/>
      <c r="BCR425" s="1824"/>
      <c r="BCS425" s="1824"/>
      <c r="BCT425" s="1824"/>
      <c r="BCU425" s="1824"/>
      <c r="BCV425" s="1824"/>
      <c r="BCW425" s="1824"/>
      <c r="BCX425" s="1824"/>
      <c r="BCY425" s="1824"/>
      <c r="BCZ425" s="1824"/>
      <c r="BDA425" s="1824"/>
      <c r="BDB425" s="1824"/>
      <c r="BDC425" s="1824"/>
      <c r="BDD425" s="1824"/>
      <c r="BDE425" s="1824"/>
      <c r="BDF425" s="1824"/>
      <c r="BDG425" s="1824"/>
      <c r="BDH425" s="1824"/>
      <c r="BDI425" s="1824"/>
      <c r="BDJ425" s="1824"/>
      <c r="BDK425" s="1824"/>
      <c r="BDL425" s="1824"/>
      <c r="BDM425" s="1824"/>
      <c r="BDN425" s="1824"/>
      <c r="BDO425" s="1824"/>
      <c r="BDP425" s="1824"/>
      <c r="BDQ425" s="1824"/>
      <c r="BDR425" s="1824"/>
      <c r="BDS425" s="1824"/>
      <c r="BDT425" s="1824"/>
      <c r="BDU425" s="1824"/>
      <c r="BDV425" s="1824"/>
      <c r="BDW425" s="1824"/>
      <c r="BDX425" s="1824"/>
      <c r="BDY425" s="1824"/>
      <c r="BDZ425" s="1824"/>
      <c r="BEA425" s="1824"/>
      <c r="BEB425" s="1824"/>
      <c r="BEC425" s="1824"/>
      <c r="BED425" s="1824"/>
      <c r="BEE425" s="1824"/>
      <c r="BEF425" s="1824"/>
      <c r="BEG425" s="1824"/>
      <c r="BEH425" s="1824"/>
      <c r="BEI425" s="1824"/>
      <c r="BEJ425" s="1824"/>
      <c r="BEK425" s="1824"/>
      <c r="BEL425" s="1824"/>
      <c r="BEM425" s="1824"/>
      <c r="BEN425" s="1824"/>
      <c r="BEO425" s="1824"/>
      <c r="BEP425" s="1824"/>
      <c r="BEQ425" s="1824"/>
      <c r="BER425" s="1824"/>
      <c r="BES425" s="1824"/>
      <c r="BET425" s="1824"/>
      <c r="BEU425" s="1824"/>
      <c r="BEV425" s="1824"/>
      <c r="BEW425" s="1824"/>
      <c r="BEX425" s="1824"/>
      <c r="BEY425" s="1824"/>
      <c r="BEZ425" s="1824"/>
      <c r="BFA425" s="1824"/>
      <c r="BFB425" s="1824"/>
      <c r="BFC425" s="1824"/>
      <c r="BFD425" s="1824"/>
      <c r="BFE425" s="1824"/>
      <c r="BFF425" s="1824"/>
      <c r="BFG425" s="1824"/>
      <c r="BFH425" s="1824"/>
      <c r="BFI425" s="1824"/>
      <c r="BFJ425" s="1824"/>
      <c r="BFK425" s="1824"/>
      <c r="BFL425" s="1824"/>
      <c r="BFM425" s="1824"/>
      <c r="BFN425" s="1824"/>
      <c r="BFO425" s="1824"/>
      <c r="BFP425" s="1824"/>
      <c r="BFQ425" s="1824"/>
      <c r="BFR425" s="1824"/>
      <c r="BFS425" s="1824"/>
      <c r="BFT425" s="1824"/>
      <c r="BFU425" s="1824"/>
      <c r="BFV425" s="1824"/>
      <c r="BFW425" s="1824"/>
      <c r="BFX425" s="1824"/>
      <c r="BFY425" s="1824"/>
      <c r="BFZ425" s="1824"/>
      <c r="BGA425" s="1824"/>
      <c r="BGB425" s="1824"/>
      <c r="BGC425" s="1824"/>
      <c r="BGD425" s="1824"/>
      <c r="BGE425" s="1824"/>
      <c r="BGF425" s="1824"/>
      <c r="BGG425" s="1824"/>
      <c r="BGH425" s="1824"/>
      <c r="BGI425" s="1824"/>
      <c r="BGJ425" s="1824"/>
      <c r="BGK425" s="1824"/>
      <c r="BGL425" s="1824"/>
      <c r="BGM425" s="1824"/>
      <c r="BGN425" s="1824"/>
      <c r="BGO425" s="1824"/>
      <c r="BGP425" s="1824"/>
      <c r="BGQ425" s="1824"/>
      <c r="BGR425" s="1824"/>
      <c r="BGS425" s="1824"/>
      <c r="BGT425" s="1824"/>
      <c r="BGU425" s="1824"/>
      <c r="BGV425" s="1824"/>
      <c r="BGW425" s="1824"/>
      <c r="BGX425" s="1824"/>
      <c r="BGY425" s="1824"/>
      <c r="BGZ425" s="1824"/>
      <c r="BHA425" s="1824"/>
      <c r="BHB425" s="1824"/>
      <c r="BHC425" s="1824"/>
      <c r="BHD425" s="1824"/>
      <c r="BHE425" s="1824"/>
      <c r="BHF425" s="1824"/>
      <c r="BHG425" s="1824"/>
      <c r="BHH425" s="1824"/>
      <c r="BHI425" s="1824"/>
      <c r="BHJ425" s="1824"/>
      <c r="BHK425" s="1824"/>
      <c r="BHL425" s="1824"/>
      <c r="BHM425" s="1824"/>
      <c r="BHN425" s="1824"/>
      <c r="BHO425" s="1824"/>
      <c r="BHP425" s="1824"/>
      <c r="BHQ425" s="1824"/>
      <c r="BHR425" s="1824"/>
      <c r="BHS425" s="1824"/>
      <c r="BHT425" s="1824"/>
      <c r="BHU425" s="1824"/>
      <c r="BHV425" s="1824"/>
      <c r="BHW425" s="1824"/>
      <c r="BHX425" s="1824"/>
      <c r="BHY425" s="1824"/>
      <c r="BHZ425" s="1824"/>
      <c r="BIA425" s="1824"/>
      <c r="BIB425" s="1824"/>
      <c r="BIC425" s="1824"/>
      <c r="BID425" s="1824"/>
      <c r="BIE425" s="1824"/>
      <c r="BIF425" s="1824"/>
      <c r="BIG425" s="1824"/>
      <c r="BIH425" s="1824"/>
      <c r="BII425" s="1824"/>
      <c r="BIJ425" s="1824"/>
      <c r="BIK425" s="1824"/>
      <c r="BIL425" s="1824"/>
      <c r="BIM425" s="1824"/>
      <c r="BIN425" s="1824"/>
      <c r="BIO425" s="1824"/>
      <c r="BIP425" s="1824"/>
      <c r="BIQ425" s="1824"/>
      <c r="BIR425" s="1824"/>
      <c r="BIS425" s="1824"/>
      <c r="BIT425" s="1824"/>
      <c r="BIU425" s="1824"/>
      <c r="BIV425" s="1824"/>
      <c r="BIW425" s="1824"/>
      <c r="BIX425" s="1824"/>
      <c r="BIY425" s="1824"/>
      <c r="BIZ425" s="1824"/>
      <c r="BJA425" s="1824"/>
      <c r="BJB425" s="1824"/>
      <c r="BJC425" s="1824"/>
      <c r="BJD425" s="1824"/>
      <c r="BJE425" s="1824"/>
      <c r="BJF425" s="1824"/>
      <c r="BJG425" s="1824"/>
      <c r="BJH425" s="1824"/>
      <c r="BJI425" s="1824"/>
      <c r="BJJ425" s="1824"/>
      <c r="BJK425" s="1824"/>
      <c r="BJL425" s="1824"/>
      <c r="BJM425" s="1824"/>
      <c r="BJN425" s="1824"/>
      <c r="BJO425" s="1824"/>
      <c r="BJP425" s="1824"/>
      <c r="BJQ425" s="1824"/>
      <c r="BJR425" s="1824"/>
      <c r="BJS425" s="1824"/>
      <c r="BJT425" s="1824"/>
      <c r="BJU425" s="1824"/>
      <c r="BJV425" s="1824"/>
      <c r="BJW425" s="1824"/>
      <c r="BJX425" s="1824"/>
      <c r="BJY425" s="1824"/>
      <c r="BJZ425" s="1824"/>
      <c r="BKA425" s="1824"/>
      <c r="BKB425" s="1824"/>
      <c r="BKC425" s="1824"/>
      <c r="BKD425" s="1824"/>
      <c r="BKE425" s="1824"/>
      <c r="BKF425" s="1824"/>
      <c r="BKG425" s="1824"/>
      <c r="BKH425" s="1824"/>
      <c r="BKI425" s="1824"/>
      <c r="BKJ425" s="1824"/>
      <c r="BKK425" s="1824"/>
      <c r="BKL425" s="1824"/>
      <c r="BKM425" s="1824"/>
      <c r="BKN425" s="1824"/>
      <c r="BKO425" s="1824"/>
      <c r="BKP425" s="1824"/>
      <c r="BKQ425" s="1824"/>
      <c r="BKR425" s="1824"/>
      <c r="BKS425" s="1824"/>
      <c r="BKT425" s="1824"/>
      <c r="BKU425" s="1824"/>
      <c r="BKV425" s="1824"/>
      <c r="BKW425" s="1824"/>
      <c r="BKX425" s="1824"/>
      <c r="BKY425" s="1824"/>
      <c r="BKZ425" s="1824"/>
      <c r="BLA425" s="1824"/>
      <c r="BLB425" s="1824"/>
      <c r="BLC425" s="1824"/>
      <c r="BLD425" s="1824"/>
      <c r="BLE425" s="1824"/>
      <c r="BLF425" s="1824"/>
      <c r="BLG425" s="1824"/>
      <c r="BLH425" s="1824"/>
      <c r="BLI425" s="1824"/>
      <c r="BLJ425" s="1824"/>
      <c r="BLK425" s="1824"/>
      <c r="BLL425" s="1824"/>
      <c r="BLM425" s="1824"/>
      <c r="BLN425" s="1824"/>
      <c r="BLO425" s="1824"/>
      <c r="BLP425" s="1824"/>
      <c r="BLQ425" s="1824"/>
      <c r="BLR425" s="1824"/>
      <c r="BLS425" s="1824"/>
      <c r="BLT425" s="1824"/>
      <c r="BLU425" s="1824"/>
      <c r="BLV425" s="1824"/>
      <c r="BLW425" s="1824"/>
      <c r="BLX425" s="1824"/>
      <c r="BLY425" s="1824"/>
      <c r="BLZ425" s="1824"/>
      <c r="BMA425" s="1824"/>
      <c r="BMB425" s="1824"/>
      <c r="BMC425" s="1824"/>
      <c r="BMD425" s="1824"/>
      <c r="BME425" s="1824"/>
      <c r="BMF425" s="1824"/>
      <c r="BMG425" s="1824"/>
      <c r="BMH425" s="1824"/>
      <c r="BMI425" s="1824"/>
      <c r="BMJ425" s="1824"/>
      <c r="BMK425" s="1824"/>
      <c r="BML425" s="1824"/>
      <c r="BMM425" s="1824"/>
      <c r="BMN425" s="1824"/>
      <c r="BMO425" s="1824"/>
      <c r="BMP425" s="1824"/>
      <c r="BMQ425" s="1824"/>
      <c r="BMR425" s="1824"/>
      <c r="BMS425" s="1824"/>
      <c r="BMT425" s="1824"/>
      <c r="BMU425" s="1824"/>
      <c r="BMV425" s="1824"/>
      <c r="BMW425" s="1824"/>
      <c r="BMX425" s="1824"/>
      <c r="BMY425" s="1824"/>
      <c r="BMZ425" s="1824"/>
      <c r="BNA425" s="1824"/>
      <c r="BNB425" s="1824"/>
      <c r="BNC425" s="1824"/>
      <c r="BND425" s="1824"/>
      <c r="BNE425" s="1824"/>
      <c r="BNF425" s="1824"/>
      <c r="BNG425" s="1824"/>
      <c r="BNH425" s="1824"/>
      <c r="BNI425" s="1824"/>
      <c r="BNJ425" s="1824"/>
      <c r="BNK425" s="1824"/>
      <c r="BNL425" s="1824"/>
      <c r="BNM425" s="1824"/>
      <c r="BNN425" s="1824"/>
      <c r="BNO425" s="1824"/>
      <c r="BNP425" s="1824"/>
      <c r="BNQ425" s="1824"/>
      <c r="BNR425" s="1824"/>
      <c r="BNS425" s="1824"/>
      <c r="BNT425" s="1824"/>
      <c r="BNU425" s="1824"/>
      <c r="BNV425" s="1824"/>
      <c r="BNW425" s="1824"/>
      <c r="BNX425" s="1824"/>
      <c r="BNY425" s="1824"/>
      <c r="BNZ425" s="1824"/>
      <c r="BOA425" s="1824"/>
      <c r="BOB425" s="1824"/>
      <c r="BOC425" s="1824"/>
      <c r="BOD425" s="1824"/>
      <c r="BOE425" s="1824"/>
      <c r="BOF425" s="1824"/>
      <c r="BOG425" s="1824"/>
      <c r="BOH425" s="1824"/>
      <c r="BOI425" s="1824"/>
      <c r="BOJ425" s="1824"/>
      <c r="BOK425" s="1824"/>
      <c r="BOL425" s="1824"/>
      <c r="BOM425" s="1824"/>
      <c r="BON425" s="1824"/>
      <c r="BOO425" s="1824"/>
      <c r="BOP425" s="1824"/>
      <c r="BOQ425" s="1824"/>
      <c r="BOR425" s="1824"/>
      <c r="BOS425" s="1824"/>
      <c r="BOT425" s="1824"/>
      <c r="BOU425" s="1824"/>
      <c r="BOV425" s="1824"/>
      <c r="BOW425" s="1824"/>
      <c r="BOX425" s="1824"/>
      <c r="BOY425" s="1824"/>
      <c r="BOZ425" s="1824"/>
      <c r="BPA425" s="1824"/>
      <c r="BPB425" s="1824"/>
      <c r="BPC425" s="1824"/>
      <c r="BPD425" s="1824"/>
      <c r="BPE425" s="1824"/>
      <c r="BPF425" s="1824"/>
      <c r="BPG425" s="1824"/>
      <c r="BPH425" s="1824"/>
      <c r="BPI425" s="1824"/>
      <c r="BPJ425" s="1824"/>
      <c r="BPK425" s="1824"/>
      <c r="BPL425" s="1824"/>
      <c r="BPM425" s="1824"/>
      <c r="BPN425" s="1824"/>
      <c r="BPO425" s="1824"/>
      <c r="BPP425" s="1824"/>
      <c r="BPQ425" s="1824"/>
      <c r="BPR425" s="1824"/>
      <c r="BPS425" s="1824"/>
      <c r="BPT425" s="1824"/>
      <c r="BPU425" s="1824"/>
      <c r="BPV425" s="1824"/>
      <c r="BPW425" s="1824"/>
      <c r="BPX425" s="1824"/>
      <c r="BPY425" s="1824"/>
      <c r="BPZ425" s="1824"/>
      <c r="BQA425" s="1824"/>
      <c r="BQB425" s="1824"/>
      <c r="BQC425" s="1824"/>
      <c r="BQD425" s="1824"/>
      <c r="BQE425" s="1824"/>
      <c r="BQF425" s="1824"/>
      <c r="BQG425" s="1824"/>
      <c r="BQH425" s="1824"/>
      <c r="BQI425" s="1824"/>
      <c r="BQJ425" s="1824"/>
      <c r="BQK425" s="1824"/>
      <c r="BQL425" s="1824"/>
      <c r="BQM425" s="1824"/>
      <c r="BQN425" s="1824"/>
      <c r="BQO425" s="1824"/>
      <c r="BQP425" s="1824"/>
      <c r="BQQ425" s="1824"/>
      <c r="BQR425" s="1824"/>
      <c r="BQS425" s="1824"/>
      <c r="BQT425" s="1824"/>
      <c r="BQU425" s="1824"/>
      <c r="BQV425" s="1824"/>
      <c r="BQW425" s="1824"/>
      <c r="BQX425" s="1824"/>
      <c r="BQY425" s="1824"/>
      <c r="BQZ425" s="1824"/>
      <c r="BRA425" s="1824"/>
      <c r="BRB425" s="1824"/>
      <c r="BRC425" s="1824"/>
      <c r="BRD425" s="1824"/>
      <c r="BRE425" s="1824"/>
      <c r="BRF425" s="1824"/>
      <c r="BRG425" s="1824"/>
      <c r="BRH425" s="1824"/>
      <c r="BRI425" s="1824"/>
      <c r="BRJ425" s="1824"/>
      <c r="BRK425" s="1824"/>
      <c r="BRL425" s="1824"/>
      <c r="BRM425" s="1824"/>
      <c r="BRN425" s="1824"/>
      <c r="BRO425" s="1824"/>
      <c r="BRP425" s="1824"/>
      <c r="BRQ425" s="1824"/>
      <c r="BRR425" s="1824"/>
      <c r="BRS425" s="1824"/>
      <c r="BRT425" s="1824"/>
      <c r="BRU425" s="1824"/>
      <c r="BRV425" s="1824"/>
      <c r="BRW425" s="1824"/>
      <c r="BRX425" s="1824"/>
      <c r="BRY425" s="1824"/>
      <c r="BRZ425" s="1824"/>
      <c r="BSA425" s="1824"/>
      <c r="BSB425" s="1824"/>
      <c r="BSC425" s="1824"/>
      <c r="BSD425" s="1824"/>
      <c r="BSE425" s="1824"/>
      <c r="BSF425" s="1824"/>
      <c r="BSG425" s="1824"/>
      <c r="BSH425" s="1824"/>
      <c r="BSI425" s="1824"/>
      <c r="BSJ425" s="1824"/>
      <c r="BSK425" s="1824"/>
      <c r="BSL425" s="1824"/>
      <c r="BSM425" s="1824"/>
      <c r="BSN425" s="1824"/>
      <c r="BSO425" s="1824"/>
      <c r="BSP425" s="1824"/>
      <c r="BSQ425" s="1824"/>
      <c r="BSR425" s="1824"/>
      <c r="BSS425" s="1824"/>
      <c r="BST425" s="1824"/>
      <c r="BSU425" s="1824"/>
      <c r="BSV425" s="1824"/>
      <c r="BSW425" s="1824"/>
      <c r="BSX425" s="1824"/>
      <c r="BSY425" s="1824"/>
      <c r="BSZ425" s="1824"/>
      <c r="BTA425" s="1824"/>
      <c r="BTB425" s="1824"/>
      <c r="BTC425" s="1824"/>
      <c r="BTD425" s="1824"/>
      <c r="BTE425" s="1824"/>
      <c r="BTF425" s="1824"/>
      <c r="BTG425" s="1824"/>
      <c r="BTH425" s="1824"/>
      <c r="BTI425" s="1824"/>
      <c r="BTJ425" s="1824"/>
      <c r="BTK425" s="1824"/>
      <c r="BTL425" s="1824"/>
      <c r="BTM425" s="1824"/>
      <c r="BTN425" s="1824"/>
      <c r="BTO425" s="1824"/>
      <c r="BTP425" s="1824"/>
      <c r="BTQ425" s="1824"/>
      <c r="BTR425" s="1824"/>
      <c r="BTS425" s="1824"/>
      <c r="BTT425" s="1824"/>
      <c r="BTU425" s="1824"/>
      <c r="BTV425" s="1824"/>
      <c r="BTW425" s="1824"/>
      <c r="BTX425" s="1824"/>
      <c r="BTY425" s="1824"/>
      <c r="BTZ425" s="1824"/>
      <c r="BUA425" s="1824"/>
      <c r="BUB425" s="1824"/>
      <c r="BUC425" s="1824"/>
      <c r="BUD425" s="1824"/>
      <c r="BUE425" s="1824"/>
      <c r="BUF425" s="1824"/>
      <c r="BUG425" s="1824"/>
      <c r="BUH425" s="1824"/>
      <c r="BUI425" s="1824"/>
      <c r="BUJ425" s="1824"/>
      <c r="BUK425" s="1824"/>
      <c r="BUL425" s="1824"/>
      <c r="BUM425" s="1824"/>
      <c r="BUN425" s="1824"/>
      <c r="BUO425" s="1824"/>
      <c r="BUP425" s="1824"/>
      <c r="BUQ425" s="1824"/>
      <c r="BUR425" s="1824"/>
      <c r="BUS425" s="1824"/>
      <c r="BUT425" s="1824"/>
      <c r="BUU425" s="1824"/>
      <c r="BUV425" s="1824"/>
      <c r="BUW425" s="1824"/>
      <c r="BUX425" s="1824"/>
      <c r="BUY425" s="1824"/>
      <c r="BUZ425" s="1824"/>
      <c r="BVA425" s="1824"/>
      <c r="BVB425" s="1824"/>
      <c r="BVC425" s="1824"/>
      <c r="BVD425" s="1824"/>
      <c r="BVE425" s="1824"/>
      <c r="BVF425" s="1824"/>
      <c r="BVG425" s="1824"/>
      <c r="BVH425" s="1824"/>
      <c r="BVI425" s="1824"/>
      <c r="BVJ425" s="1824"/>
      <c r="BVK425" s="1824"/>
      <c r="BVL425" s="1824"/>
      <c r="BVM425" s="1824"/>
      <c r="BVN425" s="1824"/>
      <c r="BVO425" s="1824"/>
      <c r="BVP425" s="1824"/>
      <c r="BVQ425" s="1824"/>
      <c r="BVR425" s="1824"/>
      <c r="BVS425" s="1824"/>
      <c r="BVT425" s="1824"/>
      <c r="BVU425" s="1824"/>
      <c r="BVV425" s="1824"/>
      <c r="BVW425" s="1824"/>
      <c r="BVX425" s="1824"/>
      <c r="BVY425" s="1824"/>
      <c r="BVZ425" s="1824"/>
      <c r="BWA425" s="1824"/>
      <c r="BWB425" s="1824"/>
      <c r="BWC425" s="1824"/>
      <c r="BWD425" s="1824"/>
      <c r="BWE425" s="1824"/>
      <c r="BWF425" s="1824"/>
      <c r="BWG425" s="1824"/>
      <c r="BWH425" s="1824"/>
      <c r="BWI425" s="1824"/>
      <c r="BWJ425" s="1824"/>
      <c r="BWK425" s="1824"/>
      <c r="BWL425" s="1824"/>
      <c r="BWM425" s="1824"/>
      <c r="BWN425" s="1824"/>
      <c r="BWO425" s="1824"/>
      <c r="BWP425" s="1824"/>
      <c r="BWQ425" s="1824"/>
      <c r="BWR425" s="1824"/>
      <c r="BWS425" s="1824"/>
      <c r="BWT425" s="1824"/>
      <c r="BWU425" s="1824"/>
      <c r="BWV425" s="1824"/>
      <c r="BWW425" s="1824"/>
      <c r="BWX425" s="1824"/>
      <c r="BWY425" s="1824"/>
      <c r="BWZ425" s="1824"/>
      <c r="BXA425" s="1824"/>
      <c r="BXB425" s="1824"/>
      <c r="BXC425" s="1824"/>
      <c r="BXD425" s="1824"/>
      <c r="BXE425" s="1824"/>
      <c r="BXF425" s="1824"/>
      <c r="BXG425" s="1824"/>
      <c r="BXH425" s="1824"/>
      <c r="BXI425" s="1824"/>
      <c r="BXJ425" s="1824"/>
      <c r="BXK425" s="1824"/>
      <c r="BXL425" s="1824"/>
      <c r="BXM425" s="1824"/>
      <c r="BXN425" s="1824"/>
      <c r="BXO425" s="1824"/>
      <c r="BXP425" s="1824"/>
      <c r="BXQ425" s="1824"/>
      <c r="BXR425" s="1824"/>
      <c r="BXS425" s="1824"/>
      <c r="BXT425" s="1824"/>
      <c r="BXU425" s="1824"/>
      <c r="BXV425" s="1824"/>
      <c r="BXW425" s="1824"/>
      <c r="BXX425" s="1824"/>
      <c r="BXY425" s="1824"/>
      <c r="BXZ425" s="1824"/>
      <c r="BYA425" s="1824"/>
      <c r="BYB425" s="1824"/>
      <c r="BYC425" s="1824"/>
      <c r="BYD425" s="1824"/>
      <c r="BYE425" s="1824"/>
      <c r="BYF425" s="1824"/>
      <c r="BYG425" s="1824"/>
      <c r="BYH425" s="1824"/>
      <c r="BYI425" s="1824"/>
      <c r="BYJ425" s="1824"/>
      <c r="BYK425" s="1824"/>
      <c r="BYL425" s="1824"/>
      <c r="BYM425" s="1824"/>
      <c r="BYN425" s="1824"/>
      <c r="BYO425" s="1824"/>
      <c r="BYP425" s="1824"/>
      <c r="BYQ425" s="1824"/>
      <c r="BYR425" s="1824"/>
      <c r="BYS425" s="1824"/>
      <c r="BYT425" s="1824"/>
      <c r="BYU425" s="1824"/>
      <c r="BYV425" s="1824"/>
      <c r="BYW425" s="1824"/>
      <c r="BYX425" s="1824"/>
      <c r="BYY425" s="1824"/>
      <c r="BYZ425" s="1824"/>
      <c r="BZA425" s="1824"/>
      <c r="BZB425" s="1824"/>
      <c r="BZC425" s="1824"/>
      <c r="BZD425" s="1824"/>
      <c r="BZE425" s="1824"/>
      <c r="BZF425" s="1824"/>
      <c r="BZG425" s="1824"/>
      <c r="BZH425" s="1824"/>
      <c r="BZI425" s="1824"/>
      <c r="BZJ425" s="1824"/>
      <c r="BZK425" s="1824"/>
      <c r="BZL425" s="1824"/>
      <c r="BZM425" s="1824"/>
      <c r="BZN425" s="1824"/>
      <c r="BZO425" s="1824"/>
      <c r="BZP425" s="1824"/>
      <c r="BZQ425" s="1824"/>
      <c r="BZR425" s="1824"/>
      <c r="BZS425" s="1824"/>
      <c r="BZT425" s="1824"/>
      <c r="BZU425" s="1824"/>
      <c r="BZV425" s="1824"/>
      <c r="BZW425" s="1824"/>
      <c r="BZX425" s="1824"/>
      <c r="BZY425" s="1824"/>
      <c r="BZZ425" s="1824"/>
      <c r="CAA425" s="1824"/>
      <c r="CAB425" s="1824"/>
      <c r="CAC425" s="1824"/>
      <c r="CAD425" s="1824"/>
      <c r="CAE425" s="1824"/>
      <c r="CAF425" s="1824"/>
      <c r="CAG425" s="1824"/>
      <c r="CAH425" s="1824"/>
      <c r="CAI425" s="1824"/>
      <c r="CAJ425" s="1824"/>
      <c r="CAK425" s="1824"/>
      <c r="CAL425" s="1824"/>
      <c r="CAM425" s="1824"/>
      <c r="CAN425" s="1824"/>
      <c r="CAO425" s="1824"/>
      <c r="CAP425" s="1824"/>
      <c r="CAQ425" s="1824"/>
      <c r="CAR425" s="1824"/>
      <c r="CAS425" s="1824"/>
      <c r="CAT425" s="1824"/>
      <c r="CAU425" s="1824"/>
      <c r="CAV425" s="1824"/>
      <c r="CAW425" s="1824"/>
      <c r="CAX425" s="1824"/>
      <c r="CAY425" s="1824"/>
      <c r="CAZ425" s="1824"/>
      <c r="CBA425" s="1824"/>
      <c r="CBB425" s="1824"/>
      <c r="CBC425" s="1824"/>
      <c r="CBD425" s="1824"/>
      <c r="CBE425" s="1824"/>
      <c r="CBF425" s="1824"/>
      <c r="CBG425" s="1824"/>
      <c r="CBH425" s="1824"/>
      <c r="CBI425" s="1824"/>
      <c r="CBJ425" s="1824"/>
      <c r="CBK425" s="1824"/>
      <c r="CBL425" s="1824"/>
      <c r="CBM425" s="1824"/>
      <c r="CBN425" s="1824"/>
      <c r="CBO425" s="1824"/>
      <c r="CBP425" s="1824"/>
      <c r="CBQ425" s="1824"/>
      <c r="CBR425" s="1824"/>
      <c r="CBS425" s="1824"/>
      <c r="CBT425" s="1824"/>
      <c r="CBU425" s="1824"/>
      <c r="CBV425" s="1824"/>
      <c r="CBW425" s="1824"/>
      <c r="CBX425" s="1824"/>
      <c r="CBY425" s="1824"/>
      <c r="CBZ425" s="1824"/>
      <c r="CCA425" s="1824"/>
      <c r="CCB425" s="1824"/>
      <c r="CCC425" s="1824"/>
      <c r="CCD425" s="1824"/>
      <c r="CCE425" s="1824"/>
      <c r="CCF425" s="1824"/>
      <c r="CCG425" s="1824"/>
      <c r="CCH425" s="1824"/>
      <c r="CCI425" s="1824"/>
      <c r="CCJ425" s="1824"/>
      <c r="CCK425" s="1824"/>
      <c r="CCL425" s="1824"/>
      <c r="CCM425" s="1824"/>
      <c r="CCN425" s="1824"/>
      <c r="CCO425" s="1824"/>
      <c r="CCP425" s="1824"/>
      <c r="CCQ425" s="1824"/>
      <c r="CCR425" s="1824"/>
      <c r="CCS425" s="1824"/>
      <c r="CCT425" s="1824"/>
      <c r="CCU425" s="1824"/>
      <c r="CCV425" s="1824"/>
      <c r="CCW425" s="1824"/>
      <c r="CCX425" s="1824"/>
      <c r="CCY425" s="1824"/>
      <c r="CCZ425" s="1824"/>
      <c r="CDA425" s="1824"/>
      <c r="CDB425" s="1824"/>
      <c r="CDC425" s="1824"/>
      <c r="CDD425" s="1824"/>
      <c r="CDE425" s="1824"/>
      <c r="CDF425" s="1824"/>
      <c r="CDG425" s="1824"/>
      <c r="CDH425" s="1824"/>
      <c r="CDI425" s="1824"/>
      <c r="CDJ425" s="1824"/>
      <c r="CDK425" s="1824"/>
      <c r="CDL425" s="1824"/>
      <c r="CDM425" s="1824"/>
      <c r="CDN425" s="1824"/>
      <c r="CDO425" s="1824"/>
      <c r="CDP425" s="1824"/>
      <c r="CDQ425" s="1824"/>
      <c r="CDR425" s="1824"/>
      <c r="CDS425" s="1824"/>
      <c r="CDT425" s="1824"/>
      <c r="CDU425" s="1824"/>
      <c r="CDV425" s="1824"/>
      <c r="CDW425" s="1824"/>
      <c r="CDX425" s="1824"/>
      <c r="CDY425" s="1824"/>
      <c r="CDZ425" s="1824"/>
      <c r="CEA425" s="1824"/>
      <c r="CEB425" s="1824"/>
      <c r="CEC425" s="1824"/>
      <c r="CED425" s="1824"/>
      <c r="CEE425" s="1824"/>
      <c r="CEF425" s="1824"/>
      <c r="CEG425" s="1824"/>
      <c r="CEH425" s="1824"/>
      <c r="CEI425" s="1824"/>
      <c r="CEJ425" s="1824"/>
      <c r="CEK425" s="1824"/>
      <c r="CEL425" s="1824"/>
      <c r="CEM425" s="1824"/>
      <c r="CEN425" s="1824"/>
      <c r="CEO425" s="1824"/>
      <c r="CEP425" s="1824"/>
      <c r="CEQ425" s="1824"/>
      <c r="CER425" s="1824"/>
      <c r="CES425" s="1824"/>
      <c r="CET425" s="1824"/>
      <c r="CEU425" s="1824"/>
      <c r="CEV425" s="1824"/>
      <c r="CEW425" s="1824"/>
      <c r="CEX425" s="1824"/>
      <c r="CEY425" s="1824"/>
      <c r="CEZ425" s="1824"/>
      <c r="CFA425" s="1824"/>
      <c r="CFB425" s="1824"/>
      <c r="CFC425" s="1824"/>
      <c r="CFD425" s="1824"/>
      <c r="CFE425" s="1824"/>
      <c r="CFF425" s="1824"/>
      <c r="CFG425" s="1824"/>
      <c r="CFH425" s="1824"/>
      <c r="CFI425" s="1824"/>
      <c r="CFJ425" s="1824"/>
      <c r="CFK425" s="1824"/>
      <c r="CFL425" s="1824"/>
      <c r="CFM425" s="1824"/>
      <c r="CFN425" s="1824"/>
      <c r="CFO425" s="1824"/>
      <c r="CFP425" s="1824"/>
      <c r="CFQ425" s="1824"/>
      <c r="CFR425" s="1824"/>
      <c r="CFS425" s="1824"/>
      <c r="CFT425" s="1824"/>
      <c r="CFU425" s="1824"/>
      <c r="CFV425" s="1824"/>
      <c r="CFW425" s="1824"/>
      <c r="CFX425" s="1824"/>
      <c r="CFY425" s="1824"/>
      <c r="CFZ425" s="1824"/>
      <c r="CGA425" s="1824"/>
      <c r="CGB425" s="1824"/>
      <c r="CGC425" s="1824"/>
      <c r="CGD425" s="1824"/>
      <c r="CGE425" s="1824"/>
      <c r="CGF425" s="1824"/>
      <c r="CGG425" s="1824"/>
      <c r="CGH425" s="1824"/>
      <c r="CGI425" s="1824"/>
      <c r="CGJ425" s="1824"/>
      <c r="CGK425" s="1824"/>
      <c r="CGL425" s="1824"/>
      <c r="CGM425" s="1824"/>
      <c r="CGN425" s="1824"/>
      <c r="CGO425" s="1824"/>
      <c r="CGP425" s="1824"/>
      <c r="CGQ425" s="1824"/>
      <c r="CGR425" s="1824"/>
      <c r="CGS425" s="1824"/>
      <c r="CGT425" s="1824"/>
      <c r="CGU425" s="1824"/>
      <c r="CGV425" s="1824"/>
      <c r="CGW425" s="1824"/>
      <c r="CGX425" s="1824"/>
      <c r="CGY425" s="1824"/>
      <c r="CGZ425" s="1824"/>
      <c r="CHA425" s="1824"/>
      <c r="CHB425" s="1824"/>
      <c r="CHC425" s="1824"/>
      <c r="CHD425" s="1824"/>
      <c r="CHE425" s="1824"/>
      <c r="CHF425" s="1824"/>
      <c r="CHG425" s="1824"/>
      <c r="CHH425" s="1824"/>
      <c r="CHI425" s="1824"/>
      <c r="CHJ425" s="1824"/>
      <c r="CHK425" s="1824"/>
      <c r="CHL425" s="1824"/>
      <c r="CHM425" s="1824"/>
      <c r="CHN425" s="1824"/>
      <c r="CHO425" s="1824"/>
      <c r="CHP425" s="1824"/>
      <c r="CHQ425" s="1824"/>
      <c r="CHR425" s="1824"/>
      <c r="CHS425" s="1824"/>
      <c r="CHT425" s="1824"/>
      <c r="CHU425" s="1824"/>
      <c r="CHV425" s="1824"/>
      <c r="CHW425" s="1824"/>
      <c r="CHX425" s="1824"/>
      <c r="CHY425" s="1824"/>
      <c r="CHZ425" s="1824"/>
      <c r="CIA425" s="1824"/>
      <c r="CIB425" s="1824"/>
      <c r="CIC425" s="1824"/>
      <c r="CID425" s="1824"/>
      <c r="CIE425" s="1824"/>
      <c r="CIF425" s="1824"/>
      <c r="CIG425" s="1824"/>
      <c r="CIH425" s="1824"/>
      <c r="CII425" s="1824"/>
      <c r="CIJ425" s="1824"/>
      <c r="CIK425" s="1824"/>
      <c r="CIL425" s="1824"/>
      <c r="CIM425" s="1824"/>
      <c r="CIN425" s="1824"/>
      <c r="CIO425" s="1824"/>
      <c r="CIP425" s="1824"/>
      <c r="CIQ425" s="1824"/>
      <c r="CIR425" s="1824"/>
      <c r="CIS425" s="1824"/>
      <c r="CIT425" s="1824"/>
      <c r="CIU425" s="1824"/>
      <c r="CIV425" s="1824"/>
      <c r="CIW425" s="1824"/>
      <c r="CIX425" s="1824"/>
      <c r="CIY425" s="1824"/>
      <c r="CIZ425" s="1824"/>
      <c r="CJA425" s="1824"/>
      <c r="CJB425" s="1824"/>
      <c r="CJC425" s="1824"/>
      <c r="CJD425" s="1824"/>
      <c r="CJE425" s="1824"/>
      <c r="CJF425" s="1824"/>
      <c r="CJG425" s="1824"/>
      <c r="CJH425" s="1824"/>
      <c r="CJI425" s="1824"/>
      <c r="CJJ425" s="1824"/>
      <c r="CJK425" s="1824"/>
      <c r="CJL425" s="1824"/>
      <c r="CJM425" s="1824"/>
      <c r="CJN425" s="1824"/>
      <c r="CJO425" s="1824"/>
      <c r="CJP425" s="1824"/>
      <c r="CJQ425" s="1824"/>
      <c r="CJR425" s="1824"/>
      <c r="CJS425" s="1824"/>
      <c r="CJT425" s="1824"/>
      <c r="CJU425" s="1824"/>
      <c r="CJV425" s="1824"/>
      <c r="CJW425" s="1824"/>
      <c r="CJX425" s="1824"/>
      <c r="CJY425" s="1824"/>
      <c r="CJZ425" s="1824"/>
      <c r="CKA425" s="1824"/>
      <c r="CKB425" s="1824"/>
      <c r="CKC425" s="1824"/>
      <c r="CKD425" s="1824"/>
      <c r="CKE425" s="1824"/>
      <c r="CKF425" s="1824"/>
      <c r="CKG425" s="1824"/>
      <c r="CKH425" s="1824"/>
      <c r="CKI425" s="1824"/>
      <c r="CKJ425" s="1824"/>
      <c r="CKK425" s="1824"/>
      <c r="CKL425" s="1824"/>
      <c r="CKM425" s="1824"/>
      <c r="CKN425" s="1824"/>
      <c r="CKO425" s="1824"/>
      <c r="CKP425" s="1824"/>
      <c r="CKQ425" s="1824"/>
      <c r="CKR425" s="1824"/>
      <c r="CKS425" s="1824"/>
      <c r="CKT425" s="1824"/>
      <c r="CKU425" s="1824"/>
      <c r="CKV425" s="1824"/>
      <c r="CKW425" s="1824"/>
      <c r="CKX425" s="1824"/>
      <c r="CKY425" s="1824"/>
      <c r="CKZ425" s="1824"/>
      <c r="CLA425" s="1824"/>
      <c r="CLB425" s="1824"/>
      <c r="CLC425" s="1824"/>
      <c r="CLD425" s="1824"/>
      <c r="CLE425" s="1824"/>
      <c r="CLF425" s="1824"/>
      <c r="CLG425" s="1824"/>
      <c r="CLH425" s="1824"/>
      <c r="CLI425" s="1824"/>
      <c r="CLJ425" s="1824"/>
      <c r="CLK425" s="1824"/>
      <c r="CLL425" s="1824"/>
      <c r="CLM425" s="1824"/>
      <c r="CLN425" s="1824"/>
      <c r="CLO425" s="1824"/>
      <c r="CLP425" s="1824"/>
      <c r="CLQ425" s="1824"/>
      <c r="CLR425" s="1824"/>
      <c r="CLS425" s="1824"/>
      <c r="CLT425" s="1824"/>
      <c r="CLU425" s="1824"/>
      <c r="CLV425" s="1824"/>
      <c r="CLW425" s="1824"/>
      <c r="CLX425" s="1824"/>
      <c r="CLY425" s="1824"/>
      <c r="CLZ425" s="1824"/>
      <c r="CMA425" s="1824"/>
      <c r="CMB425" s="1824"/>
      <c r="CMC425" s="1824"/>
      <c r="CMD425" s="1824"/>
      <c r="CME425" s="1824"/>
      <c r="CMF425" s="1824"/>
      <c r="CMG425" s="1824"/>
      <c r="CMH425" s="1824"/>
      <c r="CMI425" s="1824"/>
      <c r="CMJ425" s="1824"/>
      <c r="CMK425" s="1824"/>
      <c r="CML425" s="1824"/>
      <c r="CMM425" s="1824"/>
      <c r="CMN425" s="1824"/>
      <c r="CMO425" s="1824"/>
      <c r="CMP425" s="1824"/>
      <c r="CMQ425" s="1824"/>
      <c r="CMR425" s="1824"/>
      <c r="CMS425" s="1824"/>
      <c r="CMT425" s="1824"/>
      <c r="CMU425" s="1824"/>
      <c r="CMV425" s="1824"/>
      <c r="CMW425" s="1824"/>
      <c r="CMX425" s="1824"/>
      <c r="CMY425" s="1824"/>
      <c r="CMZ425" s="1824"/>
      <c r="CNA425" s="1824"/>
      <c r="CNB425" s="1824"/>
      <c r="CNC425" s="1824"/>
      <c r="CND425" s="1824"/>
      <c r="CNE425" s="1824"/>
      <c r="CNF425" s="1824"/>
      <c r="CNG425" s="1824"/>
      <c r="CNH425" s="1824"/>
      <c r="CNI425" s="1824"/>
      <c r="CNJ425" s="1824"/>
      <c r="CNK425" s="1824"/>
      <c r="CNL425" s="1824"/>
      <c r="CNM425" s="1824"/>
      <c r="CNN425" s="1824"/>
      <c r="CNO425" s="1824"/>
      <c r="CNP425" s="1824"/>
      <c r="CNQ425" s="1824"/>
      <c r="CNR425" s="1824"/>
      <c r="CNS425" s="1824"/>
      <c r="CNT425" s="1824"/>
      <c r="CNU425" s="1824"/>
      <c r="CNV425" s="1824"/>
      <c r="CNW425" s="1824"/>
      <c r="CNX425" s="1824"/>
      <c r="CNY425" s="1824"/>
      <c r="CNZ425" s="1824"/>
      <c r="COA425" s="1824"/>
      <c r="COB425" s="1824"/>
      <c r="COC425" s="1824"/>
      <c r="COD425" s="1824"/>
      <c r="COE425" s="1824"/>
      <c r="COF425" s="1824"/>
      <c r="COG425" s="1824"/>
      <c r="COH425" s="1824"/>
      <c r="COI425" s="1824"/>
      <c r="COJ425" s="1824"/>
      <c r="COK425" s="1824"/>
      <c r="COL425" s="1824"/>
      <c r="COM425" s="1824"/>
      <c r="CON425" s="1824"/>
      <c r="COO425" s="1824"/>
      <c r="COP425" s="1824"/>
      <c r="COQ425" s="1824"/>
      <c r="COR425" s="1824"/>
      <c r="COS425" s="1824"/>
      <c r="COT425" s="1824"/>
      <c r="COU425" s="1824"/>
      <c r="COV425" s="1824"/>
      <c r="COW425" s="1824"/>
      <c r="COX425" s="1824"/>
      <c r="COY425" s="1824"/>
      <c r="COZ425" s="1824"/>
      <c r="CPA425" s="1824"/>
      <c r="CPB425" s="1824"/>
      <c r="CPC425" s="1824"/>
      <c r="CPD425" s="1824"/>
      <c r="CPE425" s="1824"/>
      <c r="CPF425" s="1824"/>
      <c r="CPG425" s="1824"/>
      <c r="CPH425" s="1824"/>
      <c r="CPI425" s="1824"/>
      <c r="CPJ425" s="1824"/>
      <c r="CPK425" s="1824"/>
      <c r="CPL425" s="1824"/>
      <c r="CPM425" s="1824"/>
      <c r="CPN425" s="1824"/>
      <c r="CPO425" s="1824"/>
      <c r="CPP425" s="1824"/>
      <c r="CPQ425" s="1824"/>
      <c r="CPR425" s="1824"/>
      <c r="CPS425" s="1824"/>
      <c r="CPT425" s="1824"/>
      <c r="CPU425" s="1824"/>
      <c r="CPV425" s="1824"/>
      <c r="CPW425" s="1824"/>
      <c r="CPX425" s="1824"/>
      <c r="CPY425" s="1824"/>
      <c r="CPZ425" s="1824"/>
      <c r="CQA425" s="1824"/>
      <c r="CQB425" s="1824"/>
      <c r="CQC425" s="1824"/>
      <c r="CQD425" s="1824"/>
      <c r="CQE425" s="1824"/>
      <c r="CQF425" s="1824"/>
      <c r="CQG425" s="1824"/>
      <c r="CQH425" s="1824"/>
      <c r="CQI425" s="1824"/>
      <c r="CQJ425" s="1824"/>
      <c r="CQK425" s="1824"/>
      <c r="CQL425" s="1824"/>
      <c r="CQM425" s="1824"/>
      <c r="CQN425" s="1824"/>
      <c r="CQO425" s="1824"/>
      <c r="CQP425" s="1824"/>
      <c r="CQQ425" s="1824"/>
      <c r="CQR425" s="1824"/>
      <c r="CQS425" s="1824"/>
      <c r="CQT425" s="1824"/>
      <c r="CQU425" s="1824"/>
      <c r="CQV425" s="1824"/>
      <c r="CQW425" s="1824"/>
      <c r="CQX425" s="1824"/>
      <c r="CQY425" s="1824"/>
      <c r="CQZ425" s="1824"/>
      <c r="CRA425" s="1824"/>
      <c r="CRB425" s="1824"/>
      <c r="CRC425" s="1824"/>
      <c r="CRD425" s="1824"/>
      <c r="CRE425" s="1824"/>
      <c r="CRF425" s="1824"/>
      <c r="CRG425" s="1824"/>
      <c r="CRH425" s="1824"/>
      <c r="CRI425" s="1824"/>
      <c r="CRJ425" s="1824"/>
      <c r="CRK425" s="1824"/>
      <c r="CRL425" s="1824"/>
      <c r="CRM425" s="1824"/>
      <c r="CRN425" s="1824"/>
      <c r="CRO425" s="1824"/>
      <c r="CRP425" s="1824"/>
      <c r="CRQ425" s="1824"/>
      <c r="CRR425" s="1824"/>
      <c r="CRS425" s="1824"/>
      <c r="CRT425" s="1824"/>
      <c r="CRU425" s="1824"/>
      <c r="CRV425" s="1824"/>
      <c r="CRW425" s="1824"/>
      <c r="CRX425" s="1824"/>
      <c r="CRY425" s="1824"/>
      <c r="CRZ425" s="1824"/>
      <c r="CSA425" s="1824"/>
      <c r="CSB425" s="1824"/>
      <c r="CSC425" s="1824"/>
      <c r="CSD425" s="1824"/>
      <c r="CSE425" s="1824"/>
      <c r="CSF425" s="1824"/>
      <c r="CSG425" s="1824"/>
      <c r="CSH425" s="1824"/>
      <c r="CSI425" s="1824"/>
      <c r="CSJ425" s="1824"/>
      <c r="CSK425" s="1824"/>
      <c r="CSL425" s="1824"/>
      <c r="CSM425" s="1824"/>
      <c r="CSN425" s="1824"/>
      <c r="CSO425" s="1824"/>
      <c r="CSP425" s="1824"/>
      <c r="CSQ425" s="1824"/>
      <c r="CSR425" s="1824"/>
      <c r="CSS425" s="1824"/>
      <c r="CST425" s="1824"/>
      <c r="CSU425" s="1824"/>
      <c r="CSV425" s="1824"/>
      <c r="CSW425" s="1824"/>
      <c r="CSX425" s="1824"/>
      <c r="CSY425" s="1824"/>
      <c r="CSZ425" s="1824"/>
      <c r="CTA425" s="1824"/>
      <c r="CTB425" s="1824"/>
      <c r="CTC425" s="1824"/>
      <c r="CTD425" s="1824"/>
      <c r="CTE425" s="1824"/>
      <c r="CTF425" s="1824"/>
      <c r="CTG425" s="1824"/>
      <c r="CTH425" s="1824"/>
      <c r="CTI425" s="1824"/>
      <c r="CTJ425" s="1824"/>
      <c r="CTK425" s="1824"/>
      <c r="CTL425" s="1824"/>
      <c r="CTM425" s="1824"/>
      <c r="CTN425" s="1824"/>
      <c r="CTO425" s="1824"/>
      <c r="CTP425" s="1824"/>
      <c r="CTQ425" s="1824"/>
      <c r="CTR425" s="1824"/>
      <c r="CTS425" s="1824"/>
      <c r="CTT425" s="1824"/>
      <c r="CTU425" s="1824"/>
      <c r="CTV425" s="1824"/>
      <c r="CTW425" s="1824"/>
      <c r="CTX425" s="1824"/>
      <c r="CTY425" s="1824"/>
      <c r="CTZ425" s="1824"/>
      <c r="CUA425" s="1824"/>
      <c r="CUB425" s="1824"/>
      <c r="CUC425" s="1824"/>
      <c r="CUD425" s="1824"/>
      <c r="CUE425" s="1824"/>
      <c r="CUF425" s="1824"/>
      <c r="CUG425" s="1824"/>
      <c r="CUH425" s="1824"/>
      <c r="CUI425" s="1824"/>
      <c r="CUJ425" s="1824"/>
      <c r="CUK425" s="1824"/>
      <c r="CUL425" s="1824"/>
      <c r="CUM425" s="1824"/>
      <c r="CUN425" s="1824"/>
      <c r="CUO425" s="1824"/>
      <c r="CUP425" s="1824"/>
      <c r="CUQ425" s="1824"/>
      <c r="CUR425" s="1824"/>
      <c r="CUS425" s="1824"/>
      <c r="CUT425" s="1824"/>
      <c r="CUU425" s="1824"/>
      <c r="CUV425" s="1824"/>
      <c r="CUW425" s="1824"/>
      <c r="CUX425" s="1824"/>
      <c r="CUY425" s="1824"/>
      <c r="CUZ425" s="1824"/>
      <c r="CVA425" s="1824"/>
      <c r="CVB425" s="1824"/>
      <c r="CVC425" s="1824"/>
      <c r="CVD425" s="1824"/>
      <c r="CVE425" s="1824"/>
      <c r="CVF425" s="1824"/>
      <c r="CVG425" s="1824"/>
      <c r="CVH425" s="1824"/>
      <c r="CVI425" s="1824"/>
      <c r="CVJ425" s="1824"/>
      <c r="CVK425" s="1824"/>
      <c r="CVL425" s="1824"/>
      <c r="CVM425" s="1824"/>
      <c r="CVN425" s="1824"/>
      <c r="CVO425" s="1824"/>
      <c r="CVP425" s="1824"/>
      <c r="CVQ425" s="1824"/>
      <c r="CVR425" s="1824"/>
      <c r="CVS425" s="1824"/>
      <c r="CVT425" s="1824"/>
      <c r="CVU425" s="1824"/>
      <c r="CVV425" s="1824"/>
      <c r="CVW425" s="1824"/>
      <c r="CVX425" s="1824"/>
      <c r="CVY425" s="1824"/>
      <c r="CVZ425" s="1824"/>
      <c r="CWA425" s="1824"/>
      <c r="CWB425" s="1824"/>
      <c r="CWC425" s="1824"/>
      <c r="CWD425" s="1824"/>
      <c r="CWE425" s="1824"/>
      <c r="CWF425" s="1824"/>
      <c r="CWG425" s="1824"/>
      <c r="CWH425" s="1824"/>
      <c r="CWI425" s="1824"/>
      <c r="CWJ425" s="1824"/>
      <c r="CWK425" s="1824"/>
      <c r="CWL425" s="1824"/>
      <c r="CWM425" s="1824"/>
      <c r="CWN425" s="1824"/>
      <c r="CWO425" s="1824"/>
      <c r="CWP425" s="1824"/>
      <c r="CWQ425" s="1824"/>
      <c r="CWR425" s="1824"/>
      <c r="CWS425" s="1824"/>
      <c r="CWT425" s="1824"/>
      <c r="CWU425" s="1824"/>
      <c r="CWV425" s="1824"/>
      <c r="CWW425" s="1824"/>
      <c r="CWX425" s="1824"/>
      <c r="CWY425" s="1824"/>
      <c r="CWZ425" s="1824"/>
      <c r="CXA425" s="1824"/>
      <c r="CXB425" s="1824"/>
      <c r="CXC425" s="1824"/>
      <c r="CXD425" s="1824"/>
      <c r="CXE425" s="1824"/>
      <c r="CXF425" s="1824"/>
      <c r="CXG425" s="1824"/>
      <c r="CXH425" s="1824"/>
      <c r="CXI425" s="1824"/>
      <c r="CXJ425" s="1824"/>
      <c r="CXK425" s="1824"/>
      <c r="CXL425" s="1824"/>
      <c r="CXM425" s="1824"/>
      <c r="CXN425" s="1824"/>
      <c r="CXO425" s="1824"/>
      <c r="CXP425" s="1824"/>
      <c r="CXQ425" s="1824"/>
      <c r="CXR425" s="1824"/>
      <c r="CXS425" s="1824"/>
      <c r="CXT425" s="1824"/>
      <c r="CXU425" s="1824"/>
      <c r="CXV425" s="1824"/>
      <c r="CXW425" s="1824"/>
      <c r="CXX425" s="1824"/>
      <c r="CXY425" s="1824"/>
      <c r="CXZ425" s="1824"/>
      <c r="CYA425" s="1824"/>
      <c r="CYB425" s="1824"/>
      <c r="CYC425" s="1824"/>
      <c r="CYD425" s="1824"/>
      <c r="CYE425" s="1824"/>
      <c r="CYF425" s="1824"/>
      <c r="CYG425" s="1824"/>
      <c r="CYH425" s="1824"/>
      <c r="CYI425" s="1824"/>
      <c r="CYJ425" s="1824"/>
      <c r="CYK425" s="1824"/>
      <c r="CYL425" s="1824"/>
      <c r="CYM425" s="1824"/>
      <c r="CYN425" s="1824"/>
      <c r="CYO425" s="1824"/>
      <c r="CYP425" s="1824"/>
      <c r="CYQ425" s="1824"/>
      <c r="CYR425" s="1824"/>
      <c r="CYS425" s="1824"/>
      <c r="CYT425" s="1824"/>
      <c r="CYU425" s="1824"/>
      <c r="CYV425" s="1824"/>
      <c r="CYW425" s="1824"/>
      <c r="CYX425" s="1824"/>
      <c r="CYY425" s="1824"/>
      <c r="CYZ425" s="1824"/>
      <c r="CZA425" s="1824"/>
      <c r="CZB425" s="1824"/>
      <c r="CZC425" s="1824"/>
      <c r="CZD425" s="1824"/>
      <c r="CZE425" s="1824"/>
      <c r="CZF425" s="1824"/>
      <c r="CZG425" s="1824"/>
      <c r="CZH425" s="1824"/>
      <c r="CZI425" s="1824"/>
      <c r="CZJ425" s="1824"/>
      <c r="CZK425" s="1824"/>
      <c r="CZL425" s="1824"/>
      <c r="CZM425" s="1824"/>
      <c r="CZN425" s="1824"/>
      <c r="CZO425" s="1824"/>
      <c r="CZP425" s="1824"/>
      <c r="CZQ425" s="1824"/>
      <c r="CZR425" s="1824"/>
      <c r="CZS425" s="1824"/>
      <c r="CZT425" s="1824"/>
      <c r="CZU425" s="1824"/>
      <c r="CZV425" s="1824"/>
      <c r="CZW425" s="1824"/>
      <c r="CZX425" s="1824"/>
      <c r="CZY425" s="1824"/>
      <c r="CZZ425" s="1824"/>
      <c r="DAA425" s="1824"/>
      <c r="DAB425" s="1824"/>
      <c r="DAC425" s="1824"/>
      <c r="DAD425" s="1824"/>
      <c r="DAE425" s="1824"/>
      <c r="DAF425" s="1824"/>
      <c r="DAG425" s="1824"/>
      <c r="DAH425" s="1824"/>
      <c r="DAI425" s="1824"/>
      <c r="DAJ425" s="1824"/>
      <c r="DAK425" s="1824"/>
      <c r="DAL425" s="1824"/>
      <c r="DAM425" s="1824"/>
      <c r="DAN425" s="1824"/>
      <c r="DAO425" s="1824"/>
      <c r="DAP425" s="1824"/>
      <c r="DAQ425" s="1824"/>
      <c r="DAR425" s="1824"/>
      <c r="DAS425" s="1824"/>
      <c r="DAT425" s="1824"/>
      <c r="DAU425" s="1824"/>
      <c r="DAV425" s="1824"/>
      <c r="DAW425" s="1824"/>
      <c r="DAX425" s="1824"/>
      <c r="DAY425" s="1824"/>
      <c r="DAZ425" s="1824"/>
      <c r="DBA425" s="1824"/>
      <c r="DBB425" s="1824"/>
      <c r="DBC425" s="1824"/>
      <c r="DBD425" s="1824"/>
      <c r="DBE425" s="1824"/>
      <c r="DBF425" s="1824"/>
      <c r="DBG425" s="1824"/>
      <c r="DBH425" s="1824"/>
      <c r="DBI425" s="1824"/>
      <c r="DBJ425" s="1824"/>
      <c r="DBK425" s="1824"/>
      <c r="DBL425" s="1824"/>
      <c r="DBM425" s="1824"/>
      <c r="DBN425" s="1824"/>
      <c r="DBO425" s="1824"/>
      <c r="DBP425" s="1824"/>
      <c r="DBQ425" s="1824"/>
      <c r="DBR425" s="1824"/>
      <c r="DBS425" s="1824"/>
      <c r="DBT425" s="1824"/>
      <c r="DBU425" s="1824"/>
      <c r="DBV425" s="1824"/>
      <c r="DBW425" s="1824"/>
      <c r="DBX425" s="1824"/>
      <c r="DBY425" s="1824"/>
      <c r="DBZ425" s="1824"/>
      <c r="DCA425" s="1824"/>
      <c r="DCB425" s="1824"/>
      <c r="DCC425" s="1824"/>
      <c r="DCD425" s="1824"/>
      <c r="DCE425" s="1824"/>
      <c r="DCF425" s="1824"/>
      <c r="DCG425" s="1824"/>
      <c r="DCH425" s="1824"/>
      <c r="DCI425" s="1824"/>
      <c r="DCJ425" s="1824"/>
      <c r="DCK425" s="1824"/>
      <c r="DCL425" s="1824"/>
      <c r="DCM425" s="1824"/>
      <c r="DCN425" s="1824"/>
      <c r="DCO425" s="1824"/>
      <c r="DCP425" s="1824"/>
      <c r="DCQ425" s="1824"/>
      <c r="DCR425" s="1824"/>
      <c r="DCS425" s="1824"/>
      <c r="DCT425" s="1824"/>
      <c r="DCU425" s="1824"/>
      <c r="DCV425" s="1824"/>
      <c r="DCW425" s="1824"/>
      <c r="DCX425" s="1824"/>
      <c r="DCY425" s="1824"/>
      <c r="DCZ425" s="1824"/>
      <c r="DDA425" s="1824"/>
      <c r="DDB425" s="1824"/>
      <c r="DDC425" s="1824"/>
      <c r="DDD425" s="1824"/>
      <c r="DDE425" s="1824"/>
      <c r="DDF425" s="1824"/>
      <c r="DDG425" s="1824"/>
      <c r="DDH425" s="1824"/>
      <c r="DDI425" s="1824"/>
      <c r="DDJ425" s="1824"/>
      <c r="DDK425" s="1824"/>
      <c r="DDL425" s="1824"/>
      <c r="DDM425" s="1824"/>
      <c r="DDN425" s="1824"/>
      <c r="DDO425" s="1824"/>
      <c r="DDP425" s="1824"/>
      <c r="DDQ425" s="1824"/>
      <c r="DDR425" s="1824"/>
      <c r="DDS425" s="1824"/>
      <c r="DDT425" s="1824"/>
      <c r="DDU425" s="1824"/>
      <c r="DDV425" s="1824"/>
      <c r="DDW425" s="1824"/>
      <c r="DDX425" s="1824"/>
      <c r="DDY425" s="1824"/>
      <c r="DDZ425" s="1824"/>
      <c r="DEA425" s="1824"/>
      <c r="DEB425" s="1824"/>
      <c r="DEC425" s="1824"/>
      <c r="DED425" s="1824"/>
      <c r="DEE425" s="1824"/>
      <c r="DEF425" s="1824"/>
      <c r="DEG425" s="1824"/>
      <c r="DEH425" s="1824"/>
      <c r="DEI425" s="1824"/>
      <c r="DEJ425" s="1824"/>
      <c r="DEK425" s="1824"/>
      <c r="DEL425" s="1824"/>
      <c r="DEM425" s="1824"/>
      <c r="DEN425" s="1824"/>
      <c r="DEO425" s="1824"/>
      <c r="DEP425" s="1824"/>
      <c r="DEQ425" s="1824"/>
      <c r="DER425" s="1824"/>
      <c r="DES425" s="1824"/>
      <c r="DET425" s="1824"/>
      <c r="DEU425" s="1824"/>
      <c r="DEV425" s="1824"/>
      <c r="DEW425" s="1824"/>
      <c r="DEX425" s="1824"/>
      <c r="DEY425" s="1824"/>
      <c r="DEZ425" s="1824"/>
      <c r="DFA425" s="1824"/>
      <c r="DFB425" s="1824"/>
      <c r="DFC425" s="1824"/>
      <c r="DFD425" s="1824"/>
      <c r="DFE425" s="1824"/>
      <c r="DFF425" s="1824"/>
      <c r="DFG425" s="1824"/>
      <c r="DFH425" s="1824"/>
      <c r="DFI425" s="1824"/>
      <c r="DFJ425" s="1824"/>
      <c r="DFK425" s="1824"/>
      <c r="DFL425" s="1824"/>
      <c r="DFM425" s="1824"/>
      <c r="DFN425" s="1824"/>
      <c r="DFO425" s="1824"/>
      <c r="DFP425" s="1824"/>
      <c r="DFQ425" s="1824"/>
      <c r="DFR425" s="1824"/>
      <c r="DFS425" s="1824"/>
      <c r="DFT425" s="1824"/>
      <c r="DFU425" s="1824"/>
      <c r="DFV425" s="1824"/>
      <c r="DFW425" s="1824"/>
      <c r="DFX425" s="1824"/>
      <c r="DFY425" s="1824"/>
      <c r="DFZ425" s="1824"/>
      <c r="DGA425" s="1824"/>
      <c r="DGB425" s="1824"/>
      <c r="DGC425" s="1824"/>
      <c r="DGD425" s="1824"/>
      <c r="DGE425" s="1824"/>
      <c r="DGF425" s="1824"/>
      <c r="DGG425" s="1824"/>
      <c r="DGH425" s="1824"/>
      <c r="DGI425" s="1824"/>
      <c r="DGJ425" s="1824"/>
      <c r="DGK425" s="1824"/>
      <c r="DGL425" s="1824"/>
      <c r="DGM425" s="1824"/>
      <c r="DGN425" s="1824"/>
      <c r="DGO425" s="1824"/>
      <c r="DGP425" s="1824"/>
      <c r="DGQ425" s="1824"/>
      <c r="DGR425" s="1824"/>
      <c r="DGS425" s="1824"/>
      <c r="DGT425" s="1824"/>
      <c r="DGU425" s="1824"/>
      <c r="DGV425" s="1824"/>
      <c r="DGW425" s="1824"/>
      <c r="DGX425" s="1824"/>
      <c r="DGY425" s="1824"/>
      <c r="DGZ425" s="1824"/>
      <c r="DHA425" s="1824"/>
      <c r="DHB425" s="1824"/>
      <c r="DHC425" s="1824"/>
      <c r="DHD425" s="1824"/>
      <c r="DHE425" s="1824"/>
      <c r="DHF425" s="1824"/>
      <c r="DHG425" s="1824"/>
      <c r="DHH425" s="1824"/>
      <c r="DHI425" s="1824"/>
      <c r="DHJ425" s="1824"/>
      <c r="DHK425" s="1824"/>
      <c r="DHL425" s="1824"/>
      <c r="DHM425" s="1824"/>
      <c r="DHN425" s="1824"/>
      <c r="DHO425" s="1824"/>
      <c r="DHP425" s="1824"/>
      <c r="DHQ425" s="1824"/>
      <c r="DHR425" s="1824"/>
      <c r="DHS425" s="1824"/>
      <c r="DHT425" s="1824"/>
      <c r="DHU425" s="1824"/>
      <c r="DHV425" s="1824"/>
      <c r="DHW425" s="1824"/>
      <c r="DHX425" s="1824"/>
      <c r="DHY425" s="1824"/>
      <c r="DHZ425" s="1824"/>
      <c r="DIA425" s="1824"/>
      <c r="DIB425" s="1824"/>
      <c r="DIC425" s="1824"/>
      <c r="DID425" s="1824"/>
      <c r="DIE425" s="1824"/>
      <c r="DIF425" s="1824"/>
      <c r="DIG425" s="1824"/>
      <c r="DIH425" s="1824"/>
      <c r="DII425" s="1824"/>
      <c r="DIJ425" s="1824"/>
      <c r="DIK425" s="1824"/>
      <c r="DIL425" s="1824"/>
      <c r="DIM425" s="1824"/>
      <c r="DIN425" s="1824"/>
      <c r="DIO425" s="1824"/>
      <c r="DIP425" s="1824"/>
      <c r="DIQ425" s="1824"/>
      <c r="DIR425" s="1824"/>
      <c r="DIS425" s="1824"/>
      <c r="DIT425" s="1824"/>
      <c r="DIU425" s="1824"/>
      <c r="DIV425" s="1824"/>
      <c r="DIW425" s="1824"/>
      <c r="DIX425" s="1824"/>
      <c r="DIY425" s="1824"/>
      <c r="DIZ425" s="1824"/>
      <c r="DJA425" s="1824"/>
      <c r="DJB425" s="1824"/>
      <c r="DJC425" s="1824"/>
      <c r="DJD425" s="1824"/>
      <c r="DJE425" s="1824"/>
      <c r="DJF425" s="1824"/>
      <c r="DJG425" s="1824"/>
      <c r="DJH425" s="1824"/>
      <c r="DJI425" s="1824"/>
      <c r="DJJ425" s="1824"/>
      <c r="DJK425" s="1824"/>
      <c r="DJL425" s="1824"/>
      <c r="DJM425" s="1824"/>
      <c r="DJN425" s="1824"/>
      <c r="DJO425" s="1824"/>
      <c r="DJP425" s="1824"/>
      <c r="DJQ425" s="1824"/>
      <c r="DJR425" s="1824"/>
      <c r="DJS425" s="1824"/>
      <c r="DJT425" s="1824"/>
      <c r="DJU425" s="1824"/>
      <c r="DJV425" s="1824"/>
      <c r="DJW425" s="1824"/>
      <c r="DJX425" s="1824"/>
      <c r="DJY425" s="1824"/>
      <c r="DJZ425" s="1824"/>
      <c r="DKA425" s="1824"/>
      <c r="DKB425" s="1824"/>
      <c r="DKC425" s="1824"/>
      <c r="DKD425" s="1824"/>
      <c r="DKE425" s="1824"/>
      <c r="DKF425" s="1824"/>
      <c r="DKG425" s="1824"/>
      <c r="DKH425" s="1824"/>
      <c r="DKI425" s="1824"/>
      <c r="DKJ425" s="1824"/>
      <c r="DKK425" s="1824"/>
      <c r="DKL425" s="1824"/>
      <c r="DKM425" s="1824"/>
      <c r="DKN425" s="1824"/>
      <c r="DKO425" s="1824"/>
      <c r="DKP425" s="1824"/>
      <c r="DKQ425" s="1824"/>
      <c r="DKR425" s="1824"/>
      <c r="DKS425" s="1824"/>
      <c r="DKT425" s="1824"/>
      <c r="DKU425" s="1824"/>
      <c r="DKV425" s="1824"/>
      <c r="DKW425" s="1824"/>
      <c r="DKX425" s="1824"/>
      <c r="DKY425" s="1824"/>
      <c r="DKZ425" s="1824"/>
      <c r="DLA425" s="1824"/>
      <c r="DLB425" s="1824"/>
      <c r="DLC425" s="1824"/>
      <c r="DLD425" s="1824"/>
      <c r="DLE425" s="1824"/>
      <c r="DLF425" s="1824"/>
      <c r="DLG425" s="1824"/>
      <c r="DLH425" s="1824"/>
      <c r="DLI425" s="1824"/>
      <c r="DLJ425" s="1824"/>
      <c r="DLK425" s="1824"/>
      <c r="DLL425" s="1824"/>
      <c r="DLM425" s="1824"/>
      <c r="DLN425" s="1824"/>
      <c r="DLO425" s="1824"/>
      <c r="DLP425" s="1824"/>
      <c r="DLQ425" s="1824"/>
      <c r="DLR425" s="1824"/>
      <c r="DLS425" s="1824"/>
      <c r="DLT425" s="1824"/>
      <c r="DLU425" s="1824"/>
      <c r="DLV425" s="1824"/>
      <c r="DLW425" s="1824"/>
      <c r="DLX425" s="1824"/>
      <c r="DLY425" s="1824"/>
      <c r="DLZ425" s="1824"/>
      <c r="DMA425" s="1824"/>
      <c r="DMB425" s="1824"/>
      <c r="DMC425" s="1824"/>
      <c r="DMD425" s="1824"/>
      <c r="DME425" s="1824"/>
      <c r="DMF425" s="1824"/>
      <c r="DMG425" s="1824"/>
      <c r="DMH425" s="1824"/>
      <c r="DMI425" s="1824"/>
      <c r="DMJ425" s="1824"/>
      <c r="DMK425" s="1824"/>
      <c r="DML425" s="1824"/>
      <c r="DMM425" s="1824"/>
      <c r="DMN425" s="1824"/>
      <c r="DMO425" s="1824"/>
      <c r="DMP425" s="1824"/>
      <c r="DMQ425" s="1824"/>
      <c r="DMR425" s="1824"/>
      <c r="DMS425" s="1824"/>
      <c r="DMT425" s="1824"/>
      <c r="DMU425" s="1824"/>
      <c r="DMV425" s="1824"/>
      <c r="DMW425" s="1824"/>
      <c r="DMX425" s="1824"/>
      <c r="DMY425" s="1824"/>
      <c r="DMZ425" s="1824"/>
      <c r="DNA425" s="1824"/>
      <c r="DNB425" s="1824"/>
      <c r="DNC425" s="1824"/>
      <c r="DND425" s="1824"/>
      <c r="DNE425" s="1824"/>
      <c r="DNF425" s="1824"/>
      <c r="DNG425" s="1824"/>
      <c r="DNH425" s="1824"/>
      <c r="DNI425" s="1824"/>
      <c r="DNJ425" s="1824"/>
      <c r="DNK425" s="1824"/>
      <c r="DNL425" s="1824"/>
      <c r="DNM425" s="1824"/>
      <c r="DNN425" s="1824"/>
      <c r="DNO425" s="1824"/>
      <c r="DNP425" s="1824"/>
      <c r="DNQ425" s="1824"/>
      <c r="DNR425" s="1824"/>
      <c r="DNS425" s="1824"/>
      <c r="DNT425" s="1824"/>
      <c r="DNU425" s="1824"/>
      <c r="DNV425" s="1824"/>
      <c r="DNW425" s="1824"/>
      <c r="DNX425" s="1824"/>
      <c r="DNY425" s="1824"/>
      <c r="DNZ425" s="1824"/>
      <c r="DOA425" s="1824"/>
      <c r="DOB425" s="1824"/>
      <c r="DOC425" s="1824"/>
      <c r="DOD425" s="1824"/>
      <c r="DOE425" s="1824"/>
      <c r="DOF425" s="1824"/>
      <c r="DOG425" s="1824"/>
      <c r="DOH425" s="1824"/>
      <c r="DOI425" s="1824"/>
      <c r="DOJ425" s="1824"/>
      <c r="DOK425" s="1824"/>
      <c r="DOL425" s="1824"/>
      <c r="DOM425" s="1824"/>
      <c r="DON425" s="1824"/>
      <c r="DOO425" s="1824"/>
      <c r="DOP425" s="1824"/>
      <c r="DOQ425" s="1824"/>
      <c r="DOR425" s="1824"/>
      <c r="DOS425" s="1824"/>
      <c r="DOT425" s="1824"/>
      <c r="DOU425" s="1824"/>
      <c r="DOV425" s="1824"/>
      <c r="DOW425" s="1824"/>
      <c r="DOX425" s="1824"/>
      <c r="DOY425" s="1824"/>
      <c r="DOZ425" s="1824"/>
      <c r="DPA425" s="1824"/>
      <c r="DPB425" s="1824"/>
      <c r="DPC425" s="1824"/>
      <c r="DPD425" s="1824"/>
      <c r="DPE425" s="1824"/>
      <c r="DPF425" s="1824"/>
      <c r="DPG425" s="1824"/>
      <c r="DPH425" s="1824"/>
      <c r="DPI425" s="1824"/>
      <c r="DPJ425" s="1824"/>
      <c r="DPK425" s="1824"/>
      <c r="DPL425" s="1824"/>
      <c r="DPM425" s="1824"/>
      <c r="DPN425" s="1824"/>
      <c r="DPO425" s="1824"/>
      <c r="DPP425" s="1824"/>
      <c r="DPQ425" s="1824"/>
      <c r="DPR425" s="1824"/>
      <c r="DPS425" s="1824"/>
      <c r="DPT425" s="1824"/>
      <c r="DPU425" s="1824"/>
      <c r="DPV425" s="1824"/>
      <c r="DPW425" s="1824"/>
      <c r="DPX425" s="1824"/>
      <c r="DPY425" s="1824"/>
      <c r="DPZ425" s="1824"/>
      <c r="DQA425" s="1824"/>
      <c r="DQB425" s="1824"/>
      <c r="DQC425" s="1824"/>
      <c r="DQD425" s="1824"/>
      <c r="DQE425" s="1824"/>
      <c r="DQF425" s="1824"/>
      <c r="DQG425" s="1824"/>
      <c r="DQH425" s="1824"/>
      <c r="DQI425" s="1824"/>
      <c r="DQJ425" s="1824"/>
      <c r="DQK425" s="1824"/>
      <c r="DQL425" s="1824"/>
      <c r="DQM425" s="1824"/>
      <c r="DQN425" s="1824"/>
      <c r="DQO425" s="1824"/>
      <c r="DQP425" s="1824"/>
      <c r="DQQ425" s="1824"/>
      <c r="DQR425" s="1824"/>
      <c r="DQS425" s="1824"/>
      <c r="DQT425" s="1824"/>
      <c r="DQU425" s="1824"/>
      <c r="DQV425" s="1824"/>
      <c r="DQW425" s="1824"/>
      <c r="DQX425" s="1824"/>
      <c r="DQY425" s="1824"/>
      <c r="DQZ425" s="1824"/>
      <c r="DRA425" s="1824"/>
      <c r="DRB425" s="1824"/>
      <c r="DRC425" s="1824"/>
      <c r="DRD425" s="1824"/>
      <c r="DRE425" s="1824"/>
      <c r="DRF425" s="1824"/>
      <c r="DRG425" s="1824"/>
      <c r="DRH425" s="1824"/>
      <c r="DRI425" s="1824"/>
      <c r="DRJ425" s="1824"/>
      <c r="DRK425" s="1824"/>
      <c r="DRL425" s="1824"/>
      <c r="DRM425" s="1824"/>
      <c r="DRN425" s="1824"/>
      <c r="DRO425" s="1824"/>
      <c r="DRP425" s="1824"/>
      <c r="DRQ425" s="1824"/>
      <c r="DRR425" s="1824"/>
      <c r="DRS425" s="1824"/>
      <c r="DRT425" s="1824"/>
      <c r="DRU425" s="1824"/>
      <c r="DRV425" s="1824"/>
      <c r="DRW425" s="1824"/>
      <c r="DRX425" s="1824"/>
      <c r="DRY425" s="1824"/>
      <c r="DRZ425" s="1824"/>
      <c r="DSA425" s="1824"/>
      <c r="DSB425" s="1824"/>
      <c r="DSC425" s="1824"/>
      <c r="DSD425" s="1824"/>
      <c r="DSE425" s="1824"/>
      <c r="DSF425" s="1824"/>
      <c r="DSG425" s="1824"/>
      <c r="DSH425" s="1824"/>
      <c r="DSI425" s="1824"/>
      <c r="DSJ425" s="1824"/>
      <c r="DSK425" s="1824"/>
      <c r="DSL425" s="1824"/>
      <c r="DSM425" s="1824"/>
      <c r="DSN425" s="1824"/>
      <c r="DSO425" s="1824"/>
      <c r="DSP425" s="1824"/>
      <c r="DSQ425" s="1824"/>
      <c r="DSR425" s="1824"/>
      <c r="DSS425" s="1824"/>
      <c r="DST425" s="1824"/>
      <c r="DSU425" s="1824"/>
      <c r="DSV425" s="1824"/>
      <c r="DSW425" s="1824"/>
      <c r="DSX425" s="1824"/>
      <c r="DSY425" s="1824"/>
      <c r="DSZ425" s="1824"/>
      <c r="DTA425" s="1824"/>
      <c r="DTB425" s="1824"/>
      <c r="DTC425" s="1824"/>
      <c r="DTD425" s="1824"/>
      <c r="DTE425" s="1824"/>
      <c r="DTF425" s="1824"/>
      <c r="DTG425" s="1824"/>
      <c r="DTH425" s="1824"/>
      <c r="DTI425" s="1824"/>
      <c r="DTJ425" s="1824"/>
      <c r="DTK425" s="1824"/>
      <c r="DTL425" s="1824"/>
      <c r="DTM425" s="1824"/>
      <c r="DTN425" s="1824"/>
      <c r="DTO425" s="1824"/>
      <c r="DTP425" s="1824"/>
      <c r="DTQ425" s="1824"/>
      <c r="DTR425" s="1824"/>
      <c r="DTS425" s="1824"/>
      <c r="DTT425" s="1824"/>
      <c r="DTU425" s="1824"/>
      <c r="DTV425" s="1824"/>
      <c r="DTW425" s="1824"/>
      <c r="DTX425" s="1824"/>
      <c r="DTY425" s="1824"/>
      <c r="DTZ425" s="1824"/>
      <c r="DUA425" s="1824"/>
      <c r="DUB425" s="1824"/>
      <c r="DUC425" s="1824"/>
      <c r="DUD425" s="1824"/>
      <c r="DUE425" s="1824"/>
      <c r="DUF425" s="1824"/>
      <c r="DUG425" s="1824"/>
      <c r="DUH425" s="1824"/>
      <c r="DUI425" s="1824"/>
      <c r="DUJ425" s="1824"/>
      <c r="DUK425" s="1824"/>
      <c r="DUL425" s="1824"/>
      <c r="DUM425" s="1824"/>
      <c r="DUN425" s="1824"/>
      <c r="DUO425" s="1824"/>
      <c r="DUP425" s="1824"/>
      <c r="DUQ425" s="1824"/>
      <c r="DUR425" s="1824"/>
      <c r="DUS425" s="1824"/>
      <c r="DUT425" s="1824"/>
      <c r="DUU425" s="1824"/>
      <c r="DUV425" s="1824"/>
      <c r="DUW425" s="1824"/>
      <c r="DUX425" s="1824"/>
      <c r="DUY425" s="1824"/>
      <c r="DUZ425" s="1824"/>
      <c r="DVA425" s="1824"/>
      <c r="DVB425" s="1824"/>
      <c r="DVC425" s="1824"/>
      <c r="DVD425" s="1824"/>
      <c r="DVE425" s="1824"/>
      <c r="DVF425" s="1824"/>
      <c r="DVG425" s="1824"/>
      <c r="DVH425" s="1824"/>
      <c r="DVI425" s="1824"/>
      <c r="DVJ425" s="1824"/>
      <c r="DVK425" s="1824"/>
      <c r="DVL425" s="1824"/>
      <c r="DVM425" s="1824"/>
      <c r="DVN425" s="1824"/>
      <c r="DVO425" s="1824"/>
      <c r="DVP425" s="1824"/>
      <c r="DVQ425" s="1824"/>
      <c r="DVR425" s="1824"/>
      <c r="DVS425" s="1824"/>
      <c r="DVT425" s="1824"/>
      <c r="DVU425" s="1824"/>
      <c r="DVV425" s="1824"/>
      <c r="DVW425" s="1824"/>
      <c r="DVX425" s="1824"/>
      <c r="DVY425" s="1824"/>
      <c r="DVZ425" s="1824"/>
      <c r="DWA425" s="1824"/>
      <c r="DWB425" s="1824"/>
      <c r="DWC425" s="1824"/>
      <c r="DWD425" s="1824"/>
      <c r="DWE425" s="1824"/>
      <c r="DWF425" s="1824"/>
      <c r="DWG425" s="1824"/>
      <c r="DWH425" s="1824"/>
      <c r="DWI425" s="1824"/>
      <c r="DWJ425" s="1824"/>
      <c r="DWK425" s="1824"/>
      <c r="DWL425" s="1824"/>
      <c r="DWM425" s="1824"/>
      <c r="DWN425" s="1824"/>
      <c r="DWO425" s="1824"/>
      <c r="DWP425" s="1824"/>
      <c r="DWQ425" s="1824"/>
      <c r="DWR425" s="1824"/>
      <c r="DWS425" s="1824"/>
      <c r="DWT425" s="1824"/>
      <c r="DWU425" s="1824"/>
      <c r="DWV425" s="1824"/>
      <c r="DWW425" s="1824"/>
      <c r="DWX425" s="1824"/>
      <c r="DWY425" s="1824"/>
      <c r="DWZ425" s="1824"/>
      <c r="DXA425" s="1824"/>
      <c r="DXB425" s="1824"/>
      <c r="DXC425" s="1824"/>
      <c r="DXD425" s="1824"/>
      <c r="DXE425" s="1824"/>
      <c r="DXF425" s="1824"/>
      <c r="DXG425" s="1824"/>
      <c r="DXH425" s="1824"/>
      <c r="DXI425" s="1824"/>
      <c r="DXJ425" s="1824"/>
      <c r="DXK425" s="1824"/>
      <c r="DXL425" s="1824"/>
      <c r="DXM425" s="1824"/>
      <c r="DXN425" s="1824"/>
      <c r="DXO425" s="1824"/>
      <c r="DXP425" s="1824"/>
      <c r="DXQ425" s="1824"/>
      <c r="DXR425" s="1824"/>
      <c r="DXS425" s="1824"/>
      <c r="DXT425" s="1824"/>
      <c r="DXU425" s="1824"/>
      <c r="DXV425" s="1824"/>
      <c r="DXW425" s="1824"/>
      <c r="DXX425" s="1824"/>
      <c r="DXY425" s="1824"/>
      <c r="DXZ425" s="1824"/>
      <c r="DYA425" s="1824"/>
      <c r="DYB425" s="1824"/>
      <c r="DYC425" s="1824"/>
      <c r="DYD425" s="1824"/>
      <c r="DYE425" s="1824"/>
      <c r="DYF425" s="1824"/>
      <c r="DYG425" s="1824"/>
      <c r="DYH425" s="1824"/>
      <c r="DYI425" s="1824"/>
      <c r="DYJ425" s="1824"/>
      <c r="DYK425" s="1824"/>
      <c r="DYL425" s="1824"/>
      <c r="DYM425" s="1824"/>
      <c r="DYN425" s="1824"/>
      <c r="DYO425" s="1824"/>
      <c r="DYP425" s="1824"/>
      <c r="DYQ425" s="1824"/>
      <c r="DYR425" s="1824"/>
      <c r="DYS425" s="1824"/>
      <c r="DYT425" s="1824"/>
      <c r="DYU425" s="1824"/>
      <c r="DYV425" s="1824"/>
      <c r="DYW425" s="1824"/>
      <c r="DYX425" s="1824"/>
      <c r="DYY425" s="1824"/>
      <c r="DYZ425" s="1824"/>
      <c r="DZA425" s="1824"/>
      <c r="DZB425" s="1824"/>
      <c r="DZC425" s="1824"/>
      <c r="DZD425" s="1824"/>
      <c r="DZE425" s="1824"/>
      <c r="DZF425" s="1824"/>
      <c r="DZG425" s="1824"/>
      <c r="DZH425" s="1824"/>
      <c r="DZI425" s="1824"/>
      <c r="DZJ425" s="1824"/>
      <c r="DZK425" s="1824"/>
      <c r="DZL425" s="1824"/>
      <c r="DZM425" s="1824"/>
      <c r="DZN425" s="1824"/>
      <c r="DZO425" s="1824"/>
      <c r="DZP425" s="1824"/>
      <c r="DZQ425" s="1824"/>
      <c r="DZR425" s="1824"/>
      <c r="DZS425" s="1824"/>
      <c r="DZT425" s="1824"/>
      <c r="DZU425" s="1824"/>
      <c r="DZV425" s="1824"/>
      <c r="DZW425" s="1824"/>
      <c r="DZX425" s="1824"/>
      <c r="DZY425" s="1824"/>
      <c r="DZZ425" s="1824"/>
      <c r="EAA425" s="1824"/>
      <c r="EAB425" s="1824"/>
      <c r="EAC425" s="1824"/>
      <c r="EAD425" s="1824"/>
      <c r="EAE425" s="1824"/>
      <c r="EAF425" s="1824"/>
      <c r="EAG425" s="1824"/>
      <c r="EAH425" s="1824"/>
      <c r="EAI425" s="1824"/>
      <c r="EAJ425" s="1824"/>
      <c r="EAK425" s="1824"/>
      <c r="EAL425" s="1824"/>
      <c r="EAM425" s="1824"/>
      <c r="EAN425" s="1824"/>
      <c r="EAO425" s="1824"/>
      <c r="EAP425" s="1824"/>
      <c r="EAQ425" s="1824"/>
      <c r="EAR425" s="1824"/>
      <c r="EAS425" s="1824"/>
      <c r="EAT425" s="1824"/>
      <c r="EAU425" s="1824"/>
      <c r="EAV425" s="1824"/>
      <c r="EAW425" s="1824"/>
      <c r="EAX425" s="1824"/>
      <c r="EAY425" s="1824"/>
      <c r="EAZ425" s="1824"/>
      <c r="EBA425" s="1824"/>
      <c r="EBB425" s="1824"/>
      <c r="EBC425" s="1824"/>
      <c r="EBD425" s="1824"/>
      <c r="EBE425" s="1824"/>
      <c r="EBF425" s="1824"/>
      <c r="EBG425" s="1824"/>
      <c r="EBH425" s="1824"/>
      <c r="EBI425" s="1824"/>
      <c r="EBJ425" s="1824"/>
      <c r="EBK425" s="1824"/>
      <c r="EBL425" s="1824"/>
      <c r="EBM425" s="1824"/>
      <c r="EBN425" s="1824"/>
      <c r="EBO425" s="1824"/>
      <c r="EBP425" s="1824"/>
      <c r="EBQ425" s="1824"/>
      <c r="EBR425" s="1824"/>
      <c r="EBS425" s="1824"/>
      <c r="EBT425" s="1824"/>
      <c r="EBU425" s="1824"/>
      <c r="EBV425" s="1824"/>
      <c r="EBW425" s="1824"/>
      <c r="EBX425" s="1824"/>
      <c r="EBY425" s="1824"/>
      <c r="EBZ425" s="1824"/>
      <c r="ECA425" s="1824"/>
      <c r="ECB425" s="1824"/>
      <c r="ECC425" s="1824"/>
      <c r="ECD425" s="1824"/>
      <c r="ECE425" s="1824"/>
      <c r="ECF425" s="1824"/>
      <c r="ECG425" s="1824"/>
      <c r="ECH425" s="1824"/>
      <c r="ECI425" s="1824"/>
      <c r="ECJ425" s="1824"/>
      <c r="ECK425" s="1824"/>
      <c r="ECL425" s="1824"/>
      <c r="ECM425" s="1824"/>
      <c r="ECN425" s="1824"/>
      <c r="ECO425" s="1824"/>
      <c r="ECP425" s="1824"/>
      <c r="ECQ425" s="1824"/>
      <c r="ECR425" s="1824"/>
      <c r="ECS425" s="1824"/>
      <c r="ECT425" s="1824"/>
      <c r="ECU425" s="1824"/>
      <c r="ECV425" s="1824"/>
      <c r="ECW425" s="1824"/>
      <c r="ECX425" s="1824"/>
      <c r="ECY425" s="1824"/>
      <c r="ECZ425" s="1824"/>
      <c r="EDA425" s="1824"/>
      <c r="EDB425" s="1824"/>
      <c r="EDC425" s="1824"/>
      <c r="EDD425" s="1824"/>
      <c r="EDE425" s="1824"/>
      <c r="EDF425" s="1824"/>
      <c r="EDG425" s="1824"/>
      <c r="EDH425" s="1824"/>
      <c r="EDI425" s="1824"/>
      <c r="EDJ425" s="1824"/>
      <c r="EDK425" s="1824"/>
      <c r="EDL425" s="1824"/>
      <c r="EDM425" s="1824"/>
      <c r="EDN425" s="1824"/>
      <c r="EDO425" s="1824"/>
      <c r="EDP425" s="1824"/>
      <c r="EDQ425" s="1824"/>
      <c r="EDR425" s="1824"/>
      <c r="EDS425" s="1824"/>
      <c r="EDT425" s="1824"/>
      <c r="EDU425" s="1824"/>
      <c r="EDV425" s="1824"/>
      <c r="EDW425" s="1824"/>
      <c r="EDX425" s="1824"/>
      <c r="EDY425" s="1824"/>
      <c r="EDZ425" s="1824"/>
      <c r="EEA425" s="1824"/>
      <c r="EEB425" s="1824"/>
      <c r="EEC425" s="1824"/>
      <c r="EED425" s="1824"/>
      <c r="EEE425" s="1824"/>
      <c r="EEF425" s="1824"/>
      <c r="EEG425" s="1824"/>
      <c r="EEH425" s="1824"/>
      <c r="EEI425" s="1824"/>
      <c r="EEJ425" s="1824"/>
      <c r="EEK425" s="1824"/>
      <c r="EEL425" s="1824"/>
      <c r="EEM425" s="1824"/>
      <c r="EEN425" s="1824"/>
      <c r="EEO425" s="1824"/>
      <c r="EEP425" s="1824"/>
      <c r="EEQ425" s="1824"/>
      <c r="EER425" s="1824"/>
      <c r="EES425" s="1824"/>
      <c r="EET425" s="1824"/>
      <c r="EEU425" s="1824"/>
      <c r="EEV425" s="1824"/>
      <c r="EEW425" s="1824"/>
      <c r="EEX425" s="1824"/>
      <c r="EEY425" s="1824"/>
      <c r="EEZ425" s="1824"/>
      <c r="EFA425" s="1824"/>
      <c r="EFB425" s="1824"/>
      <c r="EFC425" s="1824"/>
      <c r="EFD425" s="1824"/>
      <c r="EFE425" s="1824"/>
      <c r="EFF425" s="1824"/>
      <c r="EFG425" s="1824"/>
      <c r="EFH425" s="1824"/>
      <c r="EFI425" s="1824"/>
      <c r="EFJ425" s="1824"/>
      <c r="EFK425" s="1824"/>
      <c r="EFL425" s="1824"/>
      <c r="EFM425" s="1824"/>
      <c r="EFN425" s="1824"/>
      <c r="EFO425" s="1824"/>
      <c r="EFP425" s="1824"/>
      <c r="EFQ425" s="1824"/>
      <c r="EFR425" s="1824"/>
      <c r="EFS425" s="1824"/>
      <c r="EFT425" s="1824"/>
      <c r="EFU425" s="1824"/>
      <c r="EFV425" s="1824"/>
      <c r="EFW425" s="1824"/>
      <c r="EFX425" s="1824"/>
      <c r="EFY425" s="1824"/>
      <c r="EFZ425" s="1824"/>
      <c r="EGA425" s="1824"/>
      <c r="EGB425" s="1824"/>
      <c r="EGC425" s="1824"/>
      <c r="EGD425" s="1824"/>
      <c r="EGE425" s="1824"/>
      <c r="EGF425" s="1824"/>
      <c r="EGG425" s="1824"/>
      <c r="EGH425" s="1824"/>
      <c r="EGI425" s="1824"/>
      <c r="EGJ425" s="1824"/>
      <c r="EGK425" s="1824"/>
      <c r="EGL425" s="1824"/>
      <c r="EGM425" s="1824"/>
      <c r="EGN425" s="1824"/>
      <c r="EGO425" s="1824"/>
      <c r="EGP425" s="1824"/>
      <c r="EGQ425" s="1824"/>
      <c r="EGR425" s="1824"/>
      <c r="EGS425" s="1824"/>
      <c r="EGT425" s="1824"/>
      <c r="EGU425" s="1824"/>
      <c r="EGV425" s="1824"/>
      <c r="EGW425" s="1824"/>
      <c r="EGX425" s="1824"/>
      <c r="EGY425" s="1824"/>
      <c r="EGZ425" s="1824"/>
      <c r="EHA425" s="1824"/>
      <c r="EHB425" s="1824"/>
      <c r="EHC425" s="1824"/>
      <c r="EHD425" s="1824"/>
      <c r="EHE425" s="1824"/>
      <c r="EHF425" s="1824"/>
      <c r="EHG425" s="1824"/>
      <c r="EHH425" s="1824"/>
      <c r="EHI425" s="1824"/>
      <c r="EHJ425" s="1824"/>
      <c r="EHK425" s="1824"/>
      <c r="EHL425" s="1824"/>
      <c r="EHM425" s="1824"/>
      <c r="EHN425" s="1824"/>
      <c r="EHO425" s="1824"/>
      <c r="EHP425" s="1824"/>
      <c r="EHQ425" s="1824"/>
      <c r="EHR425" s="1824"/>
      <c r="EHS425" s="1824"/>
      <c r="EHT425" s="1824"/>
      <c r="EHU425" s="1824"/>
      <c r="EHV425" s="1824"/>
      <c r="EHW425" s="1824"/>
      <c r="EHX425" s="1824"/>
      <c r="EHY425" s="1824"/>
      <c r="EHZ425" s="1824"/>
      <c r="EIA425" s="1824"/>
      <c r="EIB425" s="1824"/>
      <c r="EIC425" s="1824"/>
      <c r="EID425" s="1824"/>
      <c r="EIE425" s="1824"/>
      <c r="EIF425" s="1824"/>
      <c r="EIG425" s="1824"/>
      <c r="EIH425" s="1824"/>
      <c r="EII425" s="1824"/>
      <c r="EIJ425" s="1824"/>
      <c r="EIK425" s="1824"/>
      <c r="EIL425" s="1824"/>
      <c r="EIM425" s="1824"/>
      <c r="EIN425" s="1824"/>
      <c r="EIO425" s="1824"/>
      <c r="EIP425" s="1824"/>
      <c r="EIQ425" s="1824"/>
      <c r="EIR425" s="1824"/>
      <c r="EIS425" s="1824"/>
      <c r="EIT425" s="1824"/>
      <c r="EIU425" s="1824"/>
      <c r="EIV425" s="1824"/>
      <c r="EIW425" s="1824"/>
      <c r="EIX425" s="1824"/>
      <c r="EIY425" s="1824"/>
      <c r="EIZ425" s="1824"/>
      <c r="EJA425" s="1824"/>
      <c r="EJB425" s="1824"/>
      <c r="EJC425" s="1824"/>
      <c r="EJD425" s="1824"/>
      <c r="EJE425" s="1824"/>
      <c r="EJF425" s="1824"/>
      <c r="EJG425" s="1824"/>
      <c r="EJH425" s="1824"/>
      <c r="EJI425" s="1824"/>
      <c r="EJJ425" s="1824"/>
      <c r="EJK425" s="1824"/>
      <c r="EJL425" s="1824"/>
      <c r="EJM425" s="1824"/>
      <c r="EJN425" s="1824"/>
      <c r="EJO425" s="1824"/>
      <c r="EJP425" s="1824"/>
      <c r="EJQ425" s="1824"/>
      <c r="EJR425" s="1824"/>
      <c r="EJS425" s="1824"/>
      <c r="EJT425" s="1824"/>
      <c r="EJU425" s="1824"/>
      <c r="EJV425" s="1824"/>
      <c r="EJW425" s="1824"/>
      <c r="EJX425" s="1824"/>
      <c r="EJY425" s="1824"/>
      <c r="EJZ425" s="1824"/>
      <c r="EKA425" s="1824"/>
      <c r="EKB425" s="1824"/>
      <c r="EKC425" s="1824"/>
      <c r="EKD425" s="1824"/>
      <c r="EKE425" s="1824"/>
      <c r="EKF425" s="1824"/>
      <c r="EKG425" s="1824"/>
      <c r="EKH425" s="1824"/>
      <c r="EKI425" s="1824"/>
      <c r="EKJ425" s="1824"/>
      <c r="EKK425" s="1824"/>
      <c r="EKL425" s="1824"/>
      <c r="EKM425" s="1824"/>
      <c r="EKN425" s="1824"/>
      <c r="EKO425" s="1824"/>
      <c r="EKP425" s="1824"/>
      <c r="EKQ425" s="1824"/>
      <c r="EKR425" s="1824"/>
      <c r="EKS425" s="1824"/>
      <c r="EKT425" s="1824"/>
      <c r="EKU425" s="1824"/>
      <c r="EKV425" s="1824"/>
      <c r="EKW425" s="1824"/>
      <c r="EKX425" s="1824"/>
      <c r="EKY425" s="1824"/>
      <c r="EKZ425" s="1824"/>
      <c r="ELA425" s="1824"/>
      <c r="ELB425" s="1824"/>
      <c r="ELC425" s="1824"/>
      <c r="ELD425" s="1824"/>
      <c r="ELE425" s="1824"/>
      <c r="ELF425" s="1824"/>
      <c r="ELG425" s="1824"/>
      <c r="ELH425" s="1824"/>
      <c r="ELI425" s="1824"/>
      <c r="ELJ425" s="1824"/>
      <c r="ELK425" s="1824"/>
      <c r="ELL425" s="1824"/>
      <c r="ELM425" s="1824"/>
      <c r="ELN425" s="1824"/>
      <c r="ELO425" s="1824"/>
      <c r="ELP425" s="1824"/>
      <c r="ELQ425" s="1824"/>
      <c r="ELR425" s="1824"/>
      <c r="ELS425" s="1824"/>
      <c r="ELT425" s="1824"/>
      <c r="ELU425" s="1824"/>
      <c r="ELV425" s="1824"/>
      <c r="ELW425" s="1824"/>
      <c r="ELX425" s="1824"/>
      <c r="ELY425" s="1824"/>
      <c r="ELZ425" s="1824"/>
      <c r="EMA425" s="1824"/>
      <c r="EMB425" s="1824"/>
      <c r="EMC425" s="1824"/>
      <c r="EMD425" s="1824"/>
      <c r="EME425" s="1824"/>
      <c r="EMF425" s="1824"/>
      <c r="EMG425" s="1824"/>
      <c r="EMH425" s="1824"/>
      <c r="EMI425" s="1824"/>
      <c r="EMJ425" s="1824"/>
      <c r="EMK425" s="1824"/>
      <c r="EML425" s="1824"/>
      <c r="EMM425" s="1824"/>
      <c r="EMN425" s="1824"/>
      <c r="EMO425" s="1824"/>
      <c r="EMP425" s="1824"/>
      <c r="EMQ425" s="1824"/>
      <c r="EMR425" s="1824"/>
      <c r="EMS425" s="1824"/>
      <c r="EMT425" s="1824"/>
      <c r="EMU425" s="1824"/>
      <c r="EMV425" s="1824"/>
      <c r="EMW425" s="1824"/>
      <c r="EMX425" s="1824"/>
      <c r="EMY425" s="1824"/>
      <c r="EMZ425" s="1824"/>
      <c r="ENA425" s="1824"/>
      <c r="ENB425" s="1824"/>
      <c r="ENC425" s="1824"/>
      <c r="END425" s="1824"/>
      <c r="ENE425" s="1824"/>
      <c r="ENF425" s="1824"/>
      <c r="ENG425" s="1824"/>
      <c r="ENH425" s="1824"/>
      <c r="ENI425" s="1824"/>
      <c r="ENJ425" s="1824"/>
      <c r="ENK425" s="1824"/>
      <c r="ENL425" s="1824"/>
      <c r="ENM425" s="1824"/>
      <c r="ENN425" s="1824"/>
      <c r="ENO425" s="1824"/>
      <c r="ENP425" s="1824"/>
      <c r="ENQ425" s="1824"/>
      <c r="ENR425" s="1824"/>
      <c r="ENS425" s="1824"/>
      <c r="ENT425" s="1824"/>
      <c r="ENU425" s="1824"/>
      <c r="ENV425" s="1824"/>
      <c r="ENW425" s="1824"/>
      <c r="ENX425" s="1824"/>
      <c r="ENY425" s="1824"/>
      <c r="ENZ425" s="1824"/>
      <c r="EOA425" s="1824"/>
      <c r="EOB425" s="1824"/>
      <c r="EOC425" s="1824"/>
      <c r="EOD425" s="1824"/>
      <c r="EOE425" s="1824"/>
      <c r="EOF425" s="1824"/>
      <c r="EOG425" s="1824"/>
      <c r="EOH425" s="1824"/>
      <c r="EOI425" s="1824"/>
      <c r="EOJ425" s="1824"/>
      <c r="EOK425" s="1824"/>
      <c r="EOL425" s="1824"/>
      <c r="EOM425" s="1824"/>
      <c r="EON425" s="1824"/>
      <c r="EOO425" s="1824"/>
      <c r="EOP425" s="1824"/>
      <c r="EOQ425" s="1824"/>
      <c r="EOR425" s="1824"/>
      <c r="EOS425" s="1824"/>
      <c r="EOT425" s="1824"/>
      <c r="EOU425" s="1824"/>
      <c r="EOV425" s="1824"/>
      <c r="EOW425" s="1824"/>
      <c r="EOX425" s="1824"/>
      <c r="EOY425" s="1824"/>
      <c r="EOZ425" s="1824"/>
      <c r="EPA425" s="1824"/>
      <c r="EPB425" s="1824"/>
      <c r="EPC425" s="1824"/>
      <c r="EPD425" s="1824"/>
      <c r="EPE425" s="1824"/>
      <c r="EPF425" s="1824"/>
      <c r="EPG425" s="1824"/>
      <c r="EPH425" s="1824"/>
      <c r="EPI425" s="1824"/>
      <c r="EPJ425" s="1824"/>
      <c r="EPK425" s="1824"/>
      <c r="EPL425" s="1824"/>
      <c r="EPM425" s="1824"/>
      <c r="EPN425" s="1824"/>
      <c r="EPO425" s="1824"/>
      <c r="EPP425" s="1824"/>
      <c r="EPQ425" s="1824"/>
      <c r="EPR425" s="1824"/>
      <c r="EPS425" s="1824"/>
      <c r="EPT425" s="1824"/>
      <c r="EPU425" s="1824"/>
      <c r="EPV425" s="1824"/>
      <c r="EPW425" s="1824"/>
      <c r="EPX425" s="1824"/>
      <c r="EPY425" s="1824"/>
      <c r="EPZ425" s="1824"/>
      <c r="EQA425" s="1824"/>
      <c r="EQB425" s="1824"/>
      <c r="EQC425" s="1824"/>
      <c r="EQD425" s="1824"/>
      <c r="EQE425" s="1824"/>
      <c r="EQF425" s="1824"/>
      <c r="EQG425" s="1824"/>
      <c r="EQH425" s="1824"/>
      <c r="EQI425" s="1824"/>
      <c r="EQJ425" s="1824"/>
      <c r="EQK425" s="1824"/>
      <c r="EQL425" s="1824"/>
      <c r="EQM425" s="1824"/>
      <c r="EQN425" s="1824"/>
      <c r="EQO425" s="1824"/>
      <c r="EQP425" s="1824"/>
      <c r="EQQ425" s="1824"/>
      <c r="EQR425" s="1824"/>
      <c r="EQS425" s="1824"/>
      <c r="EQT425" s="1824"/>
      <c r="EQU425" s="1824"/>
      <c r="EQV425" s="1824"/>
      <c r="EQW425" s="1824"/>
      <c r="EQX425" s="1824"/>
      <c r="EQY425" s="1824"/>
      <c r="EQZ425" s="1824"/>
      <c r="ERA425" s="1824"/>
      <c r="ERB425" s="1824"/>
      <c r="ERC425" s="1824"/>
      <c r="ERD425" s="1824"/>
      <c r="ERE425" s="1824"/>
      <c r="ERF425" s="1824"/>
      <c r="ERG425" s="1824"/>
      <c r="ERH425" s="1824"/>
      <c r="ERI425" s="1824"/>
      <c r="ERJ425" s="1824"/>
      <c r="ERK425" s="1824"/>
      <c r="ERL425" s="1824"/>
      <c r="ERM425" s="1824"/>
      <c r="ERN425" s="1824"/>
      <c r="ERO425" s="1824"/>
      <c r="ERP425" s="1824"/>
      <c r="ERQ425" s="1824"/>
      <c r="ERR425" s="1824"/>
      <c r="ERS425" s="1824"/>
      <c r="ERT425" s="1824"/>
      <c r="ERU425" s="1824"/>
      <c r="ERV425" s="1824"/>
      <c r="ERW425" s="1824"/>
      <c r="ERX425" s="1824"/>
      <c r="ERY425" s="1824"/>
      <c r="ERZ425" s="1824"/>
      <c r="ESA425" s="1824"/>
      <c r="ESB425" s="1824"/>
      <c r="ESC425" s="1824"/>
      <c r="ESD425" s="1824"/>
      <c r="ESE425" s="1824"/>
      <c r="ESF425" s="1824"/>
      <c r="ESG425" s="1824"/>
      <c r="ESH425" s="1824"/>
      <c r="ESI425" s="1824"/>
      <c r="ESJ425" s="1824"/>
      <c r="ESK425" s="1824"/>
      <c r="ESL425" s="1824"/>
      <c r="ESM425" s="1824"/>
      <c r="ESN425" s="1824"/>
      <c r="ESO425" s="1824"/>
      <c r="ESP425" s="1824"/>
      <c r="ESQ425" s="1824"/>
      <c r="ESR425" s="1824"/>
      <c r="ESS425" s="1824"/>
      <c r="EST425" s="1824"/>
      <c r="ESU425" s="1824"/>
      <c r="ESV425" s="1824"/>
      <c r="ESW425" s="1824"/>
      <c r="ESX425" s="1824"/>
      <c r="ESY425" s="1824"/>
      <c r="ESZ425" s="1824"/>
      <c r="ETA425" s="1824"/>
      <c r="ETB425" s="1824"/>
      <c r="ETC425" s="1824"/>
      <c r="ETD425" s="1824"/>
      <c r="ETE425" s="1824"/>
      <c r="ETF425" s="1824"/>
      <c r="ETG425" s="1824"/>
      <c r="ETH425" s="1824"/>
      <c r="ETI425" s="1824"/>
      <c r="ETJ425" s="1824"/>
      <c r="ETK425" s="1824"/>
      <c r="ETL425" s="1824"/>
      <c r="ETM425" s="1824"/>
      <c r="ETN425" s="1824"/>
      <c r="ETO425" s="1824"/>
      <c r="ETP425" s="1824"/>
      <c r="ETQ425" s="1824"/>
      <c r="ETR425" s="1824"/>
      <c r="ETS425" s="1824"/>
      <c r="ETT425" s="1824"/>
      <c r="ETU425" s="1824"/>
      <c r="ETV425" s="1824"/>
      <c r="ETW425" s="1824"/>
      <c r="ETX425" s="1824"/>
      <c r="ETY425" s="1824"/>
      <c r="ETZ425" s="1824"/>
      <c r="EUA425" s="1824"/>
      <c r="EUB425" s="1824"/>
      <c r="EUC425" s="1824"/>
      <c r="EUD425" s="1824"/>
      <c r="EUE425" s="1824"/>
      <c r="EUF425" s="1824"/>
      <c r="EUG425" s="1824"/>
      <c r="EUH425" s="1824"/>
      <c r="EUI425" s="1824"/>
      <c r="EUJ425" s="1824"/>
      <c r="EUK425" s="1824"/>
      <c r="EUL425" s="1824"/>
      <c r="EUM425" s="1824"/>
      <c r="EUN425" s="1824"/>
      <c r="EUO425" s="1824"/>
      <c r="EUP425" s="1824"/>
      <c r="EUQ425" s="1824"/>
      <c r="EUR425" s="1824"/>
      <c r="EUS425" s="1824"/>
      <c r="EUT425" s="1824"/>
      <c r="EUU425" s="1824"/>
      <c r="EUV425" s="1824"/>
      <c r="EUW425" s="1824"/>
      <c r="EUX425" s="1824"/>
      <c r="EUY425" s="1824"/>
      <c r="EUZ425" s="1824"/>
      <c r="EVA425" s="1824"/>
      <c r="EVB425" s="1824"/>
      <c r="EVC425" s="1824"/>
      <c r="EVD425" s="1824"/>
      <c r="EVE425" s="1824"/>
      <c r="EVF425" s="1824"/>
      <c r="EVG425" s="1824"/>
      <c r="EVH425" s="1824"/>
      <c r="EVI425" s="1824"/>
      <c r="EVJ425" s="1824"/>
      <c r="EVK425" s="1824"/>
      <c r="EVL425" s="1824"/>
      <c r="EVM425" s="1824"/>
      <c r="EVN425" s="1824"/>
      <c r="EVO425" s="1824"/>
      <c r="EVP425" s="1824"/>
      <c r="EVQ425" s="1824"/>
      <c r="EVR425" s="1824"/>
      <c r="EVS425" s="1824"/>
      <c r="EVT425" s="1824"/>
      <c r="EVU425" s="1824"/>
      <c r="EVV425" s="1824"/>
      <c r="EVW425" s="1824"/>
      <c r="EVX425" s="1824"/>
      <c r="EVY425" s="1824"/>
      <c r="EVZ425" s="1824"/>
      <c r="EWA425" s="1824"/>
      <c r="EWB425" s="1824"/>
      <c r="EWC425" s="1824"/>
      <c r="EWD425" s="1824"/>
      <c r="EWE425" s="1824"/>
      <c r="EWF425" s="1824"/>
      <c r="EWG425" s="1824"/>
      <c r="EWH425" s="1824"/>
      <c r="EWI425" s="1824"/>
      <c r="EWJ425" s="1824"/>
      <c r="EWK425" s="1824"/>
      <c r="EWL425" s="1824"/>
      <c r="EWM425" s="1824"/>
      <c r="EWN425" s="1824"/>
      <c r="EWO425" s="1824"/>
      <c r="EWP425" s="1824"/>
      <c r="EWQ425" s="1824"/>
      <c r="EWR425" s="1824"/>
      <c r="EWS425" s="1824"/>
      <c r="EWT425" s="1824"/>
      <c r="EWU425" s="1824"/>
      <c r="EWV425" s="1824"/>
      <c r="EWW425" s="1824"/>
      <c r="EWX425" s="1824"/>
      <c r="EWY425" s="1824"/>
      <c r="EWZ425" s="1824"/>
      <c r="EXA425" s="1824"/>
      <c r="EXB425" s="1824"/>
      <c r="EXC425" s="1824"/>
      <c r="EXD425" s="1824"/>
      <c r="EXE425" s="1824"/>
      <c r="EXF425" s="1824"/>
      <c r="EXG425" s="1824"/>
      <c r="EXH425" s="1824"/>
      <c r="EXI425" s="1824"/>
      <c r="EXJ425" s="1824"/>
      <c r="EXK425" s="1824"/>
      <c r="EXL425" s="1824"/>
      <c r="EXM425" s="1824"/>
      <c r="EXN425" s="1824"/>
      <c r="EXO425" s="1824"/>
      <c r="EXP425" s="1824"/>
      <c r="EXQ425" s="1824"/>
      <c r="EXR425" s="1824"/>
      <c r="EXS425" s="1824"/>
      <c r="EXT425" s="1824"/>
      <c r="EXU425" s="1824"/>
      <c r="EXV425" s="1824"/>
      <c r="EXW425" s="1824"/>
      <c r="EXX425" s="1824"/>
      <c r="EXY425" s="1824"/>
      <c r="EXZ425" s="1824"/>
      <c r="EYA425" s="1824"/>
      <c r="EYB425" s="1824"/>
      <c r="EYC425" s="1824"/>
      <c r="EYD425" s="1824"/>
      <c r="EYE425" s="1824"/>
      <c r="EYF425" s="1824"/>
      <c r="EYG425" s="1824"/>
      <c r="EYH425" s="1824"/>
      <c r="EYI425" s="1824"/>
      <c r="EYJ425" s="1824"/>
      <c r="EYK425" s="1824"/>
      <c r="EYL425" s="1824"/>
      <c r="EYM425" s="1824"/>
      <c r="EYN425" s="1824"/>
      <c r="EYO425" s="1824"/>
      <c r="EYP425" s="1824"/>
      <c r="EYQ425" s="1824"/>
      <c r="EYR425" s="1824"/>
      <c r="EYS425" s="1824"/>
      <c r="EYT425" s="1824"/>
      <c r="EYU425" s="1824"/>
      <c r="EYV425" s="1824"/>
      <c r="EYW425" s="1824"/>
      <c r="EYX425" s="1824"/>
      <c r="EYY425" s="1824"/>
      <c r="EYZ425" s="1824"/>
      <c r="EZA425" s="1824"/>
      <c r="EZB425" s="1824"/>
      <c r="EZC425" s="1824"/>
      <c r="EZD425" s="1824"/>
      <c r="EZE425" s="1824"/>
      <c r="EZF425" s="1824"/>
      <c r="EZG425" s="1824"/>
      <c r="EZH425" s="1824"/>
      <c r="EZI425" s="1824"/>
      <c r="EZJ425" s="1824"/>
      <c r="EZK425" s="1824"/>
      <c r="EZL425" s="1824"/>
      <c r="EZM425" s="1824"/>
      <c r="EZN425" s="1824"/>
      <c r="EZO425" s="1824"/>
      <c r="EZP425" s="1824"/>
      <c r="EZQ425" s="1824"/>
      <c r="EZR425" s="1824"/>
      <c r="EZS425" s="1824"/>
      <c r="EZT425" s="1824"/>
      <c r="EZU425" s="1824"/>
      <c r="EZV425" s="1824"/>
      <c r="EZW425" s="1824"/>
      <c r="EZX425" s="1824"/>
      <c r="EZY425" s="1824"/>
      <c r="EZZ425" s="1824"/>
      <c r="FAA425" s="1824"/>
      <c r="FAB425" s="1824"/>
      <c r="FAC425" s="1824"/>
      <c r="FAD425" s="1824"/>
      <c r="FAE425" s="1824"/>
      <c r="FAF425" s="1824"/>
      <c r="FAG425" s="1824"/>
      <c r="FAH425" s="1824"/>
      <c r="FAI425" s="1824"/>
      <c r="FAJ425" s="1824"/>
      <c r="FAK425" s="1824"/>
      <c r="FAL425" s="1824"/>
      <c r="FAM425" s="1824"/>
      <c r="FAN425" s="1824"/>
      <c r="FAO425" s="1824"/>
      <c r="FAP425" s="1824"/>
      <c r="FAQ425" s="1824"/>
      <c r="FAR425" s="1824"/>
      <c r="FAS425" s="1824"/>
      <c r="FAT425" s="1824"/>
      <c r="FAU425" s="1824"/>
      <c r="FAV425" s="1824"/>
      <c r="FAW425" s="1824"/>
      <c r="FAX425" s="1824"/>
      <c r="FAY425" s="1824"/>
      <c r="FAZ425" s="1824"/>
      <c r="FBA425" s="1824"/>
      <c r="FBB425" s="1824"/>
      <c r="FBC425" s="1824"/>
      <c r="FBD425" s="1824"/>
      <c r="FBE425" s="1824"/>
      <c r="FBF425" s="1824"/>
      <c r="FBG425" s="1824"/>
      <c r="FBH425" s="1824"/>
      <c r="FBI425" s="1824"/>
      <c r="FBJ425" s="1824"/>
      <c r="FBK425" s="1824"/>
      <c r="FBL425" s="1824"/>
      <c r="FBM425" s="1824"/>
      <c r="FBN425" s="1824"/>
      <c r="FBO425" s="1824"/>
      <c r="FBP425" s="1824"/>
      <c r="FBQ425" s="1824"/>
      <c r="FBR425" s="1824"/>
      <c r="FBS425" s="1824"/>
      <c r="FBT425" s="1824"/>
      <c r="FBU425" s="1824"/>
      <c r="FBV425" s="1824"/>
      <c r="FBW425" s="1824"/>
      <c r="FBX425" s="1824"/>
      <c r="FBY425" s="1824"/>
      <c r="FBZ425" s="1824"/>
      <c r="FCA425" s="1824"/>
      <c r="FCB425" s="1824"/>
      <c r="FCC425" s="1824"/>
      <c r="FCD425" s="1824"/>
      <c r="FCE425" s="1824"/>
      <c r="FCF425" s="1824"/>
      <c r="FCG425" s="1824"/>
      <c r="FCH425" s="1824"/>
      <c r="FCI425" s="1824"/>
      <c r="FCJ425" s="1824"/>
      <c r="FCK425" s="1824"/>
      <c r="FCL425" s="1824"/>
      <c r="FCM425" s="1824"/>
      <c r="FCN425" s="1824"/>
      <c r="FCO425" s="1824"/>
      <c r="FCP425" s="1824"/>
      <c r="FCQ425" s="1824"/>
      <c r="FCR425" s="1824"/>
      <c r="FCS425" s="1824"/>
      <c r="FCT425" s="1824"/>
      <c r="FCU425" s="1824"/>
      <c r="FCV425" s="1824"/>
      <c r="FCW425" s="1824"/>
      <c r="FCX425" s="1824"/>
      <c r="FCY425" s="1824"/>
      <c r="FCZ425" s="1824"/>
      <c r="FDA425" s="1824"/>
      <c r="FDB425" s="1824"/>
      <c r="FDC425" s="1824"/>
      <c r="FDD425" s="1824"/>
      <c r="FDE425" s="1824"/>
      <c r="FDF425" s="1824"/>
      <c r="FDG425" s="1824"/>
      <c r="FDH425" s="1824"/>
      <c r="FDI425" s="1824"/>
      <c r="FDJ425" s="1824"/>
      <c r="FDK425" s="1824"/>
      <c r="FDL425" s="1824"/>
      <c r="FDM425" s="1824"/>
      <c r="FDN425" s="1824"/>
      <c r="FDO425" s="1824"/>
      <c r="FDP425" s="1824"/>
      <c r="FDQ425" s="1824"/>
      <c r="FDR425" s="1824"/>
      <c r="FDS425" s="1824"/>
      <c r="FDT425" s="1824"/>
      <c r="FDU425" s="1824"/>
      <c r="FDV425" s="1824"/>
      <c r="FDW425" s="1824"/>
      <c r="FDX425" s="1824"/>
      <c r="FDY425" s="1824"/>
      <c r="FDZ425" s="1824"/>
      <c r="FEA425" s="1824"/>
      <c r="FEB425" s="1824"/>
      <c r="FEC425" s="1824"/>
      <c r="FED425" s="1824"/>
      <c r="FEE425" s="1824"/>
      <c r="FEF425" s="1824"/>
      <c r="FEG425" s="1824"/>
      <c r="FEH425" s="1824"/>
      <c r="FEI425" s="1824"/>
      <c r="FEJ425" s="1824"/>
      <c r="FEK425" s="1824"/>
      <c r="FEL425" s="1824"/>
      <c r="FEM425" s="1824"/>
      <c r="FEN425" s="1824"/>
      <c r="FEO425" s="1824"/>
      <c r="FEP425" s="1824"/>
      <c r="FEQ425" s="1824"/>
      <c r="FER425" s="1824"/>
      <c r="FES425" s="1824"/>
      <c r="FET425" s="1824"/>
      <c r="FEU425" s="1824"/>
      <c r="FEV425" s="1824"/>
      <c r="FEW425" s="1824"/>
      <c r="FEX425" s="1824"/>
      <c r="FEY425" s="1824"/>
      <c r="FEZ425" s="1824"/>
      <c r="FFA425" s="1824"/>
      <c r="FFB425" s="1824"/>
      <c r="FFC425" s="1824"/>
      <c r="FFD425" s="1824"/>
      <c r="FFE425" s="1824"/>
      <c r="FFF425" s="1824"/>
      <c r="FFG425" s="1824"/>
      <c r="FFH425" s="1824"/>
      <c r="FFI425" s="1824"/>
      <c r="FFJ425" s="1824"/>
      <c r="FFK425" s="1824"/>
      <c r="FFL425" s="1824"/>
      <c r="FFM425" s="1824"/>
      <c r="FFN425" s="1824"/>
      <c r="FFO425" s="1824"/>
      <c r="FFP425" s="1824"/>
      <c r="FFQ425" s="1824"/>
      <c r="FFR425" s="1824"/>
      <c r="FFS425" s="1824"/>
      <c r="FFT425" s="1824"/>
      <c r="FFU425" s="1824"/>
      <c r="FFV425" s="1824"/>
      <c r="FFW425" s="1824"/>
      <c r="FFX425" s="1824"/>
      <c r="FFY425" s="1824"/>
      <c r="FFZ425" s="1824"/>
      <c r="FGA425" s="1824"/>
      <c r="FGB425" s="1824"/>
      <c r="FGC425" s="1824"/>
      <c r="FGD425" s="1824"/>
      <c r="FGE425" s="1824"/>
      <c r="FGF425" s="1824"/>
      <c r="FGG425" s="1824"/>
      <c r="FGH425" s="1824"/>
      <c r="FGI425" s="1824"/>
      <c r="FGJ425" s="1824"/>
      <c r="FGK425" s="1824"/>
      <c r="FGL425" s="1824"/>
      <c r="FGM425" s="1824"/>
      <c r="FGN425" s="1824"/>
      <c r="FGO425" s="1824"/>
      <c r="FGP425" s="1824"/>
      <c r="FGQ425" s="1824"/>
      <c r="FGR425" s="1824"/>
      <c r="FGS425" s="1824"/>
      <c r="FGT425" s="1824"/>
      <c r="FGU425" s="1824"/>
      <c r="FGV425" s="1824"/>
      <c r="FGW425" s="1824"/>
      <c r="FGX425" s="1824"/>
      <c r="FGY425" s="1824"/>
      <c r="FGZ425" s="1824"/>
      <c r="FHA425" s="1824"/>
      <c r="FHB425" s="1824"/>
      <c r="FHC425" s="1824"/>
      <c r="FHD425" s="1824"/>
      <c r="FHE425" s="1824"/>
      <c r="FHF425" s="1824"/>
      <c r="FHG425" s="1824"/>
      <c r="FHH425" s="1824"/>
      <c r="FHI425" s="1824"/>
      <c r="FHJ425" s="1824"/>
      <c r="FHK425" s="1824"/>
      <c r="FHL425" s="1824"/>
      <c r="FHM425" s="1824"/>
      <c r="FHN425" s="1824"/>
      <c r="FHO425" s="1824"/>
      <c r="FHP425" s="1824"/>
      <c r="FHQ425" s="1824"/>
      <c r="FHR425" s="1824"/>
      <c r="FHS425" s="1824"/>
      <c r="FHT425" s="1824"/>
      <c r="FHU425" s="1824"/>
      <c r="FHV425" s="1824"/>
      <c r="FHW425" s="1824"/>
      <c r="FHX425" s="1824"/>
      <c r="FHY425" s="1824"/>
      <c r="FHZ425" s="1824"/>
      <c r="FIA425" s="1824"/>
      <c r="FIB425" s="1824"/>
      <c r="FIC425" s="1824"/>
      <c r="FID425" s="1824"/>
      <c r="FIE425" s="1824"/>
      <c r="FIF425" s="1824"/>
      <c r="FIG425" s="1824"/>
      <c r="FIH425" s="1824"/>
      <c r="FII425" s="1824"/>
      <c r="FIJ425" s="1824"/>
      <c r="FIK425" s="1824"/>
      <c r="FIL425" s="1824"/>
      <c r="FIM425" s="1824"/>
      <c r="FIN425" s="1824"/>
      <c r="FIO425" s="1824"/>
      <c r="FIP425" s="1824"/>
      <c r="FIQ425" s="1824"/>
      <c r="FIR425" s="1824"/>
      <c r="FIS425" s="1824"/>
      <c r="FIT425" s="1824"/>
      <c r="FIU425" s="1824"/>
      <c r="FIV425" s="1824"/>
      <c r="FIW425" s="1824"/>
      <c r="FIX425" s="1824"/>
      <c r="FIY425" s="1824"/>
      <c r="FIZ425" s="1824"/>
      <c r="FJA425" s="1824"/>
      <c r="FJB425" s="1824"/>
      <c r="FJC425" s="1824"/>
      <c r="FJD425" s="1824"/>
      <c r="FJE425" s="1824"/>
      <c r="FJF425" s="1824"/>
      <c r="FJG425" s="1824"/>
      <c r="FJH425" s="1824"/>
      <c r="FJI425" s="1824"/>
      <c r="FJJ425" s="1824"/>
      <c r="FJK425" s="1824"/>
      <c r="FJL425" s="1824"/>
      <c r="FJM425" s="1824"/>
      <c r="FJN425" s="1824"/>
      <c r="FJO425" s="1824"/>
      <c r="FJP425" s="1824"/>
      <c r="FJQ425" s="1824"/>
      <c r="FJR425" s="1824"/>
      <c r="FJS425" s="1824"/>
      <c r="FJT425" s="1824"/>
      <c r="FJU425" s="1824"/>
      <c r="FJV425" s="1824"/>
      <c r="FJW425" s="1824"/>
      <c r="FJX425" s="1824"/>
      <c r="FJY425" s="1824"/>
      <c r="FJZ425" s="1824"/>
      <c r="FKA425" s="1824"/>
      <c r="FKB425" s="1824"/>
      <c r="FKC425" s="1824"/>
      <c r="FKD425" s="1824"/>
      <c r="FKE425" s="1824"/>
      <c r="FKF425" s="1824"/>
      <c r="FKG425" s="1824"/>
      <c r="FKH425" s="1824"/>
      <c r="FKI425" s="1824"/>
      <c r="FKJ425" s="1824"/>
      <c r="FKK425" s="1824"/>
      <c r="FKL425" s="1824"/>
      <c r="FKM425" s="1824"/>
      <c r="FKN425" s="1824"/>
      <c r="FKO425" s="1824"/>
      <c r="FKP425" s="1824"/>
      <c r="FKQ425" s="1824"/>
      <c r="FKR425" s="1824"/>
      <c r="FKS425" s="1824"/>
      <c r="FKT425" s="1824"/>
      <c r="FKU425" s="1824"/>
      <c r="FKV425" s="1824"/>
      <c r="FKW425" s="1824"/>
      <c r="FKX425" s="1824"/>
      <c r="FKY425" s="1824"/>
      <c r="FKZ425" s="1824"/>
      <c r="FLA425" s="1824"/>
      <c r="FLB425" s="1824"/>
      <c r="FLC425" s="1824"/>
      <c r="FLD425" s="1824"/>
      <c r="FLE425" s="1824"/>
      <c r="FLF425" s="1824"/>
      <c r="FLG425" s="1824"/>
      <c r="FLH425" s="1824"/>
      <c r="FLI425" s="1824"/>
      <c r="FLJ425" s="1824"/>
      <c r="FLK425" s="1824"/>
      <c r="FLL425" s="1824"/>
      <c r="FLM425" s="1824"/>
      <c r="FLN425" s="1824"/>
      <c r="FLO425" s="1824"/>
      <c r="FLP425" s="1824"/>
      <c r="FLQ425" s="1824"/>
      <c r="FLR425" s="1824"/>
      <c r="FLS425" s="1824"/>
      <c r="FLT425" s="1824"/>
      <c r="FLU425" s="1824"/>
      <c r="FLV425" s="1824"/>
      <c r="FLW425" s="1824"/>
      <c r="FLX425" s="1824"/>
      <c r="FLY425" s="1824"/>
      <c r="FLZ425" s="1824"/>
      <c r="FMA425" s="1824"/>
      <c r="FMB425" s="1824"/>
      <c r="FMC425" s="1824"/>
      <c r="FMD425" s="1824"/>
      <c r="FME425" s="1824"/>
      <c r="FMF425" s="1824"/>
      <c r="FMG425" s="1824"/>
      <c r="FMH425" s="1824"/>
      <c r="FMI425" s="1824"/>
      <c r="FMJ425" s="1824"/>
      <c r="FMK425" s="1824"/>
      <c r="FML425" s="1824"/>
      <c r="FMM425" s="1824"/>
      <c r="FMN425" s="1824"/>
      <c r="FMO425" s="1824"/>
      <c r="FMP425" s="1824"/>
      <c r="FMQ425" s="1824"/>
      <c r="FMR425" s="1824"/>
      <c r="FMS425" s="1824"/>
      <c r="FMT425" s="1824"/>
      <c r="FMU425" s="1824"/>
      <c r="FMV425" s="1824"/>
      <c r="FMW425" s="1824"/>
      <c r="FMX425" s="1824"/>
      <c r="FMY425" s="1824"/>
      <c r="FMZ425" s="1824"/>
      <c r="FNA425" s="1824"/>
      <c r="FNB425" s="1824"/>
      <c r="FNC425" s="1824"/>
      <c r="FND425" s="1824"/>
      <c r="FNE425" s="1824"/>
      <c r="FNF425" s="1824"/>
      <c r="FNG425" s="1824"/>
      <c r="FNH425" s="1824"/>
      <c r="FNI425" s="1824"/>
      <c r="FNJ425" s="1824"/>
      <c r="FNK425" s="1824"/>
      <c r="FNL425" s="1824"/>
      <c r="FNM425" s="1824"/>
      <c r="FNN425" s="1824"/>
      <c r="FNO425" s="1824"/>
      <c r="FNP425" s="1824"/>
      <c r="FNQ425" s="1824"/>
      <c r="FNR425" s="1824"/>
      <c r="FNS425" s="1824"/>
      <c r="FNT425" s="1824"/>
      <c r="FNU425" s="1824"/>
      <c r="FNV425" s="1824"/>
      <c r="FNW425" s="1824"/>
      <c r="FNX425" s="1824"/>
      <c r="FNY425" s="1824"/>
      <c r="FNZ425" s="1824"/>
      <c r="FOA425" s="1824"/>
      <c r="FOB425" s="1824"/>
      <c r="FOC425" s="1824"/>
      <c r="FOD425" s="1824"/>
      <c r="FOE425" s="1824"/>
      <c r="FOF425" s="1824"/>
      <c r="FOG425" s="1824"/>
      <c r="FOH425" s="1824"/>
      <c r="FOI425" s="1824"/>
      <c r="FOJ425" s="1824"/>
      <c r="FOK425" s="1824"/>
      <c r="FOL425" s="1824"/>
      <c r="FOM425" s="1824"/>
      <c r="FON425" s="1824"/>
      <c r="FOO425" s="1824"/>
      <c r="FOP425" s="1824"/>
      <c r="FOQ425" s="1824"/>
      <c r="FOR425" s="1824"/>
      <c r="FOS425" s="1824"/>
      <c r="FOT425" s="1824"/>
      <c r="FOU425" s="1824"/>
      <c r="FOV425" s="1824"/>
      <c r="FOW425" s="1824"/>
      <c r="FOX425" s="1824"/>
      <c r="FOY425" s="1824"/>
      <c r="FOZ425" s="1824"/>
      <c r="FPA425" s="1824"/>
      <c r="FPB425" s="1824"/>
      <c r="FPC425" s="1824"/>
      <c r="FPD425" s="1824"/>
      <c r="FPE425" s="1824"/>
      <c r="FPF425" s="1824"/>
      <c r="FPG425" s="1824"/>
      <c r="FPH425" s="1824"/>
      <c r="FPI425" s="1824"/>
      <c r="FPJ425" s="1824"/>
      <c r="FPK425" s="1824"/>
      <c r="FPL425" s="1824"/>
      <c r="FPM425" s="1824"/>
      <c r="FPN425" s="1824"/>
      <c r="FPO425" s="1824"/>
      <c r="FPP425" s="1824"/>
      <c r="FPQ425" s="1824"/>
      <c r="FPR425" s="1824"/>
      <c r="FPS425" s="1824"/>
      <c r="FPT425" s="1824"/>
      <c r="FPU425" s="1824"/>
      <c r="FPV425" s="1824"/>
      <c r="FPW425" s="1824"/>
      <c r="FPX425" s="1824"/>
      <c r="FPY425" s="1824"/>
      <c r="FPZ425" s="1824"/>
      <c r="FQA425" s="1824"/>
      <c r="FQB425" s="1824"/>
      <c r="FQC425" s="1824"/>
      <c r="FQD425" s="1824"/>
      <c r="FQE425" s="1824"/>
      <c r="FQF425" s="1824"/>
      <c r="FQG425" s="1824"/>
      <c r="FQH425" s="1824"/>
      <c r="FQI425" s="1824"/>
      <c r="FQJ425" s="1824"/>
      <c r="FQK425" s="1824"/>
      <c r="FQL425" s="1824"/>
      <c r="FQM425" s="1824"/>
      <c r="FQN425" s="1824"/>
      <c r="FQO425" s="1824"/>
      <c r="FQP425" s="1824"/>
      <c r="FQQ425" s="1824"/>
      <c r="FQR425" s="1824"/>
      <c r="FQS425" s="1824"/>
      <c r="FQT425" s="1824"/>
      <c r="FQU425" s="1824"/>
      <c r="FQV425" s="1824"/>
      <c r="FQW425" s="1824"/>
      <c r="FQX425" s="1824"/>
      <c r="FQY425" s="1824"/>
      <c r="FQZ425" s="1824"/>
      <c r="FRA425" s="1824"/>
      <c r="FRB425" s="1824"/>
      <c r="FRC425" s="1824"/>
      <c r="FRD425" s="1824"/>
      <c r="FRE425" s="1824"/>
      <c r="FRF425" s="1824"/>
      <c r="FRG425" s="1824"/>
      <c r="FRH425" s="1824"/>
      <c r="FRI425" s="1824"/>
      <c r="FRJ425" s="1824"/>
      <c r="FRK425" s="1824"/>
      <c r="FRL425" s="1824"/>
      <c r="FRM425" s="1824"/>
      <c r="FRN425" s="1824"/>
      <c r="FRO425" s="1824"/>
      <c r="FRP425" s="1824"/>
      <c r="FRQ425" s="1824"/>
      <c r="FRR425" s="1824"/>
      <c r="FRS425" s="1824"/>
      <c r="FRT425" s="1824"/>
      <c r="FRU425" s="1824"/>
      <c r="FRV425" s="1824"/>
      <c r="FRW425" s="1824"/>
      <c r="FRX425" s="1824"/>
      <c r="FRY425" s="1824"/>
      <c r="FRZ425" s="1824"/>
      <c r="FSA425" s="1824"/>
      <c r="FSB425" s="1824"/>
      <c r="FSC425" s="1824"/>
      <c r="FSD425" s="1824"/>
      <c r="FSE425" s="1824"/>
      <c r="FSF425" s="1824"/>
      <c r="FSG425" s="1824"/>
      <c r="FSH425" s="1824"/>
      <c r="FSI425" s="1824"/>
      <c r="FSJ425" s="1824"/>
      <c r="FSK425" s="1824"/>
      <c r="FSL425" s="1824"/>
      <c r="FSM425" s="1824"/>
      <c r="FSN425" s="1824"/>
      <c r="FSO425" s="1824"/>
      <c r="FSP425" s="1824"/>
      <c r="FSQ425" s="1824"/>
      <c r="FSR425" s="1824"/>
      <c r="FSS425" s="1824"/>
      <c r="FST425" s="1824"/>
      <c r="FSU425" s="1824"/>
      <c r="FSV425" s="1824"/>
      <c r="FSW425" s="1824"/>
      <c r="FSX425" s="1824"/>
      <c r="FSY425" s="1824"/>
      <c r="FSZ425" s="1824"/>
      <c r="FTA425" s="1824"/>
      <c r="FTB425" s="1824"/>
      <c r="FTC425" s="1824"/>
      <c r="FTD425" s="1824"/>
      <c r="FTE425" s="1824"/>
      <c r="FTF425" s="1824"/>
      <c r="FTG425" s="1824"/>
      <c r="FTH425" s="1824"/>
      <c r="FTI425" s="1824"/>
      <c r="FTJ425" s="1824"/>
      <c r="FTK425" s="1824"/>
      <c r="FTL425" s="1824"/>
      <c r="FTM425" s="1824"/>
      <c r="FTN425" s="1824"/>
      <c r="FTO425" s="1824"/>
      <c r="FTP425" s="1824"/>
      <c r="FTQ425" s="1824"/>
      <c r="FTR425" s="1824"/>
      <c r="FTS425" s="1824"/>
      <c r="FTT425" s="1824"/>
      <c r="FTU425" s="1824"/>
      <c r="FTV425" s="1824"/>
      <c r="FTW425" s="1824"/>
      <c r="FTX425" s="1824"/>
      <c r="FTY425" s="1824"/>
      <c r="FTZ425" s="1824"/>
      <c r="FUA425" s="1824"/>
      <c r="FUB425" s="1824"/>
      <c r="FUC425" s="1824"/>
      <c r="FUD425" s="1824"/>
      <c r="FUE425" s="1824"/>
      <c r="FUF425" s="1824"/>
      <c r="FUG425" s="1824"/>
      <c r="FUH425" s="1824"/>
      <c r="FUI425" s="1824"/>
      <c r="FUJ425" s="1824"/>
      <c r="FUK425" s="1824"/>
      <c r="FUL425" s="1824"/>
      <c r="FUM425" s="1824"/>
      <c r="FUN425" s="1824"/>
      <c r="FUO425" s="1824"/>
      <c r="FUP425" s="1824"/>
      <c r="FUQ425" s="1824"/>
      <c r="FUR425" s="1824"/>
      <c r="FUS425" s="1824"/>
      <c r="FUT425" s="1824"/>
      <c r="FUU425" s="1824"/>
      <c r="FUV425" s="1824"/>
      <c r="FUW425" s="1824"/>
      <c r="FUX425" s="1824"/>
      <c r="FUY425" s="1824"/>
      <c r="FUZ425" s="1824"/>
      <c r="FVA425" s="1824"/>
      <c r="FVB425" s="1824"/>
      <c r="FVC425" s="1824"/>
      <c r="FVD425" s="1824"/>
      <c r="FVE425" s="1824"/>
      <c r="FVF425" s="1824"/>
      <c r="FVG425" s="1824"/>
      <c r="FVH425" s="1824"/>
      <c r="FVI425" s="1824"/>
      <c r="FVJ425" s="1824"/>
      <c r="FVK425" s="1824"/>
      <c r="FVL425" s="1824"/>
      <c r="FVM425" s="1824"/>
      <c r="FVN425" s="1824"/>
      <c r="FVO425" s="1824"/>
      <c r="FVP425" s="1824"/>
      <c r="FVQ425" s="1824"/>
      <c r="FVR425" s="1824"/>
      <c r="FVS425" s="1824"/>
      <c r="FVT425" s="1824"/>
      <c r="FVU425" s="1824"/>
      <c r="FVV425" s="1824"/>
      <c r="FVW425" s="1824"/>
      <c r="FVX425" s="1824"/>
      <c r="FVY425" s="1824"/>
      <c r="FVZ425" s="1824"/>
      <c r="FWA425" s="1824"/>
      <c r="FWB425" s="1824"/>
      <c r="FWC425" s="1824"/>
      <c r="FWD425" s="1824"/>
      <c r="FWE425" s="1824"/>
      <c r="FWF425" s="1824"/>
      <c r="FWG425" s="1824"/>
      <c r="FWH425" s="1824"/>
      <c r="FWI425" s="1824"/>
      <c r="FWJ425" s="1824"/>
      <c r="FWK425" s="1824"/>
      <c r="FWL425" s="1824"/>
      <c r="FWM425" s="1824"/>
      <c r="FWN425" s="1824"/>
      <c r="FWO425" s="1824"/>
      <c r="FWP425" s="1824"/>
      <c r="FWQ425" s="1824"/>
      <c r="FWR425" s="1824"/>
      <c r="FWS425" s="1824"/>
      <c r="FWT425" s="1824"/>
      <c r="FWU425" s="1824"/>
      <c r="FWV425" s="1824"/>
      <c r="FWW425" s="1824"/>
      <c r="FWX425" s="1824"/>
      <c r="FWY425" s="1824"/>
      <c r="FWZ425" s="1824"/>
      <c r="FXA425" s="1824"/>
      <c r="FXB425" s="1824"/>
      <c r="FXC425" s="1824"/>
      <c r="FXD425" s="1824"/>
      <c r="FXE425" s="1824"/>
      <c r="FXF425" s="1824"/>
      <c r="FXG425" s="1824"/>
      <c r="FXH425" s="1824"/>
      <c r="FXI425" s="1824"/>
      <c r="FXJ425" s="1824"/>
      <c r="FXK425" s="1824"/>
      <c r="FXL425" s="1824"/>
      <c r="FXM425" s="1824"/>
      <c r="FXN425" s="1824"/>
      <c r="FXO425" s="1824"/>
      <c r="FXP425" s="1824"/>
      <c r="FXQ425" s="1824"/>
      <c r="FXR425" s="1824"/>
      <c r="FXS425" s="1824"/>
      <c r="FXT425" s="1824"/>
      <c r="FXU425" s="1824"/>
      <c r="FXV425" s="1824"/>
      <c r="FXW425" s="1824"/>
      <c r="FXX425" s="1824"/>
      <c r="FXY425" s="1824"/>
      <c r="FXZ425" s="1824"/>
      <c r="FYA425" s="1824"/>
      <c r="FYB425" s="1824"/>
      <c r="FYC425" s="1824"/>
      <c r="FYD425" s="1824"/>
      <c r="FYE425" s="1824"/>
      <c r="FYF425" s="1824"/>
      <c r="FYG425" s="1824"/>
      <c r="FYH425" s="1824"/>
      <c r="FYI425" s="1824"/>
      <c r="FYJ425" s="1824"/>
      <c r="FYK425" s="1824"/>
      <c r="FYL425" s="1824"/>
      <c r="FYM425" s="1824"/>
      <c r="FYN425" s="1824"/>
      <c r="FYO425" s="1824"/>
      <c r="FYP425" s="1824"/>
      <c r="FYQ425" s="1824"/>
      <c r="FYR425" s="1824"/>
      <c r="FYS425" s="1824"/>
      <c r="FYT425" s="1824"/>
      <c r="FYU425" s="1824"/>
      <c r="FYV425" s="1824"/>
      <c r="FYW425" s="1824"/>
      <c r="FYX425" s="1824"/>
      <c r="FYY425" s="1824"/>
      <c r="FYZ425" s="1824"/>
      <c r="FZA425" s="1824"/>
      <c r="FZB425" s="1824"/>
      <c r="FZC425" s="1824"/>
      <c r="FZD425" s="1824"/>
      <c r="FZE425" s="1824"/>
      <c r="FZF425" s="1824"/>
      <c r="FZG425" s="1824"/>
      <c r="FZH425" s="1824"/>
      <c r="FZI425" s="1824"/>
      <c r="FZJ425" s="1824"/>
      <c r="FZK425" s="1824"/>
      <c r="FZL425" s="1824"/>
      <c r="FZM425" s="1824"/>
      <c r="FZN425" s="1824"/>
      <c r="FZO425" s="1824"/>
      <c r="FZP425" s="1824"/>
      <c r="FZQ425" s="1824"/>
      <c r="FZR425" s="1824"/>
      <c r="FZS425" s="1824"/>
      <c r="FZT425" s="1824"/>
      <c r="FZU425" s="1824"/>
      <c r="FZV425" s="1824"/>
      <c r="FZW425" s="1824"/>
      <c r="FZX425" s="1824"/>
      <c r="FZY425" s="1824"/>
      <c r="FZZ425" s="1824"/>
      <c r="GAA425" s="1824"/>
      <c r="GAB425" s="1824"/>
      <c r="GAC425" s="1824"/>
      <c r="GAD425" s="1824"/>
      <c r="GAE425" s="1824"/>
      <c r="GAF425" s="1824"/>
      <c r="GAG425" s="1824"/>
      <c r="GAH425" s="1824"/>
      <c r="GAI425" s="1824"/>
      <c r="GAJ425" s="1824"/>
      <c r="GAK425" s="1824"/>
      <c r="GAL425" s="1824"/>
      <c r="GAM425" s="1824"/>
      <c r="GAN425" s="1824"/>
      <c r="GAO425" s="1824"/>
      <c r="GAP425" s="1824"/>
      <c r="GAQ425" s="1824"/>
      <c r="GAR425" s="1824"/>
      <c r="GAS425" s="1824"/>
      <c r="GAT425" s="1824"/>
      <c r="GAU425" s="1824"/>
      <c r="GAV425" s="1824"/>
      <c r="GAW425" s="1824"/>
      <c r="GAX425" s="1824"/>
      <c r="GAY425" s="1824"/>
      <c r="GAZ425" s="1824"/>
      <c r="GBA425" s="1824"/>
      <c r="GBB425" s="1824"/>
      <c r="GBC425" s="1824"/>
      <c r="GBD425" s="1824"/>
      <c r="GBE425" s="1824"/>
      <c r="GBF425" s="1824"/>
      <c r="GBG425" s="1824"/>
      <c r="GBH425" s="1824"/>
      <c r="GBI425" s="1824"/>
      <c r="GBJ425" s="1824"/>
      <c r="GBK425" s="1824"/>
      <c r="GBL425" s="1824"/>
      <c r="GBM425" s="1824"/>
      <c r="GBN425" s="1824"/>
      <c r="GBO425" s="1824"/>
      <c r="GBP425" s="1824"/>
      <c r="GBQ425" s="1824"/>
      <c r="GBR425" s="1824"/>
      <c r="GBS425" s="1824"/>
      <c r="GBT425" s="1824"/>
      <c r="GBU425" s="1824"/>
      <c r="GBV425" s="1824"/>
      <c r="GBW425" s="1824"/>
      <c r="GBX425" s="1824"/>
      <c r="GBY425" s="1824"/>
      <c r="GBZ425" s="1824"/>
      <c r="GCA425" s="1824"/>
      <c r="GCB425" s="1824"/>
      <c r="GCC425" s="1824"/>
      <c r="GCD425" s="1824"/>
      <c r="GCE425" s="1824"/>
      <c r="GCF425" s="1824"/>
      <c r="GCG425" s="1824"/>
      <c r="GCH425" s="1824"/>
      <c r="GCI425" s="1824"/>
      <c r="GCJ425" s="1824"/>
      <c r="GCK425" s="1824"/>
      <c r="GCL425" s="1824"/>
      <c r="GCM425" s="1824"/>
      <c r="GCN425" s="1824"/>
      <c r="GCO425" s="1824"/>
      <c r="GCP425" s="1824"/>
      <c r="GCQ425" s="1824"/>
      <c r="GCR425" s="1824"/>
      <c r="GCS425" s="1824"/>
      <c r="GCT425" s="1824"/>
      <c r="GCU425" s="1824"/>
      <c r="GCV425" s="1824"/>
      <c r="GCW425" s="1824"/>
      <c r="GCX425" s="1824"/>
      <c r="GCY425" s="1824"/>
      <c r="GCZ425" s="1824"/>
      <c r="GDA425" s="1824"/>
      <c r="GDB425" s="1824"/>
      <c r="GDC425" s="1824"/>
      <c r="GDD425" s="1824"/>
      <c r="GDE425" s="1824"/>
      <c r="GDF425" s="1824"/>
      <c r="GDG425" s="1824"/>
      <c r="GDH425" s="1824"/>
      <c r="GDI425" s="1824"/>
      <c r="GDJ425" s="1824"/>
      <c r="GDK425" s="1824"/>
      <c r="GDL425" s="1824"/>
      <c r="GDM425" s="1824"/>
      <c r="GDN425" s="1824"/>
      <c r="GDO425" s="1824"/>
      <c r="GDP425" s="1824"/>
      <c r="GDQ425" s="1824"/>
      <c r="GDR425" s="1824"/>
      <c r="GDS425" s="1824"/>
      <c r="GDT425" s="1824"/>
      <c r="GDU425" s="1824"/>
      <c r="GDV425" s="1824"/>
      <c r="GDW425" s="1824"/>
      <c r="GDX425" s="1824"/>
      <c r="GDY425" s="1824"/>
      <c r="GDZ425" s="1824"/>
      <c r="GEA425" s="1824"/>
      <c r="GEB425" s="1824"/>
      <c r="GEC425" s="1824"/>
      <c r="GED425" s="1824"/>
      <c r="GEE425" s="1824"/>
      <c r="GEF425" s="1824"/>
      <c r="GEG425" s="1824"/>
      <c r="GEH425" s="1824"/>
      <c r="GEI425" s="1824"/>
      <c r="GEJ425" s="1824"/>
      <c r="GEK425" s="1824"/>
      <c r="GEL425" s="1824"/>
      <c r="GEM425" s="1824"/>
      <c r="GEN425" s="1824"/>
      <c r="GEO425" s="1824"/>
      <c r="GEP425" s="1824"/>
      <c r="GEQ425" s="1824"/>
      <c r="GER425" s="1824"/>
      <c r="GES425" s="1824"/>
      <c r="GET425" s="1824"/>
      <c r="GEU425" s="1824"/>
      <c r="GEV425" s="1824"/>
      <c r="GEW425" s="1824"/>
      <c r="GEX425" s="1824"/>
      <c r="GEY425" s="1824"/>
      <c r="GEZ425" s="1824"/>
      <c r="GFA425" s="1824"/>
      <c r="GFB425" s="1824"/>
      <c r="GFC425" s="1824"/>
      <c r="GFD425" s="1824"/>
      <c r="GFE425" s="1824"/>
      <c r="GFF425" s="1824"/>
      <c r="GFG425" s="1824"/>
      <c r="GFH425" s="1824"/>
      <c r="GFI425" s="1824"/>
      <c r="GFJ425" s="1824"/>
      <c r="GFK425" s="1824"/>
      <c r="GFL425" s="1824"/>
      <c r="GFM425" s="1824"/>
      <c r="GFN425" s="1824"/>
      <c r="GFO425" s="1824"/>
      <c r="GFP425" s="1824"/>
      <c r="GFQ425" s="1824"/>
      <c r="GFR425" s="1824"/>
      <c r="GFS425" s="1824"/>
      <c r="GFT425" s="1824"/>
      <c r="GFU425" s="1824"/>
      <c r="GFV425" s="1824"/>
      <c r="GFW425" s="1824"/>
      <c r="GFX425" s="1824"/>
      <c r="GFY425" s="1824"/>
      <c r="GFZ425" s="1824"/>
      <c r="GGA425" s="1824"/>
      <c r="GGB425" s="1824"/>
      <c r="GGC425" s="1824"/>
      <c r="GGD425" s="1824"/>
      <c r="GGE425" s="1824"/>
      <c r="GGF425" s="1824"/>
      <c r="GGG425" s="1824"/>
      <c r="GGH425" s="1824"/>
      <c r="GGI425" s="1824"/>
      <c r="GGJ425" s="1824"/>
      <c r="GGK425" s="1824"/>
      <c r="GGL425" s="1824"/>
      <c r="GGM425" s="1824"/>
      <c r="GGN425" s="1824"/>
      <c r="GGO425" s="1824"/>
      <c r="GGP425" s="1824"/>
      <c r="GGQ425" s="1824"/>
      <c r="GGR425" s="1824"/>
      <c r="GGS425" s="1824"/>
      <c r="GGT425" s="1824"/>
      <c r="GGU425" s="1824"/>
      <c r="GGV425" s="1824"/>
      <c r="GGW425" s="1824"/>
      <c r="GGX425" s="1824"/>
      <c r="GGY425" s="1824"/>
      <c r="GGZ425" s="1824"/>
      <c r="GHA425" s="1824"/>
      <c r="GHB425" s="1824"/>
      <c r="GHC425" s="1824"/>
      <c r="GHD425" s="1824"/>
      <c r="GHE425" s="1824"/>
      <c r="GHF425" s="1824"/>
      <c r="GHG425" s="1824"/>
      <c r="GHH425" s="1824"/>
      <c r="GHI425" s="1824"/>
      <c r="GHJ425" s="1824"/>
      <c r="GHK425" s="1824"/>
      <c r="GHL425" s="1824"/>
      <c r="GHM425" s="1824"/>
      <c r="GHN425" s="1824"/>
      <c r="GHO425" s="1824"/>
      <c r="GHP425" s="1824"/>
      <c r="GHQ425" s="1824"/>
      <c r="GHR425" s="1824"/>
      <c r="GHS425" s="1824"/>
      <c r="GHT425" s="1824"/>
      <c r="GHU425" s="1824"/>
      <c r="GHV425" s="1824"/>
      <c r="GHW425" s="1824"/>
      <c r="GHX425" s="1824"/>
      <c r="GHY425" s="1824"/>
      <c r="GHZ425" s="1824"/>
      <c r="GIA425" s="1824"/>
      <c r="GIB425" s="1824"/>
      <c r="GIC425" s="1824"/>
      <c r="GID425" s="1824"/>
      <c r="GIE425" s="1824"/>
      <c r="GIF425" s="1824"/>
      <c r="GIG425" s="1824"/>
      <c r="GIH425" s="1824"/>
      <c r="GII425" s="1824"/>
      <c r="GIJ425" s="1824"/>
      <c r="GIK425" s="1824"/>
      <c r="GIL425" s="1824"/>
      <c r="GIM425" s="1824"/>
      <c r="GIN425" s="1824"/>
      <c r="GIO425" s="1824"/>
      <c r="GIP425" s="1824"/>
      <c r="GIQ425" s="1824"/>
      <c r="GIR425" s="1824"/>
      <c r="GIS425" s="1824"/>
      <c r="GIT425" s="1824"/>
      <c r="GIU425" s="1824"/>
      <c r="GIV425" s="1824"/>
      <c r="GIW425" s="1824"/>
      <c r="GIX425" s="1824"/>
      <c r="GIY425" s="1824"/>
      <c r="GIZ425" s="1824"/>
      <c r="GJA425" s="1824"/>
      <c r="GJB425" s="1824"/>
      <c r="GJC425" s="1824"/>
      <c r="GJD425" s="1824"/>
      <c r="GJE425" s="1824"/>
      <c r="GJF425" s="1824"/>
      <c r="GJG425" s="1824"/>
      <c r="GJH425" s="1824"/>
      <c r="GJI425" s="1824"/>
      <c r="GJJ425" s="1824"/>
      <c r="GJK425" s="1824"/>
      <c r="GJL425" s="1824"/>
      <c r="GJM425" s="1824"/>
      <c r="GJN425" s="1824"/>
      <c r="GJO425" s="1824"/>
      <c r="GJP425" s="1824"/>
      <c r="GJQ425" s="1824"/>
      <c r="GJR425" s="1824"/>
      <c r="GJS425" s="1824"/>
      <c r="GJT425" s="1824"/>
      <c r="GJU425" s="1824"/>
      <c r="GJV425" s="1824"/>
      <c r="GJW425" s="1824"/>
      <c r="GJX425" s="1824"/>
      <c r="GJY425" s="1824"/>
      <c r="GJZ425" s="1824"/>
      <c r="GKA425" s="1824"/>
      <c r="GKB425" s="1824"/>
      <c r="GKC425" s="1824"/>
      <c r="GKD425" s="1824"/>
      <c r="GKE425" s="1824"/>
      <c r="GKF425" s="1824"/>
      <c r="GKG425" s="1824"/>
      <c r="GKH425" s="1824"/>
      <c r="GKI425" s="1824"/>
      <c r="GKJ425" s="1824"/>
      <c r="GKK425" s="1824"/>
      <c r="GKL425" s="1824"/>
      <c r="GKM425" s="1824"/>
      <c r="GKN425" s="1824"/>
      <c r="GKO425" s="1824"/>
      <c r="GKP425" s="1824"/>
      <c r="GKQ425" s="1824"/>
      <c r="GKR425" s="1824"/>
      <c r="GKS425" s="1824"/>
      <c r="GKT425" s="1824"/>
      <c r="GKU425" s="1824"/>
      <c r="GKV425" s="1824"/>
      <c r="GKW425" s="1824"/>
      <c r="GKX425" s="1824"/>
      <c r="GKY425" s="1824"/>
      <c r="GKZ425" s="1824"/>
      <c r="GLA425" s="1824"/>
      <c r="GLB425" s="1824"/>
      <c r="GLC425" s="1824"/>
      <c r="GLD425" s="1824"/>
      <c r="GLE425" s="1824"/>
      <c r="GLF425" s="1824"/>
      <c r="GLG425" s="1824"/>
      <c r="GLH425" s="1824"/>
      <c r="GLI425" s="1824"/>
      <c r="GLJ425" s="1824"/>
      <c r="GLK425" s="1824"/>
      <c r="GLL425" s="1824"/>
      <c r="GLM425" s="1824"/>
      <c r="GLN425" s="1824"/>
      <c r="GLO425" s="1824"/>
      <c r="GLP425" s="1824"/>
      <c r="GLQ425" s="1824"/>
      <c r="GLR425" s="1824"/>
      <c r="GLS425" s="1824"/>
      <c r="GLT425" s="1824"/>
      <c r="GLU425" s="1824"/>
      <c r="GLV425" s="1824"/>
      <c r="GLW425" s="1824"/>
      <c r="GLX425" s="1824"/>
      <c r="GLY425" s="1824"/>
      <c r="GLZ425" s="1824"/>
      <c r="GMA425" s="1824"/>
      <c r="GMB425" s="1824"/>
      <c r="GMC425" s="1824"/>
      <c r="GMD425" s="1824"/>
      <c r="GME425" s="1824"/>
      <c r="GMF425" s="1824"/>
      <c r="GMG425" s="1824"/>
      <c r="GMH425" s="1824"/>
      <c r="GMI425" s="1824"/>
      <c r="GMJ425" s="1824"/>
      <c r="GMK425" s="1824"/>
      <c r="GML425" s="1824"/>
      <c r="GMM425" s="1824"/>
      <c r="GMN425" s="1824"/>
      <c r="GMO425" s="1824"/>
      <c r="GMP425" s="1824"/>
      <c r="GMQ425" s="1824"/>
      <c r="GMR425" s="1824"/>
      <c r="GMS425" s="1824"/>
      <c r="GMT425" s="1824"/>
      <c r="GMU425" s="1824"/>
      <c r="GMV425" s="1824"/>
      <c r="GMW425" s="1824"/>
      <c r="GMX425" s="1824"/>
      <c r="GMY425" s="1824"/>
      <c r="GMZ425" s="1824"/>
      <c r="GNA425" s="1824"/>
      <c r="GNB425" s="1824"/>
      <c r="GNC425" s="1824"/>
      <c r="GND425" s="1824"/>
      <c r="GNE425" s="1824"/>
      <c r="GNF425" s="1824"/>
      <c r="GNG425" s="1824"/>
      <c r="GNH425" s="1824"/>
      <c r="GNI425" s="1824"/>
      <c r="GNJ425" s="1824"/>
      <c r="GNK425" s="1824"/>
      <c r="GNL425" s="1824"/>
      <c r="GNM425" s="1824"/>
      <c r="GNN425" s="1824"/>
      <c r="GNO425" s="1824"/>
      <c r="GNP425" s="1824"/>
      <c r="GNQ425" s="1824"/>
      <c r="GNR425" s="1824"/>
      <c r="GNS425" s="1824"/>
      <c r="GNT425" s="1824"/>
      <c r="GNU425" s="1824"/>
      <c r="GNV425" s="1824"/>
      <c r="GNW425" s="1824"/>
      <c r="GNX425" s="1824"/>
      <c r="GNY425" s="1824"/>
      <c r="GNZ425" s="1824"/>
      <c r="GOA425" s="1824"/>
      <c r="GOB425" s="1824"/>
      <c r="GOC425" s="1824"/>
      <c r="GOD425" s="1824"/>
      <c r="GOE425" s="1824"/>
      <c r="GOF425" s="1824"/>
      <c r="GOG425" s="1824"/>
      <c r="GOH425" s="1824"/>
      <c r="GOI425" s="1824"/>
      <c r="GOJ425" s="1824"/>
      <c r="GOK425" s="1824"/>
      <c r="GOL425" s="1824"/>
      <c r="GOM425" s="1824"/>
      <c r="GON425" s="1824"/>
      <c r="GOO425" s="1824"/>
      <c r="GOP425" s="1824"/>
      <c r="GOQ425" s="1824"/>
      <c r="GOR425" s="1824"/>
      <c r="GOS425" s="1824"/>
      <c r="GOT425" s="1824"/>
      <c r="GOU425" s="1824"/>
      <c r="GOV425" s="1824"/>
      <c r="GOW425" s="1824"/>
      <c r="GOX425" s="1824"/>
      <c r="GOY425" s="1824"/>
      <c r="GOZ425" s="1824"/>
      <c r="GPA425" s="1824"/>
      <c r="GPB425" s="1824"/>
      <c r="GPC425" s="1824"/>
      <c r="GPD425" s="1824"/>
      <c r="GPE425" s="1824"/>
      <c r="GPF425" s="1824"/>
      <c r="GPG425" s="1824"/>
      <c r="GPH425" s="1824"/>
      <c r="GPI425" s="1824"/>
      <c r="GPJ425" s="1824"/>
      <c r="GPK425" s="1824"/>
      <c r="GPL425" s="1824"/>
      <c r="GPM425" s="1824"/>
      <c r="GPN425" s="1824"/>
      <c r="GPO425" s="1824"/>
      <c r="GPP425" s="1824"/>
      <c r="GPQ425" s="1824"/>
      <c r="GPR425" s="1824"/>
      <c r="GPS425" s="1824"/>
      <c r="GPT425" s="1824"/>
      <c r="GPU425" s="1824"/>
      <c r="GPV425" s="1824"/>
      <c r="GPW425" s="1824"/>
      <c r="GPX425" s="1824"/>
      <c r="GPY425" s="1824"/>
      <c r="GPZ425" s="1824"/>
      <c r="GQA425" s="1824"/>
      <c r="GQB425" s="1824"/>
      <c r="GQC425" s="1824"/>
      <c r="GQD425" s="1824"/>
      <c r="GQE425" s="1824"/>
      <c r="GQF425" s="1824"/>
      <c r="GQG425" s="1824"/>
      <c r="GQH425" s="1824"/>
      <c r="GQI425" s="1824"/>
      <c r="GQJ425" s="1824"/>
      <c r="GQK425" s="1824"/>
      <c r="GQL425" s="1824"/>
      <c r="GQM425" s="1824"/>
      <c r="GQN425" s="1824"/>
      <c r="GQO425" s="1824"/>
      <c r="GQP425" s="1824"/>
      <c r="GQQ425" s="1824"/>
      <c r="GQR425" s="1824"/>
      <c r="GQS425" s="1824"/>
      <c r="GQT425" s="1824"/>
      <c r="GQU425" s="1824"/>
      <c r="GQV425" s="1824"/>
      <c r="GQW425" s="1824"/>
      <c r="GQX425" s="1824"/>
      <c r="GQY425" s="1824"/>
      <c r="GQZ425" s="1824"/>
      <c r="GRA425" s="1824"/>
      <c r="GRB425" s="1824"/>
      <c r="GRC425" s="1824"/>
      <c r="GRD425" s="1824"/>
      <c r="GRE425" s="1824"/>
      <c r="GRF425" s="1824"/>
      <c r="GRG425" s="1824"/>
      <c r="GRH425" s="1824"/>
      <c r="GRI425" s="1824"/>
      <c r="GRJ425" s="1824"/>
      <c r="GRK425" s="1824"/>
      <c r="GRL425" s="1824"/>
      <c r="GRM425" s="1824"/>
      <c r="GRN425" s="1824"/>
      <c r="GRO425" s="1824"/>
      <c r="GRP425" s="1824"/>
      <c r="GRQ425" s="1824"/>
      <c r="GRR425" s="1824"/>
      <c r="GRS425" s="1824"/>
      <c r="GRT425" s="1824"/>
      <c r="GRU425" s="1824"/>
      <c r="GRV425" s="1824"/>
      <c r="GRW425" s="1824"/>
      <c r="GRX425" s="1824"/>
      <c r="GRY425" s="1824"/>
      <c r="GRZ425" s="1824"/>
      <c r="GSA425" s="1824"/>
      <c r="GSB425" s="1824"/>
      <c r="GSC425" s="1824"/>
      <c r="GSD425" s="1824"/>
      <c r="GSE425" s="1824"/>
      <c r="GSF425" s="1824"/>
      <c r="GSG425" s="1824"/>
      <c r="GSH425" s="1824"/>
      <c r="GSI425" s="1824"/>
      <c r="GSJ425" s="1824"/>
      <c r="GSK425" s="1824"/>
      <c r="GSL425" s="1824"/>
      <c r="GSM425" s="1824"/>
      <c r="GSN425" s="1824"/>
      <c r="GSO425" s="1824"/>
      <c r="GSP425" s="1824"/>
      <c r="GSQ425" s="1824"/>
      <c r="GSR425" s="1824"/>
      <c r="GSS425" s="1824"/>
      <c r="GST425" s="1824"/>
      <c r="GSU425" s="1824"/>
      <c r="GSV425" s="1824"/>
      <c r="GSW425" s="1824"/>
      <c r="GSX425" s="1824"/>
      <c r="GSY425" s="1824"/>
      <c r="GSZ425" s="1824"/>
      <c r="GTA425" s="1824"/>
      <c r="GTB425" s="1824"/>
      <c r="GTC425" s="1824"/>
      <c r="GTD425" s="1824"/>
      <c r="GTE425" s="1824"/>
      <c r="GTF425" s="1824"/>
      <c r="GTG425" s="1824"/>
      <c r="GTH425" s="1824"/>
      <c r="GTI425" s="1824"/>
      <c r="GTJ425" s="1824"/>
      <c r="GTK425" s="1824"/>
      <c r="GTL425" s="1824"/>
      <c r="GTM425" s="1824"/>
      <c r="GTN425" s="1824"/>
      <c r="GTO425" s="1824"/>
      <c r="GTP425" s="1824"/>
      <c r="GTQ425" s="1824"/>
      <c r="GTR425" s="1824"/>
      <c r="GTS425" s="1824"/>
      <c r="GTT425" s="1824"/>
      <c r="GTU425" s="1824"/>
      <c r="GTV425" s="1824"/>
      <c r="GTW425" s="1824"/>
      <c r="GTX425" s="1824"/>
      <c r="GTY425" s="1824"/>
      <c r="GTZ425" s="1824"/>
      <c r="GUA425" s="1824"/>
      <c r="GUB425" s="1824"/>
      <c r="GUC425" s="1824"/>
      <c r="GUD425" s="1824"/>
      <c r="GUE425" s="1824"/>
      <c r="GUF425" s="1824"/>
      <c r="GUG425" s="1824"/>
      <c r="GUH425" s="1824"/>
      <c r="GUI425" s="1824"/>
      <c r="GUJ425" s="1824"/>
      <c r="GUK425" s="1824"/>
      <c r="GUL425" s="1824"/>
      <c r="GUM425" s="1824"/>
      <c r="GUN425" s="1824"/>
      <c r="GUO425" s="1824"/>
      <c r="GUP425" s="1824"/>
      <c r="GUQ425" s="1824"/>
      <c r="GUR425" s="1824"/>
      <c r="GUS425" s="1824"/>
      <c r="GUT425" s="1824"/>
      <c r="GUU425" s="1824"/>
      <c r="GUV425" s="1824"/>
      <c r="GUW425" s="1824"/>
      <c r="GUX425" s="1824"/>
      <c r="GUY425" s="1824"/>
      <c r="GUZ425" s="1824"/>
      <c r="GVA425" s="1824"/>
      <c r="GVB425" s="1824"/>
      <c r="GVC425" s="1824"/>
      <c r="GVD425" s="1824"/>
      <c r="GVE425" s="1824"/>
      <c r="GVF425" s="1824"/>
      <c r="GVG425" s="1824"/>
      <c r="GVH425" s="1824"/>
      <c r="GVI425" s="1824"/>
      <c r="GVJ425" s="1824"/>
      <c r="GVK425" s="1824"/>
      <c r="GVL425" s="1824"/>
      <c r="GVM425" s="1824"/>
      <c r="GVN425" s="1824"/>
      <c r="GVO425" s="1824"/>
      <c r="GVP425" s="1824"/>
      <c r="GVQ425" s="1824"/>
      <c r="GVR425" s="1824"/>
      <c r="GVS425" s="1824"/>
      <c r="GVT425" s="1824"/>
      <c r="GVU425" s="1824"/>
      <c r="GVV425" s="1824"/>
      <c r="GVW425" s="1824"/>
      <c r="GVX425" s="1824"/>
      <c r="GVY425" s="1824"/>
      <c r="GVZ425" s="1824"/>
      <c r="GWA425" s="1824"/>
      <c r="GWB425" s="1824"/>
      <c r="GWC425" s="1824"/>
      <c r="GWD425" s="1824"/>
      <c r="GWE425" s="1824"/>
      <c r="GWF425" s="1824"/>
      <c r="GWG425" s="1824"/>
      <c r="GWH425" s="1824"/>
      <c r="GWI425" s="1824"/>
      <c r="GWJ425" s="1824"/>
      <c r="GWK425" s="1824"/>
      <c r="GWL425" s="1824"/>
      <c r="GWM425" s="1824"/>
      <c r="GWN425" s="1824"/>
      <c r="GWO425" s="1824"/>
      <c r="GWP425" s="1824"/>
      <c r="GWQ425" s="1824"/>
      <c r="GWR425" s="1824"/>
      <c r="GWS425" s="1824"/>
      <c r="GWT425" s="1824"/>
      <c r="GWU425" s="1824"/>
      <c r="GWV425" s="1824"/>
      <c r="GWW425" s="1824"/>
      <c r="GWX425" s="1824"/>
      <c r="GWY425" s="1824"/>
      <c r="GWZ425" s="1824"/>
      <c r="GXA425" s="1824"/>
      <c r="GXB425" s="1824"/>
      <c r="GXC425" s="1824"/>
      <c r="GXD425" s="1824"/>
      <c r="GXE425" s="1824"/>
      <c r="GXF425" s="1824"/>
      <c r="GXG425" s="1824"/>
      <c r="GXH425" s="1824"/>
      <c r="GXI425" s="1824"/>
      <c r="GXJ425" s="1824"/>
      <c r="GXK425" s="1824"/>
      <c r="GXL425" s="1824"/>
      <c r="GXM425" s="1824"/>
      <c r="GXN425" s="1824"/>
      <c r="GXO425" s="1824"/>
      <c r="GXP425" s="1824"/>
      <c r="GXQ425" s="1824"/>
      <c r="GXR425" s="1824"/>
      <c r="GXS425" s="1824"/>
      <c r="GXT425" s="1824"/>
      <c r="GXU425" s="1824"/>
      <c r="GXV425" s="1824"/>
      <c r="GXW425" s="1824"/>
      <c r="GXX425" s="1824"/>
      <c r="GXY425" s="1824"/>
      <c r="GXZ425" s="1824"/>
      <c r="GYA425" s="1824"/>
      <c r="GYB425" s="1824"/>
      <c r="GYC425" s="1824"/>
      <c r="GYD425" s="1824"/>
      <c r="GYE425" s="1824"/>
      <c r="GYF425" s="1824"/>
      <c r="GYG425" s="1824"/>
      <c r="GYH425" s="1824"/>
      <c r="GYI425" s="1824"/>
      <c r="GYJ425" s="1824"/>
      <c r="GYK425" s="1824"/>
      <c r="GYL425" s="1824"/>
      <c r="GYM425" s="1824"/>
      <c r="GYN425" s="1824"/>
      <c r="GYO425" s="1824"/>
      <c r="GYP425" s="1824"/>
      <c r="GYQ425" s="1824"/>
      <c r="GYR425" s="1824"/>
      <c r="GYS425" s="1824"/>
      <c r="GYT425" s="1824"/>
      <c r="GYU425" s="1824"/>
      <c r="GYV425" s="1824"/>
      <c r="GYW425" s="1824"/>
      <c r="GYX425" s="1824"/>
      <c r="GYY425" s="1824"/>
      <c r="GYZ425" s="1824"/>
      <c r="GZA425" s="1824"/>
      <c r="GZB425" s="1824"/>
      <c r="GZC425" s="1824"/>
      <c r="GZD425" s="1824"/>
      <c r="GZE425" s="1824"/>
      <c r="GZF425" s="1824"/>
      <c r="GZG425" s="1824"/>
      <c r="GZH425" s="1824"/>
      <c r="GZI425" s="1824"/>
      <c r="GZJ425" s="1824"/>
      <c r="GZK425" s="1824"/>
      <c r="GZL425" s="1824"/>
      <c r="GZM425" s="1824"/>
      <c r="GZN425" s="1824"/>
      <c r="GZO425" s="1824"/>
      <c r="GZP425" s="1824"/>
      <c r="GZQ425" s="1824"/>
      <c r="GZR425" s="1824"/>
      <c r="GZS425" s="1824"/>
      <c r="GZT425" s="1824"/>
      <c r="GZU425" s="1824"/>
      <c r="GZV425" s="1824"/>
      <c r="GZW425" s="1824"/>
      <c r="GZX425" s="1824"/>
      <c r="GZY425" s="1824"/>
      <c r="GZZ425" s="1824"/>
      <c r="HAA425" s="1824"/>
      <c r="HAB425" s="1824"/>
      <c r="HAC425" s="1824"/>
      <c r="HAD425" s="1824"/>
      <c r="HAE425" s="1824"/>
      <c r="HAF425" s="1824"/>
      <c r="HAG425" s="1824"/>
      <c r="HAH425" s="1824"/>
      <c r="HAI425" s="1824"/>
      <c r="HAJ425" s="1824"/>
      <c r="HAK425" s="1824"/>
      <c r="HAL425" s="1824"/>
      <c r="HAM425" s="1824"/>
      <c r="HAN425" s="1824"/>
      <c r="HAO425" s="1824"/>
      <c r="HAP425" s="1824"/>
      <c r="HAQ425" s="1824"/>
      <c r="HAR425" s="1824"/>
      <c r="HAS425" s="1824"/>
      <c r="HAT425" s="1824"/>
      <c r="HAU425" s="1824"/>
      <c r="HAV425" s="1824"/>
      <c r="HAW425" s="1824"/>
      <c r="HAX425" s="1824"/>
      <c r="HAY425" s="1824"/>
      <c r="HAZ425" s="1824"/>
      <c r="HBA425" s="1824"/>
      <c r="HBB425" s="1824"/>
      <c r="HBC425" s="1824"/>
      <c r="HBD425" s="1824"/>
      <c r="HBE425" s="1824"/>
      <c r="HBF425" s="1824"/>
      <c r="HBG425" s="1824"/>
      <c r="HBH425" s="1824"/>
      <c r="HBI425" s="1824"/>
      <c r="HBJ425" s="1824"/>
      <c r="HBK425" s="1824"/>
      <c r="HBL425" s="1824"/>
      <c r="HBM425" s="1824"/>
      <c r="HBN425" s="1824"/>
      <c r="HBO425" s="1824"/>
      <c r="HBP425" s="1824"/>
      <c r="HBQ425" s="1824"/>
      <c r="HBR425" s="1824"/>
      <c r="HBS425" s="1824"/>
      <c r="HBT425" s="1824"/>
      <c r="HBU425" s="1824"/>
      <c r="HBV425" s="1824"/>
      <c r="HBW425" s="1824"/>
      <c r="HBX425" s="1824"/>
      <c r="HBY425" s="1824"/>
      <c r="HBZ425" s="1824"/>
      <c r="HCA425" s="1824"/>
      <c r="HCB425" s="1824"/>
      <c r="HCC425" s="1824"/>
      <c r="HCD425" s="1824"/>
      <c r="HCE425" s="1824"/>
      <c r="HCF425" s="1824"/>
      <c r="HCG425" s="1824"/>
      <c r="HCH425" s="1824"/>
      <c r="HCI425" s="1824"/>
      <c r="HCJ425" s="1824"/>
      <c r="HCK425" s="1824"/>
      <c r="HCL425" s="1824"/>
      <c r="HCM425" s="1824"/>
      <c r="HCN425" s="1824"/>
      <c r="HCO425" s="1824"/>
      <c r="HCP425" s="1824"/>
      <c r="HCQ425" s="1824"/>
      <c r="HCR425" s="1824"/>
      <c r="HCS425" s="1824"/>
      <c r="HCT425" s="1824"/>
      <c r="HCU425" s="1824"/>
      <c r="HCV425" s="1824"/>
      <c r="HCW425" s="1824"/>
      <c r="HCX425" s="1824"/>
      <c r="HCY425" s="1824"/>
      <c r="HCZ425" s="1824"/>
      <c r="HDA425" s="1824"/>
      <c r="HDB425" s="1824"/>
      <c r="HDC425" s="1824"/>
      <c r="HDD425" s="1824"/>
      <c r="HDE425" s="1824"/>
      <c r="HDF425" s="1824"/>
      <c r="HDG425" s="1824"/>
      <c r="HDH425" s="1824"/>
      <c r="HDI425" s="1824"/>
      <c r="HDJ425" s="1824"/>
      <c r="HDK425" s="1824"/>
      <c r="HDL425" s="1824"/>
      <c r="HDM425" s="1824"/>
      <c r="HDN425" s="1824"/>
      <c r="HDO425" s="1824"/>
      <c r="HDP425" s="1824"/>
      <c r="HDQ425" s="1824"/>
      <c r="HDR425" s="1824"/>
      <c r="HDS425" s="1824"/>
      <c r="HDT425" s="1824"/>
      <c r="HDU425" s="1824"/>
      <c r="HDV425" s="1824"/>
      <c r="HDW425" s="1824"/>
      <c r="HDX425" s="1824"/>
      <c r="HDY425" s="1824"/>
      <c r="HDZ425" s="1824"/>
      <c r="HEA425" s="1824"/>
      <c r="HEB425" s="1824"/>
      <c r="HEC425" s="1824"/>
      <c r="HED425" s="1824"/>
      <c r="HEE425" s="1824"/>
      <c r="HEF425" s="1824"/>
      <c r="HEG425" s="1824"/>
      <c r="HEH425" s="1824"/>
      <c r="HEI425" s="1824"/>
      <c r="HEJ425" s="1824"/>
      <c r="HEK425" s="1824"/>
      <c r="HEL425" s="1824"/>
      <c r="HEM425" s="1824"/>
      <c r="HEN425" s="1824"/>
      <c r="HEO425" s="1824"/>
      <c r="HEP425" s="1824"/>
      <c r="HEQ425" s="1824"/>
      <c r="HER425" s="1824"/>
      <c r="HES425" s="1824"/>
      <c r="HET425" s="1824"/>
      <c r="HEU425" s="1824"/>
      <c r="HEV425" s="1824"/>
      <c r="HEW425" s="1824"/>
      <c r="HEX425" s="1824"/>
      <c r="HEY425" s="1824"/>
      <c r="HEZ425" s="1824"/>
      <c r="HFA425" s="1824"/>
      <c r="HFB425" s="1824"/>
      <c r="HFC425" s="1824"/>
      <c r="HFD425" s="1824"/>
      <c r="HFE425" s="1824"/>
      <c r="HFF425" s="1824"/>
      <c r="HFG425" s="1824"/>
      <c r="HFH425" s="1824"/>
      <c r="HFI425" s="1824"/>
      <c r="HFJ425" s="1824"/>
      <c r="HFK425" s="1824"/>
      <c r="HFL425" s="1824"/>
      <c r="HFM425" s="1824"/>
      <c r="HFN425" s="1824"/>
      <c r="HFO425" s="1824"/>
      <c r="HFP425" s="1824"/>
      <c r="HFQ425" s="1824"/>
      <c r="HFR425" s="1824"/>
      <c r="HFS425" s="1824"/>
      <c r="HFT425" s="1824"/>
      <c r="HFU425" s="1824"/>
      <c r="HFV425" s="1824"/>
      <c r="HFW425" s="1824"/>
      <c r="HFX425" s="1824"/>
      <c r="HFY425" s="1824"/>
      <c r="HFZ425" s="1824"/>
      <c r="HGA425" s="1824"/>
      <c r="HGB425" s="1824"/>
      <c r="HGC425" s="1824"/>
      <c r="HGD425" s="1824"/>
      <c r="HGE425" s="1824"/>
      <c r="HGF425" s="1824"/>
      <c r="HGG425" s="1824"/>
      <c r="HGH425" s="1824"/>
      <c r="HGI425" s="1824"/>
      <c r="HGJ425" s="1824"/>
      <c r="HGK425" s="1824"/>
      <c r="HGL425" s="1824"/>
      <c r="HGM425" s="1824"/>
      <c r="HGN425" s="1824"/>
      <c r="HGO425" s="1824"/>
      <c r="HGP425" s="1824"/>
      <c r="HGQ425" s="1824"/>
      <c r="HGR425" s="1824"/>
      <c r="HGS425" s="1824"/>
      <c r="HGT425" s="1824"/>
      <c r="HGU425" s="1824"/>
      <c r="HGV425" s="1824"/>
      <c r="HGW425" s="1824"/>
      <c r="HGX425" s="1824"/>
      <c r="HGY425" s="1824"/>
      <c r="HGZ425" s="1824"/>
      <c r="HHA425" s="1824"/>
      <c r="HHB425" s="1824"/>
      <c r="HHC425" s="1824"/>
      <c r="HHD425" s="1824"/>
      <c r="HHE425" s="1824"/>
      <c r="HHF425" s="1824"/>
      <c r="HHG425" s="1824"/>
      <c r="HHH425" s="1824"/>
      <c r="HHI425" s="1824"/>
      <c r="HHJ425" s="1824"/>
      <c r="HHK425" s="1824"/>
      <c r="HHL425" s="1824"/>
      <c r="HHM425" s="1824"/>
      <c r="HHN425" s="1824"/>
      <c r="HHO425" s="1824"/>
      <c r="HHP425" s="1824"/>
      <c r="HHQ425" s="1824"/>
      <c r="HHR425" s="1824"/>
      <c r="HHS425" s="1824"/>
      <c r="HHT425" s="1824"/>
      <c r="HHU425" s="1824"/>
      <c r="HHV425" s="1824"/>
      <c r="HHW425" s="1824"/>
      <c r="HHX425" s="1824"/>
      <c r="HHY425" s="1824"/>
      <c r="HHZ425" s="1824"/>
      <c r="HIA425" s="1824"/>
      <c r="HIB425" s="1824"/>
      <c r="HIC425" s="1824"/>
      <c r="HID425" s="1824"/>
      <c r="HIE425" s="1824"/>
      <c r="HIF425" s="1824"/>
      <c r="HIG425" s="1824"/>
      <c r="HIH425" s="1824"/>
      <c r="HII425" s="1824"/>
      <c r="HIJ425" s="1824"/>
      <c r="HIK425" s="1824"/>
      <c r="HIL425" s="1824"/>
      <c r="HIM425" s="1824"/>
      <c r="HIN425" s="1824"/>
      <c r="HIO425" s="1824"/>
      <c r="HIP425" s="1824"/>
      <c r="HIQ425" s="1824"/>
      <c r="HIR425" s="1824"/>
      <c r="HIS425" s="1824"/>
      <c r="HIT425" s="1824"/>
      <c r="HIU425" s="1824"/>
      <c r="HIV425" s="1824"/>
      <c r="HIW425" s="1824"/>
      <c r="HIX425" s="1824"/>
      <c r="HIY425" s="1824"/>
      <c r="HIZ425" s="1824"/>
      <c r="HJA425" s="1824"/>
      <c r="HJB425" s="1824"/>
      <c r="HJC425" s="1824"/>
      <c r="HJD425" s="1824"/>
      <c r="HJE425" s="1824"/>
      <c r="HJF425" s="1824"/>
      <c r="HJG425" s="1824"/>
      <c r="HJH425" s="1824"/>
      <c r="HJI425" s="1824"/>
      <c r="HJJ425" s="1824"/>
      <c r="HJK425" s="1824"/>
      <c r="HJL425" s="1824"/>
      <c r="HJM425" s="1824"/>
      <c r="HJN425" s="1824"/>
      <c r="HJO425" s="1824"/>
      <c r="HJP425" s="1824"/>
      <c r="HJQ425" s="1824"/>
      <c r="HJR425" s="1824"/>
      <c r="HJS425" s="1824"/>
      <c r="HJT425" s="1824"/>
      <c r="HJU425" s="1824"/>
      <c r="HJV425" s="1824"/>
      <c r="HJW425" s="1824"/>
      <c r="HJX425" s="1824"/>
      <c r="HJY425" s="1824"/>
      <c r="HJZ425" s="1824"/>
      <c r="HKA425" s="1824"/>
      <c r="HKB425" s="1824"/>
      <c r="HKC425" s="1824"/>
      <c r="HKD425" s="1824"/>
      <c r="HKE425" s="1824"/>
      <c r="HKF425" s="1824"/>
      <c r="HKG425" s="1824"/>
      <c r="HKH425" s="1824"/>
      <c r="HKI425" s="1824"/>
      <c r="HKJ425" s="1824"/>
      <c r="HKK425" s="1824"/>
      <c r="HKL425" s="1824"/>
      <c r="HKM425" s="1824"/>
      <c r="HKN425" s="1824"/>
      <c r="HKO425" s="1824"/>
      <c r="HKP425" s="1824"/>
      <c r="HKQ425" s="1824"/>
      <c r="HKR425" s="1824"/>
      <c r="HKS425" s="1824"/>
      <c r="HKT425" s="1824"/>
      <c r="HKU425" s="1824"/>
      <c r="HKV425" s="1824"/>
      <c r="HKW425" s="1824"/>
      <c r="HKX425" s="1824"/>
      <c r="HKY425" s="1824"/>
      <c r="HKZ425" s="1824"/>
      <c r="HLA425" s="1824"/>
      <c r="HLB425" s="1824"/>
      <c r="HLC425" s="1824"/>
      <c r="HLD425" s="1824"/>
      <c r="HLE425" s="1824"/>
      <c r="HLF425" s="1824"/>
      <c r="HLG425" s="1824"/>
      <c r="HLH425" s="1824"/>
      <c r="HLI425" s="1824"/>
      <c r="HLJ425" s="1824"/>
      <c r="HLK425" s="1824"/>
      <c r="HLL425" s="1824"/>
      <c r="HLM425" s="1824"/>
      <c r="HLN425" s="1824"/>
      <c r="HLO425" s="1824"/>
      <c r="HLP425" s="1824"/>
      <c r="HLQ425" s="1824"/>
      <c r="HLR425" s="1824"/>
      <c r="HLS425" s="1824"/>
      <c r="HLT425" s="1824"/>
      <c r="HLU425" s="1824"/>
      <c r="HLV425" s="1824"/>
      <c r="HLW425" s="1824"/>
      <c r="HLX425" s="1824"/>
      <c r="HLY425" s="1824"/>
      <c r="HLZ425" s="1824"/>
      <c r="HMA425" s="1824"/>
      <c r="HMB425" s="1824"/>
      <c r="HMC425" s="1824"/>
      <c r="HMD425" s="1824"/>
      <c r="HME425" s="1824"/>
      <c r="HMF425" s="1824"/>
      <c r="HMG425" s="1824"/>
      <c r="HMH425" s="1824"/>
      <c r="HMI425" s="1824"/>
      <c r="HMJ425" s="1824"/>
      <c r="HMK425" s="1824"/>
      <c r="HML425" s="1824"/>
      <c r="HMM425" s="1824"/>
      <c r="HMN425" s="1824"/>
      <c r="HMO425" s="1824"/>
      <c r="HMP425" s="1824"/>
      <c r="HMQ425" s="1824"/>
      <c r="HMR425" s="1824"/>
      <c r="HMS425" s="1824"/>
      <c r="HMT425" s="1824"/>
      <c r="HMU425" s="1824"/>
      <c r="HMV425" s="1824"/>
      <c r="HMW425" s="1824"/>
      <c r="HMX425" s="1824"/>
      <c r="HMY425" s="1824"/>
      <c r="HMZ425" s="1824"/>
      <c r="HNA425" s="1824"/>
      <c r="HNB425" s="1824"/>
      <c r="HNC425" s="1824"/>
      <c r="HND425" s="1824"/>
      <c r="HNE425" s="1824"/>
      <c r="HNF425" s="1824"/>
      <c r="HNG425" s="1824"/>
      <c r="HNH425" s="1824"/>
      <c r="HNI425" s="1824"/>
      <c r="HNJ425" s="1824"/>
      <c r="HNK425" s="1824"/>
      <c r="HNL425" s="1824"/>
      <c r="HNM425" s="1824"/>
      <c r="HNN425" s="1824"/>
      <c r="HNO425" s="1824"/>
      <c r="HNP425" s="1824"/>
      <c r="HNQ425" s="1824"/>
      <c r="HNR425" s="1824"/>
      <c r="HNS425" s="1824"/>
      <c r="HNT425" s="1824"/>
      <c r="HNU425" s="1824"/>
      <c r="HNV425" s="1824"/>
      <c r="HNW425" s="1824"/>
      <c r="HNX425" s="1824"/>
      <c r="HNY425" s="1824"/>
      <c r="HNZ425" s="1824"/>
      <c r="HOA425" s="1824"/>
      <c r="HOB425" s="1824"/>
      <c r="HOC425" s="1824"/>
      <c r="HOD425" s="1824"/>
      <c r="HOE425" s="1824"/>
      <c r="HOF425" s="1824"/>
      <c r="HOG425" s="1824"/>
      <c r="HOH425" s="1824"/>
      <c r="HOI425" s="1824"/>
      <c r="HOJ425" s="1824"/>
      <c r="HOK425" s="1824"/>
      <c r="HOL425" s="1824"/>
      <c r="HOM425" s="1824"/>
      <c r="HON425" s="1824"/>
      <c r="HOO425" s="1824"/>
      <c r="HOP425" s="1824"/>
      <c r="HOQ425" s="1824"/>
      <c r="HOR425" s="1824"/>
      <c r="HOS425" s="1824"/>
      <c r="HOT425" s="1824"/>
      <c r="HOU425" s="1824"/>
      <c r="HOV425" s="1824"/>
      <c r="HOW425" s="1824"/>
      <c r="HOX425" s="1824"/>
      <c r="HOY425" s="1824"/>
      <c r="HOZ425" s="1824"/>
      <c r="HPA425" s="1824"/>
      <c r="HPB425" s="1824"/>
      <c r="HPC425" s="1824"/>
      <c r="HPD425" s="1824"/>
      <c r="HPE425" s="1824"/>
      <c r="HPF425" s="1824"/>
      <c r="HPG425" s="1824"/>
      <c r="HPH425" s="1824"/>
      <c r="HPI425" s="1824"/>
      <c r="HPJ425" s="1824"/>
      <c r="HPK425" s="1824"/>
      <c r="HPL425" s="1824"/>
      <c r="HPM425" s="1824"/>
      <c r="HPN425" s="1824"/>
      <c r="HPO425" s="1824"/>
      <c r="HPP425" s="1824"/>
      <c r="HPQ425" s="1824"/>
      <c r="HPR425" s="1824"/>
      <c r="HPS425" s="1824"/>
      <c r="HPT425" s="1824"/>
      <c r="HPU425" s="1824"/>
      <c r="HPV425" s="1824"/>
      <c r="HPW425" s="1824"/>
      <c r="HPX425" s="1824"/>
      <c r="HPY425" s="1824"/>
      <c r="HPZ425" s="1824"/>
      <c r="HQA425" s="1824"/>
      <c r="HQB425" s="1824"/>
      <c r="HQC425" s="1824"/>
      <c r="HQD425" s="1824"/>
      <c r="HQE425" s="1824"/>
      <c r="HQF425" s="1824"/>
      <c r="HQG425" s="1824"/>
      <c r="HQH425" s="1824"/>
      <c r="HQI425" s="1824"/>
      <c r="HQJ425" s="1824"/>
      <c r="HQK425" s="1824"/>
      <c r="HQL425" s="1824"/>
      <c r="HQM425" s="1824"/>
      <c r="HQN425" s="1824"/>
      <c r="HQO425" s="1824"/>
      <c r="HQP425" s="1824"/>
      <c r="HQQ425" s="1824"/>
      <c r="HQR425" s="1824"/>
      <c r="HQS425" s="1824"/>
      <c r="HQT425" s="1824"/>
      <c r="HQU425" s="1824"/>
      <c r="HQV425" s="1824"/>
      <c r="HQW425" s="1824"/>
      <c r="HQX425" s="1824"/>
      <c r="HQY425" s="1824"/>
      <c r="HQZ425" s="1824"/>
      <c r="HRA425" s="1824"/>
      <c r="HRB425" s="1824"/>
      <c r="HRC425" s="1824"/>
      <c r="HRD425" s="1824"/>
      <c r="HRE425" s="1824"/>
      <c r="HRF425" s="1824"/>
      <c r="HRG425" s="1824"/>
      <c r="HRH425" s="1824"/>
      <c r="HRI425" s="1824"/>
      <c r="HRJ425" s="1824"/>
      <c r="HRK425" s="1824"/>
      <c r="HRL425" s="1824"/>
      <c r="HRM425" s="1824"/>
      <c r="HRN425" s="1824"/>
      <c r="HRO425" s="1824"/>
      <c r="HRP425" s="1824"/>
      <c r="HRQ425" s="1824"/>
      <c r="HRR425" s="1824"/>
      <c r="HRS425" s="1824"/>
      <c r="HRT425" s="1824"/>
      <c r="HRU425" s="1824"/>
      <c r="HRV425" s="1824"/>
      <c r="HRW425" s="1824"/>
      <c r="HRX425" s="1824"/>
      <c r="HRY425" s="1824"/>
      <c r="HRZ425" s="1824"/>
      <c r="HSA425" s="1824"/>
      <c r="HSB425" s="1824"/>
      <c r="HSC425" s="1824"/>
      <c r="HSD425" s="1824"/>
      <c r="HSE425" s="1824"/>
      <c r="HSF425" s="1824"/>
      <c r="HSG425" s="1824"/>
      <c r="HSH425" s="1824"/>
      <c r="HSI425" s="1824"/>
      <c r="HSJ425" s="1824"/>
      <c r="HSK425" s="1824"/>
      <c r="HSL425" s="1824"/>
      <c r="HSM425" s="1824"/>
      <c r="HSN425" s="1824"/>
      <c r="HSO425" s="1824"/>
      <c r="HSP425" s="1824"/>
      <c r="HSQ425" s="1824"/>
      <c r="HSR425" s="1824"/>
      <c r="HSS425" s="1824"/>
      <c r="HST425" s="1824"/>
      <c r="HSU425" s="1824"/>
      <c r="HSV425" s="1824"/>
      <c r="HSW425" s="1824"/>
      <c r="HSX425" s="1824"/>
      <c r="HSY425" s="1824"/>
      <c r="HSZ425" s="1824"/>
      <c r="HTA425" s="1824"/>
      <c r="HTB425" s="1824"/>
      <c r="HTC425" s="1824"/>
      <c r="HTD425" s="1824"/>
      <c r="HTE425" s="1824"/>
      <c r="HTF425" s="1824"/>
      <c r="HTG425" s="1824"/>
      <c r="HTH425" s="1824"/>
      <c r="HTI425" s="1824"/>
      <c r="HTJ425" s="1824"/>
      <c r="HTK425" s="1824"/>
      <c r="HTL425" s="1824"/>
      <c r="HTM425" s="1824"/>
      <c r="HTN425" s="1824"/>
      <c r="HTO425" s="1824"/>
      <c r="HTP425" s="1824"/>
      <c r="HTQ425" s="1824"/>
      <c r="HTR425" s="1824"/>
      <c r="HTS425" s="1824"/>
      <c r="HTT425" s="1824"/>
      <c r="HTU425" s="1824"/>
      <c r="HTV425" s="1824"/>
      <c r="HTW425" s="1824"/>
      <c r="HTX425" s="1824"/>
      <c r="HTY425" s="1824"/>
      <c r="HTZ425" s="1824"/>
      <c r="HUA425" s="1824"/>
      <c r="HUB425" s="1824"/>
      <c r="HUC425" s="1824"/>
      <c r="HUD425" s="1824"/>
      <c r="HUE425" s="1824"/>
      <c r="HUF425" s="1824"/>
      <c r="HUG425" s="1824"/>
      <c r="HUH425" s="1824"/>
      <c r="HUI425" s="1824"/>
      <c r="HUJ425" s="1824"/>
      <c r="HUK425" s="1824"/>
      <c r="HUL425" s="1824"/>
      <c r="HUM425" s="1824"/>
      <c r="HUN425" s="1824"/>
      <c r="HUO425" s="1824"/>
      <c r="HUP425" s="1824"/>
      <c r="HUQ425" s="1824"/>
      <c r="HUR425" s="1824"/>
      <c r="HUS425" s="1824"/>
      <c r="HUT425" s="1824"/>
      <c r="HUU425" s="1824"/>
      <c r="HUV425" s="1824"/>
      <c r="HUW425" s="1824"/>
      <c r="HUX425" s="1824"/>
      <c r="HUY425" s="1824"/>
      <c r="HUZ425" s="1824"/>
      <c r="HVA425" s="1824"/>
      <c r="HVB425" s="1824"/>
      <c r="HVC425" s="1824"/>
      <c r="HVD425" s="1824"/>
      <c r="HVE425" s="1824"/>
      <c r="HVF425" s="1824"/>
      <c r="HVG425" s="1824"/>
      <c r="HVH425" s="1824"/>
      <c r="HVI425" s="1824"/>
      <c r="HVJ425" s="1824"/>
      <c r="HVK425" s="1824"/>
      <c r="HVL425" s="1824"/>
      <c r="HVM425" s="1824"/>
      <c r="HVN425" s="1824"/>
      <c r="HVO425" s="1824"/>
      <c r="HVP425" s="1824"/>
      <c r="HVQ425" s="1824"/>
      <c r="HVR425" s="1824"/>
      <c r="HVS425" s="1824"/>
      <c r="HVT425" s="1824"/>
      <c r="HVU425" s="1824"/>
      <c r="HVV425" s="1824"/>
      <c r="HVW425" s="1824"/>
      <c r="HVX425" s="1824"/>
      <c r="HVY425" s="1824"/>
      <c r="HVZ425" s="1824"/>
      <c r="HWA425" s="1824"/>
      <c r="HWB425" s="1824"/>
      <c r="HWC425" s="1824"/>
      <c r="HWD425" s="1824"/>
      <c r="HWE425" s="1824"/>
      <c r="HWF425" s="1824"/>
      <c r="HWG425" s="1824"/>
      <c r="HWH425" s="1824"/>
      <c r="HWI425" s="1824"/>
      <c r="HWJ425" s="1824"/>
      <c r="HWK425" s="1824"/>
      <c r="HWL425" s="1824"/>
      <c r="HWM425" s="1824"/>
      <c r="HWN425" s="1824"/>
      <c r="HWO425" s="1824"/>
      <c r="HWP425" s="1824"/>
      <c r="HWQ425" s="1824"/>
      <c r="HWR425" s="1824"/>
      <c r="HWS425" s="1824"/>
      <c r="HWT425" s="1824"/>
      <c r="HWU425" s="1824"/>
      <c r="HWV425" s="1824"/>
      <c r="HWW425" s="1824"/>
      <c r="HWX425" s="1824"/>
      <c r="HWY425" s="1824"/>
      <c r="HWZ425" s="1824"/>
      <c r="HXA425" s="1824"/>
      <c r="HXB425" s="1824"/>
      <c r="HXC425" s="1824"/>
      <c r="HXD425" s="1824"/>
      <c r="HXE425" s="1824"/>
      <c r="HXF425" s="1824"/>
      <c r="HXG425" s="1824"/>
      <c r="HXH425" s="1824"/>
      <c r="HXI425" s="1824"/>
      <c r="HXJ425" s="1824"/>
      <c r="HXK425" s="1824"/>
      <c r="HXL425" s="1824"/>
      <c r="HXM425" s="1824"/>
      <c r="HXN425" s="1824"/>
      <c r="HXO425" s="1824"/>
      <c r="HXP425" s="1824"/>
      <c r="HXQ425" s="1824"/>
      <c r="HXR425" s="1824"/>
      <c r="HXS425" s="1824"/>
      <c r="HXT425" s="1824"/>
      <c r="HXU425" s="1824"/>
      <c r="HXV425" s="1824"/>
      <c r="HXW425" s="1824"/>
      <c r="HXX425" s="1824"/>
      <c r="HXY425" s="1824"/>
      <c r="HXZ425" s="1824"/>
      <c r="HYA425" s="1824"/>
      <c r="HYB425" s="1824"/>
      <c r="HYC425" s="1824"/>
      <c r="HYD425" s="1824"/>
      <c r="HYE425" s="1824"/>
      <c r="HYF425" s="1824"/>
      <c r="HYG425" s="1824"/>
      <c r="HYH425" s="1824"/>
      <c r="HYI425" s="1824"/>
      <c r="HYJ425" s="1824"/>
      <c r="HYK425" s="1824"/>
      <c r="HYL425" s="1824"/>
      <c r="HYM425" s="1824"/>
      <c r="HYN425" s="1824"/>
      <c r="HYO425" s="1824"/>
      <c r="HYP425" s="1824"/>
      <c r="HYQ425" s="1824"/>
      <c r="HYR425" s="1824"/>
      <c r="HYS425" s="1824"/>
      <c r="HYT425" s="1824"/>
      <c r="HYU425" s="1824"/>
      <c r="HYV425" s="1824"/>
      <c r="HYW425" s="1824"/>
      <c r="HYX425" s="1824"/>
      <c r="HYY425" s="1824"/>
      <c r="HYZ425" s="1824"/>
      <c r="HZA425" s="1824"/>
      <c r="HZB425" s="1824"/>
      <c r="HZC425" s="1824"/>
      <c r="HZD425" s="1824"/>
      <c r="HZE425" s="1824"/>
      <c r="HZF425" s="1824"/>
      <c r="HZG425" s="1824"/>
      <c r="HZH425" s="1824"/>
      <c r="HZI425" s="1824"/>
      <c r="HZJ425" s="1824"/>
      <c r="HZK425" s="1824"/>
      <c r="HZL425" s="1824"/>
      <c r="HZM425" s="1824"/>
      <c r="HZN425" s="1824"/>
      <c r="HZO425" s="1824"/>
      <c r="HZP425" s="1824"/>
      <c r="HZQ425" s="1824"/>
      <c r="HZR425" s="1824"/>
      <c r="HZS425" s="1824"/>
      <c r="HZT425" s="1824"/>
      <c r="HZU425" s="1824"/>
      <c r="HZV425" s="1824"/>
      <c r="HZW425" s="1824"/>
      <c r="HZX425" s="1824"/>
      <c r="HZY425" s="1824"/>
      <c r="HZZ425" s="1824"/>
      <c r="IAA425" s="1824"/>
      <c r="IAB425" s="1824"/>
      <c r="IAC425" s="1824"/>
      <c r="IAD425" s="1824"/>
      <c r="IAE425" s="1824"/>
      <c r="IAF425" s="1824"/>
      <c r="IAG425" s="1824"/>
      <c r="IAH425" s="1824"/>
      <c r="IAI425" s="1824"/>
      <c r="IAJ425" s="1824"/>
      <c r="IAK425" s="1824"/>
      <c r="IAL425" s="1824"/>
      <c r="IAM425" s="1824"/>
      <c r="IAN425" s="1824"/>
      <c r="IAO425" s="1824"/>
      <c r="IAP425" s="1824"/>
      <c r="IAQ425" s="1824"/>
      <c r="IAR425" s="1824"/>
      <c r="IAS425" s="1824"/>
      <c r="IAT425" s="1824"/>
      <c r="IAU425" s="1824"/>
      <c r="IAV425" s="1824"/>
      <c r="IAW425" s="1824"/>
      <c r="IAX425" s="1824"/>
      <c r="IAY425" s="1824"/>
      <c r="IAZ425" s="1824"/>
      <c r="IBA425" s="1824"/>
      <c r="IBB425" s="1824"/>
      <c r="IBC425" s="1824"/>
      <c r="IBD425" s="1824"/>
      <c r="IBE425" s="1824"/>
      <c r="IBF425" s="1824"/>
      <c r="IBG425" s="1824"/>
      <c r="IBH425" s="1824"/>
      <c r="IBI425" s="1824"/>
      <c r="IBJ425" s="1824"/>
      <c r="IBK425" s="1824"/>
      <c r="IBL425" s="1824"/>
      <c r="IBM425" s="1824"/>
      <c r="IBN425" s="1824"/>
      <c r="IBO425" s="1824"/>
      <c r="IBP425" s="1824"/>
      <c r="IBQ425" s="1824"/>
      <c r="IBR425" s="1824"/>
      <c r="IBS425" s="1824"/>
      <c r="IBT425" s="1824"/>
      <c r="IBU425" s="1824"/>
      <c r="IBV425" s="1824"/>
      <c r="IBW425" s="1824"/>
      <c r="IBX425" s="1824"/>
      <c r="IBY425" s="1824"/>
      <c r="IBZ425" s="1824"/>
      <c r="ICA425" s="1824"/>
      <c r="ICB425" s="1824"/>
      <c r="ICC425" s="1824"/>
      <c r="ICD425" s="1824"/>
      <c r="ICE425" s="1824"/>
      <c r="ICF425" s="1824"/>
      <c r="ICG425" s="1824"/>
      <c r="ICH425" s="1824"/>
      <c r="ICI425" s="1824"/>
      <c r="ICJ425" s="1824"/>
      <c r="ICK425" s="1824"/>
      <c r="ICL425" s="1824"/>
      <c r="ICM425" s="1824"/>
      <c r="ICN425" s="1824"/>
      <c r="ICO425" s="1824"/>
      <c r="ICP425" s="1824"/>
      <c r="ICQ425" s="1824"/>
      <c r="ICR425" s="1824"/>
      <c r="ICS425" s="1824"/>
      <c r="ICT425" s="1824"/>
      <c r="ICU425" s="1824"/>
      <c r="ICV425" s="1824"/>
      <c r="ICW425" s="1824"/>
      <c r="ICX425" s="1824"/>
      <c r="ICY425" s="1824"/>
      <c r="ICZ425" s="1824"/>
      <c r="IDA425" s="1824"/>
      <c r="IDB425" s="1824"/>
      <c r="IDC425" s="1824"/>
      <c r="IDD425" s="1824"/>
      <c r="IDE425" s="1824"/>
      <c r="IDF425" s="1824"/>
      <c r="IDG425" s="1824"/>
      <c r="IDH425" s="1824"/>
      <c r="IDI425" s="1824"/>
      <c r="IDJ425" s="1824"/>
      <c r="IDK425" s="1824"/>
      <c r="IDL425" s="1824"/>
      <c r="IDM425" s="1824"/>
      <c r="IDN425" s="1824"/>
      <c r="IDO425" s="1824"/>
      <c r="IDP425" s="1824"/>
      <c r="IDQ425" s="1824"/>
      <c r="IDR425" s="1824"/>
      <c r="IDS425" s="1824"/>
      <c r="IDT425" s="1824"/>
      <c r="IDU425" s="1824"/>
      <c r="IDV425" s="1824"/>
      <c r="IDW425" s="1824"/>
      <c r="IDX425" s="1824"/>
      <c r="IDY425" s="1824"/>
      <c r="IDZ425" s="1824"/>
      <c r="IEA425" s="1824"/>
      <c r="IEB425" s="1824"/>
      <c r="IEC425" s="1824"/>
      <c r="IED425" s="1824"/>
      <c r="IEE425" s="1824"/>
      <c r="IEF425" s="1824"/>
      <c r="IEG425" s="1824"/>
      <c r="IEH425" s="1824"/>
      <c r="IEI425" s="1824"/>
      <c r="IEJ425" s="1824"/>
      <c r="IEK425" s="1824"/>
      <c r="IEL425" s="1824"/>
      <c r="IEM425" s="1824"/>
      <c r="IEN425" s="1824"/>
      <c r="IEO425" s="1824"/>
      <c r="IEP425" s="1824"/>
      <c r="IEQ425" s="1824"/>
      <c r="IER425" s="1824"/>
      <c r="IES425" s="1824"/>
      <c r="IET425" s="1824"/>
      <c r="IEU425" s="1824"/>
      <c r="IEV425" s="1824"/>
      <c r="IEW425" s="1824"/>
      <c r="IEX425" s="1824"/>
      <c r="IEY425" s="1824"/>
      <c r="IEZ425" s="1824"/>
      <c r="IFA425" s="1824"/>
      <c r="IFB425" s="1824"/>
      <c r="IFC425" s="1824"/>
      <c r="IFD425" s="1824"/>
      <c r="IFE425" s="1824"/>
      <c r="IFF425" s="1824"/>
      <c r="IFG425" s="1824"/>
      <c r="IFH425" s="1824"/>
      <c r="IFI425" s="1824"/>
      <c r="IFJ425" s="1824"/>
      <c r="IFK425" s="1824"/>
      <c r="IFL425" s="1824"/>
      <c r="IFM425" s="1824"/>
      <c r="IFN425" s="1824"/>
      <c r="IFO425" s="1824"/>
      <c r="IFP425" s="1824"/>
      <c r="IFQ425" s="1824"/>
      <c r="IFR425" s="1824"/>
      <c r="IFS425" s="1824"/>
      <c r="IFT425" s="1824"/>
      <c r="IFU425" s="1824"/>
      <c r="IFV425" s="1824"/>
      <c r="IFW425" s="1824"/>
      <c r="IFX425" s="1824"/>
      <c r="IFY425" s="1824"/>
      <c r="IFZ425" s="1824"/>
      <c r="IGA425" s="1824"/>
      <c r="IGB425" s="1824"/>
      <c r="IGC425" s="1824"/>
      <c r="IGD425" s="1824"/>
      <c r="IGE425" s="1824"/>
      <c r="IGF425" s="1824"/>
      <c r="IGG425" s="1824"/>
      <c r="IGH425" s="1824"/>
      <c r="IGI425" s="1824"/>
      <c r="IGJ425" s="1824"/>
      <c r="IGK425" s="1824"/>
      <c r="IGL425" s="1824"/>
      <c r="IGM425" s="1824"/>
      <c r="IGN425" s="1824"/>
      <c r="IGO425" s="1824"/>
      <c r="IGP425" s="1824"/>
      <c r="IGQ425" s="1824"/>
      <c r="IGR425" s="1824"/>
      <c r="IGS425" s="1824"/>
      <c r="IGT425" s="1824"/>
      <c r="IGU425" s="1824"/>
      <c r="IGV425" s="1824"/>
      <c r="IGW425" s="1824"/>
      <c r="IGX425" s="1824"/>
      <c r="IGY425" s="1824"/>
      <c r="IGZ425" s="1824"/>
      <c r="IHA425" s="1824"/>
      <c r="IHB425" s="1824"/>
      <c r="IHC425" s="1824"/>
      <c r="IHD425" s="1824"/>
      <c r="IHE425" s="1824"/>
      <c r="IHF425" s="1824"/>
      <c r="IHG425" s="1824"/>
      <c r="IHH425" s="1824"/>
      <c r="IHI425" s="1824"/>
      <c r="IHJ425" s="1824"/>
      <c r="IHK425" s="1824"/>
      <c r="IHL425" s="1824"/>
      <c r="IHM425" s="1824"/>
      <c r="IHN425" s="1824"/>
      <c r="IHO425" s="1824"/>
      <c r="IHP425" s="1824"/>
      <c r="IHQ425" s="1824"/>
      <c r="IHR425" s="1824"/>
      <c r="IHS425" s="1824"/>
      <c r="IHT425" s="1824"/>
      <c r="IHU425" s="1824"/>
      <c r="IHV425" s="1824"/>
      <c r="IHW425" s="1824"/>
      <c r="IHX425" s="1824"/>
      <c r="IHY425" s="1824"/>
      <c r="IHZ425" s="1824"/>
      <c r="IIA425" s="1824"/>
      <c r="IIB425" s="1824"/>
      <c r="IIC425" s="1824"/>
      <c r="IID425" s="1824"/>
      <c r="IIE425" s="1824"/>
      <c r="IIF425" s="1824"/>
      <c r="IIG425" s="1824"/>
      <c r="IIH425" s="1824"/>
      <c r="III425" s="1824"/>
      <c r="IIJ425" s="1824"/>
      <c r="IIK425" s="1824"/>
      <c r="IIL425" s="1824"/>
      <c r="IIM425" s="1824"/>
      <c r="IIN425" s="1824"/>
      <c r="IIO425" s="1824"/>
      <c r="IIP425" s="1824"/>
      <c r="IIQ425" s="1824"/>
      <c r="IIR425" s="1824"/>
      <c r="IIS425" s="1824"/>
      <c r="IIT425" s="1824"/>
      <c r="IIU425" s="1824"/>
      <c r="IIV425" s="1824"/>
      <c r="IIW425" s="1824"/>
      <c r="IIX425" s="1824"/>
      <c r="IIY425" s="1824"/>
      <c r="IIZ425" s="1824"/>
      <c r="IJA425" s="1824"/>
      <c r="IJB425" s="1824"/>
      <c r="IJC425" s="1824"/>
      <c r="IJD425" s="1824"/>
      <c r="IJE425" s="1824"/>
      <c r="IJF425" s="1824"/>
      <c r="IJG425" s="1824"/>
      <c r="IJH425" s="1824"/>
      <c r="IJI425" s="1824"/>
      <c r="IJJ425" s="1824"/>
      <c r="IJK425" s="1824"/>
      <c r="IJL425" s="1824"/>
      <c r="IJM425" s="1824"/>
      <c r="IJN425" s="1824"/>
      <c r="IJO425" s="1824"/>
      <c r="IJP425" s="1824"/>
      <c r="IJQ425" s="1824"/>
      <c r="IJR425" s="1824"/>
      <c r="IJS425" s="1824"/>
      <c r="IJT425" s="1824"/>
      <c r="IJU425" s="1824"/>
      <c r="IJV425" s="1824"/>
      <c r="IJW425" s="1824"/>
      <c r="IJX425" s="1824"/>
      <c r="IJY425" s="1824"/>
      <c r="IJZ425" s="1824"/>
      <c r="IKA425" s="1824"/>
      <c r="IKB425" s="1824"/>
      <c r="IKC425" s="1824"/>
      <c r="IKD425" s="1824"/>
      <c r="IKE425" s="1824"/>
      <c r="IKF425" s="1824"/>
      <c r="IKG425" s="1824"/>
      <c r="IKH425" s="1824"/>
      <c r="IKI425" s="1824"/>
      <c r="IKJ425" s="1824"/>
      <c r="IKK425" s="1824"/>
      <c r="IKL425" s="1824"/>
      <c r="IKM425" s="1824"/>
      <c r="IKN425" s="1824"/>
      <c r="IKO425" s="1824"/>
      <c r="IKP425" s="1824"/>
      <c r="IKQ425" s="1824"/>
      <c r="IKR425" s="1824"/>
      <c r="IKS425" s="1824"/>
      <c r="IKT425" s="1824"/>
      <c r="IKU425" s="1824"/>
      <c r="IKV425" s="1824"/>
      <c r="IKW425" s="1824"/>
      <c r="IKX425" s="1824"/>
      <c r="IKY425" s="1824"/>
      <c r="IKZ425" s="1824"/>
      <c r="ILA425" s="1824"/>
      <c r="ILB425" s="1824"/>
      <c r="ILC425" s="1824"/>
      <c r="ILD425" s="1824"/>
      <c r="ILE425" s="1824"/>
      <c r="ILF425" s="1824"/>
      <c r="ILG425" s="1824"/>
      <c r="ILH425" s="1824"/>
      <c r="ILI425" s="1824"/>
      <c r="ILJ425" s="1824"/>
      <c r="ILK425" s="1824"/>
      <c r="ILL425" s="1824"/>
      <c r="ILM425" s="1824"/>
      <c r="ILN425" s="1824"/>
      <c r="ILO425" s="1824"/>
      <c r="ILP425" s="1824"/>
      <c r="ILQ425" s="1824"/>
      <c r="ILR425" s="1824"/>
      <c r="ILS425" s="1824"/>
      <c r="ILT425" s="1824"/>
      <c r="ILU425" s="1824"/>
      <c r="ILV425" s="1824"/>
      <c r="ILW425" s="1824"/>
      <c r="ILX425" s="1824"/>
      <c r="ILY425" s="1824"/>
      <c r="ILZ425" s="1824"/>
      <c r="IMA425" s="1824"/>
      <c r="IMB425" s="1824"/>
      <c r="IMC425" s="1824"/>
      <c r="IMD425" s="1824"/>
      <c r="IME425" s="1824"/>
      <c r="IMF425" s="1824"/>
      <c r="IMG425" s="1824"/>
      <c r="IMH425" s="1824"/>
      <c r="IMI425" s="1824"/>
      <c r="IMJ425" s="1824"/>
      <c r="IMK425" s="1824"/>
      <c r="IML425" s="1824"/>
      <c r="IMM425" s="1824"/>
      <c r="IMN425" s="1824"/>
      <c r="IMO425" s="1824"/>
      <c r="IMP425" s="1824"/>
      <c r="IMQ425" s="1824"/>
      <c r="IMR425" s="1824"/>
      <c r="IMS425" s="1824"/>
      <c r="IMT425" s="1824"/>
      <c r="IMU425" s="1824"/>
      <c r="IMV425" s="1824"/>
      <c r="IMW425" s="1824"/>
      <c r="IMX425" s="1824"/>
      <c r="IMY425" s="1824"/>
      <c r="IMZ425" s="1824"/>
      <c r="INA425" s="1824"/>
      <c r="INB425" s="1824"/>
      <c r="INC425" s="1824"/>
      <c r="IND425" s="1824"/>
      <c r="INE425" s="1824"/>
      <c r="INF425" s="1824"/>
      <c r="ING425" s="1824"/>
      <c r="INH425" s="1824"/>
      <c r="INI425" s="1824"/>
      <c r="INJ425" s="1824"/>
      <c r="INK425" s="1824"/>
      <c r="INL425" s="1824"/>
      <c r="INM425" s="1824"/>
      <c r="INN425" s="1824"/>
      <c r="INO425" s="1824"/>
      <c r="INP425" s="1824"/>
      <c r="INQ425" s="1824"/>
      <c r="INR425" s="1824"/>
      <c r="INS425" s="1824"/>
      <c r="INT425" s="1824"/>
      <c r="INU425" s="1824"/>
      <c r="INV425" s="1824"/>
      <c r="INW425" s="1824"/>
      <c r="INX425" s="1824"/>
      <c r="INY425" s="1824"/>
      <c r="INZ425" s="1824"/>
      <c r="IOA425" s="1824"/>
      <c r="IOB425" s="1824"/>
      <c r="IOC425" s="1824"/>
      <c r="IOD425" s="1824"/>
      <c r="IOE425" s="1824"/>
      <c r="IOF425" s="1824"/>
      <c r="IOG425" s="1824"/>
      <c r="IOH425" s="1824"/>
      <c r="IOI425" s="1824"/>
      <c r="IOJ425" s="1824"/>
      <c r="IOK425" s="1824"/>
      <c r="IOL425" s="1824"/>
      <c r="IOM425" s="1824"/>
      <c r="ION425" s="1824"/>
      <c r="IOO425" s="1824"/>
      <c r="IOP425" s="1824"/>
      <c r="IOQ425" s="1824"/>
      <c r="IOR425" s="1824"/>
      <c r="IOS425" s="1824"/>
      <c r="IOT425" s="1824"/>
      <c r="IOU425" s="1824"/>
      <c r="IOV425" s="1824"/>
      <c r="IOW425" s="1824"/>
      <c r="IOX425" s="1824"/>
      <c r="IOY425" s="1824"/>
      <c r="IOZ425" s="1824"/>
      <c r="IPA425" s="1824"/>
      <c r="IPB425" s="1824"/>
      <c r="IPC425" s="1824"/>
      <c r="IPD425" s="1824"/>
      <c r="IPE425" s="1824"/>
      <c r="IPF425" s="1824"/>
      <c r="IPG425" s="1824"/>
      <c r="IPH425" s="1824"/>
      <c r="IPI425" s="1824"/>
      <c r="IPJ425" s="1824"/>
      <c r="IPK425" s="1824"/>
      <c r="IPL425" s="1824"/>
      <c r="IPM425" s="1824"/>
      <c r="IPN425" s="1824"/>
      <c r="IPO425" s="1824"/>
      <c r="IPP425" s="1824"/>
      <c r="IPQ425" s="1824"/>
      <c r="IPR425" s="1824"/>
      <c r="IPS425" s="1824"/>
      <c r="IPT425" s="1824"/>
      <c r="IPU425" s="1824"/>
      <c r="IPV425" s="1824"/>
      <c r="IPW425" s="1824"/>
      <c r="IPX425" s="1824"/>
      <c r="IPY425" s="1824"/>
      <c r="IPZ425" s="1824"/>
      <c r="IQA425" s="1824"/>
      <c r="IQB425" s="1824"/>
      <c r="IQC425" s="1824"/>
      <c r="IQD425" s="1824"/>
      <c r="IQE425" s="1824"/>
      <c r="IQF425" s="1824"/>
      <c r="IQG425" s="1824"/>
      <c r="IQH425" s="1824"/>
      <c r="IQI425" s="1824"/>
      <c r="IQJ425" s="1824"/>
      <c r="IQK425" s="1824"/>
      <c r="IQL425" s="1824"/>
      <c r="IQM425" s="1824"/>
      <c r="IQN425" s="1824"/>
      <c r="IQO425" s="1824"/>
      <c r="IQP425" s="1824"/>
      <c r="IQQ425" s="1824"/>
      <c r="IQR425" s="1824"/>
      <c r="IQS425" s="1824"/>
      <c r="IQT425" s="1824"/>
      <c r="IQU425" s="1824"/>
      <c r="IQV425" s="1824"/>
      <c r="IQW425" s="1824"/>
      <c r="IQX425" s="1824"/>
      <c r="IQY425" s="1824"/>
      <c r="IQZ425" s="1824"/>
      <c r="IRA425" s="1824"/>
      <c r="IRB425" s="1824"/>
      <c r="IRC425" s="1824"/>
      <c r="IRD425" s="1824"/>
      <c r="IRE425" s="1824"/>
      <c r="IRF425" s="1824"/>
      <c r="IRG425" s="1824"/>
      <c r="IRH425" s="1824"/>
      <c r="IRI425" s="1824"/>
      <c r="IRJ425" s="1824"/>
      <c r="IRK425" s="1824"/>
      <c r="IRL425" s="1824"/>
      <c r="IRM425" s="1824"/>
      <c r="IRN425" s="1824"/>
      <c r="IRO425" s="1824"/>
      <c r="IRP425" s="1824"/>
      <c r="IRQ425" s="1824"/>
      <c r="IRR425" s="1824"/>
      <c r="IRS425" s="1824"/>
      <c r="IRT425" s="1824"/>
      <c r="IRU425" s="1824"/>
      <c r="IRV425" s="1824"/>
      <c r="IRW425" s="1824"/>
      <c r="IRX425" s="1824"/>
      <c r="IRY425" s="1824"/>
      <c r="IRZ425" s="1824"/>
      <c r="ISA425" s="1824"/>
      <c r="ISB425" s="1824"/>
      <c r="ISC425" s="1824"/>
      <c r="ISD425" s="1824"/>
      <c r="ISE425" s="1824"/>
      <c r="ISF425" s="1824"/>
      <c r="ISG425" s="1824"/>
      <c r="ISH425" s="1824"/>
      <c r="ISI425" s="1824"/>
      <c r="ISJ425" s="1824"/>
      <c r="ISK425" s="1824"/>
      <c r="ISL425" s="1824"/>
      <c r="ISM425" s="1824"/>
      <c r="ISN425" s="1824"/>
      <c r="ISO425" s="1824"/>
      <c r="ISP425" s="1824"/>
      <c r="ISQ425" s="1824"/>
      <c r="ISR425" s="1824"/>
      <c r="ISS425" s="1824"/>
      <c r="IST425" s="1824"/>
      <c r="ISU425" s="1824"/>
      <c r="ISV425" s="1824"/>
      <c r="ISW425" s="1824"/>
      <c r="ISX425" s="1824"/>
      <c r="ISY425" s="1824"/>
      <c r="ISZ425" s="1824"/>
      <c r="ITA425" s="1824"/>
      <c r="ITB425" s="1824"/>
      <c r="ITC425" s="1824"/>
      <c r="ITD425" s="1824"/>
      <c r="ITE425" s="1824"/>
      <c r="ITF425" s="1824"/>
      <c r="ITG425" s="1824"/>
      <c r="ITH425" s="1824"/>
      <c r="ITI425" s="1824"/>
      <c r="ITJ425" s="1824"/>
      <c r="ITK425" s="1824"/>
      <c r="ITL425" s="1824"/>
      <c r="ITM425" s="1824"/>
      <c r="ITN425" s="1824"/>
      <c r="ITO425" s="1824"/>
      <c r="ITP425" s="1824"/>
      <c r="ITQ425" s="1824"/>
      <c r="ITR425" s="1824"/>
      <c r="ITS425" s="1824"/>
      <c r="ITT425" s="1824"/>
      <c r="ITU425" s="1824"/>
      <c r="ITV425" s="1824"/>
      <c r="ITW425" s="1824"/>
      <c r="ITX425" s="1824"/>
      <c r="ITY425" s="1824"/>
      <c r="ITZ425" s="1824"/>
      <c r="IUA425" s="1824"/>
      <c r="IUB425" s="1824"/>
      <c r="IUC425" s="1824"/>
      <c r="IUD425" s="1824"/>
      <c r="IUE425" s="1824"/>
      <c r="IUF425" s="1824"/>
      <c r="IUG425" s="1824"/>
      <c r="IUH425" s="1824"/>
      <c r="IUI425" s="1824"/>
      <c r="IUJ425" s="1824"/>
      <c r="IUK425" s="1824"/>
      <c r="IUL425" s="1824"/>
      <c r="IUM425" s="1824"/>
      <c r="IUN425" s="1824"/>
      <c r="IUO425" s="1824"/>
      <c r="IUP425" s="1824"/>
      <c r="IUQ425" s="1824"/>
      <c r="IUR425" s="1824"/>
      <c r="IUS425" s="1824"/>
      <c r="IUT425" s="1824"/>
      <c r="IUU425" s="1824"/>
      <c r="IUV425" s="1824"/>
      <c r="IUW425" s="1824"/>
      <c r="IUX425" s="1824"/>
      <c r="IUY425" s="1824"/>
      <c r="IUZ425" s="1824"/>
      <c r="IVA425" s="1824"/>
      <c r="IVB425" s="1824"/>
      <c r="IVC425" s="1824"/>
      <c r="IVD425" s="1824"/>
      <c r="IVE425" s="1824"/>
      <c r="IVF425" s="1824"/>
      <c r="IVG425" s="1824"/>
      <c r="IVH425" s="1824"/>
      <c r="IVI425" s="1824"/>
      <c r="IVJ425" s="1824"/>
      <c r="IVK425" s="1824"/>
      <c r="IVL425" s="1824"/>
      <c r="IVM425" s="1824"/>
      <c r="IVN425" s="1824"/>
      <c r="IVO425" s="1824"/>
      <c r="IVP425" s="1824"/>
      <c r="IVQ425" s="1824"/>
      <c r="IVR425" s="1824"/>
      <c r="IVS425" s="1824"/>
      <c r="IVT425" s="1824"/>
      <c r="IVU425" s="1824"/>
      <c r="IVV425" s="1824"/>
      <c r="IVW425" s="1824"/>
      <c r="IVX425" s="1824"/>
      <c r="IVY425" s="1824"/>
      <c r="IVZ425" s="1824"/>
      <c r="IWA425" s="1824"/>
      <c r="IWB425" s="1824"/>
      <c r="IWC425" s="1824"/>
      <c r="IWD425" s="1824"/>
      <c r="IWE425" s="1824"/>
      <c r="IWF425" s="1824"/>
      <c r="IWG425" s="1824"/>
      <c r="IWH425" s="1824"/>
      <c r="IWI425" s="1824"/>
      <c r="IWJ425" s="1824"/>
      <c r="IWK425" s="1824"/>
      <c r="IWL425" s="1824"/>
      <c r="IWM425" s="1824"/>
      <c r="IWN425" s="1824"/>
      <c r="IWO425" s="1824"/>
      <c r="IWP425" s="1824"/>
      <c r="IWQ425" s="1824"/>
      <c r="IWR425" s="1824"/>
      <c r="IWS425" s="1824"/>
      <c r="IWT425" s="1824"/>
      <c r="IWU425" s="1824"/>
      <c r="IWV425" s="1824"/>
      <c r="IWW425" s="1824"/>
      <c r="IWX425" s="1824"/>
      <c r="IWY425" s="1824"/>
      <c r="IWZ425" s="1824"/>
      <c r="IXA425" s="1824"/>
      <c r="IXB425" s="1824"/>
      <c r="IXC425" s="1824"/>
      <c r="IXD425" s="1824"/>
      <c r="IXE425" s="1824"/>
      <c r="IXF425" s="1824"/>
      <c r="IXG425" s="1824"/>
      <c r="IXH425" s="1824"/>
      <c r="IXI425" s="1824"/>
      <c r="IXJ425" s="1824"/>
      <c r="IXK425" s="1824"/>
      <c r="IXL425" s="1824"/>
      <c r="IXM425" s="1824"/>
      <c r="IXN425" s="1824"/>
      <c r="IXO425" s="1824"/>
      <c r="IXP425" s="1824"/>
      <c r="IXQ425" s="1824"/>
      <c r="IXR425" s="1824"/>
      <c r="IXS425" s="1824"/>
      <c r="IXT425" s="1824"/>
      <c r="IXU425" s="1824"/>
      <c r="IXV425" s="1824"/>
      <c r="IXW425" s="1824"/>
      <c r="IXX425" s="1824"/>
      <c r="IXY425" s="1824"/>
      <c r="IXZ425" s="1824"/>
      <c r="IYA425" s="1824"/>
      <c r="IYB425" s="1824"/>
      <c r="IYC425" s="1824"/>
      <c r="IYD425" s="1824"/>
      <c r="IYE425" s="1824"/>
      <c r="IYF425" s="1824"/>
      <c r="IYG425" s="1824"/>
      <c r="IYH425" s="1824"/>
      <c r="IYI425" s="1824"/>
      <c r="IYJ425" s="1824"/>
      <c r="IYK425" s="1824"/>
      <c r="IYL425" s="1824"/>
      <c r="IYM425" s="1824"/>
      <c r="IYN425" s="1824"/>
      <c r="IYO425" s="1824"/>
      <c r="IYP425" s="1824"/>
      <c r="IYQ425" s="1824"/>
      <c r="IYR425" s="1824"/>
      <c r="IYS425" s="1824"/>
      <c r="IYT425" s="1824"/>
      <c r="IYU425" s="1824"/>
      <c r="IYV425" s="1824"/>
      <c r="IYW425" s="1824"/>
      <c r="IYX425" s="1824"/>
      <c r="IYY425" s="1824"/>
      <c r="IYZ425" s="1824"/>
      <c r="IZA425" s="1824"/>
      <c r="IZB425" s="1824"/>
      <c r="IZC425" s="1824"/>
      <c r="IZD425" s="1824"/>
      <c r="IZE425" s="1824"/>
      <c r="IZF425" s="1824"/>
      <c r="IZG425" s="1824"/>
      <c r="IZH425" s="1824"/>
      <c r="IZI425" s="1824"/>
      <c r="IZJ425" s="1824"/>
      <c r="IZK425" s="1824"/>
      <c r="IZL425" s="1824"/>
      <c r="IZM425" s="1824"/>
      <c r="IZN425" s="1824"/>
      <c r="IZO425" s="1824"/>
      <c r="IZP425" s="1824"/>
      <c r="IZQ425" s="1824"/>
      <c r="IZR425" s="1824"/>
      <c r="IZS425" s="1824"/>
      <c r="IZT425" s="1824"/>
      <c r="IZU425" s="1824"/>
      <c r="IZV425" s="1824"/>
      <c r="IZW425" s="1824"/>
      <c r="IZX425" s="1824"/>
      <c r="IZY425" s="1824"/>
      <c r="IZZ425" s="1824"/>
      <c r="JAA425" s="1824"/>
      <c r="JAB425" s="1824"/>
      <c r="JAC425" s="1824"/>
      <c r="JAD425" s="1824"/>
      <c r="JAE425" s="1824"/>
      <c r="JAF425" s="1824"/>
      <c r="JAG425" s="1824"/>
      <c r="JAH425" s="1824"/>
      <c r="JAI425" s="1824"/>
      <c r="JAJ425" s="1824"/>
      <c r="JAK425" s="1824"/>
      <c r="JAL425" s="1824"/>
      <c r="JAM425" s="1824"/>
      <c r="JAN425" s="1824"/>
      <c r="JAO425" s="1824"/>
      <c r="JAP425" s="1824"/>
      <c r="JAQ425" s="1824"/>
      <c r="JAR425" s="1824"/>
      <c r="JAS425" s="1824"/>
      <c r="JAT425" s="1824"/>
      <c r="JAU425" s="1824"/>
      <c r="JAV425" s="1824"/>
      <c r="JAW425" s="1824"/>
      <c r="JAX425" s="1824"/>
      <c r="JAY425" s="1824"/>
      <c r="JAZ425" s="1824"/>
      <c r="JBA425" s="1824"/>
      <c r="JBB425" s="1824"/>
      <c r="JBC425" s="1824"/>
      <c r="JBD425" s="1824"/>
      <c r="JBE425" s="1824"/>
      <c r="JBF425" s="1824"/>
      <c r="JBG425" s="1824"/>
      <c r="JBH425" s="1824"/>
      <c r="JBI425" s="1824"/>
      <c r="JBJ425" s="1824"/>
      <c r="JBK425" s="1824"/>
      <c r="JBL425" s="1824"/>
      <c r="JBM425" s="1824"/>
      <c r="JBN425" s="1824"/>
      <c r="JBO425" s="1824"/>
      <c r="JBP425" s="1824"/>
      <c r="JBQ425" s="1824"/>
      <c r="JBR425" s="1824"/>
      <c r="JBS425" s="1824"/>
      <c r="JBT425" s="1824"/>
      <c r="JBU425" s="1824"/>
      <c r="JBV425" s="1824"/>
      <c r="JBW425" s="1824"/>
      <c r="JBX425" s="1824"/>
      <c r="JBY425" s="1824"/>
      <c r="JBZ425" s="1824"/>
      <c r="JCA425" s="1824"/>
      <c r="JCB425" s="1824"/>
      <c r="JCC425" s="1824"/>
      <c r="JCD425" s="1824"/>
      <c r="JCE425" s="1824"/>
      <c r="JCF425" s="1824"/>
      <c r="JCG425" s="1824"/>
      <c r="JCH425" s="1824"/>
      <c r="JCI425" s="1824"/>
      <c r="JCJ425" s="1824"/>
      <c r="JCK425" s="1824"/>
      <c r="JCL425" s="1824"/>
      <c r="JCM425" s="1824"/>
      <c r="JCN425" s="1824"/>
      <c r="JCO425" s="1824"/>
      <c r="JCP425" s="1824"/>
      <c r="JCQ425" s="1824"/>
      <c r="JCR425" s="1824"/>
      <c r="JCS425" s="1824"/>
      <c r="JCT425" s="1824"/>
      <c r="JCU425" s="1824"/>
      <c r="JCV425" s="1824"/>
      <c r="JCW425" s="1824"/>
      <c r="JCX425" s="1824"/>
      <c r="JCY425" s="1824"/>
      <c r="JCZ425" s="1824"/>
      <c r="JDA425" s="1824"/>
      <c r="JDB425" s="1824"/>
      <c r="JDC425" s="1824"/>
      <c r="JDD425" s="1824"/>
      <c r="JDE425" s="1824"/>
      <c r="JDF425" s="1824"/>
      <c r="JDG425" s="1824"/>
      <c r="JDH425" s="1824"/>
      <c r="JDI425" s="1824"/>
      <c r="JDJ425" s="1824"/>
      <c r="JDK425" s="1824"/>
      <c r="JDL425" s="1824"/>
      <c r="JDM425" s="1824"/>
      <c r="JDN425" s="1824"/>
      <c r="JDO425" s="1824"/>
      <c r="JDP425" s="1824"/>
      <c r="JDQ425" s="1824"/>
      <c r="JDR425" s="1824"/>
      <c r="JDS425" s="1824"/>
      <c r="JDT425" s="1824"/>
      <c r="JDU425" s="1824"/>
      <c r="JDV425" s="1824"/>
      <c r="JDW425" s="1824"/>
      <c r="JDX425" s="1824"/>
      <c r="JDY425" s="1824"/>
      <c r="JDZ425" s="1824"/>
      <c r="JEA425" s="1824"/>
      <c r="JEB425" s="1824"/>
      <c r="JEC425" s="1824"/>
      <c r="JED425" s="1824"/>
      <c r="JEE425" s="1824"/>
      <c r="JEF425" s="1824"/>
      <c r="JEG425" s="1824"/>
      <c r="JEH425" s="1824"/>
      <c r="JEI425" s="1824"/>
      <c r="JEJ425" s="1824"/>
      <c r="JEK425" s="1824"/>
      <c r="JEL425" s="1824"/>
      <c r="JEM425" s="1824"/>
      <c r="JEN425" s="1824"/>
      <c r="JEO425" s="1824"/>
      <c r="JEP425" s="1824"/>
      <c r="JEQ425" s="1824"/>
      <c r="JER425" s="1824"/>
      <c r="JES425" s="1824"/>
      <c r="JET425" s="1824"/>
      <c r="JEU425" s="1824"/>
      <c r="JEV425" s="1824"/>
      <c r="JEW425" s="1824"/>
      <c r="JEX425" s="1824"/>
      <c r="JEY425" s="1824"/>
      <c r="JEZ425" s="1824"/>
      <c r="JFA425" s="1824"/>
      <c r="JFB425" s="1824"/>
      <c r="JFC425" s="1824"/>
      <c r="JFD425" s="1824"/>
      <c r="JFE425" s="1824"/>
      <c r="JFF425" s="1824"/>
      <c r="JFG425" s="1824"/>
      <c r="JFH425" s="1824"/>
      <c r="JFI425" s="1824"/>
      <c r="JFJ425" s="1824"/>
      <c r="JFK425" s="1824"/>
      <c r="JFL425" s="1824"/>
      <c r="JFM425" s="1824"/>
      <c r="JFN425" s="1824"/>
      <c r="JFO425" s="1824"/>
      <c r="JFP425" s="1824"/>
      <c r="JFQ425" s="1824"/>
      <c r="JFR425" s="1824"/>
      <c r="JFS425" s="1824"/>
      <c r="JFT425" s="1824"/>
      <c r="JFU425" s="1824"/>
      <c r="JFV425" s="1824"/>
      <c r="JFW425" s="1824"/>
      <c r="JFX425" s="1824"/>
      <c r="JFY425" s="1824"/>
      <c r="JFZ425" s="1824"/>
      <c r="JGA425" s="1824"/>
      <c r="JGB425" s="1824"/>
      <c r="JGC425" s="1824"/>
      <c r="JGD425" s="1824"/>
      <c r="JGE425" s="1824"/>
      <c r="JGF425" s="1824"/>
      <c r="JGG425" s="1824"/>
      <c r="JGH425" s="1824"/>
      <c r="JGI425" s="1824"/>
      <c r="JGJ425" s="1824"/>
      <c r="JGK425" s="1824"/>
      <c r="JGL425" s="1824"/>
      <c r="JGM425" s="1824"/>
      <c r="JGN425" s="1824"/>
      <c r="JGO425" s="1824"/>
      <c r="JGP425" s="1824"/>
      <c r="JGQ425" s="1824"/>
      <c r="JGR425" s="1824"/>
      <c r="JGS425" s="1824"/>
      <c r="JGT425" s="1824"/>
      <c r="JGU425" s="1824"/>
      <c r="JGV425" s="1824"/>
      <c r="JGW425" s="1824"/>
      <c r="JGX425" s="1824"/>
      <c r="JGY425" s="1824"/>
      <c r="JGZ425" s="1824"/>
      <c r="JHA425" s="1824"/>
      <c r="JHB425" s="1824"/>
      <c r="JHC425" s="1824"/>
      <c r="JHD425" s="1824"/>
      <c r="JHE425" s="1824"/>
      <c r="JHF425" s="1824"/>
      <c r="JHG425" s="1824"/>
      <c r="JHH425" s="1824"/>
      <c r="JHI425" s="1824"/>
      <c r="JHJ425" s="1824"/>
      <c r="JHK425" s="1824"/>
      <c r="JHL425" s="1824"/>
      <c r="JHM425" s="1824"/>
      <c r="JHN425" s="1824"/>
      <c r="JHO425" s="1824"/>
      <c r="JHP425" s="1824"/>
      <c r="JHQ425" s="1824"/>
      <c r="JHR425" s="1824"/>
      <c r="JHS425" s="1824"/>
      <c r="JHT425" s="1824"/>
      <c r="JHU425" s="1824"/>
      <c r="JHV425" s="1824"/>
      <c r="JHW425" s="1824"/>
      <c r="JHX425" s="1824"/>
      <c r="JHY425" s="1824"/>
      <c r="JHZ425" s="1824"/>
      <c r="JIA425" s="1824"/>
      <c r="JIB425" s="1824"/>
      <c r="JIC425" s="1824"/>
      <c r="JID425" s="1824"/>
      <c r="JIE425" s="1824"/>
      <c r="JIF425" s="1824"/>
      <c r="JIG425" s="1824"/>
      <c r="JIH425" s="1824"/>
      <c r="JII425" s="1824"/>
      <c r="JIJ425" s="1824"/>
      <c r="JIK425" s="1824"/>
      <c r="JIL425" s="1824"/>
      <c r="JIM425" s="1824"/>
      <c r="JIN425" s="1824"/>
      <c r="JIO425" s="1824"/>
      <c r="JIP425" s="1824"/>
      <c r="JIQ425" s="1824"/>
      <c r="JIR425" s="1824"/>
      <c r="JIS425" s="1824"/>
      <c r="JIT425" s="1824"/>
      <c r="JIU425" s="1824"/>
      <c r="JIV425" s="1824"/>
      <c r="JIW425" s="1824"/>
      <c r="JIX425" s="1824"/>
      <c r="JIY425" s="1824"/>
      <c r="JIZ425" s="1824"/>
      <c r="JJA425" s="1824"/>
      <c r="JJB425" s="1824"/>
      <c r="JJC425" s="1824"/>
      <c r="JJD425" s="1824"/>
      <c r="JJE425" s="1824"/>
      <c r="JJF425" s="1824"/>
      <c r="JJG425" s="1824"/>
      <c r="JJH425" s="1824"/>
      <c r="JJI425" s="1824"/>
      <c r="JJJ425" s="1824"/>
      <c r="JJK425" s="1824"/>
      <c r="JJL425" s="1824"/>
      <c r="JJM425" s="1824"/>
      <c r="JJN425" s="1824"/>
      <c r="JJO425" s="1824"/>
      <c r="JJP425" s="1824"/>
      <c r="JJQ425" s="1824"/>
      <c r="JJR425" s="1824"/>
      <c r="JJS425" s="1824"/>
      <c r="JJT425" s="1824"/>
      <c r="JJU425" s="1824"/>
      <c r="JJV425" s="1824"/>
      <c r="JJW425" s="1824"/>
      <c r="JJX425" s="1824"/>
      <c r="JJY425" s="1824"/>
      <c r="JJZ425" s="1824"/>
      <c r="JKA425" s="1824"/>
      <c r="JKB425" s="1824"/>
      <c r="JKC425" s="1824"/>
      <c r="JKD425" s="1824"/>
      <c r="JKE425" s="1824"/>
      <c r="JKF425" s="1824"/>
      <c r="JKG425" s="1824"/>
      <c r="JKH425" s="1824"/>
      <c r="JKI425" s="1824"/>
      <c r="JKJ425" s="1824"/>
      <c r="JKK425" s="1824"/>
      <c r="JKL425" s="1824"/>
      <c r="JKM425" s="1824"/>
      <c r="JKN425" s="1824"/>
      <c r="JKO425" s="1824"/>
      <c r="JKP425" s="1824"/>
      <c r="JKQ425" s="1824"/>
      <c r="JKR425" s="1824"/>
      <c r="JKS425" s="1824"/>
      <c r="JKT425" s="1824"/>
      <c r="JKU425" s="1824"/>
      <c r="JKV425" s="1824"/>
      <c r="JKW425" s="1824"/>
      <c r="JKX425" s="1824"/>
      <c r="JKY425" s="1824"/>
      <c r="JKZ425" s="1824"/>
      <c r="JLA425" s="1824"/>
      <c r="JLB425" s="1824"/>
      <c r="JLC425" s="1824"/>
      <c r="JLD425" s="1824"/>
      <c r="JLE425" s="1824"/>
      <c r="JLF425" s="1824"/>
      <c r="JLG425" s="1824"/>
      <c r="JLH425" s="1824"/>
      <c r="JLI425" s="1824"/>
      <c r="JLJ425" s="1824"/>
      <c r="JLK425" s="1824"/>
      <c r="JLL425" s="1824"/>
      <c r="JLM425" s="1824"/>
      <c r="JLN425" s="1824"/>
      <c r="JLO425" s="1824"/>
      <c r="JLP425" s="1824"/>
      <c r="JLQ425" s="1824"/>
      <c r="JLR425" s="1824"/>
      <c r="JLS425" s="1824"/>
      <c r="JLT425" s="1824"/>
      <c r="JLU425" s="1824"/>
      <c r="JLV425" s="1824"/>
      <c r="JLW425" s="1824"/>
      <c r="JLX425" s="1824"/>
      <c r="JLY425" s="1824"/>
      <c r="JLZ425" s="1824"/>
      <c r="JMA425" s="1824"/>
      <c r="JMB425" s="1824"/>
      <c r="JMC425" s="1824"/>
      <c r="JMD425" s="1824"/>
      <c r="JME425" s="1824"/>
      <c r="JMF425" s="1824"/>
      <c r="JMG425" s="1824"/>
      <c r="JMH425" s="1824"/>
      <c r="JMI425" s="1824"/>
      <c r="JMJ425" s="1824"/>
      <c r="JMK425" s="1824"/>
      <c r="JML425" s="1824"/>
      <c r="JMM425" s="1824"/>
      <c r="JMN425" s="1824"/>
      <c r="JMO425" s="1824"/>
      <c r="JMP425" s="1824"/>
      <c r="JMQ425" s="1824"/>
      <c r="JMR425" s="1824"/>
      <c r="JMS425" s="1824"/>
      <c r="JMT425" s="1824"/>
      <c r="JMU425" s="1824"/>
      <c r="JMV425" s="1824"/>
      <c r="JMW425" s="1824"/>
      <c r="JMX425" s="1824"/>
      <c r="JMY425" s="1824"/>
      <c r="JMZ425" s="1824"/>
      <c r="JNA425" s="1824"/>
      <c r="JNB425" s="1824"/>
      <c r="JNC425" s="1824"/>
      <c r="JND425" s="1824"/>
      <c r="JNE425" s="1824"/>
      <c r="JNF425" s="1824"/>
      <c r="JNG425" s="1824"/>
      <c r="JNH425" s="1824"/>
      <c r="JNI425" s="1824"/>
      <c r="JNJ425" s="1824"/>
      <c r="JNK425" s="1824"/>
      <c r="JNL425" s="1824"/>
      <c r="JNM425" s="1824"/>
      <c r="JNN425" s="1824"/>
      <c r="JNO425" s="1824"/>
      <c r="JNP425" s="1824"/>
      <c r="JNQ425" s="1824"/>
      <c r="JNR425" s="1824"/>
      <c r="JNS425" s="1824"/>
      <c r="JNT425" s="1824"/>
      <c r="JNU425" s="1824"/>
      <c r="JNV425" s="1824"/>
      <c r="JNW425" s="1824"/>
      <c r="JNX425" s="1824"/>
      <c r="JNY425" s="1824"/>
      <c r="JNZ425" s="1824"/>
      <c r="JOA425" s="1824"/>
      <c r="JOB425" s="1824"/>
      <c r="JOC425" s="1824"/>
      <c r="JOD425" s="1824"/>
      <c r="JOE425" s="1824"/>
      <c r="JOF425" s="1824"/>
      <c r="JOG425" s="1824"/>
      <c r="JOH425" s="1824"/>
      <c r="JOI425" s="1824"/>
      <c r="JOJ425" s="1824"/>
      <c r="JOK425" s="1824"/>
      <c r="JOL425" s="1824"/>
      <c r="JOM425" s="1824"/>
      <c r="JON425" s="1824"/>
      <c r="JOO425" s="1824"/>
      <c r="JOP425" s="1824"/>
      <c r="JOQ425" s="1824"/>
      <c r="JOR425" s="1824"/>
      <c r="JOS425" s="1824"/>
      <c r="JOT425" s="1824"/>
      <c r="JOU425" s="1824"/>
      <c r="JOV425" s="1824"/>
      <c r="JOW425" s="1824"/>
      <c r="JOX425" s="1824"/>
      <c r="JOY425" s="1824"/>
      <c r="JOZ425" s="1824"/>
      <c r="JPA425" s="1824"/>
      <c r="JPB425" s="1824"/>
      <c r="JPC425" s="1824"/>
      <c r="JPD425" s="1824"/>
      <c r="JPE425" s="1824"/>
      <c r="JPF425" s="1824"/>
      <c r="JPG425" s="1824"/>
      <c r="JPH425" s="1824"/>
      <c r="JPI425" s="1824"/>
      <c r="JPJ425" s="1824"/>
      <c r="JPK425" s="1824"/>
      <c r="JPL425" s="1824"/>
      <c r="JPM425" s="1824"/>
      <c r="JPN425" s="1824"/>
      <c r="JPO425" s="1824"/>
      <c r="JPP425" s="1824"/>
      <c r="JPQ425" s="1824"/>
      <c r="JPR425" s="1824"/>
      <c r="JPS425" s="1824"/>
      <c r="JPT425" s="1824"/>
      <c r="JPU425" s="1824"/>
      <c r="JPV425" s="1824"/>
      <c r="JPW425" s="1824"/>
      <c r="JPX425" s="1824"/>
      <c r="JPY425" s="1824"/>
      <c r="JPZ425" s="1824"/>
      <c r="JQA425" s="1824"/>
      <c r="JQB425" s="1824"/>
      <c r="JQC425" s="1824"/>
      <c r="JQD425" s="1824"/>
      <c r="JQE425" s="1824"/>
      <c r="JQF425" s="1824"/>
      <c r="JQG425" s="1824"/>
      <c r="JQH425" s="1824"/>
      <c r="JQI425" s="1824"/>
      <c r="JQJ425" s="1824"/>
      <c r="JQK425" s="1824"/>
      <c r="JQL425" s="1824"/>
      <c r="JQM425" s="1824"/>
      <c r="JQN425" s="1824"/>
      <c r="JQO425" s="1824"/>
      <c r="JQP425" s="1824"/>
      <c r="JQQ425" s="1824"/>
      <c r="JQR425" s="1824"/>
      <c r="JQS425" s="1824"/>
      <c r="JQT425" s="1824"/>
      <c r="JQU425" s="1824"/>
      <c r="JQV425" s="1824"/>
      <c r="JQW425" s="1824"/>
      <c r="JQX425" s="1824"/>
      <c r="JQY425" s="1824"/>
      <c r="JQZ425" s="1824"/>
      <c r="JRA425" s="1824"/>
      <c r="JRB425" s="1824"/>
      <c r="JRC425" s="1824"/>
      <c r="JRD425" s="1824"/>
      <c r="JRE425" s="1824"/>
      <c r="JRF425" s="1824"/>
      <c r="JRG425" s="1824"/>
      <c r="JRH425" s="1824"/>
      <c r="JRI425" s="1824"/>
      <c r="JRJ425" s="1824"/>
      <c r="JRK425" s="1824"/>
      <c r="JRL425" s="1824"/>
      <c r="JRM425" s="1824"/>
      <c r="JRN425" s="1824"/>
      <c r="JRO425" s="1824"/>
      <c r="JRP425" s="1824"/>
      <c r="JRQ425" s="1824"/>
      <c r="JRR425" s="1824"/>
      <c r="JRS425" s="1824"/>
      <c r="JRT425" s="1824"/>
      <c r="JRU425" s="1824"/>
      <c r="JRV425" s="1824"/>
      <c r="JRW425" s="1824"/>
      <c r="JRX425" s="1824"/>
      <c r="JRY425" s="1824"/>
      <c r="JRZ425" s="1824"/>
      <c r="JSA425" s="1824"/>
      <c r="JSB425" s="1824"/>
      <c r="JSC425" s="1824"/>
      <c r="JSD425" s="1824"/>
      <c r="JSE425" s="1824"/>
      <c r="JSF425" s="1824"/>
      <c r="JSG425" s="1824"/>
      <c r="JSH425" s="1824"/>
      <c r="JSI425" s="1824"/>
      <c r="JSJ425" s="1824"/>
      <c r="JSK425" s="1824"/>
      <c r="JSL425" s="1824"/>
      <c r="JSM425" s="1824"/>
      <c r="JSN425" s="1824"/>
      <c r="JSO425" s="1824"/>
      <c r="JSP425" s="1824"/>
      <c r="JSQ425" s="1824"/>
      <c r="JSR425" s="1824"/>
      <c r="JSS425" s="1824"/>
      <c r="JST425" s="1824"/>
      <c r="JSU425" s="1824"/>
      <c r="JSV425" s="1824"/>
      <c r="JSW425" s="1824"/>
      <c r="JSX425" s="1824"/>
      <c r="JSY425" s="1824"/>
      <c r="JSZ425" s="1824"/>
      <c r="JTA425" s="1824"/>
      <c r="JTB425" s="1824"/>
      <c r="JTC425" s="1824"/>
      <c r="JTD425" s="1824"/>
      <c r="JTE425" s="1824"/>
      <c r="JTF425" s="1824"/>
      <c r="JTG425" s="1824"/>
      <c r="JTH425" s="1824"/>
      <c r="JTI425" s="1824"/>
      <c r="JTJ425" s="1824"/>
      <c r="JTK425" s="1824"/>
      <c r="JTL425" s="1824"/>
      <c r="JTM425" s="1824"/>
      <c r="JTN425" s="1824"/>
      <c r="JTO425" s="1824"/>
      <c r="JTP425" s="1824"/>
      <c r="JTQ425" s="1824"/>
      <c r="JTR425" s="1824"/>
      <c r="JTS425" s="1824"/>
      <c r="JTT425" s="1824"/>
      <c r="JTU425" s="1824"/>
      <c r="JTV425" s="1824"/>
      <c r="JTW425" s="1824"/>
      <c r="JTX425" s="1824"/>
      <c r="JTY425" s="1824"/>
      <c r="JTZ425" s="1824"/>
      <c r="JUA425" s="1824"/>
      <c r="JUB425" s="1824"/>
      <c r="JUC425" s="1824"/>
      <c r="JUD425" s="1824"/>
      <c r="JUE425" s="1824"/>
      <c r="JUF425" s="1824"/>
      <c r="JUG425" s="1824"/>
      <c r="JUH425" s="1824"/>
      <c r="JUI425" s="1824"/>
      <c r="JUJ425" s="1824"/>
      <c r="JUK425" s="1824"/>
      <c r="JUL425" s="1824"/>
      <c r="JUM425" s="1824"/>
      <c r="JUN425" s="1824"/>
      <c r="JUO425" s="1824"/>
      <c r="JUP425" s="1824"/>
      <c r="JUQ425" s="1824"/>
      <c r="JUR425" s="1824"/>
      <c r="JUS425" s="1824"/>
      <c r="JUT425" s="1824"/>
      <c r="JUU425" s="1824"/>
      <c r="JUV425" s="1824"/>
      <c r="JUW425" s="1824"/>
      <c r="JUX425" s="1824"/>
      <c r="JUY425" s="1824"/>
      <c r="JUZ425" s="1824"/>
      <c r="JVA425" s="1824"/>
      <c r="JVB425" s="1824"/>
      <c r="JVC425" s="1824"/>
      <c r="JVD425" s="1824"/>
      <c r="JVE425" s="1824"/>
      <c r="JVF425" s="1824"/>
      <c r="JVG425" s="1824"/>
      <c r="JVH425" s="1824"/>
      <c r="JVI425" s="1824"/>
      <c r="JVJ425" s="1824"/>
      <c r="JVK425" s="1824"/>
      <c r="JVL425" s="1824"/>
      <c r="JVM425" s="1824"/>
      <c r="JVN425" s="1824"/>
      <c r="JVO425" s="1824"/>
      <c r="JVP425" s="1824"/>
      <c r="JVQ425" s="1824"/>
      <c r="JVR425" s="1824"/>
      <c r="JVS425" s="1824"/>
      <c r="JVT425" s="1824"/>
      <c r="JVU425" s="1824"/>
      <c r="JVV425" s="1824"/>
      <c r="JVW425" s="1824"/>
      <c r="JVX425" s="1824"/>
      <c r="JVY425" s="1824"/>
      <c r="JVZ425" s="1824"/>
      <c r="JWA425" s="1824"/>
      <c r="JWB425" s="1824"/>
      <c r="JWC425" s="1824"/>
      <c r="JWD425" s="1824"/>
      <c r="JWE425" s="1824"/>
      <c r="JWF425" s="1824"/>
      <c r="JWG425" s="1824"/>
      <c r="JWH425" s="1824"/>
      <c r="JWI425" s="1824"/>
      <c r="JWJ425" s="1824"/>
      <c r="JWK425" s="1824"/>
      <c r="JWL425" s="1824"/>
      <c r="JWM425" s="1824"/>
      <c r="JWN425" s="1824"/>
      <c r="JWO425" s="1824"/>
      <c r="JWP425" s="1824"/>
      <c r="JWQ425" s="1824"/>
      <c r="JWR425" s="1824"/>
      <c r="JWS425" s="1824"/>
      <c r="JWT425" s="1824"/>
      <c r="JWU425" s="1824"/>
      <c r="JWV425" s="1824"/>
      <c r="JWW425" s="1824"/>
      <c r="JWX425" s="1824"/>
      <c r="JWY425" s="1824"/>
      <c r="JWZ425" s="1824"/>
      <c r="JXA425" s="1824"/>
      <c r="JXB425" s="1824"/>
      <c r="JXC425" s="1824"/>
      <c r="JXD425" s="1824"/>
      <c r="JXE425" s="1824"/>
      <c r="JXF425" s="1824"/>
      <c r="JXG425" s="1824"/>
      <c r="JXH425" s="1824"/>
      <c r="JXI425" s="1824"/>
      <c r="JXJ425" s="1824"/>
      <c r="JXK425" s="1824"/>
      <c r="JXL425" s="1824"/>
      <c r="JXM425" s="1824"/>
      <c r="JXN425" s="1824"/>
      <c r="JXO425" s="1824"/>
      <c r="JXP425" s="1824"/>
      <c r="JXQ425" s="1824"/>
      <c r="JXR425" s="1824"/>
      <c r="JXS425" s="1824"/>
      <c r="JXT425" s="1824"/>
      <c r="JXU425" s="1824"/>
      <c r="JXV425" s="1824"/>
      <c r="JXW425" s="1824"/>
      <c r="JXX425" s="1824"/>
      <c r="JXY425" s="1824"/>
      <c r="JXZ425" s="1824"/>
      <c r="JYA425" s="1824"/>
      <c r="JYB425" s="1824"/>
      <c r="JYC425" s="1824"/>
      <c r="JYD425" s="1824"/>
      <c r="JYE425" s="1824"/>
      <c r="JYF425" s="1824"/>
      <c r="JYG425" s="1824"/>
      <c r="JYH425" s="1824"/>
      <c r="JYI425" s="1824"/>
      <c r="JYJ425" s="1824"/>
      <c r="JYK425" s="1824"/>
      <c r="JYL425" s="1824"/>
      <c r="JYM425" s="1824"/>
      <c r="JYN425" s="1824"/>
      <c r="JYO425" s="1824"/>
      <c r="JYP425" s="1824"/>
      <c r="JYQ425" s="1824"/>
      <c r="JYR425" s="1824"/>
      <c r="JYS425" s="1824"/>
      <c r="JYT425" s="1824"/>
      <c r="JYU425" s="1824"/>
      <c r="JYV425" s="1824"/>
      <c r="JYW425" s="1824"/>
      <c r="JYX425" s="1824"/>
      <c r="JYY425" s="1824"/>
      <c r="JYZ425" s="1824"/>
      <c r="JZA425" s="1824"/>
      <c r="JZB425" s="1824"/>
      <c r="JZC425" s="1824"/>
      <c r="JZD425" s="1824"/>
      <c r="JZE425" s="1824"/>
      <c r="JZF425" s="1824"/>
      <c r="JZG425" s="1824"/>
      <c r="JZH425" s="1824"/>
      <c r="JZI425" s="1824"/>
      <c r="JZJ425" s="1824"/>
      <c r="JZK425" s="1824"/>
      <c r="JZL425" s="1824"/>
      <c r="JZM425" s="1824"/>
      <c r="JZN425" s="1824"/>
      <c r="JZO425" s="1824"/>
      <c r="JZP425" s="1824"/>
      <c r="JZQ425" s="1824"/>
      <c r="JZR425" s="1824"/>
      <c r="JZS425" s="1824"/>
      <c r="JZT425" s="1824"/>
      <c r="JZU425" s="1824"/>
      <c r="JZV425" s="1824"/>
      <c r="JZW425" s="1824"/>
      <c r="JZX425" s="1824"/>
      <c r="JZY425" s="1824"/>
      <c r="JZZ425" s="1824"/>
      <c r="KAA425" s="1824"/>
      <c r="KAB425" s="1824"/>
      <c r="KAC425" s="1824"/>
      <c r="KAD425" s="1824"/>
      <c r="KAE425" s="1824"/>
      <c r="KAF425" s="1824"/>
      <c r="KAG425" s="1824"/>
      <c r="KAH425" s="1824"/>
      <c r="KAI425" s="1824"/>
      <c r="KAJ425" s="1824"/>
      <c r="KAK425" s="1824"/>
      <c r="KAL425" s="1824"/>
      <c r="KAM425" s="1824"/>
      <c r="KAN425" s="1824"/>
      <c r="KAO425" s="1824"/>
      <c r="KAP425" s="1824"/>
      <c r="KAQ425" s="1824"/>
      <c r="KAR425" s="1824"/>
      <c r="KAS425" s="1824"/>
      <c r="KAT425" s="1824"/>
      <c r="KAU425" s="1824"/>
      <c r="KAV425" s="1824"/>
      <c r="KAW425" s="1824"/>
      <c r="KAX425" s="1824"/>
      <c r="KAY425" s="1824"/>
      <c r="KAZ425" s="1824"/>
      <c r="KBA425" s="1824"/>
      <c r="KBB425" s="1824"/>
      <c r="KBC425" s="1824"/>
      <c r="KBD425" s="1824"/>
      <c r="KBE425" s="1824"/>
      <c r="KBF425" s="1824"/>
      <c r="KBG425" s="1824"/>
      <c r="KBH425" s="1824"/>
      <c r="KBI425" s="1824"/>
      <c r="KBJ425" s="1824"/>
      <c r="KBK425" s="1824"/>
      <c r="KBL425" s="1824"/>
      <c r="KBM425" s="1824"/>
      <c r="KBN425" s="1824"/>
      <c r="KBO425" s="1824"/>
      <c r="KBP425" s="1824"/>
      <c r="KBQ425" s="1824"/>
      <c r="KBR425" s="1824"/>
      <c r="KBS425" s="1824"/>
      <c r="KBT425" s="1824"/>
      <c r="KBU425" s="1824"/>
      <c r="KBV425" s="1824"/>
      <c r="KBW425" s="1824"/>
      <c r="KBX425" s="1824"/>
      <c r="KBY425" s="1824"/>
      <c r="KBZ425" s="1824"/>
      <c r="KCA425" s="1824"/>
      <c r="KCB425" s="1824"/>
      <c r="KCC425" s="1824"/>
      <c r="KCD425" s="1824"/>
      <c r="KCE425" s="1824"/>
      <c r="KCF425" s="1824"/>
      <c r="KCG425" s="1824"/>
      <c r="KCH425" s="1824"/>
      <c r="KCI425" s="1824"/>
      <c r="KCJ425" s="1824"/>
      <c r="KCK425" s="1824"/>
      <c r="KCL425" s="1824"/>
      <c r="KCM425" s="1824"/>
      <c r="KCN425" s="1824"/>
      <c r="KCO425" s="1824"/>
      <c r="KCP425" s="1824"/>
      <c r="KCQ425" s="1824"/>
      <c r="KCR425" s="1824"/>
      <c r="KCS425" s="1824"/>
      <c r="KCT425" s="1824"/>
      <c r="KCU425" s="1824"/>
      <c r="KCV425" s="1824"/>
      <c r="KCW425" s="1824"/>
      <c r="KCX425" s="1824"/>
      <c r="KCY425" s="1824"/>
      <c r="KCZ425" s="1824"/>
      <c r="KDA425" s="1824"/>
      <c r="KDB425" s="1824"/>
      <c r="KDC425" s="1824"/>
      <c r="KDD425" s="1824"/>
      <c r="KDE425" s="1824"/>
      <c r="KDF425" s="1824"/>
      <c r="KDG425" s="1824"/>
      <c r="KDH425" s="1824"/>
      <c r="KDI425" s="1824"/>
      <c r="KDJ425" s="1824"/>
      <c r="KDK425" s="1824"/>
      <c r="KDL425" s="1824"/>
      <c r="KDM425" s="1824"/>
      <c r="KDN425" s="1824"/>
      <c r="KDO425" s="1824"/>
      <c r="KDP425" s="1824"/>
      <c r="KDQ425" s="1824"/>
      <c r="KDR425" s="1824"/>
      <c r="KDS425" s="1824"/>
      <c r="KDT425" s="1824"/>
      <c r="KDU425" s="1824"/>
      <c r="KDV425" s="1824"/>
      <c r="KDW425" s="1824"/>
      <c r="KDX425" s="1824"/>
      <c r="KDY425" s="1824"/>
      <c r="KDZ425" s="1824"/>
      <c r="KEA425" s="1824"/>
      <c r="KEB425" s="1824"/>
      <c r="KEC425" s="1824"/>
      <c r="KED425" s="1824"/>
      <c r="KEE425" s="1824"/>
      <c r="KEF425" s="1824"/>
      <c r="KEG425" s="1824"/>
      <c r="KEH425" s="1824"/>
      <c r="KEI425" s="1824"/>
      <c r="KEJ425" s="1824"/>
      <c r="KEK425" s="1824"/>
      <c r="KEL425" s="1824"/>
      <c r="KEM425" s="1824"/>
      <c r="KEN425" s="1824"/>
      <c r="KEO425" s="1824"/>
      <c r="KEP425" s="1824"/>
      <c r="KEQ425" s="1824"/>
      <c r="KER425" s="1824"/>
      <c r="KES425" s="1824"/>
      <c r="KET425" s="1824"/>
      <c r="KEU425" s="1824"/>
      <c r="KEV425" s="1824"/>
      <c r="KEW425" s="1824"/>
      <c r="KEX425" s="1824"/>
      <c r="KEY425" s="1824"/>
      <c r="KEZ425" s="1824"/>
      <c r="KFA425" s="1824"/>
      <c r="KFB425" s="1824"/>
      <c r="KFC425" s="1824"/>
      <c r="KFD425" s="1824"/>
      <c r="KFE425" s="1824"/>
      <c r="KFF425" s="1824"/>
      <c r="KFG425" s="1824"/>
      <c r="KFH425" s="1824"/>
      <c r="KFI425" s="1824"/>
      <c r="KFJ425" s="1824"/>
      <c r="KFK425" s="1824"/>
      <c r="KFL425" s="1824"/>
      <c r="KFM425" s="1824"/>
      <c r="KFN425" s="1824"/>
      <c r="KFO425" s="1824"/>
      <c r="KFP425" s="1824"/>
      <c r="KFQ425" s="1824"/>
      <c r="KFR425" s="1824"/>
      <c r="KFS425" s="1824"/>
      <c r="KFT425" s="1824"/>
      <c r="KFU425" s="1824"/>
      <c r="KFV425" s="1824"/>
      <c r="KFW425" s="1824"/>
      <c r="KFX425" s="1824"/>
      <c r="KFY425" s="1824"/>
      <c r="KFZ425" s="1824"/>
      <c r="KGA425" s="1824"/>
      <c r="KGB425" s="1824"/>
      <c r="KGC425" s="1824"/>
      <c r="KGD425" s="1824"/>
      <c r="KGE425" s="1824"/>
      <c r="KGF425" s="1824"/>
      <c r="KGG425" s="1824"/>
      <c r="KGH425" s="1824"/>
      <c r="KGI425" s="1824"/>
      <c r="KGJ425" s="1824"/>
      <c r="KGK425" s="1824"/>
      <c r="KGL425" s="1824"/>
      <c r="KGM425" s="1824"/>
      <c r="KGN425" s="1824"/>
      <c r="KGO425" s="1824"/>
      <c r="KGP425" s="1824"/>
      <c r="KGQ425" s="1824"/>
      <c r="KGR425" s="1824"/>
      <c r="KGS425" s="1824"/>
      <c r="KGT425" s="1824"/>
      <c r="KGU425" s="1824"/>
      <c r="KGV425" s="1824"/>
      <c r="KGW425" s="1824"/>
      <c r="KGX425" s="1824"/>
      <c r="KGY425" s="1824"/>
      <c r="KGZ425" s="1824"/>
      <c r="KHA425" s="1824"/>
      <c r="KHB425" s="1824"/>
      <c r="KHC425" s="1824"/>
      <c r="KHD425" s="1824"/>
      <c r="KHE425" s="1824"/>
      <c r="KHF425" s="1824"/>
      <c r="KHG425" s="1824"/>
      <c r="KHH425" s="1824"/>
      <c r="KHI425" s="1824"/>
      <c r="KHJ425" s="1824"/>
      <c r="KHK425" s="1824"/>
      <c r="KHL425" s="1824"/>
      <c r="KHM425" s="1824"/>
      <c r="KHN425" s="1824"/>
      <c r="KHO425" s="1824"/>
      <c r="KHP425" s="1824"/>
      <c r="KHQ425" s="1824"/>
      <c r="KHR425" s="1824"/>
      <c r="KHS425" s="1824"/>
      <c r="KHT425" s="1824"/>
      <c r="KHU425" s="1824"/>
      <c r="KHV425" s="1824"/>
      <c r="KHW425" s="1824"/>
      <c r="KHX425" s="1824"/>
      <c r="KHY425" s="1824"/>
      <c r="KHZ425" s="1824"/>
      <c r="KIA425" s="1824"/>
      <c r="KIB425" s="1824"/>
      <c r="KIC425" s="1824"/>
      <c r="KID425" s="1824"/>
      <c r="KIE425" s="1824"/>
      <c r="KIF425" s="1824"/>
      <c r="KIG425" s="1824"/>
      <c r="KIH425" s="1824"/>
      <c r="KII425" s="1824"/>
      <c r="KIJ425" s="1824"/>
      <c r="KIK425" s="1824"/>
      <c r="KIL425" s="1824"/>
      <c r="KIM425" s="1824"/>
      <c r="KIN425" s="1824"/>
      <c r="KIO425" s="1824"/>
      <c r="KIP425" s="1824"/>
      <c r="KIQ425" s="1824"/>
      <c r="KIR425" s="1824"/>
      <c r="KIS425" s="1824"/>
      <c r="KIT425" s="1824"/>
      <c r="KIU425" s="1824"/>
      <c r="KIV425" s="1824"/>
      <c r="KIW425" s="1824"/>
      <c r="KIX425" s="1824"/>
      <c r="KIY425" s="1824"/>
      <c r="KIZ425" s="1824"/>
      <c r="KJA425" s="1824"/>
      <c r="KJB425" s="1824"/>
      <c r="KJC425" s="1824"/>
      <c r="KJD425" s="1824"/>
      <c r="KJE425" s="1824"/>
      <c r="KJF425" s="1824"/>
      <c r="KJG425" s="1824"/>
      <c r="KJH425" s="1824"/>
      <c r="KJI425" s="1824"/>
      <c r="KJJ425" s="1824"/>
      <c r="KJK425" s="1824"/>
      <c r="KJL425" s="1824"/>
      <c r="KJM425" s="1824"/>
      <c r="KJN425" s="1824"/>
      <c r="KJO425" s="1824"/>
      <c r="KJP425" s="1824"/>
      <c r="KJQ425" s="1824"/>
      <c r="KJR425" s="1824"/>
      <c r="KJS425" s="1824"/>
      <c r="KJT425" s="1824"/>
      <c r="KJU425" s="1824"/>
      <c r="KJV425" s="1824"/>
      <c r="KJW425" s="1824"/>
      <c r="KJX425" s="1824"/>
      <c r="KJY425" s="1824"/>
      <c r="KJZ425" s="1824"/>
      <c r="KKA425" s="1824"/>
      <c r="KKB425" s="1824"/>
      <c r="KKC425" s="1824"/>
      <c r="KKD425" s="1824"/>
      <c r="KKE425" s="1824"/>
      <c r="KKF425" s="1824"/>
      <c r="KKG425" s="1824"/>
      <c r="KKH425" s="1824"/>
      <c r="KKI425" s="1824"/>
      <c r="KKJ425" s="1824"/>
      <c r="KKK425" s="1824"/>
      <c r="KKL425" s="1824"/>
      <c r="KKM425" s="1824"/>
      <c r="KKN425" s="1824"/>
      <c r="KKO425" s="1824"/>
      <c r="KKP425" s="1824"/>
      <c r="KKQ425" s="1824"/>
      <c r="KKR425" s="1824"/>
      <c r="KKS425" s="1824"/>
      <c r="KKT425" s="1824"/>
      <c r="KKU425" s="1824"/>
      <c r="KKV425" s="1824"/>
      <c r="KKW425" s="1824"/>
      <c r="KKX425" s="1824"/>
      <c r="KKY425" s="1824"/>
      <c r="KKZ425" s="1824"/>
      <c r="KLA425" s="1824"/>
      <c r="KLB425" s="1824"/>
      <c r="KLC425" s="1824"/>
      <c r="KLD425" s="1824"/>
      <c r="KLE425" s="1824"/>
      <c r="KLF425" s="1824"/>
      <c r="KLG425" s="1824"/>
      <c r="KLH425" s="1824"/>
      <c r="KLI425" s="1824"/>
      <c r="KLJ425" s="1824"/>
      <c r="KLK425" s="1824"/>
      <c r="KLL425" s="1824"/>
      <c r="KLM425" s="1824"/>
      <c r="KLN425" s="1824"/>
      <c r="KLO425" s="1824"/>
      <c r="KLP425" s="1824"/>
      <c r="KLQ425" s="1824"/>
      <c r="KLR425" s="1824"/>
      <c r="KLS425" s="1824"/>
      <c r="KLT425" s="1824"/>
      <c r="KLU425" s="1824"/>
      <c r="KLV425" s="1824"/>
      <c r="KLW425" s="1824"/>
      <c r="KLX425" s="1824"/>
      <c r="KLY425" s="1824"/>
      <c r="KLZ425" s="1824"/>
      <c r="KMA425" s="1824"/>
      <c r="KMB425" s="1824"/>
      <c r="KMC425" s="1824"/>
      <c r="KMD425" s="1824"/>
      <c r="KME425" s="1824"/>
      <c r="KMF425" s="1824"/>
      <c r="KMG425" s="1824"/>
      <c r="KMH425" s="1824"/>
      <c r="KMI425" s="1824"/>
      <c r="KMJ425" s="1824"/>
      <c r="KMK425" s="1824"/>
      <c r="KML425" s="1824"/>
      <c r="KMM425" s="1824"/>
      <c r="KMN425" s="1824"/>
      <c r="KMO425" s="1824"/>
      <c r="KMP425" s="1824"/>
      <c r="KMQ425" s="1824"/>
      <c r="KMR425" s="1824"/>
      <c r="KMS425" s="1824"/>
      <c r="KMT425" s="1824"/>
      <c r="KMU425" s="1824"/>
      <c r="KMV425" s="1824"/>
      <c r="KMW425" s="1824"/>
      <c r="KMX425" s="1824"/>
      <c r="KMY425" s="1824"/>
      <c r="KMZ425" s="1824"/>
      <c r="KNA425" s="1824"/>
      <c r="KNB425" s="1824"/>
      <c r="KNC425" s="1824"/>
      <c r="KND425" s="1824"/>
      <c r="KNE425" s="1824"/>
      <c r="KNF425" s="1824"/>
      <c r="KNG425" s="1824"/>
      <c r="KNH425" s="1824"/>
      <c r="KNI425" s="1824"/>
      <c r="KNJ425" s="1824"/>
      <c r="KNK425" s="1824"/>
      <c r="KNL425" s="1824"/>
      <c r="KNM425" s="1824"/>
      <c r="KNN425" s="1824"/>
      <c r="KNO425" s="1824"/>
      <c r="KNP425" s="1824"/>
      <c r="KNQ425" s="1824"/>
      <c r="KNR425" s="1824"/>
      <c r="KNS425" s="1824"/>
      <c r="KNT425" s="1824"/>
      <c r="KNU425" s="1824"/>
      <c r="KNV425" s="1824"/>
      <c r="KNW425" s="1824"/>
      <c r="KNX425" s="1824"/>
      <c r="KNY425" s="1824"/>
      <c r="KNZ425" s="1824"/>
      <c r="KOA425" s="1824"/>
      <c r="KOB425" s="1824"/>
      <c r="KOC425" s="1824"/>
      <c r="KOD425" s="1824"/>
      <c r="KOE425" s="1824"/>
      <c r="KOF425" s="1824"/>
      <c r="KOG425" s="1824"/>
      <c r="KOH425" s="1824"/>
      <c r="KOI425" s="1824"/>
      <c r="KOJ425" s="1824"/>
      <c r="KOK425" s="1824"/>
      <c r="KOL425" s="1824"/>
      <c r="KOM425" s="1824"/>
      <c r="KON425" s="1824"/>
      <c r="KOO425" s="1824"/>
      <c r="KOP425" s="1824"/>
      <c r="KOQ425" s="1824"/>
      <c r="KOR425" s="1824"/>
      <c r="KOS425" s="1824"/>
      <c r="KOT425" s="1824"/>
      <c r="KOU425" s="1824"/>
      <c r="KOV425" s="1824"/>
      <c r="KOW425" s="1824"/>
      <c r="KOX425" s="1824"/>
      <c r="KOY425" s="1824"/>
      <c r="KOZ425" s="1824"/>
      <c r="KPA425" s="1824"/>
      <c r="KPB425" s="1824"/>
      <c r="KPC425" s="1824"/>
      <c r="KPD425" s="1824"/>
      <c r="KPE425" s="1824"/>
      <c r="KPF425" s="1824"/>
      <c r="KPG425" s="1824"/>
      <c r="KPH425" s="1824"/>
      <c r="KPI425" s="1824"/>
      <c r="KPJ425" s="1824"/>
      <c r="KPK425" s="1824"/>
      <c r="KPL425" s="1824"/>
      <c r="KPM425" s="1824"/>
      <c r="KPN425" s="1824"/>
      <c r="KPO425" s="1824"/>
      <c r="KPP425" s="1824"/>
      <c r="KPQ425" s="1824"/>
      <c r="KPR425" s="1824"/>
      <c r="KPS425" s="1824"/>
      <c r="KPT425" s="1824"/>
      <c r="KPU425" s="1824"/>
      <c r="KPV425" s="1824"/>
      <c r="KPW425" s="1824"/>
      <c r="KPX425" s="1824"/>
      <c r="KPY425" s="1824"/>
      <c r="KPZ425" s="1824"/>
      <c r="KQA425" s="1824"/>
      <c r="KQB425" s="1824"/>
      <c r="KQC425" s="1824"/>
      <c r="KQD425" s="1824"/>
      <c r="KQE425" s="1824"/>
      <c r="KQF425" s="1824"/>
      <c r="KQG425" s="1824"/>
      <c r="KQH425" s="1824"/>
      <c r="KQI425" s="1824"/>
      <c r="KQJ425" s="1824"/>
      <c r="KQK425" s="1824"/>
      <c r="KQL425" s="1824"/>
      <c r="KQM425" s="1824"/>
      <c r="KQN425" s="1824"/>
      <c r="KQO425" s="1824"/>
      <c r="KQP425" s="1824"/>
      <c r="KQQ425" s="1824"/>
      <c r="KQR425" s="1824"/>
      <c r="KQS425" s="1824"/>
      <c r="KQT425" s="1824"/>
      <c r="KQU425" s="1824"/>
      <c r="KQV425" s="1824"/>
      <c r="KQW425" s="1824"/>
      <c r="KQX425" s="1824"/>
      <c r="KQY425" s="1824"/>
      <c r="KQZ425" s="1824"/>
      <c r="KRA425" s="1824"/>
      <c r="KRB425" s="1824"/>
      <c r="KRC425" s="1824"/>
      <c r="KRD425" s="1824"/>
      <c r="KRE425" s="1824"/>
      <c r="KRF425" s="1824"/>
      <c r="KRG425" s="1824"/>
      <c r="KRH425" s="1824"/>
      <c r="KRI425" s="1824"/>
      <c r="KRJ425" s="1824"/>
      <c r="KRK425" s="1824"/>
      <c r="KRL425" s="1824"/>
      <c r="KRM425" s="1824"/>
      <c r="KRN425" s="1824"/>
      <c r="KRO425" s="1824"/>
      <c r="KRP425" s="1824"/>
      <c r="KRQ425" s="1824"/>
      <c r="KRR425" s="1824"/>
      <c r="KRS425" s="1824"/>
      <c r="KRT425" s="1824"/>
      <c r="KRU425" s="1824"/>
      <c r="KRV425" s="1824"/>
      <c r="KRW425" s="1824"/>
      <c r="KRX425" s="1824"/>
      <c r="KRY425" s="1824"/>
      <c r="KRZ425" s="1824"/>
      <c r="KSA425" s="1824"/>
      <c r="KSB425" s="1824"/>
      <c r="KSC425" s="1824"/>
      <c r="KSD425" s="1824"/>
      <c r="KSE425" s="1824"/>
      <c r="KSF425" s="1824"/>
      <c r="KSG425" s="1824"/>
      <c r="KSH425" s="1824"/>
      <c r="KSI425" s="1824"/>
      <c r="KSJ425" s="1824"/>
      <c r="KSK425" s="1824"/>
      <c r="KSL425" s="1824"/>
      <c r="KSM425" s="1824"/>
      <c r="KSN425" s="1824"/>
      <c r="KSO425" s="1824"/>
      <c r="KSP425" s="1824"/>
      <c r="KSQ425" s="1824"/>
      <c r="KSR425" s="1824"/>
      <c r="KSS425" s="1824"/>
      <c r="KST425" s="1824"/>
      <c r="KSU425" s="1824"/>
      <c r="KSV425" s="1824"/>
      <c r="KSW425" s="1824"/>
      <c r="KSX425" s="1824"/>
      <c r="KSY425" s="1824"/>
      <c r="KSZ425" s="1824"/>
      <c r="KTA425" s="1824"/>
      <c r="KTB425" s="1824"/>
      <c r="KTC425" s="1824"/>
      <c r="KTD425" s="1824"/>
      <c r="KTE425" s="1824"/>
      <c r="KTF425" s="1824"/>
      <c r="KTG425" s="1824"/>
      <c r="KTH425" s="1824"/>
      <c r="KTI425" s="1824"/>
      <c r="KTJ425" s="1824"/>
      <c r="KTK425" s="1824"/>
      <c r="KTL425" s="1824"/>
      <c r="KTM425" s="1824"/>
      <c r="KTN425" s="1824"/>
      <c r="KTO425" s="1824"/>
      <c r="KTP425" s="1824"/>
      <c r="KTQ425" s="1824"/>
      <c r="KTR425" s="1824"/>
      <c r="KTS425" s="1824"/>
      <c r="KTT425" s="1824"/>
      <c r="KTU425" s="1824"/>
      <c r="KTV425" s="1824"/>
      <c r="KTW425" s="1824"/>
      <c r="KTX425" s="1824"/>
      <c r="KTY425" s="1824"/>
      <c r="KTZ425" s="1824"/>
      <c r="KUA425" s="1824"/>
      <c r="KUB425" s="1824"/>
      <c r="KUC425" s="1824"/>
      <c r="KUD425" s="1824"/>
      <c r="KUE425" s="1824"/>
      <c r="KUF425" s="1824"/>
      <c r="KUG425" s="1824"/>
      <c r="KUH425" s="1824"/>
      <c r="KUI425" s="1824"/>
      <c r="KUJ425" s="1824"/>
      <c r="KUK425" s="1824"/>
      <c r="KUL425" s="1824"/>
      <c r="KUM425" s="1824"/>
      <c r="KUN425" s="1824"/>
      <c r="KUO425" s="1824"/>
      <c r="KUP425" s="1824"/>
      <c r="KUQ425" s="1824"/>
      <c r="KUR425" s="1824"/>
      <c r="KUS425" s="1824"/>
      <c r="KUT425" s="1824"/>
      <c r="KUU425" s="1824"/>
      <c r="KUV425" s="1824"/>
      <c r="KUW425" s="1824"/>
      <c r="KUX425" s="1824"/>
      <c r="KUY425" s="1824"/>
      <c r="KUZ425" s="1824"/>
      <c r="KVA425" s="1824"/>
      <c r="KVB425" s="1824"/>
      <c r="KVC425" s="1824"/>
      <c r="KVD425" s="1824"/>
      <c r="KVE425" s="1824"/>
      <c r="KVF425" s="1824"/>
      <c r="KVG425" s="1824"/>
      <c r="KVH425" s="1824"/>
      <c r="KVI425" s="1824"/>
      <c r="KVJ425" s="1824"/>
      <c r="KVK425" s="1824"/>
      <c r="KVL425" s="1824"/>
      <c r="KVM425" s="1824"/>
      <c r="KVN425" s="1824"/>
      <c r="KVO425" s="1824"/>
      <c r="KVP425" s="1824"/>
      <c r="KVQ425" s="1824"/>
      <c r="KVR425" s="1824"/>
      <c r="KVS425" s="1824"/>
      <c r="KVT425" s="1824"/>
      <c r="KVU425" s="1824"/>
      <c r="KVV425" s="1824"/>
      <c r="KVW425" s="1824"/>
      <c r="KVX425" s="1824"/>
      <c r="KVY425" s="1824"/>
      <c r="KVZ425" s="1824"/>
      <c r="KWA425" s="1824"/>
      <c r="KWB425" s="1824"/>
      <c r="KWC425" s="1824"/>
      <c r="KWD425" s="1824"/>
      <c r="KWE425" s="1824"/>
      <c r="KWF425" s="1824"/>
      <c r="KWG425" s="1824"/>
      <c r="KWH425" s="1824"/>
      <c r="KWI425" s="1824"/>
      <c r="KWJ425" s="1824"/>
      <c r="KWK425" s="1824"/>
      <c r="KWL425" s="1824"/>
      <c r="KWM425" s="1824"/>
      <c r="KWN425" s="1824"/>
      <c r="KWO425" s="1824"/>
      <c r="KWP425" s="1824"/>
      <c r="KWQ425" s="1824"/>
      <c r="KWR425" s="1824"/>
      <c r="KWS425" s="1824"/>
      <c r="KWT425" s="1824"/>
      <c r="KWU425" s="1824"/>
      <c r="KWV425" s="1824"/>
      <c r="KWW425" s="1824"/>
      <c r="KWX425" s="1824"/>
      <c r="KWY425" s="1824"/>
      <c r="KWZ425" s="1824"/>
      <c r="KXA425" s="1824"/>
      <c r="KXB425" s="1824"/>
      <c r="KXC425" s="1824"/>
      <c r="KXD425" s="1824"/>
      <c r="KXE425" s="1824"/>
      <c r="KXF425" s="1824"/>
      <c r="KXG425" s="1824"/>
      <c r="KXH425" s="1824"/>
      <c r="KXI425" s="1824"/>
      <c r="KXJ425" s="1824"/>
      <c r="KXK425" s="1824"/>
      <c r="KXL425" s="1824"/>
      <c r="KXM425" s="1824"/>
      <c r="KXN425" s="1824"/>
      <c r="KXO425" s="1824"/>
      <c r="KXP425" s="1824"/>
      <c r="KXQ425" s="1824"/>
      <c r="KXR425" s="1824"/>
      <c r="KXS425" s="1824"/>
      <c r="KXT425" s="1824"/>
      <c r="KXU425" s="1824"/>
      <c r="KXV425" s="1824"/>
      <c r="KXW425" s="1824"/>
      <c r="KXX425" s="1824"/>
      <c r="KXY425" s="1824"/>
      <c r="KXZ425" s="1824"/>
      <c r="KYA425" s="1824"/>
      <c r="KYB425" s="1824"/>
      <c r="KYC425" s="1824"/>
      <c r="KYD425" s="1824"/>
      <c r="KYE425" s="1824"/>
      <c r="KYF425" s="1824"/>
      <c r="KYG425" s="1824"/>
      <c r="KYH425" s="1824"/>
      <c r="KYI425" s="1824"/>
      <c r="KYJ425" s="1824"/>
      <c r="KYK425" s="1824"/>
      <c r="KYL425" s="1824"/>
      <c r="KYM425" s="1824"/>
      <c r="KYN425" s="1824"/>
      <c r="KYO425" s="1824"/>
      <c r="KYP425" s="1824"/>
      <c r="KYQ425" s="1824"/>
      <c r="KYR425" s="1824"/>
      <c r="KYS425" s="1824"/>
      <c r="KYT425" s="1824"/>
      <c r="KYU425" s="1824"/>
      <c r="KYV425" s="1824"/>
      <c r="KYW425" s="1824"/>
      <c r="KYX425" s="1824"/>
      <c r="KYY425" s="1824"/>
      <c r="KYZ425" s="1824"/>
      <c r="KZA425" s="1824"/>
      <c r="KZB425" s="1824"/>
      <c r="KZC425" s="1824"/>
      <c r="KZD425" s="1824"/>
      <c r="KZE425" s="1824"/>
      <c r="KZF425" s="1824"/>
      <c r="KZG425" s="1824"/>
      <c r="KZH425" s="1824"/>
      <c r="KZI425" s="1824"/>
      <c r="KZJ425" s="1824"/>
      <c r="KZK425" s="1824"/>
      <c r="KZL425" s="1824"/>
      <c r="KZM425" s="1824"/>
      <c r="KZN425" s="1824"/>
      <c r="KZO425" s="1824"/>
      <c r="KZP425" s="1824"/>
      <c r="KZQ425" s="1824"/>
      <c r="KZR425" s="1824"/>
      <c r="KZS425" s="1824"/>
      <c r="KZT425" s="1824"/>
      <c r="KZU425" s="1824"/>
      <c r="KZV425" s="1824"/>
      <c r="KZW425" s="1824"/>
      <c r="KZX425" s="1824"/>
      <c r="KZY425" s="1824"/>
      <c r="KZZ425" s="1824"/>
      <c r="LAA425" s="1824"/>
      <c r="LAB425" s="1824"/>
      <c r="LAC425" s="1824"/>
      <c r="LAD425" s="1824"/>
      <c r="LAE425" s="1824"/>
      <c r="LAF425" s="1824"/>
      <c r="LAG425" s="1824"/>
      <c r="LAH425" s="1824"/>
      <c r="LAI425" s="1824"/>
      <c r="LAJ425" s="1824"/>
      <c r="LAK425" s="1824"/>
      <c r="LAL425" s="1824"/>
      <c r="LAM425" s="1824"/>
      <c r="LAN425" s="1824"/>
      <c r="LAO425" s="1824"/>
      <c r="LAP425" s="1824"/>
      <c r="LAQ425" s="1824"/>
      <c r="LAR425" s="1824"/>
      <c r="LAS425" s="1824"/>
      <c r="LAT425" s="1824"/>
      <c r="LAU425" s="1824"/>
      <c r="LAV425" s="1824"/>
      <c r="LAW425" s="1824"/>
      <c r="LAX425" s="1824"/>
      <c r="LAY425" s="1824"/>
      <c r="LAZ425" s="1824"/>
      <c r="LBA425" s="1824"/>
      <c r="LBB425" s="1824"/>
      <c r="LBC425" s="1824"/>
      <c r="LBD425" s="1824"/>
      <c r="LBE425" s="1824"/>
      <c r="LBF425" s="1824"/>
      <c r="LBG425" s="1824"/>
      <c r="LBH425" s="1824"/>
      <c r="LBI425" s="1824"/>
      <c r="LBJ425" s="1824"/>
      <c r="LBK425" s="1824"/>
      <c r="LBL425" s="1824"/>
      <c r="LBM425" s="1824"/>
      <c r="LBN425" s="1824"/>
      <c r="LBO425" s="1824"/>
      <c r="LBP425" s="1824"/>
      <c r="LBQ425" s="1824"/>
      <c r="LBR425" s="1824"/>
      <c r="LBS425" s="1824"/>
      <c r="LBT425" s="1824"/>
      <c r="LBU425" s="1824"/>
      <c r="LBV425" s="1824"/>
      <c r="LBW425" s="1824"/>
      <c r="LBX425" s="1824"/>
      <c r="LBY425" s="1824"/>
      <c r="LBZ425" s="1824"/>
      <c r="LCA425" s="1824"/>
      <c r="LCB425" s="1824"/>
      <c r="LCC425" s="1824"/>
      <c r="LCD425" s="1824"/>
      <c r="LCE425" s="1824"/>
      <c r="LCF425" s="1824"/>
      <c r="LCG425" s="1824"/>
      <c r="LCH425" s="1824"/>
      <c r="LCI425" s="1824"/>
      <c r="LCJ425" s="1824"/>
      <c r="LCK425" s="1824"/>
      <c r="LCL425" s="1824"/>
      <c r="LCM425" s="1824"/>
      <c r="LCN425" s="1824"/>
      <c r="LCO425" s="1824"/>
      <c r="LCP425" s="1824"/>
      <c r="LCQ425" s="1824"/>
      <c r="LCR425" s="1824"/>
      <c r="LCS425" s="1824"/>
      <c r="LCT425" s="1824"/>
      <c r="LCU425" s="1824"/>
      <c r="LCV425" s="1824"/>
      <c r="LCW425" s="1824"/>
      <c r="LCX425" s="1824"/>
      <c r="LCY425" s="1824"/>
      <c r="LCZ425" s="1824"/>
      <c r="LDA425" s="1824"/>
      <c r="LDB425" s="1824"/>
      <c r="LDC425" s="1824"/>
      <c r="LDD425" s="1824"/>
      <c r="LDE425" s="1824"/>
      <c r="LDF425" s="1824"/>
      <c r="LDG425" s="1824"/>
      <c r="LDH425" s="1824"/>
      <c r="LDI425" s="1824"/>
      <c r="LDJ425" s="1824"/>
      <c r="LDK425" s="1824"/>
      <c r="LDL425" s="1824"/>
      <c r="LDM425" s="1824"/>
      <c r="LDN425" s="1824"/>
      <c r="LDO425" s="1824"/>
      <c r="LDP425" s="1824"/>
      <c r="LDQ425" s="1824"/>
      <c r="LDR425" s="1824"/>
      <c r="LDS425" s="1824"/>
      <c r="LDT425" s="1824"/>
      <c r="LDU425" s="1824"/>
      <c r="LDV425" s="1824"/>
      <c r="LDW425" s="1824"/>
      <c r="LDX425" s="1824"/>
      <c r="LDY425" s="1824"/>
      <c r="LDZ425" s="1824"/>
      <c r="LEA425" s="1824"/>
      <c r="LEB425" s="1824"/>
      <c r="LEC425" s="1824"/>
      <c r="LED425" s="1824"/>
      <c r="LEE425" s="1824"/>
      <c r="LEF425" s="1824"/>
      <c r="LEG425" s="1824"/>
      <c r="LEH425" s="1824"/>
      <c r="LEI425" s="1824"/>
      <c r="LEJ425" s="1824"/>
      <c r="LEK425" s="1824"/>
      <c r="LEL425" s="1824"/>
      <c r="LEM425" s="1824"/>
      <c r="LEN425" s="1824"/>
      <c r="LEO425" s="1824"/>
      <c r="LEP425" s="1824"/>
      <c r="LEQ425" s="1824"/>
      <c r="LER425" s="1824"/>
      <c r="LES425" s="1824"/>
      <c r="LET425" s="1824"/>
      <c r="LEU425" s="1824"/>
      <c r="LEV425" s="1824"/>
      <c r="LEW425" s="1824"/>
      <c r="LEX425" s="1824"/>
      <c r="LEY425" s="1824"/>
      <c r="LEZ425" s="1824"/>
      <c r="LFA425" s="1824"/>
      <c r="LFB425" s="1824"/>
      <c r="LFC425" s="1824"/>
      <c r="LFD425" s="1824"/>
      <c r="LFE425" s="1824"/>
      <c r="LFF425" s="1824"/>
      <c r="LFG425" s="1824"/>
      <c r="LFH425" s="1824"/>
      <c r="LFI425" s="1824"/>
      <c r="LFJ425" s="1824"/>
      <c r="LFK425" s="1824"/>
      <c r="LFL425" s="1824"/>
      <c r="LFM425" s="1824"/>
      <c r="LFN425" s="1824"/>
      <c r="LFO425" s="1824"/>
      <c r="LFP425" s="1824"/>
      <c r="LFQ425" s="1824"/>
      <c r="LFR425" s="1824"/>
      <c r="LFS425" s="1824"/>
      <c r="LFT425" s="1824"/>
      <c r="LFU425" s="1824"/>
      <c r="LFV425" s="1824"/>
      <c r="LFW425" s="1824"/>
      <c r="LFX425" s="1824"/>
      <c r="LFY425" s="1824"/>
      <c r="LFZ425" s="1824"/>
      <c r="LGA425" s="1824"/>
      <c r="LGB425" s="1824"/>
      <c r="LGC425" s="1824"/>
      <c r="LGD425" s="1824"/>
      <c r="LGE425" s="1824"/>
      <c r="LGF425" s="1824"/>
      <c r="LGG425" s="1824"/>
      <c r="LGH425" s="1824"/>
      <c r="LGI425" s="1824"/>
      <c r="LGJ425" s="1824"/>
      <c r="LGK425" s="1824"/>
      <c r="LGL425" s="1824"/>
      <c r="LGM425" s="1824"/>
      <c r="LGN425" s="1824"/>
      <c r="LGO425" s="1824"/>
      <c r="LGP425" s="1824"/>
      <c r="LGQ425" s="1824"/>
      <c r="LGR425" s="1824"/>
      <c r="LGS425" s="1824"/>
      <c r="LGT425" s="1824"/>
      <c r="LGU425" s="1824"/>
      <c r="LGV425" s="1824"/>
      <c r="LGW425" s="1824"/>
      <c r="LGX425" s="1824"/>
      <c r="LGY425" s="1824"/>
      <c r="LGZ425" s="1824"/>
      <c r="LHA425" s="1824"/>
      <c r="LHB425" s="1824"/>
      <c r="LHC425" s="1824"/>
      <c r="LHD425" s="1824"/>
      <c r="LHE425" s="1824"/>
      <c r="LHF425" s="1824"/>
      <c r="LHG425" s="1824"/>
      <c r="LHH425" s="1824"/>
      <c r="LHI425" s="1824"/>
      <c r="LHJ425" s="1824"/>
      <c r="LHK425" s="1824"/>
      <c r="LHL425" s="1824"/>
      <c r="LHM425" s="1824"/>
      <c r="LHN425" s="1824"/>
      <c r="LHO425" s="1824"/>
      <c r="LHP425" s="1824"/>
      <c r="LHQ425" s="1824"/>
      <c r="LHR425" s="1824"/>
      <c r="LHS425" s="1824"/>
      <c r="LHT425" s="1824"/>
      <c r="LHU425" s="1824"/>
      <c r="LHV425" s="1824"/>
      <c r="LHW425" s="1824"/>
      <c r="LHX425" s="1824"/>
      <c r="LHY425" s="1824"/>
      <c r="LHZ425" s="1824"/>
      <c r="LIA425" s="1824"/>
      <c r="LIB425" s="1824"/>
      <c r="LIC425" s="1824"/>
      <c r="LID425" s="1824"/>
      <c r="LIE425" s="1824"/>
      <c r="LIF425" s="1824"/>
      <c r="LIG425" s="1824"/>
      <c r="LIH425" s="1824"/>
      <c r="LII425" s="1824"/>
      <c r="LIJ425" s="1824"/>
      <c r="LIK425" s="1824"/>
      <c r="LIL425" s="1824"/>
      <c r="LIM425" s="1824"/>
      <c r="LIN425" s="1824"/>
      <c r="LIO425" s="1824"/>
      <c r="LIP425" s="1824"/>
      <c r="LIQ425" s="1824"/>
      <c r="LIR425" s="1824"/>
      <c r="LIS425" s="1824"/>
      <c r="LIT425" s="1824"/>
      <c r="LIU425" s="1824"/>
      <c r="LIV425" s="1824"/>
      <c r="LIW425" s="1824"/>
      <c r="LIX425" s="1824"/>
      <c r="LIY425" s="1824"/>
      <c r="LIZ425" s="1824"/>
      <c r="LJA425" s="1824"/>
      <c r="LJB425" s="1824"/>
      <c r="LJC425" s="1824"/>
      <c r="LJD425" s="1824"/>
      <c r="LJE425" s="1824"/>
      <c r="LJF425" s="1824"/>
      <c r="LJG425" s="1824"/>
      <c r="LJH425" s="1824"/>
      <c r="LJI425" s="1824"/>
      <c r="LJJ425" s="1824"/>
      <c r="LJK425" s="1824"/>
      <c r="LJL425" s="1824"/>
      <c r="LJM425" s="1824"/>
      <c r="LJN425" s="1824"/>
      <c r="LJO425" s="1824"/>
      <c r="LJP425" s="1824"/>
      <c r="LJQ425" s="1824"/>
      <c r="LJR425" s="1824"/>
      <c r="LJS425" s="1824"/>
      <c r="LJT425" s="1824"/>
      <c r="LJU425" s="1824"/>
      <c r="LJV425" s="1824"/>
      <c r="LJW425" s="1824"/>
      <c r="LJX425" s="1824"/>
      <c r="LJY425" s="1824"/>
      <c r="LJZ425" s="1824"/>
      <c r="LKA425" s="1824"/>
      <c r="LKB425" s="1824"/>
      <c r="LKC425" s="1824"/>
      <c r="LKD425" s="1824"/>
      <c r="LKE425" s="1824"/>
      <c r="LKF425" s="1824"/>
      <c r="LKG425" s="1824"/>
      <c r="LKH425" s="1824"/>
      <c r="LKI425" s="1824"/>
      <c r="LKJ425" s="1824"/>
      <c r="LKK425" s="1824"/>
      <c r="LKL425" s="1824"/>
      <c r="LKM425" s="1824"/>
      <c r="LKN425" s="1824"/>
      <c r="LKO425" s="1824"/>
      <c r="LKP425" s="1824"/>
      <c r="LKQ425" s="1824"/>
      <c r="LKR425" s="1824"/>
      <c r="LKS425" s="1824"/>
      <c r="LKT425" s="1824"/>
      <c r="LKU425" s="1824"/>
      <c r="LKV425" s="1824"/>
      <c r="LKW425" s="1824"/>
      <c r="LKX425" s="1824"/>
      <c r="LKY425" s="1824"/>
      <c r="LKZ425" s="1824"/>
      <c r="LLA425" s="1824"/>
      <c r="LLB425" s="1824"/>
      <c r="LLC425" s="1824"/>
      <c r="LLD425" s="1824"/>
      <c r="LLE425" s="1824"/>
      <c r="LLF425" s="1824"/>
      <c r="LLG425" s="1824"/>
      <c r="LLH425" s="1824"/>
      <c r="LLI425" s="1824"/>
      <c r="LLJ425" s="1824"/>
      <c r="LLK425" s="1824"/>
      <c r="LLL425" s="1824"/>
      <c r="LLM425" s="1824"/>
      <c r="LLN425" s="1824"/>
      <c r="LLO425" s="1824"/>
      <c r="LLP425" s="1824"/>
      <c r="LLQ425" s="1824"/>
      <c r="LLR425" s="1824"/>
      <c r="LLS425" s="1824"/>
      <c r="LLT425" s="1824"/>
      <c r="LLU425" s="1824"/>
      <c r="LLV425" s="1824"/>
      <c r="LLW425" s="1824"/>
      <c r="LLX425" s="1824"/>
      <c r="LLY425" s="1824"/>
      <c r="LLZ425" s="1824"/>
      <c r="LMA425" s="1824"/>
      <c r="LMB425" s="1824"/>
      <c r="LMC425" s="1824"/>
      <c r="LMD425" s="1824"/>
      <c r="LME425" s="1824"/>
      <c r="LMF425" s="1824"/>
      <c r="LMG425" s="1824"/>
      <c r="LMH425" s="1824"/>
      <c r="LMI425" s="1824"/>
      <c r="LMJ425" s="1824"/>
      <c r="LMK425" s="1824"/>
      <c r="LML425" s="1824"/>
      <c r="LMM425" s="1824"/>
      <c r="LMN425" s="1824"/>
      <c r="LMO425" s="1824"/>
      <c r="LMP425" s="1824"/>
      <c r="LMQ425" s="1824"/>
      <c r="LMR425" s="1824"/>
      <c r="LMS425" s="1824"/>
      <c r="LMT425" s="1824"/>
      <c r="LMU425" s="1824"/>
      <c r="LMV425" s="1824"/>
      <c r="LMW425" s="1824"/>
      <c r="LMX425" s="1824"/>
      <c r="LMY425" s="1824"/>
      <c r="LMZ425" s="1824"/>
      <c r="LNA425" s="1824"/>
      <c r="LNB425" s="1824"/>
      <c r="LNC425" s="1824"/>
      <c r="LND425" s="1824"/>
      <c r="LNE425" s="1824"/>
      <c r="LNF425" s="1824"/>
      <c r="LNG425" s="1824"/>
      <c r="LNH425" s="1824"/>
      <c r="LNI425" s="1824"/>
      <c r="LNJ425" s="1824"/>
      <c r="LNK425" s="1824"/>
      <c r="LNL425" s="1824"/>
      <c r="LNM425" s="1824"/>
      <c r="LNN425" s="1824"/>
      <c r="LNO425" s="1824"/>
      <c r="LNP425" s="1824"/>
      <c r="LNQ425" s="1824"/>
      <c r="LNR425" s="1824"/>
      <c r="LNS425" s="1824"/>
      <c r="LNT425" s="1824"/>
      <c r="LNU425" s="1824"/>
      <c r="LNV425" s="1824"/>
      <c r="LNW425" s="1824"/>
      <c r="LNX425" s="1824"/>
      <c r="LNY425" s="1824"/>
      <c r="LNZ425" s="1824"/>
      <c r="LOA425" s="1824"/>
      <c r="LOB425" s="1824"/>
      <c r="LOC425" s="1824"/>
      <c r="LOD425" s="1824"/>
      <c r="LOE425" s="1824"/>
      <c r="LOF425" s="1824"/>
      <c r="LOG425" s="1824"/>
      <c r="LOH425" s="1824"/>
      <c r="LOI425" s="1824"/>
      <c r="LOJ425" s="1824"/>
      <c r="LOK425" s="1824"/>
      <c r="LOL425" s="1824"/>
      <c r="LOM425" s="1824"/>
      <c r="LON425" s="1824"/>
      <c r="LOO425" s="1824"/>
      <c r="LOP425" s="1824"/>
      <c r="LOQ425" s="1824"/>
      <c r="LOR425" s="1824"/>
      <c r="LOS425" s="1824"/>
      <c r="LOT425" s="1824"/>
      <c r="LOU425" s="1824"/>
      <c r="LOV425" s="1824"/>
      <c r="LOW425" s="1824"/>
      <c r="LOX425" s="1824"/>
      <c r="LOY425" s="1824"/>
      <c r="LOZ425" s="1824"/>
      <c r="LPA425" s="1824"/>
      <c r="LPB425" s="1824"/>
      <c r="LPC425" s="1824"/>
      <c r="LPD425" s="1824"/>
      <c r="LPE425" s="1824"/>
      <c r="LPF425" s="1824"/>
      <c r="LPG425" s="1824"/>
      <c r="LPH425" s="1824"/>
      <c r="LPI425" s="1824"/>
      <c r="LPJ425" s="1824"/>
      <c r="LPK425" s="1824"/>
      <c r="LPL425" s="1824"/>
      <c r="LPM425" s="1824"/>
      <c r="LPN425" s="1824"/>
      <c r="LPO425" s="1824"/>
      <c r="LPP425" s="1824"/>
      <c r="LPQ425" s="1824"/>
      <c r="LPR425" s="1824"/>
      <c r="LPS425" s="1824"/>
      <c r="LPT425" s="1824"/>
      <c r="LPU425" s="1824"/>
      <c r="LPV425" s="1824"/>
      <c r="LPW425" s="1824"/>
      <c r="LPX425" s="1824"/>
      <c r="LPY425" s="1824"/>
      <c r="LPZ425" s="1824"/>
      <c r="LQA425" s="1824"/>
      <c r="LQB425" s="1824"/>
      <c r="LQC425" s="1824"/>
      <c r="LQD425" s="1824"/>
      <c r="LQE425" s="1824"/>
      <c r="LQF425" s="1824"/>
      <c r="LQG425" s="1824"/>
      <c r="LQH425" s="1824"/>
      <c r="LQI425" s="1824"/>
      <c r="LQJ425" s="1824"/>
      <c r="LQK425" s="1824"/>
      <c r="LQL425" s="1824"/>
      <c r="LQM425" s="1824"/>
      <c r="LQN425" s="1824"/>
      <c r="LQO425" s="1824"/>
      <c r="LQP425" s="1824"/>
      <c r="LQQ425" s="1824"/>
      <c r="LQR425" s="1824"/>
      <c r="LQS425" s="1824"/>
      <c r="LQT425" s="1824"/>
      <c r="LQU425" s="1824"/>
      <c r="LQV425" s="1824"/>
      <c r="LQW425" s="1824"/>
      <c r="LQX425" s="1824"/>
      <c r="LQY425" s="1824"/>
      <c r="LQZ425" s="1824"/>
      <c r="LRA425" s="1824"/>
      <c r="LRB425" s="1824"/>
      <c r="LRC425" s="1824"/>
      <c r="LRD425" s="1824"/>
      <c r="LRE425" s="1824"/>
      <c r="LRF425" s="1824"/>
      <c r="LRG425" s="1824"/>
      <c r="LRH425" s="1824"/>
      <c r="LRI425" s="1824"/>
      <c r="LRJ425" s="1824"/>
      <c r="LRK425" s="1824"/>
      <c r="LRL425" s="1824"/>
      <c r="LRM425" s="1824"/>
      <c r="LRN425" s="1824"/>
      <c r="LRO425" s="1824"/>
      <c r="LRP425" s="1824"/>
      <c r="LRQ425" s="1824"/>
      <c r="LRR425" s="1824"/>
      <c r="LRS425" s="1824"/>
      <c r="LRT425" s="1824"/>
      <c r="LRU425" s="1824"/>
      <c r="LRV425" s="1824"/>
      <c r="LRW425" s="1824"/>
      <c r="LRX425" s="1824"/>
      <c r="LRY425" s="1824"/>
      <c r="LRZ425" s="1824"/>
      <c r="LSA425" s="1824"/>
      <c r="LSB425" s="1824"/>
      <c r="LSC425" s="1824"/>
      <c r="LSD425" s="1824"/>
      <c r="LSE425" s="1824"/>
      <c r="LSF425" s="1824"/>
      <c r="LSG425" s="1824"/>
      <c r="LSH425" s="1824"/>
      <c r="LSI425" s="1824"/>
      <c r="LSJ425" s="1824"/>
      <c r="LSK425" s="1824"/>
      <c r="LSL425" s="1824"/>
      <c r="LSM425" s="1824"/>
      <c r="LSN425" s="1824"/>
      <c r="LSO425" s="1824"/>
      <c r="LSP425" s="1824"/>
      <c r="LSQ425" s="1824"/>
      <c r="LSR425" s="1824"/>
      <c r="LSS425" s="1824"/>
      <c r="LST425" s="1824"/>
      <c r="LSU425" s="1824"/>
      <c r="LSV425" s="1824"/>
      <c r="LSW425" s="1824"/>
      <c r="LSX425" s="1824"/>
      <c r="LSY425" s="1824"/>
      <c r="LSZ425" s="1824"/>
      <c r="LTA425" s="1824"/>
      <c r="LTB425" s="1824"/>
      <c r="LTC425" s="1824"/>
      <c r="LTD425" s="1824"/>
      <c r="LTE425" s="1824"/>
      <c r="LTF425" s="1824"/>
      <c r="LTG425" s="1824"/>
      <c r="LTH425" s="1824"/>
      <c r="LTI425" s="1824"/>
      <c r="LTJ425" s="1824"/>
      <c r="LTK425" s="1824"/>
      <c r="LTL425" s="1824"/>
      <c r="LTM425" s="1824"/>
      <c r="LTN425" s="1824"/>
      <c r="LTO425" s="1824"/>
      <c r="LTP425" s="1824"/>
      <c r="LTQ425" s="1824"/>
      <c r="LTR425" s="1824"/>
      <c r="LTS425" s="1824"/>
      <c r="LTT425" s="1824"/>
      <c r="LTU425" s="1824"/>
      <c r="LTV425" s="1824"/>
      <c r="LTW425" s="1824"/>
      <c r="LTX425" s="1824"/>
      <c r="LTY425" s="1824"/>
      <c r="LTZ425" s="1824"/>
      <c r="LUA425" s="1824"/>
      <c r="LUB425" s="1824"/>
      <c r="LUC425" s="1824"/>
      <c r="LUD425" s="1824"/>
      <c r="LUE425" s="1824"/>
      <c r="LUF425" s="1824"/>
      <c r="LUG425" s="1824"/>
      <c r="LUH425" s="1824"/>
      <c r="LUI425" s="1824"/>
      <c r="LUJ425" s="1824"/>
      <c r="LUK425" s="1824"/>
      <c r="LUL425" s="1824"/>
      <c r="LUM425" s="1824"/>
      <c r="LUN425" s="1824"/>
      <c r="LUO425" s="1824"/>
      <c r="LUP425" s="1824"/>
      <c r="LUQ425" s="1824"/>
      <c r="LUR425" s="1824"/>
      <c r="LUS425" s="1824"/>
      <c r="LUT425" s="1824"/>
      <c r="LUU425" s="1824"/>
      <c r="LUV425" s="1824"/>
      <c r="LUW425" s="1824"/>
      <c r="LUX425" s="1824"/>
      <c r="LUY425" s="1824"/>
      <c r="LUZ425" s="1824"/>
      <c r="LVA425" s="1824"/>
      <c r="LVB425" s="1824"/>
      <c r="LVC425" s="1824"/>
      <c r="LVD425" s="1824"/>
      <c r="LVE425" s="1824"/>
      <c r="LVF425" s="1824"/>
      <c r="LVG425" s="1824"/>
      <c r="LVH425" s="1824"/>
      <c r="LVI425" s="1824"/>
      <c r="LVJ425" s="1824"/>
      <c r="LVK425" s="1824"/>
      <c r="LVL425" s="1824"/>
      <c r="LVM425" s="1824"/>
      <c r="LVN425" s="1824"/>
      <c r="LVO425" s="1824"/>
      <c r="LVP425" s="1824"/>
      <c r="LVQ425" s="1824"/>
      <c r="LVR425" s="1824"/>
      <c r="LVS425" s="1824"/>
      <c r="LVT425" s="1824"/>
      <c r="LVU425" s="1824"/>
      <c r="LVV425" s="1824"/>
      <c r="LVW425" s="1824"/>
      <c r="LVX425" s="1824"/>
      <c r="LVY425" s="1824"/>
      <c r="LVZ425" s="1824"/>
      <c r="LWA425" s="1824"/>
      <c r="LWB425" s="1824"/>
      <c r="LWC425" s="1824"/>
      <c r="LWD425" s="1824"/>
      <c r="LWE425" s="1824"/>
      <c r="LWF425" s="1824"/>
      <c r="LWG425" s="1824"/>
      <c r="LWH425" s="1824"/>
      <c r="LWI425" s="1824"/>
      <c r="LWJ425" s="1824"/>
      <c r="LWK425" s="1824"/>
      <c r="LWL425" s="1824"/>
      <c r="LWM425" s="1824"/>
      <c r="LWN425" s="1824"/>
      <c r="LWO425" s="1824"/>
      <c r="LWP425" s="1824"/>
      <c r="LWQ425" s="1824"/>
      <c r="LWR425" s="1824"/>
      <c r="LWS425" s="1824"/>
      <c r="LWT425" s="1824"/>
      <c r="LWU425" s="1824"/>
      <c r="LWV425" s="1824"/>
      <c r="LWW425" s="1824"/>
      <c r="LWX425" s="1824"/>
      <c r="LWY425" s="1824"/>
      <c r="LWZ425" s="1824"/>
      <c r="LXA425" s="1824"/>
      <c r="LXB425" s="1824"/>
      <c r="LXC425" s="1824"/>
      <c r="LXD425" s="1824"/>
      <c r="LXE425" s="1824"/>
      <c r="LXF425" s="1824"/>
      <c r="LXG425" s="1824"/>
      <c r="LXH425" s="1824"/>
      <c r="LXI425" s="1824"/>
      <c r="LXJ425" s="1824"/>
      <c r="LXK425" s="1824"/>
      <c r="LXL425" s="1824"/>
      <c r="LXM425" s="1824"/>
      <c r="LXN425" s="1824"/>
      <c r="LXO425" s="1824"/>
      <c r="LXP425" s="1824"/>
      <c r="LXQ425" s="1824"/>
      <c r="LXR425" s="1824"/>
      <c r="LXS425" s="1824"/>
      <c r="LXT425" s="1824"/>
      <c r="LXU425" s="1824"/>
      <c r="LXV425" s="1824"/>
      <c r="LXW425" s="1824"/>
      <c r="LXX425" s="1824"/>
      <c r="LXY425" s="1824"/>
      <c r="LXZ425" s="1824"/>
      <c r="LYA425" s="1824"/>
      <c r="LYB425" s="1824"/>
      <c r="LYC425" s="1824"/>
      <c r="LYD425" s="1824"/>
      <c r="LYE425" s="1824"/>
      <c r="LYF425" s="1824"/>
      <c r="LYG425" s="1824"/>
      <c r="LYH425" s="1824"/>
      <c r="LYI425" s="1824"/>
      <c r="LYJ425" s="1824"/>
      <c r="LYK425" s="1824"/>
      <c r="LYL425" s="1824"/>
      <c r="LYM425" s="1824"/>
      <c r="LYN425" s="1824"/>
      <c r="LYO425" s="1824"/>
      <c r="LYP425" s="1824"/>
      <c r="LYQ425" s="1824"/>
      <c r="LYR425" s="1824"/>
      <c r="LYS425" s="1824"/>
      <c r="LYT425" s="1824"/>
      <c r="LYU425" s="1824"/>
      <c r="LYV425" s="1824"/>
      <c r="LYW425" s="1824"/>
      <c r="LYX425" s="1824"/>
      <c r="LYY425" s="1824"/>
      <c r="LYZ425" s="1824"/>
      <c r="LZA425" s="1824"/>
      <c r="LZB425" s="1824"/>
      <c r="LZC425" s="1824"/>
      <c r="LZD425" s="1824"/>
      <c r="LZE425" s="1824"/>
      <c r="LZF425" s="1824"/>
      <c r="LZG425" s="1824"/>
      <c r="LZH425" s="1824"/>
      <c r="LZI425" s="1824"/>
      <c r="LZJ425" s="1824"/>
      <c r="LZK425" s="1824"/>
      <c r="LZL425" s="1824"/>
      <c r="LZM425" s="1824"/>
      <c r="LZN425" s="1824"/>
      <c r="LZO425" s="1824"/>
      <c r="LZP425" s="1824"/>
      <c r="LZQ425" s="1824"/>
      <c r="LZR425" s="1824"/>
      <c r="LZS425" s="1824"/>
      <c r="LZT425" s="1824"/>
      <c r="LZU425" s="1824"/>
      <c r="LZV425" s="1824"/>
      <c r="LZW425" s="1824"/>
      <c r="LZX425" s="1824"/>
      <c r="LZY425" s="1824"/>
      <c r="LZZ425" s="1824"/>
      <c r="MAA425" s="1824"/>
      <c r="MAB425" s="1824"/>
      <c r="MAC425" s="1824"/>
      <c r="MAD425" s="1824"/>
      <c r="MAE425" s="1824"/>
      <c r="MAF425" s="1824"/>
      <c r="MAG425" s="1824"/>
      <c r="MAH425" s="1824"/>
      <c r="MAI425" s="1824"/>
      <c r="MAJ425" s="1824"/>
      <c r="MAK425" s="1824"/>
      <c r="MAL425" s="1824"/>
      <c r="MAM425" s="1824"/>
      <c r="MAN425" s="1824"/>
      <c r="MAO425" s="1824"/>
      <c r="MAP425" s="1824"/>
      <c r="MAQ425" s="1824"/>
      <c r="MAR425" s="1824"/>
      <c r="MAS425" s="1824"/>
      <c r="MAT425" s="1824"/>
      <c r="MAU425" s="1824"/>
      <c r="MAV425" s="1824"/>
      <c r="MAW425" s="1824"/>
      <c r="MAX425" s="1824"/>
      <c r="MAY425" s="1824"/>
      <c r="MAZ425" s="1824"/>
      <c r="MBA425" s="1824"/>
      <c r="MBB425" s="1824"/>
      <c r="MBC425" s="1824"/>
      <c r="MBD425" s="1824"/>
      <c r="MBE425" s="1824"/>
      <c r="MBF425" s="1824"/>
      <c r="MBG425" s="1824"/>
      <c r="MBH425" s="1824"/>
      <c r="MBI425" s="1824"/>
      <c r="MBJ425" s="1824"/>
      <c r="MBK425" s="1824"/>
      <c r="MBL425" s="1824"/>
      <c r="MBM425" s="1824"/>
      <c r="MBN425" s="1824"/>
      <c r="MBO425" s="1824"/>
      <c r="MBP425" s="1824"/>
      <c r="MBQ425" s="1824"/>
      <c r="MBR425" s="1824"/>
      <c r="MBS425" s="1824"/>
      <c r="MBT425" s="1824"/>
      <c r="MBU425" s="1824"/>
      <c r="MBV425" s="1824"/>
      <c r="MBW425" s="1824"/>
      <c r="MBX425" s="1824"/>
      <c r="MBY425" s="1824"/>
      <c r="MBZ425" s="1824"/>
      <c r="MCA425" s="1824"/>
      <c r="MCB425" s="1824"/>
      <c r="MCC425" s="1824"/>
      <c r="MCD425" s="1824"/>
      <c r="MCE425" s="1824"/>
      <c r="MCF425" s="1824"/>
      <c r="MCG425" s="1824"/>
      <c r="MCH425" s="1824"/>
      <c r="MCI425" s="1824"/>
      <c r="MCJ425" s="1824"/>
      <c r="MCK425" s="1824"/>
      <c r="MCL425" s="1824"/>
      <c r="MCM425" s="1824"/>
      <c r="MCN425" s="1824"/>
      <c r="MCO425" s="1824"/>
      <c r="MCP425" s="1824"/>
      <c r="MCQ425" s="1824"/>
      <c r="MCR425" s="1824"/>
      <c r="MCS425" s="1824"/>
      <c r="MCT425" s="1824"/>
      <c r="MCU425" s="1824"/>
      <c r="MCV425" s="1824"/>
      <c r="MCW425" s="1824"/>
      <c r="MCX425" s="1824"/>
      <c r="MCY425" s="1824"/>
      <c r="MCZ425" s="1824"/>
      <c r="MDA425" s="1824"/>
      <c r="MDB425" s="1824"/>
      <c r="MDC425" s="1824"/>
      <c r="MDD425" s="1824"/>
      <c r="MDE425" s="1824"/>
      <c r="MDF425" s="1824"/>
      <c r="MDG425" s="1824"/>
      <c r="MDH425" s="1824"/>
      <c r="MDI425" s="1824"/>
      <c r="MDJ425" s="1824"/>
      <c r="MDK425" s="1824"/>
      <c r="MDL425" s="1824"/>
      <c r="MDM425" s="1824"/>
      <c r="MDN425" s="1824"/>
      <c r="MDO425" s="1824"/>
      <c r="MDP425" s="1824"/>
      <c r="MDQ425" s="1824"/>
      <c r="MDR425" s="1824"/>
      <c r="MDS425" s="1824"/>
      <c r="MDT425" s="1824"/>
      <c r="MDU425" s="1824"/>
      <c r="MDV425" s="1824"/>
      <c r="MDW425" s="1824"/>
      <c r="MDX425" s="1824"/>
      <c r="MDY425" s="1824"/>
      <c r="MDZ425" s="1824"/>
      <c r="MEA425" s="1824"/>
      <c r="MEB425" s="1824"/>
      <c r="MEC425" s="1824"/>
      <c r="MED425" s="1824"/>
      <c r="MEE425" s="1824"/>
      <c r="MEF425" s="1824"/>
      <c r="MEG425" s="1824"/>
      <c r="MEH425" s="1824"/>
      <c r="MEI425" s="1824"/>
      <c r="MEJ425" s="1824"/>
      <c r="MEK425" s="1824"/>
      <c r="MEL425" s="1824"/>
      <c r="MEM425" s="1824"/>
      <c r="MEN425" s="1824"/>
      <c r="MEO425" s="1824"/>
      <c r="MEP425" s="1824"/>
      <c r="MEQ425" s="1824"/>
      <c r="MER425" s="1824"/>
      <c r="MES425" s="1824"/>
      <c r="MET425" s="1824"/>
      <c r="MEU425" s="1824"/>
      <c r="MEV425" s="1824"/>
      <c r="MEW425" s="1824"/>
      <c r="MEX425" s="1824"/>
      <c r="MEY425" s="1824"/>
      <c r="MEZ425" s="1824"/>
      <c r="MFA425" s="1824"/>
      <c r="MFB425" s="1824"/>
      <c r="MFC425" s="1824"/>
      <c r="MFD425" s="1824"/>
      <c r="MFE425" s="1824"/>
      <c r="MFF425" s="1824"/>
      <c r="MFG425" s="1824"/>
      <c r="MFH425" s="1824"/>
      <c r="MFI425" s="1824"/>
      <c r="MFJ425" s="1824"/>
      <c r="MFK425" s="1824"/>
      <c r="MFL425" s="1824"/>
      <c r="MFM425" s="1824"/>
      <c r="MFN425" s="1824"/>
      <c r="MFO425" s="1824"/>
      <c r="MFP425" s="1824"/>
      <c r="MFQ425" s="1824"/>
      <c r="MFR425" s="1824"/>
      <c r="MFS425" s="1824"/>
      <c r="MFT425" s="1824"/>
      <c r="MFU425" s="1824"/>
      <c r="MFV425" s="1824"/>
      <c r="MFW425" s="1824"/>
      <c r="MFX425" s="1824"/>
      <c r="MFY425" s="1824"/>
      <c r="MFZ425" s="1824"/>
      <c r="MGA425" s="1824"/>
      <c r="MGB425" s="1824"/>
      <c r="MGC425" s="1824"/>
      <c r="MGD425" s="1824"/>
      <c r="MGE425" s="1824"/>
      <c r="MGF425" s="1824"/>
      <c r="MGG425" s="1824"/>
      <c r="MGH425" s="1824"/>
      <c r="MGI425" s="1824"/>
      <c r="MGJ425" s="1824"/>
      <c r="MGK425" s="1824"/>
      <c r="MGL425" s="1824"/>
      <c r="MGM425" s="1824"/>
      <c r="MGN425" s="1824"/>
      <c r="MGO425" s="1824"/>
      <c r="MGP425" s="1824"/>
      <c r="MGQ425" s="1824"/>
      <c r="MGR425" s="1824"/>
      <c r="MGS425" s="1824"/>
      <c r="MGT425" s="1824"/>
      <c r="MGU425" s="1824"/>
      <c r="MGV425" s="1824"/>
      <c r="MGW425" s="1824"/>
      <c r="MGX425" s="1824"/>
      <c r="MGY425" s="1824"/>
      <c r="MGZ425" s="1824"/>
      <c r="MHA425" s="1824"/>
      <c r="MHB425" s="1824"/>
      <c r="MHC425" s="1824"/>
      <c r="MHD425" s="1824"/>
      <c r="MHE425" s="1824"/>
      <c r="MHF425" s="1824"/>
      <c r="MHG425" s="1824"/>
      <c r="MHH425" s="1824"/>
      <c r="MHI425" s="1824"/>
      <c r="MHJ425" s="1824"/>
      <c r="MHK425" s="1824"/>
      <c r="MHL425" s="1824"/>
      <c r="MHM425" s="1824"/>
      <c r="MHN425" s="1824"/>
      <c r="MHO425" s="1824"/>
      <c r="MHP425" s="1824"/>
      <c r="MHQ425" s="1824"/>
      <c r="MHR425" s="1824"/>
      <c r="MHS425" s="1824"/>
      <c r="MHT425" s="1824"/>
      <c r="MHU425" s="1824"/>
      <c r="MHV425" s="1824"/>
      <c r="MHW425" s="1824"/>
      <c r="MHX425" s="1824"/>
      <c r="MHY425" s="1824"/>
      <c r="MHZ425" s="1824"/>
      <c r="MIA425" s="1824"/>
      <c r="MIB425" s="1824"/>
      <c r="MIC425" s="1824"/>
      <c r="MID425" s="1824"/>
      <c r="MIE425" s="1824"/>
      <c r="MIF425" s="1824"/>
      <c r="MIG425" s="1824"/>
      <c r="MIH425" s="1824"/>
      <c r="MII425" s="1824"/>
      <c r="MIJ425" s="1824"/>
      <c r="MIK425" s="1824"/>
      <c r="MIL425" s="1824"/>
      <c r="MIM425" s="1824"/>
      <c r="MIN425" s="1824"/>
      <c r="MIO425" s="1824"/>
      <c r="MIP425" s="1824"/>
      <c r="MIQ425" s="1824"/>
      <c r="MIR425" s="1824"/>
      <c r="MIS425" s="1824"/>
      <c r="MIT425" s="1824"/>
      <c r="MIU425" s="1824"/>
      <c r="MIV425" s="1824"/>
      <c r="MIW425" s="1824"/>
      <c r="MIX425" s="1824"/>
      <c r="MIY425" s="1824"/>
      <c r="MIZ425" s="1824"/>
      <c r="MJA425" s="1824"/>
      <c r="MJB425" s="1824"/>
      <c r="MJC425" s="1824"/>
      <c r="MJD425" s="1824"/>
      <c r="MJE425" s="1824"/>
      <c r="MJF425" s="1824"/>
      <c r="MJG425" s="1824"/>
      <c r="MJH425" s="1824"/>
      <c r="MJI425" s="1824"/>
      <c r="MJJ425" s="1824"/>
      <c r="MJK425" s="1824"/>
      <c r="MJL425" s="1824"/>
      <c r="MJM425" s="1824"/>
      <c r="MJN425" s="1824"/>
      <c r="MJO425" s="1824"/>
      <c r="MJP425" s="1824"/>
      <c r="MJQ425" s="1824"/>
      <c r="MJR425" s="1824"/>
      <c r="MJS425" s="1824"/>
      <c r="MJT425" s="1824"/>
      <c r="MJU425" s="1824"/>
      <c r="MJV425" s="1824"/>
      <c r="MJW425" s="1824"/>
      <c r="MJX425" s="1824"/>
      <c r="MJY425" s="1824"/>
      <c r="MJZ425" s="1824"/>
      <c r="MKA425" s="1824"/>
      <c r="MKB425" s="1824"/>
      <c r="MKC425" s="1824"/>
      <c r="MKD425" s="1824"/>
      <c r="MKE425" s="1824"/>
      <c r="MKF425" s="1824"/>
      <c r="MKG425" s="1824"/>
      <c r="MKH425" s="1824"/>
      <c r="MKI425" s="1824"/>
      <c r="MKJ425" s="1824"/>
      <c r="MKK425" s="1824"/>
      <c r="MKL425" s="1824"/>
      <c r="MKM425" s="1824"/>
      <c r="MKN425" s="1824"/>
      <c r="MKO425" s="1824"/>
      <c r="MKP425" s="1824"/>
      <c r="MKQ425" s="1824"/>
      <c r="MKR425" s="1824"/>
      <c r="MKS425" s="1824"/>
      <c r="MKT425" s="1824"/>
      <c r="MKU425" s="1824"/>
      <c r="MKV425" s="1824"/>
      <c r="MKW425" s="1824"/>
      <c r="MKX425" s="1824"/>
      <c r="MKY425" s="1824"/>
      <c r="MKZ425" s="1824"/>
      <c r="MLA425" s="1824"/>
      <c r="MLB425" s="1824"/>
      <c r="MLC425" s="1824"/>
      <c r="MLD425" s="1824"/>
      <c r="MLE425" s="1824"/>
      <c r="MLF425" s="1824"/>
      <c r="MLG425" s="1824"/>
      <c r="MLH425" s="1824"/>
      <c r="MLI425" s="1824"/>
      <c r="MLJ425" s="1824"/>
      <c r="MLK425" s="1824"/>
      <c r="MLL425" s="1824"/>
      <c r="MLM425" s="1824"/>
      <c r="MLN425" s="1824"/>
      <c r="MLO425" s="1824"/>
      <c r="MLP425" s="1824"/>
      <c r="MLQ425" s="1824"/>
      <c r="MLR425" s="1824"/>
      <c r="MLS425" s="1824"/>
      <c r="MLT425" s="1824"/>
      <c r="MLU425" s="1824"/>
      <c r="MLV425" s="1824"/>
      <c r="MLW425" s="1824"/>
      <c r="MLX425" s="1824"/>
      <c r="MLY425" s="1824"/>
      <c r="MLZ425" s="1824"/>
      <c r="MMA425" s="1824"/>
      <c r="MMB425" s="1824"/>
      <c r="MMC425" s="1824"/>
      <c r="MMD425" s="1824"/>
      <c r="MME425" s="1824"/>
      <c r="MMF425" s="1824"/>
      <c r="MMG425" s="1824"/>
      <c r="MMH425" s="1824"/>
      <c r="MMI425" s="1824"/>
      <c r="MMJ425" s="1824"/>
      <c r="MMK425" s="1824"/>
      <c r="MML425" s="1824"/>
      <c r="MMM425" s="1824"/>
      <c r="MMN425" s="1824"/>
      <c r="MMO425" s="1824"/>
      <c r="MMP425" s="1824"/>
      <c r="MMQ425" s="1824"/>
      <c r="MMR425" s="1824"/>
      <c r="MMS425" s="1824"/>
      <c r="MMT425" s="1824"/>
      <c r="MMU425" s="1824"/>
      <c r="MMV425" s="1824"/>
      <c r="MMW425" s="1824"/>
      <c r="MMX425" s="1824"/>
      <c r="MMY425" s="1824"/>
      <c r="MMZ425" s="1824"/>
      <c r="MNA425" s="1824"/>
      <c r="MNB425" s="1824"/>
      <c r="MNC425" s="1824"/>
      <c r="MND425" s="1824"/>
      <c r="MNE425" s="1824"/>
      <c r="MNF425" s="1824"/>
      <c r="MNG425" s="1824"/>
      <c r="MNH425" s="1824"/>
      <c r="MNI425" s="1824"/>
      <c r="MNJ425" s="1824"/>
      <c r="MNK425" s="1824"/>
      <c r="MNL425" s="1824"/>
      <c r="MNM425" s="1824"/>
      <c r="MNN425" s="1824"/>
      <c r="MNO425" s="1824"/>
      <c r="MNP425" s="1824"/>
      <c r="MNQ425" s="1824"/>
      <c r="MNR425" s="1824"/>
      <c r="MNS425" s="1824"/>
      <c r="MNT425" s="1824"/>
      <c r="MNU425" s="1824"/>
      <c r="MNV425" s="1824"/>
      <c r="MNW425" s="1824"/>
      <c r="MNX425" s="1824"/>
      <c r="MNY425" s="1824"/>
      <c r="MNZ425" s="1824"/>
      <c r="MOA425" s="1824"/>
      <c r="MOB425" s="1824"/>
      <c r="MOC425" s="1824"/>
      <c r="MOD425" s="1824"/>
      <c r="MOE425" s="1824"/>
      <c r="MOF425" s="1824"/>
      <c r="MOG425" s="1824"/>
      <c r="MOH425" s="1824"/>
      <c r="MOI425" s="1824"/>
      <c r="MOJ425" s="1824"/>
      <c r="MOK425" s="1824"/>
      <c r="MOL425" s="1824"/>
      <c r="MOM425" s="1824"/>
      <c r="MON425" s="1824"/>
      <c r="MOO425" s="1824"/>
      <c r="MOP425" s="1824"/>
      <c r="MOQ425" s="1824"/>
      <c r="MOR425" s="1824"/>
      <c r="MOS425" s="1824"/>
      <c r="MOT425" s="1824"/>
      <c r="MOU425" s="1824"/>
      <c r="MOV425" s="1824"/>
      <c r="MOW425" s="1824"/>
      <c r="MOX425" s="1824"/>
      <c r="MOY425" s="1824"/>
      <c r="MOZ425" s="1824"/>
      <c r="MPA425" s="1824"/>
      <c r="MPB425" s="1824"/>
      <c r="MPC425" s="1824"/>
      <c r="MPD425" s="1824"/>
      <c r="MPE425" s="1824"/>
      <c r="MPF425" s="1824"/>
      <c r="MPG425" s="1824"/>
      <c r="MPH425" s="1824"/>
      <c r="MPI425" s="1824"/>
      <c r="MPJ425" s="1824"/>
      <c r="MPK425" s="1824"/>
      <c r="MPL425" s="1824"/>
      <c r="MPM425" s="1824"/>
      <c r="MPN425" s="1824"/>
      <c r="MPO425" s="1824"/>
      <c r="MPP425" s="1824"/>
      <c r="MPQ425" s="1824"/>
      <c r="MPR425" s="1824"/>
      <c r="MPS425" s="1824"/>
      <c r="MPT425" s="1824"/>
      <c r="MPU425" s="1824"/>
      <c r="MPV425" s="1824"/>
      <c r="MPW425" s="1824"/>
      <c r="MPX425" s="1824"/>
      <c r="MPY425" s="1824"/>
      <c r="MPZ425" s="1824"/>
      <c r="MQA425" s="1824"/>
      <c r="MQB425" s="1824"/>
      <c r="MQC425" s="1824"/>
      <c r="MQD425" s="1824"/>
      <c r="MQE425" s="1824"/>
      <c r="MQF425" s="1824"/>
      <c r="MQG425" s="1824"/>
      <c r="MQH425" s="1824"/>
      <c r="MQI425" s="1824"/>
      <c r="MQJ425" s="1824"/>
      <c r="MQK425" s="1824"/>
      <c r="MQL425" s="1824"/>
      <c r="MQM425" s="1824"/>
      <c r="MQN425" s="1824"/>
      <c r="MQO425" s="1824"/>
      <c r="MQP425" s="1824"/>
      <c r="MQQ425" s="1824"/>
      <c r="MQR425" s="1824"/>
      <c r="MQS425" s="1824"/>
      <c r="MQT425" s="1824"/>
      <c r="MQU425" s="1824"/>
      <c r="MQV425" s="1824"/>
      <c r="MQW425" s="1824"/>
      <c r="MQX425" s="1824"/>
      <c r="MQY425" s="1824"/>
      <c r="MQZ425" s="1824"/>
      <c r="MRA425" s="1824"/>
      <c r="MRB425" s="1824"/>
      <c r="MRC425" s="1824"/>
      <c r="MRD425" s="1824"/>
      <c r="MRE425" s="1824"/>
      <c r="MRF425" s="1824"/>
      <c r="MRG425" s="1824"/>
      <c r="MRH425" s="1824"/>
      <c r="MRI425" s="1824"/>
      <c r="MRJ425" s="1824"/>
      <c r="MRK425" s="1824"/>
      <c r="MRL425" s="1824"/>
      <c r="MRM425" s="1824"/>
      <c r="MRN425" s="1824"/>
      <c r="MRO425" s="1824"/>
      <c r="MRP425" s="1824"/>
      <c r="MRQ425" s="1824"/>
      <c r="MRR425" s="1824"/>
      <c r="MRS425" s="1824"/>
      <c r="MRT425" s="1824"/>
      <c r="MRU425" s="1824"/>
      <c r="MRV425" s="1824"/>
      <c r="MRW425" s="1824"/>
      <c r="MRX425" s="1824"/>
      <c r="MRY425" s="1824"/>
      <c r="MRZ425" s="1824"/>
      <c r="MSA425" s="1824"/>
      <c r="MSB425" s="1824"/>
      <c r="MSC425" s="1824"/>
      <c r="MSD425" s="1824"/>
      <c r="MSE425" s="1824"/>
      <c r="MSF425" s="1824"/>
      <c r="MSG425" s="1824"/>
      <c r="MSH425" s="1824"/>
      <c r="MSI425" s="1824"/>
      <c r="MSJ425" s="1824"/>
      <c r="MSK425" s="1824"/>
      <c r="MSL425" s="1824"/>
      <c r="MSM425" s="1824"/>
      <c r="MSN425" s="1824"/>
      <c r="MSO425" s="1824"/>
      <c r="MSP425" s="1824"/>
      <c r="MSQ425" s="1824"/>
      <c r="MSR425" s="1824"/>
      <c r="MSS425" s="1824"/>
      <c r="MST425" s="1824"/>
      <c r="MSU425" s="1824"/>
      <c r="MSV425" s="1824"/>
      <c r="MSW425" s="1824"/>
      <c r="MSX425" s="1824"/>
      <c r="MSY425" s="1824"/>
      <c r="MSZ425" s="1824"/>
      <c r="MTA425" s="1824"/>
      <c r="MTB425" s="1824"/>
      <c r="MTC425" s="1824"/>
      <c r="MTD425" s="1824"/>
      <c r="MTE425" s="1824"/>
      <c r="MTF425" s="1824"/>
      <c r="MTG425" s="1824"/>
      <c r="MTH425" s="1824"/>
      <c r="MTI425" s="1824"/>
      <c r="MTJ425" s="1824"/>
      <c r="MTK425" s="1824"/>
      <c r="MTL425" s="1824"/>
      <c r="MTM425" s="1824"/>
      <c r="MTN425" s="1824"/>
      <c r="MTO425" s="1824"/>
      <c r="MTP425" s="1824"/>
      <c r="MTQ425" s="1824"/>
      <c r="MTR425" s="1824"/>
      <c r="MTS425" s="1824"/>
      <c r="MTT425" s="1824"/>
      <c r="MTU425" s="1824"/>
      <c r="MTV425" s="1824"/>
      <c r="MTW425" s="1824"/>
      <c r="MTX425" s="1824"/>
      <c r="MTY425" s="1824"/>
      <c r="MTZ425" s="1824"/>
      <c r="MUA425" s="1824"/>
      <c r="MUB425" s="1824"/>
      <c r="MUC425" s="1824"/>
      <c r="MUD425" s="1824"/>
      <c r="MUE425" s="1824"/>
      <c r="MUF425" s="1824"/>
      <c r="MUG425" s="1824"/>
      <c r="MUH425" s="1824"/>
      <c r="MUI425" s="1824"/>
      <c r="MUJ425" s="1824"/>
      <c r="MUK425" s="1824"/>
      <c r="MUL425" s="1824"/>
      <c r="MUM425" s="1824"/>
      <c r="MUN425" s="1824"/>
      <c r="MUO425" s="1824"/>
      <c r="MUP425" s="1824"/>
      <c r="MUQ425" s="1824"/>
      <c r="MUR425" s="1824"/>
      <c r="MUS425" s="1824"/>
      <c r="MUT425" s="1824"/>
      <c r="MUU425" s="1824"/>
      <c r="MUV425" s="1824"/>
      <c r="MUW425" s="1824"/>
      <c r="MUX425" s="1824"/>
      <c r="MUY425" s="1824"/>
      <c r="MUZ425" s="1824"/>
      <c r="MVA425" s="1824"/>
      <c r="MVB425" s="1824"/>
      <c r="MVC425" s="1824"/>
      <c r="MVD425" s="1824"/>
      <c r="MVE425" s="1824"/>
      <c r="MVF425" s="1824"/>
      <c r="MVG425" s="1824"/>
      <c r="MVH425" s="1824"/>
      <c r="MVI425" s="1824"/>
      <c r="MVJ425" s="1824"/>
      <c r="MVK425" s="1824"/>
      <c r="MVL425" s="1824"/>
      <c r="MVM425" s="1824"/>
      <c r="MVN425" s="1824"/>
      <c r="MVO425" s="1824"/>
      <c r="MVP425" s="1824"/>
      <c r="MVQ425" s="1824"/>
      <c r="MVR425" s="1824"/>
      <c r="MVS425" s="1824"/>
      <c r="MVT425" s="1824"/>
      <c r="MVU425" s="1824"/>
      <c r="MVV425" s="1824"/>
      <c r="MVW425" s="1824"/>
      <c r="MVX425" s="1824"/>
      <c r="MVY425" s="1824"/>
      <c r="MVZ425" s="1824"/>
      <c r="MWA425" s="1824"/>
      <c r="MWB425" s="1824"/>
      <c r="MWC425" s="1824"/>
      <c r="MWD425" s="1824"/>
      <c r="MWE425" s="1824"/>
      <c r="MWF425" s="1824"/>
      <c r="MWG425" s="1824"/>
      <c r="MWH425" s="1824"/>
      <c r="MWI425" s="1824"/>
      <c r="MWJ425" s="1824"/>
      <c r="MWK425" s="1824"/>
      <c r="MWL425" s="1824"/>
      <c r="MWM425" s="1824"/>
      <c r="MWN425" s="1824"/>
      <c r="MWO425" s="1824"/>
      <c r="MWP425" s="1824"/>
      <c r="MWQ425" s="1824"/>
      <c r="MWR425" s="1824"/>
      <c r="MWS425" s="1824"/>
      <c r="MWT425" s="1824"/>
      <c r="MWU425" s="1824"/>
      <c r="MWV425" s="1824"/>
      <c r="MWW425" s="1824"/>
      <c r="MWX425" s="1824"/>
      <c r="MWY425" s="1824"/>
      <c r="MWZ425" s="1824"/>
      <c r="MXA425" s="1824"/>
      <c r="MXB425" s="1824"/>
      <c r="MXC425" s="1824"/>
      <c r="MXD425" s="1824"/>
      <c r="MXE425" s="1824"/>
      <c r="MXF425" s="1824"/>
      <c r="MXG425" s="1824"/>
      <c r="MXH425" s="1824"/>
      <c r="MXI425" s="1824"/>
      <c r="MXJ425" s="1824"/>
      <c r="MXK425" s="1824"/>
      <c r="MXL425" s="1824"/>
      <c r="MXM425" s="1824"/>
      <c r="MXN425" s="1824"/>
      <c r="MXO425" s="1824"/>
      <c r="MXP425" s="1824"/>
      <c r="MXQ425" s="1824"/>
      <c r="MXR425" s="1824"/>
      <c r="MXS425" s="1824"/>
      <c r="MXT425" s="1824"/>
      <c r="MXU425" s="1824"/>
      <c r="MXV425" s="1824"/>
      <c r="MXW425" s="1824"/>
      <c r="MXX425" s="1824"/>
      <c r="MXY425" s="1824"/>
      <c r="MXZ425" s="1824"/>
      <c r="MYA425" s="1824"/>
      <c r="MYB425" s="1824"/>
      <c r="MYC425" s="1824"/>
      <c r="MYD425" s="1824"/>
      <c r="MYE425" s="1824"/>
      <c r="MYF425" s="1824"/>
      <c r="MYG425" s="1824"/>
      <c r="MYH425" s="1824"/>
      <c r="MYI425" s="1824"/>
      <c r="MYJ425" s="1824"/>
      <c r="MYK425" s="1824"/>
      <c r="MYL425" s="1824"/>
      <c r="MYM425" s="1824"/>
      <c r="MYN425" s="1824"/>
      <c r="MYO425" s="1824"/>
      <c r="MYP425" s="1824"/>
      <c r="MYQ425" s="1824"/>
      <c r="MYR425" s="1824"/>
      <c r="MYS425" s="1824"/>
      <c r="MYT425" s="1824"/>
      <c r="MYU425" s="1824"/>
      <c r="MYV425" s="1824"/>
      <c r="MYW425" s="1824"/>
      <c r="MYX425" s="1824"/>
      <c r="MYY425" s="1824"/>
      <c r="MYZ425" s="1824"/>
      <c r="MZA425" s="1824"/>
      <c r="MZB425" s="1824"/>
      <c r="MZC425" s="1824"/>
      <c r="MZD425" s="1824"/>
      <c r="MZE425" s="1824"/>
      <c r="MZF425" s="1824"/>
      <c r="MZG425" s="1824"/>
      <c r="MZH425" s="1824"/>
      <c r="MZI425" s="1824"/>
      <c r="MZJ425" s="1824"/>
      <c r="MZK425" s="1824"/>
      <c r="MZL425" s="1824"/>
      <c r="MZM425" s="1824"/>
      <c r="MZN425" s="1824"/>
      <c r="MZO425" s="1824"/>
      <c r="MZP425" s="1824"/>
      <c r="MZQ425" s="1824"/>
      <c r="MZR425" s="1824"/>
      <c r="MZS425" s="1824"/>
      <c r="MZT425" s="1824"/>
      <c r="MZU425" s="1824"/>
      <c r="MZV425" s="1824"/>
      <c r="MZW425" s="1824"/>
      <c r="MZX425" s="1824"/>
      <c r="MZY425" s="1824"/>
      <c r="MZZ425" s="1824"/>
      <c r="NAA425" s="1824"/>
      <c r="NAB425" s="1824"/>
      <c r="NAC425" s="1824"/>
      <c r="NAD425" s="1824"/>
      <c r="NAE425" s="1824"/>
      <c r="NAF425" s="1824"/>
      <c r="NAG425" s="1824"/>
      <c r="NAH425" s="1824"/>
      <c r="NAI425" s="1824"/>
      <c r="NAJ425" s="1824"/>
      <c r="NAK425" s="1824"/>
      <c r="NAL425" s="1824"/>
      <c r="NAM425" s="1824"/>
      <c r="NAN425" s="1824"/>
      <c r="NAO425" s="1824"/>
      <c r="NAP425" s="1824"/>
      <c r="NAQ425" s="1824"/>
      <c r="NAR425" s="1824"/>
      <c r="NAS425" s="1824"/>
      <c r="NAT425" s="1824"/>
      <c r="NAU425" s="1824"/>
      <c r="NAV425" s="1824"/>
      <c r="NAW425" s="1824"/>
      <c r="NAX425" s="1824"/>
      <c r="NAY425" s="1824"/>
      <c r="NAZ425" s="1824"/>
      <c r="NBA425" s="1824"/>
      <c r="NBB425" s="1824"/>
      <c r="NBC425" s="1824"/>
      <c r="NBD425" s="1824"/>
      <c r="NBE425" s="1824"/>
      <c r="NBF425" s="1824"/>
      <c r="NBG425" s="1824"/>
      <c r="NBH425" s="1824"/>
      <c r="NBI425" s="1824"/>
      <c r="NBJ425" s="1824"/>
      <c r="NBK425" s="1824"/>
      <c r="NBL425" s="1824"/>
      <c r="NBM425" s="1824"/>
      <c r="NBN425" s="1824"/>
      <c r="NBO425" s="1824"/>
      <c r="NBP425" s="1824"/>
      <c r="NBQ425" s="1824"/>
      <c r="NBR425" s="1824"/>
      <c r="NBS425" s="1824"/>
      <c r="NBT425" s="1824"/>
      <c r="NBU425" s="1824"/>
      <c r="NBV425" s="1824"/>
      <c r="NBW425" s="1824"/>
      <c r="NBX425" s="1824"/>
      <c r="NBY425" s="1824"/>
      <c r="NBZ425" s="1824"/>
      <c r="NCA425" s="1824"/>
      <c r="NCB425" s="1824"/>
      <c r="NCC425" s="1824"/>
      <c r="NCD425" s="1824"/>
      <c r="NCE425" s="1824"/>
      <c r="NCF425" s="1824"/>
      <c r="NCG425" s="1824"/>
      <c r="NCH425" s="1824"/>
      <c r="NCI425" s="1824"/>
      <c r="NCJ425" s="1824"/>
      <c r="NCK425" s="1824"/>
      <c r="NCL425" s="1824"/>
      <c r="NCM425" s="1824"/>
      <c r="NCN425" s="1824"/>
      <c r="NCO425" s="1824"/>
      <c r="NCP425" s="1824"/>
      <c r="NCQ425" s="1824"/>
      <c r="NCR425" s="1824"/>
      <c r="NCS425" s="1824"/>
      <c r="NCT425" s="1824"/>
      <c r="NCU425" s="1824"/>
      <c r="NCV425" s="1824"/>
      <c r="NCW425" s="1824"/>
      <c r="NCX425" s="1824"/>
      <c r="NCY425" s="1824"/>
      <c r="NCZ425" s="1824"/>
      <c r="NDA425" s="1824"/>
      <c r="NDB425" s="1824"/>
      <c r="NDC425" s="1824"/>
      <c r="NDD425" s="1824"/>
      <c r="NDE425" s="1824"/>
      <c r="NDF425" s="1824"/>
      <c r="NDG425" s="1824"/>
      <c r="NDH425" s="1824"/>
      <c r="NDI425" s="1824"/>
      <c r="NDJ425" s="1824"/>
      <c r="NDK425" s="1824"/>
      <c r="NDL425" s="1824"/>
      <c r="NDM425" s="1824"/>
      <c r="NDN425" s="1824"/>
      <c r="NDO425" s="1824"/>
      <c r="NDP425" s="1824"/>
      <c r="NDQ425" s="1824"/>
      <c r="NDR425" s="1824"/>
      <c r="NDS425" s="1824"/>
      <c r="NDT425" s="1824"/>
      <c r="NDU425" s="1824"/>
      <c r="NDV425" s="1824"/>
      <c r="NDW425" s="1824"/>
      <c r="NDX425" s="1824"/>
      <c r="NDY425" s="1824"/>
      <c r="NDZ425" s="1824"/>
      <c r="NEA425" s="1824"/>
      <c r="NEB425" s="1824"/>
      <c r="NEC425" s="1824"/>
      <c r="NED425" s="1824"/>
      <c r="NEE425" s="1824"/>
      <c r="NEF425" s="1824"/>
      <c r="NEG425" s="1824"/>
      <c r="NEH425" s="1824"/>
      <c r="NEI425" s="1824"/>
      <c r="NEJ425" s="1824"/>
      <c r="NEK425" s="1824"/>
      <c r="NEL425" s="1824"/>
      <c r="NEM425" s="1824"/>
      <c r="NEN425" s="1824"/>
      <c r="NEO425" s="1824"/>
      <c r="NEP425" s="1824"/>
      <c r="NEQ425" s="1824"/>
      <c r="NER425" s="1824"/>
      <c r="NES425" s="1824"/>
      <c r="NET425" s="1824"/>
      <c r="NEU425" s="1824"/>
      <c r="NEV425" s="1824"/>
      <c r="NEW425" s="1824"/>
      <c r="NEX425" s="1824"/>
      <c r="NEY425" s="1824"/>
      <c r="NEZ425" s="1824"/>
      <c r="NFA425" s="1824"/>
      <c r="NFB425" s="1824"/>
      <c r="NFC425" s="1824"/>
      <c r="NFD425" s="1824"/>
      <c r="NFE425" s="1824"/>
      <c r="NFF425" s="1824"/>
      <c r="NFG425" s="1824"/>
      <c r="NFH425" s="1824"/>
      <c r="NFI425" s="1824"/>
      <c r="NFJ425" s="1824"/>
      <c r="NFK425" s="1824"/>
      <c r="NFL425" s="1824"/>
      <c r="NFM425" s="1824"/>
      <c r="NFN425" s="1824"/>
      <c r="NFO425" s="1824"/>
      <c r="NFP425" s="1824"/>
      <c r="NFQ425" s="1824"/>
      <c r="NFR425" s="1824"/>
      <c r="NFS425" s="1824"/>
      <c r="NFT425" s="1824"/>
      <c r="NFU425" s="1824"/>
      <c r="NFV425" s="1824"/>
      <c r="NFW425" s="1824"/>
      <c r="NFX425" s="1824"/>
      <c r="NFY425" s="1824"/>
      <c r="NFZ425" s="1824"/>
      <c r="NGA425" s="1824"/>
      <c r="NGB425" s="1824"/>
      <c r="NGC425" s="1824"/>
      <c r="NGD425" s="1824"/>
      <c r="NGE425" s="1824"/>
      <c r="NGF425" s="1824"/>
      <c r="NGG425" s="1824"/>
      <c r="NGH425" s="1824"/>
      <c r="NGI425" s="1824"/>
      <c r="NGJ425" s="1824"/>
      <c r="NGK425" s="1824"/>
      <c r="NGL425" s="1824"/>
      <c r="NGM425" s="1824"/>
      <c r="NGN425" s="1824"/>
      <c r="NGO425" s="1824"/>
      <c r="NGP425" s="1824"/>
      <c r="NGQ425" s="1824"/>
      <c r="NGR425" s="1824"/>
      <c r="NGS425" s="1824"/>
      <c r="NGT425" s="1824"/>
      <c r="NGU425" s="1824"/>
      <c r="NGV425" s="1824"/>
      <c r="NGW425" s="1824"/>
      <c r="NGX425" s="1824"/>
      <c r="NGY425" s="1824"/>
      <c r="NGZ425" s="1824"/>
      <c r="NHA425" s="1824"/>
      <c r="NHB425" s="1824"/>
      <c r="NHC425" s="1824"/>
      <c r="NHD425" s="1824"/>
      <c r="NHE425" s="1824"/>
      <c r="NHF425" s="1824"/>
      <c r="NHG425" s="1824"/>
      <c r="NHH425" s="1824"/>
      <c r="NHI425" s="1824"/>
      <c r="NHJ425" s="1824"/>
      <c r="NHK425" s="1824"/>
      <c r="NHL425" s="1824"/>
      <c r="NHM425" s="1824"/>
      <c r="NHN425" s="1824"/>
      <c r="NHO425" s="1824"/>
      <c r="NHP425" s="1824"/>
      <c r="NHQ425" s="1824"/>
      <c r="NHR425" s="1824"/>
      <c r="NHS425" s="1824"/>
      <c r="NHT425" s="1824"/>
      <c r="NHU425" s="1824"/>
      <c r="NHV425" s="1824"/>
      <c r="NHW425" s="1824"/>
      <c r="NHX425" s="1824"/>
      <c r="NHY425" s="1824"/>
      <c r="NHZ425" s="1824"/>
      <c r="NIA425" s="1824"/>
      <c r="NIB425" s="1824"/>
      <c r="NIC425" s="1824"/>
      <c r="NID425" s="1824"/>
      <c r="NIE425" s="1824"/>
      <c r="NIF425" s="1824"/>
      <c r="NIG425" s="1824"/>
      <c r="NIH425" s="1824"/>
      <c r="NII425" s="1824"/>
      <c r="NIJ425" s="1824"/>
      <c r="NIK425" s="1824"/>
      <c r="NIL425" s="1824"/>
      <c r="NIM425" s="1824"/>
      <c r="NIN425" s="1824"/>
      <c r="NIO425" s="1824"/>
      <c r="NIP425" s="1824"/>
      <c r="NIQ425" s="1824"/>
      <c r="NIR425" s="1824"/>
      <c r="NIS425" s="1824"/>
      <c r="NIT425" s="1824"/>
      <c r="NIU425" s="1824"/>
      <c r="NIV425" s="1824"/>
      <c r="NIW425" s="1824"/>
      <c r="NIX425" s="1824"/>
      <c r="NIY425" s="1824"/>
      <c r="NIZ425" s="1824"/>
      <c r="NJA425" s="1824"/>
      <c r="NJB425" s="1824"/>
      <c r="NJC425" s="1824"/>
      <c r="NJD425" s="1824"/>
      <c r="NJE425" s="1824"/>
      <c r="NJF425" s="1824"/>
      <c r="NJG425" s="1824"/>
      <c r="NJH425" s="1824"/>
      <c r="NJI425" s="1824"/>
      <c r="NJJ425" s="1824"/>
      <c r="NJK425" s="1824"/>
      <c r="NJL425" s="1824"/>
      <c r="NJM425" s="1824"/>
      <c r="NJN425" s="1824"/>
      <c r="NJO425" s="1824"/>
      <c r="NJP425" s="1824"/>
      <c r="NJQ425" s="1824"/>
      <c r="NJR425" s="1824"/>
      <c r="NJS425" s="1824"/>
      <c r="NJT425" s="1824"/>
      <c r="NJU425" s="1824"/>
      <c r="NJV425" s="1824"/>
      <c r="NJW425" s="1824"/>
      <c r="NJX425" s="1824"/>
      <c r="NJY425" s="1824"/>
      <c r="NJZ425" s="1824"/>
      <c r="NKA425" s="1824"/>
      <c r="NKB425" s="1824"/>
      <c r="NKC425" s="1824"/>
      <c r="NKD425" s="1824"/>
      <c r="NKE425" s="1824"/>
      <c r="NKF425" s="1824"/>
      <c r="NKG425" s="1824"/>
      <c r="NKH425" s="1824"/>
      <c r="NKI425" s="1824"/>
      <c r="NKJ425" s="1824"/>
      <c r="NKK425" s="1824"/>
      <c r="NKL425" s="1824"/>
      <c r="NKM425" s="1824"/>
      <c r="NKN425" s="1824"/>
      <c r="NKO425" s="1824"/>
      <c r="NKP425" s="1824"/>
      <c r="NKQ425" s="1824"/>
      <c r="NKR425" s="1824"/>
      <c r="NKS425" s="1824"/>
      <c r="NKT425" s="1824"/>
      <c r="NKU425" s="1824"/>
      <c r="NKV425" s="1824"/>
      <c r="NKW425" s="1824"/>
      <c r="NKX425" s="1824"/>
      <c r="NKY425" s="1824"/>
      <c r="NKZ425" s="1824"/>
      <c r="NLA425" s="1824"/>
      <c r="NLB425" s="1824"/>
      <c r="NLC425" s="1824"/>
      <c r="NLD425" s="1824"/>
      <c r="NLE425" s="1824"/>
      <c r="NLF425" s="1824"/>
      <c r="NLG425" s="1824"/>
      <c r="NLH425" s="1824"/>
      <c r="NLI425" s="1824"/>
      <c r="NLJ425" s="1824"/>
      <c r="NLK425" s="1824"/>
      <c r="NLL425" s="1824"/>
      <c r="NLM425" s="1824"/>
      <c r="NLN425" s="1824"/>
      <c r="NLO425" s="1824"/>
      <c r="NLP425" s="1824"/>
      <c r="NLQ425" s="1824"/>
      <c r="NLR425" s="1824"/>
      <c r="NLS425" s="1824"/>
      <c r="NLT425" s="1824"/>
      <c r="NLU425" s="1824"/>
      <c r="NLV425" s="1824"/>
      <c r="NLW425" s="1824"/>
      <c r="NLX425" s="1824"/>
      <c r="NLY425" s="1824"/>
      <c r="NLZ425" s="1824"/>
      <c r="NMA425" s="1824"/>
      <c r="NMB425" s="1824"/>
      <c r="NMC425" s="1824"/>
      <c r="NMD425" s="1824"/>
      <c r="NME425" s="1824"/>
      <c r="NMF425" s="1824"/>
      <c r="NMG425" s="1824"/>
      <c r="NMH425" s="1824"/>
      <c r="NMI425" s="1824"/>
      <c r="NMJ425" s="1824"/>
      <c r="NMK425" s="1824"/>
      <c r="NML425" s="1824"/>
      <c r="NMM425" s="1824"/>
      <c r="NMN425" s="1824"/>
      <c r="NMO425" s="1824"/>
      <c r="NMP425" s="1824"/>
      <c r="NMQ425" s="1824"/>
      <c r="NMR425" s="1824"/>
      <c r="NMS425" s="1824"/>
      <c r="NMT425" s="1824"/>
      <c r="NMU425" s="1824"/>
      <c r="NMV425" s="1824"/>
      <c r="NMW425" s="1824"/>
      <c r="NMX425" s="1824"/>
      <c r="NMY425" s="1824"/>
      <c r="NMZ425" s="1824"/>
      <c r="NNA425" s="1824"/>
      <c r="NNB425" s="1824"/>
      <c r="NNC425" s="1824"/>
      <c r="NND425" s="1824"/>
      <c r="NNE425" s="1824"/>
      <c r="NNF425" s="1824"/>
      <c r="NNG425" s="1824"/>
      <c r="NNH425" s="1824"/>
      <c r="NNI425" s="1824"/>
      <c r="NNJ425" s="1824"/>
      <c r="NNK425" s="1824"/>
      <c r="NNL425" s="1824"/>
      <c r="NNM425" s="1824"/>
      <c r="NNN425" s="1824"/>
      <c r="NNO425" s="1824"/>
      <c r="NNP425" s="1824"/>
      <c r="NNQ425" s="1824"/>
      <c r="NNR425" s="1824"/>
      <c r="NNS425" s="1824"/>
      <c r="NNT425" s="1824"/>
      <c r="NNU425" s="1824"/>
      <c r="NNV425" s="1824"/>
      <c r="NNW425" s="1824"/>
      <c r="NNX425" s="1824"/>
      <c r="NNY425" s="1824"/>
      <c r="NNZ425" s="1824"/>
      <c r="NOA425" s="1824"/>
      <c r="NOB425" s="1824"/>
      <c r="NOC425" s="1824"/>
      <c r="NOD425" s="1824"/>
      <c r="NOE425" s="1824"/>
      <c r="NOF425" s="1824"/>
      <c r="NOG425" s="1824"/>
      <c r="NOH425" s="1824"/>
      <c r="NOI425" s="1824"/>
      <c r="NOJ425" s="1824"/>
      <c r="NOK425" s="1824"/>
      <c r="NOL425" s="1824"/>
      <c r="NOM425" s="1824"/>
      <c r="NON425" s="1824"/>
      <c r="NOO425" s="1824"/>
      <c r="NOP425" s="1824"/>
      <c r="NOQ425" s="1824"/>
      <c r="NOR425" s="1824"/>
      <c r="NOS425" s="1824"/>
      <c r="NOT425" s="1824"/>
      <c r="NOU425" s="1824"/>
      <c r="NOV425" s="1824"/>
      <c r="NOW425" s="1824"/>
      <c r="NOX425" s="1824"/>
      <c r="NOY425" s="1824"/>
      <c r="NOZ425" s="1824"/>
      <c r="NPA425" s="1824"/>
      <c r="NPB425" s="1824"/>
      <c r="NPC425" s="1824"/>
      <c r="NPD425" s="1824"/>
      <c r="NPE425" s="1824"/>
      <c r="NPF425" s="1824"/>
      <c r="NPG425" s="1824"/>
      <c r="NPH425" s="1824"/>
      <c r="NPI425" s="1824"/>
      <c r="NPJ425" s="1824"/>
      <c r="NPK425" s="1824"/>
      <c r="NPL425" s="1824"/>
      <c r="NPM425" s="1824"/>
      <c r="NPN425" s="1824"/>
      <c r="NPO425" s="1824"/>
      <c r="NPP425" s="1824"/>
      <c r="NPQ425" s="1824"/>
      <c r="NPR425" s="1824"/>
      <c r="NPS425" s="1824"/>
      <c r="NPT425" s="1824"/>
      <c r="NPU425" s="1824"/>
      <c r="NPV425" s="1824"/>
      <c r="NPW425" s="1824"/>
      <c r="NPX425" s="1824"/>
      <c r="NPY425" s="1824"/>
      <c r="NPZ425" s="1824"/>
      <c r="NQA425" s="1824"/>
      <c r="NQB425" s="1824"/>
      <c r="NQC425" s="1824"/>
      <c r="NQD425" s="1824"/>
      <c r="NQE425" s="1824"/>
      <c r="NQF425" s="1824"/>
      <c r="NQG425" s="1824"/>
      <c r="NQH425" s="1824"/>
      <c r="NQI425" s="1824"/>
      <c r="NQJ425" s="1824"/>
      <c r="NQK425" s="1824"/>
      <c r="NQL425" s="1824"/>
      <c r="NQM425" s="1824"/>
      <c r="NQN425" s="1824"/>
      <c r="NQO425" s="1824"/>
      <c r="NQP425" s="1824"/>
      <c r="NQQ425" s="1824"/>
      <c r="NQR425" s="1824"/>
      <c r="NQS425" s="1824"/>
      <c r="NQT425" s="1824"/>
      <c r="NQU425" s="1824"/>
      <c r="NQV425" s="1824"/>
      <c r="NQW425" s="1824"/>
      <c r="NQX425" s="1824"/>
      <c r="NQY425" s="1824"/>
      <c r="NQZ425" s="1824"/>
      <c r="NRA425" s="1824"/>
      <c r="NRB425" s="1824"/>
      <c r="NRC425" s="1824"/>
      <c r="NRD425" s="1824"/>
      <c r="NRE425" s="1824"/>
      <c r="NRF425" s="1824"/>
      <c r="NRG425" s="1824"/>
      <c r="NRH425" s="1824"/>
      <c r="NRI425" s="1824"/>
      <c r="NRJ425" s="1824"/>
      <c r="NRK425" s="1824"/>
      <c r="NRL425" s="1824"/>
      <c r="NRM425" s="1824"/>
      <c r="NRN425" s="1824"/>
      <c r="NRO425" s="1824"/>
      <c r="NRP425" s="1824"/>
      <c r="NRQ425" s="1824"/>
      <c r="NRR425" s="1824"/>
      <c r="NRS425" s="1824"/>
      <c r="NRT425" s="1824"/>
      <c r="NRU425" s="1824"/>
      <c r="NRV425" s="1824"/>
      <c r="NRW425" s="1824"/>
      <c r="NRX425" s="1824"/>
      <c r="NRY425" s="1824"/>
      <c r="NRZ425" s="1824"/>
      <c r="NSA425" s="1824"/>
      <c r="NSB425" s="1824"/>
      <c r="NSC425" s="1824"/>
      <c r="NSD425" s="1824"/>
      <c r="NSE425" s="1824"/>
      <c r="NSF425" s="1824"/>
      <c r="NSG425" s="1824"/>
      <c r="NSH425" s="1824"/>
      <c r="NSI425" s="1824"/>
      <c r="NSJ425" s="1824"/>
      <c r="NSK425" s="1824"/>
      <c r="NSL425" s="1824"/>
      <c r="NSM425" s="1824"/>
      <c r="NSN425" s="1824"/>
      <c r="NSO425" s="1824"/>
      <c r="NSP425" s="1824"/>
      <c r="NSQ425" s="1824"/>
      <c r="NSR425" s="1824"/>
      <c r="NSS425" s="1824"/>
      <c r="NST425" s="1824"/>
      <c r="NSU425" s="1824"/>
      <c r="NSV425" s="1824"/>
      <c r="NSW425" s="1824"/>
      <c r="NSX425" s="1824"/>
      <c r="NSY425" s="1824"/>
      <c r="NSZ425" s="1824"/>
      <c r="NTA425" s="1824"/>
      <c r="NTB425" s="1824"/>
      <c r="NTC425" s="1824"/>
      <c r="NTD425" s="1824"/>
      <c r="NTE425" s="1824"/>
      <c r="NTF425" s="1824"/>
      <c r="NTG425" s="1824"/>
      <c r="NTH425" s="1824"/>
      <c r="NTI425" s="1824"/>
      <c r="NTJ425" s="1824"/>
      <c r="NTK425" s="1824"/>
      <c r="NTL425" s="1824"/>
      <c r="NTM425" s="1824"/>
      <c r="NTN425" s="1824"/>
      <c r="NTO425" s="1824"/>
      <c r="NTP425" s="1824"/>
      <c r="NTQ425" s="1824"/>
      <c r="NTR425" s="1824"/>
      <c r="NTS425" s="1824"/>
      <c r="NTT425" s="1824"/>
      <c r="NTU425" s="1824"/>
      <c r="NTV425" s="1824"/>
      <c r="NTW425" s="1824"/>
      <c r="NTX425" s="1824"/>
      <c r="NTY425" s="1824"/>
      <c r="NTZ425" s="1824"/>
      <c r="NUA425" s="1824"/>
      <c r="NUB425" s="1824"/>
      <c r="NUC425" s="1824"/>
      <c r="NUD425" s="1824"/>
      <c r="NUE425" s="1824"/>
      <c r="NUF425" s="1824"/>
      <c r="NUG425" s="1824"/>
      <c r="NUH425" s="1824"/>
      <c r="NUI425" s="1824"/>
      <c r="NUJ425" s="1824"/>
      <c r="NUK425" s="1824"/>
      <c r="NUL425" s="1824"/>
      <c r="NUM425" s="1824"/>
      <c r="NUN425" s="1824"/>
      <c r="NUO425" s="1824"/>
      <c r="NUP425" s="1824"/>
      <c r="NUQ425" s="1824"/>
      <c r="NUR425" s="1824"/>
      <c r="NUS425" s="1824"/>
      <c r="NUT425" s="1824"/>
      <c r="NUU425" s="1824"/>
      <c r="NUV425" s="1824"/>
      <c r="NUW425" s="1824"/>
      <c r="NUX425" s="1824"/>
      <c r="NUY425" s="1824"/>
      <c r="NUZ425" s="1824"/>
      <c r="NVA425" s="1824"/>
      <c r="NVB425" s="1824"/>
      <c r="NVC425" s="1824"/>
      <c r="NVD425" s="1824"/>
      <c r="NVE425" s="1824"/>
      <c r="NVF425" s="1824"/>
      <c r="NVG425" s="1824"/>
      <c r="NVH425" s="1824"/>
      <c r="NVI425" s="1824"/>
      <c r="NVJ425" s="1824"/>
      <c r="NVK425" s="1824"/>
      <c r="NVL425" s="1824"/>
      <c r="NVM425" s="1824"/>
      <c r="NVN425" s="1824"/>
      <c r="NVO425" s="1824"/>
      <c r="NVP425" s="1824"/>
      <c r="NVQ425" s="1824"/>
      <c r="NVR425" s="1824"/>
      <c r="NVS425" s="1824"/>
      <c r="NVT425" s="1824"/>
      <c r="NVU425" s="1824"/>
      <c r="NVV425" s="1824"/>
      <c r="NVW425" s="1824"/>
      <c r="NVX425" s="1824"/>
      <c r="NVY425" s="1824"/>
      <c r="NVZ425" s="1824"/>
      <c r="NWA425" s="1824"/>
      <c r="NWB425" s="1824"/>
      <c r="NWC425" s="1824"/>
      <c r="NWD425" s="1824"/>
      <c r="NWE425" s="1824"/>
      <c r="NWF425" s="1824"/>
      <c r="NWG425" s="1824"/>
      <c r="NWH425" s="1824"/>
      <c r="NWI425" s="1824"/>
      <c r="NWJ425" s="1824"/>
      <c r="NWK425" s="1824"/>
      <c r="NWL425" s="1824"/>
      <c r="NWM425" s="1824"/>
      <c r="NWN425" s="1824"/>
      <c r="NWO425" s="1824"/>
      <c r="NWP425" s="1824"/>
      <c r="NWQ425" s="1824"/>
      <c r="NWR425" s="1824"/>
      <c r="NWS425" s="1824"/>
      <c r="NWT425" s="1824"/>
      <c r="NWU425" s="1824"/>
      <c r="NWV425" s="1824"/>
      <c r="NWW425" s="1824"/>
      <c r="NWX425" s="1824"/>
      <c r="NWY425" s="1824"/>
      <c r="NWZ425" s="1824"/>
      <c r="NXA425" s="1824"/>
      <c r="NXB425" s="1824"/>
      <c r="NXC425" s="1824"/>
      <c r="NXD425" s="1824"/>
      <c r="NXE425" s="1824"/>
      <c r="NXF425" s="1824"/>
      <c r="NXG425" s="1824"/>
      <c r="NXH425" s="1824"/>
      <c r="NXI425" s="1824"/>
      <c r="NXJ425" s="1824"/>
      <c r="NXK425" s="1824"/>
      <c r="NXL425" s="1824"/>
      <c r="NXM425" s="1824"/>
      <c r="NXN425" s="1824"/>
      <c r="NXO425" s="1824"/>
      <c r="NXP425" s="1824"/>
      <c r="NXQ425" s="1824"/>
      <c r="NXR425" s="1824"/>
      <c r="NXS425" s="1824"/>
      <c r="NXT425" s="1824"/>
      <c r="NXU425" s="1824"/>
      <c r="NXV425" s="1824"/>
      <c r="NXW425" s="1824"/>
      <c r="NXX425" s="1824"/>
      <c r="NXY425" s="1824"/>
      <c r="NXZ425" s="1824"/>
      <c r="NYA425" s="1824"/>
      <c r="NYB425" s="1824"/>
      <c r="NYC425" s="1824"/>
      <c r="NYD425" s="1824"/>
      <c r="NYE425" s="1824"/>
      <c r="NYF425" s="1824"/>
      <c r="NYG425" s="1824"/>
      <c r="NYH425" s="1824"/>
      <c r="NYI425" s="1824"/>
      <c r="NYJ425" s="1824"/>
      <c r="NYK425" s="1824"/>
      <c r="NYL425" s="1824"/>
      <c r="NYM425" s="1824"/>
      <c r="NYN425" s="1824"/>
      <c r="NYO425" s="1824"/>
      <c r="NYP425" s="1824"/>
      <c r="NYQ425" s="1824"/>
      <c r="NYR425" s="1824"/>
      <c r="NYS425" s="1824"/>
      <c r="NYT425" s="1824"/>
      <c r="NYU425" s="1824"/>
      <c r="NYV425" s="1824"/>
      <c r="NYW425" s="1824"/>
      <c r="NYX425" s="1824"/>
      <c r="NYY425" s="1824"/>
      <c r="NYZ425" s="1824"/>
      <c r="NZA425" s="1824"/>
      <c r="NZB425" s="1824"/>
      <c r="NZC425" s="1824"/>
      <c r="NZD425" s="1824"/>
      <c r="NZE425" s="1824"/>
      <c r="NZF425" s="1824"/>
      <c r="NZG425" s="1824"/>
      <c r="NZH425" s="1824"/>
      <c r="NZI425" s="1824"/>
      <c r="NZJ425" s="1824"/>
      <c r="NZK425" s="1824"/>
      <c r="NZL425" s="1824"/>
      <c r="NZM425" s="1824"/>
      <c r="NZN425" s="1824"/>
      <c r="NZO425" s="1824"/>
      <c r="NZP425" s="1824"/>
      <c r="NZQ425" s="1824"/>
      <c r="NZR425" s="1824"/>
      <c r="NZS425" s="1824"/>
      <c r="NZT425" s="1824"/>
      <c r="NZU425" s="1824"/>
      <c r="NZV425" s="1824"/>
      <c r="NZW425" s="1824"/>
      <c r="NZX425" s="1824"/>
      <c r="NZY425" s="1824"/>
      <c r="NZZ425" s="1824"/>
      <c r="OAA425" s="1824"/>
      <c r="OAB425" s="1824"/>
      <c r="OAC425" s="1824"/>
      <c r="OAD425" s="1824"/>
      <c r="OAE425" s="1824"/>
      <c r="OAF425" s="1824"/>
      <c r="OAG425" s="1824"/>
      <c r="OAH425" s="1824"/>
      <c r="OAI425" s="1824"/>
      <c r="OAJ425" s="1824"/>
      <c r="OAK425" s="1824"/>
      <c r="OAL425" s="1824"/>
      <c r="OAM425" s="1824"/>
      <c r="OAN425" s="1824"/>
      <c r="OAO425" s="1824"/>
      <c r="OAP425" s="1824"/>
      <c r="OAQ425" s="1824"/>
      <c r="OAR425" s="1824"/>
      <c r="OAS425" s="1824"/>
      <c r="OAT425" s="1824"/>
      <c r="OAU425" s="1824"/>
      <c r="OAV425" s="1824"/>
      <c r="OAW425" s="1824"/>
      <c r="OAX425" s="1824"/>
      <c r="OAY425" s="1824"/>
      <c r="OAZ425" s="1824"/>
      <c r="OBA425" s="1824"/>
      <c r="OBB425" s="1824"/>
      <c r="OBC425" s="1824"/>
      <c r="OBD425" s="1824"/>
      <c r="OBE425" s="1824"/>
      <c r="OBF425" s="1824"/>
      <c r="OBG425" s="1824"/>
      <c r="OBH425" s="1824"/>
      <c r="OBI425" s="1824"/>
      <c r="OBJ425" s="1824"/>
      <c r="OBK425" s="1824"/>
      <c r="OBL425" s="1824"/>
      <c r="OBM425" s="1824"/>
      <c r="OBN425" s="1824"/>
      <c r="OBO425" s="1824"/>
      <c r="OBP425" s="1824"/>
      <c r="OBQ425" s="1824"/>
      <c r="OBR425" s="1824"/>
      <c r="OBS425" s="1824"/>
      <c r="OBT425" s="1824"/>
      <c r="OBU425" s="1824"/>
      <c r="OBV425" s="1824"/>
      <c r="OBW425" s="1824"/>
      <c r="OBX425" s="1824"/>
      <c r="OBY425" s="1824"/>
      <c r="OBZ425" s="1824"/>
      <c r="OCA425" s="1824"/>
      <c r="OCB425" s="1824"/>
      <c r="OCC425" s="1824"/>
      <c r="OCD425" s="1824"/>
      <c r="OCE425" s="1824"/>
      <c r="OCF425" s="1824"/>
      <c r="OCG425" s="1824"/>
      <c r="OCH425" s="1824"/>
      <c r="OCI425" s="1824"/>
      <c r="OCJ425" s="1824"/>
      <c r="OCK425" s="1824"/>
      <c r="OCL425" s="1824"/>
      <c r="OCM425" s="1824"/>
      <c r="OCN425" s="1824"/>
      <c r="OCO425" s="1824"/>
      <c r="OCP425" s="1824"/>
      <c r="OCQ425" s="1824"/>
      <c r="OCR425" s="1824"/>
      <c r="OCS425" s="1824"/>
      <c r="OCT425" s="1824"/>
      <c r="OCU425" s="1824"/>
      <c r="OCV425" s="1824"/>
      <c r="OCW425" s="1824"/>
      <c r="OCX425" s="1824"/>
      <c r="OCY425" s="1824"/>
      <c r="OCZ425" s="1824"/>
      <c r="ODA425" s="1824"/>
      <c r="ODB425" s="1824"/>
      <c r="ODC425" s="1824"/>
      <c r="ODD425" s="1824"/>
      <c r="ODE425" s="1824"/>
      <c r="ODF425" s="1824"/>
      <c r="ODG425" s="1824"/>
      <c r="ODH425" s="1824"/>
      <c r="ODI425" s="1824"/>
      <c r="ODJ425" s="1824"/>
      <c r="ODK425" s="1824"/>
      <c r="ODL425" s="1824"/>
      <c r="ODM425" s="1824"/>
      <c r="ODN425" s="1824"/>
      <c r="ODO425" s="1824"/>
      <c r="ODP425" s="1824"/>
      <c r="ODQ425" s="1824"/>
      <c r="ODR425" s="1824"/>
      <c r="ODS425" s="1824"/>
      <c r="ODT425" s="1824"/>
      <c r="ODU425" s="1824"/>
      <c r="ODV425" s="1824"/>
      <c r="ODW425" s="1824"/>
      <c r="ODX425" s="1824"/>
      <c r="ODY425" s="1824"/>
      <c r="ODZ425" s="1824"/>
      <c r="OEA425" s="1824"/>
      <c r="OEB425" s="1824"/>
      <c r="OEC425" s="1824"/>
      <c r="OED425" s="1824"/>
      <c r="OEE425" s="1824"/>
      <c r="OEF425" s="1824"/>
      <c r="OEG425" s="1824"/>
      <c r="OEH425" s="1824"/>
      <c r="OEI425" s="1824"/>
      <c r="OEJ425" s="1824"/>
      <c r="OEK425" s="1824"/>
      <c r="OEL425" s="1824"/>
      <c r="OEM425" s="1824"/>
      <c r="OEN425" s="1824"/>
      <c r="OEO425" s="1824"/>
      <c r="OEP425" s="1824"/>
      <c r="OEQ425" s="1824"/>
      <c r="OER425" s="1824"/>
      <c r="OES425" s="1824"/>
      <c r="OET425" s="1824"/>
      <c r="OEU425" s="1824"/>
      <c r="OEV425" s="1824"/>
      <c r="OEW425" s="1824"/>
      <c r="OEX425" s="1824"/>
      <c r="OEY425" s="1824"/>
      <c r="OEZ425" s="1824"/>
      <c r="OFA425" s="1824"/>
      <c r="OFB425" s="1824"/>
      <c r="OFC425" s="1824"/>
      <c r="OFD425" s="1824"/>
      <c r="OFE425" s="1824"/>
      <c r="OFF425" s="1824"/>
      <c r="OFG425" s="1824"/>
      <c r="OFH425" s="1824"/>
      <c r="OFI425" s="1824"/>
      <c r="OFJ425" s="1824"/>
      <c r="OFK425" s="1824"/>
      <c r="OFL425" s="1824"/>
      <c r="OFM425" s="1824"/>
      <c r="OFN425" s="1824"/>
      <c r="OFO425" s="1824"/>
      <c r="OFP425" s="1824"/>
      <c r="OFQ425" s="1824"/>
      <c r="OFR425" s="1824"/>
      <c r="OFS425" s="1824"/>
      <c r="OFT425" s="1824"/>
      <c r="OFU425" s="1824"/>
      <c r="OFV425" s="1824"/>
      <c r="OFW425" s="1824"/>
      <c r="OFX425" s="1824"/>
      <c r="OFY425" s="1824"/>
      <c r="OFZ425" s="1824"/>
      <c r="OGA425" s="1824"/>
      <c r="OGB425" s="1824"/>
      <c r="OGC425" s="1824"/>
      <c r="OGD425" s="1824"/>
      <c r="OGE425" s="1824"/>
      <c r="OGF425" s="1824"/>
      <c r="OGG425" s="1824"/>
      <c r="OGH425" s="1824"/>
      <c r="OGI425" s="1824"/>
      <c r="OGJ425" s="1824"/>
      <c r="OGK425" s="1824"/>
      <c r="OGL425" s="1824"/>
      <c r="OGM425" s="1824"/>
      <c r="OGN425" s="1824"/>
      <c r="OGO425" s="1824"/>
      <c r="OGP425" s="1824"/>
      <c r="OGQ425" s="1824"/>
      <c r="OGR425" s="1824"/>
      <c r="OGS425" s="1824"/>
      <c r="OGT425" s="1824"/>
      <c r="OGU425" s="1824"/>
      <c r="OGV425" s="1824"/>
      <c r="OGW425" s="1824"/>
      <c r="OGX425" s="1824"/>
      <c r="OGY425" s="1824"/>
      <c r="OGZ425" s="1824"/>
      <c r="OHA425" s="1824"/>
      <c r="OHB425" s="1824"/>
      <c r="OHC425" s="1824"/>
      <c r="OHD425" s="1824"/>
      <c r="OHE425" s="1824"/>
      <c r="OHF425" s="1824"/>
      <c r="OHG425" s="1824"/>
      <c r="OHH425" s="1824"/>
      <c r="OHI425" s="1824"/>
      <c r="OHJ425" s="1824"/>
      <c r="OHK425" s="1824"/>
      <c r="OHL425" s="1824"/>
      <c r="OHM425" s="1824"/>
      <c r="OHN425" s="1824"/>
      <c r="OHO425" s="1824"/>
      <c r="OHP425" s="1824"/>
      <c r="OHQ425" s="1824"/>
      <c r="OHR425" s="1824"/>
      <c r="OHS425" s="1824"/>
      <c r="OHT425" s="1824"/>
      <c r="OHU425" s="1824"/>
      <c r="OHV425" s="1824"/>
      <c r="OHW425" s="1824"/>
      <c r="OHX425" s="1824"/>
      <c r="OHY425" s="1824"/>
      <c r="OHZ425" s="1824"/>
      <c r="OIA425" s="1824"/>
      <c r="OIB425" s="1824"/>
      <c r="OIC425" s="1824"/>
      <c r="OID425" s="1824"/>
      <c r="OIE425" s="1824"/>
      <c r="OIF425" s="1824"/>
      <c r="OIG425" s="1824"/>
      <c r="OIH425" s="1824"/>
      <c r="OII425" s="1824"/>
      <c r="OIJ425" s="1824"/>
      <c r="OIK425" s="1824"/>
      <c r="OIL425" s="1824"/>
      <c r="OIM425" s="1824"/>
      <c r="OIN425" s="1824"/>
      <c r="OIO425" s="1824"/>
      <c r="OIP425" s="1824"/>
      <c r="OIQ425" s="1824"/>
      <c r="OIR425" s="1824"/>
      <c r="OIS425" s="1824"/>
      <c r="OIT425" s="1824"/>
      <c r="OIU425" s="1824"/>
      <c r="OIV425" s="1824"/>
      <c r="OIW425" s="1824"/>
      <c r="OIX425" s="1824"/>
      <c r="OIY425" s="1824"/>
      <c r="OIZ425" s="1824"/>
      <c r="OJA425" s="1824"/>
      <c r="OJB425" s="1824"/>
      <c r="OJC425" s="1824"/>
      <c r="OJD425" s="1824"/>
      <c r="OJE425" s="1824"/>
      <c r="OJF425" s="1824"/>
      <c r="OJG425" s="1824"/>
      <c r="OJH425" s="1824"/>
      <c r="OJI425" s="1824"/>
      <c r="OJJ425" s="1824"/>
      <c r="OJK425" s="1824"/>
      <c r="OJL425" s="1824"/>
      <c r="OJM425" s="1824"/>
      <c r="OJN425" s="1824"/>
      <c r="OJO425" s="1824"/>
      <c r="OJP425" s="1824"/>
      <c r="OJQ425" s="1824"/>
      <c r="OJR425" s="1824"/>
      <c r="OJS425" s="1824"/>
      <c r="OJT425" s="1824"/>
      <c r="OJU425" s="1824"/>
      <c r="OJV425" s="1824"/>
      <c r="OJW425" s="1824"/>
      <c r="OJX425" s="1824"/>
      <c r="OJY425" s="1824"/>
      <c r="OJZ425" s="1824"/>
      <c r="OKA425" s="1824"/>
      <c r="OKB425" s="1824"/>
      <c r="OKC425" s="1824"/>
      <c r="OKD425" s="1824"/>
      <c r="OKE425" s="1824"/>
      <c r="OKF425" s="1824"/>
      <c r="OKG425" s="1824"/>
      <c r="OKH425" s="1824"/>
      <c r="OKI425" s="1824"/>
      <c r="OKJ425" s="1824"/>
      <c r="OKK425" s="1824"/>
      <c r="OKL425" s="1824"/>
      <c r="OKM425" s="1824"/>
      <c r="OKN425" s="1824"/>
      <c r="OKO425" s="1824"/>
      <c r="OKP425" s="1824"/>
      <c r="OKQ425" s="1824"/>
      <c r="OKR425" s="1824"/>
      <c r="OKS425" s="1824"/>
      <c r="OKT425" s="1824"/>
      <c r="OKU425" s="1824"/>
      <c r="OKV425" s="1824"/>
      <c r="OKW425" s="1824"/>
      <c r="OKX425" s="1824"/>
      <c r="OKY425" s="1824"/>
      <c r="OKZ425" s="1824"/>
      <c r="OLA425" s="1824"/>
      <c r="OLB425" s="1824"/>
      <c r="OLC425" s="1824"/>
      <c r="OLD425" s="1824"/>
      <c r="OLE425" s="1824"/>
      <c r="OLF425" s="1824"/>
      <c r="OLG425" s="1824"/>
      <c r="OLH425" s="1824"/>
      <c r="OLI425" s="1824"/>
      <c r="OLJ425" s="1824"/>
      <c r="OLK425" s="1824"/>
      <c r="OLL425" s="1824"/>
      <c r="OLM425" s="1824"/>
      <c r="OLN425" s="1824"/>
      <c r="OLO425" s="1824"/>
      <c r="OLP425" s="1824"/>
      <c r="OLQ425" s="1824"/>
      <c r="OLR425" s="1824"/>
      <c r="OLS425" s="1824"/>
      <c r="OLT425" s="1824"/>
      <c r="OLU425" s="1824"/>
      <c r="OLV425" s="1824"/>
      <c r="OLW425" s="1824"/>
      <c r="OLX425" s="1824"/>
      <c r="OLY425" s="1824"/>
      <c r="OLZ425" s="1824"/>
      <c r="OMA425" s="1824"/>
      <c r="OMB425" s="1824"/>
      <c r="OMC425" s="1824"/>
      <c r="OMD425" s="1824"/>
      <c r="OME425" s="1824"/>
      <c r="OMF425" s="1824"/>
      <c r="OMG425" s="1824"/>
      <c r="OMH425" s="1824"/>
      <c r="OMI425" s="1824"/>
      <c r="OMJ425" s="1824"/>
      <c r="OMK425" s="1824"/>
      <c r="OML425" s="1824"/>
      <c r="OMM425" s="1824"/>
      <c r="OMN425" s="1824"/>
      <c r="OMO425" s="1824"/>
      <c r="OMP425" s="1824"/>
      <c r="OMQ425" s="1824"/>
      <c r="OMR425" s="1824"/>
      <c r="OMS425" s="1824"/>
      <c r="OMT425" s="1824"/>
      <c r="OMU425" s="1824"/>
      <c r="OMV425" s="1824"/>
      <c r="OMW425" s="1824"/>
      <c r="OMX425" s="1824"/>
      <c r="OMY425" s="1824"/>
      <c r="OMZ425" s="1824"/>
      <c r="ONA425" s="1824"/>
      <c r="ONB425" s="1824"/>
      <c r="ONC425" s="1824"/>
      <c r="OND425" s="1824"/>
      <c r="ONE425" s="1824"/>
      <c r="ONF425" s="1824"/>
      <c r="ONG425" s="1824"/>
      <c r="ONH425" s="1824"/>
      <c r="ONI425" s="1824"/>
      <c r="ONJ425" s="1824"/>
      <c r="ONK425" s="1824"/>
      <c r="ONL425" s="1824"/>
      <c r="ONM425" s="1824"/>
      <c r="ONN425" s="1824"/>
      <c r="ONO425" s="1824"/>
      <c r="ONP425" s="1824"/>
      <c r="ONQ425" s="1824"/>
      <c r="ONR425" s="1824"/>
      <c r="ONS425" s="1824"/>
      <c r="ONT425" s="1824"/>
      <c r="ONU425" s="1824"/>
      <c r="ONV425" s="1824"/>
      <c r="ONW425" s="1824"/>
      <c r="ONX425" s="1824"/>
      <c r="ONY425" s="1824"/>
      <c r="ONZ425" s="1824"/>
      <c r="OOA425" s="1824"/>
      <c r="OOB425" s="1824"/>
      <c r="OOC425" s="1824"/>
      <c r="OOD425" s="1824"/>
      <c r="OOE425" s="1824"/>
      <c r="OOF425" s="1824"/>
      <c r="OOG425" s="1824"/>
      <c r="OOH425" s="1824"/>
      <c r="OOI425" s="1824"/>
      <c r="OOJ425" s="1824"/>
      <c r="OOK425" s="1824"/>
      <c r="OOL425" s="1824"/>
      <c r="OOM425" s="1824"/>
      <c r="OON425" s="1824"/>
      <c r="OOO425" s="1824"/>
      <c r="OOP425" s="1824"/>
      <c r="OOQ425" s="1824"/>
      <c r="OOR425" s="1824"/>
      <c r="OOS425" s="1824"/>
      <c r="OOT425" s="1824"/>
      <c r="OOU425" s="1824"/>
      <c r="OOV425" s="1824"/>
      <c r="OOW425" s="1824"/>
      <c r="OOX425" s="1824"/>
      <c r="OOY425" s="1824"/>
      <c r="OOZ425" s="1824"/>
      <c r="OPA425" s="1824"/>
      <c r="OPB425" s="1824"/>
      <c r="OPC425" s="1824"/>
      <c r="OPD425" s="1824"/>
      <c r="OPE425" s="1824"/>
      <c r="OPF425" s="1824"/>
      <c r="OPG425" s="1824"/>
      <c r="OPH425" s="1824"/>
      <c r="OPI425" s="1824"/>
      <c r="OPJ425" s="1824"/>
      <c r="OPK425" s="1824"/>
      <c r="OPL425" s="1824"/>
      <c r="OPM425" s="1824"/>
      <c r="OPN425" s="1824"/>
      <c r="OPO425" s="1824"/>
      <c r="OPP425" s="1824"/>
      <c r="OPQ425" s="1824"/>
      <c r="OPR425" s="1824"/>
      <c r="OPS425" s="1824"/>
      <c r="OPT425" s="1824"/>
      <c r="OPU425" s="1824"/>
      <c r="OPV425" s="1824"/>
      <c r="OPW425" s="1824"/>
      <c r="OPX425" s="1824"/>
      <c r="OPY425" s="1824"/>
      <c r="OPZ425" s="1824"/>
      <c r="OQA425" s="1824"/>
      <c r="OQB425" s="1824"/>
      <c r="OQC425" s="1824"/>
      <c r="OQD425" s="1824"/>
      <c r="OQE425" s="1824"/>
      <c r="OQF425" s="1824"/>
      <c r="OQG425" s="1824"/>
      <c r="OQH425" s="1824"/>
      <c r="OQI425" s="1824"/>
      <c r="OQJ425" s="1824"/>
      <c r="OQK425" s="1824"/>
      <c r="OQL425" s="1824"/>
      <c r="OQM425" s="1824"/>
      <c r="OQN425" s="1824"/>
      <c r="OQO425" s="1824"/>
      <c r="OQP425" s="1824"/>
      <c r="OQQ425" s="1824"/>
      <c r="OQR425" s="1824"/>
      <c r="OQS425" s="1824"/>
      <c r="OQT425" s="1824"/>
      <c r="OQU425" s="1824"/>
      <c r="OQV425" s="1824"/>
      <c r="OQW425" s="1824"/>
      <c r="OQX425" s="1824"/>
      <c r="OQY425" s="1824"/>
      <c r="OQZ425" s="1824"/>
      <c r="ORA425" s="1824"/>
      <c r="ORB425" s="1824"/>
      <c r="ORC425" s="1824"/>
      <c r="ORD425" s="1824"/>
      <c r="ORE425" s="1824"/>
      <c r="ORF425" s="1824"/>
      <c r="ORG425" s="1824"/>
      <c r="ORH425" s="1824"/>
      <c r="ORI425" s="1824"/>
      <c r="ORJ425" s="1824"/>
      <c r="ORK425" s="1824"/>
      <c r="ORL425" s="1824"/>
      <c r="ORM425" s="1824"/>
      <c r="ORN425" s="1824"/>
      <c r="ORO425" s="1824"/>
      <c r="ORP425" s="1824"/>
      <c r="ORQ425" s="1824"/>
      <c r="ORR425" s="1824"/>
      <c r="ORS425" s="1824"/>
      <c r="ORT425" s="1824"/>
      <c r="ORU425" s="1824"/>
      <c r="ORV425" s="1824"/>
      <c r="ORW425" s="1824"/>
      <c r="ORX425" s="1824"/>
      <c r="ORY425" s="1824"/>
      <c r="ORZ425" s="1824"/>
      <c r="OSA425" s="1824"/>
      <c r="OSB425" s="1824"/>
      <c r="OSC425" s="1824"/>
      <c r="OSD425" s="1824"/>
      <c r="OSE425" s="1824"/>
      <c r="OSF425" s="1824"/>
      <c r="OSG425" s="1824"/>
      <c r="OSH425" s="1824"/>
      <c r="OSI425" s="1824"/>
      <c r="OSJ425" s="1824"/>
      <c r="OSK425" s="1824"/>
      <c r="OSL425" s="1824"/>
      <c r="OSM425" s="1824"/>
      <c r="OSN425" s="1824"/>
      <c r="OSO425" s="1824"/>
      <c r="OSP425" s="1824"/>
      <c r="OSQ425" s="1824"/>
      <c r="OSR425" s="1824"/>
      <c r="OSS425" s="1824"/>
      <c r="OST425" s="1824"/>
      <c r="OSU425" s="1824"/>
      <c r="OSV425" s="1824"/>
      <c r="OSW425" s="1824"/>
      <c r="OSX425" s="1824"/>
      <c r="OSY425" s="1824"/>
      <c r="OSZ425" s="1824"/>
      <c r="OTA425" s="1824"/>
      <c r="OTB425" s="1824"/>
      <c r="OTC425" s="1824"/>
      <c r="OTD425" s="1824"/>
      <c r="OTE425" s="1824"/>
      <c r="OTF425" s="1824"/>
      <c r="OTG425" s="1824"/>
      <c r="OTH425" s="1824"/>
      <c r="OTI425" s="1824"/>
      <c r="OTJ425" s="1824"/>
      <c r="OTK425" s="1824"/>
      <c r="OTL425" s="1824"/>
      <c r="OTM425" s="1824"/>
      <c r="OTN425" s="1824"/>
      <c r="OTO425" s="1824"/>
      <c r="OTP425" s="1824"/>
      <c r="OTQ425" s="1824"/>
      <c r="OTR425" s="1824"/>
      <c r="OTS425" s="1824"/>
      <c r="OTT425" s="1824"/>
      <c r="OTU425" s="1824"/>
      <c r="OTV425" s="1824"/>
      <c r="OTW425" s="1824"/>
      <c r="OTX425" s="1824"/>
      <c r="OTY425" s="1824"/>
      <c r="OTZ425" s="1824"/>
      <c r="OUA425" s="1824"/>
      <c r="OUB425" s="1824"/>
      <c r="OUC425" s="1824"/>
      <c r="OUD425" s="1824"/>
      <c r="OUE425" s="1824"/>
      <c r="OUF425" s="1824"/>
      <c r="OUG425" s="1824"/>
      <c r="OUH425" s="1824"/>
      <c r="OUI425" s="1824"/>
      <c r="OUJ425" s="1824"/>
      <c r="OUK425" s="1824"/>
      <c r="OUL425" s="1824"/>
      <c r="OUM425" s="1824"/>
      <c r="OUN425" s="1824"/>
      <c r="OUO425" s="1824"/>
      <c r="OUP425" s="1824"/>
      <c r="OUQ425" s="1824"/>
      <c r="OUR425" s="1824"/>
      <c r="OUS425" s="1824"/>
      <c r="OUT425" s="1824"/>
      <c r="OUU425" s="1824"/>
      <c r="OUV425" s="1824"/>
      <c r="OUW425" s="1824"/>
      <c r="OUX425" s="1824"/>
      <c r="OUY425" s="1824"/>
      <c r="OUZ425" s="1824"/>
      <c r="OVA425" s="1824"/>
      <c r="OVB425" s="1824"/>
      <c r="OVC425" s="1824"/>
      <c r="OVD425" s="1824"/>
      <c r="OVE425" s="1824"/>
      <c r="OVF425" s="1824"/>
      <c r="OVG425" s="1824"/>
      <c r="OVH425" s="1824"/>
      <c r="OVI425" s="1824"/>
      <c r="OVJ425" s="1824"/>
      <c r="OVK425" s="1824"/>
      <c r="OVL425" s="1824"/>
      <c r="OVM425" s="1824"/>
      <c r="OVN425" s="1824"/>
      <c r="OVO425" s="1824"/>
      <c r="OVP425" s="1824"/>
      <c r="OVQ425" s="1824"/>
      <c r="OVR425" s="1824"/>
      <c r="OVS425" s="1824"/>
      <c r="OVT425" s="1824"/>
      <c r="OVU425" s="1824"/>
      <c r="OVV425" s="1824"/>
      <c r="OVW425" s="1824"/>
      <c r="OVX425" s="1824"/>
      <c r="OVY425" s="1824"/>
      <c r="OVZ425" s="1824"/>
      <c r="OWA425" s="1824"/>
      <c r="OWB425" s="1824"/>
      <c r="OWC425" s="1824"/>
      <c r="OWD425" s="1824"/>
      <c r="OWE425" s="1824"/>
      <c r="OWF425" s="1824"/>
      <c r="OWG425" s="1824"/>
      <c r="OWH425" s="1824"/>
      <c r="OWI425" s="1824"/>
      <c r="OWJ425" s="1824"/>
      <c r="OWK425" s="1824"/>
      <c r="OWL425" s="1824"/>
      <c r="OWM425" s="1824"/>
      <c r="OWN425" s="1824"/>
      <c r="OWO425" s="1824"/>
      <c r="OWP425" s="1824"/>
      <c r="OWQ425" s="1824"/>
      <c r="OWR425" s="1824"/>
      <c r="OWS425" s="1824"/>
      <c r="OWT425" s="1824"/>
      <c r="OWU425" s="1824"/>
      <c r="OWV425" s="1824"/>
      <c r="OWW425" s="1824"/>
      <c r="OWX425" s="1824"/>
      <c r="OWY425" s="1824"/>
      <c r="OWZ425" s="1824"/>
      <c r="OXA425" s="1824"/>
      <c r="OXB425" s="1824"/>
      <c r="OXC425" s="1824"/>
      <c r="OXD425" s="1824"/>
      <c r="OXE425" s="1824"/>
      <c r="OXF425" s="1824"/>
      <c r="OXG425" s="1824"/>
      <c r="OXH425" s="1824"/>
      <c r="OXI425" s="1824"/>
      <c r="OXJ425" s="1824"/>
      <c r="OXK425" s="1824"/>
      <c r="OXL425" s="1824"/>
      <c r="OXM425" s="1824"/>
      <c r="OXN425" s="1824"/>
      <c r="OXO425" s="1824"/>
      <c r="OXP425" s="1824"/>
      <c r="OXQ425" s="1824"/>
      <c r="OXR425" s="1824"/>
      <c r="OXS425" s="1824"/>
      <c r="OXT425" s="1824"/>
      <c r="OXU425" s="1824"/>
      <c r="OXV425" s="1824"/>
      <c r="OXW425" s="1824"/>
      <c r="OXX425" s="1824"/>
      <c r="OXY425" s="1824"/>
      <c r="OXZ425" s="1824"/>
      <c r="OYA425" s="1824"/>
      <c r="OYB425" s="1824"/>
      <c r="OYC425" s="1824"/>
      <c r="OYD425" s="1824"/>
      <c r="OYE425" s="1824"/>
      <c r="OYF425" s="1824"/>
      <c r="OYG425" s="1824"/>
      <c r="OYH425" s="1824"/>
      <c r="OYI425" s="1824"/>
      <c r="OYJ425" s="1824"/>
      <c r="OYK425" s="1824"/>
      <c r="OYL425" s="1824"/>
      <c r="OYM425" s="1824"/>
      <c r="OYN425" s="1824"/>
      <c r="OYO425" s="1824"/>
      <c r="OYP425" s="1824"/>
      <c r="OYQ425" s="1824"/>
      <c r="OYR425" s="1824"/>
      <c r="OYS425" s="1824"/>
      <c r="OYT425" s="1824"/>
      <c r="OYU425" s="1824"/>
      <c r="OYV425" s="1824"/>
      <c r="OYW425" s="1824"/>
      <c r="OYX425" s="1824"/>
      <c r="OYY425" s="1824"/>
      <c r="OYZ425" s="1824"/>
      <c r="OZA425" s="1824"/>
      <c r="OZB425" s="1824"/>
      <c r="OZC425" s="1824"/>
      <c r="OZD425" s="1824"/>
      <c r="OZE425" s="1824"/>
      <c r="OZF425" s="1824"/>
      <c r="OZG425" s="1824"/>
      <c r="OZH425" s="1824"/>
      <c r="OZI425" s="1824"/>
      <c r="OZJ425" s="1824"/>
      <c r="OZK425" s="1824"/>
      <c r="OZL425" s="1824"/>
      <c r="OZM425" s="1824"/>
      <c r="OZN425" s="1824"/>
      <c r="OZO425" s="1824"/>
      <c r="OZP425" s="1824"/>
      <c r="OZQ425" s="1824"/>
      <c r="OZR425" s="1824"/>
      <c r="OZS425" s="1824"/>
      <c r="OZT425" s="1824"/>
      <c r="OZU425" s="1824"/>
      <c r="OZV425" s="1824"/>
      <c r="OZW425" s="1824"/>
      <c r="OZX425" s="1824"/>
      <c r="OZY425" s="1824"/>
      <c r="OZZ425" s="1824"/>
      <c r="PAA425" s="1824"/>
      <c r="PAB425" s="1824"/>
      <c r="PAC425" s="1824"/>
      <c r="PAD425" s="1824"/>
      <c r="PAE425" s="1824"/>
      <c r="PAF425" s="1824"/>
      <c r="PAG425" s="1824"/>
      <c r="PAH425" s="1824"/>
      <c r="PAI425" s="1824"/>
      <c r="PAJ425" s="1824"/>
      <c r="PAK425" s="1824"/>
      <c r="PAL425" s="1824"/>
      <c r="PAM425" s="1824"/>
      <c r="PAN425" s="1824"/>
      <c r="PAO425" s="1824"/>
      <c r="PAP425" s="1824"/>
      <c r="PAQ425" s="1824"/>
      <c r="PAR425" s="1824"/>
      <c r="PAS425" s="1824"/>
      <c r="PAT425" s="1824"/>
      <c r="PAU425" s="1824"/>
      <c r="PAV425" s="1824"/>
      <c r="PAW425" s="1824"/>
      <c r="PAX425" s="1824"/>
      <c r="PAY425" s="1824"/>
      <c r="PAZ425" s="1824"/>
      <c r="PBA425" s="1824"/>
      <c r="PBB425" s="1824"/>
      <c r="PBC425" s="1824"/>
      <c r="PBD425" s="1824"/>
      <c r="PBE425" s="1824"/>
      <c r="PBF425" s="1824"/>
      <c r="PBG425" s="1824"/>
      <c r="PBH425" s="1824"/>
      <c r="PBI425" s="1824"/>
      <c r="PBJ425" s="1824"/>
      <c r="PBK425" s="1824"/>
      <c r="PBL425" s="1824"/>
      <c r="PBM425" s="1824"/>
      <c r="PBN425" s="1824"/>
      <c r="PBO425" s="1824"/>
      <c r="PBP425" s="1824"/>
      <c r="PBQ425" s="1824"/>
      <c r="PBR425" s="1824"/>
      <c r="PBS425" s="1824"/>
      <c r="PBT425" s="1824"/>
      <c r="PBU425" s="1824"/>
      <c r="PBV425" s="1824"/>
      <c r="PBW425" s="1824"/>
      <c r="PBX425" s="1824"/>
      <c r="PBY425" s="1824"/>
      <c r="PBZ425" s="1824"/>
      <c r="PCA425" s="1824"/>
      <c r="PCB425" s="1824"/>
      <c r="PCC425" s="1824"/>
      <c r="PCD425" s="1824"/>
      <c r="PCE425" s="1824"/>
      <c r="PCF425" s="1824"/>
      <c r="PCG425" s="1824"/>
      <c r="PCH425" s="1824"/>
      <c r="PCI425" s="1824"/>
      <c r="PCJ425" s="1824"/>
      <c r="PCK425" s="1824"/>
      <c r="PCL425" s="1824"/>
      <c r="PCM425" s="1824"/>
      <c r="PCN425" s="1824"/>
      <c r="PCO425" s="1824"/>
      <c r="PCP425" s="1824"/>
      <c r="PCQ425" s="1824"/>
      <c r="PCR425" s="1824"/>
      <c r="PCS425" s="1824"/>
      <c r="PCT425" s="1824"/>
      <c r="PCU425" s="1824"/>
      <c r="PCV425" s="1824"/>
      <c r="PCW425" s="1824"/>
      <c r="PCX425" s="1824"/>
      <c r="PCY425" s="1824"/>
      <c r="PCZ425" s="1824"/>
      <c r="PDA425" s="1824"/>
      <c r="PDB425" s="1824"/>
      <c r="PDC425" s="1824"/>
      <c r="PDD425" s="1824"/>
      <c r="PDE425" s="1824"/>
      <c r="PDF425" s="1824"/>
      <c r="PDG425" s="1824"/>
      <c r="PDH425" s="1824"/>
      <c r="PDI425" s="1824"/>
      <c r="PDJ425" s="1824"/>
      <c r="PDK425" s="1824"/>
      <c r="PDL425" s="1824"/>
      <c r="PDM425" s="1824"/>
      <c r="PDN425" s="1824"/>
      <c r="PDO425" s="1824"/>
      <c r="PDP425" s="1824"/>
      <c r="PDQ425" s="1824"/>
      <c r="PDR425" s="1824"/>
      <c r="PDS425" s="1824"/>
      <c r="PDT425" s="1824"/>
      <c r="PDU425" s="1824"/>
      <c r="PDV425" s="1824"/>
      <c r="PDW425" s="1824"/>
      <c r="PDX425" s="1824"/>
      <c r="PDY425" s="1824"/>
      <c r="PDZ425" s="1824"/>
      <c r="PEA425" s="1824"/>
      <c r="PEB425" s="1824"/>
      <c r="PEC425" s="1824"/>
      <c r="PED425" s="1824"/>
      <c r="PEE425" s="1824"/>
      <c r="PEF425" s="1824"/>
      <c r="PEG425" s="1824"/>
      <c r="PEH425" s="1824"/>
      <c r="PEI425" s="1824"/>
      <c r="PEJ425" s="1824"/>
      <c r="PEK425" s="1824"/>
      <c r="PEL425" s="1824"/>
      <c r="PEM425" s="1824"/>
      <c r="PEN425" s="1824"/>
      <c r="PEO425" s="1824"/>
      <c r="PEP425" s="1824"/>
      <c r="PEQ425" s="1824"/>
      <c r="PER425" s="1824"/>
      <c r="PES425" s="1824"/>
      <c r="PET425" s="1824"/>
      <c r="PEU425" s="1824"/>
      <c r="PEV425" s="1824"/>
      <c r="PEW425" s="1824"/>
      <c r="PEX425" s="1824"/>
      <c r="PEY425" s="1824"/>
      <c r="PEZ425" s="1824"/>
      <c r="PFA425" s="1824"/>
      <c r="PFB425" s="1824"/>
      <c r="PFC425" s="1824"/>
      <c r="PFD425" s="1824"/>
      <c r="PFE425" s="1824"/>
      <c r="PFF425" s="1824"/>
      <c r="PFG425" s="1824"/>
      <c r="PFH425" s="1824"/>
      <c r="PFI425" s="1824"/>
      <c r="PFJ425" s="1824"/>
      <c r="PFK425" s="1824"/>
      <c r="PFL425" s="1824"/>
      <c r="PFM425" s="1824"/>
      <c r="PFN425" s="1824"/>
      <c r="PFO425" s="1824"/>
      <c r="PFP425" s="1824"/>
      <c r="PFQ425" s="1824"/>
      <c r="PFR425" s="1824"/>
      <c r="PFS425" s="1824"/>
      <c r="PFT425" s="1824"/>
      <c r="PFU425" s="1824"/>
      <c r="PFV425" s="1824"/>
      <c r="PFW425" s="1824"/>
      <c r="PFX425" s="1824"/>
      <c r="PFY425" s="1824"/>
      <c r="PFZ425" s="1824"/>
      <c r="PGA425" s="1824"/>
      <c r="PGB425" s="1824"/>
      <c r="PGC425" s="1824"/>
      <c r="PGD425" s="1824"/>
      <c r="PGE425" s="1824"/>
      <c r="PGF425" s="1824"/>
      <c r="PGG425" s="1824"/>
      <c r="PGH425" s="1824"/>
      <c r="PGI425" s="1824"/>
      <c r="PGJ425" s="1824"/>
      <c r="PGK425" s="1824"/>
      <c r="PGL425" s="1824"/>
      <c r="PGM425" s="1824"/>
      <c r="PGN425" s="1824"/>
      <c r="PGO425" s="1824"/>
      <c r="PGP425" s="1824"/>
      <c r="PGQ425" s="1824"/>
      <c r="PGR425" s="1824"/>
      <c r="PGS425" s="1824"/>
      <c r="PGT425" s="1824"/>
      <c r="PGU425" s="1824"/>
      <c r="PGV425" s="1824"/>
      <c r="PGW425" s="1824"/>
      <c r="PGX425" s="1824"/>
      <c r="PGY425" s="1824"/>
      <c r="PGZ425" s="1824"/>
      <c r="PHA425" s="1824"/>
      <c r="PHB425" s="1824"/>
      <c r="PHC425" s="1824"/>
      <c r="PHD425" s="1824"/>
      <c r="PHE425" s="1824"/>
      <c r="PHF425" s="1824"/>
      <c r="PHG425" s="1824"/>
      <c r="PHH425" s="1824"/>
      <c r="PHI425" s="1824"/>
      <c r="PHJ425" s="1824"/>
      <c r="PHK425" s="1824"/>
      <c r="PHL425" s="1824"/>
      <c r="PHM425" s="1824"/>
      <c r="PHN425" s="1824"/>
      <c r="PHO425" s="1824"/>
      <c r="PHP425" s="1824"/>
      <c r="PHQ425" s="1824"/>
      <c r="PHR425" s="1824"/>
      <c r="PHS425" s="1824"/>
      <c r="PHT425" s="1824"/>
      <c r="PHU425" s="1824"/>
      <c r="PHV425" s="1824"/>
      <c r="PHW425" s="1824"/>
      <c r="PHX425" s="1824"/>
      <c r="PHY425" s="1824"/>
      <c r="PHZ425" s="1824"/>
      <c r="PIA425" s="1824"/>
      <c r="PIB425" s="1824"/>
      <c r="PIC425" s="1824"/>
      <c r="PID425" s="1824"/>
      <c r="PIE425" s="1824"/>
      <c r="PIF425" s="1824"/>
      <c r="PIG425" s="1824"/>
      <c r="PIH425" s="1824"/>
      <c r="PII425" s="1824"/>
      <c r="PIJ425" s="1824"/>
      <c r="PIK425" s="1824"/>
      <c r="PIL425" s="1824"/>
      <c r="PIM425" s="1824"/>
      <c r="PIN425" s="1824"/>
      <c r="PIO425" s="1824"/>
      <c r="PIP425" s="1824"/>
      <c r="PIQ425" s="1824"/>
      <c r="PIR425" s="1824"/>
      <c r="PIS425" s="1824"/>
      <c r="PIT425" s="1824"/>
      <c r="PIU425" s="1824"/>
      <c r="PIV425" s="1824"/>
      <c r="PIW425" s="1824"/>
      <c r="PIX425" s="1824"/>
      <c r="PIY425" s="1824"/>
      <c r="PIZ425" s="1824"/>
      <c r="PJA425" s="1824"/>
      <c r="PJB425" s="1824"/>
      <c r="PJC425" s="1824"/>
      <c r="PJD425" s="1824"/>
      <c r="PJE425" s="1824"/>
      <c r="PJF425" s="1824"/>
      <c r="PJG425" s="1824"/>
      <c r="PJH425" s="1824"/>
      <c r="PJI425" s="1824"/>
      <c r="PJJ425" s="1824"/>
      <c r="PJK425" s="1824"/>
      <c r="PJL425" s="1824"/>
      <c r="PJM425" s="1824"/>
      <c r="PJN425" s="1824"/>
      <c r="PJO425" s="1824"/>
      <c r="PJP425" s="1824"/>
      <c r="PJQ425" s="1824"/>
      <c r="PJR425" s="1824"/>
      <c r="PJS425" s="1824"/>
      <c r="PJT425" s="1824"/>
      <c r="PJU425" s="1824"/>
      <c r="PJV425" s="1824"/>
      <c r="PJW425" s="1824"/>
      <c r="PJX425" s="1824"/>
      <c r="PJY425" s="1824"/>
      <c r="PJZ425" s="1824"/>
      <c r="PKA425" s="1824"/>
      <c r="PKB425" s="1824"/>
      <c r="PKC425" s="1824"/>
      <c r="PKD425" s="1824"/>
      <c r="PKE425" s="1824"/>
      <c r="PKF425" s="1824"/>
      <c r="PKG425" s="1824"/>
      <c r="PKH425" s="1824"/>
      <c r="PKI425" s="1824"/>
      <c r="PKJ425" s="1824"/>
      <c r="PKK425" s="1824"/>
      <c r="PKL425" s="1824"/>
      <c r="PKM425" s="1824"/>
      <c r="PKN425" s="1824"/>
      <c r="PKO425" s="1824"/>
      <c r="PKP425" s="1824"/>
      <c r="PKQ425" s="1824"/>
      <c r="PKR425" s="1824"/>
      <c r="PKS425" s="1824"/>
      <c r="PKT425" s="1824"/>
      <c r="PKU425" s="1824"/>
      <c r="PKV425" s="1824"/>
      <c r="PKW425" s="1824"/>
      <c r="PKX425" s="1824"/>
      <c r="PKY425" s="1824"/>
      <c r="PKZ425" s="1824"/>
      <c r="PLA425" s="1824"/>
      <c r="PLB425" s="1824"/>
      <c r="PLC425" s="1824"/>
      <c r="PLD425" s="1824"/>
      <c r="PLE425" s="1824"/>
      <c r="PLF425" s="1824"/>
      <c r="PLG425" s="1824"/>
      <c r="PLH425" s="1824"/>
      <c r="PLI425" s="1824"/>
      <c r="PLJ425" s="1824"/>
      <c r="PLK425" s="1824"/>
      <c r="PLL425" s="1824"/>
      <c r="PLM425" s="1824"/>
      <c r="PLN425" s="1824"/>
      <c r="PLO425" s="1824"/>
      <c r="PLP425" s="1824"/>
      <c r="PLQ425" s="1824"/>
      <c r="PLR425" s="1824"/>
      <c r="PLS425" s="1824"/>
      <c r="PLT425" s="1824"/>
      <c r="PLU425" s="1824"/>
      <c r="PLV425" s="1824"/>
      <c r="PLW425" s="1824"/>
      <c r="PLX425" s="1824"/>
      <c r="PLY425" s="1824"/>
      <c r="PLZ425" s="1824"/>
      <c r="PMA425" s="1824"/>
      <c r="PMB425" s="1824"/>
      <c r="PMC425" s="1824"/>
      <c r="PMD425" s="1824"/>
      <c r="PME425" s="1824"/>
      <c r="PMF425" s="1824"/>
      <c r="PMG425" s="1824"/>
      <c r="PMH425" s="1824"/>
      <c r="PMI425" s="1824"/>
      <c r="PMJ425" s="1824"/>
      <c r="PMK425" s="1824"/>
      <c r="PML425" s="1824"/>
      <c r="PMM425" s="1824"/>
      <c r="PMN425" s="1824"/>
      <c r="PMO425" s="1824"/>
      <c r="PMP425" s="1824"/>
      <c r="PMQ425" s="1824"/>
      <c r="PMR425" s="1824"/>
      <c r="PMS425" s="1824"/>
      <c r="PMT425" s="1824"/>
      <c r="PMU425" s="1824"/>
      <c r="PMV425" s="1824"/>
      <c r="PMW425" s="1824"/>
      <c r="PMX425" s="1824"/>
      <c r="PMY425" s="1824"/>
      <c r="PMZ425" s="1824"/>
      <c r="PNA425" s="1824"/>
      <c r="PNB425" s="1824"/>
      <c r="PNC425" s="1824"/>
      <c r="PND425" s="1824"/>
      <c r="PNE425" s="1824"/>
      <c r="PNF425" s="1824"/>
      <c r="PNG425" s="1824"/>
      <c r="PNH425" s="1824"/>
      <c r="PNI425" s="1824"/>
      <c r="PNJ425" s="1824"/>
      <c r="PNK425" s="1824"/>
      <c r="PNL425" s="1824"/>
      <c r="PNM425" s="1824"/>
      <c r="PNN425" s="1824"/>
      <c r="PNO425" s="1824"/>
      <c r="PNP425" s="1824"/>
      <c r="PNQ425" s="1824"/>
      <c r="PNR425" s="1824"/>
      <c r="PNS425" s="1824"/>
      <c r="PNT425" s="1824"/>
      <c r="PNU425" s="1824"/>
      <c r="PNV425" s="1824"/>
      <c r="PNW425" s="1824"/>
      <c r="PNX425" s="1824"/>
      <c r="PNY425" s="1824"/>
      <c r="PNZ425" s="1824"/>
      <c r="POA425" s="1824"/>
      <c r="POB425" s="1824"/>
      <c r="POC425" s="1824"/>
      <c r="POD425" s="1824"/>
      <c r="POE425" s="1824"/>
      <c r="POF425" s="1824"/>
      <c r="POG425" s="1824"/>
      <c r="POH425" s="1824"/>
      <c r="POI425" s="1824"/>
      <c r="POJ425" s="1824"/>
      <c r="POK425" s="1824"/>
      <c r="POL425" s="1824"/>
      <c r="POM425" s="1824"/>
      <c r="PON425" s="1824"/>
      <c r="POO425" s="1824"/>
      <c r="POP425" s="1824"/>
      <c r="POQ425" s="1824"/>
      <c r="POR425" s="1824"/>
      <c r="POS425" s="1824"/>
      <c r="POT425" s="1824"/>
      <c r="POU425" s="1824"/>
      <c r="POV425" s="1824"/>
      <c r="POW425" s="1824"/>
      <c r="POX425" s="1824"/>
      <c r="POY425" s="1824"/>
      <c r="POZ425" s="1824"/>
      <c r="PPA425" s="1824"/>
      <c r="PPB425" s="1824"/>
      <c r="PPC425" s="1824"/>
      <c r="PPD425" s="1824"/>
      <c r="PPE425" s="1824"/>
      <c r="PPF425" s="1824"/>
      <c r="PPG425" s="1824"/>
      <c r="PPH425" s="1824"/>
      <c r="PPI425" s="1824"/>
      <c r="PPJ425" s="1824"/>
      <c r="PPK425" s="1824"/>
      <c r="PPL425" s="1824"/>
      <c r="PPM425" s="1824"/>
      <c r="PPN425" s="1824"/>
      <c r="PPO425" s="1824"/>
      <c r="PPP425" s="1824"/>
      <c r="PPQ425" s="1824"/>
      <c r="PPR425" s="1824"/>
      <c r="PPS425" s="1824"/>
      <c r="PPT425" s="1824"/>
      <c r="PPU425" s="1824"/>
      <c r="PPV425" s="1824"/>
      <c r="PPW425" s="1824"/>
      <c r="PPX425" s="1824"/>
      <c r="PPY425" s="1824"/>
      <c r="PPZ425" s="1824"/>
      <c r="PQA425" s="1824"/>
      <c r="PQB425" s="1824"/>
      <c r="PQC425" s="1824"/>
      <c r="PQD425" s="1824"/>
      <c r="PQE425" s="1824"/>
      <c r="PQF425" s="1824"/>
      <c r="PQG425" s="1824"/>
      <c r="PQH425" s="1824"/>
      <c r="PQI425" s="1824"/>
      <c r="PQJ425" s="1824"/>
      <c r="PQK425" s="1824"/>
      <c r="PQL425" s="1824"/>
      <c r="PQM425" s="1824"/>
      <c r="PQN425" s="1824"/>
      <c r="PQO425" s="1824"/>
      <c r="PQP425" s="1824"/>
      <c r="PQQ425" s="1824"/>
      <c r="PQR425" s="1824"/>
      <c r="PQS425" s="1824"/>
      <c r="PQT425" s="1824"/>
      <c r="PQU425" s="1824"/>
      <c r="PQV425" s="1824"/>
      <c r="PQW425" s="1824"/>
      <c r="PQX425" s="1824"/>
      <c r="PQY425" s="1824"/>
      <c r="PQZ425" s="1824"/>
      <c r="PRA425" s="1824"/>
      <c r="PRB425" s="1824"/>
      <c r="PRC425" s="1824"/>
      <c r="PRD425" s="1824"/>
      <c r="PRE425" s="1824"/>
      <c r="PRF425" s="1824"/>
      <c r="PRG425" s="1824"/>
      <c r="PRH425" s="1824"/>
      <c r="PRI425" s="1824"/>
      <c r="PRJ425" s="1824"/>
      <c r="PRK425" s="1824"/>
      <c r="PRL425" s="1824"/>
      <c r="PRM425" s="1824"/>
      <c r="PRN425" s="1824"/>
      <c r="PRO425" s="1824"/>
      <c r="PRP425" s="1824"/>
      <c r="PRQ425" s="1824"/>
      <c r="PRR425" s="1824"/>
      <c r="PRS425" s="1824"/>
      <c r="PRT425" s="1824"/>
      <c r="PRU425" s="1824"/>
      <c r="PRV425" s="1824"/>
      <c r="PRW425" s="1824"/>
      <c r="PRX425" s="1824"/>
      <c r="PRY425" s="1824"/>
      <c r="PRZ425" s="1824"/>
      <c r="PSA425" s="1824"/>
      <c r="PSB425" s="1824"/>
      <c r="PSC425" s="1824"/>
      <c r="PSD425" s="1824"/>
      <c r="PSE425" s="1824"/>
      <c r="PSF425" s="1824"/>
      <c r="PSG425" s="1824"/>
      <c r="PSH425" s="1824"/>
      <c r="PSI425" s="1824"/>
      <c r="PSJ425" s="1824"/>
      <c r="PSK425" s="1824"/>
      <c r="PSL425" s="1824"/>
      <c r="PSM425" s="1824"/>
      <c r="PSN425" s="1824"/>
      <c r="PSO425" s="1824"/>
      <c r="PSP425" s="1824"/>
      <c r="PSQ425" s="1824"/>
      <c r="PSR425" s="1824"/>
      <c r="PSS425" s="1824"/>
      <c r="PST425" s="1824"/>
      <c r="PSU425" s="1824"/>
      <c r="PSV425" s="1824"/>
      <c r="PSW425" s="1824"/>
      <c r="PSX425" s="1824"/>
      <c r="PSY425" s="1824"/>
      <c r="PSZ425" s="1824"/>
      <c r="PTA425" s="1824"/>
      <c r="PTB425" s="1824"/>
      <c r="PTC425" s="1824"/>
      <c r="PTD425" s="1824"/>
      <c r="PTE425" s="1824"/>
      <c r="PTF425" s="1824"/>
      <c r="PTG425" s="1824"/>
      <c r="PTH425" s="1824"/>
      <c r="PTI425" s="1824"/>
      <c r="PTJ425" s="1824"/>
      <c r="PTK425" s="1824"/>
      <c r="PTL425" s="1824"/>
      <c r="PTM425" s="1824"/>
      <c r="PTN425" s="1824"/>
      <c r="PTO425" s="1824"/>
      <c r="PTP425" s="1824"/>
      <c r="PTQ425" s="1824"/>
      <c r="PTR425" s="1824"/>
      <c r="PTS425" s="1824"/>
      <c r="PTT425" s="1824"/>
      <c r="PTU425" s="1824"/>
      <c r="PTV425" s="1824"/>
      <c r="PTW425" s="1824"/>
      <c r="PTX425" s="1824"/>
      <c r="PTY425" s="1824"/>
      <c r="PTZ425" s="1824"/>
      <c r="PUA425" s="1824"/>
      <c r="PUB425" s="1824"/>
      <c r="PUC425" s="1824"/>
      <c r="PUD425" s="1824"/>
      <c r="PUE425" s="1824"/>
      <c r="PUF425" s="1824"/>
      <c r="PUG425" s="1824"/>
      <c r="PUH425" s="1824"/>
      <c r="PUI425" s="1824"/>
      <c r="PUJ425" s="1824"/>
      <c r="PUK425" s="1824"/>
      <c r="PUL425" s="1824"/>
      <c r="PUM425" s="1824"/>
      <c r="PUN425" s="1824"/>
      <c r="PUO425" s="1824"/>
      <c r="PUP425" s="1824"/>
      <c r="PUQ425" s="1824"/>
      <c r="PUR425" s="1824"/>
      <c r="PUS425" s="1824"/>
      <c r="PUT425" s="1824"/>
      <c r="PUU425" s="1824"/>
      <c r="PUV425" s="1824"/>
      <c r="PUW425" s="1824"/>
      <c r="PUX425" s="1824"/>
      <c r="PUY425" s="1824"/>
      <c r="PUZ425" s="1824"/>
      <c r="PVA425" s="1824"/>
      <c r="PVB425" s="1824"/>
      <c r="PVC425" s="1824"/>
      <c r="PVD425" s="1824"/>
      <c r="PVE425" s="1824"/>
      <c r="PVF425" s="1824"/>
      <c r="PVG425" s="1824"/>
      <c r="PVH425" s="1824"/>
      <c r="PVI425" s="1824"/>
      <c r="PVJ425" s="1824"/>
      <c r="PVK425" s="1824"/>
      <c r="PVL425" s="1824"/>
      <c r="PVM425" s="1824"/>
      <c r="PVN425" s="1824"/>
      <c r="PVO425" s="1824"/>
      <c r="PVP425" s="1824"/>
      <c r="PVQ425" s="1824"/>
      <c r="PVR425" s="1824"/>
      <c r="PVS425" s="1824"/>
      <c r="PVT425" s="1824"/>
      <c r="PVU425" s="1824"/>
      <c r="PVV425" s="1824"/>
      <c r="PVW425" s="1824"/>
      <c r="PVX425" s="1824"/>
      <c r="PVY425" s="1824"/>
      <c r="PVZ425" s="1824"/>
      <c r="PWA425" s="1824"/>
      <c r="PWB425" s="1824"/>
      <c r="PWC425" s="1824"/>
      <c r="PWD425" s="1824"/>
      <c r="PWE425" s="1824"/>
      <c r="PWF425" s="1824"/>
      <c r="PWG425" s="1824"/>
      <c r="PWH425" s="1824"/>
      <c r="PWI425" s="1824"/>
      <c r="PWJ425" s="1824"/>
      <c r="PWK425" s="1824"/>
      <c r="PWL425" s="1824"/>
      <c r="PWM425" s="1824"/>
      <c r="PWN425" s="1824"/>
      <c r="PWO425" s="1824"/>
      <c r="PWP425" s="1824"/>
      <c r="PWQ425" s="1824"/>
      <c r="PWR425" s="1824"/>
      <c r="PWS425" s="1824"/>
      <c r="PWT425" s="1824"/>
      <c r="PWU425" s="1824"/>
      <c r="PWV425" s="1824"/>
      <c r="PWW425" s="1824"/>
      <c r="PWX425" s="1824"/>
      <c r="PWY425" s="1824"/>
      <c r="PWZ425" s="1824"/>
      <c r="PXA425" s="1824"/>
      <c r="PXB425" s="1824"/>
      <c r="PXC425" s="1824"/>
      <c r="PXD425" s="1824"/>
      <c r="PXE425" s="1824"/>
      <c r="PXF425" s="1824"/>
      <c r="PXG425" s="1824"/>
      <c r="PXH425" s="1824"/>
      <c r="PXI425" s="1824"/>
      <c r="PXJ425" s="1824"/>
      <c r="PXK425" s="1824"/>
      <c r="PXL425" s="1824"/>
      <c r="PXM425" s="1824"/>
      <c r="PXN425" s="1824"/>
      <c r="PXO425" s="1824"/>
      <c r="PXP425" s="1824"/>
      <c r="PXQ425" s="1824"/>
      <c r="PXR425" s="1824"/>
      <c r="PXS425" s="1824"/>
      <c r="PXT425" s="1824"/>
      <c r="PXU425" s="1824"/>
      <c r="PXV425" s="1824"/>
      <c r="PXW425" s="1824"/>
      <c r="PXX425" s="1824"/>
      <c r="PXY425" s="1824"/>
      <c r="PXZ425" s="1824"/>
      <c r="PYA425" s="1824"/>
      <c r="PYB425" s="1824"/>
      <c r="PYC425" s="1824"/>
      <c r="PYD425" s="1824"/>
      <c r="PYE425" s="1824"/>
      <c r="PYF425" s="1824"/>
      <c r="PYG425" s="1824"/>
      <c r="PYH425" s="1824"/>
      <c r="PYI425" s="1824"/>
      <c r="PYJ425" s="1824"/>
      <c r="PYK425" s="1824"/>
      <c r="PYL425" s="1824"/>
      <c r="PYM425" s="1824"/>
      <c r="PYN425" s="1824"/>
      <c r="PYO425" s="1824"/>
      <c r="PYP425" s="1824"/>
      <c r="PYQ425" s="1824"/>
      <c r="PYR425" s="1824"/>
      <c r="PYS425" s="1824"/>
      <c r="PYT425" s="1824"/>
      <c r="PYU425" s="1824"/>
      <c r="PYV425" s="1824"/>
      <c r="PYW425" s="1824"/>
      <c r="PYX425" s="1824"/>
      <c r="PYY425" s="1824"/>
      <c r="PYZ425" s="1824"/>
      <c r="PZA425" s="1824"/>
      <c r="PZB425" s="1824"/>
      <c r="PZC425" s="1824"/>
      <c r="PZD425" s="1824"/>
      <c r="PZE425" s="1824"/>
      <c r="PZF425" s="1824"/>
      <c r="PZG425" s="1824"/>
      <c r="PZH425" s="1824"/>
      <c r="PZI425" s="1824"/>
      <c r="PZJ425" s="1824"/>
      <c r="PZK425" s="1824"/>
      <c r="PZL425" s="1824"/>
      <c r="PZM425" s="1824"/>
      <c r="PZN425" s="1824"/>
      <c r="PZO425" s="1824"/>
      <c r="PZP425" s="1824"/>
      <c r="PZQ425" s="1824"/>
      <c r="PZR425" s="1824"/>
      <c r="PZS425" s="1824"/>
      <c r="PZT425" s="1824"/>
      <c r="PZU425" s="1824"/>
      <c r="PZV425" s="1824"/>
      <c r="PZW425" s="1824"/>
      <c r="PZX425" s="1824"/>
      <c r="PZY425" s="1824"/>
      <c r="PZZ425" s="1824"/>
      <c r="QAA425" s="1824"/>
      <c r="QAB425" s="1824"/>
      <c r="QAC425" s="1824"/>
      <c r="QAD425" s="1824"/>
      <c r="QAE425" s="1824"/>
      <c r="QAF425" s="1824"/>
      <c r="QAG425" s="1824"/>
      <c r="QAH425" s="1824"/>
      <c r="QAI425" s="1824"/>
      <c r="QAJ425" s="1824"/>
      <c r="QAK425" s="1824"/>
      <c r="QAL425" s="1824"/>
      <c r="QAM425" s="1824"/>
      <c r="QAN425" s="1824"/>
      <c r="QAO425" s="1824"/>
      <c r="QAP425" s="1824"/>
      <c r="QAQ425" s="1824"/>
      <c r="QAR425" s="1824"/>
      <c r="QAS425" s="1824"/>
      <c r="QAT425" s="1824"/>
      <c r="QAU425" s="1824"/>
      <c r="QAV425" s="1824"/>
      <c r="QAW425" s="1824"/>
      <c r="QAX425" s="1824"/>
      <c r="QAY425" s="1824"/>
      <c r="QAZ425" s="1824"/>
      <c r="QBA425" s="1824"/>
      <c r="QBB425" s="1824"/>
      <c r="QBC425" s="1824"/>
      <c r="QBD425" s="1824"/>
      <c r="QBE425" s="1824"/>
      <c r="QBF425" s="1824"/>
      <c r="QBG425" s="1824"/>
      <c r="QBH425" s="1824"/>
      <c r="QBI425" s="1824"/>
      <c r="QBJ425" s="1824"/>
      <c r="QBK425" s="1824"/>
      <c r="QBL425" s="1824"/>
      <c r="QBM425" s="1824"/>
      <c r="QBN425" s="1824"/>
      <c r="QBO425" s="1824"/>
      <c r="QBP425" s="1824"/>
      <c r="QBQ425" s="1824"/>
      <c r="QBR425" s="1824"/>
      <c r="QBS425" s="1824"/>
      <c r="QBT425" s="1824"/>
      <c r="QBU425" s="1824"/>
      <c r="QBV425" s="1824"/>
      <c r="QBW425" s="1824"/>
      <c r="QBX425" s="1824"/>
      <c r="QBY425" s="1824"/>
      <c r="QBZ425" s="1824"/>
      <c r="QCA425" s="1824"/>
      <c r="QCB425" s="1824"/>
      <c r="QCC425" s="1824"/>
      <c r="QCD425" s="1824"/>
      <c r="QCE425" s="1824"/>
      <c r="QCF425" s="1824"/>
      <c r="QCG425" s="1824"/>
      <c r="QCH425" s="1824"/>
      <c r="QCI425" s="1824"/>
      <c r="QCJ425" s="1824"/>
      <c r="QCK425" s="1824"/>
      <c r="QCL425" s="1824"/>
      <c r="QCM425" s="1824"/>
      <c r="QCN425" s="1824"/>
      <c r="QCO425" s="1824"/>
      <c r="QCP425" s="1824"/>
      <c r="QCQ425" s="1824"/>
      <c r="QCR425" s="1824"/>
      <c r="QCS425" s="1824"/>
      <c r="QCT425" s="1824"/>
      <c r="QCU425" s="1824"/>
      <c r="QCV425" s="1824"/>
      <c r="QCW425" s="1824"/>
      <c r="QCX425" s="1824"/>
      <c r="QCY425" s="1824"/>
      <c r="QCZ425" s="1824"/>
      <c r="QDA425" s="1824"/>
      <c r="QDB425" s="1824"/>
      <c r="QDC425" s="1824"/>
      <c r="QDD425" s="1824"/>
      <c r="QDE425" s="1824"/>
      <c r="QDF425" s="1824"/>
      <c r="QDG425" s="1824"/>
      <c r="QDH425" s="1824"/>
      <c r="QDI425" s="1824"/>
      <c r="QDJ425" s="1824"/>
      <c r="QDK425" s="1824"/>
      <c r="QDL425" s="1824"/>
      <c r="QDM425" s="1824"/>
      <c r="QDN425" s="1824"/>
      <c r="QDO425" s="1824"/>
      <c r="QDP425" s="1824"/>
      <c r="QDQ425" s="1824"/>
      <c r="QDR425" s="1824"/>
      <c r="QDS425" s="1824"/>
      <c r="QDT425" s="1824"/>
      <c r="QDU425" s="1824"/>
      <c r="QDV425" s="1824"/>
      <c r="QDW425" s="1824"/>
      <c r="QDX425" s="1824"/>
      <c r="QDY425" s="1824"/>
      <c r="QDZ425" s="1824"/>
      <c r="QEA425" s="1824"/>
      <c r="QEB425" s="1824"/>
      <c r="QEC425" s="1824"/>
      <c r="QED425" s="1824"/>
      <c r="QEE425" s="1824"/>
      <c r="QEF425" s="1824"/>
      <c r="QEG425" s="1824"/>
      <c r="QEH425" s="1824"/>
      <c r="QEI425" s="1824"/>
      <c r="QEJ425" s="1824"/>
      <c r="QEK425" s="1824"/>
      <c r="QEL425" s="1824"/>
      <c r="QEM425" s="1824"/>
      <c r="QEN425" s="1824"/>
      <c r="QEO425" s="1824"/>
      <c r="QEP425" s="1824"/>
      <c r="QEQ425" s="1824"/>
      <c r="QER425" s="1824"/>
      <c r="QES425" s="1824"/>
      <c r="QET425" s="1824"/>
      <c r="QEU425" s="1824"/>
      <c r="QEV425" s="1824"/>
      <c r="QEW425" s="1824"/>
      <c r="QEX425" s="1824"/>
      <c r="QEY425" s="1824"/>
      <c r="QEZ425" s="1824"/>
      <c r="QFA425" s="1824"/>
      <c r="QFB425" s="1824"/>
      <c r="QFC425" s="1824"/>
      <c r="QFD425" s="1824"/>
      <c r="QFE425" s="1824"/>
      <c r="QFF425" s="1824"/>
      <c r="QFG425" s="1824"/>
      <c r="QFH425" s="1824"/>
      <c r="QFI425" s="1824"/>
      <c r="QFJ425" s="1824"/>
      <c r="QFK425" s="1824"/>
      <c r="QFL425" s="1824"/>
      <c r="QFM425" s="1824"/>
      <c r="QFN425" s="1824"/>
      <c r="QFO425" s="1824"/>
      <c r="QFP425" s="1824"/>
      <c r="QFQ425" s="1824"/>
      <c r="QFR425" s="1824"/>
      <c r="QFS425" s="1824"/>
      <c r="QFT425" s="1824"/>
      <c r="QFU425" s="1824"/>
      <c r="QFV425" s="1824"/>
      <c r="QFW425" s="1824"/>
      <c r="QFX425" s="1824"/>
      <c r="QFY425" s="1824"/>
      <c r="QFZ425" s="1824"/>
      <c r="QGA425" s="1824"/>
      <c r="QGB425" s="1824"/>
      <c r="QGC425" s="1824"/>
      <c r="QGD425" s="1824"/>
      <c r="QGE425" s="1824"/>
      <c r="QGF425" s="1824"/>
      <c r="QGG425" s="1824"/>
      <c r="QGH425" s="1824"/>
      <c r="QGI425" s="1824"/>
      <c r="QGJ425" s="1824"/>
      <c r="QGK425" s="1824"/>
      <c r="QGL425" s="1824"/>
      <c r="QGM425" s="1824"/>
      <c r="QGN425" s="1824"/>
      <c r="QGO425" s="1824"/>
      <c r="QGP425" s="1824"/>
      <c r="QGQ425" s="1824"/>
      <c r="QGR425" s="1824"/>
      <c r="QGS425" s="1824"/>
      <c r="QGT425" s="1824"/>
      <c r="QGU425" s="1824"/>
      <c r="QGV425" s="1824"/>
      <c r="QGW425" s="1824"/>
      <c r="QGX425" s="1824"/>
      <c r="QGY425" s="1824"/>
      <c r="QGZ425" s="1824"/>
      <c r="QHA425" s="1824"/>
      <c r="QHB425" s="1824"/>
      <c r="QHC425" s="1824"/>
      <c r="QHD425" s="1824"/>
      <c r="QHE425" s="1824"/>
      <c r="QHF425" s="1824"/>
      <c r="QHG425" s="1824"/>
      <c r="QHH425" s="1824"/>
      <c r="QHI425" s="1824"/>
      <c r="QHJ425" s="1824"/>
      <c r="QHK425" s="1824"/>
      <c r="QHL425" s="1824"/>
      <c r="QHM425" s="1824"/>
      <c r="QHN425" s="1824"/>
      <c r="QHO425" s="1824"/>
      <c r="QHP425" s="1824"/>
      <c r="QHQ425" s="1824"/>
      <c r="QHR425" s="1824"/>
      <c r="QHS425" s="1824"/>
      <c r="QHT425" s="1824"/>
      <c r="QHU425" s="1824"/>
      <c r="QHV425" s="1824"/>
      <c r="QHW425" s="1824"/>
      <c r="QHX425" s="1824"/>
      <c r="QHY425" s="1824"/>
      <c r="QHZ425" s="1824"/>
      <c r="QIA425" s="1824"/>
      <c r="QIB425" s="1824"/>
      <c r="QIC425" s="1824"/>
      <c r="QID425" s="1824"/>
      <c r="QIE425" s="1824"/>
      <c r="QIF425" s="1824"/>
      <c r="QIG425" s="1824"/>
      <c r="QIH425" s="1824"/>
      <c r="QII425" s="1824"/>
      <c r="QIJ425" s="1824"/>
      <c r="QIK425" s="1824"/>
      <c r="QIL425" s="1824"/>
      <c r="QIM425" s="1824"/>
      <c r="QIN425" s="1824"/>
      <c r="QIO425" s="1824"/>
      <c r="QIP425" s="1824"/>
      <c r="QIQ425" s="1824"/>
      <c r="QIR425" s="1824"/>
      <c r="QIS425" s="1824"/>
      <c r="QIT425" s="1824"/>
      <c r="QIU425" s="1824"/>
      <c r="QIV425" s="1824"/>
      <c r="QIW425" s="1824"/>
      <c r="QIX425" s="1824"/>
      <c r="QIY425" s="1824"/>
      <c r="QIZ425" s="1824"/>
      <c r="QJA425" s="1824"/>
      <c r="QJB425" s="1824"/>
      <c r="QJC425" s="1824"/>
      <c r="QJD425" s="1824"/>
      <c r="QJE425" s="1824"/>
      <c r="QJF425" s="1824"/>
      <c r="QJG425" s="1824"/>
      <c r="QJH425" s="1824"/>
      <c r="QJI425" s="1824"/>
      <c r="QJJ425" s="1824"/>
      <c r="QJK425" s="1824"/>
      <c r="QJL425" s="1824"/>
      <c r="QJM425" s="1824"/>
      <c r="QJN425" s="1824"/>
      <c r="QJO425" s="1824"/>
      <c r="QJP425" s="1824"/>
      <c r="QJQ425" s="1824"/>
      <c r="QJR425" s="1824"/>
      <c r="QJS425" s="1824"/>
      <c r="QJT425" s="1824"/>
      <c r="QJU425" s="1824"/>
      <c r="QJV425" s="1824"/>
      <c r="QJW425" s="1824"/>
      <c r="QJX425" s="1824"/>
      <c r="QJY425" s="1824"/>
      <c r="QJZ425" s="1824"/>
      <c r="QKA425" s="1824"/>
      <c r="QKB425" s="1824"/>
      <c r="QKC425" s="1824"/>
      <c r="QKD425" s="1824"/>
      <c r="QKE425" s="1824"/>
      <c r="QKF425" s="1824"/>
      <c r="QKG425" s="1824"/>
      <c r="QKH425" s="1824"/>
      <c r="QKI425" s="1824"/>
      <c r="QKJ425" s="1824"/>
      <c r="QKK425" s="1824"/>
      <c r="QKL425" s="1824"/>
      <c r="QKM425" s="1824"/>
      <c r="QKN425" s="1824"/>
      <c r="QKO425" s="1824"/>
      <c r="QKP425" s="1824"/>
      <c r="QKQ425" s="1824"/>
      <c r="QKR425" s="1824"/>
      <c r="QKS425" s="1824"/>
      <c r="QKT425" s="1824"/>
      <c r="QKU425" s="1824"/>
      <c r="QKV425" s="1824"/>
      <c r="QKW425" s="1824"/>
      <c r="QKX425" s="1824"/>
      <c r="QKY425" s="1824"/>
      <c r="QKZ425" s="1824"/>
      <c r="QLA425" s="1824"/>
      <c r="QLB425" s="1824"/>
      <c r="QLC425" s="1824"/>
      <c r="QLD425" s="1824"/>
      <c r="QLE425" s="1824"/>
      <c r="QLF425" s="1824"/>
      <c r="QLG425" s="1824"/>
      <c r="QLH425" s="1824"/>
      <c r="QLI425" s="1824"/>
      <c r="QLJ425" s="1824"/>
      <c r="QLK425" s="1824"/>
      <c r="QLL425" s="1824"/>
      <c r="QLM425" s="1824"/>
      <c r="QLN425" s="1824"/>
      <c r="QLO425" s="1824"/>
      <c r="QLP425" s="1824"/>
      <c r="QLQ425" s="1824"/>
      <c r="QLR425" s="1824"/>
      <c r="QLS425" s="1824"/>
      <c r="QLT425" s="1824"/>
      <c r="QLU425" s="1824"/>
      <c r="QLV425" s="1824"/>
      <c r="QLW425" s="1824"/>
      <c r="QLX425" s="1824"/>
      <c r="QLY425" s="1824"/>
      <c r="QLZ425" s="1824"/>
      <c r="QMA425" s="1824"/>
      <c r="QMB425" s="1824"/>
      <c r="QMC425" s="1824"/>
      <c r="QMD425" s="1824"/>
      <c r="QME425" s="1824"/>
      <c r="QMF425" s="1824"/>
      <c r="QMG425" s="1824"/>
      <c r="QMH425" s="1824"/>
      <c r="QMI425" s="1824"/>
      <c r="QMJ425" s="1824"/>
      <c r="QMK425" s="1824"/>
      <c r="QML425" s="1824"/>
      <c r="QMM425" s="1824"/>
      <c r="QMN425" s="1824"/>
      <c r="QMO425" s="1824"/>
      <c r="QMP425" s="1824"/>
      <c r="QMQ425" s="1824"/>
      <c r="QMR425" s="1824"/>
      <c r="QMS425" s="1824"/>
      <c r="QMT425" s="1824"/>
      <c r="QMU425" s="1824"/>
      <c r="QMV425" s="1824"/>
      <c r="QMW425" s="1824"/>
      <c r="QMX425" s="1824"/>
      <c r="QMY425" s="1824"/>
      <c r="QMZ425" s="1824"/>
      <c r="QNA425" s="1824"/>
      <c r="QNB425" s="1824"/>
      <c r="QNC425" s="1824"/>
      <c r="QND425" s="1824"/>
      <c r="QNE425" s="1824"/>
      <c r="QNF425" s="1824"/>
      <c r="QNG425" s="1824"/>
      <c r="QNH425" s="1824"/>
      <c r="QNI425" s="1824"/>
      <c r="QNJ425" s="1824"/>
      <c r="QNK425" s="1824"/>
      <c r="QNL425" s="1824"/>
      <c r="QNM425" s="1824"/>
      <c r="QNN425" s="1824"/>
      <c r="QNO425" s="1824"/>
      <c r="QNP425" s="1824"/>
      <c r="QNQ425" s="1824"/>
      <c r="QNR425" s="1824"/>
      <c r="QNS425" s="1824"/>
      <c r="QNT425" s="1824"/>
      <c r="QNU425" s="1824"/>
      <c r="QNV425" s="1824"/>
      <c r="QNW425" s="1824"/>
      <c r="QNX425" s="1824"/>
      <c r="QNY425" s="1824"/>
      <c r="QNZ425" s="1824"/>
      <c r="QOA425" s="1824"/>
      <c r="QOB425" s="1824"/>
      <c r="QOC425" s="1824"/>
      <c r="QOD425" s="1824"/>
      <c r="QOE425" s="1824"/>
      <c r="QOF425" s="1824"/>
      <c r="QOG425" s="1824"/>
      <c r="QOH425" s="1824"/>
      <c r="QOI425" s="1824"/>
      <c r="QOJ425" s="1824"/>
      <c r="QOK425" s="1824"/>
      <c r="QOL425" s="1824"/>
      <c r="QOM425" s="1824"/>
      <c r="QON425" s="1824"/>
      <c r="QOO425" s="1824"/>
      <c r="QOP425" s="1824"/>
      <c r="QOQ425" s="1824"/>
      <c r="QOR425" s="1824"/>
      <c r="QOS425" s="1824"/>
      <c r="QOT425" s="1824"/>
      <c r="QOU425" s="1824"/>
      <c r="QOV425" s="1824"/>
      <c r="QOW425" s="1824"/>
      <c r="QOX425" s="1824"/>
      <c r="QOY425" s="1824"/>
      <c r="QOZ425" s="1824"/>
      <c r="QPA425" s="1824"/>
      <c r="QPB425" s="1824"/>
      <c r="QPC425" s="1824"/>
      <c r="QPD425" s="1824"/>
      <c r="QPE425" s="1824"/>
      <c r="QPF425" s="1824"/>
      <c r="QPG425" s="1824"/>
      <c r="QPH425" s="1824"/>
      <c r="QPI425" s="1824"/>
      <c r="QPJ425" s="1824"/>
      <c r="QPK425" s="1824"/>
      <c r="QPL425" s="1824"/>
      <c r="QPM425" s="1824"/>
      <c r="QPN425" s="1824"/>
      <c r="QPO425" s="1824"/>
      <c r="QPP425" s="1824"/>
      <c r="QPQ425" s="1824"/>
      <c r="QPR425" s="1824"/>
      <c r="QPS425" s="1824"/>
      <c r="QPT425" s="1824"/>
      <c r="QPU425" s="1824"/>
      <c r="QPV425" s="1824"/>
      <c r="QPW425" s="1824"/>
      <c r="QPX425" s="1824"/>
      <c r="QPY425" s="1824"/>
      <c r="QPZ425" s="1824"/>
      <c r="QQA425" s="1824"/>
      <c r="QQB425" s="1824"/>
      <c r="QQC425" s="1824"/>
      <c r="QQD425" s="1824"/>
      <c r="QQE425" s="1824"/>
      <c r="QQF425" s="1824"/>
      <c r="QQG425" s="1824"/>
      <c r="QQH425" s="1824"/>
      <c r="QQI425" s="1824"/>
      <c r="QQJ425" s="1824"/>
      <c r="QQK425" s="1824"/>
      <c r="QQL425" s="1824"/>
      <c r="QQM425" s="1824"/>
      <c r="QQN425" s="1824"/>
      <c r="QQO425" s="1824"/>
      <c r="QQP425" s="1824"/>
      <c r="QQQ425" s="1824"/>
      <c r="QQR425" s="1824"/>
      <c r="QQS425" s="1824"/>
      <c r="QQT425" s="1824"/>
      <c r="QQU425" s="1824"/>
      <c r="QQV425" s="1824"/>
      <c r="QQW425" s="1824"/>
      <c r="QQX425" s="1824"/>
      <c r="QQY425" s="1824"/>
      <c r="QQZ425" s="1824"/>
      <c r="QRA425" s="1824"/>
      <c r="QRB425" s="1824"/>
      <c r="QRC425" s="1824"/>
      <c r="QRD425" s="1824"/>
      <c r="QRE425" s="1824"/>
      <c r="QRF425" s="1824"/>
      <c r="QRG425" s="1824"/>
      <c r="QRH425" s="1824"/>
      <c r="QRI425" s="1824"/>
      <c r="QRJ425" s="1824"/>
      <c r="QRK425" s="1824"/>
      <c r="QRL425" s="1824"/>
      <c r="QRM425" s="1824"/>
      <c r="QRN425" s="1824"/>
      <c r="QRO425" s="1824"/>
      <c r="QRP425" s="1824"/>
      <c r="QRQ425" s="1824"/>
      <c r="QRR425" s="1824"/>
      <c r="QRS425" s="1824"/>
      <c r="QRT425" s="1824"/>
      <c r="QRU425" s="1824"/>
      <c r="QRV425" s="1824"/>
      <c r="QRW425" s="1824"/>
      <c r="QRX425" s="1824"/>
      <c r="QRY425" s="1824"/>
      <c r="QRZ425" s="1824"/>
      <c r="QSA425" s="1824"/>
      <c r="QSB425" s="1824"/>
      <c r="QSC425" s="1824"/>
      <c r="QSD425" s="1824"/>
      <c r="QSE425" s="1824"/>
      <c r="QSF425" s="1824"/>
      <c r="QSG425" s="1824"/>
      <c r="QSH425" s="1824"/>
      <c r="QSI425" s="1824"/>
      <c r="QSJ425" s="1824"/>
      <c r="QSK425" s="1824"/>
      <c r="QSL425" s="1824"/>
      <c r="QSM425" s="1824"/>
      <c r="QSN425" s="1824"/>
      <c r="QSO425" s="1824"/>
      <c r="QSP425" s="1824"/>
      <c r="QSQ425" s="1824"/>
      <c r="QSR425" s="1824"/>
      <c r="QSS425" s="1824"/>
      <c r="QST425" s="1824"/>
      <c r="QSU425" s="1824"/>
      <c r="QSV425" s="1824"/>
      <c r="QSW425" s="1824"/>
      <c r="QSX425" s="1824"/>
      <c r="QSY425" s="1824"/>
      <c r="QSZ425" s="1824"/>
      <c r="QTA425" s="1824"/>
      <c r="QTB425" s="1824"/>
      <c r="QTC425" s="1824"/>
      <c r="QTD425" s="1824"/>
      <c r="QTE425" s="1824"/>
      <c r="QTF425" s="1824"/>
      <c r="QTG425" s="1824"/>
      <c r="QTH425" s="1824"/>
      <c r="QTI425" s="1824"/>
      <c r="QTJ425" s="1824"/>
      <c r="QTK425" s="1824"/>
      <c r="QTL425" s="1824"/>
      <c r="QTM425" s="1824"/>
      <c r="QTN425" s="1824"/>
      <c r="QTO425" s="1824"/>
      <c r="QTP425" s="1824"/>
      <c r="QTQ425" s="1824"/>
      <c r="QTR425" s="1824"/>
      <c r="QTS425" s="1824"/>
      <c r="QTT425" s="1824"/>
      <c r="QTU425" s="1824"/>
      <c r="QTV425" s="1824"/>
      <c r="QTW425" s="1824"/>
      <c r="QTX425" s="1824"/>
      <c r="QTY425" s="1824"/>
      <c r="QTZ425" s="1824"/>
      <c r="QUA425" s="1824"/>
      <c r="QUB425" s="1824"/>
      <c r="QUC425" s="1824"/>
      <c r="QUD425" s="1824"/>
      <c r="QUE425" s="1824"/>
      <c r="QUF425" s="1824"/>
      <c r="QUG425" s="1824"/>
      <c r="QUH425" s="1824"/>
      <c r="QUI425" s="1824"/>
      <c r="QUJ425" s="1824"/>
      <c r="QUK425" s="1824"/>
      <c r="QUL425" s="1824"/>
      <c r="QUM425" s="1824"/>
      <c r="QUN425" s="1824"/>
      <c r="QUO425" s="1824"/>
      <c r="QUP425" s="1824"/>
      <c r="QUQ425" s="1824"/>
      <c r="QUR425" s="1824"/>
      <c r="QUS425" s="1824"/>
      <c r="QUT425" s="1824"/>
      <c r="QUU425" s="1824"/>
      <c r="QUV425" s="1824"/>
      <c r="QUW425" s="1824"/>
      <c r="QUX425" s="1824"/>
      <c r="QUY425" s="1824"/>
      <c r="QUZ425" s="1824"/>
      <c r="QVA425" s="1824"/>
      <c r="QVB425" s="1824"/>
      <c r="QVC425" s="1824"/>
      <c r="QVD425" s="1824"/>
      <c r="QVE425" s="1824"/>
      <c r="QVF425" s="1824"/>
      <c r="QVG425" s="1824"/>
      <c r="QVH425" s="1824"/>
      <c r="QVI425" s="1824"/>
      <c r="QVJ425" s="1824"/>
      <c r="QVK425" s="1824"/>
      <c r="QVL425" s="1824"/>
      <c r="QVM425" s="1824"/>
      <c r="QVN425" s="1824"/>
      <c r="QVO425" s="1824"/>
      <c r="QVP425" s="1824"/>
      <c r="QVQ425" s="1824"/>
      <c r="QVR425" s="1824"/>
      <c r="QVS425" s="1824"/>
      <c r="QVT425" s="1824"/>
      <c r="QVU425" s="1824"/>
      <c r="QVV425" s="1824"/>
      <c r="QVW425" s="1824"/>
      <c r="QVX425" s="1824"/>
      <c r="QVY425" s="1824"/>
      <c r="QVZ425" s="1824"/>
      <c r="QWA425" s="1824"/>
      <c r="QWB425" s="1824"/>
      <c r="QWC425" s="1824"/>
      <c r="QWD425" s="1824"/>
      <c r="QWE425" s="1824"/>
      <c r="QWF425" s="1824"/>
      <c r="QWG425" s="1824"/>
      <c r="QWH425" s="1824"/>
      <c r="QWI425" s="1824"/>
      <c r="QWJ425" s="1824"/>
      <c r="QWK425" s="1824"/>
      <c r="QWL425" s="1824"/>
      <c r="QWM425" s="1824"/>
      <c r="QWN425" s="1824"/>
      <c r="QWO425" s="1824"/>
      <c r="QWP425" s="1824"/>
      <c r="QWQ425" s="1824"/>
      <c r="QWR425" s="1824"/>
      <c r="QWS425" s="1824"/>
      <c r="QWT425" s="1824"/>
      <c r="QWU425" s="1824"/>
      <c r="QWV425" s="1824"/>
      <c r="QWW425" s="1824"/>
      <c r="QWX425" s="1824"/>
      <c r="QWY425" s="1824"/>
      <c r="QWZ425" s="1824"/>
      <c r="QXA425" s="1824"/>
      <c r="QXB425" s="1824"/>
      <c r="QXC425" s="1824"/>
      <c r="QXD425" s="1824"/>
      <c r="QXE425" s="1824"/>
      <c r="QXF425" s="1824"/>
      <c r="QXG425" s="1824"/>
      <c r="QXH425" s="1824"/>
      <c r="QXI425" s="1824"/>
      <c r="QXJ425" s="1824"/>
      <c r="QXK425" s="1824"/>
      <c r="QXL425" s="1824"/>
      <c r="QXM425" s="1824"/>
      <c r="QXN425" s="1824"/>
      <c r="QXO425" s="1824"/>
      <c r="QXP425" s="1824"/>
      <c r="QXQ425" s="1824"/>
      <c r="QXR425" s="1824"/>
      <c r="QXS425" s="1824"/>
      <c r="QXT425" s="1824"/>
      <c r="QXU425" s="1824"/>
      <c r="QXV425" s="1824"/>
      <c r="QXW425" s="1824"/>
      <c r="QXX425" s="1824"/>
      <c r="QXY425" s="1824"/>
      <c r="QXZ425" s="1824"/>
      <c r="QYA425" s="1824"/>
      <c r="QYB425" s="1824"/>
      <c r="QYC425" s="1824"/>
      <c r="QYD425" s="1824"/>
      <c r="QYE425" s="1824"/>
      <c r="QYF425" s="1824"/>
      <c r="QYG425" s="1824"/>
      <c r="QYH425" s="1824"/>
      <c r="QYI425" s="1824"/>
      <c r="QYJ425" s="1824"/>
      <c r="QYK425" s="1824"/>
      <c r="QYL425" s="1824"/>
      <c r="QYM425" s="1824"/>
      <c r="QYN425" s="1824"/>
      <c r="QYO425" s="1824"/>
      <c r="QYP425" s="1824"/>
      <c r="QYQ425" s="1824"/>
      <c r="QYR425" s="1824"/>
      <c r="QYS425" s="1824"/>
      <c r="QYT425" s="1824"/>
      <c r="QYU425" s="1824"/>
      <c r="QYV425" s="1824"/>
      <c r="QYW425" s="1824"/>
      <c r="QYX425" s="1824"/>
      <c r="QYY425" s="1824"/>
      <c r="QYZ425" s="1824"/>
      <c r="QZA425" s="1824"/>
      <c r="QZB425" s="1824"/>
      <c r="QZC425" s="1824"/>
      <c r="QZD425" s="1824"/>
      <c r="QZE425" s="1824"/>
      <c r="QZF425" s="1824"/>
      <c r="QZG425" s="1824"/>
      <c r="QZH425" s="1824"/>
      <c r="QZI425" s="1824"/>
      <c r="QZJ425" s="1824"/>
      <c r="QZK425" s="1824"/>
      <c r="QZL425" s="1824"/>
      <c r="QZM425" s="1824"/>
      <c r="QZN425" s="1824"/>
      <c r="QZO425" s="1824"/>
      <c r="QZP425" s="1824"/>
      <c r="QZQ425" s="1824"/>
      <c r="QZR425" s="1824"/>
      <c r="QZS425" s="1824"/>
      <c r="QZT425" s="1824"/>
      <c r="QZU425" s="1824"/>
      <c r="QZV425" s="1824"/>
      <c r="QZW425" s="1824"/>
      <c r="QZX425" s="1824"/>
      <c r="QZY425" s="1824"/>
      <c r="QZZ425" s="1824"/>
      <c r="RAA425" s="1824"/>
      <c r="RAB425" s="1824"/>
      <c r="RAC425" s="1824"/>
      <c r="RAD425" s="1824"/>
      <c r="RAE425" s="1824"/>
      <c r="RAF425" s="1824"/>
      <c r="RAG425" s="1824"/>
      <c r="RAH425" s="1824"/>
      <c r="RAI425" s="1824"/>
      <c r="RAJ425" s="1824"/>
      <c r="RAK425" s="1824"/>
      <c r="RAL425" s="1824"/>
      <c r="RAM425" s="1824"/>
      <c r="RAN425" s="1824"/>
      <c r="RAO425" s="1824"/>
      <c r="RAP425" s="1824"/>
      <c r="RAQ425" s="1824"/>
      <c r="RAR425" s="1824"/>
      <c r="RAS425" s="1824"/>
      <c r="RAT425" s="1824"/>
      <c r="RAU425" s="1824"/>
      <c r="RAV425" s="1824"/>
      <c r="RAW425" s="1824"/>
      <c r="RAX425" s="1824"/>
      <c r="RAY425" s="1824"/>
      <c r="RAZ425" s="1824"/>
      <c r="RBA425" s="1824"/>
      <c r="RBB425" s="1824"/>
      <c r="RBC425" s="1824"/>
      <c r="RBD425" s="1824"/>
      <c r="RBE425" s="1824"/>
      <c r="RBF425" s="1824"/>
      <c r="RBG425" s="1824"/>
      <c r="RBH425" s="1824"/>
      <c r="RBI425" s="1824"/>
      <c r="RBJ425" s="1824"/>
      <c r="RBK425" s="1824"/>
      <c r="RBL425" s="1824"/>
      <c r="RBM425" s="1824"/>
      <c r="RBN425" s="1824"/>
      <c r="RBO425" s="1824"/>
      <c r="RBP425" s="1824"/>
      <c r="RBQ425" s="1824"/>
      <c r="RBR425" s="1824"/>
      <c r="RBS425" s="1824"/>
      <c r="RBT425" s="1824"/>
      <c r="RBU425" s="1824"/>
      <c r="RBV425" s="1824"/>
      <c r="RBW425" s="1824"/>
      <c r="RBX425" s="1824"/>
      <c r="RBY425" s="1824"/>
      <c r="RBZ425" s="1824"/>
      <c r="RCA425" s="1824"/>
      <c r="RCB425" s="1824"/>
      <c r="RCC425" s="1824"/>
      <c r="RCD425" s="1824"/>
      <c r="RCE425" s="1824"/>
      <c r="RCF425" s="1824"/>
      <c r="RCG425" s="1824"/>
      <c r="RCH425" s="1824"/>
      <c r="RCI425" s="1824"/>
      <c r="RCJ425" s="1824"/>
      <c r="RCK425" s="1824"/>
      <c r="RCL425" s="1824"/>
      <c r="RCM425" s="1824"/>
      <c r="RCN425" s="1824"/>
      <c r="RCO425" s="1824"/>
      <c r="RCP425" s="1824"/>
      <c r="RCQ425" s="1824"/>
      <c r="RCR425" s="1824"/>
      <c r="RCS425" s="1824"/>
      <c r="RCT425" s="1824"/>
      <c r="RCU425" s="1824"/>
      <c r="RCV425" s="1824"/>
      <c r="RCW425" s="1824"/>
      <c r="RCX425" s="1824"/>
      <c r="RCY425" s="1824"/>
      <c r="RCZ425" s="1824"/>
      <c r="RDA425" s="1824"/>
      <c r="RDB425" s="1824"/>
      <c r="RDC425" s="1824"/>
      <c r="RDD425" s="1824"/>
      <c r="RDE425" s="1824"/>
      <c r="RDF425" s="1824"/>
      <c r="RDG425" s="1824"/>
      <c r="RDH425" s="1824"/>
      <c r="RDI425" s="1824"/>
      <c r="RDJ425" s="1824"/>
      <c r="RDK425" s="1824"/>
      <c r="RDL425" s="1824"/>
      <c r="RDM425" s="1824"/>
      <c r="RDN425" s="1824"/>
      <c r="RDO425" s="1824"/>
      <c r="RDP425" s="1824"/>
      <c r="RDQ425" s="1824"/>
      <c r="RDR425" s="1824"/>
      <c r="RDS425" s="1824"/>
      <c r="RDT425" s="1824"/>
      <c r="RDU425" s="1824"/>
      <c r="RDV425" s="1824"/>
      <c r="RDW425" s="1824"/>
      <c r="RDX425" s="1824"/>
      <c r="RDY425" s="1824"/>
      <c r="RDZ425" s="1824"/>
      <c r="REA425" s="1824"/>
      <c r="REB425" s="1824"/>
      <c r="REC425" s="1824"/>
      <c r="RED425" s="1824"/>
      <c r="REE425" s="1824"/>
      <c r="REF425" s="1824"/>
      <c r="REG425" s="1824"/>
      <c r="REH425" s="1824"/>
      <c r="REI425" s="1824"/>
      <c r="REJ425" s="1824"/>
      <c r="REK425" s="1824"/>
      <c r="REL425" s="1824"/>
      <c r="REM425" s="1824"/>
      <c r="REN425" s="1824"/>
      <c r="REO425" s="1824"/>
      <c r="REP425" s="1824"/>
      <c r="REQ425" s="1824"/>
      <c r="RER425" s="1824"/>
      <c r="RES425" s="1824"/>
      <c r="RET425" s="1824"/>
      <c r="REU425" s="1824"/>
      <c r="REV425" s="1824"/>
      <c r="REW425" s="1824"/>
      <c r="REX425" s="1824"/>
      <c r="REY425" s="1824"/>
      <c r="REZ425" s="1824"/>
      <c r="RFA425" s="1824"/>
      <c r="RFB425" s="1824"/>
      <c r="RFC425" s="1824"/>
      <c r="RFD425" s="1824"/>
      <c r="RFE425" s="1824"/>
      <c r="RFF425" s="1824"/>
      <c r="RFG425" s="1824"/>
      <c r="RFH425" s="1824"/>
      <c r="RFI425" s="1824"/>
      <c r="RFJ425" s="1824"/>
      <c r="RFK425" s="1824"/>
      <c r="RFL425" s="1824"/>
      <c r="RFM425" s="1824"/>
      <c r="RFN425" s="1824"/>
      <c r="RFO425" s="1824"/>
      <c r="RFP425" s="1824"/>
      <c r="RFQ425" s="1824"/>
      <c r="RFR425" s="1824"/>
      <c r="RFS425" s="1824"/>
      <c r="RFT425" s="1824"/>
      <c r="RFU425" s="1824"/>
      <c r="RFV425" s="1824"/>
      <c r="RFW425" s="1824"/>
      <c r="RFX425" s="1824"/>
      <c r="RFY425" s="1824"/>
      <c r="RFZ425" s="1824"/>
      <c r="RGA425" s="1824"/>
      <c r="RGB425" s="1824"/>
      <c r="RGC425" s="1824"/>
      <c r="RGD425" s="1824"/>
      <c r="RGE425" s="1824"/>
      <c r="RGF425" s="1824"/>
      <c r="RGG425" s="1824"/>
      <c r="RGH425" s="1824"/>
      <c r="RGI425" s="1824"/>
      <c r="RGJ425" s="1824"/>
      <c r="RGK425" s="1824"/>
      <c r="RGL425" s="1824"/>
      <c r="RGM425" s="1824"/>
      <c r="RGN425" s="1824"/>
      <c r="RGO425" s="1824"/>
      <c r="RGP425" s="1824"/>
      <c r="RGQ425" s="1824"/>
      <c r="RGR425" s="1824"/>
      <c r="RGS425" s="1824"/>
      <c r="RGT425" s="1824"/>
      <c r="RGU425" s="1824"/>
      <c r="RGV425" s="1824"/>
      <c r="RGW425" s="1824"/>
      <c r="RGX425" s="1824"/>
      <c r="RGY425" s="1824"/>
      <c r="RGZ425" s="1824"/>
      <c r="RHA425" s="1824"/>
      <c r="RHB425" s="1824"/>
      <c r="RHC425" s="1824"/>
      <c r="RHD425" s="1824"/>
      <c r="RHE425" s="1824"/>
      <c r="RHF425" s="1824"/>
      <c r="RHG425" s="1824"/>
      <c r="RHH425" s="1824"/>
      <c r="RHI425" s="1824"/>
      <c r="RHJ425" s="1824"/>
      <c r="RHK425" s="1824"/>
      <c r="RHL425" s="1824"/>
      <c r="RHM425" s="1824"/>
      <c r="RHN425" s="1824"/>
      <c r="RHO425" s="1824"/>
      <c r="RHP425" s="1824"/>
      <c r="RHQ425" s="1824"/>
      <c r="RHR425" s="1824"/>
      <c r="RHS425" s="1824"/>
      <c r="RHT425" s="1824"/>
      <c r="RHU425" s="1824"/>
      <c r="RHV425" s="1824"/>
      <c r="RHW425" s="1824"/>
      <c r="RHX425" s="1824"/>
      <c r="RHY425" s="1824"/>
      <c r="RHZ425" s="1824"/>
      <c r="RIA425" s="1824"/>
      <c r="RIB425" s="1824"/>
      <c r="RIC425" s="1824"/>
      <c r="RID425" s="1824"/>
      <c r="RIE425" s="1824"/>
      <c r="RIF425" s="1824"/>
      <c r="RIG425" s="1824"/>
      <c r="RIH425" s="1824"/>
      <c r="RII425" s="1824"/>
      <c r="RIJ425" s="1824"/>
      <c r="RIK425" s="1824"/>
      <c r="RIL425" s="1824"/>
      <c r="RIM425" s="1824"/>
      <c r="RIN425" s="1824"/>
      <c r="RIO425" s="1824"/>
      <c r="RIP425" s="1824"/>
      <c r="RIQ425" s="1824"/>
      <c r="RIR425" s="1824"/>
      <c r="RIS425" s="1824"/>
      <c r="RIT425" s="1824"/>
      <c r="RIU425" s="1824"/>
      <c r="RIV425" s="1824"/>
      <c r="RIW425" s="1824"/>
      <c r="RIX425" s="1824"/>
      <c r="RIY425" s="1824"/>
      <c r="RIZ425" s="1824"/>
      <c r="RJA425" s="1824"/>
      <c r="RJB425" s="1824"/>
      <c r="RJC425" s="1824"/>
      <c r="RJD425" s="1824"/>
      <c r="RJE425" s="1824"/>
      <c r="RJF425" s="1824"/>
      <c r="RJG425" s="1824"/>
      <c r="RJH425" s="1824"/>
      <c r="RJI425" s="1824"/>
      <c r="RJJ425" s="1824"/>
      <c r="RJK425" s="1824"/>
      <c r="RJL425" s="1824"/>
      <c r="RJM425" s="1824"/>
      <c r="RJN425" s="1824"/>
      <c r="RJO425" s="1824"/>
      <c r="RJP425" s="1824"/>
      <c r="RJQ425" s="1824"/>
      <c r="RJR425" s="1824"/>
      <c r="RJS425" s="1824"/>
      <c r="RJT425" s="1824"/>
      <c r="RJU425" s="1824"/>
      <c r="RJV425" s="1824"/>
      <c r="RJW425" s="1824"/>
      <c r="RJX425" s="1824"/>
      <c r="RJY425" s="1824"/>
      <c r="RJZ425" s="1824"/>
      <c r="RKA425" s="1824"/>
      <c r="RKB425" s="1824"/>
      <c r="RKC425" s="1824"/>
      <c r="RKD425" s="1824"/>
      <c r="RKE425" s="1824"/>
      <c r="RKF425" s="1824"/>
      <c r="RKG425" s="1824"/>
      <c r="RKH425" s="1824"/>
      <c r="RKI425" s="1824"/>
      <c r="RKJ425" s="1824"/>
      <c r="RKK425" s="1824"/>
      <c r="RKL425" s="1824"/>
      <c r="RKM425" s="1824"/>
      <c r="RKN425" s="1824"/>
      <c r="RKO425" s="1824"/>
      <c r="RKP425" s="1824"/>
      <c r="RKQ425" s="1824"/>
      <c r="RKR425" s="1824"/>
      <c r="RKS425" s="1824"/>
      <c r="RKT425" s="1824"/>
      <c r="RKU425" s="1824"/>
      <c r="RKV425" s="1824"/>
      <c r="RKW425" s="1824"/>
      <c r="RKX425" s="1824"/>
      <c r="RKY425" s="1824"/>
      <c r="RKZ425" s="1824"/>
      <c r="RLA425" s="1824"/>
      <c r="RLB425" s="1824"/>
      <c r="RLC425" s="1824"/>
      <c r="RLD425" s="1824"/>
      <c r="RLE425" s="1824"/>
      <c r="RLF425" s="1824"/>
      <c r="RLG425" s="1824"/>
      <c r="RLH425" s="1824"/>
      <c r="RLI425" s="1824"/>
      <c r="RLJ425" s="1824"/>
      <c r="RLK425" s="1824"/>
      <c r="RLL425" s="1824"/>
      <c r="RLM425" s="1824"/>
      <c r="RLN425" s="1824"/>
      <c r="RLO425" s="1824"/>
      <c r="RLP425" s="1824"/>
      <c r="RLQ425" s="1824"/>
      <c r="RLR425" s="1824"/>
      <c r="RLS425" s="1824"/>
      <c r="RLT425" s="1824"/>
      <c r="RLU425" s="1824"/>
      <c r="RLV425" s="1824"/>
      <c r="RLW425" s="1824"/>
      <c r="RLX425" s="1824"/>
      <c r="RLY425" s="1824"/>
      <c r="RLZ425" s="1824"/>
      <c r="RMA425" s="1824"/>
      <c r="RMB425" s="1824"/>
      <c r="RMC425" s="1824"/>
      <c r="RMD425" s="1824"/>
      <c r="RME425" s="1824"/>
      <c r="RMF425" s="1824"/>
      <c r="RMG425" s="1824"/>
      <c r="RMH425" s="1824"/>
      <c r="RMI425" s="1824"/>
      <c r="RMJ425" s="1824"/>
      <c r="RMK425" s="1824"/>
      <c r="RML425" s="1824"/>
      <c r="RMM425" s="1824"/>
      <c r="RMN425" s="1824"/>
      <c r="RMO425" s="1824"/>
      <c r="RMP425" s="1824"/>
      <c r="RMQ425" s="1824"/>
      <c r="RMR425" s="1824"/>
      <c r="RMS425" s="1824"/>
      <c r="RMT425" s="1824"/>
      <c r="RMU425" s="1824"/>
      <c r="RMV425" s="1824"/>
      <c r="RMW425" s="1824"/>
      <c r="RMX425" s="1824"/>
      <c r="RMY425" s="1824"/>
      <c r="RMZ425" s="1824"/>
      <c r="RNA425" s="1824"/>
      <c r="RNB425" s="1824"/>
      <c r="RNC425" s="1824"/>
      <c r="RND425" s="1824"/>
      <c r="RNE425" s="1824"/>
      <c r="RNF425" s="1824"/>
      <c r="RNG425" s="1824"/>
      <c r="RNH425" s="1824"/>
      <c r="RNI425" s="1824"/>
      <c r="RNJ425" s="1824"/>
      <c r="RNK425" s="1824"/>
      <c r="RNL425" s="1824"/>
      <c r="RNM425" s="1824"/>
      <c r="RNN425" s="1824"/>
      <c r="RNO425" s="1824"/>
      <c r="RNP425" s="1824"/>
      <c r="RNQ425" s="1824"/>
      <c r="RNR425" s="1824"/>
      <c r="RNS425" s="1824"/>
      <c r="RNT425" s="1824"/>
      <c r="RNU425" s="1824"/>
      <c r="RNV425" s="1824"/>
      <c r="RNW425" s="1824"/>
      <c r="RNX425" s="1824"/>
      <c r="RNY425" s="1824"/>
      <c r="RNZ425" s="1824"/>
      <c r="ROA425" s="1824"/>
      <c r="ROB425" s="1824"/>
      <c r="ROC425" s="1824"/>
      <c r="ROD425" s="1824"/>
      <c r="ROE425" s="1824"/>
      <c r="ROF425" s="1824"/>
      <c r="ROG425" s="1824"/>
      <c r="ROH425" s="1824"/>
      <c r="ROI425" s="1824"/>
      <c r="ROJ425" s="1824"/>
      <c r="ROK425" s="1824"/>
      <c r="ROL425" s="1824"/>
      <c r="ROM425" s="1824"/>
      <c r="RON425" s="1824"/>
      <c r="ROO425" s="1824"/>
      <c r="ROP425" s="1824"/>
      <c r="ROQ425" s="1824"/>
      <c r="ROR425" s="1824"/>
      <c r="ROS425" s="1824"/>
      <c r="ROT425" s="1824"/>
      <c r="ROU425" s="1824"/>
      <c r="ROV425" s="1824"/>
      <c r="ROW425" s="1824"/>
      <c r="ROX425" s="1824"/>
      <c r="ROY425" s="1824"/>
      <c r="ROZ425" s="1824"/>
      <c r="RPA425" s="1824"/>
      <c r="RPB425" s="1824"/>
      <c r="RPC425" s="1824"/>
      <c r="RPD425" s="1824"/>
      <c r="RPE425" s="1824"/>
      <c r="RPF425" s="1824"/>
      <c r="RPG425" s="1824"/>
      <c r="RPH425" s="1824"/>
      <c r="RPI425" s="1824"/>
      <c r="RPJ425" s="1824"/>
      <c r="RPK425" s="1824"/>
      <c r="RPL425" s="1824"/>
      <c r="RPM425" s="1824"/>
      <c r="RPN425" s="1824"/>
      <c r="RPO425" s="1824"/>
      <c r="RPP425" s="1824"/>
      <c r="RPQ425" s="1824"/>
      <c r="RPR425" s="1824"/>
      <c r="RPS425" s="1824"/>
      <c r="RPT425" s="1824"/>
      <c r="RPU425" s="1824"/>
      <c r="RPV425" s="1824"/>
      <c r="RPW425" s="1824"/>
      <c r="RPX425" s="1824"/>
      <c r="RPY425" s="1824"/>
      <c r="RPZ425" s="1824"/>
      <c r="RQA425" s="1824"/>
      <c r="RQB425" s="1824"/>
      <c r="RQC425" s="1824"/>
      <c r="RQD425" s="1824"/>
      <c r="RQE425" s="1824"/>
      <c r="RQF425" s="1824"/>
      <c r="RQG425" s="1824"/>
      <c r="RQH425" s="1824"/>
      <c r="RQI425" s="1824"/>
      <c r="RQJ425" s="1824"/>
      <c r="RQK425" s="1824"/>
      <c r="RQL425" s="1824"/>
      <c r="RQM425" s="1824"/>
      <c r="RQN425" s="1824"/>
      <c r="RQO425" s="1824"/>
      <c r="RQP425" s="1824"/>
      <c r="RQQ425" s="1824"/>
      <c r="RQR425" s="1824"/>
      <c r="RQS425" s="1824"/>
      <c r="RQT425" s="1824"/>
      <c r="RQU425" s="1824"/>
      <c r="RQV425" s="1824"/>
      <c r="RQW425" s="1824"/>
      <c r="RQX425" s="1824"/>
      <c r="RQY425" s="1824"/>
      <c r="RQZ425" s="1824"/>
      <c r="RRA425" s="1824"/>
      <c r="RRB425" s="1824"/>
      <c r="RRC425" s="1824"/>
      <c r="RRD425" s="1824"/>
      <c r="RRE425" s="1824"/>
      <c r="RRF425" s="1824"/>
      <c r="RRG425" s="1824"/>
      <c r="RRH425" s="1824"/>
      <c r="RRI425" s="1824"/>
      <c r="RRJ425" s="1824"/>
      <c r="RRK425" s="1824"/>
      <c r="RRL425" s="1824"/>
      <c r="RRM425" s="1824"/>
      <c r="RRN425" s="1824"/>
      <c r="RRO425" s="1824"/>
      <c r="RRP425" s="1824"/>
      <c r="RRQ425" s="1824"/>
      <c r="RRR425" s="1824"/>
      <c r="RRS425" s="1824"/>
      <c r="RRT425" s="1824"/>
      <c r="RRU425" s="1824"/>
      <c r="RRV425" s="1824"/>
      <c r="RRW425" s="1824"/>
      <c r="RRX425" s="1824"/>
      <c r="RRY425" s="1824"/>
      <c r="RRZ425" s="1824"/>
      <c r="RSA425" s="1824"/>
      <c r="RSB425" s="1824"/>
      <c r="RSC425" s="1824"/>
      <c r="RSD425" s="1824"/>
      <c r="RSE425" s="1824"/>
      <c r="RSF425" s="1824"/>
      <c r="RSG425" s="1824"/>
      <c r="RSH425" s="1824"/>
      <c r="RSI425" s="1824"/>
      <c r="RSJ425" s="1824"/>
      <c r="RSK425" s="1824"/>
      <c r="RSL425" s="1824"/>
      <c r="RSM425" s="1824"/>
      <c r="RSN425" s="1824"/>
      <c r="RSO425" s="1824"/>
      <c r="RSP425" s="1824"/>
      <c r="RSQ425" s="1824"/>
      <c r="RSR425" s="1824"/>
      <c r="RSS425" s="1824"/>
      <c r="RST425" s="1824"/>
      <c r="RSU425" s="1824"/>
      <c r="RSV425" s="1824"/>
      <c r="RSW425" s="1824"/>
      <c r="RSX425" s="1824"/>
      <c r="RSY425" s="1824"/>
      <c r="RSZ425" s="1824"/>
      <c r="RTA425" s="1824"/>
      <c r="RTB425" s="1824"/>
      <c r="RTC425" s="1824"/>
      <c r="RTD425" s="1824"/>
      <c r="RTE425" s="1824"/>
      <c r="RTF425" s="1824"/>
      <c r="RTG425" s="1824"/>
      <c r="RTH425" s="1824"/>
      <c r="RTI425" s="1824"/>
      <c r="RTJ425" s="1824"/>
      <c r="RTK425" s="1824"/>
      <c r="RTL425" s="1824"/>
      <c r="RTM425" s="1824"/>
      <c r="RTN425" s="1824"/>
      <c r="RTO425" s="1824"/>
      <c r="RTP425" s="1824"/>
      <c r="RTQ425" s="1824"/>
      <c r="RTR425" s="1824"/>
      <c r="RTS425" s="1824"/>
      <c r="RTT425" s="1824"/>
      <c r="RTU425" s="1824"/>
      <c r="RTV425" s="1824"/>
      <c r="RTW425" s="1824"/>
      <c r="RTX425" s="1824"/>
      <c r="RTY425" s="1824"/>
      <c r="RTZ425" s="1824"/>
      <c r="RUA425" s="1824"/>
      <c r="RUB425" s="1824"/>
      <c r="RUC425" s="1824"/>
      <c r="RUD425" s="1824"/>
      <c r="RUE425" s="1824"/>
      <c r="RUF425" s="1824"/>
      <c r="RUG425" s="1824"/>
      <c r="RUH425" s="1824"/>
      <c r="RUI425" s="1824"/>
      <c r="RUJ425" s="1824"/>
      <c r="RUK425" s="1824"/>
      <c r="RUL425" s="1824"/>
      <c r="RUM425" s="1824"/>
      <c r="RUN425" s="1824"/>
      <c r="RUO425" s="1824"/>
      <c r="RUP425" s="1824"/>
      <c r="RUQ425" s="1824"/>
      <c r="RUR425" s="1824"/>
      <c r="RUS425" s="1824"/>
      <c r="RUT425" s="1824"/>
      <c r="RUU425" s="1824"/>
      <c r="RUV425" s="1824"/>
      <c r="RUW425" s="1824"/>
      <c r="RUX425" s="1824"/>
      <c r="RUY425" s="1824"/>
      <c r="RUZ425" s="1824"/>
      <c r="RVA425" s="1824"/>
      <c r="RVB425" s="1824"/>
      <c r="RVC425" s="1824"/>
      <c r="RVD425" s="1824"/>
      <c r="RVE425" s="1824"/>
      <c r="RVF425" s="1824"/>
      <c r="RVG425" s="1824"/>
      <c r="RVH425" s="1824"/>
      <c r="RVI425" s="1824"/>
      <c r="RVJ425" s="1824"/>
      <c r="RVK425" s="1824"/>
      <c r="RVL425" s="1824"/>
      <c r="RVM425" s="1824"/>
      <c r="RVN425" s="1824"/>
      <c r="RVO425" s="1824"/>
      <c r="RVP425" s="1824"/>
      <c r="RVQ425" s="1824"/>
      <c r="RVR425" s="1824"/>
      <c r="RVS425" s="1824"/>
      <c r="RVT425" s="1824"/>
      <c r="RVU425" s="1824"/>
      <c r="RVV425" s="1824"/>
      <c r="RVW425" s="1824"/>
      <c r="RVX425" s="1824"/>
      <c r="RVY425" s="1824"/>
      <c r="RVZ425" s="1824"/>
      <c r="RWA425" s="1824"/>
      <c r="RWB425" s="1824"/>
      <c r="RWC425" s="1824"/>
      <c r="RWD425" s="1824"/>
      <c r="RWE425" s="1824"/>
      <c r="RWF425" s="1824"/>
      <c r="RWG425" s="1824"/>
      <c r="RWH425" s="1824"/>
      <c r="RWI425" s="1824"/>
      <c r="RWJ425" s="1824"/>
      <c r="RWK425" s="1824"/>
      <c r="RWL425" s="1824"/>
      <c r="RWM425" s="1824"/>
      <c r="RWN425" s="1824"/>
      <c r="RWO425" s="1824"/>
      <c r="RWP425" s="1824"/>
      <c r="RWQ425" s="1824"/>
      <c r="RWR425" s="1824"/>
      <c r="RWS425" s="1824"/>
      <c r="RWT425" s="1824"/>
      <c r="RWU425" s="1824"/>
      <c r="RWV425" s="1824"/>
      <c r="RWW425" s="1824"/>
      <c r="RWX425" s="1824"/>
      <c r="RWY425" s="1824"/>
      <c r="RWZ425" s="1824"/>
      <c r="RXA425" s="1824"/>
      <c r="RXB425" s="1824"/>
      <c r="RXC425" s="1824"/>
      <c r="RXD425" s="1824"/>
      <c r="RXE425" s="1824"/>
      <c r="RXF425" s="1824"/>
      <c r="RXG425" s="1824"/>
      <c r="RXH425" s="1824"/>
      <c r="RXI425" s="1824"/>
      <c r="RXJ425" s="1824"/>
      <c r="RXK425" s="1824"/>
      <c r="RXL425" s="1824"/>
      <c r="RXM425" s="1824"/>
      <c r="RXN425" s="1824"/>
      <c r="RXO425" s="1824"/>
      <c r="RXP425" s="1824"/>
      <c r="RXQ425" s="1824"/>
      <c r="RXR425" s="1824"/>
      <c r="RXS425" s="1824"/>
      <c r="RXT425" s="1824"/>
      <c r="RXU425" s="1824"/>
      <c r="RXV425" s="1824"/>
      <c r="RXW425" s="1824"/>
      <c r="RXX425" s="1824"/>
      <c r="RXY425" s="1824"/>
      <c r="RXZ425" s="1824"/>
      <c r="RYA425" s="1824"/>
      <c r="RYB425" s="1824"/>
      <c r="RYC425" s="1824"/>
      <c r="RYD425" s="1824"/>
      <c r="RYE425" s="1824"/>
      <c r="RYF425" s="1824"/>
      <c r="RYG425" s="1824"/>
      <c r="RYH425" s="1824"/>
      <c r="RYI425" s="1824"/>
      <c r="RYJ425" s="1824"/>
      <c r="RYK425" s="1824"/>
      <c r="RYL425" s="1824"/>
      <c r="RYM425" s="1824"/>
      <c r="RYN425" s="1824"/>
      <c r="RYO425" s="1824"/>
      <c r="RYP425" s="1824"/>
      <c r="RYQ425" s="1824"/>
      <c r="RYR425" s="1824"/>
      <c r="RYS425" s="1824"/>
      <c r="RYT425" s="1824"/>
      <c r="RYU425" s="1824"/>
      <c r="RYV425" s="1824"/>
      <c r="RYW425" s="1824"/>
      <c r="RYX425" s="1824"/>
      <c r="RYY425" s="1824"/>
      <c r="RYZ425" s="1824"/>
      <c r="RZA425" s="1824"/>
      <c r="RZB425" s="1824"/>
      <c r="RZC425" s="1824"/>
      <c r="RZD425" s="1824"/>
      <c r="RZE425" s="1824"/>
      <c r="RZF425" s="1824"/>
      <c r="RZG425" s="1824"/>
      <c r="RZH425" s="1824"/>
      <c r="RZI425" s="1824"/>
      <c r="RZJ425" s="1824"/>
      <c r="RZK425" s="1824"/>
      <c r="RZL425" s="1824"/>
      <c r="RZM425" s="1824"/>
      <c r="RZN425" s="1824"/>
      <c r="RZO425" s="1824"/>
      <c r="RZP425" s="1824"/>
      <c r="RZQ425" s="1824"/>
      <c r="RZR425" s="1824"/>
      <c r="RZS425" s="1824"/>
      <c r="RZT425" s="1824"/>
      <c r="RZU425" s="1824"/>
      <c r="RZV425" s="1824"/>
      <c r="RZW425" s="1824"/>
      <c r="RZX425" s="1824"/>
      <c r="RZY425" s="1824"/>
      <c r="RZZ425" s="1824"/>
      <c r="SAA425" s="1824"/>
      <c r="SAB425" s="1824"/>
      <c r="SAC425" s="1824"/>
      <c r="SAD425" s="1824"/>
      <c r="SAE425" s="1824"/>
      <c r="SAF425" s="1824"/>
      <c r="SAG425" s="1824"/>
      <c r="SAH425" s="1824"/>
      <c r="SAI425" s="1824"/>
      <c r="SAJ425" s="1824"/>
      <c r="SAK425" s="1824"/>
      <c r="SAL425" s="1824"/>
      <c r="SAM425" s="1824"/>
      <c r="SAN425" s="1824"/>
      <c r="SAO425" s="1824"/>
      <c r="SAP425" s="1824"/>
      <c r="SAQ425" s="1824"/>
      <c r="SAR425" s="1824"/>
      <c r="SAS425" s="1824"/>
      <c r="SAT425" s="1824"/>
      <c r="SAU425" s="1824"/>
      <c r="SAV425" s="1824"/>
      <c r="SAW425" s="1824"/>
      <c r="SAX425" s="1824"/>
      <c r="SAY425" s="1824"/>
      <c r="SAZ425" s="1824"/>
      <c r="SBA425" s="1824"/>
      <c r="SBB425" s="1824"/>
      <c r="SBC425" s="1824"/>
      <c r="SBD425" s="1824"/>
      <c r="SBE425" s="1824"/>
      <c r="SBF425" s="1824"/>
      <c r="SBG425" s="1824"/>
      <c r="SBH425" s="1824"/>
      <c r="SBI425" s="1824"/>
      <c r="SBJ425" s="1824"/>
      <c r="SBK425" s="1824"/>
      <c r="SBL425" s="1824"/>
      <c r="SBM425" s="1824"/>
      <c r="SBN425" s="1824"/>
      <c r="SBO425" s="1824"/>
      <c r="SBP425" s="1824"/>
      <c r="SBQ425" s="1824"/>
      <c r="SBR425" s="1824"/>
      <c r="SBS425" s="1824"/>
      <c r="SBT425" s="1824"/>
      <c r="SBU425" s="1824"/>
      <c r="SBV425" s="1824"/>
      <c r="SBW425" s="1824"/>
      <c r="SBX425" s="1824"/>
      <c r="SBY425" s="1824"/>
      <c r="SBZ425" s="1824"/>
      <c r="SCA425" s="1824"/>
      <c r="SCB425" s="1824"/>
      <c r="SCC425" s="1824"/>
      <c r="SCD425" s="1824"/>
      <c r="SCE425" s="1824"/>
      <c r="SCF425" s="1824"/>
      <c r="SCG425" s="1824"/>
      <c r="SCH425" s="1824"/>
      <c r="SCI425" s="1824"/>
      <c r="SCJ425" s="1824"/>
      <c r="SCK425" s="1824"/>
      <c r="SCL425" s="1824"/>
      <c r="SCM425" s="1824"/>
      <c r="SCN425" s="1824"/>
      <c r="SCO425" s="1824"/>
      <c r="SCP425" s="1824"/>
      <c r="SCQ425" s="1824"/>
      <c r="SCR425" s="1824"/>
      <c r="SCS425" s="1824"/>
      <c r="SCT425" s="1824"/>
      <c r="SCU425" s="1824"/>
      <c r="SCV425" s="1824"/>
      <c r="SCW425" s="1824"/>
      <c r="SCX425" s="1824"/>
      <c r="SCY425" s="1824"/>
      <c r="SCZ425" s="1824"/>
      <c r="SDA425" s="1824"/>
      <c r="SDB425" s="1824"/>
      <c r="SDC425" s="1824"/>
      <c r="SDD425" s="1824"/>
      <c r="SDE425" s="1824"/>
      <c r="SDF425" s="1824"/>
      <c r="SDG425" s="1824"/>
      <c r="SDH425" s="1824"/>
      <c r="SDI425" s="1824"/>
      <c r="SDJ425" s="1824"/>
      <c r="SDK425" s="1824"/>
      <c r="SDL425" s="1824"/>
      <c r="SDM425" s="1824"/>
      <c r="SDN425" s="1824"/>
      <c r="SDO425" s="1824"/>
      <c r="SDP425" s="1824"/>
      <c r="SDQ425" s="1824"/>
      <c r="SDR425" s="1824"/>
      <c r="SDS425" s="1824"/>
      <c r="SDT425" s="1824"/>
      <c r="SDU425" s="1824"/>
      <c r="SDV425" s="1824"/>
      <c r="SDW425" s="1824"/>
      <c r="SDX425" s="1824"/>
      <c r="SDY425" s="1824"/>
      <c r="SDZ425" s="1824"/>
      <c r="SEA425" s="1824"/>
      <c r="SEB425" s="1824"/>
      <c r="SEC425" s="1824"/>
      <c r="SED425" s="1824"/>
      <c r="SEE425" s="1824"/>
      <c r="SEF425" s="1824"/>
      <c r="SEG425" s="1824"/>
      <c r="SEH425" s="1824"/>
      <c r="SEI425" s="1824"/>
      <c r="SEJ425" s="1824"/>
      <c r="SEK425" s="1824"/>
      <c r="SEL425" s="1824"/>
      <c r="SEM425" s="1824"/>
      <c r="SEN425" s="1824"/>
      <c r="SEO425" s="1824"/>
      <c r="SEP425" s="1824"/>
      <c r="SEQ425" s="1824"/>
      <c r="SER425" s="1824"/>
      <c r="SES425" s="1824"/>
      <c r="SET425" s="1824"/>
      <c r="SEU425" s="1824"/>
      <c r="SEV425" s="1824"/>
      <c r="SEW425" s="1824"/>
      <c r="SEX425" s="1824"/>
      <c r="SEY425" s="1824"/>
      <c r="SEZ425" s="1824"/>
      <c r="SFA425" s="1824"/>
      <c r="SFB425" s="1824"/>
      <c r="SFC425" s="1824"/>
      <c r="SFD425" s="1824"/>
      <c r="SFE425" s="1824"/>
      <c r="SFF425" s="1824"/>
      <c r="SFG425" s="1824"/>
      <c r="SFH425" s="1824"/>
      <c r="SFI425" s="1824"/>
      <c r="SFJ425" s="1824"/>
      <c r="SFK425" s="1824"/>
      <c r="SFL425" s="1824"/>
      <c r="SFM425" s="1824"/>
      <c r="SFN425" s="1824"/>
      <c r="SFO425" s="1824"/>
      <c r="SFP425" s="1824"/>
      <c r="SFQ425" s="1824"/>
      <c r="SFR425" s="1824"/>
      <c r="SFS425" s="1824"/>
      <c r="SFT425" s="1824"/>
      <c r="SFU425" s="1824"/>
      <c r="SFV425" s="1824"/>
      <c r="SFW425" s="1824"/>
      <c r="SFX425" s="1824"/>
      <c r="SFY425" s="1824"/>
      <c r="SFZ425" s="1824"/>
      <c r="SGA425" s="1824"/>
      <c r="SGB425" s="1824"/>
      <c r="SGC425" s="1824"/>
      <c r="SGD425" s="1824"/>
      <c r="SGE425" s="1824"/>
      <c r="SGF425" s="1824"/>
      <c r="SGG425" s="1824"/>
      <c r="SGH425" s="1824"/>
      <c r="SGI425" s="1824"/>
      <c r="SGJ425" s="1824"/>
      <c r="SGK425" s="1824"/>
      <c r="SGL425" s="1824"/>
      <c r="SGM425" s="1824"/>
      <c r="SGN425" s="1824"/>
      <c r="SGO425" s="1824"/>
      <c r="SGP425" s="1824"/>
      <c r="SGQ425" s="1824"/>
      <c r="SGR425" s="1824"/>
      <c r="SGS425" s="1824"/>
      <c r="SGT425" s="1824"/>
      <c r="SGU425" s="1824"/>
      <c r="SGV425" s="1824"/>
      <c r="SGW425" s="1824"/>
      <c r="SGX425" s="1824"/>
      <c r="SGY425" s="1824"/>
      <c r="SGZ425" s="1824"/>
      <c r="SHA425" s="1824"/>
      <c r="SHB425" s="1824"/>
      <c r="SHC425" s="1824"/>
      <c r="SHD425" s="1824"/>
      <c r="SHE425" s="1824"/>
      <c r="SHF425" s="1824"/>
      <c r="SHG425" s="1824"/>
      <c r="SHH425" s="1824"/>
      <c r="SHI425" s="1824"/>
      <c r="SHJ425" s="1824"/>
      <c r="SHK425" s="1824"/>
      <c r="SHL425" s="1824"/>
      <c r="SHM425" s="1824"/>
      <c r="SHN425" s="1824"/>
      <c r="SHO425" s="1824"/>
      <c r="SHP425" s="1824"/>
      <c r="SHQ425" s="1824"/>
      <c r="SHR425" s="1824"/>
      <c r="SHS425" s="1824"/>
      <c r="SHT425" s="1824"/>
      <c r="SHU425" s="1824"/>
      <c r="SHV425" s="1824"/>
      <c r="SHW425" s="1824"/>
      <c r="SHX425" s="1824"/>
      <c r="SHY425" s="1824"/>
      <c r="SHZ425" s="1824"/>
      <c r="SIA425" s="1824"/>
      <c r="SIB425" s="1824"/>
      <c r="SIC425" s="1824"/>
      <c r="SID425" s="1824"/>
      <c r="SIE425" s="1824"/>
      <c r="SIF425" s="1824"/>
      <c r="SIG425" s="1824"/>
      <c r="SIH425" s="1824"/>
      <c r="SII425" s="1824"/>
      <c r="SIJ425" s="1824"/>
      <c r="SIK425" s="1824"/>
      <c r="SIL425" s="1824"/>
      <c r="SIM425" s="1824"/>
      <c r="SIN425" s="1824"/>
      <c r="SIO425" s="1824"/>
      <c r="SIP425" s="1824"/>
      <c r="SIQ425" s="1824"/>
      <c r="SIR425" s="1824"/>
      <c r="SIS425" s="1824"/>
      <c r="SIT425" s="1824"/>
      <c r="SIU425" s="1824"/>
      <c r="SIV425" s="1824"/>
      <c r="SIW425" s="1824"/>
      <c r="SIX425" s="1824"/>
      <c r="SIY425" s="1824"/>
      <c r="SIZ425" s="1824"/>
      <c r="SJA425" s="1824"/>
      <c r="SJB425" s="1824"/>
      <c r="SJC425" s="1824"/>
      <c r="SJD425" s="1824"/>
      <c r="SJE425" s="1824"/>
      <c r="SJF425" s="1824"/>
      <c r="SJG425" s="1824"/>
      <c r="SJH425" s="1824"/>
      <c r="SJI425" s="1824"/>
      <c r="SJJ425" s="1824"/>
      <c r="SJK425" s="1824"/>
      <c r="SJL425" s="1824"/>
      <c r="SJM425" s="1824"/>
      <c r="SJN425" s="1824"/>
      <c r="SJO425" s="1824"/>
      <c r="SJP425" s="1824"/>
      <c r="SJQ425" s="1824"/>
      <c r="SJR425" s="1824"/>
      <c r="SJS425" s="1824"/>
      <c r="SJT425" s="1824"/>
      <c r="SJU425" s="1824"/>
      <c r="SJV425" s="1824"/>
      <c r="SJW425" s="1824"/>
      <c r="SJX425" s="1824"/>
      <c r="SJY425" s="1824"/>
      <c r="SJZ425" s="1824"/>
      <c r="SKA425" s="1824"/>
      <c r="SKB425" s="1824"/>
      <c r="SKC425" s="1824"/>
      <c r="SKD425" s="1824"/>
      <c r="SKE425" s="1824"/>
      <c r="SKF425" s="1824"/>
      <c r="SKG425" s="1824"/>
      <c r="SKH425" s="1824"/>
      <c r="SKI425" s="1824"/>
      <c r="SKJ425" s="1824"/>
      <c r="SKK425" s="1824"/>
      <c r="SKL425" s="1824"/>
      <c r="SKM425" s="1824"/>
      <c r="SKN425" s="1824"/>
      <c r="SKO425" s="1824"/>
      <c r="SKP425" s="1824"/>
      <c r="SKQ425" s="1824"/>
      <c r="SKR425" s="1824"/>
      <c r="SKS425" s="1824"/>
      <c r="SKT425" s="1824"/>
      <c r="SKU425" s="1824"/>
      <c r="SKV425" s="1824"/>
      <c r="SKW425" s="1824"/>
      <c r="SKX425" s="1824"/>
      <c r="SKY425" s="1824"/>
      <c r="SKZ425" s="1824"/>
      <c r="SLA425" s="1824"/>
      <c r="SLB425" s="1824"/>
      <c r="SLC425" s="1824"/>
      <c r="SLD425" s="1824"/>
      <c r="SLE425" s="1824"/>
      <c r="SLF425" s="1824"/>
      <c r="SLG425" s="1824"/>
      <c r="SLH425" s="1824"/>
      <c r="SLI425" s="1824"/>
      <c r="SLJ425" s="1824"/>
      <c r="SLK425" s="1824"/>
      <c r="SLL425" s="1824"/>
      <c r="SLM425" s="1824"/>
      <c r="SLN425" s="1824"/>
      <c r="SLO425" s="1824"/>
      <c r="SLP425" s="1824"/>
      <c r="SLQ425" s="1824"/>
      <c r="SLR425" s="1824"/>
      <c r="SLS425" s="1824"/>
      <c r="SLT425" s="1824"/>
      <c r="SLU425" s="1824"/>
      <c r="SLV425" s="1824"/>
      <c r="SLW425" s="1824"/>
      <c r="SLX425" s="1824"/>
      <c r="SLY425" s="1824"/>
      <c r="SLZ425" s="1824"/>
      <c r="SMA425" s="1824"/>
      <c r="SMB425" s="1824"/>
      <c r="SMC425" s="1824"/>
      <c r="SMD425" s="1824"/>
      <c r="SME425" s="1824"/>
      <c r="SMF425" s="1824"/>
      <c r="SMG425" s="1824"/>
      <c r="SMH425" s="1824"/>
      <c r="SMI425" s="1824"/>
      <c r="SMJ425" s="1824"/>
      <c r="SMK425" s="1824"/>
      <c r="SML425" s="1824"/>
      <c r="SMM425" s="1824"/>
      <c r="SMN425" s="1824"/>
      <c r="SMO425" s="1824"/>
      <c r="SMP425" s="1824"/>
      <c r="SMQ425" s="1824"/>
      <c r="SMR425" s="1824"/>
      <c r="SMS425" s="1824"/>
      <c r="SMT425" s="1824"/>
      <c r="SMU425" s="1824"/>
      <c r="SMV425" s="1824"/>
      <c r="SMW425" s="1824"/>
      <c r="SMX425" s="1824"/>
      <c r="SMY425" s="1824"/>
      <c r="SMZ425" s="1824"/>
      <c r="SNA425" s="1824"/>
      <c r="SNB425" s="1824"/>
      <c r="SNC425" s="1824"/>
      <c r="SND425" s="1824"/>
      <c r="SNE425" s="1824"/>
      <c r="SNF425" s="1824"/>
      <c r="SNG425" s="1824"/>
      <c r="SNH425" s="1824"/>
      <c r="SNI425" s="1824"/>
      <c r="SNJ425" s="1824"/>
      <c r="SNK425" s="1824"/>
      <c r="SNL425" s="1824"/>
      <c r="SNM425" s="1824"/>
      <c r="SNN425" s="1824"/>
      <c r="SNO425" s="1824"/>
      <c r="SNP425" s="1824"/>
      <c r="SNQ425" s="1824"/>
      <c r="SNR425" s="1824"/>
      <c r="SNS425" s="1824"/>
      <c r="SNT425" s="1824"/>
      <c r="SNU425" s="1824"/>
      <c r="SNV425" s="1824"/>
      <c r="SNW425" s="1824"/>
      <c r="SNX425" s="1824"/>
      <c r="SNY425" s="1824"/>
      <c r="SNZ425" s="1824"/>
      <c r="SOA425" s="1824"/>
      <c r="SOB425" s="1824"/>
      <c r="SOC425" s="1824"/>
      <c r="SOD425" s="1824"/>
      <c r="SOE425" s="1824"/>
      <c r="SOF425" s="1824"/>
      <c r="SOG425" s="1824"/>
      <c r="SOH425" s="1824"/>
      <c r="SOI425" s="1824"/>
      <c r="SOJ425" s="1824"/>
      <c r="SOK425" s="1824"/>
      <c r="SOL425" s="1824"/>
      <c r="SOM425" s="1824"/>
      <c r="SON425" s="1824"/>
      <c r="SOO425" s="1824"/>
      <c r="SOP425" s="1824"/>
      <c r="SOQ425" s="1824"/>
      <c r="SOR425" s="1824"/>
      <c r="SOS425" s="1824"/>
      <c r="SOT425" s="1824"/>
      <c r="SOU425" s="1824"/>
      <c r="SOV425" s="1824"/>
      <c r="SOW425" s="1824"/>
      <c r="SOX425" s="1824"/>
      <c r="SOY425" s="1824"/>
      <c r="SOZ425" s="1824"/>
      <c r="SPA425" s="1824"/>
      <c r="SPB425" s="1824"/>
      <c r="SPC425" s="1824"/>
      <c r="SPD425" s="1824"/>
      <c r="SPE425" s="1824"/>
      <c r="SPF425" s="1824"/>
      <c r="SPG425" s="1824"/>
      <c r="SPH425" s="1824"/>
      <c r="SPI425" s="1824"/>
      <c r="SPJ425" s="1824"/>
      <c r="SPK425" s="1824"/>
      <c r="SPL425" s="1824"/>
      <c r="SPM425" s="1824"/>
      <c r="SPN425" s="1824"/>
      <c r="SPO425" s="1824"/>
      <c r="SPP425" s="1824"/>
      <c r="SPQ425" s="1824"/>
      <c r="SPR425" s="1824"/>
      <c r="SPS425" s="1824"/>
      <c r="SPT425" s="1824"/>
      <c r="SPU425" s="1824"/>
      <c r="SPV425" s="1824"/>
      <c r="SPW425" s="1824"/>
      <c r="SPX425" s="1824"/>
      <c r="SPY425" s="1824"/>
      <c r="SPZ425" s="1824"/>
      <c r="SQA425" s="1824"/>
      <c r="SQB425" s="1824"/>
      <c r="SQC425" s="1824"/>
      <c r="SQD425" s="1824"/>
      <c r="SQE425" s="1824"/>
      <c r="SQF425" s="1824"/>
      <c r="SQG425" s="1824"/>
      <c r="SQH425" s="1824"/>
      <c r="SQI425" s="1824"/>
      <c r="SQJ425" s="1824"/>
      <c r="SQK425" s="1824"/>
      <c r="SQL425" s="1824"/>
      <c r="SQM425" s="1824"/>
      <c r="SQN425" s="1824"/>
      <c r="SQO425" s="1824"/>
      <c r="SQP425" s="1824"/>
      <c r="SQQ425" s="1824"/>
      <c r="SQR425" s="1824"/>
      <c r="SQS425" s="1824"/>
      <c r="SQT425" s="1824"/>
      <c r="SQU425" s="1824"/>
      <c r="SQV425" s="1824"/>
      <c r="SQW425" s="1824"/>
      <c r="SQX425" s="1824"/>
      <c r="SQY425" s="1824"/>
      <c r="SQZ425" s="1824"/>
      <c r="SRA425" s="1824"/>
      <c r="SRB425" s="1824"/>
      <c r="SRC425" s="1824"/>
      <c r="SRD425" s="1824"/>
      <c r="SRE425" s="1824"/>
      <c r="SRF425" s="1824"/>
      <c r="SRG425" s="1824"/>
      <c r="SRH425" s="1824"/>
      <c r="SRI425" s="1824"/>
      <c r="SRJ425" s="1824"/>
      <c r="SRK425" s="1824"/>
      <c r="SRL425" s="1824"/>
      <c r="SRM425" s="1824"/>
      <c r="SRN425" s="1824"/>
      <c r="SRO425" s="1824"/>
      <c r="SRP425" s="1824"/>
      <c r="SRQ425" s="1824"/>
      <c r="SRR425" s="1824"/>
      <c r="SRS425" s="1824"/>
      <c r="SRT425" s="1824"/>
      <c r="SRU425" s="1824"/>
      <c r="SRV425" s="1824"/>
      <c r="SRW425" s="1824"/>
      <c r="SRX425" s="1824"/>
      <c r="SRY425" s="1824"/>
      <c r="SRZ425" s="1824"/>
      <c r="SSA425" s="1824"/>
      <c r="SSB425" s="1824"/>
      <c r="SSC425" s="1824"/>
      <c r="SSD425" s="1824"/>
      <c r="SSE425" s="1824"/>
      <c r="SSF425" s="1824"/>
      <c r="SSG425" s="1824"/>
      <c r="SSH425" s="1824"/>
      <c r="SSI425" s="1824"/>
      <c r="SSJ425" s="1824"/>
      <c r="SSK425" s="1824"/>
      <c r="SSL425" s="1824"/>
      <c r="SSM425" s="1824"/>
      <c r="SSN425" s="1824"/>
      <c r="SSO425" s="1824"/>
      <c r="SSP425" s="1824"/>
      <c r="SSQ425" s="1824"/>
      <c r="SSR425" s="1824"/>
      <c r="SSS425" s="1824"/>
      <c r="SST425" s="1824"/>
      <c r="SSU425" s="1824"/>
      <c r="SSV425" s="1824"/>
      <c r="SSW425" s="1824"/>
      <c r="SSX425" s="1824"/>
      <c r="SSY425" s="1824"/>
      <c r="SSZ425" s="1824"/>
      <c r="STA425" s="1824"/>
      <c r="STB425" s="1824"/>
      <c r="STC425" s="1824"/>
      <c r="STD425" s="1824"/>
      <c r="STE425" s="1824"/>
      <c r="STF425" s="1824"/>
      <c r="STG425" s="1824"/>
      <c r="STH425" s="1824"/>
      <c r="STI425" s="1824"/>
      <c r="STJ425" s="1824"/>
      <c r="STK425" s="1824"/>
      <c r="STL425" s="1824"/>
      <c r="STM425" s="1824"/>
      <c r="STN425" s="1824"/>
      <c r="STO425" s="1824"/>
      <c r="STP425" s="1824"/>
      <c r="STQ425" s="1824"/>
      <c r="STR425" s="1824"/>
      <c r="STS425" s="1824"/>
      <c r="STT425" s="1824"/>
      <c r="STU425" s="1824"/>
      <c r="STV425" s="1824"/>
      <c r="STW425" s="1824"/>
      <c r="STX425" s="1824"/>
      <c r="STY425" s="1824"/>
      <c r="STZ425" s="1824"/>
      <c r="SUA425" s="1824"/>
      <c r="SUB425" s="1824"/>
      <c r="SUC425" s="1824"/>
      <c r="SUD425" s="1824"/>
      <c r="SUE425" s="1824"/>
      <c r="SUF425" s="1824"/>
      <c r="SUG425" s="1824"/>
      <c r="SUH425" s="1824"/>
      <c r="SUI425" s="1824"/>
      <c r="SUJ425" s="1824"/>
      <c r="SUK425" s="1824"/>
      <c r="SUL425" s="1824"/>
      <c r="SUM425" s="1824"/>
      <c r="SUN425" s="1824"/>
      <c r="SUO425" s="1824"/>
      <c r="SUP425" s="1824"/>
      <c r="SUQ425" s="1824"/>
      <c r="SUR425" s="1824"/>
      <c r="SUS425" s="1824"/>
      <c r="SUT425" s="1824"/>
      <c r="SUU425" s="1824"/>
      <c r="SUV425" s="1824"/>
      <c r="SUW425" s="1824"/>
      <c r="SUX425" s="1824"/>
      <c r="SUY425" s="1824"/>
      <c r="SUZ425" s="1824"/>
      <c r="SVA425" s="1824"/>
      <c r="SVB425" s="1824"/>
      <c r="SVC425" s="1824"/>
      <c r="SVD425" s="1824"/>
      <c r="SVE425" s="1824"/>
      <c r="SVF425" s="1824"/>
      <c r="SVG425" s="1824"/>
      <c r="SVH425" s="1824"/>
      <c r="SVI425" s="1824"/>
      <c r="SVJ425" s="1824"/>
      <c r="SVK425" s="1824"/>
      <c r="SVL425" s="1824"/>
      <c r="SVM425" s="1824"/>
      <c r="SVN425" s="1824"/>
      <c r="SVO425" s="1824"/>
      <c r="SVP425" s="1824"/>
      <c r="SVQ425" s="1824"/>
      <c r="SVR425" s="1824"/>
      <c r="SVS425" s="1824"/>
      <c r="SVT425" s="1824"/>
      <c r="SVU425" s="1824"/>
      <c r="SVV425" s="1824"/>
      <c r="SVW425" s="1824"/>
      <c r="SVX425" s="1824"/>
      <c r="SVY425" s="1824"/>
      <c r="SVZ425" s="1824"/>
      <c r="SWA425" s="1824"/>
      <c r="SWB425" s="1824"/>
      <c r="SWC425" s="1824"/>
      <c r="SWD425" s="1824"/>
      <c r="SWE425" s="1824"/>
      <c r="SWF425" s="1824"/>
      <c r="SWG425" s="1824"/>
      <c r="SWH425" s="1824"/>
      <c r="SWI425" s="1824"/>
      <c r="SWJ425" s="1824"/>
      <c r="SWK425" s="1824"/>
      <c r="SWL425" s="1824"/>
      <c r="SWM425" s="1824"/>
      <c r="SWN425" s="1824"/>
      <c r="SWO425" s="1824"/>
      <c r="SWP425" s="1824"/>
      <c r="SWQ425" s="1824"/>
      <c r="SWR425" s="1824"/>
      <c r="SWS425" s="1824"/>
      <c r="SWT425" s="1824"/>
      <c r="SWU425" s="1824"/>
      <c r="SWV425" s="1824"/>
      <c r="SWW425" s="1824"/>
      <c r="SWX425" s="1824"/>
      <c r="SWY425" s="1824"/>
      <c r="SWZ425" s="1824"/>
      <c r="SXA425" s="1824"/>
      <c r="SXB425" s="1824"/>
      <c r="SXC425" s="1824"/>
      <c r="SXD425" s="1824"/>
      <c r="SXE425" s="1824"/>
      <c r="SXF425" s="1824"/>
      <c r="SXG425" s="1824"/>
      <c r="SXH425" s="1824"/>
      <c r="SXI425" s="1824"/>
      <c r="SXJ425" s="1824"/>
      <c r="SXK425" s="1824"/>
      <c r="SXL425" s="1824"/>
      <c r="SXM425" s="1824"/>
      <c r="SXN425" s="1824"/>
      <c r="SXO425" s="1824"/>
      <c r="SXP425" s="1824"/>
      <c r="SXQ425" s="1824"/>
      <c r="SXR425" s="1824"/>
      <c r="SXS425" s="1824"/>
      <c r="SXT425" s="1824"/>
      <c r="SXU425" s="1824"/>
      <c r="SXV425" s="1824"/>
      <c r="SXW425" s="1824"/>
      <c r="SXX425" s="1824"/>
      <c r="SXY425" s="1824"/>
      <c r="SXZ425" s="1824"/>
      <c r="SYA425" s="1824"/>
      <c r="SYB425" s="1824"/>
      <c r="SYC425" s="1824"/>
      <c r="SYD425" s="1824"/>
      <c r="SYE425" s="1824"/>
      <c r="SYF425" s="1824"/>
      <c r="SYG425" s="1824"/>
      <c r="SYH425" s="1824"/>
      <c r="SYI425" s="1824"/>
      <c r="SYJ425" s="1824"/>
      <c r="SYK425" s="1824"/>
      <c r="SYL425" s="1824"/>
      <c r="SYM425" s="1824"/>
      <c r="SYN425" s="1824"/>
      <c r="SYO425" s="1824"/>
      <c r="SYP425" s="1824"/>
      <c r="SYQ425" s="1824"/>
      <c r="SYR425" s="1824"/>
      <c r="SYS425" s="1824"/>
      <c r="SYT425" s="1824"/>
      <c r="SYU425" s="1824"/>
      <c r="SYV425" s="1824"/>
      <c r="SYW425" s="1824"/>
      <c r="SYX425" s="1824"/>
      <c r="SYY425" s="1824"/>
      <c r="SYZ425" s="1824"/>
      <c r="SZA425" s="1824"/>
      <c r="SZB425" s="1824"/>
      <c r="SZC425" s="1824"/>
      <c r="SZD425" s="1824"/>
      <c r="SZE425" s="1824"/>
      <c r="SZF425" s="1824"/>
      <c r="SZG425" s="1824"/>
      <c r="SZH425" s="1824"/>
      <c r="SZI425" s="1824"/>
      <c r="SZJ425" s="1824"/>
      <c r="SZK425" s="1824"/>
      <c r="SZL425" s="1824"/>
      <c r="SZM425" s="1824"/>
      <c r="SZN425" s="1824"/>
      <c r="SZO425" s="1824"/>
      <c r="SZP425" s="1824"/>
      <c r="SZQ425" s="1824"/>
      <c r="SZR425" s="1824"/>
      <c r="SZS425" s="1824"/>
      <c r="SZT425" s="1824"/>
      <c r="SZU425" s="1824"/>
      <c r="SZV425" s="1824"/>
      <c r="SZW425" s="1824"/>
      <c r="SZX425" s="1824"/>
      <c r="SZY425" s="1824"/>
      <c r="SZZ425" s="1824"/>
      <c r="TAA425" s="1824"/>
      <c r="TAB425" s="1824"/>
      <c r="TAC425" s="1824"/>
      <c r="TAD425" s="1824"/>
      <c r="TAE425" s="1824"/>
      <c r="TAF425" s="1824"/>
      <c r="TAG425" s="1824"/>
      <c r="TAH425" s="1824"/>
      <c r="TAI425" s="1824"/>
      <c r="TAJ425" s="1824"/>
      <c r="TAK425" s="1824"/>
      <c r="TAL425" s="1824"/>
      <c r="TAM425" s="1824"/>
      <c r="TAN425" s="1824"/>
      <c r="TAO425" s="1824"/>
      <c r="TAP425" s="1824"/>
      <c r="TAQ425" s="1824"/>
      <c r="TAR425" s="1824"/>
      <c r="TAS425" s="1824"/>
      <c r="TAT425" s="1824"/>
      <c r="TAU425" s="1824"/>
      <c r="TAV425" s="1824"/>
      <c r="TAW425" s="1824"/>
      <c r="TAX425" s="1824"/>
      <c r="TAY425" s="1824"/>
      <c r="TAZ425" s="1824"/>
      <c r="TBA425" s="1824"/>
      <c r="TBB425" s="1824"/>
      <c r="TBC425" s="1824"/>
      <c r="TBD425" s="1824"/>
      <c r="TBE425" s="1824"/>
      <c r="TBF425" s="1824"/>
      <c r="TBG425" s="1824"/>
      <c r="TBH425" s="1824"/>
      <c r="TBI425" s="1824"/>
      <c r="TBJ425" s="1824"/>
      <c r="TBK425" s="1824"/>
      <c r="TBL425" s="1824"/>
      <c r="TBM425" s="1824"/>
      <c r="TBN425" s="1824"/>
      <c r="TBO425" s="1824"/>
      <c r="TBP425" s="1824"/>
      <c r="TBQ425" s="1824"/>
      <c r="TBR425" s="1824"/>
      <c r="TBS425" s="1824"/>
      <c r="TBT425" s="1824"/>
      <c r="TBU425" s="1824"/>
      <c r="TBV425" s="1824"/>
      <c r="TBW425" s="1824"/>
      <c r="TBX425" s="1824"/>
      <c r="TBY425" s="1824"/>
      <c r="TBZ425" s="1824"/>
      <c r="TCA425" s="1824"/>
      <c r="TCB425" s="1824"/>
      <c r="TCC425" s="1824"/>
      <c r="TCD425" s="1824"/>
      <c r="TCE425" s="1824"/>
      <c r="TCF425" s="1824"/>
      <c r="TCG425" s="1824"/>
      <c r="TCH425" s="1824"/>
      <c r="TCI425" s="1824"/>
      <c r="TCJ425" s="1824"/>
      <c r="TCK425" s="1824"/>
      <c r="TCL425" s="1824"/>
      <c r="TCM425" s="1824"/>
      <c r="TCN425" s="1824"/>
      <c r="TCO425" s="1824"/>
      <c r="TCP425" s="1824"/>
      <c r="TCQ425" s="1824"/>
      <c r="TCR425" s="1824"/>
      <c r="TCS425" s="1824"/>
      <c r="TCT425" s="1824"/>
      <c r="TCU425" s="1824"/>
      <c r="TCV425" s="1824"/>
      <c r="TCW425" s="1824"/>
      <c r="TCX425" s="1824"/>
      <c r="TCY425" s="1824"/>
      <c r="TCZ425" s="1824"/>
      <c r="TDA425" s="1824"/>
      <c r="TDB425" s="1824"/>
      <c r="TDC425" s="1824"/>
      <c r="TDD425" s="1824"/>
      <c r="TDE425" s="1824"/>
      <c r="TDF425" s="1824"/>
      <c r="TDG425" s="1824"/>
      <c r="TDH425" s="1824"/>
      <c r="TDI425" s="1824"/>
      <c r="TDJ425" s="1824"/>
      <c r="TDK425" s="1824"/>
      <c r="TDL425" s="1824"/>
      <c r="TDM425" s="1824"/>
      <c r="TDN425" s="1824"/>
      <c r="TDO425" s="1824"/>
      <c r="TDP425" s="1824"/>
      <c r="TDQ425" s="1824"/>
      <c r="TDR425" s="1824"/>
      <c r="TDS425" s="1824"/>
      <c r="TDT425" s="1824"/>
      <c r="TDU425" s="1824"/>
      <c r="TDV425" s="1824"/>
      <c r="TDW425" s="1824"/>
      <c r="TDX425" s="1824"/>
      <c r="TDY425" s="1824"/>
      <c r="TDZ425" s="1824"/>
      <c r="TEA425" s="1824"/>
      <c r="TEB425" s="1824"/>
      <c r="TEC425" s="1824"/>
      <c r="TED425" s="1824"/>
      <c r="TEE425" s="1824"/>
      <c r="TEF425" s="1824"/>
      <c r="TEG425" s="1824"/>
      <c r="TEH425" s="1824"/>
      <c r="TEI425" s="1824"/>
      <c r="TEJ425" s="1824"/>
      <c r="TEK425" s="1824"/>
      <c r="TEL425" s="1824"/>
      <c r="TEM425" s="1824"/>
      <c r="TEN425" s="1824"/>
      <c r="TEO425" s="1824"/>
      <c r="TEP425" s="1824"/>
      <c r="TEQ425" s="1824"/>
      <c r="TER425" s="1824"/>
      <c r="TES425" s="1824"/>
      <c r="TET425" s="1824"/>
      <c r="TEU425" s="1824"/>
      <c r="TEV425" s="1824"/>
      <c r="TEW425" s="1824"/>
      <c r="TEX425" s="1824"/>
      <c r="TEY425" s="1824"/>
      <c r="TEZ425" s="1824"/>
      <c r="TFA425" s="1824"/>
      <c r="TFB425" s="1824"/>
      <c r="TFC425" s="1824"/>
      <c r="TFD425" s="1824"/>
      <c r="TFE425" s="1824"/>
      <c r="TFF425" s="1824"/>
      <c r="TFG425" s="1824"/>
      <c r="TFH425" s="1824"/>
      <c r="TFI425" s="1824"/>
      <c r="TFJ425" s="1824"/>
      <c r="TFK425" s="1824"/>
      <c r="TFL425" s="1824"/>
      <c r="TFM425" s="1824"/>
      <c r="TFN425" s="1824"/>
      <c r="TFO425" s="1824"/>
      <c r="TFP425" s="1824"/>
      <c r="TFQ425" s="1824"/>
      <c r="TFR425" s="1824"/>
      <c r="TFS425" s="1824"/>
      <c r="TFT425" s="1824"/>
      <c r="TFU425" s="1824"/>
      <c r="TFV425" s="1824"/>
      <c r="TFW425" s="1824"/>
      <c r="TFX425" s="1824"/>
      <c r="TFY425" s="1824"/>
      <c r="TFZ425" s="1824"/>
      <c r="TGA425" s="1824"/>
      <c r="TGB425" s="1824"/>
      <c r="TGC425" s="1824"/>
      <c r="TGD425" s="1824"/>
      <c r="TGE425" s="1824"/>
      <c r="TGF425" s="1824"/>
      <c r="TGG425" s="1824"/>
      <c r="TGH425" s="1824"/>
      <c r="TGI425" s="1824"/>
      <c r="TGJ425" s="1824"/>
      <c r="TGK425" s="1824"/>
      <c r="TGL425" s="1824"/>
      <c r="TGM425" s="1824"/>
      <c r="TGN425" s="1824"/>
      <c r="TGO425" s="1824"/>
      <c r="TGP425" s="1824"/>
      <c r="TGQ425" s="1824"/>
      <c r="TGR425" s="1824"/>
      <c r="TGS425" s="1824"/>
      <c r="TGT425" s="1824"/>
      <c r="TGU425" s="1824"/>
      <c r="TGV425" s="1824"/>
      <c r="TGW425" s="1824"/>
      <c r="TGX425" s="1824"/>
      <c r="TGY425" s="1824"/>
      <c r="TGZ425" s="1824"/>
      <c r="THA425" s="1824"/>
      <c r="THB425" s="1824"/>
      <c r="THC425" s="1824"/>
      <c r="THD425" s="1824"/>
      <c r="THE425" s="1824"/>
      <c r="THF425" s="1824"/>
      <c r="THG425" s="1824"/>
      <c r="THH425" s="1824"/>
      <c r="THI425" s="1824"/>
      <c r="THJ425" s="1824"/>
      <c r="THK425" s="1824"/>
      <c r="THL425" s="1824"/>
      <c r="THM425" s="1824"/>
      <c r="THN425" s="1824"/>
      <c r="THO425" s="1824"/>
      <c r="THP425" s="1824"/>
      <c r="THQ425" s="1824"/>
      <c r="THR425" s="1824"/>
      <c r="THS425" s="1824"/>
      <c r="THT425" s="1824"/>
      <c r="THU425" s="1824"/>
      <c r="THV425" s="1824"/>
      <c r="THW425" s="1824"/>
      <c r="THX425" s="1824"/>
      <c r="THY425" s="1824"/>
      <c r="THZ425" s="1824"/>
      <c r="TIA425" s="1824"/>
      <c r="TIB425" s="1824"/>
      <c r="TIC425" s="1824"/>
      <c r="TID425" s="1824"/>
      <c r="TIE425" s="1824"/>
      <c r="TIF425" s="1824"/>
      <c r="TIG425" s="1824"/>
      <c r="TIH425" s="1824"/>
      <c r="TII425" s="1824"/>
      <c r="TIJ425" s="1824"/>
      <c r="TIK425" s="1824"/>
      <c r="TIL425" s="1824"/>
      <c r="TIM425" s="1824"/>
      <c r="TIN425" s="1824"/>
      <c r="TIO425" s="1824"/>
      <c r="TIP425" s="1824"/>
      <c r="TIQ425" s="1824"/>
      <c r="TIR425" s="1824"/>
      <c r="TIS425" s="1824"/>
      <c r="TIT425" s="1824"/>
      <c r="TIU425" s="1824"/>
      <c r="TIV425" s="1824"/>
      <c r="TIW425" s="1824"/>
      <c r="TIX425" s="1824"/>
      <c r="TIY425" s="1824"/>
      <c r="TIZ425" s="1824"/>
      <c r="TJA425" s="1824"/>
      <c r="TJB425" s="1824"/>
      <c r="TJC425" s="1824"/>
      <c r="TJD425" s="1824"/>
      <c r="TJE425" s="1824"/>
      <c r="TJF425" s="1824"/>
      <c r="TJG425" s="1824"/>
      <c r="TJH425" s="1824"/>
      <c r="TJI425" s="1824"/>
      <c r="TJJ425" s="1824"/>
      <c r="TJK425" s="1824"/>
      <c r="TJL425" s="1824"/>
      <c r="TJM425" s="1824"/>
      <c r="TJN425" s="1824"/>
      <c r="TJO425" s="1824"/>
      <c r="TJP425" s="1824"/>
      <c r="TJQ425" s="1824"/>
      <c r="TJR425" s="1824"/>
      <c r="TJS425" s="1824"/>
      <c r="TJT425" s="1824"/>
      <c r="TJU425" s="1824"/>
      <c r="TJV425" s="1824"/>
      <c r="TJW425" s="1824"/>
      <c r="TJX425" s="1824"/>
      <c r="TJY425" s="1824"/>
      <c r="TJZ425" s="1824"/>
      <c r="TKA425" s="1824"/>
      <c r="TKB425" s="1824"/>
      <c r="TKC425" s="1824"/>
      <c r="TKD425" s="1824"/>
      <c r="TKE425" s="1824"/>
      <c r="TKF425" s="1824"/>
      <c r="TKG425" s="1824"/>
      <c r="TKH425" s="1824"/>
      <c r="TKI425" s="1824"/>
      <c r="TKJ425" s="1824"/>
      <c r="TKK425" s="1824"/>
      <c r="TKL425" s="1824"/>
      <c r="TKM425" s="1824"/>
      <c r="TKN425" s="1824"/>
      <c r="TKO425" s="1824"/>
      <c r="TKP425" s="1824"/>
      <c r="TKQ425" s="1824"/>
      <c r="TKR425" s="1824"/>
      <c r="TKS425" s="1824"/>
      <c r="TKT425" s="1824"/>
      <c r="TKU425" s="1824"/>
      <c r="TKV425" s="1824"/>
      <c r="TKW425" s="1824"/>
      <c r="TKX425" s="1824"/>
      <c r="TKY425" s="1824"/>
      <c r="TKZ425" s="1824"/>
      <c r="TLA425" s="1824"/>
      <c r="TLB425" s="1824"/>
      <c r="TLC425" s="1824"/>
      <c r="TLD425" s="1824"/>
      <c r="TLE425" s="1824"/>
      <c r="TLF425" s="1824"/>
      <c r="TLG425" s="1824"/>
      <c r="TLH425" s="1824"/>
      <c r="TLI425" s="1824"/>
      <c r="TLJ425" s="1824"/>
      <c r="TLK425" s="1824"/>
      <c r="TLL425" s="1824"/>
      <c r="TLM425" s="1824"/>
      <c r="TLN425" s="1824"/>
      <c r="TLO425" s="1824"/>
      <c r="TLP425" s="1824"/>
      <c r="TLQ425" s="1824"/>
      <c r="TLR425" s="1824"/>
      <c r="TLS425" s="1824"/>
      <c r="TLT425" s="1824"/>
      <c r="TLU425" s="1824"/>
      <c r="TLV425" s="1824"/>
      <c r="TLW425" s="1824"/>
      <c r="TLX425" s="1824"/>
      <c r="TLY425" s="1824"/>
      <c r="TLZ425" s="1824"/>
      <c r="TMA425" s="1824"/>
      <c r="TMB425" s="1824"/>
      <c r="TMC425" s="1824"/>
      <c r="TMD425" s="1824"/>
      <c r="TME425" s="1824"/>
      <c r="TMF425" s="1824"/>
      <c r="TMG425" s="1824"/>
      <c r="TMH425" s="1824"/>
      <c r="TMI425" s="1824"/>
      <c r="TMJ425" s="1824"/>
      <c r="TMK425" s="1824"/>
      <c r="TML425" s="1824"/>
      <c r="TMM425" s="1824"/>
      <c r="TMN425" s="1824"/>
      <c r="TMO425" s="1824"/>
      <c r="TMP425" s="1824"/>
      <c r="TMQ425" s="1824"/>
      <c r="TMR425" s="1824"/>
      <c r="TMS425" s="1824"/>
      <c r="TMT425" s="1824"/>
      <c r="TMU425" s="1824"/>
      <c r="TMV425" s="1824"/>
      <c r="TMW425" s="1824"/>
      <c r="TMX425" s="1824"/>
      <c r="TMY425" s="1824"/>
      <c r="TMZ425" s="1824"/>
      <c r="TNA425" s="1824"/>
      <c r="TNB425" s="1824"/>
      <c r="TNC425" s="1824"/>
      <c r="TND425" s="1824"/>
      <c r="TNE425" s="1824"/>
      <c r="TNF425" s="1824"/>
      <c r="TNG425" s="1824"/>
      <c r="TNH425" s="1824"/>
      <c r="TNI425" s="1824"/>
      <c r="TNJ425" s="1824"/>
      <c r="TNK425" s="1824"/>
      <c r="TNL425" s="1824"/>
      <c r="TNM425" s="1824"/>
      <c r="TNN425" s="1824"/>
      <c r="TNO425" s="1824"/>
      <c r="TNP425" s="1824"/>
      <c r="TNQ425" s="1824"/>
      <c r="TNR425" s="1824"/>
      <c r="TNS425" s="1824"/>
      <c r="TNT425" s="1824"/>
      <c r="TNU425" s="1824"/>
      <c r="TNV425" s="1824"/>
      <c r="TNW425" s="1824"/>
      <c r="TNX425" s="1824"/>
      <c r="TNY425" s="1824"/>
      <c r="TNZ425" s="1824"/>
      <c r="TOA425" s="1824"/>
      <c r="TOB425" s="1824"/>
      <c r="TOC425" s="1824"/>
      <c r="TOD425" s="1824"/>
      <c r="TOE425" s="1824"/>
      <c r="TOF425" s="1824"/>
      <c r="TOG425" s="1824"/>
      <c r="TOH425" s="1824"/>
      <c r="TOI425" s="1824"/>
      <c r="TOJ425" s="1824"/>
      <c r="TOK425" s="1824"/>
      <c r="TOL425" s="1824"/>
      <c r="TOM425" s="1824"/>
      <c r="TON425" s="1824"/>
      <c r="TOO425" s="1824"/>
      <c r="TOP425" s="1824"/>
      <c r="TOQ425" s="1824"/>
      <c r="TOR425" s="1824"/>
      <c r="TOS425" s="1824"/>
      <c r="TOT425" s="1824"/>
      <c r="TOU425" s="1824"/>
      <c r="TOV425" s="1824"/>
      <c r="TOW425" s="1824"/>
      <c r="TOX425" s="1824"/>
      <c r="TOY425" s="1824"/>
      <c r="TOZ425" s="1824"/>
      <c r="TPA425" s="1824"/>
      <c r="TPB425" s="1824"/>
      <c r="TPC425" s="1824"/>
      <c r="TPD425" s="1824"/>
      <c r="TPE425" s="1824"/>
      <c r="TPF425" s="1824"/>
      <c r="TPG425" s="1824"/>
      <c r="TPH425" s="1824"/>
      <c r="TPI425" s="1824"/>
      <c r="TPJ425" s="1824"/>
      <c r="TPK425" s="1824"/>
      <c r="TPL425" s="1824"/>
      <c r="TPM425" s="1824"/>
      <c r="TPN425" s="1824"/>
      <c r="TPO425" s="1824"/>
      <c r="TPP425" s="1824"/>
      <c r="TPQ425" s="1824"/>
      <c r="TPR425" s="1824"/>
      <c r="TPS425" s="1824"/>
      <c r="TPT425" s="1824"/>
      <c r="TPU425" s="1824"/>
      <c r="TPV425" s="1824"/>
      <c r="TPW425" s="1824"/>
      <c r="TPX425" s="1824"/>
      <c r="TPY425" s="1824"/>
      <c r="TPZ425" s="1824"/>
      <c r="TQA425" s="1824"/>
      <c r="TQB425" s="1824"/>
      <c r="TQC425" s="1824"/>
      <c r="TQD425" s="1824"/>
      <c r="TQE425" s="1824"/>
      <c r="TQF425" s="1824"/>
      <c r="TQG425" s="1824"/>
      <c r="TQH425" s="1824"/>
      <c r="TQI425" s="1824"/>
      <c r="TQJ425" s="1824"/>
      <c r="TQK425" s="1824"/>
      <c r="TQL425" s="1824"/>
      <c r="TQM425" s="1824"/>
      <c r="TQN425" s="1824"/>
      <c r="TQO425" s="1824"/>
      <c r="TQP425" s="1824"/>
      <c r="TQQ425" s="1824"/>
      <c r="TQR425" s="1824"/>
      <c r="TQS425" s="1824"/>
      <c r="TQT425" s="1824"/>
      <c r="TQU425" s="1824"/>
      <c r="TQV425" s="1824"/>
      <c r="TQW425" s="1824"/>
      <c r="TQX425" s="1824"/>
      <c r="TQY425" s="1824"/>
      <c r="TQZ425" s="1824"/>
      <c r="TRA425" s="1824"/>
      <c r="TRB425" s="1824"/>
      <c r="TRC425" s="1824"/>
      <c r="TRD425" s="1824"/>
      <c r="TRE425" s="1824"/>
      <c r="TRF425" s="1824"/>
      <c r="TRG425" s="1824"/>
      <c r="TRH425" s="1824"/>
      <c r="TRI425" s="1824"/>
      <c r="TRJ425" s="1824"/>
      <c r="TRK425" s="1824"/>
      <c r="TRL425" s="1824"/>
      <c r="TRM425" s="1824"/>
      <c r="TRN425" s="1824"/>
      <c r="TRO425" s="1824"/>
      <c r="TRP425" s="1824"/>
      <c r="TRQ425" s="1824"/>
      <c r="TRR425" s="1824"/>
      <c r="TRS425" s="1824"/>
      <c r="TRT425" s="1824"/>
      <c r="TRU425" s="1824"/>
      <c r="TRV425" s="1824"/>
      <c r="TRW425" s="1824"/>
      <c r="TRX425" s="1824"/>
      <c r="TRY425" s="1824"/>
      <c r="TRZ425" s="1824"/>
      <c r="TSA425" s="1824"/>
      <c r="TSB425" s="1824"/>
      <c r="TSC425" s="1824"/>
      <c r="TSD425" s="1824"/>
      <c r="TSE425" s="1824"/>
      <c r="TSF425" s="1824"/>
      <c r="TSG425" s="1824"/>
      <c r="TSH425" s="1824"/>
      <c r="TSI425" s="1824"/>
      <c r="TSJ425" s="1824"/>
      <c r="TSK425" s="1824"/>
      <c r="TSL425" s="1824"/>
      <c r="TSM425" s="1824"/>
      <c r="TSN425" s="1824"/>
      <c r="TSO425" s="1824"/>
      <c r="TSP425" s="1824"/>
      <c r="TSQ425" s="1824"/>
      <c r="TSR425" s="1824"/>
      <c r="TSS425" s="1824"/>
      <c r="TST425" s="1824"/>
      <c r="TSU425" s="1824"/>
      <c r="TSV425" s="1824"/>
      <c r="TSW425" s="1824"/>
      <c r="TSX425" s="1824"/>
      <c r="TSY425" s="1824"/>
      <c r="TSZ425" s="1824"/>
      <c r="TTA425" s="1824"/>
      <c r="TTB425" s="1824"/>
      <c r="TTC425" s="1824"/>
      <c r="TTD425" s="1824"/>
      <c r="TTE425" s="1824"/>
      <c r="TTF425" s="1824"/>
      <c r="TTG425" s="1824"/>
      <c r="TTH425" s="1824"/>
      <c r="TTI425" s="1824"/>
      <c r="TTJ425" s="1824"/>
      <c r="TTK425" s="1824"/>
      <c r="TTL425" s="1824"/>
      <c r="TTM425" s="1824"/>
      <c r="TTN425" s="1824"/>
      <c r="TTO425" s="1824"/>
      <c r="TTP425" s="1824"/>
      <c r="TTQ425" s="1824"/>
      <c r="TTR425" s="1824"/>
      <c r="TTS425" s="1824"/>
      <c r="TTT425" s="1824"/>
      <c r="TTU425" s="1824"/>
      <c r="TTV425" s="1824"/>
      <c r="TTW425" s="1824"/>
      <c r="TTX425" s="1824"/>
      <c r="TTY425" s="1824"/>
      <c r="TTZ425" s="1824"/>
      <c r="TUA425" s="1824"/>
      <c r="TUB425" s="1824"/>
      <c r="TUC425" s="1824"/>
      <c r="TUD425" s="1824"/>
      <c r="TUE425" s="1824"/>
      <c r="TUF425" s="1824"/>
      <c r="TUG425" s="1824"/>
      <c r="TUH425" s="1824"/>
      <c r="TUI425" s="1824"/>
      <c r="TUJ425" s="1824"/>
      <c r="TUK425" s="1824"/>
      <c r="TUL425" s="1824"/>
      <c r="TUM425" s="1824"/>
      <c r="TUN425" s="1824"/>
      <c r="TUO425" s="1824"/>
      <c r="TUP425" s="1824"/>
      <c r="TUQ425" s="1824"/>
      <c r="TUR425" s="1824"/>
      <c r="TUS425" s="1824"/>
      <c r="TUT425" s="1824"/>
      <c r="TUU425" s="1824"/>
      <c r="TUV425" s="1824"/>
      <c r="TUW425" s="1824"/>
      <c r="TUX425" s="1824"/>
      <c r="TUY425" s="1824"/>
      <c r="TUZ425" s="1824"/>
      <c r="TVA425" s="1824"/>
      <c r="TVB425" s="1824"/>
      <c r="TVC425" s="1824"/>
      <c r="TVD425" s="1824"/>
      <c r="TVE425" s="1824"/>
      <c r="TVF425" s="1824"/>
      <c r="TVG425" s="1824"/>
      <c r="TVH425" s="1824"/>
      <c r="TVI425" s="1824"/>
      <c r="TVJ425" s="1824"/>
      <c r="TVK425" s="1824"/>
      <c r="TVL425" s="1824"/>
      <c r="TVM425" s="1824"/>
      <c r="TVN425" s="1824"/>
      <c r="TVO425" s="1824"/>
      <c r="TVP425" s="1824"/>
      <c r="TVQ425" s="1824"/>
      <c r="TVR425" s="1824"/>
      <c r="TVS425" s="1824"/>
      <c r="TVT425" s="1824"/>
      <c r="TVU425" s="1824"/>
      <c r="TVV425" s="1824"/>
      <c r="TVW425" s="1824"/>
      <c r="TVX425" s="1824"/>
      <c r="TVY425" s="1824"/>
      <c r="TVZ425" s="1824"/>
      <c r="TWA425" s="1824"/>
      <c r="TWB425" s="1824"/>
      <c r="TWC425" s="1824"/>
      <c r="TWD425" s="1824"/>
      <c r="TWE425" s="1824"/>
      <c r="TWF425" s="1824"/>
      <c r="TWG425" s="1824"/>
      <c r="TWH425" s="1824"/>
      <c r="TWI425" s="1824"/>
      <c r="TWJ425" s="1824"/>
      <c r="TWK425" s="1824"/>
      <c r="TWL425" s="1824"/>
      <c r="TWM425" s="1824"/>
      <c r="TWN425" s="1824"/>
      <c r="TWO425" s="1824"/>
      <c r="TWP425" s="1824"/>
      <c r="TWQ425" s="1824"/>
      <c r="TWR425" s="1824"/>
      <c r="TWS425" s="1824"/>
      <c r="TWT425" s="1824"/>
      <c r="TWU425" s="1824"/>
      <c r="TWV425" s="1824"/>
      <c r="TWW425" s="1824"/>
      <c r="TWX425" s="1824"/>
      <c r="TWY425" s="1824"/>
      <c r="TWZ425" s="1824"/>
      <c r="TXA425" s="1824"/>
      <c r="TXB425" s="1824"/>
      <c r="TXC425" s="1824"/>
      <c r="TXD425" s="1824"/>
      <c r="TXE425" s="1824"/>
      <c r="TXF425" s="1824"/>
      <c r="TXG425" s="1824"/>
      <c r="TXH425" s="1824"/>
      <c r="TXI425" s="1824"/>
      <c r="TXJ425" s="1824"/>
      <c r="TXK425" s="1824"/>
      <c r="TXL425" s="1824"/>
      <c r="TXM425" s="1824"/>
      <c r="TXN425" s="1824"/>
      <c r="TXO425" s="1824"/>
      <c r="TXP425" s="1824"/>
      <c r="TXQ425" s="1824"/>
      <c r="TXR425" s="1824"/>
      <c r="TXS425" s="1824"/>
      <c r="TXT425" s="1824"/>
      <c r="TXU425" s="1824"/>
      <c r="TXV425" s="1824"/>
      <c r="TXW425" s="1824"/>
      <c r="TXX425" s="1824"/>
      <c r="TXY425" s="1824"/>
      <c r="TXZ425" s="1824"/>
      <c r="TYA425" s="1824"/>
      <c r="TYB425" s="1824"/>
      <c r="TYC425" s="1824"/>
      <c r="TYD425" s="1824"/>
      <c r="TYE425" s="1824"/>
      <c r="TYF425" s="1824"/>
      <c r="TYG425" s="1824"/>
      <c r="TYH425" s="1824"/>
      <c r="TYI425" s="1824"/>
      <c r="TYJ425" s="1824"/>
      <c r="TYK425" s="1824"/>
      <c r="TYL425" s="1824"/>
      <c r="TYM425" s="1824"/>
      <c r="TYN425" s="1824"/>
      <c r="TYO425" s="1824"/>
      <c r="TYP425" s="1824"/>
      <c r="TYQ425" s="1824"/>
      <c r="TYR425" s="1824"/>
      <c r="TYS425" s="1824"/>
      <c r="TYT425" s="1824"/>
      <c r="TYU425" s="1824"/>
      <c r="TYV425" s="1824"/>
      <c r="TYW425" s="1824"/>
      <c r="TYX425" s="1824"/>
      <c r="TYY425" s="1824"/>
      <c r="TYZ425" s="1824"/>
      <c r="TZA425" s="1824"/>
      <c r="TZB425" s="1824"/>
      <c r="TZC425" s="1824"/>
      <c r="TZD425" s="1824"/>
      <c r="TZE425" s="1824"/>
      <c r="TZF425" s="1824"/>
      <c r="TZG425" s="1824"/>
      <c r="TZH425" s="1824"/>
      <c r="TZI425" s="1824"/>
      <c r="TZJ425" s="1824"/>
      <c r="TZK425" s="1824"/>
      <c r="TZL425" s="1824"/>
      <c r="TZM425" s="1824"/>
      <c r="TZN425" s="1824"/>
      <c r="TZO425" s="1824"/>
      <c r="TZP425" s="1824"/>
      <c r="TZQ425" s="1824"/>
      <c r="TZR425" s="1824"/>
      <c r="TZS425" s="1824"/>
      <c r="TZT425" s="1824"/>
      <c r="TZU425" s="1824"/>
      <c r="TZV425" s="1824"/>
      <c r="TZW425" s="1824"/>
      <c r="TZX425" s="1824"/>
      <c r="TZY425" s="1824"/>
      <c r="TZZ425" s="1824"/>
      <c r="UAA425" s="1824"/>
      <c r="UAB425" s="1824"/>
      <c r="UAC425" s="1824"/>
      <c r="UAD425" s="1824"/>
      <c r="UAE425" s="1824"/>
      <c r="UAF425" s="1824"/>
      <c r="UAG425" s="1824"/>
      <c r="UAH425" s="1824"/>
      <c r="UAI425" s="1824"/>
      <c r="UAJ425" s="1824"/>
      <c r="UAK425" s="1824"/>
      <c r="UAL425" s="1824"/>
      <c r="UAM425" s="1824"/>
      <c r="UAN425" s="1824"/>
      <c r="UAO425" s="1824"/>
      <c r="UAP425" s="1824"/>
      <c r="UAQ425" s="1824"/>
      <c r="UAR425" s="1824"/>
      <c r="UAS425" s="1824"/>
      <c r="UAT425" s="1824"/>
      <c r="UAU425" s="1824"/>
      <c r="UAV425" s="1824"/>
      <c r="UAW425" s="1824"/>
      <c r="UAX425" s="1824"/>
      <c r="UAY425" s="1824"/>
      <c r="UAZ425" s="1824"/>
      <c r="UBA425" s="1824"/>
      <c r="UBB425" s="1824"/>
      <c r="UBC425" s="1824"/>
      <c r="UBD425" s="1824"/>
      <c r="UBE425" s="1824"/>
      <c r="UBF425" s="1824"/>
      <c r="UBG425" s="1824"/>
      <c r="UBH425" s="1824"/>
      <c r="UBI425" s="1824"/>
      <c r="UBJ425" s="1824"/>
      <c r="UBK425" s="1824"/>
      <c r="UBL425" s="1824"/>
      <c r="UBM425" s="1824"/>
      <c r="UBN425" s="1824"/>
      <c r="UBO425" s="1824"/>
      <c r="UBP425" s="1824"/>
      <c r="UBQ425" s="1824"/>
      <c r="UBR425" s="1824"/>
      <c r="UBS425" s="1824"/>
      <c r="UBT425" s="1824"/>
      <c r="UBU425" s="1824"/>
      <c r="UBV425" s="1824"/>
      <c r="UBW425" s="1824"/>
      <c r="UBX425" s="1824"/>
      <c r="UBY425" s="1824"/>
      <c r="UBZ425" s="1824"/>
      <c r="UCA425" s="1824"/>
      <c r="UCB425" s="1824"/>
      <c r="UCC425" s="1824"/>
      <c r="UCD425" s="1824"/>
      <c r="UCE425" s="1824"/>
      <c r="UCF425" s="1824"/>
      <c r="UCG425" s="1824"/>
      <c r="UCH425" s="1824"/>
      <c r="UCI425" s="1824"/>
      <c r="UCJ425" s="1824"/>
      <c r="UCK425" s="1824"/>
      <c r="UCL425" s="1824"/>
      <c r="UCM425" s="1824"/>
      <c r="UCN425" s="1824"/>
      <c r="UCO425" s="1824"/>
      <c r="UCP425" s="1824"/>
      <c r="UCQ425" s="1824"/>
      <c r="UCR425" s="1824"/>
      <c r="UCS425" s="1824"/>
      <c r="UCT425" s="1824"/>
      <c r="UCU425" s="1824"/>
      <c r="UCV425" s="1824"/>
      <c r="UCW425" s="1824"/>
      <c r="UCX425" s="1824"/>
      <c r="UCY425" s="1824"/>
      <c r="UCZ425" s="1824"/>
      <c r="UDA425" s="1824"/>
      <c r="UDB425" s="1824"/>
      <c r="UDC425" s="1824"/>
      <c r="UDD425" s="1824"/>
      <c r="UDE425" s="1824"/>
      <c r="UDF425" s="1824"/>
      <c r="UDG425" s="1824"/>
      <c r="UDH425" s="1824"/>
      <c r="UDI425" s="1824"/>
      <c r="UDJ425" s="1824"/>
      <c r="UDK425" s="1824"/>
      <c r="UDL425" s="1824"/>
      <c r="UDM425" s="1824"/>
      <c r="UDN425" s="1824"/>
      <c r="UDO425" s="1824"/>
      <c r="UDP425" s="1824"/>
      <c r="UDQ425" s="1824"/>
      <c r="UDR425" s="1824"/>
      <c r="UDS425" s="1824"/>
      <c r="UDT425" s="1824"/>
      <c r="UDU425" s="1824"/>
      <c r="UDV425" s="1824"/>
      <c r="UDW425" s="1824"/>
      <c r="UDX425" s="1824"/>
      <c r="UDY425" s="1824"/>
      <c r="UDZ425" s="1824"/>
      <c r="UEA425" s="1824"/>
      <c r="UEB425" s="1824"/>
      <c r="UEC425" s="1824"/>
      <c r="UED425" s="1824"/>
      <c r="UEE425" s="1824"/>
      <c r="UEF425" s="1824"/>
      <c r="UEG425" s="1824"/>
      <c r="UEH425" s="1824"/>
      <c r="UEI425" s="1824"/>
      <c r="UEJ425" s="1824"/>
      <c r="UEK425" s="1824"/>
      <c r="UEL425" s="1824"/>
      <c r="UEM425" s="1824"/>
      <c r="UEN425" s="1824"/>
      <c r="UEO425" s="1824"/>
      <c r="UEP425" s="1824"/>
      <c r="UEQ425" s="1824"/>
      <c r="UER425" s="1824"/>
      <c r="UES425" s="1824"/>
      <c r="UET425" s="1824"/>
      <c r="UEU425" s="1824"/>
      <c r="UEV425" s="1824"/>
      <c r="UEW425" s="1824"/>
      <c r="UEX425" s="1824"/>
      <c r="UEY425" s="1824"/>
      <c r="UEZ425" s="1824"/>
      <c r="UFA425" s="1824"/>
      <c r="UFB425" s="1824"/>
      <c r="UFC425" s="1824"/>
      <c r="UFD425" s="1824"/>
      <c r="UFE425" s="1824"/>
      <c r="UFF425" s="1824"/>
      <c r="UFG425" s="1824"/>
      <c r="UFH425" s="1824"/>
      <c r="UFI425" s="1824"/>
      <c r="UFJ425" s="1824"/>
      <c r="UFK425" s="1824"/>
      <c r="UFL425" s="1824"/>
      <c r="UFM425" s="1824"/>
      <c r="UFN425" s="1824"/>
      <c r="UFO425" s="1824"/>
      <c r="UFP425" s="1824"/>
      <c r="UFQ425" s="1824"/>
      <c r="UFR425" s="1824"/>
      <c r="UFS425" s="1824"/>
      <c r="UFT425" s="1824"/>
      <c r="UFU425" s="1824"/>
      <c r="UFV425" s="1824"/>
      <c r="UFW425" s="1824"/>
      <c r="UFX425" s="1824"/>
      <c r="UFY425" s="1824"/>
      <c r="UFZ425" s="1824"/>
      <c r="UGA425" s="1824"/>
      <c r="UGB425" s="1824"/>
      <c r="UGC425" s="1824"/>
      <c r="UGD425" s="1824"/>
      <c r="UGE425" s="1824"/>
      <c r="UGF425" s="1824"/>
      <c r="UGG425" s="1824"/>
      <c r="UGH425" s="1824"/>
      <c r="UGI425" s="1824"/>
      <c r="UGJ425" s="1824"/>
      <c r="UGK425" s="1824"/>
      <c r="UGL425" s="1824"/>
      <c r="UGM425" s="1824"/>
      <c r="UGN425" s="1824"/>
      <c r="UGO425" s="1824"/>
      <c r="UGP425" s="1824"/>
      <c r="UGQ425" s="1824"/>
      <c r="UGR425" s="1824"/>
      <c r="UGS425" s="1824"/>
      <c r="UGT425" s="1824"/>
      <c r="UGU425" s="1824"/>
      <c r="UGV425" s="1824"/>
      <c r="UGW425" s="1824"/>
      <c r="UGX425" s="1824"/>
      <c r="UGY425" s="1824"/>
      <c r="UGZ425" s="1824"/>
      <c r="UHA425" s="1824"/>
      <c r="UHB425" s="1824"/>
      <c r="UHC425" s="1824"/>
      <c r="UHD425" s="1824"/>
      <c r="UHE425" s="1824"/>
      <c r="UHF425" s="1824"/>
      <c r="UHG425" s="1824"/>
      <c r="UHH425" s="1824"/>
      <c r="UHI425" s="1824"/>
      <c r="UHJ425" s="1824"/>
      <c r="UHK425" s="1824"/>
      <c r="UHL425" s="1824"/>
      <c r="UHM425" s="1824"/>
      <c r="UHN425" s="1824"/>
      <c r="UHO425" s="1824"/>
      <c r="UHP425" s="1824"/>
      <c r="UHQ425" s="1824"/>
      <c r="UHR425" s="1824"/>
      <c r="UHS425" s="1824"/>
      <c r="UHT425" s="1824"/>
      <c r="UHU425" s="1824"/>
      <c r="UHV425" s="1824"/>
      <c r="UHW425" s="1824"/>
      <c r="UHX425" s="1824"/>
      <c r="UHY425" s="1824"/>
      <c r="UHZ425" s="1824"/>
      <c r="UIA425" s="1824"/>
      <c r="UIB425" s="1824"/>
      <c r="UIC425" s="1824"/>
      <c r="UID425" s="1824"/>
      <c r="UIE425" s="1824"/>
      <c r="UIF425" s="1824"/>
      <c r="UIG425" s="1824"/>
      <c r="UIH425" s="1824"/>
      <c r="UII425" s="1824"/>
      <c r="UIJ425" s="1824"/>
      <c r="UIK425" s="1824"/>
      <c r="UIL425" s="1824"/>
      <c r="UIM425" s="1824"/>
      <c r="UIN425" s="1824"/>
      <c r="UIO425" s="1824"/>
      <c r="UIP425" s="1824"/>
      <c r="UIQ425" s="1824"/>
      <c r="UIR425" s="1824"/>
      <c r="UIS425" s="1824"/>
      <c r="UIT425" s="1824"/>
      <c r="UIU425" s="1824"/>
      <c r="UIV425" s="1824"/>
      <c r="UIW425" s="1824"/>
      <c r="UIX425" s="1824"/>
      <c r="UIY425" s="1824"/>
      <c r="UIZ425" s="1824"/>
      <c r="UJA425" s="1824"/>
      <c r="UJB425" s="1824"/>
      <c r="UJC425" s="1824"/>
      <c r="UJD425" s="1824"/>
      <c r="UJE425" s="1824"/>
      <c r="UJF425" s="1824"/>
      <c r="UJG425" s="1824"/>
      <c r="UJH425" s="1824"/>
      <c r="UJI425" s="1824"/>
      <c r="UJJ425" s="1824"/>
      <c r="UJK425" s="1824"/>
      <c r="UJL425" s="1824"/>
      <c r="UJM425" s="1824"/>
      <c r="UJN425" s="1824"/>
      <c r="UJO425" s="1824"/>
      <c r="UJP425" s="1824"/>
      <c r="UJQ425" s="1824"/>
      <c r="UJR425" s="1824"/>
      <c r="UJS425" s="1824"/>
      <c r="UJT425" s="1824"/>
      <c r="UJU425" s="1824"/>
      <c r="UJV425" s="1824"/>
      <c r="UJW425" s="1824"/>
      <c r="UJX425" s="1824"/>
      <c r="UJY425" s="1824"/>
      <c r="UJZ425" s="1824"/>
      <c r="UKA425" s="1824"/>
      <c r="UKB425" s="1824"/>
      <c r="UKC425" s="1824"/>
      <c r="UKD425" s="1824"/>
      <c r="UKE425" s="1824"/>
      <c r="UKF425" s="1824"/>
      <c r="UKG425" s="1824"/>
      <c r="UKH425" s="1824"/>
      <c r="UKI425" s="1824"/>
      <c r="UKJ425" s="1824"/>
      <c r="UKK425" s="1824"/>
      <c r="UKL425" s="1824"/>
      <c r="UKM425" s="1824"/>
      <c r="UKN425" s="1824"/>
      <c r="UKO425" s="1824"/>
      <c r="UKP425" s="1824"/>
      <c r="UKQ425" s="1824"/>
      <c r="UKR425" s="1824"/>
      <c r="UKS425" s="1824"/>
      <c r="UKT425" s="1824"/>
      <c r="UKU425" s="1824"/>
      <c r="UKV425" s="1824"/>
      <c r="UKW425" s="1824"/>
      <c r="UKX425" s="1824"/>
      <c r="UKY425" s="1824"/>
      <c r="UKZ425" s="1824"/>
      <c r="ULA425" s="1824"/>
      <c r="ULB425" s="1824"/>
      <c r="ULC425" s="1824"/>
      <c r="ULD425" s="1824"/>
      <c r="ULE425" s="1824"/>
      <c r="ULF425" s="1824"/>
      <c r="ULG425" s="1824"/>
      <c r="ULH425" s="1824"/>
      <c r="ULI425" s="1824"/>
      <c r="ULJ425" s="1824"/>
      <c r="ULK425" s="1824"/>
      <c r="ULL425" s="1824"/>
      <c r="ULM425" s="1824"/>
      <c r="ULN425" s="1824"/>
      <c r="ULO425" s="1824"/>
      <c r="ULP425" s="1824"/>
      <c r="ULQ425" s="1824"/>
      <c r="ULR425" s="1824"/>
      <c r="ULS425" s="1824"/>
      <c r="ULT425" s="1824"/>
      <c r="ULU425" s="1824"/>
      <c r="ULV425" s="1824"/>
      <c r="ULW425" s="1824"/>
      <c r="ULX425" s="1824"/>
      <c r="ULY425" s="1824"/>
      <c r="ULZ425" s="1824"/>
      <c r="UMA425" s="1824"/>
      <c r="UMB425" s="1824"/>
      <c r="UMC425" s="1824"/>
      <c r="UMD425" s="1824"/>
      <c r="UME425" s="1824"/>
      <c r="UMF425" s="1824"/>
      <c r="UMG425" s="1824"/>
      <c r="UMH425" s="1824"/>
      <c r="UMI425" s="1824"/>
      <c r="UMJ425" s="1824"/>
      <c r="UMK425" s="1824"/>
      <c r="UML425" s="1824"/>
      <c r="UMM425" s="1824"/>
      <c r="UMN425" s="1824"/>
      <c r="UMO425" s="1824"/>
      <c r="UMP425" s="1824"/>
      <c r="UMQ425" s="1824"/>
      <c r="UMR425" s="1824"/>
      <c r="UMS425" s="1824"/>
      <c r="UMT425" s="1824"/>
      <c r="UMU425" s="1824"/>
      <c r="UMV425" s="1824"/>
      <c r="UMW425" s="1824"/>
      <c r="UMX425" s="1824"/>
      <c r="UMY425" s="1824"/>
      <c r="UMZ425" s="1824"/>
      <c r="UNA425" s="1824"/>
      <c r="UNB425" s="1824"/>
      <c r="UNC425" s="1824"/>
      <c r="UND425" s="1824"/>
      <c r="UNE425" s="1824"/>
      <c r="UNF425" s="1824"/>
      <c r="UNG425" s="1824"/>
      <c r="UNH425" s="1824"/>
      <c r="UNI425" s="1824"/>
      <c r="UNJ425" s="1824"/>
      <c r="UNK425" s="1824"/>
      <c r="UNL425" s="1824"/>
      <c r="UNM425" s="1824"/>
      <c r="UNN425" s="1824"/>
      <c r="UNO425" s="1824"/>
      <c r="UNP425" s="1824"/>
      <c r="UNQ425" s="1824"/>
      <c r="UNR425" s="1824"/>
      <c r="UNS425" s="1824"/>
      <c r="UNT425" s="1824"/>
      <c r="UNU425" s="1824"/>
      <c r="UNV425" s="1824"/>
      <c r="UNW425" s="1824"/>
      <c r="UNX425" s="1824"/>
      <c r="UNY425" s="1824"/>
      <c r="UNZ425" s="1824"/>
      <c r="UOA425" s="1824"/>
      <c r="UOB425" s="1824"/>
      <c r="UOC425" s="1824"/>
      <c r="UOD425" s="1824"/>
      <c r="UOE425" s="1824"/>
      <c r="UOF425" s="1824"/>
      <c r="UOG425" s="1824"/>
      <c r="UOH425" s="1824"/>
      <c r="UOI425" s="1824"/>
      <c r="UOJ425" s="1824"/>
      <c r="UOK425" s="1824"/>
      <c r="UOL425" s="1824"/>
      <c r="UOM425" s="1824"/>
      <c r="UON425" s="1824"/>
      <c r="UOO425" s="1824"/>
      <c r="UOP425" s="1824"/>
      <c r="UOQ425" s="1824"/>
      <c r="UOR425" s="1824"/>
      <c r="UOS425" s="1824"/>
      <c r="UOT425" s="1824"/>
      <c r="UOU425" s="1824"/>
      <c r="UOV425" s="1824"/>
      <c r="UOW425" s="1824"/>
      <c r="UOX425" s="1824"/>
      <c r="UOY425" s="1824"/>
      <c r="UOZ425" s="1824"/>
      <c r="UPA425" s="1824"/>
      <c r="UPB425" s="1824"/>
      <c r="UPC425" s="1824"/>
      <c r="UPD425" s="1824"/>
      <c r="UPE425" s="1824"/>
      <c r="UPF425" s="1824"/>
      <c r="UPG425" s="1824"/>
      <c r="UPH425" s="1824"/>
      <c r="UPI425" s="1824"/>
      <c r="UPJ425" s="1824"/>
      <c r="UPK425" s="1824"/>
      <c r="UPL425" s="1824"/>
      <c r="UPM425" s="1824"/>
      <c r="UPN425" s="1824"/>
      <c r="UPO425" s="1824"/>
      <c r="UPP425" s="1824"/>
      <c r="UPQ425" s="1824"/>
      <c r="UPR425" s="1824"/>
      <c r="UPS425" s="1824"/>
      <c r="UPT425" s="1824"/>
      <c r="UPU425" s="1824"/>
      <c r="UPV425" s="1824"/>
      <c r="UPW425" s="1824"/>
      <c r="UPX425" s="1824"/>
      <c r="UPY425" s="1824"/>
      <c r="UPZ425" s="1824"/>
      <c r="UQA425" s="1824"/>
      <c r="UQB425" s="1824"/>
      <c r="UQC425" s="1824"/>
      <c r="UQD425" s="1824"/>
      <c r="UQE425" s="1824"/>
      <c r="UQF425" s="1824"/>
      <c r="UQG425" s="1824"/>
      <c r="UQH425" s="1824"/>
      <c r="UQI425" s="1824"/>
      <c r="UQJ425" s="1824"/>
      <c r="UQK425" s="1824"/>
      <c r="UQL425" s="1824"/>
      <c r="UQM425" s="1824"/>
      <c r="UQN425" s="1824"/>
      <c r="UQO425" s="1824"/>
      <c r="UQP425" s="1824"/>
      <c r="UQQ425" s="1824"/>
      <c r="UQR425" s="1824"/>
      <c r="UQS425" s="1824"/>
      <c r="UQT425" s="1824"/>
      <c r="UQU425" s="1824"/>
      <c r="UQV425" s="1824"/>
      <c r="UQW425" s="1824"/>
      <c r="UQX425" s="1824"/>
      <c r="UQY425" s="1824"/>
      <c r="UQZ425" s="1824"/>
      <c r="URA425" s="1824"/>
      <c r="URB425" s="1824"/>
      <c r="URC425" s="1824"/>
      <c r="URD425" s="1824"/>
      <c r="URE425" s="1824"/>
      <c r="URF425" s="1824"/>
      <c r="URG425" s="1824"/>
      <c r="URH425" s="1824"/>
      <c r="URI425" s="1824"/>
      <c r="URJ425" s="1824"/>
      <c r="URK425" s="1824"/>
      <c r="URL425" s="1824"/>
      <c r="URM425" s="1824"/>
      <c r="URN425" s="1824"/>
      <c r="URO425" s="1824"/>
      <c r="URP425" s="1824"/>
      <c r="URQ425" s="1824"/>
      <c r="URR425" s="1824"/>
      <c r="URS425" s="1824"/>
      <c r="URT425" s="1824"/>
      <c r="URU425" s="1824"/>
      <c r="URV425" s="1824"/>
      <c r="URW425" s="1824"/>
      <c r="URX425" s="1824"/>
      <c r="URY425" s="1824"/>
      <c r="URZ425" s="1824"/>
      <c r="USA425" s="1824"/>
      <c r="USB425" s="1824"/>
      <c r="USC425" s="1824"/>
      <c r="USD425" s="1824"/>
      <c r="USE425" s="1824"/>
      <c r="USF425" s="1824"/>
      <c r="USG425" s="1824"/>
      <c r="USH425" s="1824"/>
      <c r="USI425" s="1824"/>
      <c r="USJ425" s="1824"/>
      <c r="USK425" s="1824"/>
      <c r="USL425" s="1824"/>
      <c r="USM425" s="1824"/>
      <c r="USN425" s="1824"/>
      <c r="USO425" s="1824"/>
      <c r="USP425" s="1824"/>
      <c r="USQ425" s="1824"/>
      <c r="USR425" s="1824"/>
      <c r="USS425" s="1824"/>
      <c r="UST425" s="1824"/>
      <c r="USU425" s="1824"/>
      <c r="USV425" s="1824"/>
      <c r="USW425" s="1824"/>
      <c r="USX425" s="1824"/>
      <c r="USY425" s="1824"/>
      <c r="USZ425" s="1824"/>
      <c r="UTA425" s="1824"/>
      <c r="UTB425" s="1824"/>
      <c r="UTC425" s="1824"/>
      <c r="UTD425" s="1824"/>
      <c r="UTE425" s="1824"/>
      <c r="UTF425" s="1824"/>
      <c r="UTG425" s="1824"/>
      <c r="UTH425" s="1824"/>
      <c r="UTI425" s="1824"/>
      <c r="UTJ425" s="1824"/>
      <c r="UTK425" s="1824"/>
      <c r="UTL425" s="1824"/>
      <c r="UTM425" s="1824"/>
      <c r="UTN425" s="1824"/>
      <c r="UTO425" s="1824"/>
      <c r="UTP425" s="1824"/>
      <c r="UTQ425" s="1824"/>
      <c r="UTR425" s="1824"/>
      <c r="UTS425" s="1824"/>
      <c r="UTT425" s="1824"/>
      <c r="UTU425" s="1824"/>
      <c r="UTV425" s="1824"/>
      <c r="UTW425" s="1824"/>
      <c r="UTX425" s="1824"/>
      <c r="UTY425" s="1824"/>
      <c r="UTZ425" s="1824"/>
      <c r="UUA425" s="1824"/>
      <c r="UUB425" s="1824"/>
      <c r="UUC425" s="1824"/>
      <c r="UUD425" s="1824"/>
      <c r="UUE425" s="1824"/>
      <c r="UUF425" s="1824"/>
      <c r="UUG425" s="1824"/>
      <c r="UUH425" s="1824"/>
      <c r="UUI425" s="1824"/>
      <c r="UUJ425" s="1824"/>
      <c r="UUK425" s="1824"/>
      <c r="UUL425" s="1824"/>
      <c r="UUM425" s="1824"/>
      <c r="UUN425" s="1824"/>
      <c r="UUO425" s="1824"/>
      <c r="UUP425" s="1824"/>
      <c r="UUQ425" s="1824"/>
      <c r="UUR425" s="1824"/>
      <c r="UUS425" s="1824"/>
      <c r="UUT425" s="1824"/>
      <c r="UUU425" s="1824"/>
      <c r="UUV425" s="1824"/>
      <c r="UUW425" s="1824"/>
      <c r="UUX425" s="1824"/>
      <c r="UUY425" s="1824"/>
      <c r="UUZ425" s="1824"/>
      <c r="UVA425" s="1824"/>
      <c r="UVB425" s="1824"/>
      <c r="UVC425" s="1824"/>
      <c r="UVD425" s="1824"/>
      <c r="UVE425" s="1824"/>
      <c r="UVF425" s="1824"/>
      <c r="UVG425" s="1824"/>
      <c r="UVH425" s="1824"/>
      <c r="UVI425" s="1824"/>
      <c r="UVJ425" s="1824"/>
      <c r="UVK425" s="1824"/>
      <c r="UVL425" s="1824"/>
      <c r="UVM425" s="1824"/>
      <c r="UVN425" s="1824"/>
      <c r="UVO425" s="1824"/>
      <c r="UVP425" s="1824"/>
      <c r="UVQ425" s="1824"/>
      <c r="UVR425" s="1824"/>
      <c r="UVS425" s="1824"/>
      <c r="UVT425" s="1824"/>
      <c r="UVU425" s="1824"/>
      <c r="UVV425" s="1824"/>
      <c r="UVW425" s="1824"/>
      <c r="UVX425" s="1824"/>
      <c r="UVY425" s="1824"/>
      <c r="UVZ425" s="1824"/>
      <c r="UWA425" s="1824"/>
      <c r="UWB425" s="1824"/>
      <c r="UWC425" s="1824"/>
      <c r="UWD425" s="1824"/>
      <c r="UWE425" s="1824"/>
      <c r="UWF425" s="1824"/>
      <c r="UWG425" s="1824"/>
      <c r="UWH425" s="1824"/>
      <c r="UWI425" s="1824"/>
      <c r="UWJ425" s="1824"/>
      <c r="UWK425" s="1824"/>
      <c r="UWL425" s="1824"/>
      <c r="UWM425" s="1824"/>
      <c r="UWN425" s="1824"/>
      <c r="UWO425" s="1824"/>
      <c r="UWP425" s="1824"/>
      <c r="UWQ425" s="1824"/>
      <c r="UWR425" s="1824"/>
      <c r="UWS425" s="1824"/>
      <c r="UWT425" s="1824"/>
      <c r="UWU425" s="1824"/>
      <c r="UWV425" s="1824"/>
      <c r="UWW425" s="1824"/>
      <c r="UWX425" s="1824"/>
      <c r="UWY425" s="1824"/>
      <c r="UWZ425" s="1824"/>
      <c r="UXA425" s="1824"/>
      <c r="UXB425" s="1824"/>
      <c r="UXC425" s="1824"/>
      <c r="UXD425" s="1824"/>
      <c r="UXE425" s="1824"/>
      <c r="UXF425" s="1824"/>
      <c r="UXG425" s="1824"/>
      <c r="UXH425" s="1824"/>
      <c r="UXI425" s="1824"/>
      <c r="UXJ425" s="1824"/>
      <c r="UXK425" s="1824"/>
      <c r="UXL425" s="1824"/>
      <c r="UXM425" s="1824"/>
      <c r="UXN425" s="1824"/>
      <c r="UXO425" s="1824"/>
      <c r="UXP425" s="1824"/>
      <c r="UXQ425" s="1824"/>
      <c r="UXR425" s="1824"/>
      <c r="UXS425" s="1824"/>
      <c r="UXT425" s="1824"/>
      <c r="UXU425" s="1824"/>
      <c r="UXV425" s="1824"/>
      <c r="UXW425" s="1824"/>
      <c r="UXX425" s="1824"/>
      <c r="UXY425" s="1824"/>
      <c r="UXZ425" s="1824"/>
      <c r="UYA425" s="1824"/>
      <c r="UYB425" s="1824"/>
      <c r="UYC425" s="1824"/>
      <c r="UYD425" s="1824"/>
      <c r="UYE425" s="1824"/>
      <c r="UYF425" s="1824"/>
      <c r="UYG425" s="1824"/>
      <c r="UYH425" s="1824"/>
      <c r="UYI425" s="1824"/>
      <c r="UYJ425" s="1824"/>
      <c r="UYK425" s="1824"/>
      <c r="UYL425" s="1824"/>
      <c r="UYM425" s="1824"/>
      <c r="UYN425" s="1824"/>
      <c r="UYO425" s="1824"/>
      <c r="UYP425" s="1824"/>
      <c r="UYQ425" s="1824"/>
      <c r="UYR425" s="1824"/>
      <c r="UYS425" s="1824"/>
      <c r="UYT425" s="1824"/>
      <c r="UYU425" s="1824"/>
      <c r="UYV425" s="1824"/>
      <c r="UYW425" s="1824"/>
      <c r="UYX425" s="1824"/>
      <c r="UYY425" s="1824"/>
      <c r="UYZ425" s="1824"/>
      <c r="UZA425" s="1824"/>
      <c r="UZB425" s="1824"/>
      <c r="UZC425" s="1824"/>
      <c r="UZD425" s="1824"/>
      <c r="UZE425" s="1824"/>
      <c r="UZF425" s="1824"/>
      <c r="UZG425" s="1824"/>
      <c r="UZH425" s="1824"/>
      <c r="UZI425" s="1824"/>
      <c r="UZJ425" s="1824"/>
      <c r="UZK425" s="1824"/>
      <c r="UZL425" s="1824"/>
      <c r="UZM425" s="1824"/>
      <c r="UZN425" s="1824"/>
      <c r="UZO425" s="1824"/>
      <c r="UZP425" s="1824"/>
      <c r="UZQ425" s="1824"/>
      <c r="UZR425" s="1824"/>
      <c r="UZS425" s="1824"/>
      <c r="UZT425" s="1824"/>
      <c r="UZU425" s="1824"/>
      <c r="UZV425" s="1824"/>
      <c r="UZW425" s="1824"/>
      <c r="UZX425" s="1824"/>
      <c r="UZY425" s="1824"/>
      <c r="UZZ425" s="1824"/>
      <c r="VAA425" s="1824"/>
      <c r="VAB425" s="1824"/>
      <c r="VAC425" s="1824"/>
      <c r="VAD425" s="1824"/>
      <c r="VAE425" s="1824"/>
      <c r="VAF425" s="1824"/>
      <c r="VAG425" s="1824"/>
      <c r="VAH425" s="1824"/>
      <c r="VAI425" s="1824"/>
      <c r="VAJ425" s="1824"/>
      <c r="VAK425" s="1824"/>
      <c r="VAL425" s="1824"/>
      <c r="VAM425" s="1824"/>
      <c r="VAN425" s="1824"/>
      <c r="VAO425" s="1824"/>
      <c r="VAP425" s="1824"/>
      <c r="VAQ425" s="1824"/>
      <c r="VAR425" s="1824"/>
      <c r="VAS425" s="1824"/>
      <c r="VAT425" s="1824"/>
      <c r="VAU425" s="1824"/>
      <c r="VAV425" s="1824"/>
      <c r="VAW425" s="1824"/>
      <c r="VAX425" s="1824"/>
      <c r="VAY425" s="1824"/>
      <c r="VAZ425" s="1824"/>
      <c r="VBA425" s="1824"/>
      <c r="VBB425" s="1824"/>
      <c r="VBC425" s="1824"/>
      <c r="VBD425" s="1824"/>
      <c r="VBE425" s="1824"/>
      <c r="VBF425" s="1824"/>
      <c r="VBG425" s="1824"/>
      <c r="VBH425" s="1824"/>
      <c r="VBI425" s="1824"/>
      <c r="VBJ425" s="1824"/>
      <c r="VBK425" s="1824"/>
      <c r="VBL425" s="1824"/>
      <c r="VBM425" s="1824"/>
      <c r="VBN425" s="1824"/>
      <c r="VBO425" s="1824"/>
      <c r="VBP425" s="1824"/>
      <c r="VBQ425" s="1824"/>
      <c r="VBR425" s="1824"/>
      <c r="VBS425" s="1824"/>
      <c r="VBT425" s="1824"/>
      <c r="VBU425" s="1824"/>
      <c r="VBV425" s="1824"/>
      <c r="VBW425" s="1824"/>
      <c r="VBX425" s="1824"/>
      <c r="VBY425" s="1824"/>
      <c r="VBZ425" s="1824"/>
      <c r="VCA425" s="1824"/>
      <c r="VCB425" s="1824"/>
      <c r="VCC425" s="1824"/>
      <c r="VCD425" s="1824"/>
      <c r="VCE425" s="1824"/>
      <c r="VCF425" s="1824"/>
      <c r="VCG425" s="1824"/>
      <c r="VCH425" s="1824"/>
      <c r="VCI425" s="1824"/>
      <c r="VCJ425" s="1824"/>
      <c r="VCK425" s="1824"/>
      <c r="VCL425" s="1824"/>
      <c r="VCM425" s="1824"/>
      <c r="VCN425" s="1824"/>
      <c r="VCO425" s="1824"/>
      <c r="VCP425" s="1824"/>
      <c r="VCQ425" s="1824"/>
      <c r="VCR425" s="1824"/>
      <c r="VCS425" s="1824"/>
      <c r="VCT425" s="1824"/>
      <c r="VCU425" s="1824"/>
      <c r="VCV425" s="1824"/>
      <c r="VCW425" s="1824"/>
      <c r="VCX425" s="1824"/>
      <c r="VCY425" s="1824"/>
      <c r="VCZ425" s="1824"/>
      <c r="VDA425" s="1824"/>
      <c r="VDB425" s="1824"/>
      <c r="VDC425" s="1824"/>
      <c r="VDD425" s="1824"/>
      <c r="VDE425" s="1824"/>
      <c r="VDF425" s="1824"/>
      <c r="VDG425" s="1824"/>
      <c r="VDH425" s="1824"/>
      <c r="VDI425" s="1824"/>
      <c r="VDJ425" s="1824"/>
      <c r="VDK425" s="1824"/>
      <c r="VDL425" s="1824"/>
      <c r="VDM425" s="1824"/>
      <c r="VDN425" s="1824"/>
      <c r="VDO425" s="1824"/>
      <c r="VDP425" s="1824"/>
      <c r="VDQ425" s="1824"/>
      <c r="VDR425" s="1824"/>
      <c r="VDS425" s="1824"/>
      <c r="VDT425" s="1824"/>
      <c r="VDU425" s="1824"/>
      <c r="VDV425" s="1824"/>
      <c r="VDW425" s="1824"/>
      <c r="VDX425" s="1824"/>
      <c r="VDY425" s="1824"/>
      <c r="VDZ425" s="1824"/>
      <c r="VEA425" s="1824"/>
      <c r="VEB425" s="1824"/>
      <c r="VEC425" s="1824"/>
      <c r="VED425" s="1824"/>
      <c r="VEE425" s="1824"/>
      <c r="VEF425" s="1824"/>
      <c r="VEG425" s="1824"/>
      <c r="VEH425" s="1824"/>
      <c r="VEI425" s="1824"/>
      <c r="VEJ425" s="1824"/>
      <c r="VEK425" s="1824"/>
      <c r="VEL425" s="1824"/>
      <c r="VEM425" s="1824"/>
      <c r="VEN425" s="1824"/>
      <c r="VEO425" s="1824"/>
      <c r="VEP425" s="1824"/>
      <c r="VEQ425" s="1824"/>
      <c r="VER425" s="1824"/>
      <c r="VES425" s="1824"/>
      <c r="VET425" s="1824"/>
      <c r="VEU425" s="1824"/>
      <c r="VEV425" s="1824"/>
      <c r="VEW425" s="1824"/>
      <c r="VEX425" s="1824"/>
      <c r="VEY425" s="1824"/>
      <c r="VEZ425" s="1824"/>
      <c r="VFA425" s="1824"/>
      <c r="VFB425" s="1824"/>
      <c r="VFC425" s="1824"/>
      <c r="VFD425" s="1824"/>
      <c r="VFE425" s="1824"/>
      <c r="VFF425" s="1824"/>
      <c r="VFG425" s="1824"/>
      <c r="VFH425" s="1824"/>
      <c r="VFI425" s="1824"/>
      <c r="VFJ425" s="1824"/>
      <c r="VFK425" s="1824"/>
      <c r="VFL425" s="1824"/>
      <c r="VFM425" s="1824"/>
      <c r="VFN425" s="1824"/>
      <c r="VFO425" s="1824"/>
      <c r="VFP425" s="1824"/>
      <c r="VFQ425" s="1824"/>
      <c r="VFR425" s="1824"/>
      <c r="VFS425" s="1824"/>
      <c r="VFT425" s="1824"/>
      <c r="VFU425" s="1824"/>
      <c r="VFV425" s="1824"/>
      <c r="VFW425" s="1824"/>
      <c r="VFX425" s="1824"/>
      <c r="VFY425" s="1824"/>
      <c r="VFZ425" s="1824"/>
      <c r="VGA425" s="1824"/>
      <c r="VGB425" s="1824"/>
      <c r="VGC425" s="1824"/>
      <c r="VGD425" s="1824"/>
      <c r="VGE425" s="1824"/>
      <c r="VGF425" s="1824"/>
      <c r="VGG425" s="1824"/>
      <c r="VGH425" s="1824"/>
      <c r="VGI425" s="1824"/>
      <c r="VGJ425" s="1824"/>
      <c r="VGK425" s="1824"/>
      <c r="VGL425" s="1824"/>
      <c r="VGM425" s="1824"/>
      <c r="VGN425" s="1824"/>
      <c r="VGO425" s="1824"/>
      <c r="VGP425" s="1824"/>
      <c r="VGQ425" s="1824"/>
      <c r="VGR425" s="1824"/>
      <c r="VGS425" s="1824"/>
      <c r="VGT425" s="1824"/>
      <c r="VGU425" s="1824"/>
      <c r="VGV425" s="1824"/>
      <c r="VGW425" s="1824"/>
      <c r="VGX425" s="1824"/>
      <c r="VGY425" s="1824"/>
      <c r="VGZ425" s="1824"/>
      <c r="VHA425" s="1824"/>
      <c r="VHB425" s="1824"/>
      <c r="VHC425" s="1824"/>
      <c r="VHD425" s="1824"/>
      <c r="VHE425" s="1824"/>
      <c r="VHF425" s="1824"/>
      <c r="VHG425" s="1824"/>
      <c r="VHH425" s="1824"/>
      <c r="VHI425" s="1824"/>
      <c r="VHJ425" s="1824"/>
      <c r="VHK425" s="1824"/>
      <c r="VHL425" s="1824"/>
      <c r="VHM425" s="1824"/>
      <c r="VHN425" s="1824"/>
      <c r="VHO425" s="1824"/>
      <c r="VHP425" s="1824"/>
      <c r="VHQ425" s="1824"/>
      <c r="VHR425" s="1824"/>
      <c r="VHS425" s="1824"/>
      <c r="VHT425" s="1824"/>
      <c r="VHU425" s="1824"/>
      <c r="VHV425" s="1824"/>
      <c r="VHW425" s="1824"/>
      <c r="VHX425" s="1824"/>
      <c r="VHY425" s="1824"/>
      <c r="VHZ425" s="1824"/>
      <c r="VIA425" s="1824"/>
      <c r="VIB425" s="1824"/>
      <c r="VIC425" s="1824"/>
      <c r="VID425" s="1824"/>
      <c r="VIE425" s="1824"/>
      <c r="VIF425" s="1824"/>
      <c r="VIG425" s="1824"/>
      <c r="VIH425" s="1824"/>
      <c r="VII425" s="1824"/>
      <c r="VIJ425" s="1824"/>
      <c r="VIK425" s="1824"/>
      <c r="VIL425" s="1824"/>
      <c r="VIM425" s="1824"/>
      <c r="VIN425" s="1824"/>
      <c r="VIO425" s="1824"/>
      <c r="VIP425" s="1824"/>
      <c r="VIQ425" s="1824"/>
      <c r="VIR425" s="1824"/>
      <c r="VIS425" s="1824"/>
      <c r="VIT425" s="1824"/>
      <c r="VIU425" s="1824"/>
      <c r="VIV425" s="1824"/>
      <c r="VIW425" s="1824"/>
      <c r="VIX425" s="1824"/>
      <c r="VIY425" s="1824"/>
      <c r="VIZ425" s="1824"/>
      <c r="VJA425" s="1824"/>
      <c r="VJB425" s="1824"/>
      <c r="VJC425" s="1824"/>
      <c r="VJD425" s="1824"/>
      <c r="VJE425" s="1824"/>
      <c r="VJF425" s="1824"/>
      <c r="VJG425" s="1824"/>
      <c r="VJH425" s="1824"/>
      <c r="VJI425" s="1824"/>
      <c r="VJJ425" s="1824"/>
      <c r="VJK425" s="1824"/>
      <c r="VJL425" s="1824"/>
      <c r="VJM425" s="1824"/>
      <c r="VJN425" s="1824"/>
      <c r="VJO425" s="1824"/>
      <c r="VJP425" s="1824"/>
      <c r="VJQ425" s="1824"/>
      <c r="VJR425" s="1824"/>
      <c r="VJS425" s="1824"/>
      <c r="VJT425" s="1824"/>
      <c r="VJU425" s="1824"/>
      <c r="VJV425" s="1824"/>
      <c r="VJW425" s="1824"/>
      <c r="VJX425" s="1824"/>
      <c r="VJY425" s="1824"/>
      <c r="VJZ425" s="1824"/>
      <c r="VKA425" s="1824"/>
      <c r="VKB425" s="1824"/>
      <c r="VKC425" s="1824"/>
      <c r="VKD425" s="1824"/>
      <c r="VKE425" s="1824"/>
      <c r="VKF425" s="1824"/>
      <c r="VKG425" s="1824"/>
      <c r="VKH425" s="1824"/>
      <c r="VKI425" s="1824"/>
      <c r="VKJ425" s="1824"/>
      <c r="VKK425" s="1824"/>
      <c r="VKL425" s="1824"/>
      <c r="VKM425" s="1824"/>
      <c r="VKN425" s="1824"/>
      <c r="VKO425" s="1824"/>
      <c r="VKP425" s="1824"/>
      <c r="VKQ425" s="1824"/>
      <c r="VKR425" s="1824"/>
      <c r="VKS425" s="1824"/>
      <c r="VKT425" s="1824"/>
      <c r="VKU425" s="1824"/>
      <c r="VKV425" s="1824"/>
      <c r="VKW425" s="1824"/>
      <c r="VKX425" s="1824"/>
      <c r="VKY425" s="1824"/>
      <c r="VKZ425" s="1824"/>
      <c r="VLA425" s="1824"/>
      <c r="VLB425" s="1824"/>
      <c r="VLC425" s="1824"/>
      <c r="VLD425" s="1824"/>
      <c r="VLE425" s="1824"/>
      <c r="VLF425" s="1824"/>
      <c r="VLG425" s="1824"/>
      <c r="VLH425" s="1824"/>
      <c r="VLI425" s="1824"/>
      <c r="VLJ425" s="1824"/>
      <c r="VLK425" s="1824"/>
      <c r="VLL425" s="1824"/>
      <c r="VLM425" s="1824"/>
      <c r="VLN425" s="1824"/>
      <c r="VLO425" s="1824"/>
      <c r="VLP425" s="1824"/>
      <c r="VLQ425" s="1824"/>
      <c r="VLR425" s="1824"/>
      <c r="VLS425" s="1824"/>
      <c r="VLT425" s="1824"/>
      <c r="VLU425" s="1824"/>
      <c r="VLV425" s="1824"/>
      <c r="VLW425" s="1824"/>
      <c r="VLX425" s="1824"/>
      <c r="VLY425" s="1824"/>
      <c r="VLZ425" s="1824"/>
      <c r="VMA425" s="1824"/>
      <c r="VMB425" s="1824"/>
      <c r="VMC425" s="1824"/>
      <c r="VMD425" s="1824"/>
      <c r="VME425" s="1824"/>
      <c r="VMF425" s="1824"/>
      <c r="VMG425" s="1824"/>
      <c r="VMH425" s="1824"/>
      <c r="VMI425" s="1824"/>
      <c r="VMJ425" s="1824"/>
      <c r="VMK425" s="1824"/>
      <c r="VML425" s="1824"/>
      <c r="VMM425" s="1824"/>
      <c r="VMN425" s="1824"/>
      <c r="VMO425" s="1824"/>
      <c r="VMP425" s="1824"/>
      <c r="VMQ425" s="1824"/>
      <c r="VMR425" s="1824"/>
      <c r="VMS425" s="1824"/>
      <c r="VMT425" s="1824"/>
      <c r="VMU425" s="1824"/>
      <c r="VMV425" s="1824"/>
      <c r="VMW425" s="1824"/>
      <c r="VMX425" s="1824"/>
      <c r="VMY425" s="1824"/>
      <c r="VMZ425" s="1824"/>
      <c r="VNA425" s="1824"/>
      <c r="VNB425" s="1824"/>
      <c r="VNC425" s="1824"/>
      <c r="VND425" s="1824"/>
      <c r="VNE425" s="1824"/>
      <c r="VNF425" s="1824"/>
      <c r="VNG425" s="1824"/>
      <c r="VNH425" s="1824"/>
      <c r="VNI425" s="1824"/>
      <c r="VNJ425" s="1824"/>
      <c r="VNK425" s="1824"/>
      <c r="VNL425" s="1824"/>
      <c r="VNM425" s="1824"/>
      <c r="VNN425" s="1824"/>
      <c r="VNO425" s="1824"/>
      <c r="VNP425" s="1824"/>
      <c r="VNQ425" s="1824"/>
      <c r="VNR425" s="1824"/>
      <c r="VNS425" s="1824"/>
      <c r="VNT425" s="1824"/>
      <c r="VNU425" s="1824"/>
      <c r="VNV425" s="1824"/>
      <c r="VNW425" s="1824"/>
      <c r="VNX425" s="1824"/>
      <c r="VNY425" s="1824"/>
      <c r="VNZ425" s="1824"/>
      <c r="VOA425" s="1824"/>
      <c r="VOB425" s="1824"/>
      <c r="VOC425" s="1824"/>
      <c r="VOD425" s="1824"/>
      <c r="VOE425" s="1824"/>
      <c r="VOF425" s="1824"/>
      <c r="VOG425" s="1824"/>
      <c r="VOH425" s="1824"/>
      <c r="VOI425" s="1824"/>
      <c r="VOJ425" s="1824"/>
      <c r="VOK425" s="1824"/>
      <c r="VOL425" s="1824"/>
      <c r="VOM425" s="1824"/>
      <c r="VON425" s="1824"/>
      <c r="VOO425" s="1824"/>
      <c r="VOP425" s="1824"/>
      <c r="VOQ425" s="1824"/>
      <c r="VOR425" s="1824"/>
      <c r="VOS425" s="1824"/>
      <c r="VOT425" s="1824"/>
      <c r="VOU425" s="1824"/>
      <c r="VOV425" s="1824"/>
      <c r="VOW425" s="1824"/>
      <c r="VOX425" s="1824"/>
      <c r="VOY425" s="1824"/>
      <c r="VOZ425" s="1824"/>
      <c r="VPA425" s="1824"/>
      <c r="VPB425" s="1824"/>
      <c r="VPC425" s="1824"/>
      <c r="VPD425" s="1824"/>
      <c r="VPE425" s="1824"/>
      <c r="VPF425" s="1824"/>
      <c r="VPG425" s="1824"/>
      <c r="VPH425" s="1824"/>
      <c r="VPI425" s="1824"/>
      <c r="VPJ425" s="1824"/>
      <c r="VPK425" s="1824"/>
      <c r="VPL425" s="1824"/>
      <c r="VPM425" s="1824"/>
      <c r="VPN425" s="1824"/>
      <c r="VPO425" s="1824"/>
      <c r="VPP425" s="1824"/>
      <c r="VPQ425" s="1824"/>
      <c r="VPR425" s="1824"/>
      <c r="VPS425" s="1824"/>
      <c r="VPT425" s="1824"/>
      <c r="VPU425" s="1824"/>
      <c r="VPV425" s="1824"/>
      <c r="VPW425" s="1824"/>
      <c r="VPX425" s="1824"/>
      <c r="VPY425" s="1824"/>
      <c r="VPZ425" s="1824"/>
      <c r="VQA425" s="1824"/>
      <c r="VQB425" s="1824"/>
      <c r="VQC425" s="1824"/>
      <c r="VQD425" s="1824"/>
      <c r="VQE425" s="1824"/>
      <c r="VQF425" s="1824"/>
      <c r="VQG425" s="1824"/>
      <c r="VQH425" s="1824"/>
      <c r="VQI425" s="1824"/>
      <c r="VQJ425" s="1824"/>
      <c r="VQK425" s="1824"/>
      <c r="VQL425" s="1824"/>
      <c r="VQM425" s="1824"/>
      <c r="VQN425" s="1824"/>
      <c r="VQO425" s="1824"/>
      <c r="VQP425" s="1824"/>
      <c r="VQQ425" s="1824"/>
      <c r="VQR425" s="1824"/>
      <c r="VQS425" s="1824"/>
      <c r="VQT425" s="1824"/>
      <c r="VQU425" s="1824"/>
      <c r="VQV425" s="1824"/>
      <c r="VQW425" s="1824"/>
      <c r="VQX425" s="1824"/>
      <c r="VQY425" s="1824"/>
      <c r="VQZ425" s="1824"/>
      <c r="VRA425" s="1824"/>
      <c r="VRB425" s="1824"/>
      <c r="VRC425" s="1824"/>
      <c r="VRD425" s="1824"/>
      <c r="VRE425" s="1824"/>
      <c r="VRF425" s="1824"/>
      <c r="VRG425" s="1824"/>
      <c r="VRH425" s="1824"/>
      <c r="VRI425" s="1824"/>
      <c r="VRJ425" s="1824"/>
      <c r="VRK425" s="1824"/>
      <c r="VRL425" s="1824"/>
      <c r="VRM425" s="1824"/>
      <c r="VRN425" s="1824"/>
      <c r="VRO425" s="1824"/>
      <c r="VRP425" s="1824"/>
      <c r="VRQ425" s="1824"/>
      <c r="VRR425" s="1824"/>
      <c r="VRS425" s="1824"/>
      <c r="VRT425" s="1824"/>
      <c r="VRU425" s="1824"/>
      <c r="VRV425" s="1824"/>
      <c r="VRW425" s="1824"/>
      <c r="VRX425" s="1824"/>
      <c r="VRY425" s="1824"/>
      <c r="VRZ425" s="1824"/>
      <c r="VSA425" s="1824"/>
      <c r="VSB425" s="1824"/>
      <c r="VSC425" s="1824"/>
      <c r="VSD425" s="1824"/>
      <c r="VSE425" s="1824"/>
      <c r="VSF425" s="1824"/>
      <c r="VSG425" s="1824"/>
      <c r="VSH425" s="1824"/>
      <c r="VSI425" s="1824"/>
      <c r="VSJ425" s="1824"/>
      <c r="VSK425" s="1824"/>
      <c r="VSL425" s="1824"/>
      <c r="VSM425" s="1824"/>
      <c r="VSN425" s="1824"/>
      <c r="VSO425" s="1824"/>
      <c r="VSP425" s="1824"/>
      <c r="VSQ425" s="1824"/>
      <c r="VSR425" s="1824"/>
      <c r="VSS425" s="1824"/>
      <c r="VST425" s="1824"/>
      <c r="VSU425" s="1824"/>
      <c r="VSV425" s="1824"/>
      <c r="VSW425" s="1824"/>
      <c r="VSX425" s="1824"/>
      <c r="VSY425" s="1824"/>
      <c r="VSZ425" s="1824"/>
      <c r="VTA425" s="1824"/>
      <c r="VTB425" s="1824"/>
      <c r="VTC425" s="1824"/>
      <c r="VTD425" s="1824"/>
      <c r="VTE425" s="1824"/>
      <c r="VTF425" s="1824"/>
      <c r="VTG425" s="1824"/>
      <c r="VTH425" s="1824"/>
      <c r="VTI425" s="1824"/>
      <c r="VTJ425" s="1824"/>
      <c r="VTK425" s="1824"/>
      <c r="VTL425" s="1824"/>
      <c r="VTM425" s="1824"/>
      <c r="VTN425" s="1824"/>
      <c r="VTO425" s="1824"/>
      <c r="VTP425" s="1824"/>
      <c r="VTQ425" s="1824"/>
      <c r="VTR425" s="1824"/>
      <c r="VTS425" s="1824"/>
      <c r="VTT425" s="1824"/>
      <c r="VTU425" s="1824"/>
      <c r="VTV425" s="1824"/>
      <c r="VTW425" s="1824"/>
      <c r="VTX425" s="1824"/>
      <c r="VTY425" s="1824"/>
      <c r="VTZ425" s="1824"/>
      <c r="VUA425" s="1824"/>
      <c r="VUB425" s="1824"/>
      <c r="VUC425" s="1824"/>
      <c r="VUD425" s="1824"/>
      <c r="VUE425" s="1824"/>
      <c r="VUF425" s="1824"/>
      <c r="VUG425" s="1824"/>
      <c r="VUH425" s="1824"/>
      <c r="VUI425" s="1824"/>
      <c r="VUJ425" s="1824"/>
      <c r="VUK425" s="1824"/>
      <c r="VUL425" s="1824"/>
      <c r="VUM425" s="1824"/>
      <c r="VUN425" s="1824"/>
      <c r="VUO425" s="1824"/>
      <c r="VUP425" s="1824"/>
      <c r="VUQ425" s="1824"/>
      <c r="VUR425" s="1824"/>
      <c r="VUS425" s="1824"/>
      <c r="VUT425" s="1824"/>
      <c r="VUU425" s="1824"/>
      <c r="VUV425" s="1824"/>
      <c r="VUW425" s="1824"/>
      <c r="VUX425" s="1824"/>
      <c r="VUY425" s="1824"/>
      <c r="VUZ425" s="1824"/>
      <c r="VVA425" s="1824"/>
      <c r="VVB425" s="1824"/>
      <c r="VVC425" s="1824"/>
      <c r="VVD425" s="1824"/>
      <c r="VVE425" s="1824"/>
      <c r="VVF425" s="1824"/>
      <c r="VVG425" s="1824"/>
      <c r="VVH425" s="1824"/>
      <c r="VVI425" s="1824"/>
      <c r="VVJ425" s="1824"/>
      <c r="VVK425" s="1824"/>
      <c r="VVL425" s="1824"/>
      <c r="VVM425" s="1824"/>
      <c r="VVN425" s="1824"/>
      <c r="VVO425" s="1824"/>
      <c r="VVP425" s="1824"/>
      <c r="VVQ425" s="1824"/>
      <c r="VVR425" s="1824"/>
      <c r="VVS425" s="1824"/>
      <c r="VVT425" s="1824"/>
      <c r="VVU425" s="1824"/>
      <c r="VVV425" s="1824"/>
      <c r="VVW425" s="1824"/>
      <c r="VVX425" s="1824"/>
      <c r="VVY425" s="1824"/>
      <c r="VVZ425" s="1824"/>
      <c r="VWA425" s="1824"/>
      <c r="VWB425" s="1824"/>
      <c r="VWC425" s="1824"/>
      <c r="VWD425" s="1824"/>
      <c r="VWE425" s="1824"/>
      <c r="VWF425" s="1824"/>
      <c r="VWG425" s="1824"/>
      <c r="VWH425" s="1824"/>
      <c r="VWI425" s="1824"/>
      <c r="VWJ425" s="1824"/>
      <c r="VWK425" s="1824"/>
      <c r="VWL425" s="1824"/>
      <c r="VWM425" s="1824"/>
      <c r="VWN425" s="1824"/>
      <c r="VWO425" s="1824"/>
      <c r="VWP425" s="1824"/>
      <c r="VWQ425" s="1824"/>
      <c r="VWR425" s="1824"/>
      <c r="VWS425" s="1824"/>
      <c r="VWT425" s="1824"/>
      <c r="VWU425" s="1824"/>
      <c r="VWV425" s="1824"/>
      <c r="VWW425" s="1824"/>
      <c r="VWX425" s="1824"/>
      <c r="VWY425" s="1824"/>
      <c r="VWZ425" s="1824"/>
      <c r="VXA425" s="1824"/>
      <c r="VXB425" s="1824"/>
      <c r="VXC425" s="1824"/>
      <c r="VXD425" s="1824"/>
      <c r="VXE425" s="1824"/>
      <c r="VXF425" s="1824"/>
      <c r="VXG425" s="1824"/>
      <c r="VXH425" s="1824"/>
      <c r="VXI425" s="1824"/>
      <c r="VXJ425" s="1824"/>
      <c r="VXK425" s="1824"/>
      <c r="VXL425" s="1824"/>
      <c r="VXM425" s="1824"/>
      <c r="VXN425" s="1824"/>
      <c r="VXO425" s="1824"/>
      <c r="VXP425" s="1824"/>
      <c r="VXQ425" s="1824"/>
      <c r="VXR425" s="1824"/>
      <c r="VXS425" s="1824"/>
      <c r="VXT425" s="1824"/>
      <c r="VXU425" s="1824"/>
      <c r="VXV425" s="1824"/>
      <c r="VXW425" s="1824"/>
      <c r="VXX425" s="1824"/>
      <c r="VXY425" s="1824"/>
      <c r="VXZ425" s="1824"/>
      <c r="VYA425" s="1824"/>
      <c r="VYB425" s="1824"/>
      <c r="VYC425" s="1824"/>
      <c r="VYD425" s="1824"/>
      <c r="VYE425" s="1824"/>
      <c r="VYF425" s="1824"/>
      <c r="VYG425" s="1824"/>
      <c r="VYH425" s="1824"/>
      <c r="VYI425" s="1824"/>
      <c r="VYJ425" s="1824"/>
      <c r="VYK425" s="1824"/>
      <c r="VYL425" s="1824"/>
      <c r="VYM425" s="1824"/>
      <c r="VYN425" s="1824"/>
      <c r="VYO425" s="1824"/>
      <c r="VYP425" s="1824"/>
      <c r="VYQ425" s="1824"/>
      <c r="VYR425" s="1824"/>
      <c r="VYS425" s="1824"/>
      <c r="VYT425" s="1824"/>
      <c r="VYU425" s="1824"/>
      <c r="VYV425" s="1824"/>
      <c r="VYW425" s="1824"/>
      <c r="VYX425" s="1824"/>
      <c r="VYY425" s="1824"/>
      <c r="VYZ425" s="1824"/>
      <c r="VZA425" s="1824"/>
      <c r="VZB425" s="1824"/>
      <c r="VZC425" s="1824"/>
      <c r="VZD425" s="1824"/>
      <c r="VZE425" s="1824"/>
      <c r="VZF425" s="1824"/>
      <c r="VZG425" s="1824"/>
      <c r="VZH425" s="1824"/>
      <c r="VZI425" s="1824"/>
      <c r="VZJ425" s="1824"/>
      <c r="VZK425" s="1824"/>
      <c r="VZL425" s="1824"/>
      <c r="VZM425" s="1824"/>
      <c r="VZN425" s="1824"/>
      <c r="VZO425" s="1824"/>
      <c r="VZP425" s="1824"/>
      <c r="VZQ425" s="1824"/>
      <c r="VZR425" s="1824"/>
      <c r="VZS425" s="1824"/>
      <c r="VZT425" s="1824"/>
      <c r="VZU425" s="1824"/>
      <c r="VZV425" s="1824"/>
      <c r="VZW425" s="1824"/>
      <c r="VZX425" s="1824"/>
      <c r="VZY425" s="1824"/>
      <c r="VZZ425" s="1824"/>
      <c r="WAA425" s="1824"/>
      <c r="WAB425" s="1824"/>
      <c r="WAC425" s="1824"/>
      <c r="WAD425" s="1824"/>
      <c r="WAE425" s="1824"/>
      <c r="WAF425" s="1824"/>
      <c r="WAG425" s="1824"/>
      <c r="WAH425" s="1824"/>
      <c r="WAI425" s="1824"/>
      <c r="WAJ425" s="1824"/>
      <c r="WAK425" s="1824"/>
      <c r="WAL425" s="1824"/>
      <c r="WAM425" s="1824"/>
      <c r="WAN425" s="1824"/>
      <c r="WAO425" s="1824"/>
      <c r="WAP425" s="1824"/>
      <c r="WAQ425" s="1824"/>
      <c r="WAR425" s="1824"/>
      <c r="WAS425" s="1824"/>
      <c r="WAT425" s="1824"/>
      <c r="WAU425" s="1824"/>
      <c r="WAV425" s="1824"/>
      <c r="WAW425" s="1824"/>
      <c r="WAX425" s="1824"/>
      <c r="WAY425" s="1824"/>
      <c r="WAZ425" s="1824"/>
      <c r="WBA425" s="1824"/>
      <c r="WBB425" s="1824"/>
      <c r="WBC425" s="1824"/>
      <c r="WBD425" s="1824"/>
      <c r="WBE425" s="1824"/>
      <c r="WBF425" s="1824"/>
      <c r="WBG425" s="1824"/>
      <c r="WBH425" s="1824"/>
      <c r="WBI425" s="1824"/>
      <c r="WBJ425" s="1824"/>
      <c r="WBK425" s="1824"/>
      <c r="WBL425" s="1824"/>
      <c r="WBM425" s="1824"/>
      <c r="WBN425" s="1824"/>
      <c r="WBO425" s="1824"/>
      <c r="WBP425" s="1824"/>
      <c r="WBQ425" s="1824"/>
      <c r="WBR425" s="1824"/>
      <c r="WBS425" s="1824"/>
      <c r="WBT425" s="1824"/>
      <c r="WBU425" s="1824"/>
      <c r="WBV425" s="1824"/>
      <c r="WBW425" s="1824"/>
      <c r="WBX425" s="1824"/>
      <c r="WBY425" s="1824"/>
      <c r="WBZ425" s="1824"/>
      <c r="WCA425" s="1824"/>
      <c r="WCB425" s="1824"/>
      <c r="WCC425" s="1824"/>
      <c r="WCD425" s="1824"/>
      <c r="WCE425" s="1824"/>
      <c r="WCF425" s="1824"/>
      <c r="WCG425" s="1824"/>
      <c r="WCH425" s="1824"/>
      <c r="WCI425" s="1824"/>
      <c r="WCJ425" s="1824"/>
      <c r="WCK425" s="1824"/>
      <c r="WCL425" s="1824"/>
      <c r="WCM425" s="1824"/>
      <c r="WCN425" s="1824"/>
      <c r="WCO425" s="1824"/>
      <c r="WCP425" s="1824"/>
      <c r="WCQ425" s="1824"/>
      <c r="WCR425" s="1824"/>
      <c r="WCS425" s="1824"/>
      <c r="WCT425" s="1824"/>
      <c r="WCU425" s="1824"/>
      <c r="WCV425" s="1824"/>
      <c r="WCW425" s="1824"/>
      <c r="WCX425" s="1824"/>
      <c r="WCY425" s="1824"/>
      <c r="WCZ425" s="1824"/>
      <c r="WDA425" s="1824"/>
      <c r="WDB425" s="1824"/>
      <c r="WDC425" s="1824"/>
      <c r="WDD425" s="1824"/>
      <c r="WDE425" s="1824"/>
      <c r="WDF425" s="1824"/>
      <c r="WDG425" s="1824"/>
      <c r="WDH425" s="1824"/>
      <c r="WDI425" s="1824"/>
      <c r="WDJ425" s="1824"/>
      <c r="WDK425" s="1824"/>
      <c r="WDL425" s="1824"/>
      <c r="WDM425" s="1824"/>
      <c r="WDN425" s="1824"/>
      <c r="WDO425" s="1824"/>
      <c r="WDP425" s="1824"/>
      <c r="WDQ425" s="1824"/>
      <c r="WDR425" s="1824"/>
      <c r="WDS425" s="1824"/>
      <c r="WDT425" s="1824"/>
      <c r="WDU425" s="1824"/>
      <c r="WDV425" s="1824"/>
      <c r="WDW425" s="1824"/>
      <c r="WDX425" s="1824"/>
      <c r="WDY425" s="1824"/>
      <c r="WDZ425" s="1824"/>
      <c r="WEA425" s="1824"/>
      <c r="WEB425" s="1824"/>
      <c r="WEC425" s="1824"/>
      <c r="WED425" s="1824"/>
      <c r="WEE425" s="1824"/>
      <c r="WEF425" s="1824"/>
      <c r="WEG425" s="1824"/>
      <c r="WEH425" s="1824"/>
      <c r="WEI425" s="1824"/>
      <c r="WEJ425" s="1824"/>
      <c r="WEK425" s="1824"/>
      <c r="WEL425" s="1824"/>
      <c r="WEM425" s="1824"/>
      <c r="WEN425" s="1824"/>
      <c r="WEO425" s="1824"/>
      <c r="WEP425" s="1824"/>
      <c r="WEQ425" s="1824"/>
      <c r="WER425" s="1824"/>
      <c r="WES425" s="1824"/>
      <c r="WET425" s="1824"/>
      <c r="WEU425" s="1824"/>
      <c r="WEV425" s="1824"/>
      <c r="WEW425" s="1824"/>
      <c r="WEX425" s="1824"/>
      <c r="WEY425" s="1824"/>
      <c r="WEZ425" s="1824"/>
      <c r="WFA425" s="1824"/>
      <c r="WFB425" s="1824"/>
      <c r="WFC425" s="1824"/>
      <c r="WFD425" s="1824"/>
      <c r="WFE425" s="1824"/>
      <c r="WFF425" s="1824"/>
      <c r="WFG425" s="1824"/>
      <c r="WFH425" s="1824"/>
      <c r="WFI425" s="1824"/>
      <c r="WFJ425" s="1824"/>
      <c r="WFK425" s="1824"/>
      <c r="WFL425" s="1824"/>
      <c r="WFM425" s="1824"/>
      <c r="WFN425" s="1824"/>
      <c r="WFO425" s="1824"/>
      <c r="WFP425" s="1824"/>
      <c r="WFQ425" s="1824"/>
      <c r="WFR425" s="1824"/>
      <c r="WFS425" s="1824"/>
      <c r="WFT425" s="1824"/>
      <c r="WFU425" s="1824"/>
      <c r="WFV425" s="1824"/>
      <c r="WFW425" s="1824"/>
      <c r="WFX425" s="1824"/>
      <c r="WFY425" s="1824"/>
      <c r="WFZ425" s="1824"/>
      <c r="WGA425" s="1824"/>
      <c r="WGB425" s="1824"/>
      <c r="WGC425" s="1824"/>
      <c r="WGD425" s="1824"/>
      <c r="WGE425" s="1824"/>
      <c r="WGF425" s="1824"/>
      <c r="WGG425" s="1824"/>
      <c r="WGH425" s="1824"/>
      <c r="WGI425" s="1824"/>
      <c r="WGJ425" s="1824"/>
      <c r="WGK425" s="1824"/>
      <c r="WGL425" s="1824"/>
      <c r="WGM425" s="1824"/>
      <c r="WGN425" s="1824"/>
      <c r="WGO425" s="1824"/>
      <c r="WGP425" s="1824"/>
      <c r="WGQ425" s="1824"/>
      <c r="WGR425" s="1824"/>
      <c r="WGS425" s="1824"/>
      <c r="WGT425" s="1824"/>
      <c r="WGU425" s="1824"/>
      <c r="WGV425" s="1824"/>
      <c r="WGW425" s="1824"/>
      <c r="WGX425" s="1824"/>
      <c r="WGY425" s="1824"/>
      <c r="WGZ425" s="1824"/>
      <c r="WHA425" s="1824"/>
      <c r="WHB425" s="1824"/>
      <c r="WHC425" s="1824"/>
      <c r="WHD425" s="1824"/>
      <c r="WHE425" s="1824"/>
      <c r="WHF425" s="1824"/>
      <c r="WHG425" s="1824"/>
      <c r="WHH425" s="1824"/>
      <c r="WHI425" s="1824"/>
      <c r="WHJ425" s="1824"/>
      <c r="WHK425" s="1824"/>
      <c r="WHL425" s="1824"/>
      <c r="WHM425" s="1824"/>
      <c r="WHN425" s="1824"/>
      <c r="WHO425" s="1824"/>
      <c r="WHP425" s="1824"/>
      <c r="WHQ425" s="1824"/>
      <c r="WHR425" s="1824"/>
      <c r="WHS425" s="1824"/>
      <c r="WHT425" s="1824"/>
      <c r="WHU425" s="1824"/>
      <c r="WHV425" s="1824"/>
      <c r="WHW425" s="1824"/>
      <c r="WHX425" s="1824"/>
      <c r="WHY425" s="1824"/>
      <c r="WHZ425" s="1824"/>
      <c r="WIA425" s="1824"/>
      <c r="WIB425" s="1824"/>
      <c r="WIC425" s="1824"/>
      <c r="WID425" s="1824"/>
      <c r="WIE425" s="1824"/>
      <c r="WIF425" s="1824"/>
      <c r="WIG425" s="1824"/>
      <c r="WIH425" s="1824"/>
      <c r="WII425" s="1824"/>
      <c r="WIJ425" s="1824"/>
      <c r="WIK425" s="1824"/>
      <c r="WIL425" s="1824"/>
      <c r="WIM425" s="1824"/>
      <c r="WIN425" s="1824"/>
      <c r="WIO425" s="1824"/>
      <c r="WIP425" s="1824"/>
      <c r="WIQ425" s="1824"/>
      <c r="WIR425" s="1824"/>
      <c r="WIS425" s="1824"/>
      <c r="WIT425" s="1824"/>
      <c r="WIU425" s="1824"/>
      <c r="WIV425" s="1824"/>
      <c r="WIW425" s="1824"/>
      <c r="WIX425" s="1824"/>
      <c r="WIY425" s="1824"/>
      <c r="WIZ425" s="1824"/>
      <c r="WJA425" s="1824"/>
      <c r="WJB425" s="1824"/>
      <c r="WJC425" s="1824"/>
      <c r="WJD425" s="1824"/>
      <c r="WJE425" s="1824"/>
      <c r="WJF425" s="1824"/>
      <c r="WJG425" s="1824"/>
      <c r="WJH425" s="1824"/>
      <c r="WJI425" s="1824"/>
      <c r="WJJ425" s="1824"/>
      <c r="WJK425" s="1824"/>
      <c r="WJL425" s="1824"/>
      <c r="WJM425" s="1824"/>
      <c r="WJN425" s="1824"/>
      <c r="WJO425" s="1824"/>
      <c r="WJP425" s="1824"/>
      <c r="WJQ425" s="1824"/>
      <c r="WJR425" s="1824"/>
      <c r="WJS425" s="1824"/>
      <c r="WJT425" s="1824"/>
      <c r="WJU425" s="1824"/>
      <c r="WJV425" s="1824"/>
      <c r="WJW425" s="1824"/>
      <c r="WJX425" s="1824"/>
      <c r="WJY425" s="1824"/>
      <c r="WJZ425" s="1824"/>
      <c r="WKA425" s="1824"/>
      <c r="WKB425" s="1824"/>
      <c r="WKC425" s="1824"/>
      <c r="WKD425" s="1824"/>
      <c r="WKE425" s="1824"/>
      <c r="WKF425" s="1824"/>
      <c r="WKG425" s="1824"/>
      <c r="WKH425" s="1824"/>
      <c r="WKI425" s="1824"/>
      <c r="WKJ425" s="1824"/>
      <c r="WKK425" s="1824"/>
      <c r="WKL425" s="1824"/>
      <c r="WKM425" s="1824"/>
      <c r="WKN425" s="1824"/>
      <c r="WKO425" s="1824"/>
      <c r="WKP425" s="1824"/>
      <c r="WKQ425" s="1824"/>
      <c r="WKR425" s="1824"/>
      <c r="WKS425" s="1824"/>
      <c r="WKT425" s="1824"/>
      <c r="WKU425" s="1824"/>
      <c r="WKV425" s="1824"/>
      <c r="WKW425" s="1824"/>
      <c r="WKX425" s="1824"/>
      <c r="WKY425" s="1824"/>
      <c r="WKZ425" s="1824"/>
      <c r="WLA425" s="1824"/>
      <c r="WLB425" s="1824"/>
      <c r="WLC425" s="1824"/>
      <c r="WLD425" s="1824"/>
      <c r="WLE425" s="1824"/>
      <c r="WLF425" s="1824"/>
      <c r="WLG425" s="1824"/>
      <c r="WLH425" s="1824"/>
      <c r="WLI425" s="1824"/>
      <c r="WLJ425" s="1824"/>
      <c r="WLK425" s="1824"/>
      <c r="WLL425" s="1824"/>
      <c r="WLM425" s="1824"/>
      <c r="WLN425" s="1824"/>
      <c r="WLO425" s="1824"/>
      <c r="WLP425" s="1824"/>
      <c r="WLQ425" s="1824"/>
      <c r="WLR425" s="1824"/>
      <c r="WLS425" s="1824"/>
      <c r="WLT425" s="1824"/>
      <c r="WLU425" s="1824"/>
      <c r="WLV425" s="1824"/>
      <c r="WLW425" s="1824"/>
      <c r="WLX425" s="1824"/>
      <c r="WLY425" s="1824"/>
      <c r="WLZ425" s="1824"/>
      <c r="WMA425" s="1824"/>
      <c r="WMB425" s="1824"/>
      <c r="WMC425" s="1824"/>
      <c r="WMD425" s="1824"/>
      <c r="WME425" s="1824"/>
      <c r="WMF425" s="1824"/>
      <c r="WMG425" s="1824"/>
      <c r="WMH425" s="1824"/>
      <c r="WMI425" s="1824"/>
      <c r="WMJ425" s="1824"/>
      <c r="WMK425" s="1824"/>
      <c r="WML425" s="1824"/>
      <c r="WMM425" s="1824"/>
      <c r="WMN425" s="1824"/>
      <c r="WMO425" s="1824"/>
      <c r="WMP425" s="1824"/>
      <c r="WMQ425" s="1824"/>
      <c r="WMR425" s="1824"/>
      <c r="WMS425" s="1824"/>
      <c r="WMT425" s="1824"/>
      <c r="WMU425" s="1824"/>
      <c r="WMV425" s="1824"/>
      <c r="WMW425" s="1824"/>
      <c r="WMX425" s="1824"/>
      <c r="WMY425" s="1824"/>
      <c r="WMZ425" s="1824"/>
      <c r="WNA425" s="1824"/>
      <c r="WNB425" s="1824"/>
      <c r="WNC425" s="1824"/>
      <c r="WND425" s="1824"/>
      <c r="WNE425" s="1824"/>
      <c r="WNF425" s="1824"/>
      <c r="WNG425" s="1824"/>
      <c r="WNH425" s="1824"/>
      <c r="WNI425" s="1824"/>
      <c r="WNJ425" s="1824"/>
      <c r="WNK425" s="1824"/>
      <c r="WNL425" s="1824"/>
      <c r="WNM425" s="1824"/>
      <c r="WNN425" s="1824"/>
      <c r="WNO425" s="1824"/>
      <c r="WNP425" s="1824"/>
      <c r="WNQ425" s="1824"/>
      <c r="WNR425" s="1824"/>
      <c r="WNS425" s="1824"/>
      <c r="WNT425" s="1824"/>
      <c r="WNU425" s="1824"/>
      <c r="WNV425" s="1824"/>
      <c r="WNW425" s="1824"/>
      <c r="WNX425" s="1824"/>
      <c r="WNY425" s="1824"/>
      <c r="WNZ425" s="1824"/>
      <c r="WOA425" s="1824"/>
      <c r="WOB425" s="1824"/>
      <c r="WOC425" s="1824"/>
      <c r="WOD425" s="1824"/>
      <c r="WOE425" s="1824"/>
      <c r="WOF425" s="1824"/>
      <c r="WOG425" s="1824"/>
      <c r="WOH425" s="1824"/>
      <c r="WOI425" s="1824"/>
      <c r="WOJ425" s="1824"/>
      <c r="WOK425" s="1824"/>
      <c r="WOL425" s="1824"/>
      <c r="WOM425" s="1824"/>
      <c r="WON425" s="1824"/>
      <c r="WOO425" s="1824"/>
      <c r="WOP425" s="1824"/>
      <c r="WOQ425" s="1824"/>
      <c r="WOR425" s="1824"/>
      <c r="WOS425" s="1824"/>
      <c r="WOT425" s="1824"/>
      <c r="WOU425" s="1824"/>
      <c r="WOV425" s="1824"/>
      <c r="WOW425" s="1824"/>
      <c r="WOX425" s="1824"/>
      <c r="WOY425" s="1824"/>
      <c r="WOZ425" s="1824"/>
      <c r="WPA425" s="1824"/>
      <c r="WPB425" s="1824"/>
      <c r="WPC425" s="1824"/>
      <c r="WPD425" s="1824"/>
      <c r="WPE425" s="1824"/>
      <c r="WPF425" s="1824"/>
      <c r="WPG425" s="1824"/>
      <c r="WPH425" s="1824"/>
      <c r="WPI425" s="1824"/>
      <c r="WPJ425" s="1824"/>
      <c r="WPK425" s="1824"/>
      <c r="WPL425" s="1824"/>
      <c r="WPM425" s="1824"/>
      <c r="WPN425" s="1824"/>
      <c r="WPO425" s="1824"/>
      <c r="WPP425" s="1824"/>
      <c r="WPQ425" s="1824"/>
      <c r="WPR425" s="1824"/>
      <c r="WPS425" s="1824"/>
      <c r="WPT425" s="1824"/>
      <c r="WPU425" s="1824"/>
      <c r="WPV425" s="1824"/>
      <c r="WPW425" s="1824"/>
      <c r="WPX425" s="1824"/>
      <c r="WPY425" s="1824"/>
      <c r="WPZ425" s="1824"/>
      <c r="WQA425" s="1824"/>
      <c r="WQB425" s="1824"/>
      <c r="WQC425" s="1824"/>
      <c r="WQD425" s="1824"/>
      <c r="WQE425" s="1824"/>
      <c r="WQF425" s="1824"/>
      <c r="WQG425" s="1824"/>
      <c r="WQH425" s="1824"/>
      <c r="WQI425" s="1824"/>
      <c r="WQJ425" s="1824"/>
      <c r="WQK425" s="1824"/>
      <c r="WQL425" s="1824"/>
      <c r="WQM425" s="1824"/>
      <c r="WQN425" s="1824"/>
      <c r="WQO425" s="1824"/>
      <c r="WQP425" s="1824"/>
      <c r="WQQ425" s="1824"/>
      <c r="WQR425" s="1824"/>
      <c r="WQS425" s="1824"/>
      <c r="WQT425" s="1824"/>
      <c r="WQU425" s="1824"/>
      <c r="WQV425" s="1824"/>
      <c r="WQW425" s="1824"/>
      <c r="WQX425" s="1824"/>
      <c r="WQY425" s="1824"/>
      <c r="WQZ425" s="1824"/>
      <c r="WRA425" s="1824"/>
      <c r="WRB425" s="1824"/>
      <c r="WRC425" s="1824"/>
      <c r="WRD425" s="1824"/>
      <c r="WRE425" s="1824"/>
      <c r="WRF425" s="1824"/>
      <c r="WRG425" s="1824"/>
      <c r="WRH425" s="1824"/>
      <c r="WRI425" s="1824"/>
      <c r="WRJ425" s="1824"/>
      <c r="WRK425" s="1824"/>
      <c r="WRL425" s="1824"/>
      <c r="WRM425" s="1824"/>
      <c r="WRN425" s="1824"/>
      <c r="WRO425" s="1824"/>
      <c r="WRP425" s="1824"/>
      <c r="WRQ425" s="1824"/>
      <c r="WRR425" s="1824"/>
      <c r="WRS425" s="1824"/>
      <c r="WRT425" s="1824"/>
      <c r="WRU425" s="1824"/>
      <c r="WRV425" s="1824"/>
      <c r="WRW425" s="1824"/>
      <c r="WRX425" s="1824"/>
      <c r="WRY425" s="1824"/>
      <c r="WRZ425" s="1824"/>
      <c r="WSA425" s="1824"/>
      <c r="WSB425" s="1824"/>
      <c r="WSC425" s="1824"/>
      <c r="WSD425" s="1824"/>
      <c r="WSE425" s="1824"/>
      <c r="WSF425" s="1824"/>
      <c r="WSG425" s="1824"/>
      <c r="WSH425" s="1824"/>
      <c r="WSI425" s="1824"/>
      <c r="WSJ425" s="1824"/>
      <c r="WSK425" s="1824"/>
      <c r="WSL425" s="1824"/>
      <c r="WSM425" s="1824"/>
      <c r="WSN425" s="1824"/>
      <c r="WSO425" s="1824"/>
      <c r="WSP425" s="1824"/>
      <c r="WSQ425" s="1824"/>
      <c r="WSR425" s="1824"/>
      <c r="WSS425" s="1824"/>
      <c r="WST425" s="1824"/>
      <c r="WSU425" s="1824"/>
      <c r="WSV425" s="1824"/>
      <c r="WSW425" s="1824"/>
      <c r="WSX425" s="1824"/>
      <c r="WSY425" s="1824"/>
      <c r="WSZ425" s="1824"/>
      <c r="WTA425" s="1824"/>
      <c r="WTB425" s="1824"/>
      <c r="WTC425" s="1824"/>
      <c r="WTD425" s="1824"/>
      <c r="WTE425" s="1824"/>
      <c r="WTF425" s="1824"/>
      <c r="WTG425" s="1824"/>
      <c r="WTH425" s="1824"/>
      <c r="WTI425" s="1824"/>
      <c r="WTJ425" s="1824"/>
      <c r="WTK425" s="1824"/>
      <c r="WTL425" s="1824"/>
      <c r="WTM425" s="1824"/>
      <c r="WTN425" s="1824"/>
      <c r="WTO425" s="1824"/>
      <c r="WTP425" s="1824"/>
      <c r="WTQ425" s="1824"/>
      <c r="WTR425" s="1824"/>
      <c r="WTS425" s="1824"/>
      <c r="WTT425" s="1824"/>
      <c r="WTU425" s="1824"/>
      <c r="WTV425" s="1824"/>
      <c r="WTW425" s="1824"/>
      <c r="WTX425" s="1824"/>
      <c r="WTY425" s="1824"/>
      <c r="WTZ425" s="1824"/>
      <c r="WUA425" s="1824"/>
      <c r="WUB425" s="1824"/>
      <c r="WUC425" s="1824"/>
      <c r="WUD425" s="1824"/>
      <c r="WUE425" s="1824"/>
      <c r="WUF425" s="1824"/>
      <c r="WUG425" s="1824"/>
      <c r="WUH425" s="1824"/>
      <c r="WUI425" s="1824"/>
      <c r="WUJ425" s="1824"/>
      <c r="WUK425" s="1824"/>
      <c r="WUL425" s="1824"/>
      <c r="WUM425" s="1824"/>
      <c r="WUN425" s="1824"/>
      <c r="WUO425" s="1824"/>
      <c r="WUP425" s="1824"/>
      <c r="WUQ425" s="1824"/>
      <c r="WUR425" s="1824"/>
      <c r="WUS425" s="1824"/>
      <c r="WUT425" s="1824"/>
      <c r="WUU425" s="1824"/>
      <c r="WUV425" s="1824"/>
      <c r="WUW425" s="1824"/>
      <c r="WUX425" s="1824"/>
      <c r="WUY425" s="1824"/>
      <c r="WUZ425" s="1824"/>
      <c r="WVA425" s="1824"/>
      <c r="WVB425" s="1824"/>
      <c r="WVC425" s="1824"/>
      <c r="WVD425" s="1824"/>
      <c r="WVE425" s="1824"/>
      <c r="WVF425" s="1824"/>
      <c r="WVG425" s="1824"/>
      <c r="WVH425" s="1824"/>
      <c r="WVI425" s="1824"/>
      <c r="WVJ425" s="1824"/>
      <c r="WVK425" s="1824"/>
      <c r="WVL425" s="1824"/>
      <c r="WVM425" s="1824"/>
      <c r="WVN425" s="1824"/>
      <c r="WVO425" s="1824"/>
      <c r="WVP425" s="1824"/>
      <c r="WVQ425" s="1824"/>
      <c r="WVR425" s="1824"/>
      <c r="WVS425" s="1824"/>
      <c r="WVT425" s="1824"/>
      <c r="WVU425" s="1824"/>
      <c r="WVV425" s="1824"/>
      <c r="WVW425" s="1824"/>
      <c r="WVX425" s="1824"/>
      <c r="WVY425" s="1824"/>
      <c r="WVZ425" s="1824"/>
      <c r="WWA425" s="1824"/>
      <c r="WWB425" s="1824"/>
      <c r="WWC425" s="1824"/>
      <c r="WWD425" s="1824"/>
      <c r="WWE425" s="1824"/>
      <c r="WWF425" s="1824"/>
      <c r="WWG425" s="1824"/>
      <c r="WWH425" s="1824"/>
      <c r="WWI425" s="1824"/>
      <c r="WWJ425" s="1824"/>
      <c r="WWK425" s="1824"/>
      <c r="WWL425" s="1824"/>
      <c r="WWM425" s="1824"/>
      <c r="WWN425" s="1824"/>
      <c r="WWO425" s="1824"/>
      <c r="WWP425" s="1824"/>
      <c r="WWQ425" s="1824"/>
      <c r="WWR425" s="1824"/>
      <c r="WWS425" s="1824"/>
      <c r="WWT425" s="1824"/>
      <c r="WWU425" s="1824"/>
      <c r="WWV425" s="1824"/>
      <c r="WWW425" s="1824"/>
      <c r="WWX425" s="1824"/>
      <c r="WWY425" s="1824"/>
      <c r="WWZ425" s="1824"/>
      <c r="WXA425" s="1824"/>
      <c r="WXB425" s="1824"/>
      <c r="WXC425" s="1824"/>
      <c r="WXD425" s="1824"/>
      <c r="WXE425" s="1824"/>
      <c r="WXF425" s="1824"/>
      <c r="WXG425" s="1824"/>
      <c r="WXH425" s="1824"/>
      <c r="WXI425" s="1824"/>
      <c r="WXJ425" s="1824"/>
      <c r="WXK425" s="1824"/>
      <c r="WXL425" s="1824"/>
      <c r="WXM425" s="1824"/>
      <c r="WXN425" s="1824"/>
      <c r="WXO425" s="1824"/>
      <c r="WXP425" s="1824"/>
      <c r="WXQ425" s="1824"/>
      <c r="WXR425" s="1824"/>
      <c r="WXS425" s="1824"/>
      <c r="WXT425" s="1824"/>
      <c r="WXU425" s="1824"/>
      <c r="WXV425" s="1824"/>
      <c r="WXW425" s="1824"/>
      <c r="WXX425" s="1824"/>
      <c r="WXY425" s="1824"/>
      <c r="WXZ425" s="1824"/>
      <c r="WYA425" s="1824"/>
      <c r="WYB425" s="1824"/>
      <c r="WYC425" s="1824"/>
      <c r="WYD425" s="1824"/>
      <c r="WYE425" s="1824"/>
      <c r="WYF425" s="1824"/>
      <c r="WYG425" s="1824"/>
      <c r="WYH425" s="1824"/>
      <c r="WYI425" s="1824"/>
      <c r="WYJ425" s="1824"/>
      <c r="WYK425" s="1824"/>
      <c r="WYL425" s="1824"/>
      <c r="WYM425" s="1824"/>
      <c r="WYN425" s="1824"/>
      <c r="WYO425" s="1824"/>
      <c r="WYP425" s="1824"/>
      <c r="WYQ425" s="1824"/>
      <c r="WYR425" s="1824"/>
      <c r="WYS425" s="1824"/>
      <c r="WYT425" s="1824"/>
      <c r="WYU425" s="1824"/>
      <c r="WYV425" s="1824"/>
      <c r="WYW425" s="1824"/>
      <c r="WYX425" s="1824"/>
      <c r="WYY425" s="1824"/>
      <c r="WYZ425" s="1824"/>
      <c r="WZA425" s="1824"/>
      <c r="WZB425" s="1824"/>
      <c r="WZC425" s="1824"/>
      <c r="WZD425" s="1824"/>
      <c r="WZE425" s="1824"/>
      <c r="WZF425" s="1824"/>
      <c r="WZG425" s="1824"/>
      <c r="WZH425" s="1824"/>
      <c r="WZI425" s="1824"/>
      <c r="WZJ425" s="1824"/>
      <c r="WZK425" s="1824"/>
      <c r="WZL425" s="1824"/>
      <c r="WZM425" s="1824"/>
      <c r="WZN425" s="1824"/>
      <c r="WZO425" s="1824"/>
      <c r="WZP425" s="1824"/>
      <c r="WZQ425" s="1824"/>
      <c r="WZR425" s="1824"/>
      <c r="WZS425" s="1824"/>
      <c r="WZT425" s="1824"/>
      <c r="WZU425" s="1824"/>
      <c r="WZV425" s="1824"/>
      <c r="WZW425" s="1824"/>
      <c r="WZX425" s="1824"/>
      <c r="WZY425" s="1824"/>
      <c r="WZZ425" s="1824"/>
      <c r="XAA425" s="1824"/>
      <c r="XAB425" s="1824"/>
      <c r="XAC425" s="1824"/>
      <c r="XAD425" s="1824"/>
      <c r="XAE425" s="1824"/>
      <c r="XAF425" s="1824"/>
      <c r="XAG425" s="1824"/>
      <c r="XAH425" s="1824"/>
      <c r="XAI425" s="1824"/>
      <c r="XAJ425" s="1824"/>
      <c r="XAK425" s="1824"/>
      <c r="XAL425" s="1824"/>
      <c r="XAM425" s="1824"/>
      <c r="XAN425" s="1824"/>
      <c r="XAO425" s="1824"/>
      <c r="XAP425" s="1824"/>
      <c r="XAQ425" s="1824"/>
      <c r="XAR425" s="1824"/>
      <c r="XAS425" s="1824"/>
      <c r="XAT425" s="1824"/>
      <c r="XAU425" s="1824"/>
      <c r="XAV425" s="1824"/>
      <c r="XAW425" s="1824"/>
      <c r="XAX425" s="1824"/>
      <c r="XAY425" s="1824"/>
      <c r="XAZ425" s="1824"/>
      <c r="XBA425" s="1824"/>
      <c r="XBB425" s="1824"/>
      <c r="XBC425" s="1824"/>
      <c r="XBD425" s="1824"/>
      <c r="XBE425" s="1824"/>
      <c r="XBF425" s="1824"/>
      <c r="XBG425" s="1824"/>
      <c r="XBH425" s="1824"/>
      <c r="XBI425" s="1824"/>
      <c r="XBJ425" s="1824"/>
      <c r="XBK425" s="1824"/>
      <c r="XBL425" s="1824"/>
      <c r="XBM425" s="1824"/>
      <c r="XBN425" s="1824"/>
      <c r="XBO425" s="1824"/>
      <c r="XBP425" s="1824"/>
      <c r="XBQ425" s="1824"/>
      <c r="XBR425" s="1824"/>
      <c r="XBS425" s="1824"/>
      <c r="XBT425" s="1824"/>
      <c r="XBU425" s="1824"/>
      <c r="XBV425" s="1824"/>
      <c r="XBW425" s="1824"/>
      <c r="XBX425" s="1824"/>
      <c r="XBY425" s="1824"/>
      <c r="XBZ425" s="1824"/>
      <c r="XCA425" s="1824"/>
      <c r="XCB425" s="1824"/>
      <c r="XCC425" s="1824"/>
      <c r="XCD425" s="1824"/>
      <c r="XCE425" s="1824"/>
      <c r="XCF425" s="1824"/>
      <c r="XCG425" s="1824"/>
      <c r="XCH425" s="1824"/>
      <c r="XCI425" s="1824"/>
      <c r="XCJ425" s="1824"/>
      <c r="XCK425" s="1824"/>
      <c r="XCL425" s="1824"/>
      <c r="XCM425" s="1824"/>
      <c r="XCN425" s="1824"/>
      <c r="XCO425" s="1824"/>
      <c r="XCP425" s="1824"/>
      <c r="XCQ425" s="1824"/>
      <c r="XCR425" s="1824"/>
      <c r="XCS425" s="1824"/>
      <c r="XCT425" s="1824"/>
      <c r="XCU425" s="1824"/>
      <c r="XCV425" s="1824"/>
      <c r="XCW425" s="1824"/>
      <c r="XCX425" s="1824"/>
      <c r="XCY425" s="1824"/>
      <c r="XCZ425" s="1824"/>
      <c r="XDA425" s="1824"/>
      <c r="XDB425" s="1824"/>
      <c r="XDC425" s="1824"/>
      <c r="XDD425" s="1824"/>
      <c r="XDE425" s="1824"/>
      <c r="XDF425" s="1824"/>
      <c r="XDG425" s="1824"/>
      <c r="XDH425" s="1824"/>
      <c r="XDI425" s="1824"/>
      <c r="XDJ425" s="1824"/>
      <c r="XDK425" s="1824"/>
      <c r="XDL425" s="1824"/>
      <c r="XDM425" s="1824"/>
      <c r="XDN425" s="1824"/>
      <c r="XDO425" s="1824"/>
      <c r="XDP425" s="1824"/>
      <c r="XDQ425" s="1824"/>
      <c r="XDR425" s="1824"/>
      <c r="XDS425" s="1824"/>
      <c r="XDT425" s="1824"/>
      <c r="XDU425" s="1824"/>
      <c r="XDV425" s="1824"/>
      <c r="XDW425" s="1824"/>
      <c r="XDX425" s="1824"/>
      <c r="XDY425" s="1824"/>
      <c r="XDZ425" s="1824"/>
      <c r="XEA425" s="1824"/>
      <c r="XEB425" s="1824"/>
      <c r="XEC425" s="1824"/>
      <c r="XED425" s="1824"/>
      <c r="XEE425" s="1824"/>
      <c r="XEF425" s="1824"/>
      <c r="XEG425" s="1824"/>
      <c r="XEH425" s="1824"/>
      <c r="XEI425" s="1824"/>
      <c r="XEJ425" s="1824"/>
      <c r="XEK425" s="1824"/>
      <c r="XEL425" s="1824"/>
      <c r="XEM425" s="1824"/>
      <c r="XEN425" s="1824"/>
      <c r="XEO425" s="1824"/>
      <c r="XEP425" s="1824"/>
      <c r="XEQ425" s="1824"/>
      <c r="XER425" s="1824"/>
      <c r="XES425" s="1824"/>
      <c r="XET425" s="1824"/>
      <c r="XEU425" s="1824"/>
      <c r="XEV425" s="1824"/>
      <c r="XEW425" s="1824"/>
      <c r="XEX425" s="1824"/>
    </row>
    <row r="426" spans="1:16378" s="1851" customFormat="1" ht="9.9" customHeight="1" x14ac:dyDescent="0.3"/>
    <row r="427" spans="1:16378" s="1070" customFormat="1" x14ac:dyDescent="0.3"/>
    <row r="428" spans="1:16378" s="1070" customFormat="1" x14ac:dyDescent="0.3"/>
    <row r="429" spans="1:16378" s="1070" customFormat="1" x14ac:dyDescent="0.3"/>
    <row r="430" spans="1:16378" s="1070" customFormat="1" x14ac:dyDescent="0.3"/>
    <row r="431" spans="1:16378" s="1070" customFormat="1" x14ac:dyDescent="0.3"/>
    <row r="432" spans="1:16378" s="1070" customFormat="1" x14ac:dyDescent="0.3">
      <c r="B432" s="1734" t="s">
        <v>1514</v>
      </c>
    </row>
    <row r="433" spans="1:16378" s="1070" customFormat="1" x14ac:dyDescent="0.3"/>
    <row r="434" spans="1:16378" ht="9.9" customHeight="1" x14ac:dyDescent="0.3">
      <c r="A434" s="1824"/>
      <c r="B434" s="1824"/>
      <c r="C434" s="1824"/>
      <c r="D434" s="1824"/>
      <c r="E434" s="1824"/>
      <c r="F434" s="1824"/>
      <c r="G434" s="1824"/>
      <c r="H434" s="1824"/>
      <c r="I434" s="1824"/>
      <c r="J434" s="1824"/>
      <c r="K434" s="1824"/>
      <c r="L434" s="1824"/>
      <c r="M434" s="1824"/>
      <c r="N434" s="1824"/>
      <c r="O434" s="1824"/>
      <c r="P434" s="1824"/>
      <c r="Q434" s="1824"/>
      <c r="R434" s="1824"/>
      <c r="S434" s="1824"/>
      <c r="T434" s="1824"/>
      <c r="U434" s="1824"/>
      <c r="V434" s="1824"/>
      <c r="W434" s="1824"/>
      <c r="X434" s="1824"/>
      <c r="Y434" s="1824"/>
      <c r="Z434" s="1824"/>
      <c r="AA434" s="1824"/>
      <c r="AB434" s="1824"/>
      <c r="AC434" s="1824"/>
      <c r="AD434" s="1824"/>
      <c r="AE434" s="1824"/>
      <c r="AF434" s="1824"/>
      <c r="AG434" s="1824"/>
      <c r="AH434" s="1824"/>
      <c r="AI434" s="1824"/>
      <c r="AJ434" s="1824"/>
      <c r="AK434" s="1824"/>
      <c r="AL434" s="1824"/>
      <c r="AM434" s="1824"/>
      <c r="AN434" s="1824"/>
      <c r="AO434" s="1831"/>
      <c r="AP434" s="1831"/>
      <c r="AQ434" s="1831"/>
      <c r="AR434" s="1831"/>
      <c r="AS434" s="1831"/>
      <c r="AT434" s="1831"/>
      <c r="AU434" s="1831"/>
      <c r="AV434" s="1831"/>
      <c r="AW434" s="1831"/>
      <c r="AX434" s="1831"/>
      <c r="AY434" s="1831"/>
      <c r="AZ434" s="1831"/>
      <c r="BA434" s="1831"/>
      <c r="BB434" s="1831"/>
      <c r="BC434" s="1831"/>
      <c r="BD434" s="1831"/>
      <c r="BE434" s="1831"/>
      <c r="BF434" s="1831"/>
      <c r="BG434" s="1831"/>
      <c r="BH434" s="1831"/>
      <c r="BI434" s="1831"/>
      <c r="BJ434" s="1831"/>
      <c r="BK434" s="1831"/>
      <c r="BL434" s="1831"/>
      <c r="BM434" s="1831"/>
      <c r="BN434" s="1831"/>
      <c r="BO434" s="1831"/>
      <c r="BP434" s="1831"/>
      <c r="BQ434" s="1831"/>
      <c r="BR434" s="1831"/>
      <c r="BS434" s="1831"/>
      <c r="BT434" s="1831"/>
      <c r="BU434" s="1831"/>
      <c r="BV434" s="1831"/>
      <c r="BW434" s="1831"/>
      <c r="BX434" s="1831"/>
      <c r="BY434" s="1831"/>
      <c r="BZ434" s="1831"/>
      <c r="CA434" s="1831"/>
      <c r="CB434" s="1831"/>
      <c r="CC434" s="1831"/>
      <c r="CD434" s="1831"/>
      <c r="CE434" s="1831"/>
      <c r="CF434" s="1831"/>
      <c r="CG434" s="1831"/>
      <c r="CH434" s="1831"/>
      <c r="CI434" s="1831"/>
      <c r="CJ434" s="1831"/>
      <c r="CK434" s="1831"/>
      <c r="CL434" s="1831"/>
      <c r="CM434" s="1831"/>
      <c r="CN434" s="1831"/>
      <c r="CO434" s="1831"/>
      <c r="CP434" s="1831"/>
      <c r="CQ434" s="1831"/>
      <c r="CR434" s="1831"/>
      <c r="CS434" s="1831"/>
      <c r="CT434" s="1831"/>
      <c r="CU434" s="1831"/>
      <c r="CV434" s="1831"/>
      <c r="CW434" s="1831"/>
      <c r="CX434" s="1831"/>
      <c r="CY434" s="1831"/>
      <c r="CZ434" s="1831"/>
      <c r="DA434" s="1831"/>
      <c r="DB434" s="1831"/>
      <c r="DC434" s="1831"/>
      <c r="DD434" s="1831"/>
      <c r="DE434" s="1831"/>
      <c r="DF434" s="1831"/>
      <c r="DG434" s="1831"/>
      <c r="DH434" s="1831"/>
      <c r="DI434" s="1831"/>
      <c r="DJ434" s="1831"/>
      <c r="DK434" s="1831"/>
      <c r="DL434" s="1831"/>
      <c r="DM434" s="1831"/>
      <c r="DN434" s="1831"/>
      <c r="DO434" s="1831"/>
      <c r="DP434" s="1831"/>
      <c r="DQ434" s="1831"/>
      <c r="DR434" s="1831"/>
      <c r="DS434" s="1831"/>
      <c r="DT434" s="1831"/>
      <c r="DU434" s="1831"/>
      <c r="DV434" s="1831"/>
      <c r="DW434" s="1831"/>
      <c r="DX434" s="1831"/>
      <c r="DY434" s="1831"/>
      <c r="DZ434" s="1831"/>
      <c r="EA434" s="1831"/>
      <c r="EB434" s="1831"/>
      <c r="EC434" s="1831"/>
      <c r="ED434" s="1831"/>
      <c r="EE434" s="1831"/>
      <c r="EF434" s="1831"/>
      <c r="EG434" s="1831"/>
      <c r="EH434" s="1831"/>
      <c r="EI434" s="1831"/>
      <c r="EJ434" s="1831"/>
      <c r="EK434" s="1831"/>
      <c r="EL434" s="1831"/>
      <c r="EM434" s="1831"/>
      <c r="EN434" s="1831"/>
      <c r="EO434" s="1831"/>
      <c r="EP434" s="1831"/>
      <c r="EQ434" s="1831"/>
      <c r="ER434" s="1831"/>
      <c r="ES434" s="1831"/>
      <c r="ET434" s="1831"/>
      <c r="EU434" s="1831"/>
      <c r="EV434" s="1831"/>
      <c r="EW434" s="1831"/>
      <c r="EX434" s="1831"/>
      <c r="EY434" s="1831"/>
      <c r="EZ434" s="1831"/>
      <c r="FA434" s="1831"/>
      <c r="FB434" s="1831"/>
      <c r="FC434" s="1831"/>
      <c r="FD434" s="1831"/>
      <c r="FE434" s="1831"/>
      <c r="FF434" s="1831"/>
      <c r="FG434" s="1831"/>
      <c r="FH434" s="1831"/>
      <c r="FI434" s="1831"/>
      <c r="FJ434" s="1831"/>
      <c r="FK434" s="1831"/>
      <c r="FL434" s="1831"/>
      <c r="FM434" s="1831"/>
      <c r="FN434" s="1831"/>
      <c r="FO434" s="1831"/>
      <c r="FP434" s="1831"/>
      <c r="FQ434" s="1831"/>
      <c r="FR434" s="1831"/>
      <c r="FS434" s="1831"/>
      <c r="FT434" s="1831"/>
      <c r="FU434" s="1831"/>
      <c r="FV434" s="1831"/>
      <c r="FW434" s="1831"/>
      <c r="FX434" s="1831"/>
      <c r="FY434" s="1831"/>
      <c r="FZ434" s="1831"/>
      <c r="GA434" s="1831"/>
      <c r="GB434" s="1831"/>
      <c r="GC434" s="1831"/>
      <c r="GD434" s="1831"/>
      <c r="GE434" s="1831"/>
      <c r="GF434" s="1831"/>
      <c r="GG434" s="1831"/>
      <c r="GH434" s="1831"/>
      <c r="GI434" s="1831"/>
      <c r="GJ434" s="1831"/>
      <c r="GK434" s="1831"/>
      <c r="GL434" s="1831"/>
      <c r="GM434" s="1831"/>
      <c r="GN434" s="1831"/>
      <c r="GO434" s="1831"/>
      <c r="GP434" s="1831"/>
      <c r="GQ434" s="1831"/>
      <c r="GR434" s="1831"/>
      <c r="GS434" s="1831"/>
      <c r="GT434" s="1831"/>
      <c r="GU434" s="1831"/>
      <c r="GV434" s="1831"/>
      <c r="GW434" s="1831"/>
      <c r="GX434" s="1831"/>
      <c r="GY434" s="1831"/>
      <c r="GZ434" s="1831"/>
      <c r="HA434" s="1831"/>
      <c r="HB434" s="1831"/>
      <c r="HC434" s="1831"/>
      <c r="HD434" s="1831"/>
      <c r="HE434" s="1831"/>
      <c r="HF434" s="1831"/>
      <c r="HG434" s="1831"/>
      <c r="HH434" s="1831"/>
      <c r="HI434" s="1831"/>
      <c r="HJ434" s="1831"/>
      <c r="HK434" s="1831"/>
      <c r="HL434" s="1831"/>
      <c r="HM434" s="1831"/>
      <c r="HN434" s="1831"/>
      <c r="HO434" s="1831"/>
      <c r="HP434" s="1831"/>
      <c r="HQ434" s="1831"/>
      <c r="HR434" s="1831"/>
      <c r="HS434" s="1831"/>
      <c r="HT434" s="1831"/>
      <c r="HU434" s="1831"/>
      <c r="HV434" s="1831"/>
      <c r="HW434" s="1831"/>
      <c r="HX434" s="1831"/>
      <c r="HY434" s="1831"/>
      <c r="HZ434" s="1831"/>
      <c r="IA434" s="1831"/>
      <c r="IB434" s="1831"/>
      <c r="IC434" s="1831"/>
      <c r="ID434" s="1831"/>
      <c r="IE434" s="1831"/>
      <c r="IF434" s="1831"/>
      <c r="IG434" s="1831"/>
      <c r="IH434" s="1831"/>
      <c r="II434" s="1831"/>
      <c r="IJ434" s="1831"/>
      <c r="IK434" s="1831"/>
      <c r="IL434" s="1831"/>
      <c r="IM434" s="1831"/>
      <c r="IN434" s="1831"/>
      <c r="IO434" s="1831"/>
      <c r="IP434" s="1831"/>
      <c r="IQ434" s="1831"/>
      <c r="IR434" s="1831"/>
      <c r="IS434" s="1831"/>
      <c r="IT434" s="1831"/>
      <c r="IU434" s="1831"/>
      <c r="IV434" s="1831"/>
      <c r="IW434" s="1831"/>
      <c r="IX434" s="1831"/>
      <c r="IY434" s="1831"/>
      <c r="IZ434" s="1831"/>
      <c r="JA434" s="1831"/>
      <c r="JB434" s="1831"/>
      <c r="JC434" s="1831"/>
      <c r="JD434" s="1831"/>
      <c r="JE434" s="1831"/>
      <c r="JF434" s="1831"/>
      <c r="JG434" s="1831"/>
      <c r="JH434" s="1831"/>
      <c r="JI434" s="1831"/>
      <c r="JJ434" s="1831"/>
      <c r="JK434" s="1831"/>
      <c r="JL434" s="1831"/>
      <c r="JM434" s="1831"/>
      <c r="JN434" s="1831"/>
      <c r="JO434" s="1831"/>
      <c r="JP434" s="1831"/>
      <c r="JQ434" s="1831"/>
      <c r="JR434" s="1831"/>
      <c r="JS434" s="1831"/>
      <c r="JT434" s="1831"/>
      <c r="JU434" s="1831"/>
      <c r="JV434" s="1831"/>
      <c r="JW434" s="1831"/>
      <c r="JX434" s="1831"/>
      <c r="JY434" s="1831"/>
      <c r="JZ434" s="1831"/>
      <c r="KA434" s="1831"/>
      <c r="KB434" s="1831"/>
      <c r="KC434" s="1831"/>
      <c r="KD434" s="1831"/>
      <c r="KE434" s="1831"/>
      <c r="KF434" s="1831"/>
      <c r="KG434" s="1831"/>
      <c r="KH434" s="1831"/>
      <c r="KI434" s="1831"/>
      <c r="KJ434" s="1831"/>
      <c r="KK434" s="1831"/>
      <c r="KL434" s="1831"/>
      <c r="KM434" s="1831"/>
      <c r="KN434" s="1831"/>
      <c r="KO434" s="1831"/>
      <c r="KP434" s="1831"/>
      <c r="KQ434" s="1831"/>
      <c r="KR434" s="1831"/>
      <c r="KS434" s="1831"/>
      <c r="KT434" s="1831"/>
      <c r="KU434" s="1831"/>
      <c r="KV434" s="1831"/>
      <c r="KW434" s="1831"/>
      <c r="KX434" s="1831"/>
      <c r="KY434" s="1831"/>
      <c r="KZ434" s="1831"/>
      <c r="LA434" s="1831"/>
      <c r="LB434" s="1831"/>
      <c r="LC434" s="1831"/>
      <c r="LD434" s="1831"/>
      <c r="LE434" s="1831"/>
      <c r="LF434" s="1831"/>
      <c r="LG434" s="1831"/>
      <c r="LH434" s="1831"/>
      <c r="LI434" s="1831"/>
      <c r="LJ434" s="1831"/>
      <c r="LK434" s="1831"/>
      <c r="LL434" s="1831"/>
      <c r="LM434" s="1831"/>
      <c r="LN434" s="1831"/>
      <c r="LO434" s="1831"/>
      <c r="LP434" s="1831"/>
      <c r="LQ434" s="1831"/>
      <c r="LR434" s="1831"/>
      <c r="LS434" s="1831"/>
      <c r="LT434" s="1831"/>
      <c r="LU434" s="1831"/>
      <c r="LV434" s="1831"/>
      <c r="LW434" s="1831"/>
      <c r="LX434" s="1831"/>
      <c r="LY434" s="1831"/>
      <c r="LZ434" s="1831"/>
      <c r="MA434" s="1831"/>
      <c r="MB434" s="1831"/>
      <c r="MC434" s="1831"/>
      <c r="MD434" s="1831"/>
      <c r="ME434" s="1831"/>
      <c r="MF434" s="1831"/>
      <c r="MG434" s="1831"/>
      <c r="MH434" s="1831"/>
      <c r="MI434" s="1831"/>
      <c r="MJ434" s="1831"/>
      <c r="MK434" s="1831"/>
      <c r="ML434" s="1831"/>
      <c r="MM434" s="1831"/>
      <c r="MN434" s="1831"/>
      <c r="MO434" s="1831"/>
      <c r="MP434" s="1831"/>
      <c r="MQ434" s="1831"/>
      <c r="MR434" s="1831"/>
      <c r="MS434" s="1831"/>
      <c r="MT434" s="1831"/>
      <c r="MU434" s="1831"/>
      <c r="MV434" s="1831"/>
      <c r="MW434" s="1831"/>
      <c r="MX434" s="1831"/>
      <c r="MY434" s="1831"/>
      <c r="MZ434" s="1831"/>
      <c r="NA434" s="1831"/>
      <c r="NB434" s="1831"/>
      <c r="NC434" s="1831"/>
      <c r="ND434" s="1831"/>
      <c r="NE434" s="1831"/>
      <c r="NF434" s="1831"/>
      <c r="NG434" s="1831"/>
      <c r="NH434" s="1831"/>
      <c r="NI434" s="1831"/>
      <c r="NJ434" s="1831"/>
      <c r="NK434" s="1831"/>
      <c r="NL434" s="1831"/>
      <c r="NM434" s="1831"/>
      <c r="NN434" s="1831"/>
      <c r="NO434" s="1831"/>
      <c r="NP434" s="1831"/>
      <c r="NQ434" s="1831"/>
      <c r="NR434" s="1831"/>
      <c r="NS434" s="1831"/>
      <c r="NT434" s="1831"/>
      <c r="NU434" s="1831"/>
      <c r="NV434" s="1831"/>
      <c r="NW434" s="1831"/>
      <c r="NX434" s="1831"/>
      <c r="NY434" s="1831"/>
      <c r="NZ434" s="1831"/>
      <c r="OA434" s="1831"/>
      <c r="OB434" s="1831"/>
      <c r="OC434" s="1831"/>
      <c r="OD434" s="1831"/>
      <c r="OE434" s="1831"/>
      <c r="OF434" s="1831"/>
      <c r="OG434" s="1831"/>
      <c r="OH434" s="1831"/>
      <c r="OI434" s="1831"/>
      <c r="OJ434" s="1831"/>
      <c r="OK434" s="1831"/>
      <c r="OL434" s="1831"/>
      <c r="OM434" s="1831"/>
      <c r="ON434" s="1831"/>
      <c r="OO434" s="1831"/>
      <c r="OP434" s="1831"/>
      <c r="OQ434" s="1831"/>
      <c r="OR434" s="1831"/>
      <c r="OS434" s="1831"/>
      <c r="OT434" s="1831"/>
      <c r="OU434" s="1831"/>
      <c r="OV434" s="1831"/>
      <c r="OW434" s="1831"/>
      <c r="OX434" s="1831"/>
      <c r="OY434" s="1831"/>
      <c r="OZ434" s="1831"/>
      <c r="PA434" s="1831"/>
      <c r="PB434" s="1831"/>
      <c r="PC434" s="1831"/>
      <c r="PD434" s="1831"/>
      <c r="PE434" s="1831"/>
      <c r="PF434" s="1831"/>
      <c r="PG434" s="1831"/>
      <c r="PH434" s="1831"/>
      <c r="PI434" s="1831"/>
      <c r="PJ434" s="1831"/>
      <c r="PK434" s="1831"/>
      <c r="PL434" s="1831"/>
      <c r="PM434" s="1831"/>
      <c r="PN434" s="1831"/>
      <c r="PO434" s="1831"/>
      <c r="PP434" s="1831"/>
      <c r="PQ434" s="1831"/>
      <c r="PR434" s="1831"/>
      <c r="PS434" s="1831"/>
      <c r="PT434" s="1831"/>
      <c r="PU434" s="1831"/>
      <c r="PV434" s="1831"/>
      <c r="PW434" s="1831"/>
      <c r="PX434" s="1831"/>
      <c r="PY434" s="1831"/>
      <c r="PZ434" s="1831"/>
      <c r="QA434" s="1831"/>
      <c r="QB434" s="1831"/>
      <c r="QC434" s="1831"/>
      <c r="QD434" s="1831"/>
      <c r="QE434" s="1831"/>
      <c r="QF434" s="1831"/>
      <c r="QG434" s="1831"/>
      <c r="QH434" s="1831"/>
      <c r="QI434" s="1831"/>
      <c r="QJ434" s="1831"/>
      <c r="QK434" s="1831"/>
      <c r="QL434" s="1831"/>
      <c r="QM434" s="1831"/>
      <c r="QN434" s="1831"/>
      <c r="QO434" s="1831"/>
      <c r="QP434" s="1831"/>
      <c r="QQ434" s="1831"/>
      <c r="QR434" s="1831"/>
      <c r="QS434" s="1831"/>
      <c r="QT434" s="1831"/>
      <c r="QU434" s="1831"/>
      <c r="QV434" s="1831"/>
      <c r="QW434" s="1831"/>
      <c r="QX434" s="1831"/>
      <c r="QY434" s="1831"/>
      <c r="QZ434" s="1831"/>
      <c r="RA434" s="1831"/>
      <c r="RB434" s="1831"/>
      <c r="RC434" s="1831"/>
      <c r="RD434" s="1831"/>
      <c r="RE434" s="1831"/>
      <c r="RF434" s="1831"/>
      <c r="RG434" s="1831"/>
      <c r="RH434" s="1831"/>
      <c r="RI434" s="1831"/>
      <c r="RJ434" s="1831"/>
      <c r="RK434" s="1831"/>
      <c r="RL434" s="1831"/>
      <c r="RM434" s="1831"/>
      <c r="RN434" s="1831"/>
      <c r="RO434" s="1831"/>
      <c r="RP434" s="1831"/>
      <c r="RQ434" s="1831"/>
      <c r="RR434" s="1831"/>
      <c r="RS434" s="1831"/>
      <c r="RT434" s="1831"/>
      <c r="RU434" s="1831"/>
      <c r="RV434" s="1831"/>
      <c r="RW434" s="1831"/>
      <c r="RX434" s="1831"/>
      <c r="RY434" s="1831"/>
      <c r="RZ434" s="1831"/>
      <c r="SA434" s="1831"/>
      <c r="SB434" s="1831"/>
      <c r="SC434" s="1831"/>
      <c r="SD434" s="1831"/>
      <c r="SE434" s="1831"/>
      <c r="SF434" s="1831"/>
      <c r="SG434" s="1831"/>
      <c r="SH434" s="1831"/>
      <c r="SI434" s="1831"/>
      <c r="SJ434" s="1831"/>
      <c r="SK434" s="1831"/>
      <c r="SL434" s="1831"/>
      <c r="SM434" s="1831"/>
      <c r="SN434" s="1831"/>
      <c r="SO434" s="1831"/>
      <c r="SP434" s="1831"/>
      <c r="SQ434" s="1831"/>
      <c r="SR434" s="1831"/>
      <c r="SS434" s="1831"/>
      <c r="ST434" s="1831"/>
      <c r="SU434" s="1831"/>
      <c r="SV434" s="1831"/>
      <c r="SW434" s="1831"/>
      <c r="SX434" s="1831"/>
      <c r="SY434" s="1831"/>
      <c r="SZ434" s="1831"/>
      <c r="TA434" s="1831"/>
      <c r="TB434" s="1831"/>
      <c r="TC434" s="1831"/>
      <c r="TD434" s="1831"/>
      <c r="TE434" s="1831"/>
      <c r="TF434" s="1831"/>
      <c r="TG434" s="1831"/>
      <c r="TH434" s="1831"/>
      <c r="TI434" s="1831"/>
      <c r="TJ434" s="1831"/>
      <c r="TK434" s="1831"/>
      <c r="TL434" s="1831"/>
      <c r="TM434" s="1831"/>
      <c r="TN434" s="1831"/>
      <c r="TO434" s="1831"/>
      <c r="TP434" s="1831"/>
      <c r="TQ434" s="1831"/>
      <c r="TR434" s="1831"/>
      <c r="TS434" s="1831"/>
      <c r="TT434" s="1831"/>
      <c r="TU434" s="1831"/>
      <c r="TV434" s="1831"/>
      <c r="TW434" s="1831"/>
      <c r="TX434" s="1831"/>
      <c r="TY434" s="1831"/>
      <c r="TZ434" s="1831"/>
      <c r="UA434" s="1831"/>
      <c r="UB434" s="1831"/>
      <c r="UC434" s="1831"/>
      <c r="UD434" s="1831"/>
      <c r="UE434" s="1831"/>
      <c r="UF434" s="1831"/>
      <c r="UG434" s="1831"/>
      <c r="UH434" s="1831"/>
      <c r="UI434" s="1831"/>
      <c r="UJ434" s="1831"/>
      <c r="UK434" s="1831"/>
      <c r="UL434" s="1831"/>
      <c r="UM434" s="1831"/>
      <c r="UN434" s="1831"/>
      <c r="UO434" s="1831"/>
      <c r="UP434" s="1831"/>
      <c r="UQ434" s="1831"/>
      <c r="UR434" s="1831"/>
      <c r="US434" s="1831"/>
      <c r="UT434" s="1831"/>
      <c r="UU434" s="1831"/>
      <c r="UV434" s="1831"/>
      <c r="UW434" s="1831"/>
      <c r="UX434" s="1831"/>
      <c r="UY434" s="1831"/>
      <c r="UZ434" s="1831"/>
      <c r="VA434" s="1831"/>
      <c r="VB434" s="1831"/>
      <c r="VC434" s="1831"/>
      <c r="VD434" s="1831"/>
      <c r="VE434" s="1831"/>
      <c r="VF434" s="1831"/>
      <c r="VG434" s="1831"/>
      <c r="VH434" s="1831"/>
      <c r="VI434" s="1831"/>
      <c r="VJ434" s="1831"/>
      <c r="VK434" s="1831"/>
      <c r="VL434" s="1831"/>
      <c r="VM434" s="1831"/>
      <c r="VN434" s="1831"/>
      <c r="VO434" s="1831"/>
      <c r="VP434" s="1831"/>
      <c r="VQ434" s="1831"/>
      <c r="VR434" s="1831"/>
      <c r="VS434" s="1831"/>
      <c r="VT434" s="1831"/>
      <c r="VU434" s="1831"/>
      <c r="VV434" s="1831"/>
      <c r="VW434" s="1831"/>
      <c r="VX434" s="1831"/>
      <c r="VY434" s="1831"/>
      <c r="VZ434" s="1831"/>
      <c r="WA434" s="1831"/>
      <c r="WB434" s="1831"/>
      <c r="WC434" s="1831"/>
      <c r="WD434" s="1831"/>
      <c r="WE434" s="1831"/>
      <c r="WF434" s="1831"/>
      <c r="WG434" s="1831"/>
      <c r="WH434" s="1831"/>
      <c r="WI434" s="1831"/>
      <c r="WJ434" s="1831"/>
      <c r="WK434" s="1831"/>
      <c r="WL434" s="1831"/>
      <c r="WM434" s="1831"/>
      <c r="WN434" s="1831"/>
      <c r="WO434" s="1831"/>
      <c r="WP434" s="1831"/>
      <c r="WQ434" s="1831"/>
      <c r="WR434" s="1831"/>
      <c r="WS434" s="1831"/>
      <c r="WT434" s="1831"/>
      <c r="WU434" s="1831"/>
      <c r="WV434" s="1831"/>
      <c r="WW434" s="1831"/>
      <c r="WX434" s="1831"/>
      <c r="WY434" s="1831"/>
      <c r="WZ434" s="1831"/>
      <c r="XA434" s="1831"/>
      <c r="XB434" s="1831"/>
      <c r="XC434" s="1831"/>
      <c r="XD434" s="1831"/>
      <c r="XE434" s="1831"/>
      <c r="XF434" s="1831"/>
      <c r="XG434" s="1831"/>
      <c r="XH434" s="1831"/>
      <c r="XI434" s="1831"/>
      <c r="XJ434" s="1831"/>
      <c r="XK434" s="1831"/>
      <c r="XL434" s="1831"/>
      <c r="XM434" s="1831"/>
      <c r="XN434" s="1831"/>
      <c r="XO434" s="1831"/>
      <c r="XP434" s="1831"/>
      <c r="XQ434" s="1831"/>
      <c r="XR434" s="1831"/>
      <c r="XS434" s="1831"/>
      <c r="XT434" s="1831"/>
      <c r="XU434" s="1831"/>
      <c r="XV434" s="1831"/>
      <c r="XW434" s="1831"/>
      <c r="XX434" s="1831"/>
      <c r="XY434" s="1831"/>
      <c r="XZ434" s="1831"/>
      <c r="YA434" s="1831"/>
      <c r="YB434" s="1831"/>
      <c r="YC434" s="1831"/>
      <c r="YD434" s="1831"/>
      <c r="YE434" s="1831"/>
      <c r="YF434" s="1831"/>
      <c r="YG434" s="1831"/>
      <c r="YH434" s="1831"/>
      <c r="YI434" s="1831"/>
      <c r="YJ434" s="1831"/>
      <c r="YK434" s="1831"/>
      <c r="YL434" s="1831"/>
      <c r="YM434" s="1831"/>
      <c r="YN434" s="1831"/>
      <c r="YO434" s="1831"/>
      <c r="YP434" s="1831"/>
      <c r="YQ434" s="1831"/>
      <c r="YR434" s="1831"/>
      <c r="YS434" s="1831"/>
      <c r="YT434" s="1831"/>
      <c r="YU434" s="1831"/>
      <c r="YV434" s="1831"/>
      <c r="YW434" s="1831"/>
      <c r="YX434" s="1831"/>
      <c r="YY434" s="1831"/>
      <c r="YZ434" s="1831"/>
      <c r="ZA434" s="1831"/>
      <c r="ZB434" s="1831"/>
      <c r="ZC434" s="1831"/>
      <c r="ZD434" s="1831"/>
      <c r="ZE434" s="1831"/>
      <c r="ZF434" s="1831"/>
      <c r="ZG434" s="1831"/>
      <c r="ZH434" s="1831"/>
      <c r="ZI434" s="1831"/>
      <c r="ZJ434" s="1831"/>
      <c r="ZK434" s="1831"/>
      <c r="ZL434" s="1831"/>
      <c r="ZM434" s="1831"/>
      <c r="ZN434" s="1831"/>
      <c r="ZO434" s="1831"/>
      <c r="ZP434" s="1831"/>
      <c r="ZQ434" s="1831"/>
      <c r="ZR434" s="1831"/>
      <c r="ZS434" s="1831"/>
      <c r="ZT434" s="1831"/>
      <c r="ZU434" s="1831"/>
      <c r="ZV434" s="1831"/>
      <c r="ZW434" s="1831"/>
      <c r="ZX434" s="1831"/>
      <c r="ZY434" s="1831"/>
      <c r="ZZ434" s="1831"/>
      <c r="AAA434" s="1831"/>
      <c r="AAB434" s="1831"/>
      <c r="AAC434" s="1831"/>
      <c r="AAD434" s="1831"/>
      <c r="AAE434" s="1831"/>
      <c r="AAF434" s="1831"/>
      <c r="AAG434" s="1831"/>
      <c r="AAH434" s="1831"/>
      <c r="AAI434" s="1831"/>
      <c r="AAJ434" s="1831"/>
      <c r="AAK434" s="1831"/>
      <c r="AAL434" s="1831"/>
      <c r="AAM434" s="1831"/>
      <c r="AAN434" s="1831"/>
      <c r="AAO434" s="1831"/>
      <c r="AAP434" s="1831"/>
      <c r="AAQ434" s="1831"/>
      <c r="AAR434" s="1831"/>
      <c r="AAS434" s="1831"/>
      <c r="AAT434" s="1831"/>
      <c r="AAU434" s="1831"/>
      <c r="AAV434" s="1831"/>
      <c r="AAW434" s="1831"/>
      <c r="AAX434" s="1831"/>
      <c r="AAY434" s="1831"/>
      <c r="AAZ434" s="1831"/>
      <c r="ABA434" s="1831"/>
      <c r="ABB434" s="1831"/>
      <c r="ABC434" s="1831"/>
      <c r="ABD434" s="1831"/>
      <c r="ABE434" s="1831"/>
      <c r="ABF434" s="1831"/>
      <c r="ABG434" s="1831"/>
      <c r="ABH434" s="1831"/>
      <c r="ABI434" s="1831"/>
      <c r="ABJ434" s="1831"/>
      <c r="ABK434" s="1831"/>
      <c r="ABL434" s="1831"/>
      <c r="ABM434" s="1831"/>
      <c r="ABN434" s="1831"/>
      <c r="ABO434" s="1831"/>
      <c r="ABP434" s="1831"/>
      <c r="ABQ434" s="1831"/>
      <c r="ABR434" s="1831"/>
      <c r="ABS434" s="1831"/>
      <c r="ABT434" s="1831"/>
      <c r="ABU434" s="1831"/>
      <c r="ABV434" s="1831"/>
      <c r="ABW434" s="1831"/>
      <c r="ABX434" s="1831"/>
      <c r="ABY434" s="1831"/>
      <c r="ABZ434" s="1831"/>
      <c r="ACA434" s="1831"/>
      <c r="ACB434" s="1831"/>
      <c r="ACC434" s="1831"/>
      <c r="ACD434" s="1831"/>
      <c r="ACE434" s="1831"/>
      <c r="ACF434" s="1831"/>
      <c r="ACG434" s="1831"/>
      <c r="ACH434" s="1831"/>
      <c r="ACI434" s="1831"/>
      <c r="ACJ434" s="1831"/>
      <c r="ACK434" s="1831"/>
      <c r="ACL434" s="1831"/>
      <c r="ACM434" s="1831"/>
      <c r="ACN434" s="1831"/>
      <c r="ACO434" s="1831"/>
      <c r="ACP434" s="1831"/>
      <c r="ACQ434" s="1831"/>
      <c r="ACR434" s="1831"/>
      <c r="ACS434" s="1831"/>
      <c r="ACT434" s="1831"/>
      <c r="ACU434" s="1831"/>
      <c r="ACV434" s="1831"/>
      <c r="ACW434" s="1831"/>
      <c r="ACX434" s="1831"/>
      <c r="ACY434" s="1831"/>
      <c r="ACZ434" s="1831"/>
      <c r="ADA434" s="1831"/>
      <c r="ADB434" s="1831"/>
      <c r="ADC434" s="1831"/>
      <c r="ADD434" s="1831"/>
      <c r="ADE434" s="1831"/>
      <c r="ADF434" s="1831"/>
      <c r="ADG434" s="1831"/>
      <c r="ADH434" s="1831"/>
      <c r="ADI434" s="1831"/>
      <c r="ADJ434" s="1831"/>
      <c r="ADK434" s="1831"/>
      <c r="ADL434" s="1831"/>
      <c r="ADM434" s="1831"/>
      <c r="ADN434" s="1831"/>
      <c r="ADO434" s="1831"/>
      <c r="ADP434" s="1831"/>
      <c r="ADQ434" s="1831"/>
      <c r="ADR434" s="1831"/>
      <c r="ADS434" s="1831"/>
      <c r="ADT434" s="1831"/>
      <c r="ADU434" s="1831"/>
      <c r="ADV434" s="1831"/>
      <c r="ADW434" s="1831"/>
      <c r="ADX434" s="1831"/>
      <c r="ADY434" s="1831"/>
      <c r="ADZ434" s="1831"/>
      <c r="AEA434" s="1831"/>
      <c r="AEB434" s="1831"/>
      <c r="AEC434" s="1831"/>
      <c r="AED434" s="1831"/>
      <c r="AEE434" s="1831"/>
      <c r="AEF434" s="1831"/>
      <c r="AEG434" s="1831"/>
      <c r="AEH434" s="1831"/>
      <c r="AEI434" s="1831"/>
      <c r="AEJ434" s="1831"/>
      <c r="AEK434" s="1831"/>
      <c r="AEL434" s="1831"/>
      <c r="AEM434" s="1831"/>
      <c r="AEN434" s="1831"/>
      <c r="AEO434" s="1831"/>
      <c r="AEP434" s="1831"/>
      <c r="AEQ434" s="1831"/>
      <c r="AER434" s="1831"/>
      <c r="AES434" s="1831"/>
      <c r="AET434" s="1831"/>
      <c r="AEU434" s="1831"/>
      <c r="AEV434" s="1831"/>
      <c r="AEW434" s="1831"/>
      <c r="AEX434" s="1831"/>
      <c r="AEY434" s="1831"/>
      <c r="AEZ434" s="1831"/>
      <c r="AFA434" s="1831"/>
      <c r="AFB434" s="1831"/>
      <c r="AFC434" s="1831"/>
      <c r="AFD434" s="1831"/>
      <c r="AFE434" s="1831"/>
      <c r="AFF434" s="1831"/>
      <c r="AFG434" s="1831"/>
      <c r="AFH434" s="1831"/>
      <c r="AFI434" s="1831"/>
      <c r="AFJ434" s="1831"/>
      <c r="AFK434" s="1831"/>
      <c r="AFL434" s="1831"/>
      <c r="AFM434" s="1831"/>
      <c r="AFN434" s="1831"/>
      <c r="AFO434" s="1831"/>
      <c r="AFP434" s="1831"/>
      <c r="AFQ434" s="1831"/>
      <c r="AFR434" s="1831"/>
      <c r="AFS434" s="1831"/>
      <c r="AFT434" s="1831"/>
      <c r="AFU434" s="1831"/>
      <c r="AFV434" s="1831"/>
      <c r="AFW434" s="1831"/>
      <c r="AFX434" s="1831"/>
      <c r="AFY434" s="1831"/>
      <c r="AFZ434" s="1831"/>
      <c r="AGA434" s="1831"/>
      <c r="AGB434" s="1831"/>
      <c r="AGC434" s="1831"/>
      <c r="AGD434" s="1831"/>
      <c r="AGE434" s="1831"/>
      <c r="AGF434" s="1831"/>
      <c r="AGG434" s="1831"/>
      <c r="AGH434" s="1831"/>
      <c r="AGI434" s="1831"/>
      <c r="AGJ434" s="1831"/>
      <c r="AGK434" s="1831"/>
      <c r="AGL434" s="1831"/>
      <c r="AGM434" s="1831"/>
      <c r="AGN434" s="1831"/>
      <c r="AGO434" s="1831"/>
      <c r="AGP434" s="1831"/>
      <c r="AGQ434" s="1831"/>
      <c r="AGR434" s="1831"/>
      <c r="AGS434" s="1831"/>
      <c r="AGT434" s="1831"/>
      <c r="AGU434" s="1831"/>
      <c r="AGV434" s="1831"/>
      <c r="AGW434" s="1831"/>
      <c r="AGX434" s="1831"/>
      <c r="AGY434" s="1831"/>
      <c r="AGZ434" s="1831"/>
      <c r="AHA434" s="1831"/>
      <c r="AHB434" s="1831"/>
      <c r="AHC434" s="1831"/>
      <c r="AHD434" s="1831"/>
      <c r="AHE434" s="1831"/>
      <c r="AHF434" s="1831"/>
      <c r="AHG434" s="1831"/>
      <c r="AHH434" s="1831"/>
      <c r="AHI434" s="1831"/>
      <c r="AHJ434" s="1831"/>
      <c r="AHK434" s="1831"/>
      <c r="AHL434" s="1831"/>
      <c r="AHM434" s="1831"/>
      <c r="AHN434" s="1831"/>
      <c r="AHO434" s="1831"/>
      <c r="AHP434" s="1831"/>
      <c r="AHQ434" s="1831"/>
      <c r="AHR434" s="1831"/>
      <c r="AHS434" s="1831"/>
      <c r="AHT434" s="1831"/>
      <c r="AHU434" s="1831"/>
      <c r="AHV434" s="1831"/>
      <c r="AHW434" s="1831"/>
      <c r="AHX434" s="1831"/>
      <c r="AHY434" s="1831"/>
      <c r="AHZ434" s="1831"/>
      <c r="AIA434" s="1831"/>
      <c r="AIB434" s="1831"/>
      <c r="AIC434" s="1831"/>
      <c r="AID434" s="1831"/>
      <c r="AIE434" s="1831"/>
      <c r="AIF434" s="1831"/>
      <c r="AIG434" s="1831"/>
      <c r="AIH434" s="1831"/>
      <c r="AII434" s="1831"/>
      <c r="AIJ434" s="1831"/>
      <c r="AIK434" s="1831"/>
      <c r="AIL434" s="1831"/>
      <c r="AIM434" s="1831"/>
      <c r="AIN434" s="1831"/>
      <c r="AIO434" s="1831"/>
      <c r="AIP434" s="1831"/>
      <c r="AIQ434" s="1831"/>
      <c r="AIR434" s="1831"/>
      <c r="AIS434" s="1831"/>
      <c r="AIT434" s="1831"/>
      <c r="AIU434" s="1831"/>
      <c r="AIV434" s="1831"/>
      <c r="AIW434" s="1831"/>
      <c r="AIX434" s="1831"/>
      <c r="AIY434" s="1831"/>
      <c r="AIZ434" s="1831"/>
      <c r="AJA434" s="1831"/>
      <c r="AJB434" s="1831"/>
      <c r="AJC434" s="1831"/>
      <c r="AJD434" s="1831"/>
      <c r="AJE434" s="1831"/>
      <c r="AJF434" s="1831"/>
      <c r="AJG434" s="1831"/>
      <c r="AJH434" s="1831"/>
      <c r="AJI434" s="1831"/>
      <c r="AJJ434" s="1831"/>
      <c r="AJK434" s="1831"/>
      <c r="AJL434" s="1831"/>
      <c r="AJM434" s="1831"/>
      <c r="AJN434" s="1831"/>
      <c r="AJO434" s="1831"/>
      <c r="AJP434" s="1831"/>
      <c r="AJQ434" s="1831"/>
      <c r="AJR434" s="1831"/>
      <c r="AJS434" s="1831"/>
      <c r="AJT434" s="1831"/>
      <c r="AJU434" s="1831"/>
      <c r="AJV434" s="1831"/>
      <c r="AJW434" s="1831"/>
      <c r="AJX434" s="1831"/>
      <c r="AJY434" s="1831"/>
      <c r="AJZ434" s="1831"/>
      <c r="AKA434" s="1831"/>
      <c r="AKB434" s="1831"/>
      <c r="AKC434" s="1831"/>
      <c r="AKD434" s="1831"/>
      <c r="AKE434" s="1831"/>
      <c r="AKF434" s="1831"/>
      <c r="AKG434" s="1831"/>
      <c r="AKH434" s="1831"/>
      <c r="AKI434" s="1831"/>
      <c r="AKJ434" s="1831"/>
      <c r="AKK434" s="1831"/>
      <c r="AKL434" s="1831"/>
      <c r="AKM434" s="1831"/>
      <c r="AKN434" s="1831"/>
      <c r="AKO434" s="1831"/>
      <c r="AKP434" s="1831"/>
      <c r="AKQ434" s="1831"/>
      <c r="AKR434" s="1831"/>
      <c r="AKS434" s="1831"/>
      <c r="AKT434" s="1831"/>
      <c r="AKU434" s="1831"/>
      <c r="AKV434" s="1831"/>
      <c r="AKW434" s="1831"/>
      <c r="AKX434" s="1831"/>
      <c r="AKY434" s="1831"/>
      <c r="AKZ434" s="1831"/>
      <c r="ALA434" s="1831"/>
      <c r="ALB434" s="1831"/>
      <c r="ALC434" s="1831"/>
      <c r="ALD434" s="1831"/>
      <c r="ALE434" s="1831"/>
      <c r="ALF434" s="1831"/>
      <c r="ALG434" s="1831"/>
      <c r="ALH434" s="1831"/>
      <c r="ALI434" s="1831"/>
      <c r="ALJ434" s="1831"/>
      <c r="ALK434" s="1831"/>
      <c r="ALL434" s="1831"/>
      <c r="ALM434" s="1831"/>
      <c r="ALN434" s="1831"/>
      <c r="ALO434" s="1831"/>
      <c r="ALP434" s="1831"/>
      <c r="ALQ434" s="1831"/>
      <c r="ALR434" s="1831"/>
      <c r="ALS434" s="1831"/>
      <c r="ALT434" s="1831"/>
      <c r="ALU434" s="1831"/>
      <c r="ALV434" s="1831"/>
      <c r="ALW434" s="1831"/>
      <c r="ALX434" s="1831"/>
      <c r="ALY434" s="1831"/>
      <c r="ALZ434" s="1831"/>
      <c r="AMA434" s="1831"/>
      <c r="AMB434" s="1831"/>
      <c r="AMC434" s="1831"/>
      <c r="AMD434" s="1831"/>
      <c r="AME434" s="1831"/>
      <c r="AMF434" s="1831"/>
      <c r="AMG434" s="1831"/>
      <c r="AMH434" s="1831"/>
      <c r="AMI434" s="1831"/>
      <c r="AMJ434" s="1831"/>
      <c r="AMK434" s="1831"/>
      <c r="AML434" s="1831"/>
      <c r="AMM434" s="1831"/>
      <c r="AMN434" s="1831"/>
      <c r="AMO434" s="1831"/>
      <c r="AMP434" s="1831"/>
      <c r="AMQ434" s="1831"/>
      <c r="AMR434" s="1831"/>
      <c r="AMS434" s="1831"/>
      <c r="AMT434" s="1831"/>
      <c r="AMU434" s="1831"/>
      <c r="AMV434" s="1831"/>
      <c r="AMW434" s="1831"/>
      <c r="AMX434" s="1831"/>
      <c r="AMY434" s="1831"/>
      <c r="AMZ434" s="1831"/>
      <c r="ANA434" s="1831"/>
      <c r="ANB434" s="1831"/>
      <c r="ANC434" s="1831"/>
      <c r="AND434" s="1831"/>
      <c r="ANE434" s="1831"/>
      <c r="ANF434" s="1831"/>
      <c r="ANG434" s="1831"/>
      <c r="ANH434" s="1831"/>
      <c r="ANI434" s="1831"/>
      <c r="ANJ434" s="1831"/>
      <c r="ANK434" s="1831"/>
      <c r="ANL434" s="1831"/>
      <c r="ANM434" s="1831"/>
      <c r="ANN434" s="1831"/>
      <c r="ANO434" s="1831"/>
      <c r="ANP434" s="1831"/>
      <c r="ANQ434" s="1831"/>
      <c r="ANR434" s="1831"/>
      <c r="ANS434" s="1831"/>
      <c r="ANT434" s="1831"/>
      <c r="ANU434" s="1831"/>
      <c r="ANV434" s="1831"/>
      <c r="ANW434" s="1831"/>
      <c r="ANX434" s="1831"/>
      <c r="ANY434" s="1831"/>
      <c r="ANZ434" s="1831"/>
      <c r="AOA434" s="1831"/>
      <c r="AOB434" s="1831"/>
      <c r="AOC434" s="1831"/>
      <c r="AOD434" s="1831"/>
      <c r="AOE434" s="1831"/>
      <c r="AOF434" s="1831"/>
      <c r="AOG434" s="1831"/>
      <c r="AOH434" s="1831"/>
      <c r="AOI434" s="1831"/>
      <c r="AOJ434" s="1831"/>
      <c r="AOK434" s="1831"/>
      <c r="AOL434" s="1831"/>
      <c r="AOM434" s="1831"/>
      <c r="AON434" s="1831"/>
      <c r="AOO434" s="1831"/>
      <c r="AOP434" s="1831"/>
      <c r="AOQ434" s="1831"/>
      <c r="AOR434" s="1831"/>
      <c r="AOS434" s="1831"/>
      <c r="AOT434" s="1831"/>
      <c r="AOU434" s="1831"/>
      <c r="AOV434" s="1831"/>
      <c r="AOW434" s="1831"/>
      <c r="AOX434" s="1831"/>
      <c r="AOY434" s="1831"/>
      <c r="AOZ434" s="1831"/>
      <c r="APA434" s="1831"/>
      <c r="APB434" s="1831"/>
      <c r="APC434" s="1831"/>
      <c r="APD434" s="1831"/>
      <c r="APE434" s="1831"/>
      <c r="APF434" s="1831"/>
      <c r="APG434" s="1831"/>
      <c r="APH434" s="1831"/>
      <c r="API434" s="1831"/>
      <c r="APJ434" s="1831"/>
      <c r="APK434" s="1831"/>
      <c r="APL434" s="1831"/>
      <c r="APM434" s="1831"/>
      <c r="APN434" s="1831"/>
      <c r="APO434" s="1831"/>
      <c r="APP434" s="1831"/>
      <c r="APQ434" s="1831"/>
      <c r="APR434" s="1831"/>
      <c r="APS434" s="1831"/>
      <c r="APT434" s="1831"/>
      <c r="APU434" s="1831"/>
      <c r="APV434" s="1831"/>
      <c r="APW434" s="1831"/>
      <c r="APX434" s="1831"/>
      <c r="APY434" s="1831"/>
      <c r="APZ434" s="1831"/>
      <c r="AQA434" s="1831"/>
      <c r="AQB434" s="1831"/>
      <c r="AQC434" s="1831"/>
      <c r="AQD434" s="1831"/>
      <c r="AQE434" s="1831"/>
      <c r="AQF434" s="1831"/>
      <c r="AQG434" s="1831"/>
      <c r="AQH434" s="1831"/>
      <c r="AQI434" s="1831"/>
      <c r="AQJ434" s="1831"/>
      <c r="AQK434" s="1831"/>
      <c r="AQL434" s="1831"/>
      <c r="AQM434" s="1831"/>
      <c r="AQN434" s="1831"/>
      <c r="AQO434" s="1831"/>
      <c r="AQP434" s="1831"/>
      <c r="AQQ434" s="1831"/>
      <c r="AQR434" s="1831"/>
      <c r="AQS434" s="1831"/>
      <c r="AQT434" s="1831"/>
      <c r="AQU434" s="1831"/>
      <c r="AQV434" s="1831"/>
      <c r="AQW434" s="1831"/>
      <c r="AQX434" s="1831"/>
      <c r="AQY434" s="1831"/>
      <c r="AQZ434" s="1831"/>
      <c r="ARA434" s="1831"/>
      <c r="ARB434" s="1831"/>
      <c r="ARC434" s="1831"/>
      <c r="ARD434" s="1831"/>
      <c r="ARE434" s="1831"/>
      <c r="ARF434" s="1831"/>
      <c r="ARG434" s="1831"/>
      <c r="ARH434" s="1831"/>
      <c r="ARI434" s="1831"/>
      <c r="ARJ434" s="1831"/>
      <c r="ARK434" s="1831"/>
      <c r="ARL434" s="1831"/>
      <c r="ARM434" s="1831"/>
      <c r="ARN434" s="1831"/>
      <c r="ARO434" s="1831"/>
      <c r="ARP434" s="1831"/>
      <c r="ARQ434" s="1831"/>
      <c r="ARR434" s="1831"/>
      <c r="ARS434" s="1831"/>
      <c r="ART434" s="1831"/>
      <c r="ARU434" s="1831"/>
      <c r="ARV434" s="1831"/>
      <c r="ARW434" s="1831"/>
      <c r="ARX434" s="1831"/>
      <c r="ARY434" s="1831"/>
      <c r="ARZ434" s="1831"/>
      <c r="ASA434" s="1831"/>
      <c r="ASB434" s="1831"/>
      <c r="ASC434" s="1831"/>
      <c r="ASD434" s="1831"/>
      <c r="ASE434" s="1831"/>
      <c r="ASF434" s="1831"/>
      <c r="ASG434" s="1831"/>
      <c r="ASH434" s="1831"/>
      <c r="ASI434" s="1831"/>
      <c r="ASJ434" s="1831"/>
      <c r="ASK434" s="1831"/>
      <c r="ASL434" s="1831"/>
      <c r="ASM434" s="1831"/>
      <c r="ASN434" s="1831"/>
      <c r="ASO434" s="1831"/>
      <c r="ASP434" s="1831"/>
      <c r="ASQ434" s="1831"/>
      <c r="ASR434" s="1831"/>
      <c r="ASS434" s="1831"/>
      <c r="AST434" s="1831"/>
      <c r="ASU434" s="1831"/>
      <c r="ASV434" s="1831"/>
      <c r="ASW434" s="1831"/>
      <c r="ASX434" s="1831"/>
      <c r="ASY434" s="1831"/>
      <c r="ASZ434" s="1831"/>
      <c r="ATA434" s="1831"/>
      <c r="ATB434" s="1831"/>
      <c r="ATC434" s="1831"/>
      <c r="ATD434" s="1831"/>
      <c r="ATE434" s="1831"/>
      <c r="ATF434" s="1831"/>
      <c r="ATG434" s="1831"/>
      <c r="ATH434" s="1831"/>
      <c r="ATI434" s="1831"/>
      <c r="ATJ434" s="1831"/>
      <c r="ATK434" s="1831"/>
      <c r="ATL434" s="1831"/>
      <c r="ATM434" s="1831"/>
      <c r="ATN434" s="1831"/>
      <c r="ATO434" s="1831"/>
      <c r="ATP434" s="1831"/>
      <c r="ATQ434" s="1831"/>
      <c r="ATR434" s="1831"/>
      <c r="ATS434" s="1831"/>
      <c r="ATT434" s="1831"/>
      <c r="ATU434" s="1831"/>
      <c r="ATV434" s="1831"/>
      <c r="ATW434" s="1831"/>
      <c r="ATX434" s="1831"/>
      <c r="ATY434" s="1831"/>
      <c r="ATZ434" s="1831"/>
      <c r="AUA434" s="1831"/>
      <c r="AUB434" s="1831"/>
      <c r="AUC434" s="1831"/>
      <c r="AUD434" s="1831"/>
      <c r="AUE434" s="1831"/>
      <c r="AUF434" s="1831"/>
      <c r="AUG434" s="1831"/>
      <c r="AUH434" s="1831"/>
      <c r="AUI434" s="1831"/>
      <c r="AUJ434" s="1831"/>
      <c r="AUK434" s="1831"/>
      <c r="AUL434" s="1831"/>
      <c r="AUM434" s="1831"/>
      <c r="AUN434" s="1831"/>
      <c r="AUO434" s="1831"/>
      <c r="AUP434" s="1831"/>
      <c r="AUQ434" s="1831"/>
      <c r="AUR434" s="1831"/>
      <c r="AUS434" s="1831"/>
      <c r="AUT434" s="1831"/>
      <c r="AUU434" s="1831"/>
      <c r="AUV434" s="1831"/>
      <c r="AUW434" s="1831"/>
      <c r="AUX434" s="1831"/>
      <c r="AUY434" s="1831"/>
      <c r="AUZ434" s="1831"/>
      <c r="AVA434" s="1831"/>
      <c r="AVB434" s="1831"/>
      <c r="AVC434" s="1831"/>
      <c r="AVD434" s="1831"/>
      <c r="AVE434" s="1831"/>
      <c r="AVF434" s="1831"/>
      <c r="AVG434" s="1831"/>
      <c r="AVH434" s="1831"/>
      <c r="AVI434" s="1831"/>
      <c r="AVJ434" s="1831"/>
      <c r="AVK434" s="1831"/>
      <c r="AVL434" s="1831"/>
      <c r="AVM434" s="1831"/>
      <c r="AVN434" s="1831"/>
      <c r="AVO434" s="1831"/>
      <c r="AVP434" s="1831"/>
      <c r="AVQ434" s="1831"/>
      <c r="AVR434" s="1831"/>
      <c r="AVS434" s="1831"/>
      <c r="AVT434" s="1831"/>
      <c r="AVU434" s="1831"/>
      <c r="AVV434" s="1831"/>
      <c r="AVW434" s="1831"/>
      <c r="AVX434" s="1831"/>
      <c r="AVY434" s="1831"/>
      <c r="AVZ434" s="1831"/>
      <c r="AWA434" s="1831"/>
      <c r="AWB434" s="1831"/>
      <c r="AWC434" s="1831"/>
      <c r="AWD434" s="1831"/>
      <c r="AWE434" s="1831"/>
      <c r="AWF434" s="1831"/>
      <c r="AWG434" s="1831"/>
      <c r="AWH434" s="1831"/>
      <c r="AWI434" s="1831"/>
      <c r="AWJ434" s="1831"/>
      <c r="AWK434" s="1831"/>
      <c r="AWL434" s="1831"/>
      <c r="AWM434" s="1831"/>
      <c r="AWN434" s="1831"/>
      <c r="AWO434" s="1831"/>
      <c r="AWP434" s="1831"/>
      <c r="AWQ434" s="1831"/>
      <c r="AWR434" s="1831"/>
      <c r="AWS434" s="1831"/>
      <c r="AWT434" s="1831"/>
      <c r="AWU434" s="1831"/>
      <c r="AWV434" s="1831"/>
      <c r="AWW434" s="1831"/>
      <c r="AWX434" s="1831"/>
      <c r="AWY434" s="1831"/>
      <c r="AWZ434" s="1831"/>
      <c r="AXA434" s="1831"/>
      <c r="AXB434" s="1831"/>
      <c r="AXC434" s="1831"/>
      <c r="AXD434" s="1831"/>
      <c r="AXE434" s="1831"/>
      <c r="AXF434" s="1831"/>
      <c r="AXG434" s="1831"/>
      <c r="AXH434" s="1831"/>
      <c r="AXI434" s="1831"/>
      <c r="AXJ434" s="1831"/>
      <c r="AXK434" s="1831"/>
      <c r="AXL434" s="1831"/>
      <c r="AXM434" s="1831"/>
      <c r="AXN434" s="1831"/>
      <c r="AXO434" s="1831"/>
      <c r="AXP434" s="1831"/>
      <c r="AXQ434" s="1831"/>
      <c r="AXR434" s="1831"/>
      <c r="AXS434" s="1831"/>
      <c r="AXT434" s="1831"/>
      <c r="AXU434" s="1831"/>
      <c r="AXV434" s="1831"/>
      <c r="AXW434" s="1831"/>
      <c r="AXX434" s="1831"/>
      <c r="AXY434" s="1831"/>
      <c r="AXZ434" s="1831"/>
      <c r="AYA434" s="1831"/>
      <c r="AYB434" s="1831"/>
      <c r="AYC434" s="1831"/>
      <c r="AYD434" s="1831"/>
      <c r="AYE434" s="1831"/>
      <c r="AYF434" s="1831"/>
      <c r="AYG434" s="1831"/>
      <c r="AYH434" s="1831"/>
      <c r="AYI434" s="1831"/>
      <c r="AYJ434" s="1831"/>
      <c r="AYK434" s="1831"/>
      <c r="AYL434" s="1831"/>
      <c r="AYM434" s="1831"/>
      <c r="AYN434" s="1831"/>
      <c r="AYO434" s="1831"/>
      <c r="AYP434" s="1831"/>
      <c r="AYQ434" s="1831"/>
      <c r="AYR434" s="1831"/>
      <c r="AYS434" s="1831"/>
      <c r="AYT434" s="1831"/>
      <c r="AYU434" s="1831"/>
      <c r="AYV434" s="1831"/>
      <c r="AYW434" s="1831"/>
      <c r="AYX434" s="1831"/>
      <c r="AYY434" s="1831"/>
      <c r="AYZ434" s="1831"/>
      <c r="AZA434" s="1831"/>
      <c r="AZB434" s="1831"/>
      <c r="AZC434" s="1831"/>
      <c r="AZD434" s="1831"/>
      <c r="AZE434" s="1831"/>
      <c r="AZF434" s="1831"/>
      <c r="AZG434" s="1831"/>
      <c r="AZH434" s="1831"/>
      <c r="AZI434" s="1831"/>
      <c r="AZJ434" s="1831"/>
      <c r="AZK434" s="1831"/>
      <c r="AZL434" s="1831"/>
      <c r="AZM434" s="1831"/>
      <c r="AZN434" s="1831"/>
      <c r="AZO434" s="1831"/>
      <c r="AZP434" s="1831"/>
      <c r="AZQ434" s="1831"/>
      <c r="AZR434" s="1831"/>
      <c r="AZS434" s="1831"/>
      <c r="AZT434" s="1831"/>
      <c r="AZU434" s="1831"/>
      <c r="AZV434" s="1831"/>
      <c r="AZW434" s="1831"/>
      <c r="AZX434" s="1831"/>
      <c r="AZY434" s="1831"/>
      <c r="AZZ434" s="1831"/>
      <c r="BAA434" s="1831"/>
      <c r="BAB434" s="1831"/>
      <c r="BAC434" s="1831"/>
      <c r="BAD434" s="1831"/>
      <c r="BAE434" s="1831"/>
      <c r="BAF434" s="1831"/>
      <c r="BAG434" s="1831"/>
      <c r="BAH434" s="1831"/>
      <c r="BAI434" s="1831"/>
      <c r="BAJ434" s="1831"/>
      <c r="BAK434" s="1831"/>
      <c r="BAL434" s="1831"/>
      <c r="BAM434" s="1831"/>
      <c r="BAN434" s="1831"/>
      <c r="BAO434" s="1831"/>
      <c r="BAP434" s="1831"/>
      <c r="BAQ434" s="1831"/>
      <c r="BAR434" s="1831"/>
      <c r="BAS434" s="1831"/>
      <c r="BAT434" s="1831"/>
      <c r="BAU434" s="1831"/>
      <c r="BAV434" s="1831"/>
      <c r="BAW434" s="1831"/>
      <c r="BAX434" s="1831"/>
      <c r="BAY434" s="1831"/>
      <c r="BAZ434" s="1831"/>
      <c r="BBA434" s="1831"/>
      <c r="BBB434" s="1831"/>
      <c r="BBC434" s="1831"/>
      <c r="BBD434" s="1831"/>
      <c r="BBE434" s="1831"/>
      <c r="BBF434" s="1831"/>
      <c r="BBG434" s="1831"/>
      <c r="BBH434" s="1831"/>
      <c r="BBI434" s="1831"/>
      <c r="BBJ434" s="1831"/>
      <c r="BBK434" s="1831"/>
      <c r="BBL434" s="1831"/>
      <c r="BBM434" s="1831"/>
      <c r="BBN434" s="1831"/>
      <c r="BBO434" s="1831"/>
      <c r="BBP434" s="1831"/>
      <c r="BBQ434" s="1831"/>
      <c r="BBR434" s="1831"/>
      <c r="BBS434" s="1831"/>
      <c r="BBT434" s="1831"/>
      <c r="BBU434" s="1831"/>
      <c r="BBV434" s="1831"/>
      <c r="BBW434" s="1831"/>
      <c r="BBX434" s="1831"/>
      <c r="BBY434" s="1831"/>
      <c r="BBZ434" s="1831"/>
      <c r="BCA434" s="1831"/>
      <c r="BCB434" s="1831"/>
      <c r="BCC434" s="1831"/>
      <c r="BCD434" s="1831"/>
      <c r="BCE434" s="1831"/>
      <c r="BCF434" s="1831"/>
      <c r="BCG434" s="1831"/>
      <c r="BCH434" s="1831"/>
      <c r="BCI434" s="1831"/>
      <c r="BCJ434" s="1831"/>
      <c r="BCK434" s="1831"/>
      <c r="BCL434" s="1831"/>
      <c r="BCM434" s="1831"/>
      <c r="BCN434" s="1831"/>
      <c r="BCO434" s="1831"/>
      <c r="BCP434" s="1831"/>
      <c r="BCQ434" s="1831"/>
      <c r="BCR434" s="1831"/>
      <c r="BCS434" s="1831"/>
      <c r="BCT434" s="1831"/>
      <c r="BCU434" s="1831"/>
      <c r="BCV434" s="1831"/>
      <c r="BCW434" s="1831"/>
      <c r="BCX434" s="1831"/>
      <c r="BCY434" s="1831"/>
      <c r="BCZ434" s="1831"/>
      <c r="BDA434" s="1831"/>
      <c r="BDB434" s="1831"/>
      <c r="BDC434" s="1831"/>
      <c r="BDD434" s="1831"/>
      <c r="BDE434" s="1831"/>
      <c r="BDF434" s="1831"/>
      <c r="BDG434" s="1831"/>
      <c r="BDH434" s="1831"/>
      <c r="BDI434" s="1831"/>
      <c r="BDJ434" s="1831"/>
      <c r="BDK434" s="1831"/>
      <c r="BDL434" s="1831"/>
      <c r="BDM434" s="1831"/>
      <c r="BDN434" s="1831"/>
      <c r="BDO434" s="1831"/>
      <c r="BDP434" s="1831"/>
      <c r="BDQ434" s="1831"/>
      <c r="BDR434" s="1831"/>
      <c r="BDS434" s="1831"/>
      <c r="BDT434" s="1831"/>
      <c r="BDU434" s="1831"/>
      <c r="BDV434" s="1831"/>
      <c r="BDW434" s="1831"/>
      <c r="BDX434" s="1831"/>
      <c r="BDY434" s="1831"/>
      <c r="BDZ434" s="1831"/>
      <c r="BEA434" s="1831"/>
      <c r="BEB434" s="1831"/>
      <c r="BEC434" s="1831"/>
      <c r="BED434" s="1831"/>
      <c r="BEE434" s="1831"/>
      <c r="BEF434" s="1831"/>
      <c r="BEG434" s="1831"/>
      <c r="BEH434" s="1831"/>
      <c r="BEI434" s="1831"/>
      <c r="BEJ434" s="1831"/>
      <c r="BEK434" s="1831"/>
      <c r="BEL434" s="1831"/>
      <c r="BEM434" s="1831"/>
      <c r="BEN434" s="1831"/>
      <c r="BEO434" s="1831"/>
      <c r="BEP434" s="1831"/>
      <c r="BEQ434" s="1831"/>
      <c r="BER434" s="1831"/>
      <c r="BES434" s="1831"/>
      <c r="BET434" s="1831"/>
      <c r="BEU434" s="1831"/>
      <c r="BEV434" s="1831"/>
      <c r="BEW434" s="1831"/>
      <c r="BEX434" s="1831"/>
      <c r="BEY434" s="1831"/>
      <c r="BEZ434" s="1831"/>
      <c r="BFA434" s="1831"/>
      <c r="BFB434" s="1831"/>
      <c r="BFC434" s="1831"/>
      <c r="BFD434" s="1831"/>
      <c r="BFE434" s="1831"/>
      <c r="BFF434" s="1831"/>
      <c r="BFG434" s="1831"/>
      <c r="BFH434" s="1831"/>
      <c r="BFI434" s="1831"/>
      <c r="BFJ434" s="1831"/>
      <c r="BFK434" s="1831"/>
      <c r="BFL434" s="1831"/>
      <c r="BFM434" s="1831"/>
      <c r="BFN434" s="1831"/>
      <c r="BFO434" s="1831"/>
      <c r="BFP434" s="1831"/>
      <c r="BFQ434" s="1831"/>
      <c r="BFR434" s="1831"/>
      <c r="BFS434" s="1831"/>
      <c r="BFT434" s="1831"/>
      <c r="BFU434" s="1831"/>
      <c r="BFV434" s="1831"/>
      <c r="BFW434" s="1831"/>
      <c r="BFX434" s="1831"/>
      <c r="BFY434" s="1831"/>
      <c r="BFZ434" s="1831"/>
      <c r="BGA434" s="1831"/>
      <c r="BGB434" s="1831"/>
      <c r="BGC434" s="1831"/>
      <c r="BGD434" s="1831"/>
      <c r="BGE434" s="1831"/>
      <c r="BGF434" s="1831"/>
      <c r="BGG434" s="1831"/>
      <c r="BGH434" s="1831"/>
      <c r="BGI434" s="1831"/>
      <c r="BGJ434" s="1831"/>
      <c r="BGK434" s="1831"/>
      <c r="BGL434" s="1831"/>
      <c r="BGM434" s="1831"/>
      <c r="BGN434" s="1831"/>
      <c r="BGO434" s="1831"/>
      <c r="BGP434" s="1831"/>
      <c r="BGQ434" s="1831"/>
      <c r="BGR434" s="1831"/>
      <c r="BGS434" s="1831"/>
      <c r="BGT434" s="1831"/>
      <c r="BGU434" s="1831"/>
      <c r="BGV434" s="1831"/>
      <c r="BGW434" s="1831"/>
      <c r="BGX434" s="1831"/>
      <c r="BGY434" s="1831"/>
      <c r="BGZ434" s="1831"/>
      <c r="BHA434" s="1831"/>
      <c r="BHB434" s="1831"/>
      <c r="BHC434" s="1831"/>
      <c r="BHD434" s="1831"/>
      <c r="BHE434" s="1831"/>
      <c r="BHF434" s="1831"/>
      <c r="BHG434" s="1831"/>
      <c r="BHH434" s="1831"/>
      <c r="BHI434" s="1831"/>
      <c r="BHJ434" s="1831"/>
      <c r="BHK434" s="1831"/>
      <c r="BHL434" s="1831"/>
      <c r="BHM434" s="1831"/>
      <c r="BHN434" s="1831"/>
      <c r="BHO434" s="1831"/>
      <c r="BHP434" s="1831"/>
      <c r="BHQ434" s="1831"/>
      <c r="BHR434" s="1831"/>
      <c r="BHS434" s="1831"/>
      <c r="BHT434" s="1831"/>
      <c r="BHU434" s="1831"/>
      <c r="BHV434" s="1831"/>
      <c r="BHW434" s="1831"/>
      <c r="BHX434" s="1831"/>
      <c r="BHY434" s="1831"/>
      <c r="BHZ434" s="1831"/>
      <c r="BIA434" s="1831"/>
      <c r="BIB434" s="1831"/>
      <c r="BIC434" s="1831"/>
      <c r="BID434" s="1831"/>
      <c r="BIE434" s="1831"/>
      <c r="BIF434" s="1831"/>
      <c r="BIG434" s="1831"/>
      <c r="BIH434" s="1831"/>
      <c r="BII434" s="1831"/>
      <c r="BIJ434" s="1831"/>
      <c r="BIK434" s="1831"/>
      <c r="BIL434" s="1831"/>
      <c r="BIM434" s="1831"/>
      <c r="BIN434" s="1831"/>
      <c r="BIO434" s="1831"/>
      <c r="BIP434" s="1831"/>
      <c r="BIQ434" s="1831"/>
      <c r="BIR434" s="1831"/>
      <c r="BIS434" s="1831"/>
      <c r="BIT434" s="1831"/>
      <c r="BIU434" s="1831"/>
      <c r="BIV434" s="1831"/>
      <c r="BIW434" s="1831"/>
      <c r="BIX434" s="1831"/>
      <c r="BIY434" s="1831"/>
      <c r="BIZ434" s="1831"/>
      <c r="BJA434" s="1831"/>
      <c r="BJB434" s="1831"/>
      <c r="BJC434" s="1831"/>
      <c r="BJD434" s="1831"/>
      <c r="BJE434" s="1831"/>
      <c r="BJF434" s="1831"/>
      <c r="BJG434" s="1831"/>
      <c r="BJH434" s="1831"/>
      <c r="BJI434" s="1831"/>
      <c r="BJJ434" s="1831"/>
      <c r="BJK434" s="1831"/>
      <c r="BJL434" s="1831"/>
      <c r="BJM434" s="1831"/>
      <c r="BJN434" s="1831"/>
      <c r="BJO434" s="1831"/>
      <c r="BJP434" s="1831"/>
      <c r="BJQ434" s="1831"/>
      <c r="BJR434" s="1831"/>
      <c r="BJS434" s="1831"/>
      <c r="BJT434" s="1831"/>
      <c r="BJU434" s="1831"/>
      <c r="BJV434" s="1831"/>
      <c r="BJW434" s="1831"/>
      <c r="BJX434" s="1831"/>
      <c r="BJY434" s="1831"/>
      <c r="BJZ434" s="1831"/>
      <c r="BKA434" s="1831"/>
      <c r="BKB434" s="1831"/>
      <c r="BKC434" s="1831"/>
      <c r="BKD434" s="1831"/>
      <c r="BKE434" s="1831"/>
      <c r="BKF434" s="1831"/>
      <c r="BKG434" s="1831"/>
      <c r="BKH434" s="1831"/>
      <c r="BKI434" s="1831"/>
      <c r="BKJ434" s="1831"/>
      <c r="BKK434" s="1831"/>
      <c r="BKL434" s="1831"/>
      <c r="BKM434" s="1831"/>
      <c r="BKN434" s="1831"/>
      <c r="BKO434" s="1831"/>
      <c r="BKP434" s="1831"/>
      <c r="BKQ434" s="1831"/>
      <c r="BKR434" s="1831"/>
      <c r="BKS434" s="1831"/>
      <c r="BKT434" s="1831"/>
      <c r="BKU434" s="1831"/>
      <c r="BKV434" s="1831"/>
      <c r="BKW434" s="1831"/>
      <c r="BKX434" s="1831"/>
      <c r="BKY434" s="1831"/>
      <c r="BKZ434" s="1831"/>
      <c r="BLA434" s="1831"/>
      <c r="BLB434" s="1831"/>
      <c r="BLC434" s="1831"/>
      <c r="BLD434" s="1831"/>
      <c r="BLE434" s="1831"/>
      <c r="BLF434" s="1831"/>
      <c r="BLG434" s="1831"/>
      <c r="BLH434" s="1831"/>
      <c r="BLI434" s="1831"/>
      <c r="BLJ434" s="1831"/>
      <c r="BLK434" s="1831"/>
      <c r="BLL434" s="1831"/>
      <c r="BLM434" s="1831"/>
      <c r="BLN434" s="1831"/>
      <c r="BLO434" s="1831"/>
      <c r="BLP434" s="1831"/>
      <c r="BLQ434" s="1831"/>
      <c r="BLR434" s="1831"/>
      <c r="BLS434" s="1831"/>
      <c r="BLT434" s="1831"/>
      <c r="BLU434" s="1831"/>
      <c r="BLV434" s="1831"/>
      <c r="BLW434" s="1831"/>
      <c r="BLX434" s="1831"/>
      <c r="BLY434" s="1831"/>
      <c r="BLZ434" s="1831"/>
      <c r="BMA434" s="1831"/>
      <c r="BMB434" s="1831"/>
      <c r="BMC434" s="1831"/>
      <c r="BMD434" s="1831"/>
      <c r="BME434" s="1831"/>
      <c r="BMF434" s="1831"/>
      <c r="BMG434" s="1831"/>
      <c r="BMH434" s="1831"/>
      <c r="BMI434" s="1831"/>
      <c r="BMJ434" s="1831"/>
      <c r="BMK434" s="1831"/>
      <c r="BML434" s="1831"/>
      <c r="BMM434" s="1831"/>
      <c r="BMN434" s="1831"/>
      <c r="BMO434" s="1831"/>
      <c r="BMP434" s="1831"/>
      <c r="BMQ434" s="1831"/>
      <c r="BMR434" s="1831"/>
      <c r="BMS434" s="1831"/>
      <c r="BMT434" s="1831"/>
      <c r="BMU434" s="1831"/>
      <c r="BMV434" s="1831"/>
      <c r="BMW434" s="1831"/>
      <c r="BMX434" s="1831"/>
      <c r="BMY434" s="1831"/>
      <c r="BMZ434" s="1831"/>
      <c r="BNA434" s="1831"/>
      <c r="BNB434" s="1831"/>
      <c r="BNC434" s="1831"/>
      <c r="BND434" s="1831"/>
      <c r="BNE434" s="1831"/>
      <c r="BNF434" s="1831"/>
      <c r="BNG434" s="1831"/>
      <c r="BNH434" s="1831"/>
      <c r="BNI434" s="1831"/>
      <c r="BNJ434" s="1831"/>
      <c r="BNK434" s="1831"/>
      <c r="BNL434" s="1831"/>
      <c r="BNM434" s="1831"/>
      <c r="BNN434" s="1831"/>
      <c r="BNO434" s="1831"/>
      <c r="BNP434" s="1831"/>
      <c r="BNQ434" s="1831"/>
      <c r="BNR434" s="1831"/>
      <c r="BNS434" s="1831"/>
      <c r="BNT434" s="1831"/>
      <c r="BNU434" s="1831"/>
      <c r="BNV434" s="1831"/>
      <c r="BNW434" s="1831"/>
      <c r="BNX434" s="1831"/>
      <c r="BNY434" s="1831"/>
      <c r="BNZ434" s="1831"/>
      <c r="BOA434" s="1831"/>
      <c r="BOB434" s="1831"/>
      <c r="BOC434" s="1831"/>
      <c r="BOD434" s="1831"/>
      <c r="BOE434" s="1831"/>
      <c r="BOF434" s="1831"/>
      <c r="BOG434" s="1831"/>
      <c r="BOH434" s="1831"/>
      <c r="BOI434" s="1831"/>
      <c r="BOJ434" s="1831"/>
      <c r="BOK434" s="1831"/>
      <c r="BOL434" s="1831"/>
      <c r="BOM434" s="1831"/>
      <c r="BON434" s="1831"/>
      <c r="BOO434" s="1831"/>
      <c r="BOP434" s="1831"/>
      <c r="BOQ434" s="1831"/>
      <c r="BOR434" s="1831"/>
      <c r="BOS434" s="1831"/>
      <c r="BOT434" s="1831"/>
      <c r="BOU434" s="1831"/>
      <c r="BOV434" s="1831"/>
      <c r="BOW434" s="1831"/>
      <c r="BOX434" s="1831"/>
      <c r="BOY434" s="1831"/>
      <c r="BOZ434" s="1831"/>
      <c r="BPA434" s="1831"/>
      <c r="BPB434" s="1831"/>
      <c r="BPC434" s="1831"/>
      <c r="BPD434" s="1831"/>
      <c r="BPE434" s="1831"/>
      <c r="BPF434" s="1831"/>
      <c r="BPG434" s="1831"/>
      <c r="BPH434" s="1831"/>
      <c r="BPI434" s="1831"/>
      <c r="BPJ434" s="1831"/>
      <c r="BPK434" s="1831"/>
      <c r="BPL434" s="1831"/>
      <c r="BPM434" s="1831"/>
      <c r="BPN434" s="1831"/>
      <c r="BPO434" s="1831"/>
      <c r="BPP434" s="1831"/>
      <c r="BPQ434" s="1831"/>
      <c r="BPR434" s="1831"/>
      <c r="BPS434" s="1831"/>
      <c r="BPT434" s="1831"/>
      <c r="BPU434" s="1831"/>
      <c r="BPV434" s="1831"/>
      <c r="BPW434" s="1831"/>
      <c r="BPX434" s="1831"/>
      <c r="BPY434" s="1831"/>
      <c r="BPZ434" s="1831"/>
      <c r="BQA434" s="1831"/>
      <c r="BQB434" s="1831"/>
      <c r="BQC434" s="1831"/>
      <c r="BQD434" s="1831"/>
      <c r="BQE434" s="1831"/>
      <c r="BQF434" s="1831"/>
      <c r="BQG434" s="1831"/>
      <c r="BQH434" s="1831"/>
      <c r="BQI434" s="1831"/>
      <c r="BQJ434" s="1831"/>
      <c r="BQK434" s="1831"/>
      <c r="BQL434" s="1831"/>
      <c r="BQM434" s="1831"/>
      <c r="BQN434" s="1831"/>
      <c r="BQO434" s="1831"/>
      <c r="BQP434" s="1831"/>
      <c r="BQQ434" s="1831"/>
      <c r="BQR434" s="1831"/>
      <c r="BQS434" s="1831"/>
      <c r="BQT434" s="1831"/>
      <c r="BQU434" s="1831"/>
      <c r="BQV434" s="1831"/>
      <c r="BQW434" s="1831"/>
      <c r="BQX434" s="1831"/>
      <c r="BQY434" s="1831"/>
      <c r="BQZ434" s="1831"/>
      <c r="BRA434" s="1831"/>
      <c r="BRB434" s="1831"/>
      <c r="BRC434" s="1831"/>
      <c r="BRD434" s="1831"/>
      <c r="BRE434" s="1831"/>
      <c r="BRF434" s="1831"/>
      <c r="BRG434" s="1831"/>
      <c r="BRH434" s="1831"/>
      <c r="BRI434" s="1831"/>
      <c r="BRJ434" s="1831"/>
      <c r="BRK434" s="1831"/>
      <c r="BRL434" s="1831"/>
      <c r="BRM434" s="1831"/>
      <c r="BRN434" s="1831"/>
      <c r="BRO434" s="1831"/>
      <c r="BRP434" s="1831"/>
      <c r="BRQ434" s="1831"/>
      <c r="BRR434" s="1831"/>
      <c r="BRS434" s="1831"/>
      <c r="BRT434" s="1831"/>
      <c r="BRU434" s="1831"/>
      <c r="BRV434" s="1831"/>
      <c r="BRW434" s="1831"/>
      <c r="BRX434" s="1831"/>
      <c r="BRY434" s="1831"/>
      <c r="BRZ434" s="1831"/>
      <c r="BSA434" s="1831"/>
      <c r="BSB434" s="1831"/>
      <c r="BSC434" s="1831"/>
      <c r="BSD434" s="1831"/>
      <c r="BSE434" s="1831"/>
      <c r="BSF434" s="1831"/>
      <c r="BSG434" s="1831"/>
      <c r="BSH434" s="1831"/>
      <c r="BSI434" s="1831"/>
      <c r="BSJ434" s="1831"/>
      <c r="BSK434" s="1831"/>
      <c r="BSL434" s="1831"/>
      <c r="BSM434" s="1831"/>
      <c r="BSN434" s="1831"/>
      <c r="BSO434" s="1831"/>
      <c r="BSP434" s="1831"/>
      <c r="BSQ434" s="1831"/>
      <c r="BSR434" s="1831"/>
      <c r="BSS434" s="1831"/>
      <c r="BST434" s="1831"/>
      <c r="BSU434" s="1831"/>
      <c r="BSV434" s="1831"/>
      <c r="BSW434" s="1831"/>
      <c r="BSX434" s="1831"/>
      <c r="BSY434" s="1831"/>
      <c r="BSZ434" s="1831"/>
      <c r="BTA434" s="1831"/>
      <c r="BTB434" s="1831"/>
      <c r="BTC434" s="1831"/>
      <c r="BTD434" s="1831"/>
      <c r="BTE434" s="1831"/>
      <c r="BTF434" s="1831"/>
      <c r="BTG434" s="1831"/>
      <c r="BTH434" s="1831"/>
      <c r="BTI434" s="1831"/>
      <c r="BTJ434" s="1831"/>
      <c r="BTK434" s="1831"/>
      <c r="BTL434" s="1831"/>
      <c r="BTM434" s="1831"/>
      <c r="BTN434" s="1831"/>
      <c r="BTO434" s="1831"/>
      <c r="BTP434" s="1831"/>
      <c r="BTQ434" s="1831"/>
      <c r="BTR434" s="1831"/>
      <c r="BTS434" s="1831"/>
      <c r="BTT434" s="1831"/>
      <c r="BTU434" s="1831"/>
      <c r="BTV434" s="1831"/>
      <c r="BTW434" s="1831"/>
      <c r="BTX434" s="1831"/>
      <c r="BTY434" s="1831"/>
      <c r="BTZ434" s="1831"/>
      <c r="BUA434" s="1831"/>
      <c r="BUB434" s="1831"/>
      <c r="BUC434" s="1831"/>
      <c r="BUD434" s="1831"/>
      <c r="BUE434" s="1831"/>
      <c r="BUF434" s="1831"/>
      <c r="BUG434" s="1831"/>
      <c r="BUH434" s="1831"/>
      <c r="BUI434" s="1831"/>
      <c r="BUJ434" s="1831"/>
      <c r="BUK434" s="1831"/>
      <c r="BUL434" s="1831"/>
      <c r="BUM434" s="1831"/>
      <c r="BUN434" s="1831"/>
      <c r="BUO434" s="1831"/>
      <c r="BUP434" s="1831"/>
      <c r="BUQ434" s="1831"/>
      <c r="BUR434" s="1831"/>
      <c r="BUS434" s="1831"/>
      <c r="BUT434" s="1831"/>
      <c r="BUU434" s="1831"/>
      <c r="BUV434" s="1831"/>
      <c r="BUW434" s="1831"/>
      <c r="BUX434" s="1831"/>
      <c r="BUY434" s="1831"/>
      <c r="BUZ434" s="1831"/>
      <c r="BVA434" s="1831"/>
      <c r="BVB434" s="1831"/>
      <c r="BVC434" s="1831"/>
      <c r="BVD434" s="1831"/>
      <c r="BVE434" s="1831"/>
      <c r="BVF434" s="1831"/>
      <c r="BVG434" s="1831"/>
      <c r="BVH434" s="1831"/>
      <c r="BVI434" s="1831"/>
      <c r="BVJ434" s="1831"/>
      <c r="BVK434" s="1831"/>
      <c r="BVL434" s="1831"/>
      <c r="BVM434" s="1831"/>
      <c r="BVN434" s="1831"/>
      <c r="BVO434" s="1831"/>
      <c r="BVP434" s="1831"/>
      <c r="BVQ434" s="1831"/>
      <c r="BVR434" s="1831"/>
      <c r="BVS434" s="1831"/>
      <c r="BVT434" s="1831"/>
      <c r="BVU434" s="1831"/>
      <c r="BVV434" s="1831"/>
      <c r="BVW434" s="1831"/>
      <c r="BVX434" s="1831"/>
      <c r="BVY434" s="1831"/>
      <c r="BVZ434" s="1831"/>
      <c r="BWA434" s="1831"/>
      <c r="BWB434" s="1831"/>
      <c r="BWC434" s="1831"/>
      <c r="BWD434" s="1831"/>
      <c r="BWE434" s="1831"/>
      <c r="BWF434" s="1831"/>
      <c r="BWG434" s="1831"/>
      <c r="BWH434" s="1831"/>
      <c r="BWI434" s="1831"/>
      <c r="BWJ434" s="1831"/>
      <c r="BWK434" s="1831"/>
      <c r="BWL434" s="1831"/>
      <c r="BWM434" s="1831"/>
      <c r="BWN434" s="1831"/>
      <c r="BWO434" s="1831"/>
      <c r="BWP434" s="1831"/>
      <c r="BWQ434" s="1831"/>
      <c r="BWR434" s="1831"/>
      <c r="BWS434" s="1831"/>
      <c r="BWT434" s="1831"/>
      <c r="BWU434" s="1831"/>
      <c r="BWV434" s="1831"/>
      <c r="BWW434" s="1831"/>
      <c r="BWX434" s="1831"/>
      <c r="BWY434" s="1831"/>
      <c r="BWZ434" s="1831"/>
      <c r="BXA434" s="1831"/>
      <c r="BXB434" s="1831"/>
      <c r="BXC434" s="1831"/>
      <c r="BXD434" s="1831"/>
      <c r="BXE434" s="1831"/>
      <c r="BXF434" s="1831"/>
      <c r="BXG434" s="1831"/>
      <c r="BXH434" s="1831"/>
      <c r="BXI434" s="1831"/>
      <c r="BXJ434" s="1831"/>
      <c r="BXK434" s="1831"/>
      <c r="BXL434" s="1831"/>
      <c r="BXM434" s="1831"/>
      <c r="BXN434" s="1831"/>
      <c r="BXO434" s="1831"/>
      <c r="BXP434" s="1831"/>
      <c r="BXQ434" s="1831"/>
      <c r="BXR434" s="1831"/>
      <c r="BXS434" s="1831"/>
      <c r="BXT434" s="1831"/>
      <c r="BXU434" s="1831"/>
      <c r="BXV434" s="1831"/>
      <c r="BXW434" s="1831"/>
      <c r="BXX434" s="1831"/>
      <c r="BXY434" s="1831"/>
      <c r="BXZ434" s="1831"/>
      <c r="BYA434" s="1831"/>
      <c r="BYB434" s="1831"/>
      <c r="BYC434" s="1831"/>
      <c r="BYD434" s="1831"/>
      <c r="BYE434" s="1831"/>
      <c r="BYF434" s="1831"/>
      <c r="BYG434" s="1831"/>
      <c r="BYH434" s="1831"/>
      <c r="BYI434" s="1831"/>
      <c r="BYJ434" s="1831"/>
      <c r="BYK434" s="1831"/>
      <c r="BYL434" s="1831"/>
      <c r="BYM434" s="1831"/>
      <c r="BYN434" s="1831"/>
      <c r="BYO434" s="1831"/>
      <c r="BYP434" s="1831"/>
      <c r="BYQ434" s="1831"/>
      <c r="BYR434" s="1831"/>
      <c r="BYS434" s="1831"/>
      <c r="BYT434" s="1831"/>
      <c r="BYU434" s="1831"/>
      <c r="BYV434" s="1831"/>
      <c r="BYW434" s="1831"/>
      <c r="BYX434" s="1831"/>
      <c r="BYY434" s="1831"/>
      <c r="BYZ434" s="1831"/>
      <c r="BZA434" s="1831"/>
      <c r="BZB434" s="1831"/>
      <c r="BZC434" s="1831"/>
      <c r="BZD434" s="1831"/>
      <c r="BZE434" s="1831"/>
      <c r="BZF434" s="1831"/>
      <c r="BZG434" s="1831"/>
      <c r="BZH434" s="1831"/>
      <c r="BZI434" s="1831"/>
      <c r="BZJ434" s="1831"/>
      <c r="BZK434" s="1831"/>
      <c r="BZL434" s="1831"/>
      <c r="BZM434" s="1831"/>
      <c r="BZN434" s="1831"/>
      <c r="BZO434" s="1831"/>
      <c r="BZP434" s="1831"/>
      <c r="BZQ434" s="1831"/>
      <c r="BZR434" s="1831"/>
      <c r="BZS434" s="1831"/>
      <c r="BZT434" s="1831"/>
      <c r="BZU434" s="1831"/>
      <c r="BZV434" s="1831"/>
      <c r="BZW434" s="1831"/>
      <c r="BZX434" s="1831"/>
      <c r="BZY434" s="1831"/>
      <c r="BZZ434" s="1831"/>
      <c r="CAA434" s="1831"/>
      <c r="CAB434" s="1831"/>
      <c r="CAC434" s="1831"/>
      <c r="CAD434" s="1831"/>
      <c r="CAE434" s="1831"/>
      <c r="CAF434" s="1831"/>
      <c r="CAG434" s="1831"/>
      <c r="CAH434" s="1831"/>
      <c r="CAI434" s="1831"/>
      <c r="CAJ434" s="1831"/>
      <c r="CAK434" s="1831"/>
      <c r="CAL434" s="1831"/>
      <c r="CAM434" s="1831"/>
      <c r="CAN434" s="1831"/>
      <c r="CAO434" s="1831"/>
      <c r="CAP434" s="1831"/>
      <c r="CAQ434" s="1831"/>
      <c r="CAR434" s="1831"/>
      <c r="CAS434" s="1831"/>
      <c r="CAT434" s="1831"/>
      <c r="CAU434" s="1831"/>
      <c r="CAV434" s="1831"/>
      <c r="CAW434" s="1831"/>
      <c r="CAX434" s="1831"/>
      <c r="CAY434" s="1831"/>
      <c r="CAZ434" s="1831"/>
      <c r="CBA434" s="1831"/>
      <c r="CBB434" s="1831"/>
      <c r="CBC434" s="1831"/>
      <c r="CBD434" s="1831"/>
      <c r="CBE434" s="1831"/>
      <c r="CBF434" s="1831"/>
      <c r="CBG434" s="1831"/>
      <c r="CBH434" s="1831"/>
      <c r="CBI434" s="1831"/>
      <c r="CBJ434" s="1831"/>
      <c r="CBK434" s="1831"/>
      <c r="CBL434" s="1831"/>
      <c r="CBM434" s="1831"/>
      <c r="CBN434" s="1831"/>
      <c r="CBO434" s="1831"/>
      <c r="CBP434" s="1831"/>
      <c r="CBQ434" s="1831"/>
      <c r="CBR434" s="1831"/>
      <c r="CBS434" s="1831"/>
      <c r="CBT434" s="1831"/>
      <c r="CBU434" s="1831"/>
      <c r="CBV434" s="1831"/>
      <c r="CBW434" s="1831"/>
      <c r="CBX434" s="1831"/>
      <c r="CBY434" s="1831"/>
      <c r="CBZ434" s="1831"/>
      <c r="CCA434" s="1831"/>
      <c r="CCB434" s="1831"/>
      <c r="CCC434" s="1831"/>
      <c r="CCD434" s="1831"/>
      <c r="CCE434" s="1831"/>
      <c r="CCF434" s="1831"/>
      <c r="CCG434" s="1831"/>
      <c r="CCH434" s="1831"/>
      <c r="CCI434" s="1831"/>
      <c r="CCJ434" s="1831"/>
      <c r="CCK434" s="1831"/>
      <c r="CCL434" s="1831"/>
      <c r="CCM434" s="1831"/>
      <c r="CCN434" s="1831"/>
      <c r="CCO434" s="1831"/>
      <c r="CCP434" s="1831"/>
      <c r="CCQ434" s="1831"/>
      <c r="CCR434" s="1831"/>
      <c r="CCS434" s="1831"/>
      <c r="CCT434" s="1831"/>
      <c r="CCU434" s="1831"/>
      <c r="CCV434" s="1831"/>
      <c r="CCW434" s="1831"/>
      <c r="CCX434" s="1831"/>
      <c r="CCY434" s="1831"/>
      <c r="CCZ434" s="1831"/>
      <c r="CDA434" s="1831"/>
      <c r="CDB434" s="1831"/>
      <c r="CDC434" s="1831"/>
      <c r="CDD434" s="1831"/>
      <c r="CDE434" s="1831"/>
      <c r="CDF434" s="1831"/>
      <c r="CDG434" s="1831"/>
      <c r="CDH434" s="1831"/>
      <c r="CDI434" s="1831"/>
      <c r="CDJ434" s="1831"/>
      <c r="CDK434" s="1831"/>
      <c r="CDL434" s="1831"/>
      <c r="CDM434" s="1831"/>
      <c r="CDN434" s="1831"/>
      <c r="CDO434" s="1831"/>
      <c r="CDP434" s="1831"/>
      <c r="CDQ434" s="1831"/>
      <c r="CDR434" s="1831"/>
      <c r="CDS434" s="1831"/>
      <c r="CDT434" s="1831"/>
      <c r="CDU434" s="1831"/>
      <c r="CDV434" s="1831"/>
      <c r="CDW434" s="1831"/>
      <c r="CDX434" s="1831"/>
      <c r="CDY434" s="1831"/>
      <c r="CDZ434" s="1831"/>
      <c r="CEA434" s="1831"/>
      <c r="CEB434" s="1831"/>
      <c r="CEC434" s="1831"/>
      <c r="CED434" s="1831"/>
      <c r="CEE434" s="1831"/>
      <c r="CEF434" s="1831"/>
      <c r="CEG434" s="1831"/>
      <c r="CEH434" s="1831"/>
      <c r="CEI434" s="1831"/>
      <c r="CEJ434" s="1831"/>
      <c r="CEK434" s="1831"/>
      <c r="CEL434" s="1831"/>
      <c r="CEM434" s="1831"/>
      <c r="CEN434" s="1831"/>
      <c r="CEO434" s="1831"/>
      <c r="CEP434" s="1831"/>
      <c r="CEQ434" s="1831"/>
      <c r="CER434" s="1831"/>
      <c r="CES434" s="1831"/>
      <c r="CET434" s="1831"/>
      <c r="CEU434" s="1831"/>
      <c r="CEV434" s="1831"/>
      <c r="CEW434" s="1831"/>
      <c r="CEX434" s="1831"/>
      <c r="CEY434" s="1831"/>
      <c r="CEZ434" s="1831"/>
      <c r="CFA434" s="1831"/>
      <c r="CFB434" s="1831"/>
      <c r="CFC434" s="1831"/>
      <c r="CFD434" s="1831"/>
      <c r="CFE434" s="1831"/>
      <c r="CFF434" s="1831"/>
      <c r="CFG434" s="1831"/>
      <c r="CFH434" s="1831"/>
      <c r="CFI434" s="1831"/>
      <c r="CFJ434" s="1831"/>
      <c r="CFK434" s="1831"/>
      <c r="CFL434" s="1831"/>
      <c r="CFM434" s="1831"/>
      <c r="CFN434" s="1831"/>
      <c r="CFO434" s="1831"/>
      <c r="CFP434" s="1831"/>
      <c r="CFQ434" s="1831"/>
      <c r="CFR434" s="1831"/>
      <c r="CFS434" s="1831"/>
      <c r="CFT434" s="1831"/>
      <c r="CFU434" s="1831"/>
      <c r="CFV434" s="1831"/>
      <c r="CFW434" s="1831"/>
      <c r="CFX434" s="1831"/>
      <c r="CFY434" s="1831"/>
      <c r="CFZ434" s="1831"/>
      <c r="CGA434" s="1831"/>
      <c r="CGB434" s="1831"/>
      <c r="CGC434" s="1831"/>
      <c r="CGD434" s="1831"/>
      <c r="CGE434" s="1831"/>
      <c r="CGF434" s="1831"/>
      <c r="CGG434" s="1831"/>
      <c r="CGH434" s="1831"/>
      <c r="CGI434" s="1831"/>
      <c r="CGJ434" s="1831"/>
      <c r="CGK434" s="1831"/>
      <c r="CGL434" s="1831"/>
      <c r="CGM434" s="1831"/>
      <c r="CGN434" s="1831"/>
      <c r="CGO434" s="1831"/>
      <c r="CGP434" s="1831"/>
      <c r="CGQ434" s="1831"/>
      <c r="CGR434" s="1831"/>
      <c r="CGS434" s="1831"/>
      <c r="CGT434" s="1831"/>
      <c r="CGU434" s="1831"/>
      <c r="CGV434" s="1831"/>
      <c r="CGW434" s="1831"/>
      <c r="CGX434" s="1831"/>
      <c r="CGY434" s="1831"/>
      <c r="CGZ434" s="1831"/>
      <c r="CHA434" s="1831"/>
      <c r="CHB434" s="1831"/>
      <c r="CHC434" s="1831"/>
      <c r="CHD434" s="1831"/>
      <c r="CHE434" s="1831"/>
      <c r="CHF434" s="1831"/>
      <c r="CHG434" s="1831"/>
      <c r="CHH434" s="1831"/>
      <c r="CHI434" s="1831"/>
      <c r="CHJ434" s="1831"/>
      <c r="CHK434" s="1831"/>
      <c r="CHL434" s="1831"/>
      <c r="CHM434" s="1831"/>
      <c r="CHN434" s="1831"/>
      <c r="CHO434" s="1831"/>
      <c r="CHP434" s="1831"/>
      <c r="CHQ434" s="1831"/>
      <c r="CHR434" s="1831"/>
      <c r="CHS434" s="1831"/>
      <c r="CHT434" s="1831"/>
      <c r="CHU434" s="1831"/>
      <c r="CHV434" s="1831"/>
      <c r="CHW434" s="1831"/>
      <c r="CHX434" s="1831"/>
      <c r="CHY434" s="1831"/>
      <c r="CHZ434" s="1831"/>
      <c r="CIA434" s="1831"/>
      <c r="CIB434" s="1831"/>
      <c r="CIC434" s="1831"/>
      <c r="CID434" s="1831"/>
      <c r="CIE434" s="1831"/>
      <c r="CIF434" s="1831"/>
      <c r="CIG434" s="1831"/>
      <c r="CIH434" s="1831"/>
      <c r="CII434" s="1831"/>
      <c r="CIJ434" s="1831"/>
      <c r="CIK434" s="1831"/>
      <c r="CIL434" s="1831"/>
      <c r="CIM434" s="1831"/>
      <c r="CIN434" s="1831"/>
      <c r="CIO434" s="1831"/>
      <c r="CIP434" s="1831"/>
      <c r="CIQ434" s="1831"/>
      <c r="CIR434" s="1831"/>
      <c r="CIS434" s="1831"/>
      <c r="CIT434" s="1831"/>
      <c r="CIU434" s="1831"/>
      <c r="CIV434" s="1831"/>
      <c r="CIW434" s="1831"/>
      <c r="CIX434" s="1831"/>
      <c r="CIY434" s="1831"/>
      <c r="CIZ434" s="1831"/>
      <c r="CJA434" s="1831"/>
      <c r="CJB434" s="1831"/>
      <c r="CJC434" s="1831"/>
      <c r="CJD434" s="1831"/>
      <c r="CJE434" s="1831"/>
      <c r="CJF434" s="1831"/>
      <c r="CJG434" s="1831"/>
      <c r="CJH434" s="1831"/>
      <c r="CJI434" s="1831"/>
      <c r="CJJ434" s="1831"/>
      <c r="CJK434" s="1831"/>
      <c r="CJL434" s="1831"/>
      <c r="CJM434" s="1831"/>
      <c r="CJN434" s="1831"/>
      <c r="CJO434" s="1831"/>
      <c r="CJP434" s="1831"/>
      <c r="CJQ434" s="1831"/>
      <c r="CJR434" s="1831"/>
      <c r="CJS434" s="1831"/>
      <c r="CJT434" s="1831"/>
      <c r="CJU434" s="1831"/>
      <c r="CJV434" s="1831"/>
      <c r="CJW434" s="1831"/>
      <c r="CJX434" s="1831"/>
      <c r="CJY434" s="1831"/>
      <c r="CJZ434" s="1831"/>
      <c r="CKA434" s="1831"/>
      <c r="CKB434" s="1831"/>
      <c r="CKC434" s="1831"/>
      <c r="CKD434" s="1831"/>
      <c r="CKE434" s="1831"/>
      <c r="CKF434" s="1831"/>
      <c r="CKG434" s="1831"/>
      <c r="CKH434" s="1831"/>
      <c r="CKI434" s="1831"/>
      <c r="CKJ434" s="1831"/>
      <c r="CKK434" s="1831"/>
      <c r="CKL434" s="1831"/>
      <c r="CKM434" s="1831"/>
      <c r="CKN434" s="1831"/>
      <c r="CKO434" s="1831"/>
      <c r="CKP434" s="1831"/>
      <c r="CKQ434" s="1831"/>
      <c r="CKR434" s="1831"/>
      <c r="CKS434" s="1831"/>
      <c r="CKT434" s="1831"/>
      <c r="CKU434" s="1831"/>
      <c r="CKV434" s="1831"/>
      <c r="CKW434" s="1831"/>
      <c r="CKX434" s="1831"/>
      <c r="CKY434" s="1831"/>
      <c r="CKZ434" s="1831"/>
      <c r="CLA434" s="1831"/>
      <c r="CLB434" s="1831"/>
      <c r="CLC434" s="1831"/>
      <c r="CLD434" s="1831"/>
      <c r="CLE434" s="1831"/>
      <c r="CLF434" s="1831"/>
      <c r="CLG434" s="1831"/>
      <c r="CLH434" s="1831"/>
      <c r="CLI434" s="1831"/>
      <c r="CLJ434" s="1831"/>
      <c r="CLK434" s="1831"/>
      <c r="CLL434" s="1831"/>
      <c r="CLM434" s="1831"/>
      <c r="CLN434" s="1831"/>
      <c r="CLO434" s="1831"/>
      <c r="CLP434" s="1831"/>
      <c r="CLQ434" s="1831"/>
      <c r="CLR434" s="1831"/>
      <c r="CLS434" s="1831"/>
      <c r="CLT434" s="1831"/>
      <c r="CLU434" s="1831"/>
      <c r="CLV434" s="1831"/>
      <c r="CLW434" s="1831"/>
      <c r="CLX434" s="1831"/>
      <c r="CLY434" s="1831"/>
      <c r="CLZ434" s="1831"/>
      <c r="CMA434" s="1831"/>
      <c r="CMB434" s="1831"/>
      <c r="CMC434" s="1831"/>
      <c r="CMD434" s="1831"/>
      <c r="CME434" s="1831"/>
      <c r="CMF434" s="1831"/>
      <c r="CMG434" s="1831"/>
      <c r="CMH434" s="1831"/>
      <c r="CMI434" s="1831"/>
      <c r="CMJ434" s="1831"/>
      <c r="CMK434" s="1831"/>
      <c r="CML434" s="1831"/>
      <c r="CMM434" s="1831"/>
      <c r="CMN434" s="1831"/>
      <c r="CMO434" s="1831"/>
      <c r="CMP434" s="1831"/>
      <c r="CMQ434" s="1831"/>
      <c r="CMR434" s="1831"/>
      <c r="CMS434" s="1831"/>
      <c r="CMT434" s="1831"/>
      <c r="CMU434" s="1831"/>
      <c r="CMV434" s="1831"/>
      <c r="CMW434" s="1831"/>
      <c r="CMX434" s="1831"/>
      <c r="CMY434" s="1831"/>
      <c r="CMZ434" s="1831"/>
      <c r="CNA434" s="1831"/>
      <c r="CNB434" s="1831"/>
      <c r="CNC434" s="1831"/>
      <c r="CND434" s="1831"/>
      <c r="CNE434" s="1831"/>
      <c r="CNF434" s="1831"/>
      <c r="CNG434" s="1831"/>
      <c r="CNH434" s="1831"/>
      <c r="CNI434" s="1831"/>
      <c r="CNJ434" s="1831"/>
      <c r="CNK434" s="1831"/>
      <c r="CNL434" s="1831"/>
      <c r="CNM434" s="1831"/>
      <c r="CNN434" s="1831"/>
      <c r="CNO434" s="1831"/>
      <c r="CNP434" s="1831"/>
      <c r="CNQ434" s="1831"/>
      <c r="CNR434" s="1831"/>
      <c r="CNS434" s="1831"/>
      <c r="CNT434" s="1831"/>
      <c r="CNU434" s="1831"/>
      <c r="CNV434" s="1831"/>
      <c r="CNW434" s="1831"/>
      <c r="CNX434" s="1831"/>
      <c r="CNY434" s="1831"/>
      <c r="CNZ434" s="1831"/>
      <c r="COA434" s="1831"/>
      <c r="COB434" s="1831"/>
      <c r="COC434" s="1831"/>
      <c r="COD434" s="1831"/>
      <c r="COE434" s="1831"/>
      <c r="COF434" s="1831"/>
      <c r="COG434" s="1831"/>
      <c r="COH434" s="1831"/>
      <c r="COI434" s="1831"/>
      <c r="COJ434" s="1831"/>
      <c r="COK434" s="1831"/>
      <c r="COL434" s="1831"/>
      <c r="COM434" s="1831"/>
      <c r="CON434" s="1831"/>
      <c r="COO434" s="1831"/>
      <c r="COP434" s="1831"/>
      <c r="COQ434" s="1831"/>
      <c r="COR434" s="1831"/>
      <c r="COS434" s="1831"/>
      <c r="COT434" s="1831"/>
      <c r="COU434" s="1831"/>
      <c r="COV434" s="1831"/>
      <c r="COW434" s="1831"/>
      <c r="COX434" s="1831"/>
      <c r="COY434" s="1831"/>
      <c r="COZ434" s="1831"/>
      <c r="CPA434" s="1831"/>
      <c r="CPB434" s="1831"/>
      <c r="CPC434" s="1831"/>
      <c r="CPD434" s="1831"/>
      <c r="CPE434" s="1831"/>
      <c r="CPF434" s="1831"/>
      <c r="CPG434" s="1831"/>
      <c r="CPH434" s="1831"/>
      <c r="CPI434" s="1831"/>
      <c r="CPJ434" s="1831"/>
      <c r="CPK434" s="1831"/>
      <c r="CPL434" s="1831"/>
      <c r="CPM434" s="1831"/>
      <c r="CPN434" s="1831"/>
      <c r="CPO434" s="1831"/>
      <c r="CPP434" s="1831"/>
      <c r="CPQ434" s="1831"/>
      <c r="CPR434" s="1831"/>
      <c r="CPS434" s="1831"/>
      <c r="CPT434" s="1831"/>
      <c r="CPU434" s="1831"/>
      <c r="CPV434" s="1831"/>
      <c r="CPW434" s="1831"/>
      <c r="CPX434" s="1831"/>
      <c r="CPY434" s="1831"/>
      <c r="CPZ434" s="1831"/>
      <c r="CQA434" s="1831"/>
      <c r="CQB434" s="1831"/>
      <c r="CQC434" s="1831"/>
      <c r="CQD434" s="1831"/>
      <c r="CQE434" s="1831"/>
      <c r="CQF434" s="1831"/>
      <c r="CQG434" s="1831"/>
      <c r="CQH434" s="1831"/>
      <c r="CQI434" s="1831"/>
      <c r="CQJ434" s="1831"/>
      <c r="CQK434" s="1831"/>
      <c r="CQL434" s="1831"/>
      <c r="CQM434" s="1831"/>
      <c r="CQN434" s="1831"/>
      <c r="CQO434" s="1831"/>
      <c r="CQP434" s="1831"/>
      <c r="CQQ434" s="1831"/>
      <c r="CQR434" s="1831"/>
      <c r="CQS434" s="1831"/>
      <c r="CQT434" s="1831"/>
      <c r="CQU434" s="1831"/>
      <c r="CQV434" s="1831"/>
      <c r="CQW434" s="1831"/>
      <c r="CQX434" s="1831"/>
      <c r="CQY434" s="1831"/>
      <c r="CQZ434" s="1831"/>
      <c r="CRA434" s="1831"/>
      <c r="CRB434" s="1831"/>
      <c r="CRC434" s="1831"/>
      <c r="CRD434" s="1831"/>
      <c r="CRE434" s="1831"/>
      <c r="CRF434" s="1831"/>
      <c r="CRG434" s="1831"/>
      <c r="CRH434" s="1831"/>
      <c r="CRI434" s="1831"/>
      <c r="CRJ434" s="1831"/>
      <c r="CRK434" s="1831"/>
      <c r="CRL434" s="1831"/>
      <c r="CRM434" s="1831"/>
      <c r="CRN434" s="1831"/>
      <c r="CRO434" s="1831"/>
      <c r="CRP434" s="1831"/>
      <c r="CRQ434" s="1831"/>
      <c r="CRR434" s="1831"/>
      <c r="CRS434" s="1831"/>
      <c r="CRT434" s="1831"/>
      <c r="CRU434" s="1831"/>
      <c r="CRV434" s="1831"/>
      <c r="CRW434" s="1831"/>
      <c r="CRX434" s="1831"/>
      <c r="CRY434" s="1831"/>
      <c r="CRZ434" s="1831"/>
      <c r="CSA434" s="1831"/>
      <c r="CSB434" s="1831"/>
      <c r="CSC434" s="1831"/>
      <c r="CSD434" s="1831"/>
      <c r="CSE434" s="1831"/>
      <c r="CSF434" s="1831"/>
      <c r="CSG434" s="1831"/>
      <c r="CSH434" s="1831"/>
      <c r="CSI434" s="1831"/>
      <c r="CSJ434" s="1831"/>
      <c r="CSK434" s="1831"/>
      <c r="CSL434" s="1831"/>
      <c r="CSM434" s="1831"/>
      <c r="CSN434" s="1831"/>
      <c r="CSO434" s="1831"/>
      <c r="CSP434" s="1831"/>
      <c r="CSQ434" s="1831"/>
      <c r="CSR434" s="1831"/>
      <c r="CSS434" s="1831"/>
      <c r="CST434" s="1831"/>
      <c r="CSU434" s="1831"/>
      <c r="CSV434" s="1831"/>
      <c r="CSW434" s="1831"/>
      <c r="CSX434" s="1831"/>
      <c r="CSY434" s="1831"/>
      <c r="CSZ434" s="1831"/>
      <c r="CTA434" s="1831"/>
      <c r="CTB434" s="1831"/>
      <c r="CTC434" s="1831"/>
      <c r="CTD434" s="1831"/>
      <c r="CTE434" s="1831"/>
      <c r="CTF434" s="1831"/>
      <c r="CTG434" s="1831"/>
      <c r="CTH434" s="1831"/>
      <c r="CTI434" s="1831"/>
      <c r="CTJ434" s="1831"/>
      <c r="CTK434" s="1831"/>
      <c r="CTL434" s="1831"/>
      <c r="CTM434" s="1831"/>
      <c r="CTN434" s="1831"/>
      <c r="CTO434" s="1831"/>
      <c r="CTP434" s="1831"/>
      <c r="CTQ434" s="1831"/>
      <c r="CTR434" s="1831"/>
      <c r="CTS434" s="1831"/>
      <c r="CTT434" s="1831"/>
      <c r="CTU434" s="1831"/>
      <c r="CTV434" s="1831"/>
      <c r="CTW434" s="1831"/>
      <c r="CTX434" s="1831"/>
      <c r="CTY434" s="1831"/>
      <c r="CTZ434" s="1831"/>
      <c r="CUA434" s="1831"/>
      <c r="CUB434" s="1831"/>
      <c r="CUC434" s="1831"/>
      <c r="CUD434" s="1831"/>
      <c r="CUE434" s="1831"/>
      <c r="CUF434" s="1831"/>
      <c r="CUG434" s="1831"/>
      <c r="CUH434" s="1831"/>
      <c r="CUI434" s="1831"/>
      <c r="CUJ434" s="1831"/>
      <c r="CUK434" s="1831"/>
      <c r="CUL434" s="1831"/>
      <c r="CUM434" s="1831"/>
      <c r="CUN434" s="1831"/>
      <c r="CUO434" s="1831"/>
      <c r="CUP434" s="1831"/>
      <c r="CUQ434" s="1831"/>
      <c r="CUR434" s="1831"/>
      <c r="CUS434" s="1831"/>
      <c r="CUT434" s="1831"/>
      <c r="CUU434" s="1831"/>
      <c r="CUV434" s="1831"/>
      <c r="CUW434" s="1831"/>
      <c r="CUX434" s="1831"/>
      <c r="CUY434" s="1831"/>
      <c r="CUZ434" s="1831"/>
      <c r="CVA434" s="1831"/>
      <c r="CVB434" s="1831"/>
      <c r="CVC434" s="1831"/>
      <c r="CVD434" s="1831"/>
      <c r="CVE434" s="1831"/>
      <c r="CVF434" s="1831"/>
      <c r="CVG434" s="1831"/>
      <c r="CVH434" s="1831"/>
      <c r="CVI434" s="1831"/>
      <c r="CVJ434" s="1831"/>
      <c r="CVK434" s="1831"/>
      <c r="CVL434" s="1831"/>
      <c r="CVM434" s="1831"/>
      <c r="CVN434" s="1831"/>
      <c r="CVO434" s="1831"/>
      <c r="CVP434" s="1831"/>
      <c r="CVQ434" s="1831"/>
      <c r="CVR434" s="1831"/>
      <c r="CVS434" s="1831"/>
      <c r="CVT434" s="1831"/>
      <c r="CVU434" s="1831"/>
      <c r="CVV434" s="1831"/>
      <c r="CVW434" s="1831"/>
      <c r="CVX434" s="1831"/>
      <c r="CVY434" s="1831"/>
      <c r="CVZ434" s="1831"/>
      <c r="CWA434" s="1831"/>
      <c r="CWB434" s="1831"/>
      <c r="CWC434" s="1831"/>
      <c r="CWD434" s="1831"/>
      <c r="CWE434" s="1831"/>
      <c r="CWF434" s="1831"/>
      <c r="CWG434" s="1831"/>
      <c r="CWH434" s="1831"/>
      <c r="CWI434" s="1831"/>
      <c r="CWJ434" s="1831"/>
      <c r="CWK434" s="1831"/>
      <c r="CWL434" s="1831"/>
      <c r="CWM434" s="1831"/>
      <c r="CWN434" s="1831"/>
      <c r="CWO434" s="1831"/>
      <c r="CWP434" s="1831"/>
      <c r="CWQ434" s="1831"/>
      <c r="CWR434" s="1831"/>
      <c r="CWS434" s="1831"/>
      <c r="CWT434" s="1831"/>
      <c r="CWU434" s="1831"/>
      <c r="CWV434" s="1831"/>
      <c r="CWW434" s="1831"/>
      <c r="CWX434" s="1831"/>
      <c r="CWY434" s="1831"/>
      <c r="CWZ434" s="1831"/>
      <c r="CXA434" s="1831"/>
      <c r="CXB434" s="1831"/>
      <c r="CXC434" s="1831"/>
      <c r="CXD434" s="1831"/>
      <c r="CXE434" s="1831"/>
      <c r="CXF434" s="1831"/>
      <c r="CXG434" s="1831"/>
      <c r="CXH434" s="1831"/>
      <c r="CXI434" s="1831"/>
      <c r="CXJ434" s="1831"/>
      <c r="CXK434" s="1831"/>
      <c r="CXL434" s="1831"/>
      <c r="CXM434" s="1831"/>
      <c r="CXN434" s="1831"/>
      <c r="CXO434" s="1831"/>
      <c r="CXP434" s="1831"/>
      <c r="CXQ434" s="1831"/>
      <c r="CXR434" s="1831"/>
      <c r="CXS434" s="1831"/>
      <c r="CXT434" s="1831"/>
      <c r="CXU434" s="1831"/>
      <c r="CXV434" s="1831"/>
      <c r="CXW434" s="1831"/>
      <c r="CXX434" s="1831"/>
      <c r="CXY434" s="1831"/>
      <c r="CXZ434" s="1831"/>
      <c r="CYA434" s="1831"/>
      <c r="CYB434" s="1831"/>
      <c r="CYC434" s="1831"/>
      <c r="CYD434" s="1831"/>
      <c r="CYE434" s="1831"/>
      <c r="CYF434" s="1831"/>
      <c r="CYG434" s="1831"/>
      <c r="CYH434" s="1831"/>
      <c r="CYI434" s="1831"/>
      <c r="CYJ434" s="1831"/>
      <c r="CYK434" s="1831"/>
      <c r="CYL434" s="1831"/>
      <c r="CYM434" s="1831"/>
      <c r="CYN434" s="1831"/>
      <c r="CYO434" s="1831"/>
      <c r="CYP434" s="1831"/>
      <c r="CYQ434" s="1831"/>
      <c r="CYR434" s="1831"/>
      <c r="CYS434" s="1831"/>
      <c r="CYT434" s="1831"/>
      <c r="CYU434" s="1831"/>
      <c r="CYV434" s="1831"/>
      <c r="CYW434" s="1831"/>
      <c r="CYX434" s="1831"/>
      <c r="CYY434" s="1831"/>
      <c r="CYZ434" s="1831"/>
      <c r="CZA434" s="1831"/>
      <c r="CZB434" s="1831"/>
      <c r="CZC434" s="1831"/>
      <c r="CZD434" s="1831"/>
      <c r="CZE434" s="1831"/>
      <c r="CZF434" s="1831"/>
      <c r="CZG434" s="1831"/>
      <c r="CZH434" s="1831"/>
      <c r="CZI434" s="1831"/>
      <c r="CZJ434" s="1831"/>
      <c r="CZK434" s="1831"/>
      <c r="CZL434" s="1831"/>
      <c r="CZM434" s="1831"/>
      <c r="CZN434" s="1831"/>
      <c r="CZO434" s="1831"/>
      <c r="CZP434" s="1831"/>
      <c r="CZQ434" s="1831"/>
      <c r="CZR434" s="1831"/>
      <c r="CZS434" s="1831"/>
      <c r="CZT434" s="1831"/>
      <c r="CZU434" s="1831"/>
      <c r="CZV434" s="1831"/>
      <c r="CZW434" s="1831"/>
      <c r="CZX434" s="1831"/>
      <c r="CZY434" s="1831"/>
      <c r="CZZ434" s="1831"/>
      <c r="DAA434" s="1831"/>
      <c r="DAB434" s="1831"/>
      <c r="DAC434" s="1831"/>
      <c r="DAD434" s="1831"/>
      <c r="DAE434" s="1831"/>
      <c r="DAF434" s="1831"/>
      <c r="DAG434" s="1831"/>
      <c r="DAH434" s="1831"/>
      <c r="DAI434" s="1831"/>
      <c r="DAJ434" s="1831"/>
      <c r="DAK434" s="1831"/>
      <c r="DAL434" s="1831"/>
      <c r="DAM434" s="1831"/>
      <c r="DAN434" s="1831"/>
      <c r="DAO434" s="1831"/>
      <c r="DAP434" s="1831"/>
      <c r="DAQ434" s="1831"/>
      <c r="DAR434" s="1831"/>
      <c r="DAS434" s="1831"/>
      <c r="DAT434" s="1831"/>
      <c r="DAU434" s="1831"/>
      <c r="DAV434" s="1831"/>
      <c r="DAW434" s="1831"/>
      <c r="DAX434" s="1831"/>
      <c r="DAY434" s="1831"/>
      <c r="DAZ434" s="1831"/>
      <c r="DBA434" s="1831"/>
      <c r="DBB434" s="1831"/>
      <c r="DBC434" s="1831"/>
      <c r="DBD434" s="1831"/>
      <c r="DBE434" s="1831"/>
      <c r="DBF434" s="1831"/>
      <c r="DBG434" s="1831"/>
      <c r="DBH434" s="1831"/>
      <c r="DBI434" s="1831"/>
      <c r="DBJ434" s="1831"/>
      <c r="DBK434" s="1831"/>
      <c r="DBL434" s="1831"/>
      <c r="DBM434" s="1831"/>
      <c r="DBN434" s="1831"/>
      <c r="DBO434" s="1831"/>
      <c r="DBP434" s="1831"/>
      <c r="DBQ434" s="1831"/>
      <c r="DBR434" s="1831"/>
      <c r="DBS434" s="1831"/>
      <c r="DBT434" s="1831"/>
      <c r="DBU434" s="1831"/>
      <c r="DBV434" s="1831"/>
      <c r="DBW434" s="1831"/>
      <c r="DBX434" s="1831"/>
      <c r="DBY434" s="1831"/>
      <c r="DBZ434" s="1831"/>
      <c r="DCA434" s="1831"/>
      <c r="DCB434" s="1831"/>
      <c r="DCC434" s="1831"/>
      <c r="DCD434" s="1831"/>
      <c r="DCE434" s="1831"/>
      <c r="DCF434" s="1831"/>
      <c r="DCG434" s="1831"/>
      <c r="DCH434" s="1831"/>
      <c r="DCI434" s="1831"/>
      <c r="DCJ434" s="1831"/>
      <c r="DCK434" s="1831"/>
      <c r="DCL434" s="1831"/>
      <c r="DCM434" s="1831"/>
      <c r="DCN434" s="1831"/>
      <c r="DCO434" s="1831"/>
      <c r="DCP434" s="1831"/>
      <c r="DCQ434" s="1831"/>
      <c r="DCR434" s="1831"/>
      <c r="DCS434" s="1831"/>
      <c r="DCT434" s="1831"/>
      <c r="DCU434" s="1831"/>
      <c r="DCV434" s="1831"/>
      <c r="DCW434" s="1831"/>
      <c r="DCX434" s="1831"/>
      <c r="DCY434" s="1831"/>
      <c r="DCZ434" s="1831"/>
      <c r="DDA434" s="1831"/>
      <c r="DDB434" s="1831"/>
      <c r="DDC434" s="1831"/>
      <c r="DDD434" s="1831"/>
      <c r="DDE434" s="1831"/>
      <c r="DDF434" s="1831"/>
      <c r="DDG434" s="1831"/>
      <c r="DDH434" s="1831"/>
      <c r="DDI434" s="1831"/>
      <c r="DDJ434" s="1831"/>
      <c r="DDK434" s="1831"/>
      <c r="DDL434" s="1831"/>
      <c r="DDM434" s="1831"/>
      <c r="DDN434" s="1831"/>
      <c r="DDO434" s="1831"/>
      <c r="DDP434" s="1831"/>
      <c r="DDQ434" s="1831"/>
      <c r="DDR434" s="1831"/>
      <c r="DDS434" s="1831"/>
      <c r="DDT434" s="1831"/>
      <c r="DDU434" s="1831"/>
      <c r="DDV434" s="1831"/>
      <c r="DDW434" s="1831"/>
      <c r="DDX434" s="1831"/>
      <c r="DDY434" s="1831"/>
      <c r="DDZ434" s="1831"/>
      <c r="DEA434" s="1831"/>
      <c r="DEB434" s="1831"/>
      <c r="DEC434" s="1831"/>
      <c r="DED434" s="1831"/>
      <c r="DEE434" s="1831"/>
      <c r="DEF434" s="1831"/>
      <c r="DEG434" s="1831"/>
      <c r="DEH434" s="1831"/>
      <c r="DEI434" s="1831"/>
      <c r="DEJ434" s="1831"/>
      <c r="DEK434" s="1831"/>
      <c r="DEL434" s="1831"/>
      <c r="DEM434" s="1831"/>
      <c r="DEN434" s="1831"/>
      <c r="DEO434" s="1831"/>
      <c r="DEP434" s="1831"/>
      <c r="DEQ434" s="1831"/>
      <c r="DER434" s="1831"/>
      <c r="DES434" s="1831"/>
      <c r="DET434" s="1831"/>
      <c r="DEU434" s="1831"/>
      <c r="DEV434" s="1831"/>
      <c r="DEW434" s="1831"/>
      <c r="DEX434" s="1831"/>
      <c r="DEY434" s="1831"/>
      <c r="DEZ434" s="1831"/>
      <c r="DFA434" s="1831"/>
      <c r="DFB434" s="1831"/>
      <c r="DFC434" s="1831"/>
      <c r="DFD434" s="1831"/>
      <c r="DFE434" s="1831"/>
      <c r="DFF434" s="1831"/>
      <c r="DFG434" s="1831"/>
      <c r="DFH434" s="1831"/>
      <c r="DFI434" s="1831"/>
      <c r="DFJ434" s="1831"/>
      <c r="DFK434" s="1831"/>
      <c r="DFL434" s="1831"/>
      <c r="DFM434" s="1831"/>
      <c r="DFN434" s="1831"/>
      <c r="DFO434" s="1831"/>
      <c r="DFP434" s="1831"/>
      <c r="DFQ434" s="1831"/>
      <c r="DFR434" s="1831"/>
      <c r="DFS434" s="1831"/>
      <c r="DFT434" s="1831"/>
      <c r="DFU434" s="1831"/>
      <c r="DFV434" s="1831"/>
      <c r="DFW434" s="1831"/>
      <c r="DFX434" s="1831"/>
      <c r="DFY434" s="1831"/>
      <c r="DFZ434" s="1831"/>
      <c r="DGA434" s="1831"/>
      <c r="DGB434" s="1831"/>
      <c r="DGC434" s="1831"/>
      <c r="DGD434" s="1831"/>
      <c r="DGE434" s="1831"/>
      <c r="DGF434" s="1831"/>
      <c r="DGG434" s="1831"/>
      <c r="DGH434" s="1831"/>
      <c r="DGI434" s="1831"/>
      <c r="DGJ434" s="1831"/>
      <c r="DGK434" s="1831"/>
      <c r="DGL434" s="1831"/>
      <c r="DGM434" s="1831"/>
      <c r="DGN434" s="1831"/>
      <c r="DGO434" s="1831"/>
      <c r="DGP434" s="1831"/>
      <c r="DGQ434" s="1831"/>
      <c r="DGR434" s="1831"/>
      <c r="DGS434" s="1831"/>
      <c r="DGT434" s="1831"/>
      <c r="DGU434" s="1831"/>
      <c r="DGV434" s="1831"/>
      <c r="DGW434" s="1831"/>
      <c r="DGX434" s="1831"/>
      <c r="DGY434" s="1831"/>
      <c r="DGZ434" s="1831"/>
      <c r="DHA434" s="1831"/>
      <c r="DHB434" s="1831"/>
      <c r="DHC434" s="1831"/>
      <c r="DHD434" s="1831"/>
      <c r="DHE434" s="1831"/>
      <c r="DHF434" s="1831"/>
      <c r="DHG434" s="1831"/>
      <c r="DHH434" s="1831"/>
      <c r="DHI434" s="1831"/>
      <c r="DHJ434" s="1831"/>
      <c r="DHK434" s="1831"/>
      <c r="DHL434" s="1831"/>
      <c r="DHM434" s="1831"/>
      <c r="DHN434" s="1831"/>
      <c r="DHO434" s="1831"/>
      <c r="DHP434" s="1831"/>
      <c r="DHQ434" s="1831"/>
      <c r="DHR434" s="1831"/>
      <c r="DHS434" s="1831"/>
      <c r="DHT434" s="1831"/>
      <c r="DHU434" s="1831"/>
      <c r="DHV434" s="1831"/>
      <c r="DHW434" s="1831"/>
      <c r="DHX434" s="1831"/>
      <c r="DHY434" s="1831"/>
      <c r="DHZ434" s="1831"/>
      <c r="DIA434" s="1831"/>
      <c r="DIB434" s="1831"/>
      <c r="DIC434" s="1831"/>
      <c r="DID434" s="1831"/>
      <c r="DIE434" s="1831"/>
      <c r="DIF434" s="1831"/>
      <c r="DIG434" s="1831"/>
      <c r="DIH434" s="1831"/>
      <c r="DII434" s="1831"/>
      <c r="DIJ434" s="1831"/>
      <c r="DIK434" s="1831"/>
      <c r="DIL434" s="1831"/>
      <c r="DIM434" s="1831"/>
      <c r="DIN434" s="1831"/>
      <c r="DIO434" s="1831"/>
      <c r="DIP434" s="1831"/>
      <c r="DIQ434" s="1831"/>
      <c r="DIR434" s="1831"/>
      <c r="DIS434" s="1831"/>
      <c r="DIT434" s="1831"/>
      <c r="DIU434" s="1831"/>
      <c r="DIV434" s="1831"/>
      <c r="DIW434" s="1831"/>
      <c r="DIX434" s="1831"/>
      <c r="DIY434" s="1831"/>
      <c r="DIZ434" s="1831"/>
      <c r="DJA434" s="1831"/>
      <c r="DJB434" s="1831"/>
      <c r="DJC434" s="1831"/>
      <c r="DJD434" s="1831"/>
      <c r="DJE434" s="1831"/>
      <c r="DJF434" s="1831"/>
      <c r="DJG434" s="1831"/>
      <c r="DJH434" s="1831"/>
      <c r="DJI434" s="1831"/>
      <c r="DJJ434" s="1831"/>
      <c r="DJK434" s="1831"/>
      <c r="DJL434" s="1831"/>
      <c r="DJM434" s="1831"/>
      <c r="DJN434" s="1831"/>
      <c r="DJO434" s="1831"/>
      <c r="DJP434" s="1831"/>
      <c r="DJQ434" s="1831"/>
      <c r="DJR434" s="1831"/>
      <c r="DJS434" s="1831"/>
      <c r="DJT434" s="1831"/>
      <c r="DJU434" s="1831"/>
      <c r="DJV434" s="1831"/>
      <c r="DJW434" s="1831"/>
      <c r="DJX434" s="1831"/>
      <c r="DJY434" s="1831"/>
      <c r="DJZ434" s="1831"/>
      <c r="DKA434" s="1831"/>
      <c r="DKB434" s="1831"/>
      <c r="DKC434" s="1831"/>
      <c r="DKD434" s="1831"/>
      <c r="DKE434" s="1831"/>
      <c r="DKF434" s="1831"/>
      <c r="DKG434" s="1831"/>
      <c r="DKH434" s="1831"/>
      <c r="DKI434" s="1831"/>
      <c r="DKJ434" s="1831"/>
      <c r="DKK434" s="1831"/>
      <c r="DKL434" s="1831"/>
      <c r="DKM434" s="1831"/>
      <c r="DKN434" s="1831"/>
      <c r="DKO434" s="1831"/>
      <c r="DKP434" s="1831"/>
      <c r="DKQ434" s="1831"/>
      <c r="DKR434" s="1831"/>
      <c r="DKS434" s="1831"/>
      <c r="DKT434" s="1831"/>
      <c r="DKU434" s="1831"/>
      <c r="DKV434" s="1831"/>
      <c r="DKW434" s="1831"/>
      <c r="DKX434" s="1831"/>
      <c r="DKY434" s="1831"/>
      <c r="DKZ434" s="1831"/>
      <c r="DLA434" s="1831"/>
      <c r="DLB434" s="1831"/>
      <c r="DLC434" s="1831"/>
      <c r="DLD434" s="1831"/>
      <c r="DLE434" s="1831"/>
      <c r="DLF434" s="1831"/>
      <c r="DLG434" s="1831"/>
      <c r="DLH434" s="1831"/>
      <c r="DLI434" s="1831"/>
      <c r="DLJ434" s="1831"/>
      <c r="DLK434" s="1831"/>
      <c r="DLL434" s="1831"/>
      <c r="DLM434" s="1831"/>
      <c r="DLN434" s="1831"/>
      <c r="DLO434" s="1831"/>
      <c r="DLP434" s="1831"/>
      <c r="DLQ434" s="1831"/>
      <c r="DLR434" s="1831"/>
      <c r="DLS434" s="1831"/>
      <c r="DLT434" s="1831"/>
      <c r="DLU434" s="1831"/>
      <c r="DLV434" s="1831"/>
      <c r="DLW434" s="1831"/>
      <c r="DLX434" s="1831"/>
      <c r="DLY434" s="1831"/>
      <c r="DLZ434" s="1831"/>
      <c r="DMA434" s="1831"/>
      <c r="DMB434" s="1831"/>
      <c r="DMC434" s="1831"/>
      <c r="DMD434" s="1831"/>
      <c r="DME434" s="1831"/>
      <c r="DMF434" s="1831"/>
      <c r="DMG434" s="1831"/>
      <c r="DMH434" s="1831"/>
      <c r="DMI434" s="1831"/>
      <c r="DMJ434" s="1831"/>
      <c r="DMK434" s="1831"/>
      <c r="DML434" s="1831"/>
      <c r="DMM434" s="1831"/>
      <c r="DMN434" s="1831"/>
      <c r="DMO434" s="1831"/>
      <c r="DMP434" s="1831"/>
      <c r="DMQ434" s="1831"/>
      <c r="DMR434" s="1831"/>
      <c r="DMS434" s="1831"/>
      <c r="DMT434" s="1831"/>
      <c r="DMU434" s="1831"/>
      <c r="DMV434" s="1831"/>
      <c r="DMW434" s="1831"/>
      <c r="DMX434" s="1831"/>
      <c r="DMY434" s="1831"/>
      <c r="DMZ434" s="1831"/>
      <c r="DNA434" s="1831"/>
      <c r="DNB434" s="1831"/>
      <c r="DNC434" s="1831"/>
      <c r="DND434" s="1831"/>
      <c r="DNE434" s="1831"/>
      <c r="DNF434" s="1831"/>
      <c r="DNG434" s="1831"/>
      <c r="DNH434" s="1831"/>
      <c r="DNI434" s="1831"/>
      <c r="DNJ434" s="1831"/>
      <c r="DNK434" s="1831"/>
      <c r="DNL434" s="1831"/>
      <c r="DNM434" s="1831"/>
      <c r="DNN434" s="1831"/>
      <c r="DNO434" s="1831"/>
      <c r="DNP434" s="1831"/>
      <c r="DNQ434" s="1831"/>
      <c r="DNR434" s="1831"/>
      <c r="DNS434" s="1831"/>
      <c r="DNT434" s="1831"/>
      <c r="DNU434" s="1831"/>
      <c r="DNV434" s="1831"/>
      <c r="DNW434" s="1831"/>
      <c r="DNX434" s="1831"/>
      <c r="DNY434" s="1831"/>
      <c r="DNZ434" s="1831"/>
      <c r="DOA434" s="1831"/>
      <c r="DOB434" s="1831"/>
      <c r="DOC434" s="1831"/>
      <c r="DOD434" s="1831"/>
      <c r="DOE434" s="1831"/>
      <c r="DOF434" s="1831"/>
      <c r="DOG434" s="1831"/>
      <c r="DOH434" s="1831"/>
      <c r="DOI434" s="1831"/>
      <c r="DOJ434" s="1831"/>
      <c r="DOK434" s="1831"/>
      <c r="DOL434" s="1831"/>
      <c r="DOM434" s="1831"/>
      <c r="DON434" s="1831"/>
      <c r="DOO434" s="1831"/>
      <c r="DOP434" s="1831"/>
      <c r="DOQ434" s="1831"/>
      <c r="DOR434" s="1831"/>
      <c r="DOS434" s="1831"/>
      <c r="DOT434" s="1831"/>
      <c r="DOU434" s="1831"/>
      <c r="DOV434" s="1831"/>
      <c r="DOW434" s="1831"/>
      <c r="DOX434" s="1831"/>
      <c r="DOY434" s="1831"/>
      <c r="DOZ434" s="1831"/>
      <c r="DPA434" s="1831"/>
      <c r="DPB434" s="1831"/>
      <c r="DPC434" s="1831"/>
      <c r="DPD434" s="1831"/>
      <c r="DPE434" s="1831"/>
      <c r="DPF434" s="1831"/>
      <c r="DPG434" s="1831"/>
      <c r="DPH434" s="1831"/>
      <c r="DPI434" s="1831"/>
      <c r="DPJ434" s="1831"/>
      <c r="DPK434" s="1831"/>
      <c r="DPL434" s="1831"/>
      <c r="DPM434" s="1831"/>
      <c r="DPN434" s="1831"/>
      <c r="DPO434" s="1831"/>
      <c r="DPP434" s="1831"/>
      <c r="DPQ434" s="1831"/>
      <c r="DPR434" s="1831"/>
      <c r="DPS434" s="1831"/>
      <c r="DPT434" s="1831"/>
      <c r="DPU434" s="1831"/>
      <c r="DPV434" s="1831"/>
      <c r="DPW434" s="1831"/>
      <c r="DPX434" s="1831"/>
      <c r="DPY434" s="1831"/>
      <c r="DPZ434" s="1831"/>
      <c r="DQA434" s="1831"/>
      <c r="DQB434" s="1831"/>
      <c r="DQC434" s="1831"/>
      <c r="DQD434" s="1831"/>
      <c r="DQE434" s="1831"/>
      <c r="DQF434" s="1831"/>
      <c r="DQG434" s="1831"/>
      <c r="DQH434" s="1831"/>
      <c r="DQI434" s="1831"/>
      <c r="DQJ434" s="1831"/>
      <c r="DQK434" s="1831"/>
      <c r="DQL434" s="1831"/>
      <c r="DQM434" s="1831"/>
      <c r="DQN434" s="1831"/>
      <c r="DQO434" s="1831"/>
      <c r="DQP434" s="1831"/>
      <c r="DQQ434" s="1831"/>
      <c r="DQR434" s="1831"/>
      <c r="DQS434" s="1831"/>
      <c r="DQT434" s="1831"/>
      <c r="DQU434" s="1831"/>
      <c r="DQV434" s="1831"/>
      <c r="DQW434" s="1831"/>
      <c r="DQX434" s="1831"/>
      <c r="DQY434" s="1831"/>
      <c r="DQZ434" s="1831"/>
      <c r="DRA434" s="1831"/>
      <c r="DRB434" s="1831"/>
      <c r="DRC434" s="1831"/>
      <c r="DRD434" s="1831"/>
      <c r="DRE434" s="1831"/>
      <c r="DRF434" s="1831"/>
      <c r="DRG434" s="1831"/>
      <c r="DRH434" s="1831"/>
      <c r="DRI434" s="1831"/>
      <c r="DRJ434" s="1831"/>
      <c r="DRK434" s="1831"/>
      <c r="DRL434" s="1831"/>
      <c r="DRM434" s="1831"/>
      <c r="DRN434" s="1831"/>
      <c r="DRO434" s="1831"/>
      <c r="DRP434" s="1831"/>
      <c r="DRQ434" s="1831"/>
      <c r="DRR434" s="1831"/>
      <c r="DRS434" s="1831"/>
      <c r="DRT434" s="1831"/>
      <c r="DRU434" s="1831"/>
      <c r="DRV434" s="1831"/>
      <c r="DRW434" s="1831"/>
      <c r="DRX434" s="1831"/>
      <c r="DRY434" s="1831"/>
      <c r="DRZ434" s="1831"/>
      <c r="DSA434" s="1831"/>
      <c r="DSB434" s="1831"/>
      <c r="DSC434" s="1831"/>
      <c r="DSD434" s="1831"/>
      <c r="DSE434" s="1831"/>
      <c r="DSF434" s="1831"/>
      <c r="DSG434" s="1831"/>
      <c r="DSH434" s="1831"/>
      <c r="DSI434" s="1831"/>
      <c r="DSJ434" s="1831"/>
      <c r="DSK434" s="1831"/>
      <c r="DSL434" s="1831"/>
      <c r="DSM434" s="1831"/>
      <c r="DSN434" s="1831"/>
      <c r="DSO434" s="1831"/>
      <c r="DSP434" s="1831"/>
      <c r="DSQ434" s="1831"/>
      <c r="DSR434" s="1831"/>
      <c r="DSS434" s="1831"/>
      <c r="DST434" s="1831"/>
      <c r="DSU434" s="1831"/>
      <c r="DSV434" s="1831"/>
      <c r="DSW434" s="1831"/>
      <c r="DSX434" s="1831"/>
      <c r="DSY434" s="1831"/>
      <c r="DSZ434" s="1831"/>
      <c r="DTA434" s="1831"/>
      <c r="DTB434" s="1831"/>
      <c r="DTC434" s="1831"/>
      <c r="DTD434" s="1831"/>
      <c r="DTE434" s="1831"/>
      <c r="DTF434" s="1831"/>
      <c r="DTG434" s="1831"/>
      <c r="DTH434" s="1831"/>
      <c r="DTI434" s="1831"/>
      <c r="DTJ434" s="1831"/>
      <c r="DTK434" s="1831"/>
      <c r="DTL434" s="1831"/>
      <c r="DTM434" s="1831"/>
      <c r="DTN434" s="1831"/>
      <c r="DTO434" s="1831"/>
      <c r="DTP434" s="1831"/>
      <c r="DTQ434" s="1831"/>
      <c r="DTR434" s="1831"/>
      <c r="DTS434" s="1831"/>
      <c r="DTT434" s="1831"/>
      <c r="DTU434" s="1831"/>
      <c r="DTV434" s="1831"/>
      <c r="DTW434" s="1831"/>
      <c r="DTX434" s="1831"/>
      <c r="DTY434" s="1831"/>
      <c r="DTZ434" s="1831"/>
      <c r="DUA434" s="1831"/>
      <c r="DUB434" s="1831"/>
      <c r="DUC434" s="1831"/>
      <c r="DUD434" s="1831"/>
      <c r="DUE434" s="1831"/>
      <c r="DUF434" s="1831"/>
      <c r="DUG434" s="1831"/>
      <c r="DUH434" s="1831"/>
      <c r="DUI434" s="1831"/>
      <c r="DUJ434" s="1831"/>
      <c r="DUK434" s="1831"/>
      <c r="DUL434" s="1831"/>
      <c r="DUM434" s="1831"/>
      <c r="DUN434" s="1831"/>
      <c r="DUO434" s="1831"/>
      <c r="DUP434" s="1831"/>
      <c r="DUQ434" s="1831"/>
      <c r="DUR434" s="1831"/>
      <c r="DUS434" s="1831"/>
      <c r="DUT434" s="1831"/>
      <c r="DUU434" s="1831"/>
      <c r="DUV434" s="1831"/>
      <c r="DUW434" s="1831"/>
      <c r="DUX434" s="1831"/>
      <c r="DUY434" s="1831"/>
      <c r="DUZ434" s="1831"/>
      <c r="DVA434" s="1831"/>
      <c r="DVB434" s="1831"/>
      <c r="DVC434" s="1831"/>
      <c r="DVD434" s="1831"/>
      <c r="DVE434" s="1831"/>
      <c r="DVF434" s="1831"/>
      <c r="DVG434" s="1831"/>
      <c r="DVH434" s="1831"/>
      <c r="DVI434" s="1831"/>
      <c r="DVJ434" s="1831"/>
      <c r="DVK434" s="1831"/>
      <c r="DVL434" s="1831"/>
      <c r="DVM434" s="1831"/>
      <c r="DVN434" s="1831"/>
      <c r="DVO434" s="1831"/>
      <c r="DVP434" s="1831"/>
      <c r="DVQ434" s="1831"/>
      <c r="DVR434" s="1831"/>
      <c r="DVS434" s="1831"/>
      <c r="DVT434" s="1831"/>
      <c r="DVU434" s="1831"/>
      <c r="DVV434" s="1831"/>
      <c r="DVW434" s="1831"/>
      <c r="DVX434" s="1831"/>
      <c r="DVY434" s="1831"/>
      <c r="DVZ434" s="1831"/>
      <c r="DWA434" s="1831"/>
      <c r="DWB434" s="1831"/>
      <c r="DWC434" s="1831"/>
      <c r="DWD434" s="1831"/>
      <c r="DWE434" s="1831"/>
      <c r="DWF434" s="1831"/>
      <c r="DWG434" s="1831"/>
      <c r="DWH434" s="1831"/>
      <c r="DWI434" s="1831"/>
      <c r="DWJ434" s="1831"/>
      <c r="DWK434" s="1831"/>
      <c r="DWL434" s="1831"/>
      <c r="DWM434" s="1831"/>
      <c r="DWN434" s="1831"/>
      <c r="DWO434" s="1831"/>
      <c r="DWP434" s="1831"/>
      <c r="DWQ434" s="1831"/>
      <c r="DWR434" s="1831"/>
      <c r="DWS434" s="1831"/>
      <c r="DWT434" s="1831"/>
      <c r="DWU434" s="1831"/>
      <c r="DWV434" s="1831"/>
      <c r="DWW434" s="1831"/>
      <c r="DWX434" s="1831"/>
      <c r="DWY434" s="1831"/>
      <c r="DWZ434" s="1831"/>
      <c r="DXA434" s="1831"/>
      <c r="DXB434" s="1831"/>
      <c r="DXC434" s="1831"/>
      <c r="DXD434" s="1831"/>
      <c r="DXE434" s="1831"/>
      <c r="DXF434" s="1831"/>
      <c r="DXG434" s="1831"/>
      <c r="DXH434" s="1831"/>
      <c r="DXI434" s="1831"/>
      <c r="DXJ434" s="1831"/>
      <c r="DXK434" s="1831"/>
      <c r="DXL434" s="1831"/>
      <c r="DXM434" s="1831"/>
      <c r="DXN434" s="1831"/>
      <c r="DXO434" s="1831"/>
      <c r="DXP434" s="1831"/>
      <c r="DXQ434" s="1831"/>
      <c r="DXR434" s="1831"/>
      <c r="DXS434" s="1831"/>
      <c r="DXT434" s="1831"/>
      <c r="DXU434" s="1831"/>
      <c r="DXV434" s="1831"/>
      <c r="DXW434" s="1831"/>
      <c r="DXX434" s="1831"/>
      <c r="DXY434" s="1831"/>
      <c r="DXZ434" s="1831"/>
      <c r="DYA434" s="1831"/>
      <c r="DYB434" s="1831"/>
      <c r="DYC434" s="1831"/>
      <c r="DYD434" s="1831"/>
      <c r="DYE434" s="1831"/>
      <c r="DYF434" s="1831"/>
      <c r="DYG434" s="1831"/>
      <c r="DYH434" s="1831"/>
      <c r="DYI434" s="1831"/>
      <c r="DYJ434" s="1831"/>
      <c r="DYK434" s="1831"/>
      <c r="DYL434" s="1831"/>
      <c r="DYM434" s="1831"/>
      <c r="DYN434" s="1831"/>
      <c r="DYO434" s="1831"/>
      <c r="DYP434" s="1831"/>
      <c r="DYQ434" s="1831"/>
      <c r="DYR434" s="1831"/>
      <c r="DYS434" s="1831"/>
      <c r="DYT434" s="1831"/>
      <c r="DYU434" s="1831"/>
      <c r="DYV434" s="1831"/>
      <c r="DYW434" s="1831"/>
      <c r="DYX434" s="1831"/>
      <c r="DYY434" s="1831"/>
      <c r="DYZ434" s="1831"/>
      <c r="DZA434" s="1831"/>
      <c r="DZB434" s="1831"/>
      <c r="DZC434" s="1831"/>
      <c r="DZD434" s="1831"/>
      <c r="DZE434" s="1831"/>
      <c r="DZF434" s="1831"/>
      <c r="DZG434" s="1831"/>
      <c r="DZH434" s="1831"/>
      <c r="DZI434" s="1831"/>
      <c r="DZJ434" s="1831"/>
      <c r="DZK434" s="1831"/>
      <c r="DZL434" s="1831"/>
      <c r="DZM434" s="1831"/>
      <c r="DZN434" s="1831"/>
      <c r="DZO434" s="1831"/>
      <c r="DZP434" s="1831"/>
      <c r="DZQ434" s="1831"/>
      <c r="DZR434" s="1831"/>
      <c r="DZS434" s="1831"/>
      <c r="DZT434" s="1831"/>
      <c r="DZU434" s="1831"/>
      <c r="DZV434" s="1831"/>
      <c r="DZW434" s="1831"/>
      <c r="DZX434" s="1831"/>
      <c r="DZY434" s="1831"/>
      <c r="DZZ434" s="1831"/>
      <c r="EAA434" s="1831"/>
      <c r="EAB434" s="1831"/>
      <c r="EAC434" s="1831"/>
      <c r="EAD434" s="1831"/>
      <c r="EAE434" s="1831"/>
      <c r="EAF434" s="1831"/>
      <c r="EAG434" s="1831"/>
      <c r="EAH434" s="1831"/>
      <c r="EAI434" s="1831"/>
      <c r="EAJ434" s="1831"/>
      <c r="EAK434" s="1831"/>
      <c r="EAL434" s="1831"/>
      <c r="EAM434" s="1831"/>
      <c r="EAN434" s="1831"/>
      <c r="EAO434" s="1831"/>
      <c r="EAP434" s="1831"/>
      <c r="EAQ434" s="1831"/>
      <c r="EAR434" s="1831"/>
      <c r="EAS434" s="1831"/>
      <c r="EAT434" s="1831"/>
      <c r="EAU434" s="1831"/>
      <c r="EAV434" s="1831"/>
      <c r="EAW434" s="1831"/>
      <c r="EAX434" s="1831"/>
      <c r="EAY434" s="1831"/>
      <c r="EAZ434" s="1831"/>
      <c r="EBA434" s="1831"/>
      <c r="EBB434" s="1831"/>
      <c r="EBC434" s="1831"/>
      <c r="EBD434" s="1831"/>
      <c r="EBE434" s="1831"/>
      <c r="EBF434" s="1831"/>
      <c r="EBG434" s="1831"/>
      <c r="EBH434" s="1831"/>
      <c r="EBI434" s="1831"/>
      <c r="EBJ434" s="1831"/>
      <c r="EBK434" s="1831"/>
      <c r="EBL434" s="1831"/>
      <c r="EBM434" s="1831"/>
      <c r="EBN434" s="1831"/>
      <c r="EBO434" s="1831"/>
      <c r="EBP434" s="1831"/>
      <c r="EBQ434" s="1831"/>
      <c r="EBR434" s="1831"/>
      <c r="EBS434" s="1831"/>
      <c r="EBT434" s="1831"/>
      <c r="EBU434" s="1831"/>
      <c r="EBV434" s="1831"/>
      <c r="EBW434" s="1831"/>
      <c r="EBX434" s="1831"/>
      <c r="EBY434" s="1831"/>
      <c r="EBZ434" s="1831"/>
      <c r="ECA434" s="1831"/>
      <c r="ECB434" s="1831"/>
      <c r="ECC434" s="1831"/>
      <c r="ECD434" s="1831"/>
      <c r="ECE434" s="1831"/>
      <c r="ECF434" s="1831"/>
      <c r="ECG434" s="1831"/>
      <c r="ECH434" s="1831"/>
      <c r="ECI434" s="1831"/>
      <c r="ECJ434" s="1831"/>
      <c r="ECK434" s="1831"/>
      <c r="ECL434" s="1831"/>
      <c r="ECM434" s="1831"/>
      <c r="ECN434" s="1831"/>
      <c r="ECO434" s="1831"/>
      <c r="ECP434" s="1831"/>
      <c r="ECQ434" s="1831"/>
      <c r="ECR434" s="1831"/>
      <c r="ECS434" s="1831"/>
      <c r="ECT434" s="1831"/>
      <c r="ECU434" s="1831"/>
      <c r="ECV434" s="1831"/>
      <c r="ECW434" s="1831"/>
      <c r="ECX434" s="1831"/>
      <c r="ECY434" s="1831"/>
      <c r="ECZ434" s="1831"/>
      <c r="EDA434" s="1831"/>
      <c r="EDB434" s="1831"/>
      <c r="EDC434" s="1831"/>
      <c r="EDD434" s="1831"/>
      <c r="EDE434" s="1831"/>
      <c r="EDF434" s="1831"/>
      <c r="EDG434" s="1831"/>
      <c r="EDH434" s="1831"/>
      <c r="EDI434" s="1831"/>
      <c r="EDJ434" s="1831"/>
      <c r="EDK434" s="1831"/>
      <c r="EDL434" s="1831"/>
      <c r="EDM434" s="1831"/>
      <c r="EDN434" s="1831"/>
      <c r="EDO434" s="1831"/>
      <c r="EDP434" s="1831"/>
      <c r="EDQ434" s="1831"/>
      <c r="EDR434" s="1831"/>
      <c r="EDS434" s="1831"/>
      <c r="EDT434" s="1831"/>
      <c r="EDU434" s="1831"/>
      <c r="EDV434" s="1831"/>
      <c r="EDW434" s="1831"/>
      <c r="EDX434" s="1831"/>
      <c r="EDY434" s="1831"/>
      <c r="EDZ434" s="1831"/>
      <c r="EEA434" s="1831"/>
      <c r="EEB434" s="1831"/>
      <c r="EEC434" s="1831"/>
      <c r="EED434" s="1831"/>
      <c r="EEE434" s="1831"/>
      <c r="EEF434" s="1831"/>
      <c r="EEG434" s="1831"/>
      <c r="EEH434" s="1831"/>
      <c r="EEI434" s="1831"/>
      <c r="EEJ434" s="1831"/>
      <c r="EEK434" s="1831"/>
      <c r="EEL434" s="1831"/>
      <c r="EEM434" s="1831"/>
      <c r="EEN434" s="1831"/>
      <c r="EEO434" s="1831"/>
      <c r="EEP434" s="1831"/>
      <c r="EEQ434" s="1831"/>
      <c r="EER434" s="1831"/>
      <c r="EES434" s="1831"/>
      <c r="EET434" s="1831"/>
      <c r="EEU434" s="1831"/>
      <c r="EEV434" s="1831"/>
      <c r="EEW434" s="1831"/>
      <c r="EEX434" s="1831"/>
      <c r="EEY434" s="1831"/>
      <c r="EEZ434" s="1831"/>
      <c r="EFA434" s="1831"/>
      <c r="EFB434" s="1831"/>
      <c r="EFC434" s="1831"/>
      <c r="EFD434" s="1831"/>
      <c r="EFE434" s="1831"/>
      <c r="EFF434" s="1831"/>
      <c r="EFG434" s="1831"/>
      <c r="EFH434" s="1831"/>
      <c r="EFI434" s="1831"/>
      <c r="EFJ434" s="1831"/>
      <c r="EFK434" s="1831"/>
      <c r="EFL434" s="1831"/>
      <c r="EFM434" s="1831"/>
      <c r="EFN434" s="1831"/>
      <c r="EFO434" s="1831"/>
      <c r="EFP434" s="1831"/>
      <c r="EFQ434" s="1831"/>
      <c r="EFR434" s="1831"/>
      <c r="EFS434" s="1831"/>
      <c r="EFT434" s="1831"/>
      <c r="EFU434" s="1831"/>
      <c r="EFV434" s="1831"/>
      <c r="EFW434" s="1831"/>
      <c r="EFX434" s="1831"/>
      <c r="EFY434" s="1831"/>
      <c r="EFZ434" s="1831"/>
      <c r="EGA434" s="1831"/>
      <c r="EGB434" s="1831"/>
      <c r="EGC434" s="1831"/>
      <c r="EGD434" s="1831"/>
      <c r="EGE434" s="1831"/>
      <c r="EGF434" s="1831"/>
      <c r="EGG434" s="1831"/>
      <c r="EGH434" s="1831"/>
      <c r="EGI434" s="1831"/>
      <c r="EGJ434" s="1831"/>
      <c r="EGK434" s="1831"/>
      <c r="EGL434" s="1831"/>
      <c r="EGM434" s="1831"/>
      <c r="EGN434" s="1831"/>
      <c r="EGO434" s="1831"/>
      <c r="EGP434" s="1831"/>
      <c r="EGQ434" s="1831"/>
      <c r="EGR434" s="1831"/>
      <c r="EGS434" s="1831"/>
      <c r="EGT434" s="1831"/>
      <c r="EGU434" s="1831"/>
      <c r="EGV434" s="1831"/>
      <c r="EGW434" s="1831"/>
      <c r="EGX434" s="1831"/>
      <c r="EGY434" s="1831"/>
      <c r="EGZ434" s="1831"/>
      <c r="EHA434" s="1831"/>
      <c r="EHB434" s="1831"/>
      <c r="EHC434" s="1831"/>
      <c r="EHD434" s="1831"/>
      <c r="EHE434" s="1831"/>
      <c r="EHF434" s="1831"/>
      <c r="EHG434" s="1831"/>
      <c r="EHH434" s="1831"/>
      <c r="EHI434" s="1831"/>
      <c r="EHJ434" s="1831"/>
      <c r="EHK434" s="1831"/>
      <c r="EHL434" s="1831"/>
      <c r="EHM434" s="1831"/>
      <c r="EHN434" s="1831"/>
      <c r="EHO434" s="1831"/>
      <c r="EHP434" s="1831"/>
      <c r="EHQ434" s="1831"/>
      <c r="EHR434" s="1831"/>
      <c r="EHS434" s="1831"/>
      <c r="EHT434" s="1831"/>
      <c r="EHU434" s="1831"/>
      <c r="EHV434" s="1831"/>
      <c r="EHW434" s="1831"/>
      <c r="EHX434" s="1831"/>
      <c r="EHY434" s="1831"/>
      <c r="EHZ434" s="1831"/>
      <c r="EIA434" s="1831"/>
      <c r="EIB434" s="1831"/>
      <c r="EIC434" s="1831"/>
      <c r="EID434" s="1831"/>
      <c r="EIE434" s="1831"/>
      <c r="EIF434" s="1831"/>
      <c r="EIG434" s="1831"/>
      <c r="EIH434" s="1831"/>
      <c r="EII434" s="1831"/>
      <c r="EIJ434" s="1831"/>
      <c r="EIK434" s="1831"/>
      <c r="EIL434" s="1831"/>
      <c r="EIM434" s="1831"/>
      <c r="EIN434" s="1831"/>
      <c r="EIO434" s="1831"/>
      <c r="EIP434" s="1831"/>
      <c r="EIQ434" s="1831"/>
      <c r="EIR434" s="1831"/>
      <c r="EIS434" s="1831"/>
      <c r="EIT434" s="1831"/>
      <c r="EIU434" s="1831"/>
      <c r="EIV434" s="1831"/>
      <c r="EIW434" s="1831"/>
      <c r="EIX434" s="1831"/>
      <c r="EIY434" s="1831"/>
      <c r="EIZ434" s="1831"/>
      <c r="EJA434" s="1831"/>
      <c r="EJB434" s="1831"/>
      <c r="EJC434" s="1831"/>
      <c r="EJD434" s="1831"/>
      <c r="EJE434" s="1831"/>
      <c r="EJF434" s="1831"/>
      <c r="EJG434" s="1831"/>
      <c r="EJH434" s="1831"/>
      <c r="EJI434" s="1831"/>
      <c r="EJJ434" s="1831"/>
      <c r="EJK434" s="1831"/>
      <c r="EJL434" s="1831"/>
      <c r="EJM434" s="1831"/>
      <c r="EJN434" s="1831"/>
      <c r="EJO434" s="1831"/>
      <c r="EJP434" s="1831"/>
      <c r="EJQ434" s="1831"/>
      <c r="EJR434" s="1831"/>
      <c r="EJS434" s="1831"/>
      <c r="EJT434" s="1831"/>
      <c r="EJU434" s="1831"/>
      <c r="EJV434" s="1831"/>
      <c r="EJW434" s="1831"/>
      <c r="EJX434" s="1831"/>
      <c r="EJY434" s="1831"/>
      <c r="EJZ434" s="1831"/>
      <c r="EKA434" s="1831"/>
      <c r="EKB434" s="1831"/>
      <c r="EKC434" s="1831"/>
      <c r="EKD434" s="1831"/>
      <c r="EKE434" s="1831"/>
      <c r="EKF434" s="1831"/>
      <c r="EKG434" s="1831"/>
      <c r="EKH434" s="1831"/>
      <c r="EKI434" s="1831"/>
      <c r="EKJ434" s="1831"/>
      <c r="EKK434" s="1831"/>
      <c r="EKL434" s="1831"/>
      <c r="EKM434" s="1831"/>
      <c r="EKN434" s="1831"/>
      <c r="EKO434" s="1831"/>
      <c r="EKP434" s="1831"/>
      <c r="EKQ434" s="1831"/>
      <c r="EKR434" s="1831"/>
      <c r="EKS434" s="1831"/>
      <c r="EKT434" s="1831"/>
      <c r="EKU434" s="1831"/>
      <c r="EKV434" s="1831"/>
      <c r="EKW434" s="1831"/>
      <c r="EKX434" s="1831"/>
      <c r="EKY434" s="1831"/>
      <c r="EKZ434" s="1831"/>
      <c r="ELA434" s="1831"/>
      <c r="ELB434" s="1831"/>
      <c r="ELC434" s="1831"/>
      <c r="ELD434" s="1831"/>
      <c r="ELE434" s="1831"/>
      <c r="ELF434" s="1831"/>
      <c r="ELG434" s="1831"/>
      <c r="ELH434" s="1831"/>
      <c r="ELI434" s="1831"/>
      <c r="ELJ434" s="1831"/>
      <c r="ELK434" s="1831"/>
      <c r="ELL434" s="1831"/>
      <c r="ELM434" s="1831"/>
      <c r="ELN434" s="1831"/>
      <c r="ELO434" s="1831"/>
      <c r="ELP434" s="1831"/>
      <c r="ELQ434" s="1831"/>
      <c r="ELR434" s="1831"/>
      <c r="ELS434" s="1831"/>
      <c r="ELT434" s="1831"/>
      <c r="ELU434" s="1831"/>
      <c r="ELV434" s="1831"/>
      <c r="ELW434" s="1831"/>
      <c r="ELX434" s="1831"/>
      <c r="ELY434" s="1831"/>
      <c r="ELZ434" s="1831"/>
      <c r="EMA434" s="1831"/>
      <c r="EMB434" s="1831"/>
      <c r="EMC434" s="1831"/>
      <c r="EMD434" s="1831"/>
      <c r="EME434" s="1831"/>
      <c r="EMF434" s="1831"/>
      <c r="EMG434" s="1831"/>
      <c r="EMH434" s="1831"/>
      <c r="EMI434" s="1831"/>
      <c r="EMJ434" s="1831"/>
      <c r="EMK434" s="1831"/>
      <c r="EML434" s="1831"/>
      <c r="EMM434" s="1831"/>
      <c r="EMN434" s="1831"/>
      <c r="EMO434" s="1831"/>
      <c r="EMP434" s="1831"/>
      <c r="EMQ434" s="1831"/>
      <c r="EMR434" s="1831"/>
      <c r="EMS434" s="1831"/>
      <c r="EMT434" s="1831"/>
      <c r="EMU434" s="1831"/>
      <c r="EMV434" s="1831"/>
      <c r="EMW434" s="1831"/>
      <c r="EMX434" s="1831"/>
      <c r="EMY434" s="1831"/>
      <c r="EMZ434" s="1831"/>
      <c r="ENA434" s="1831"/>
      <c r="ENB434" s="1831"/>
      <c r="ENC434" s="1831"/>
      <c r="END434" s="1831"/>
      <c r="ENE434" s="1831"/>
      <c r="ENF434" s="1831"/>
      <c r="ENG434" s="1831"/>
      <c r="ENH434" s="1831"/>
      <c r="ENI434" s="1831"/>
      <c r="ENJ434" s="1831"/>
      <c r="ENK434" s="1831"/>
      <c r="ENL434" s="1831"/>
      <c r="ENM434" s="1831"/>
      <c r="ENN434" s="1831"/>
      <c r="ENO434" s="1831"/>
      <c r="ENP434" s="1831"/>
      <c r="ENQ434" s="1831"/>
      <c r="ENR434" s="1831"/>
      <c r="ENS434" s="1831"/>
      <c r="ENT434" s="1831"/>
      <c r="ENU434" s="1831"/>
      <c r="ENV434" s="1831"/>
      <c r="ENW434" s="1831"/>
      <c r="ENX434" s="1831"/>
      <c r="ENY434" s="1831"/>
      <c r="ENZ434" s="1831"/>
      <c r="EOA434" s="1831"/>
      <c r="EOB434" s="1831"/>
      <c r="EOC434" s="1831"/>
      <c r="EOD434" s="1831"/>
      <c r="EOE434" s="1831"/>
      <c r="EOF434" s="1831"/>
      <c r="EOG434" s="1831"/>
      <c r="EOH434" s="1831"/>
      <c r="EOI434" s="1831"/>
      <c r="EOJ434" s="1831"/>
      <c r="EOK434" s="1831"/>
      <c r="EOL434" s="1831"/>
      <c r="EOM434" s="1831"/>
      <c r="EON434" s="1831"/>
      <c r="EOO434" s="1831"/>
      <c r="EOP434" s="1831"/>
      <c r="EOQ434" s="1831"/>
      <c r="EOR434" s="1831"/>
      <c r="EOS434" s="1831"/>
      <c r="EOT434" s="1831"/>
      <c r="EOU434" s="1831"/>
      <c r="EOV434" s="1831"/>
      <c r="EOW434" s="1831"/>
      <c r="EOX434" s="1831"/>
      <c r="EOY434" s="1831"/>
      <c r="EOZ434" s="1831"/>
      <c r="EPA434" s="1831"/>
      <c r="EPB434" s="1831"/>
      <c r="EPC434" s="1831"/>
      <c r="EPD434" s="1831"/>
      <c r="EPE434" s="1831"/>
      <c r="EPF434" s="1831"/>
      <c r="EPG434" s="1831"/>
      <c r="EPH434" s="1831"/>
      <c r="EPI434" s="1831"/>
      <c r="EPJ434" s="1831"/>
      <c r="EPK434" s="1831"/>
      <c r="EPL434" s="1831"/>
      <c r="EPM434" s="1831"/>
      <c r="EPN434" s="1831"/>
      <c r="EPO434" s="1831"/>
      <c r="EPP434" s="1831"/>
      <c r="EPQ434" s="1831"/>
      <c r="EPR434" s="1831"/>
      <c r="EPS434" s="1831"/>
      <c r="EPT434" s="1831"/>
      <c r="EPU434" s="1831"/>
      <c r="EPV434" s="1831"/>
      <c r="EPW434" s="1831"/>
      <c r="EPX434" s="1831"/>
      <c r="EPY434" s="1831"/>
      <c r="EPZ434" s="1831"/>
      <c r="EQA434" s="1831"/>
      <c r="EQB434" s="1831"/>
      <c r="EQC434" s="1831"/>
      <c r="EQD434" s="1831"/>
      <c r="EQE434" s="1831"/>
      <c r="EQF434" s="1831"/>
      <c r="EQG434" s="1831"/>
      <c r="EQH434" s="1831"/>
      <c r="EQI434" s="1831"/>
      <c r="EQJ434" s="1831"/>
      <c r="EQK434" s="1831"/>
      <c r="EQL434" s="1831"/>
      <c r="EQM434" s="1831"/>
      <c r="EQN434" s="1831"/>
      <c r="EQO434" s="1831"/>
      <c r="EQP434" s="1831"/>
      <c r="EQQ434" s="1831"/>
      <c r="EQR434" s="1831"/>
      <c r="EQS434" s="1831"/>
      <c r="EQT434" s="1831"/>
      <c r="EQU434" s="1831"/>
      <c r="EQV434" s="1831"/>
      <c r="EQW434" s="1831"/>
      <c r="EQX434" s="1831"/>
      <c r="EQY434" s="1831"/>
      <c r="EQZ434" s="1831"/>
      <c r="ERA434" s="1831"/>
      <c r="ERB434" s="1831"/>
      <c r="ERC434" s="1831"/>
      <c r="ERD434" s="1831"/>
      <c r="ERE434" s="1831"/>
      <c r="ERF434" s="1831"/>
      <c r="ERG434" s="1831"/>
      <c r="ERH434" s="1831"/>
      <c r="ERI434" s="1831"/>
      <c r="ERJ434" s="1831"/>
      <c r="ERK434" s="1831"/>
      <c r="ERL434" s="1831"/>
      <c r="ERM434" s="1831"/>
      <c r="ERN434" s="1831"/>
      <c r="ERO434" s="1831"/>
      <c r="ERP434" s="1831"/>
      <c r="ERQ434" s="1831"/>
      <c r="ERR434" s="1831"/>
      <c r="ERS434" s="1831"/>
      <c r="ERT434" s="1831"/>
      <c r="ERU434" s="1831"/>
      <c r="ERV434" s="1831"/>
      <c r="ERW434" s="1831"/>
      <c r="ERX434" s="1831"/>
      <c r="ERY434" s="1831"/>
      <c r="ERZ434" s="1831"/>
      <c r="ESA434" s="1831"/>
      <c r="ESB434" s="1831"/>
      <c r="ESC434" s="1831"/>
      <c r="ESD434" s="1831"/>
      <c r="ESE434" s="1831"/>
      <c r="ESF434" s="1831"/>
      <c r="ESG434" s="1831"/>
      <c r="ESH434" s="1831"/>
      <c r="ESI434" s="1831"/>
      <c r="ESJ434" s="1831"/>
      <c r="ESK434" s="1831"/>
      <c r="ESL434" s="1831"/>
      <c r="ESM434" s="1831"/>
      <c r="ESN434" s="1831"/>
      <c r="ESO434" s="1831"/>
      <c r="ESP434" s="1831"/>
      <c r="ESQ434" s="1831"/>
      <c r="ESR434" s="1831"/>
      <c r="ESS434" s="1831"/>
      <c r="EST434" s="1831"/>
      <c r="ESU434" s="1831"/>
      <c r="ESV434" s="1831"/>
      <c r="ESW434" s="1831"/>
      <c r="ESX434" s="1831"/>
      <c r="ESY434" s="1831"/>
      <c r="ESZ434" s="1831"/>
      <c r="ETA434" s="1831"/>
      <c r="ETB434" s="1831"/>
      <c r="ETC434" s="1831"/>
      <c r="ETD434" s="1831"/>
      <c r="ETE434" s="1831"/>
      <c r="ETF434" s="1831"/>
      <c r="ETG434" s="1831"/>
      <c r="ETH434" s="1831"/>
      <c r="ETI434" s="1831"/>
      <c r="ETJ434" s="1831"/>
      <c r="ETK434" s="1831"/>
      <c r="ETL434" s="1831"/>
      <c r="ETM434" s="1831"/>
      <c r="ETN434" s="1831"/>
      <c r="ETO434" s="1831"/>
      <c r="ETP434" s="1831"/>
      <c r="ETQ434" s="1831"/>
      <c r="ETR434" s="1831"/>
      <c r="ETS434" s="1831"/>
      <c r="ETT434" s="1831"/>
      <c r="ETU434" s="1831"/>
      <c r="ETV434" s="1831"/>
      <c r="ETW434" s="1831"/>
      <c r="ETX434" s="1831"/>
      <c r="ETY434" s="1831"/>
      <c r="ETZ434" s="1831"/>
      <c r="EUA434" s="1831"/>
      <c r="EUB434" s="1831"/>
      <c r="EUC434" s="1831"/>
      <c r="EUD434" s="1831"/>
      <c r="EUE434" s="1831"/>
      <c r="EUF434" s="1831"/>
      <c r="EUG434" s="1831"/>
      <c r="EUH434" s="1831"/>
      <c r="EUI434" s="1831"/>
      <c r="EUJ434" s="1831"/>
      <c r="EUK434" s="1831"/>
      <c r="EUL434" s="1831"/>
      <c r="EUM434" s="1831"/>
      <c r="EUN434" s="1831"/>
      <c r="EUO434" s="1831"/>
      <c r="EUP434" s="1831"/>
      <c r="EUQ434" s="1831"/>
      <c r="EUR434" s="1831"/>
      <c r="EUS434" s="1831"/>
      <c r="EUT434" s="1831"/>
      <c r="EUU434" s="1831"/>
      <c r="EUV434" s="1831"/>
      <c r="EUW434" s="1831"/>
      <c r="EUX434" s="1831"/>
      <c r="EUY434" s="1831"/>
      <c r="EUZ434" s="1831"/>
      <c r="EVA434" s="1831"/>
      <c r="EVB434" s="1831"/>
      <c r="EVC434" s="1831"/>
      <c r="EVD434" s="1831"/>
      <c r="EVE434" s="1831"/>
      <c r="EVF434" s="1831"/>
      <c r="EVG434" s="1831"/>
      <c r="EVH434" s="1831"/>
      <c r="EVI434" s="1831"/>
      <c r="EVJ434" s="1831"/>
      <c r="EVK434" s="1831"/>
      <c r="EVL434" s="1831"/>
      <c r="EVM434" s="1831"/>
      <c r="EVN434" s="1831"/>
      <c r="EVO434" s="1831"/>
      <c r="EVP434" s="1831"/>
      <c r="EVQ434" s="1831"/>
      <c r="EVR434" s="1831"/>
      <c r="EVS434" s="1831"/>
      <c r="EVT434" s="1831"/>
      <c r="EVU434" s="1831"/>
      <c r="EVV434" s="1831"/>
      <c r="EVW434" s="1831"/>
      <c r="EVX434" s="1831"/>
      <c r="EVY434" s="1831"/>
      <c r="EVZ434" s="1831"/>
      <c r="EWA434" s="1831"/>
      <c r="EWB434" s="1831"/>
      <c r="EWC434" s="1831"/>
      <c r="EWD434" s="1831"/>
      <c r="EWE434" s="1831"/>
      <c r="EWF434" s="1831"/>
      <c r="EWG434" s="1831"/>
      <c r="EWH434" s="1831"/>
      <c r="EWI434" s="1831"/>
      <c r="EWJ434" s="1831"/>
      <c r="EWK434" s="1831"/>
      <c r="EWL434" s="1831"/>
      <c r="EWM434" s="1831"/>
      <c r="EWN434" s="1831"/>
      <c r="EWO434" s="1831"/>
      <c r="EWP434" s="1831"/>
      <c r="EWQ434" s="1831"/>
      <c r="EWR434" s="1831"/>
      <c r="EWS434" s="1831"/>
      <c r="EWT434" s="1831"/>
      <c r="EWU434" s="1831"/>
      <c r="EWV434" s="1831"/>
      <c r="EWW434" s="1831"/>
      <c r="EWX434" s="1831"/>
      <c r="EWY434" s="1831"/>
      <c r="EWZ434" s="1831"/>
      <c r="EXA434" s="1831"/>
      <c r="EXB434" s="1831"/>
      <c r="EXC434" s="1831"/>
      <c r="EXD434" s="1831"/>
      <c r="EXE434" s="1831"/>
      <c r="EXF434" s="1831"/>
      <c r="EXG434" s="1831"/>
      <c r="EXH434" s="1831"/>
      <c r="EXI434" s="1831"/>
      <c r="EXJ434" s="1831"/>
      <c r="EXK434" s="1831"/>
      <c r="EXL434" s="1831"/>
      <c r="EXM434" s="1831"/>
      <c r="EXN434" s="1831"/>
      <c r="EXO434" s="1831"/>
      <c r="EXP434" s="1831"/>
      <c r="EXQ434" s="1831"/>
      <c r="EXR434" s="1831"/>
      <c r="EXS434" s="1831"/>
      <c r="EXT434" s="1831"/>
      <c r="EXU434" s="1831"/>
      <c r="EXV434" s="1831"/>
      <c r="EXW434" s="1831"/>
      <c r="EXX434" s="1831"/>
      <c r="EXY434" s="1831"/>
      <c r="EXZ434" s="1831"/>
      <c r="EYA434" s="1831"/>
      <c r="EYB434" s="1831"/>
      <c r="EYC434" s="1831"/>
      <c r="EYD434" s="1831"/>
      <c r="EYE434" s="1831"/>
      <c r="EYF434" s="1831"/>
      <c r="EYG434" s="1831"/>
      <c r="EYH434" s="1831"/>
      <c r="EYI434" s="1831"/>
      <c r="EYJ434" s="1831"/>
      <c r="EYK434" s="1831"/>
      <c r="EYL434" s="1831"/>
      <c r="EYM434" s="1831"/>
      <c r="EYN434" s="1831"/>
      <c r="EYO434" s="1831"/>
      <c r="EYP434" s="1831"/>
      <c r="EYQ434" s="1831"/>
      <c r="EYR434" s="1831"/>
      <c r="EYS434" s="1831"/>
      <c r="EYT434" s="1831"/>
      <c r="EYU434" s="1831"/>
      <c r="EYV434" s="1831"/>
      <c r="EYW434" s="1831"/>
      <c r="EYX434" s="1831"/>
      <c r="EYY434" s="1831"/>
      <c r="EYZ434" s="1831"/>
      <c r="EZA434" s="1831"/>
      <c r="EZB434" s="1831"/>
      <c r="EZC434" s="1831"/>
      <c r="EZD434" s="1831"/>
      <c r="EZE434" s="1831"/>
      <c r="EZF434" s="1831"/>
      <c r="EZG434" s="1831"/>
      <c r="EZH434" s="1831"/>
      <c r="EZI434" s="1831"/>
      <c r="EZJ434" s="1831"/>
      <c r="EZK434" s="1831"/>
      <c r="EZL434" s="1831"/>
      <c r="EZM434" s="1831"/>
      <c r="EZN434" s="1831"/>
      <c r="EZO434" s="1831"/>
      <c r="EZP434" s="1831"/>
      <c r="EZQ434" s="1831"/>
      <c r="EZR434" s="1831"/>
      <c r="EZS434" s="1831"/>
      <c r="EZT434" s="1831"/>
      <c r="EZU434" s="1831"/>
      <c r="EZV434" s="1831"/>
      <c r="EZW434" s="1831"/>
      <c r="EZX434" s="1831"/>
      <c r="EZY434" s="1831"/>
      <c r="EZZ434" s="1831"/>
      <c r="FAA434" s="1831"/>
      <c r="FAB434" s="1831"/>
      <c r="FAC434" s="1831"/>
      <c r="FAD434" s="1831"/>
      <c r="FAE434" s="1831"/>
      <c r="FAF434" s="1831"/>
      <c r="FAG434" s="1831"/>
      <c r="FAH434" s="1831"/>
      <c r="FAI434" s="1831"/>
      <c r="FAJ434" s="1831"/>
      <c r="FAK434" s="1831"/>
      <c r="FAL434" s="1831"/>
      <c r="FAM434" s="1831"/>
      <c r="FAN434" s="1831"/>
      <c r="FAO434" s="1831"/>
      <c r="FAP434" s="1831"/>
      <c r="FAQ434" s="1831"/>
      <c r="FAR434" s="1831"/>
      <c r="FAS434" s="1831"/>
      <c r="FAT434" s="1831"/>
      <c r="FAU434" s="1831"/>
      <c r="FAV434" s="1831"/>
      <c r="FAW434" s="1831"/>
      <c r="FAX434" s="1831"/>
      <c r="FAY434" s="1831"/>
      <c r="FAZ434" s="1831"/>
      <c r="FBA434" s="1831"/>
      <c r="FBB434" s="1831"/>
      <c r="FBC434" s="1831"/>
      <c r="FBD434" s="1831"/>
      <c r="FBE434" s="1831"/>
      <c r="FBF434" s="1831"/>
      <c r="FBG434" s="1831"/>
      <c r="FBH434" s="1831"/>
      <c r="FBI434" s="1831"/>
      <c r="FBJ434" s="1831"/>
      <c r="FBK434" s="1831"/>
      <c r="FBL434" s="1831"/>
      <c r="FBM434" s="1831"/>
      <c r="FBN434" s="1831"/>
      <c r="FBO434" s="1831"/>
      <c r="FBP434" s="1831"/>
      <c r="FBQ434" s="1831"/>
      <c r="FBR434" s="1831"/>
      <c r="FBS434" s="1831"/>
      <c r="FBT434" s="1831"/>
      <c r="FBU434" s="1831"/>
      <c r="FBV434" s="1831"/>
      <c r="FBW434" s="1831"/>
      <c r="FBX434" s="1831"/>
      <c r="FBY434" s="1831"/>
      <c r="FBZ434" s="1831"/>
      <c r="FCA434" s="1831"/>
      <c r="FCB434" s="1831"/>
      <c r="FCC434" s="1831"/>
      <c r="FCD434" s="1831"/>
      <c r="FCE434" s="1831"/>
      <c r="FCF434" s="1831"/>
      <c r="FCG434" s="1831"/>
      <c r="FCH434" s="1831"/>
      <c r="FCI434" s="1831"/>
      <c r="FCJ434" s="1831"/>
      <c r="FCK434" s="1831"/>
      <c r="FCL434" s="1831"/>
      <c r="FCM434" s="1831"/>
      <c r="FCN434" s="1831"/>
      <c r="FCO434" s="1831"/>
      <c r="FCP434" s="1831"/>
      <c r="FCQ434" s="1831"/>
      <c r="FCR434" s="1831"/>
      <c r="FCS434" s="1831"/>
      <c r="FCT434" s="1831"/>
      <c r="FCU434" s="1831"/>
      <c r="FCV434" s="1831"/>
      <c r="FCW434" s="1831"/>
      <c r="FCX434" s="1831"/>
      <c r="FCY434" s="1831"/>
      <c r="FCZ434" s="1831"/>
      <c r="FDA434" s="1831"/>
      <c r="FDB434" s="1831"/>
      <c r="FDC434" s="1831"/>
      <c r="FDD434" s="1831"/>
      <c r="FDE434" s="1831"/>
      <c r="FDF434" s="1831"/>
      <c r="FDG434" s="1831"/>
      <c r="FDH434" s="1831"/>
      <c r="FDI434" s="1831"/>
      <c r="FDJ434" s="1831"/>
      <c r="FDK434" s="1831"/>
      <c r="FDL434" s="1831"/>
      <c r="FDM434" s="1831"/>
      <c r="FDN434" s="1831"/>
      <c r="FDO434" s="1831"/>
      <c r="FDP434" s="1831"/>
      <c r="FDQ434" s="1831"/>
      <c r="FDR434" s="1831"/>
      <c r="FDS434" s="1831"/>
      <c r="FDT434" s="1831"/>
      <c r="FDU434" s="1831"/>
      <c r="FDV434" s="1831"/>
      <c r="FDW434" s="1831"/>
      <c r="FDX434" s="1831"/>
      <c r="FDY434" s="1831"/>
      <c r="FDZ434" s="1831"/>
      <c r="FEA434" s="1831"/>
      <c r="FEB434" s="1831"/>
      <c r="FEC434" s="1831"/>
      <c r="FED434" s="1831"/>
      <c r="FEE434" s="1831"/>
      <c r="FEF434" s="1831"/>
      <c r="FEG434" s="1831"/>
      <c r="FEH434" s="1831"/>
      <c r="FEI434" s="1831"/>
      <c r="FEJ434" s="1831"/>
      <c r="FEK434" s="1831"/>
      <c r="FEL434" s="1831"/>
      <c r="FEM434" s="1831"/>
      <c r="FEN434" s="1831"/>
      <c r="FEO434" s="1831"/>
      <c r="FEP434" s="1831"/>
      <c r="FEQ434" s="1831"/>
      <c r="FER434" s="1831"/>
      <c r="FES434" s="1831"/>
      <c r="FET434" s="1831"/>
      <c r="FEU434" s="1831"/>
      <c r="FEV434" s="1831"/>
      <c r="FEW434" s="1831"/>
      <c r="FEX434" s="1831"/>
      <c r="FEY434" s="1831"/>
      <c r="FEZ434" s="1831"/>
      <c r="FFA434" s="1831"/>
      <c r="FFB434" s="1831"/>
      <c r="FFC434" s="1831"/>
      <c r="FFD434" s="1831"/>
      <c r="FFE434" s="1831"/>
      <c r="FFF434" s="1831"/>
      <c r="FFG434" s="1831"/>
      <c r="FFH434" s="1831"/>
      <c r="FFI434" s="1831"/>
      <c r="FFJ434" s="1831"/>
      <c r="FFK434" s="1831"/>
      <c r="FFL434" s="1831"/>
      <c r="FFM434" s="1831"/>
      <c r="FFN434" s="1831"/>
      <c r="FFO434" s="1831"/>
      <c r="FFP434" s="1831"/>
      <c r="FFQ434" s="1831"/>
      <c r="FFR434" s="1831"/>
      <c r="FFS434" s="1831"/>
      <c r="FFT434" s="1831"/>
      <c r="FFU434" s="1831"/>
      <c r="FFV434" s="1831"/>
      <c r="FFW434" s="1831"/>
      <c r="FFX434" s="1831"/>
      <c r="FFY434" s="1831"/>
      <c r="FFZ434" s="1831"/>
      <c r="FGA434" s="1831"/>
      <c r="FGB434" s="1831"/>
      <c r="FGC434" s="1831"/>
      <c r="FGD434" s="1831"/>
      <c r="FGE434" s="1831"/>
      <c r="FGF434" s="1831"/>
      <c r="FGG434" s="1831"/>
      <c r="FGH434" s="1831"/>
      <c r="FGI434" s="1831"/>
      <c r="FGJ434" s="1831"/>
      <c r="FGK434" s="1831"/>
      <c r="FGL434" s="1831"/>
      <c r="FGM434" s="1831"/>
      <c r="FGN434" s="1831"/>
      <c r="FGO434" s="1831"/>
      <c r="FGP434" s="1831"/>
      <c r="FGQ434" s="1831"/>
      <c r="FGR434" s="1831"/>
      <c r="FGS434" s="1831"/>
      <c r="FGT434" s="1831"/>
      <c r="FGU434" s="1831"/>
      <c r="FGV434" s="1831"/>
      <c r="FGW434" s="1831"/>
      <c r="FGX434" s="1831"/>
      <c r="FGY434" s="1831"/>
      <c r="FGZ434" s="1831"/>
      <c r="FHA434" s="1831"/>
      <c r="FHB434" s="1831"/>
      <c r="FHC434" s="1831"/>
      <c r="FHD434" s="1831"/>
      <c r="FHE434" s="1831"/>
      <c r="FHF434" s="1831"/>
      <c r="FHG434" s="1831"/>
      <c r="FHH434" s="1831"/>
      <c r="FHI434" s="1831"/>
      <c r="FHJ434" s="1831"/>
      <c r="FHK434" s="1831"/>
      <c r="FHL434" s="1831"/>
      <c r="FHM434" s="1831"/>
      <c r="FHN434" s="1831"/>
      <c r="FHO434" s="1831"/>
      <c r="FHP434" s="1831"/>
      <c r="FHQ434" s="1831"/>
      <c r="FHR434" s="1831"/>
      <c r="FHS434" s="1831"/>
      <c r="FHT434" s="1831"/>
      <c r="FHU434" s="1831"/>
      <c r="FHV434" s="1831"/>
      <c r="FHW434" s="1831"/>
      <c r="FHX434" s="1831"/>
      <c r="FHY434" s="1831"/>
      <c r="FHZ434" s="1831"/>
      <c r="FIA434" s="1831"/>
      <c r="FIB434" s="1831"/>
      <c r="FIC434" s="1831"/>
      <c r="FID434" s="1831"/>
      <c r="FIE434" s="1831"/>
      <c r="FIF434" s="1831"/>
      <c r="FIG434" s="1831"/>
      <c r="FIH434" s="1831"/>
      <c r="FII434" s="1831"/>
      <c r="FIJ434" s="1831"/>
      <c r="FIK434" s="1831"/>
      <c r="FIL434" s="1831"/>
      <c r="FIM434" s="1831"/>
      <c r="FIN434" s="1831"/>
      <c r="FIO434" s="1831"/>
      <c r="FIP434" s="1831"/>
      <c r="FIQ434" s="1831"/>
      <c r="FIR434" s="1831"/>
      <c r="FIS434" s="1831"/>
      <c r="FIT434" s="1831"/>
      <c r="FIU434" s="1831"/>
      <c r="FIV434" s="1831"/>
      <c r="FIW434" s="1831"/>
      <c r="FIX434" s="1831"/>
      <c r="FIY434" s="1831"/>
      <c r="FIZ434" s="1831"/>
      <c r="FJA434" s="1831"/>
      <c r="FJB434" s="1831"/>
      <c r="FJC434" s="1831"/>
      <c r="FJD434" s="1831"/>
      <c r="FJE434" s="1831"/>
      <c r="FJF434" s="1831"/>
      <c r="FJG434" s="1831"/>
      <c r="FJH434" s="1831"/>
      <c r="FJI434" s="1831"/>
      <c r="FJJ434" s="1831"/>
      <c r="FJK434" s="1831"/>
      <c r="FJL434" s="1831"/>
      <c r="FJM434" s="1831"/>
      <c r="FJN434" s="1831"/>
      <c r="FJO434" s="1831"/>
      <c r="FJP434" s="1831"/>
      <c r="FJQ434" s="1831"/>
      <c r="FJR434" s="1831"/>
      <c r="FJS434" s="1831"/>
      <c r="FJT434" s="1831"/>
      <c r="FJU434" s="1831"/>
      <c r="FJV434" s="1831"/>
      <c r="FJW434" s="1831"/>
      <c r="FJX434" s="1831"/>
      <c r="FJY434" s="1831"/>
      <c r="FJZ434" s="1831"/>
      <c r="FKA434" s="1831"/>
      <c r="FKB434" s="1831"/>
      <c r="FKC434" s="1831"/>
      <c r="FKD434" s="1831"/>
      <c r="FKE434" s="1831"/>
      <c r="FKF434" s="1831"/>
      <c r="FKG434" s="1831"/>
      <c r="FKH434" s="1831"/>
      <c r="FKI434" s="1831"/>
      <c r="FKJ434" s="1831"/>
      <c r="FKK434" s="1831"/>
      <c r="FKL434" s="1831"/>
      <c r="FKM434" s="1831"/>
      <c r="FKN434" s="1831"/>
      <c r="FKO434" s="1831"/>
      <c r="FKP434" s="1831"/>
      <c r="FKQ434" s="1831"/>
      <c r="FKR434" s="1831"/>
      <c r="FKS434" s="1831"/>
      <c r="FKT434" s="1831"/>
      <c r="FKU434" s="1831"/>
      <c r="FKV434" s="1831"/>
      <c r="FKW434" s="1831"/>
      <c r="FKX434" s="1831"/>
      <c r="FKY434" s="1831"/>
      <c r="FKZ434" s="1831"/>
      <c r="FLA434" s="1831"/>
      <c r="FLB434" s="1831"/>
      <c r="FLC434" s="1831"/>
      <c r="FLD434" s="1831"/>
      <c r="FLE434" s="1831"/>
      <c r="FLF434" s="1831"/>
      <c r="FLG434" s="1831"/>
      <c r="FLH434" s="1831"/>
      <c r="FLI434" s="1831"/>
      <c r="FLJ434" s="1831"/>
      <c r="FLK434" s="1831"/>
      <c r="FLL434" s="1831"/>
      <c r="FLM434" s="1831"/>
      <c r="FLN434" s="1831"/>
      <c r="FLO434" s="1831"/>
      <c r="FLP434" s="1831"/>
      <c r="FLQ434" s="1831"/>
      <c r="FLR434" s="1831"/>
      <c r="FLS434" s="1831"/>
      <c r="FLT434" s="1831"/>
      <c r="FLU434" s="1831"/>
      <c r="FLV434" s="1831"/>
      <c r="FLW434" s="1831"/>
      <c r="FLX434" s="1831"/>
      <c r="FLY434" s="1831"/>
      <c r="FLZ434" s="1831"/>
      <c r="FMA434" s="1831"/>
      <c r="FMB434" s="1831"/>
      <c r="FMC434" s="1831"/>
      <c r="FMD434" s="1831"/>
      <c r="FME434" s="1831"/>
      <c r="FMF434" s="1831"/>
      <c r="FMG434" s="1831"/>
      <c r="FMH434" s="1831"/>
      <c r="FMI434" s="1831"/>
      <c r="FMJ434" s="1831"/>
      <c r="FMK434" s="1831"/>
      <c r="FML434" s="1831"/>
      <c r="FMM434" s="1831"/>
      <c r="FMN434" s="1831"/>
      <c r="FMO434" s="1831"/>
      <c r="FMP434" s="1831"/>
      <c r="FMQ434" s="1831"/>
      <c r="FMR434" s="1831"/>
      <c r="FMS434" s="1831"/>
      <c r="FMT434" s="1831"/>
      <c r="FMU434" s="1831"/>
      <c r="FMV434" s="1831"/>
      <c r="FMW434" s="1831"/>
      <c r="FMX434" s="1831"/>
      <c r="FMY434" s="1831"/>
      <c r="FMZ434" s="1831"/>
      <c r="FNA434" s="1831"/>
      <c r="FNB434" s="1831"/>
      <c r="FNC434" s="1831"/>
      <c r="FND434" s="1831"/>
      <c r="FNE434" s="1831"/>
      <c r="FNF434" s="1831"/>
      <c r="FNG434" s="1831"/>
      <c r="FNH434" s="1831"/>
      <c r="FNI434" s="1831"/>
      <c r="FNJ434" s="1831"/>
      <c r="FNK434" s="1831"/>
      <c r="FNL434" s="1831"/>
      <c r="FNM434" s="1831"/>
      <c r="FNN434" s="1831"/>
      <c r="FNO434" s="1831"/>
      <c r="FNP434" s="1831"/>
      <c r="FNQ434" s="1831"/>
      <c r="FNR434" s="1831"/>
      <c r="FNS434" s="1831"/>
      <c r="FNT434" s="1831"/>
      <c r="FNU434" s="1831"/>
      <c r="FNV434" s="1831"/>
      <c r="FNW434" s="1831"/>
      <c r="FNX434" s="1831"/>
      <c r="FNY434" s="1831"/>
      <c r="FNZ434" s="1831"/>
      <c r="FOA434" s="1831"/>
      <c r="FOB434" s="1831"/>
      <c r="FOC434" s="1831"/>
      <c r="FOD434" s="1831"/>
      <c r="FOE434" s="1831"/>
      <c r="FOF434" s="1831"/>
      <c r="FOG434" s="1831"/>
      <c r="FOH434" s="1831"/>
      <c r="FOI434" s="1831"/>
      <c r="FOJ434" s="1831"/>
      <c r="FOK434" s="1831"/>
      <c r="FOL434" s="1831"/>
      <c r="FOM434" s="1831"/>
      <c r="FON434" s="1831"/>
      <c r="FOO434" s="1831"/>
      <c r="FOP434" s="1831"/>
      <c r="FOQ434" s="1831"/>
      <c r="FOR434" s="1831"/>
      <c r="FOS434" s="1831"/>
      <c r="FOT434" s="1831"/>
      <c r="FOU434" s="1831"/>
      <c r="FOV434" s="1831"/>
      <c r="FOW434" s="1831"/>
      <c r="FOX434" s="1831"/>
      <c r="FOY434" s="1831"/>
      <c r="FOZ434" s="1831"/>
      <c r="FPA434" s="1831"/>
      <c r="FPB434" s="1831"/>
      <c r="FPC434" s="1831"/>
      <c r="FPD434" s="1831"/>
      <c r="FPE434" s="1831"/>
      <c r="FPF434" s="1831"/>
      <c r="FPG434" s="1831"/>
      <c r="FPH434" s="1831"/>
      <c r="FPI434" s="1831"/>
      <c r="FPJ434" s="1831"/>
      <c r="FPK434" s="1831"/>
      <c r="FPL434" s="1831"/>
      <c r="FPM434" s="1831"/>
      <c r="FPN434" s="1831"/>
      <c r="FPO434" s="1831"/>
      <c r="FPP434" s="1831"/>
      <c r="FPQ434" s="1831"/>
      <c r="FPR434" s="1831"/>
      <c r="FPS434" s="1831"/>
      <c r="FPT434" s="1831"/>
      <c r="FPU434" s="1831"/>
      <c r="FPV434" s="1831"/>
      <c r="FPW434" s="1831"/>
      <c r="FPX434" s="1831"/>
      <c r="FPY434" s="1831"/>
      <c r="FPZ434" s="1831"/>
      <c r="FQA434" s="1831"/>
      <c r="FQB434" s="1831"/>
      <c r="FQC434" s="1831"/>
      <c r="FQD434" s="1831"/>
      <c r="FQE434" s="1831"/>
      <c r="FQF434" s="1831"/>
      <c r="FQG434" s="1831"/>
      <c r="FQH434" s="1831"/>
      <c r="FQI434" s="1831"/>
      <c r="FQJ434" s="1831"/>
      <c r="FQK434" s="1831"/>
      <c r="FQL434" s="1831"/>
      <c r="FQM434" s="1831"/>
      <c r="FQN434" s="1831"/>
      <c r="FQO434" s="1831"/>
      <c r="FQP434" s="1831"/>
      <c r="FQQ434" s="1831"/>
      <c r="FQR434" s="1831"/>
      <c r="FQS434" s="1831"/>
      <c r="FQT434" s="1831"/>
      <c r="FQU434" s="1831"/>
      <c r="FQV434" s="1831"/>
      <c r="FQW434" s="1831"/>
      <c r="FQX434" s="1831"/>
      <c r="FQY434" s="1831"/>
      <c r="FQZ434" s="1831"/>
      <c r="FRA434" s="1831"/>
      <c r="FRB434" s="1831"/>
      <c r="FRC434" s="1831"/>
      <c r="FRD434" s="1831"/>
      <c r="FRE434" s="1831"/>
      <c r="FRF434" s="1831"/>
      <c r="FRG434" s="1831"/>
      <c r="FRH434" s="1831"/>
      <c r="FRI434" s="1831"/>
      <c r="FRJ434" s="1831"/>
      <c r="FRK434" s="1831"/>
      <c r="FRL434" s="1831"/>
      <c r="FRM434" s="1831"/>
      <c r="FRN434" s="1831"/>
      <c r="FRO434" s="1831"/>
      <c r="FRP434" s="1831"/>
      <c r="FRQ434" s="1831"/>
      <c r="FRR434" s="1831"/>
      <c r="FRS434" s="1831"/>
      <c r="FRT434" s="1831"/>
      <c r="FRU434" s="1831"/>
      <c r="FRV434" s="1831"/>
      <c r="FRW434" s="1831"/>
      <c r="FRX434" s="1831"/>
      <c r="FRY434" s="1831"/>
      <c r="FRZ434" s="1831"/>
      <c r="FSA434" s="1831"/>
      <c r="FSB434" s="1831"/>
      <c r="FSC434" s="1831"/>
      <c r="FSD434" s="1831"/>
      <c r="FSE434" s="1831"/>
      <c r="FSF434" s="1831"/>
      <c r="FSG434" s="1831"/>
      <c r="FSH434" s="1831"/>
      <c r="FSI434" s="1831"/>
      <c r="FSJ434" s="1831"/>
      <c r="FSK434" s="1831"/>
      <c r="FSL434" s="1831"/>
      <c r="FSM434" s="1831"/>
      <c r="FSN434" s="1831"/>
      <c r="FSO434" s="1831"/>
      <c r="FSP434" s="1831"/>
      <c r="FSQ434" s="1831"/>
      <c r="FSR434" s="1831"/>
      <c r="FSS434" s="1831"/>
      <c r="FST434" s="1831"/>
      <c r="FSU434" s="1831"/>
      <c r="FSV434" s="1831"/>
      <c r="FSW434" s="1831"/>
      <c r="FSX434" s="1831"/>
      <c r="FSY434" s="1831"/>
      <c r="FSZ434" s="1831"/>
      <c r="FTA434" s="1831"/>
      <c r="FTB434" s="1831"/>
      <c r="FTC434" s="1831"/>
      <c r="FTD434" s="1831"/>
      <c r="FTE434" s="1831"/>
      <c r="FTF434" s="1831"/>
      <c r="FTG434" s="1831"/>
      <c r="FTH434" s="1831"/>
      <c r="FTI434" s="1831"/>
      <c r="FTJ434" s="1831"/>
      <c r="FTK434" s="1831"/>
      <c r="FTL434" s="1831"/>
      <c r="FTM434" s="1831"/>
      <c r="FTN434" s="1831"/>
      <c r="FTO434" s="1831"/>
      <c r="FTP434" s="1831"/>
      <c r="FTQ434" s="1831"/>
      <c r="FTR434" s="1831"/>
      <c r="FTS434" s="1831"/>
      <c r="FTT434" s="1831"/>
      <c r="FTU434" s="1831"/>
      <c r="FTV434" s="1831"/>
      <c r="FTW434" s="1831"/>
      <c r="FTX434" s="1831"/>
      <c r="FTY434" s="1831"/>
      <c r="FTZ434" s="1831"/>
      <c r="FUA434" s="1831"/>
      <c r="FUB434" s="1831"/>
      <c r="FUC434" s="1831"/>
      <c r="FUD434" s="1831"/>
      <c r="FUE434" s="1831"/>
      <c r="FUF434" s="1831"/>
      <c r="FUG434" s="1831"/>
      <c r="FUH434" s="1831"/>
      <c r="FUI434" s="1831"/>
      <c r="FUJ434" s="1831"/>
      <c r="FUK434" s="1831"/>
      <c r="FUL434" s="1831"/>
      <c r="FUM434" s="1831"/>
      <c r="FUN434" s="1831"/>
      <c r="FUO434" s="1831"/>
      <c r="FUP434" s="1831"/>
      <c r="FUQ434" s="1831"/>
      <c r="FUR434" s="1831"/>
      <c r="FUS434" s="1831"/>
      <c r="FUT434" s="1831"/>
      <c r="FUU434" s="1831"/>
      <c r="FUV434" s="1831"/>
      <c r="FUW434" s="1831"/>
      <c r="FUX434" s="1831"/>
      <c r="FUY434" s="1831"/>
      <c r="FUZ434" s="1831"/>
      <c r="FVA434" s="1831"/>
      <c r="FVB434" s="1831"/>
      <c r="FVC434" s="1831"/>
      <c r="FVD434" s="1831"/>
      <c r="FVE434" s="1831"/>
      <c r="FVF434" s="1831"/>
      <c r="FVG434" s="1831"/>
      <c r="FVH434" s="1831"/>
      <c r="FVI434" s="1831"/>
      <c r="FVJ434" s="1831"/>
      <c r="FVK434" s="1831"/>
      <c r="FVL434" s="1831"/>
      <c r="FVM434" s="1831"/>
      <c r="FVN434" s="1831"/>
      <c r="FVO434" s="1831"/>
      <c r="FVP434" s="1831"/>
      <c r="FVQ434" s="1831"/>
      <c r="FVR434" s="1831"/>
      <c r="FVS434" s="1831"/>
      <c r="FVT434" s="1831"/>
      <c r="FVU434" s="1831"/>
      <c r="FVV434" s="1831"/>
      <c r="FVW434" s="1831"/>
      <c r="FVX434" s="1831"/>
      <c r="FVY434" s="1831"/>
      <c r="FVZ434" s="1831"/>
      <c r="FWA434" s="1831"/>
      <c r="FWB434" s="1831"/>
      <c r="FWC434" s="1831"/>
      <c r="FWD434" s="1831"/>
      <c r="FWE434" s="1831"/>
      <c r="FWF434" s="1831"/>
      <c r="FWG434" s="1831"/>
      <c r="FWH434" s="1831"/>
      <c r="FWI434" s="1831"/>
      <c r="FWJ434" s="1831"/>
      <c r="FWK434" s="1831"/>
      <c r="FWL434" s="1831"/>
      <c r="FWM434" s="1831"/>
      <c r="FWN434" s="1831"/>
      <c r="FWO434" s="1831"/>
      <c r="FWP434" s="1831"/>
      <c r="FWQ434" s="1831"/>
      <c r="FWR434" s="1831"/>
      <c r="FWS434" s="1831"/>
      <c r="FWT434" s="1831"/>
      <c r="FWU434" s="1831"/>
      <c r="FWV434" s="1831"/>
      <c r="FWW434" s="1831"/>
      <c r="FWX434" s="1831"/>
      <c r="FWY434" s="1831"/>
      <c r="FWZ434" s="1831"/>
      <c r="FXA434" s="1831"/>
      <c r="FXB434" s="1831"/>
      <c r="FXC434" s="1831"/>
      <c r="FXD434" s="1831"/>
      <c r="FXE434" s="1831"/>
      <c r="FXF434" s="1831"/>
      <c r="FXG434" s="1831"/>
      <c r="FXH434" s="1831"/>
      <c r="FXI434" s="1831"/>
      <c r="FXJ434" s="1831"/>
      <c r="FXK434" s="1831"/>
      <c r="FXL434" s="1831"/>
      <c r="FXM434" s="1831"/>
      <c r="FXN434" s="1831"/>
      <c r="FXO434" s="1831"/>
      <c r="FXP434" s="1831"/>
      <c r="FXQ434" s="1831"/>
      <c r="FXR434" s="1831"/>
      <c r="FXS434" s="1831"/>
      <c r="FXT434" s="1831"/>
      <c r="FXU434" s="1831"/>
      <c r="FXV434" s="1831"/>
      <c r="FXW434" s="1831"/>
      <c r="FXX434" s="1831"/>
      <c r="FXY434" s="1831"/>
      <c r="FXZ434" s="1831"/>
      <c r="FYA434" s="1831"/>
      <c r="FYB434" s="1831"/>
      <c r="FYC434" s="1831"/>
      <c r="FYD434" s="1831"/>
      <c r="FYE434" s="1831"/>
      <c r="FYF434" s="1831"/>
      <c r="FYG434" s="1831"/>
      <c r="FYH434" s="1831"/>
      <c r="FYI434" s="1831"/>
      <c r="FYJ434" s="1831"/>
      <c r="FYK434" s="1831"/>
      <c r="FYL434" s="1831"/>
      <c r="FYM434" s="1831"/>
      <c r="FYN434" s="1831"/>
      <c r="FYO434" s="1831"/>
      <c r="FYP434" s="1831"/>
      <c r="FYQ434" s="1831"/>
      <c r="FYR434" s="1831"/>
      <c r="FYS434" s="1831"/>
      <c r="FYT434" s="1831"/>
      <c r="FYU434" s="1831"/>
      <c r="FYV434" s="1831"/>
      <c r="FYW434" s="1831"/>
      <c r="FYX434" s="1831"/>
      <c r="FYY434" s="1831"/>
      <c r="FYZ434" s="1831"/>
      <c r="FZA434" s="1831"/>
      <c r="FZB434" s="1831"/>
      <c r="FZC434" s="1831"/>
      <c r="FZD434" s="1831"/>
      <c r="FZE434" s="1831"/>
      <c r="FZF434" s="1831"/>
      <c r="FZG434" s="1831"/>
      <c r="FZH434" s="1831"/>
      <c r="FZI434" s="1831"/>
      <c r="FZJ434" s="1831"/>
      <c r="FZK434" s="1831"/>
      <c r="FZL434" s="1831"/>
      <c r="FZM434" s="1831"/>
      <c r="FZN434" s="1831"/>
      <c r="FZO434" s="1831"/>
      <c r="FZP434" s="1831"/>
      <c r="FZQ434" s="1831"/>
      <c r="FZR434" s="1831"/>
      <c r="FZS434" s="1831"/>
      <c r="FZT434" s="1831"/>
      <c r="FZU434" s="1831"/>
      <c r="FZV434" s="1831"/>
      <c r="FZW434" s="1831"/>
      <c r="FZX434" s="1831"/>
      <c r="FZY434" s="1831"/>
      <c r="FZZ434" s="1831"/>
      <c r="GAA434" s="1831"/>
      <c r="GAB434" s="1831"/>
      <c r="GAC434" s="1831"/>
      <c r="GAD434" s="1831"/>
      <c r="GAE434" s="1831"/>
      <c r="GAF434" s="1831"/>
      <c r="GAG434" s="1831"/>
      <c r="GAH434" s="1831"/>
      <c r="GAI434" s="1831"/>
      <c r="GAJ434" s="1831"/>
      <c r="GAK434" s="1831"/>
      <c r="GAL434" s="1831"/>
      <c r="GAM434" s="1831"/>
      <c r="GAN434" s="1831"/>
      <c r="GAO434" s="1831"/>
      <c r="GAP434" s="1831"/>
      <c r="GAQ434" s="1831"/>
      <c r="GAR434" s="1831"/>
      <c r="GAS434" s="1831"/>
      <c r="GAT434" s="1831"/>
      <c r="GAU434" s="1831"/>
      <c r="GAV434" s="1831"/>
      <c r="GAW434" s="1831"/>
      <c r="GAX434" s="1831"/>
      <c r="GAY434" s="1831"/>
      <c r="GAZ434" s="1831"/>
      <c r="GBA434" s="1831"/>
      <c r="GBB434" s="1831"/>
      <c r="GBC434" s="1831"/>
      <c r="GBD434" s="1831"/>
      <c r="GBE434" s="1831"/>
      <c r="GBF434" s="1831"/>
      <c r="GBG434" s="1831"/>
      <c r="GBH434" s="1831"/>
      <c r="GBI434" s="1831"/>
      <c r="GBJ434" s="1831"/>
      <c r="GBK434" s="1831"/>
      <c r="GBL434" s="1831"/>
      <c r="GBM434" s="1831"/>
      <c r="GBN434" s="1831"/>
      <c r="GBO434" s="1831"/>
      <c r="GBP434" s="1831"/>
      <c r="GBQ434" s="1831"/>
      <c r="GBR434" s="1831"/>
      <c r="GBS434" s="1831"/>
      <c r="GBT434" s="1831"/>
      <c r="GBU434" s="1831"/>
      <c r="GBV434" s="1831"/>
      <c r="GBW434" s="1831"/>
      <c r="GBX434" s="1831"/>
      <c r="GBY434" s="1831"/>
      <c r="GBZ434" s="1831"/>
      <c r="GCA434" s="1831"/>
      <c r="GCB434" s="1831"/>
      <c r="GCC434" s="1831"/>
      <c r="GCD434" s="1831"/>
      <c r="GCE434" s="1831"/>
      <c r="GCF434" s="1831"/>
      <c r="GCG434" s="1831"/>
      <c r="GCH434" s="1831"/>
      <c r="GCI434" s="1831"/>
      <c r="GCJ434" s="1831"/>
      <c r="GCK434" s="1831"/>
      <c r="GCL434" s="1831"/>
      <c r="GCM434" s="1831"/>
      <c r="GCN434" s="1831"/>
      <c r="GCO434" s="1831"/>
      <c r="GCP434" s="1831"/>
      <c r="GCQ434" s="1831"/>
      <c r="GCR434" s="1831"/>
      <c r="GCS434" s="1831"/>
      <c r="GCT434" s="1831"/>
      <c r="GCU434" s="1831"/>
      <c r="GCV434" s="1831"/>
      <c r="GCW434" s="1831"/>
      <c r="GCX434" s="1831"/>
      <c r="GCY434" s="1831"/>
      <c r="GCZ434" s="1831"/>
      <c r="GDA434" s="1831"/>
      <c r="GDB434" s="1831"/>
      <c r="GDC434" s="1831"/>
      <c r="GDD434" s="1831"/>
      <c r="GDE434" s="1831"/>
      <c r="GDF434" s="1831"/>
      <c r="GDG434" s="1831"/>
      <c r="GDH434" s="1831"/>
      <c r="GDI434" s="1831"/>
      <c r="GDJ434" s="1831"/>
      <c r="GDK434" s="1831"/>
      <c r="GDL434" s="1831"/>
      <c r="GDM434" s="1831"/>
      <c r="GDN434" s="1831"/>
      <c r="GDO434" s="1831"/>
      <c r="GDP434" s="1831"/>
      <c r="GDQ434" s="1831"/>
      <c r="GDR434" s="1831"/>
      <c r="GDS434" s="1831"/>
      <c r="GDT434" s="1831"/>
      <c r="GDU434" s="1831"/>
      <c r="GDV434" s="1831"/>
      <c r="GDW434" s="1831"/>
      <c r="GDX434" s="1831"/>
      <c r="GDY434" s="1831"/>
      <c r="GDZ434" s="1831"/>
      <c r="GEA434" s="1831"/>
      <c r="GEB434" s="1831"/>
      <c r="GEC434" s="1831"/>
      <c r="GED434" s="1831"/>
      <c r="GEE434" s="1831"/>
      <c r="GEF434" s="1831"/>
      <c r="GEG434" s="1831"/>
      <c r="GEH434" s="1831"/>
      <c r="GEI434" s="1831"/>
      <c r="GEJ434" s="1831"/>
      <c r="GEK434" s="1831"/>
      <c r="GEL434" s="1831"/>
      <c r="GEM434" s="1831"/>
      <c r="GEN434" s="1831"/>
      <c r="GEO434" s="1831"/>
      <c r="GEP434" s="1831"/>
      <c r="GEQ434" s="1831"/>
      <c r="GER434" s="1831"/>
      <c r="GES434" s="1831"/>
      <c r="GET434" s="1831"/>
      <c r="GEU434" s="1831"/>
      <c r="GEV434" s="1831"/>
      <c r="GEW434" s="1831"/>
      <c r="GEX434" s="1831"/>
      <c r="GEY434" s="1831"/>
      <c r="GEZ434" s="1831"/>
      <c r="GFA434" s="1831"/>
      <c r="GFB434" s="1831"/>
      <c r="GFC434" s="1831"/>
      <c r="GFD434" s="1831"/>
      <c r="GFE434" s="1831"/>
      <c r="GFF434" s="1831"/>
      <c r="GFG434" s="1831"/>
      <c r="GFH434" s="1831"/>
      <c r="GFI434" s="1831"/>
      <c r="GFJ434" s="1831"/>
      <c r="GFK434" s="1831"/>
      <c r="GFL434" s="1831"/>
      <c r="GFM434" s="1831"/>
      <c r="GFN434" s="1831"/>
      <c r="GFO434" s="1831"/>
      <c r="GFP434" s="1831"/>
      <c r="GFQ434" s="1831"/>
      <c r="GFR434" s="1831"/>
      <c r="GFS434" s="1831"/>
      <c r="GFT434" s="1831"/>
      <c r="GFU434" s="1831"/>
      <c r="GFV434" s="1831"/>
      <c r="GFW434" s="1831"/>
      <c r="GFX434" s="1831"/>
      <c r="GFY434" s="1831"/>
      <c r="GFZ434" s="1831"/>
      <c r="GGA434" s="1831"/>
      <c r="GGB434" s="1831"/>
      <c r="GGC434" s="1831"/>
      <c r="GGD434" s="1831"/>
      <c r="GGE434" s="1831"/>
      <c r="GGF434" s="1831"/>
      <c r="GGG434" s="1831"/>
      <c r="GGH434" s="1831"/>
      <c r="GGI434" s="1831"/>
      <c r="GGJ434" s="1831"/>
      <c r="GGK434" s="1831"/>
      <c r="GGL434" s="1831"/>
      <c r="GGM434" s="1831"/>
      <c r="GGN434" s="1831"/>
      <c r="GGO434" s="1831"/>
      <c r="GGP434" s="1831"/>
      <c r="GGQ434" s="1831"/>
      <c r="GGR434" s="1831"/>
      <c r="GGS434" s="1831"/>
      <c r="GGT434" s="1831"/>
      <c r="GGU434" s="1831"/>
      <c r="GGV434" s="1831"/>
      <c r="GGW434" s="1831"/>
      <c r="GGX434" s="1831"/>
      <c r="GGY434" s="1831"/>
      <c r="GGZ434" s="1831"/>
      <c r="GHA434" s="1831"/>
      <c r="GHB434" s="1831"/>
      <c r="GHC434" s="1831"/>
      <c r="GHD434" s="1831"/>
      <c r="GHE434" s="1831"/>
      <c r="GHF434" s="1831"/>
      <c r="GHG434" s="1831"/>
      <c r="GHH434" s="1831"/>
      <c r="GHI434" s="1831"/>
      <c r="GHJ434" s="1831"/>
      <c r="GHK434" s="1831"/>
      <c r="GHL434" s="1831"/>
      <c r="GHM434" s="1831"/>
      <c r="GHN434" s="1831"/>
      <c r="GHO434" s="1831"/>
      <c r="GHP434" s="1831"/>
      <c r="GHQ434" s="1831"/>
      <c r="GHR434" s="1831"/>
      <c r="GHS434" s="1831"/>
      <c r="GHT434" s="1831"/>
      <c r="GHU434" s="1831"/>
      <c r="GHV434" s="1831"/>
      <c r="GHW434" s="1831"/>
      <c r="GHX434" s="1831"/>
      <c r="GHY434" s="1831"/>
      <c r="GHZ434" s="1831"/>
      <c r="GIA434" s="1831"/>
      <c r="GIB434" s="1831"/>
      <c r="GIC434" s="1831"/>
      <c r="GID434" s="1831"/>
      <c r="GIE434" s="1831"/>
      <c r="GIF434" s="1831"/>
      <c r="GIG434" s="1831"/>
      <c r="GIH434" s="1831"/>
      <c r="GII434" s="1831"/>
      <c r="GIJ434" s="1831"/>
      <c r="GIK434" s="1831"/>
      <c r="GIL434" s="1831"/>
      <c r="GIM434" s="1831"/>
      <c r="GIN434" s="1831"/>
      <c r="GIO434" s="1831"/>
      <c r="GIP434" s="1831"/>
      <c r="GIQ434" s="1831"/>
      <c r="GIR434" s="1831"/>
      <c r="GIS434" s="1831"/>
      <c r="GIT434" s="1831"/>
      <c r="GIU434" s="1831"/>
      <c r="GIV434" s="1831"/>
      <c r="GIW434" s="1831"/>
      <c r="GIX434" s="1831"/>
      <c r="GIY434" s="1831"/>
      <c r="GIZ434" s="1831"/>
      <c r="GJA434" s="1831"/>
      <c r="GJB434" s="1831"/>
      <c r="GJC434" s="1831"/>
      <c r="GJD434" s="1831"/>
      <c r="GJE434" s="1831"/>
      <c r="GJF434" s="1831"/>
      <c r="GJG434" s="1831"/>
      <c r="GJH434" s="1831"/>
      <c r="GJI434" s="1831"/>
      <c r="GJJ434" s="1831"/>
      <c r="GJK434" s="1831"/>
      <c r="GJL434" s="1831"/>
      <c r="GJM434" s="1831"/>
      <c r="GJN434" s="1831"/>
      <c r="GJO434" s="1831"/>
      <c r="GJP434" s="1831"/>
      <c r="GJQ434" s="1831"/>
      <c r="GJR434" s="1831"/>
      <c r="GJS434" s="1831"/>
      <c r="GJT434" s="1831"/>
      <c r="GJU434" s="1831"/>
      <c r="GJV434" s="1831"/>
      <c r="GJW434" s="1831"/>
      <c r="GJX434" s="1831"/>
      <c r="GJY434" s="1831"/>
      <c r="GJZ434" s="1831"/>
      <c r="GKA434" s="1831"/>
      <c r="GKB434" s="1831"/>
      <c r="GKC434" s="1831"/>
      <c r="GKD434" s="1831"/>
      <c r="GKE434" s="1831"/>
      <c r="GKF434" s="1831"/>
      <c r="GKG434" s="1831"/>
      <c r="GKH434" s="1831"/>
      <c r="GKI434" s="1831"/>
      <c r="GKJ434" s="1831"/>
      <c r="GKK434" s="1831"/>
      <c r="GKL434" s="1831"/>
      <c r="GKM434" s="1831"/>
      <c r="GKN434" s="1831"/>
      <c r="GKO434" s="1831"/>
      <c r="GKP434" s="1831"/>
      <c r="GKQ434" s="1831"/>
      <c r="GKR434" s="1831"/>
      <c r="GKS434" s="1831"/>
      <c r="GKT434" s="1831"/>
      <c r="GKU434" s="1831"/>
      <c r="GKV434" s="1831"/>
      <c r="GKW434" s="1831"/>
      <c r="GKX434" s="1831"/>
      <c r="GKY434" s="1831"/>
      <c r="GKZ434" s="1831"/>
      <c r="GLA434" s="1831"/>
      <c r="GLB434" s="1831"/>
      <c r="GLC434" s="1831"/>
      <c r="GLD434" s="1831"/>
      <c r="GLE434" s="1831"/>
      <c r="GLF434" s="1831"/>
      <c r="GLG434" s="1831"/>
      <c r="GLH434" s="1831"/>
      <c r="GLI434" s="1831"/>
      <c r="GLJ434" s="1831"/>
      <c r="GLK434" s="1831"/>
      <c r="GLL434" s="1831"/>
      <c r="GLM434" s="1831"/>
      <c r="GLN434" s="1831"/>
      <c r="GLO434" s="1831"/>
      <c r="GLP434" s="1831"/>
      <c r="GLQ434" s="1831"/>
      <c r="GLR434" s="1831"/>
      <c r="GLS434" s="1831"/>
      <c r="GLT434" s="1831"/>
      <c r="GLU434" s="1831"/>
      <c r="GLV434" s="1831"/>
      <c r="GLW434" s="1831"/>
      <c r="GLX434" s="1831"/>
      <c r="GLY434" s="1831"/>
      <c r="GLZ434" s="1831"/>
      <c r="GMA434" s="1831"/>
      <c r="GMB434" s="1831"/>
      <c r="GMC434" s="1831"/>
      <c r="GMD434" s="1831"/>
      <c r="GME434" s="1831"/>
      <c r="GMF434" s="1831"/>
      <c r="GMG434" s="1831"/>
      <c r="GMH434" s="1831"/>
      <c r="GMI434" s="1831"/>
      <c r="GMJ434" s="1831"/>
      <c r="GMK434" s="1831"/>
      <c r="GML434" s="1831"/>
      <c r="GMM434" s="1831"/>
      <c r="GMN434" s="1831"/>
      <c r="GMO434" s="1831"/>
      <c r="GMP434" s="1831"/>
      <c r="GMQ434" s="1831"/>
      <c r="GMR434" s="1831"/>
      <c r="GMS434" s="1831"/>
      <c r="GMT434" s="1831"/>
      <c r="GMU434" s="1831"/>
      <c r="GMV434" s="1831"/>
      <c r="GMW434" s="1831"/>
      <c r="GMX434" s="1831"/>
      <c r="GMY434" s="1831"/>
      <c r="GMZ434" s="1831"/>
      <c r="GNA434" s="1831"/>
      <c r="GNB434" s="1831"/>
      <c r="GNC434" s="1831"/>
      <c r="GND434" s="1831"/>
      <c r="GNE434" s="1831"/>
      <c r="GNF434" s="1831"/>
      <c r="GNG434" s="1831"/>
      <c r="GNH434" s="1831"/>
      <c r="GNI434" s="1831"/>
      <c r="GNJ434" s="1831"/>
      <c r="GNK434" s="1831"/>
      <c r="GNL434" s="1831"/>
      <c r="GNM434" s="1831"/>
      <c r="GNN434" s="1831"/>
      <c r="GNO434" s="1831"/>
      <c r="GNP434" s="1831"/>
      <c r="GNQ434" s="1831"/>
      <c r="GNR434" s="1831"/>
      <c r="GNS434" s="1831"/>
      <c r="GNT434" s="1831"/>
      <c r="GNU434" s="1831"/>
      <c r="GNV434" s="1831"/>
      <c r="GNW434" s="1831"/>
      <c r="GNX434" s="1831"/>
      <c r="GNY434" s="1831"/>
      <c r="GNZ434" s="1831"/>
      <c r="GOA434" s="1831"/>
      <c r="GOB434" s="1831"/>
      <c r="GOC434" s="1831"/>
      <c r="GOD434" s="1831"/>
      <c r="GOE434" s="1831"/>
      <c r="GOF434" s="1831"/>
      <c r="GOG434" s="1831"/>
      <c r="GOH434" s="1831"/>
      <c r="GOI434" s="1831"/>
      <c r="GOJ434" s="1831"/>
      <c r="GOK434" s="1831"/>
      <c r="GOL434" s="1831"/>
      <c r="GOM434" s="1831"/>
      <c r="GON434" s="1831"/>
      <c r="GOO434" s="1831"/>
      <c r="GOP434" s="1831"/>
      <c r="GOQ434" s="1831"/>
      <c r="GOR434" s="1831"/>
      <c r="GOS434" s="1831"/>
      <c r="GOT434" s="1831"/>
      <c r="GOU434" s="1831"/>
      <c r="GOV434" s="1831"/>
      <c r="GOW434" s="1831"/>
      <c r="GOX434" s="1831"/>
      <c r="GOY434" s="1831"/>
      <c r="GOZ434" s="1831"/>
      <c r="GPA434" s="1831"/>
      <c r="GPB434" s="1831"/>
      <c r="GPC434" s="1831"/>
      <c r="GPD434" s="1831"/>
      <c r="GPE434" s="1831"/>
      <c r="GPF434" s="1831"/>
      <c r="GPG434" s="1831"/>
      <c r="GPH434" s="1831"/>
      <c r="GPI434" s="1831"/>
      <c r="GPJ434" s="1831"/>
      <c r="GPK434" s="1831"/>
      <c r="GPL434" s="1831"/>
      <c r="GPM434" s="1831"/>
      <c r="GPN434" s="1831"/>
      <c r="GPO434" s="1831"/>
      <c r="GPP434" s="1831"/>
      <c r="GPQ434" s="1831"/>
      <c r="GPR434" s="1831"/>
      <c r="GPS434" s="1831"/>
      <c r="GPT434" s="1831"/>
      <c r="GPU434" s="1831"/>
      <c r="GPV434" s="1831"/>
      <c r="GPW434" s="1831"/>
      <c r="GPX434" s="1831"/>
      <c r="GPY434" s="1831"/>
      <c r="GPZ434" s="1831"/>
      <c r="GQA434" s="1831"/>
      <c r="GQB434" s="1831"/>
      <c r="GQC434" s="1831"/>
      <c r="GQD434" s="1831"/>
      <c r="GQE434" s="1831"/>
      <c r="GQF434" s="1831"/>
      <c r="GQG434" s="1831"/>
      <c r="GQH434" s="1831"/>
      <c r="GQI434" s="1831"/>
      <c r="GQJ434" s="1831"/>
      <c r="GQK434" s="1831"/>
      <c r="GQL434" s="1831"/>
      <c r="GQM434" s="1831"/>
      <c r="GQN434" s="1831"/>
      <c r="GQO434" s="1831"/>
      <c r="GQP434" s="1831"/>
      <c r="GQQ434" s="1831"/>
      <c r="GQR434" s="1831"/>
      <c r="GQS434" s="1831"/>
      <c r="GQT434" s="1831"/>
      <c r="GQU434" s="1831"/>
      <c r="GQV434" s="1831"/>
      <c r="GQW434" s="1831"/>
      <c r="GQX434" s="1831"/>
      <c r="GQY434" s="1831"/>
      <c r="GQZ434" s="1831"/>
      <c r="GRA434" s="1831"/>
      <c r="GRB434" s="1831"/>
      <c r="GRC434" s="1831"/>
      <c r="GRD434" s="1831"/>
      <c r="GRE434" s="1831"/>
      <c r="GRF434" s="1831"/>
      <c r="GRG434" s="1831"/>
      <c r="GRH434" s="1831"/>
      <c r="GRI434" s="1831"/>
      <c r="GRJ434" s="1831"/>
      <c r="GRK434" s="1831"/>
      <c r="GRL434" s="1831"/>
      <c r="GRM434" s="1831"/>
      <c r="GRN434" s="1831"/>
      <c r="GRO434" s="1831"/>
      <c r="GRP434" s="1831"/>
      <c r="GRQ434" s="1831"/>
      <c r="GRR434" s="1831"/>
      <c r="GRS434" s="1831"/>
      <c r="GRT434" s="1831"/>
      <c r="GRU434" s="1831"/>
      <c r="GRV434" s="1831"/>
      <c r="GRW434" s="1831"/>
      <c r="GRX434" s="1831"/>
      <c r="GRY434" s="1831"/>
      <c r="GRZ434" s="1831"/>
      <c r="GSA434" s="1831"/>
      <c r="GSB434" s="1831"/>
      <c r="GSC434" s="1831"/>
      <c r="GSD434" s="1831"/>
      <c r="GSE434" s="1831"/>
      <c r="GSF434" s="1831"/>
      <c r="GSG434" s="1831"/>
      <c r="GSH434" s="1831"/>
      <c r="GSI434" s="1831"/>
      <c r="GSJ434" s="1831"/>
      <c r="GSK434" s="1831"/>
      <c r="GSL434" s="1831"/>
      <c r="GSM434" s="1831"/>
      <c r="GSN434" s="1831"/>
      <c r="GSO434" s="1831"/>
      <c r="GSP434" s="1831"/>
      <c r="GSQ434" s="1831"/>
      <c r="GSR434" s="1831"/>
      <c r="GSS434" s="1831"/>
      <c r="GST434" s="1831"/>
      <c r="GSU434" s="1831"/>
      <c r="GSV434" s="1831"/>
      <c r="GSW434" s="1831"/>
      <c r="GSX434" s="1831"/>
      <c r="GSY434" s="1831"/>
      <c r="GSZ434" s="1831"/>
      <c r="GTA434" s="1831"/>
      <c r="GTB434" s="1831"/>
      <c r="GTC434" s="1831"/>
      <c r="GTD434" s="1831"/>
      <c r="GTE434" s="1831"/>
      <c r="GTF434" s="1831"/>
      <c r="GTG434" s="1831"/>
      <c r="GTH434" s="1831"/>
      <c r="GTI434" s="1831"/>
      <c r="GTJ434" s="1831"/>
      <c r="GTK434" s="1831"/>
      <c r="GTL434" s="1831"/>
      <c r="GTM434" s="1831"/>
      <c r="GTN434" s="1831"/>
      <c r="GTO434" s="1831"/>
      <c r="GTP434" s="1831"/>
      <c r="GTQ434" s="1831"/>
      <c r="GTR434" s="1831"/>
      <c r="GTS434" s="1831"/>
      <c r="GTT434" s="1831"/>
      <c r="GTU434" s="1831"/>
      <c r="GTV434" s="1831"/>
      <c r="GTW434" s="1831"/>
      <c r="GTX434" s="1831"/>
      <c r="GTY434" s="1831"/>
      <c r="GTZ434" s="1831"/>
      <c r="GUA434" s="1831"/>
      <c r="GUB434" s="1831"/>
      <c r="GUC434" s="1831"/>
      <c r="GUD434" s="1831"/>
      <c r="GUE434" s="1831"/>
      <c r="GUF434" s="1831"/>
      <c r="GUG434" s="1831"/>
      <c r="GUH434" s="1831"/>
      <c r="GUI434" s="1831"/>
      <c r="GUJ434" s="1831"/>
      <c r="GUK434" s="1831"/>
      <c r="GUL434" s="1831"/>
      <c r="GUM434" s="1831"/>
      <c r="GUN434" s="1831"/>
      <c r="GUO434" s="1831"/>
      <c r="GUP434" s="1831"/>
      <c r="GUQ434" s="1831"/>
      <c r="GUR434" s="1831"/>
      <c r="GUS434" s="1831"/>
      <c r="GUT434" s="1831"/>
      <c r="GUU434" s="1831"/>
      <c r="GUV434" s="1831"/>
      <c r="GUW434" s="1831"/>
      <c r="GUX434" s="1831"/>
      <c r="GUY434" s="1831"/>
      <c r="GUZ434" s="1831"/>
      <c r="GVA434" s="1831"/>
      <c r="GVB434" s="1831"/>
      <c r="GVC434" s="1831"/>
      <c r="GVD434" s="1831"/>
      <c r="GVE434" s="1831"/>
      <c r="GVF434" s="1831"/>
      <c r="GVG434" s="1831"/>
      <c r="GVH434" s="1831"/>
      <c r="GVI434" s="1831"/>
      <c r="GVJ434" s="1831"/>
      <c r="GVK434" s="1831"/>
      <c r="GVL434" s="1831"/>
      <c r="GVM434" s="1831"/>
      <c r="GVN434" s="1831"/>
      <c r="GVO434" s="1831"/>
      <c r="GVP434" s="1831"/>
      <c r="GVQ434" s="1831"/>
      <c r="GVR434" s="1831"/>
      <c r="GVS434" s="1831"/>
      <c r="GVT434" s="1831"/>
      <c r="GVU434" s="1831"/>
      <c r="GVV434" s="1831"/>
      <c r="GVW434" s="1831"/>
      <c r="GVX434" s="1831"/>
      <c r="GVY434" s="1831"/>
      <c r="GVZ434" s="1831"/>
      <c r="GWA434" s="1831"/>
      <c r="GWB434" s="1831"/>
      <c r="GWC434" s="1831"/>
      <c r="GWD434" s="1831"/>
      <c r="GWE434" s="1831"/>
      <c r="GWF434" s="1831"/>
      <c r="GWG434" s="1831"/>
      <c r="GWH434" s="1831"/>
      <c r="GWI434" s="1831"/>
      <c r="GWJ434" s="1831"/>
      <c r="GWK434" s="1831"/>
      <c r="GWL434" s="1831"/>
      <c r="GWM434" s="1831"/>
      <c r="GWN434" s="1831"/>
      <c r="GWO434" s="1831"/>
      <c r="GWP434" s="1831"/>
      <c r="GWQ434" s="1831"/>
      <c r="GWR434" s="1831"/>
      <c r="GWS434" s="1831"/>
      <c r="GWT434" s="1831"/>
      <c r="GWU434" s="1831"/>
      <c r="GWV434" s="1831"/>
      <c r="GWW434" s="1831"/>
      <c r="GWX434" s="1831"/>
      <c r="GWY434" s="1831"/>
      <c r="GWZ434" s="1831"/>
      <c r="GXA434" s="1831"/>
      <c r="GXB434" s="1831"/>
      <c r="GXC434" s="1831"/>
      <c r="GXD434" s="1831"/>
      <c r="GXE434" s="1831"/>
      <c r="GXF434" s="1831"/>
      <c r="GXG434" s="1831"/>
      <c r="GXH434" s="1831"/>
      <c r="GXI434" s="1831"/>
      <c r="GXJ434" s="1831"/>
      <c r="GXK434" s="1831"/>
      <c r="GXL434" s="1831"/>
      <c r="GXM434" s="1831"/>
      <c r="GXN434" s="1831"/>
      <c r="GXO434" s="1831"/>
      <c r="GXP434" s="1831"/>
      <c r="GXQ434" s="1831"/>
      <c r="GXR434" s="1831"/>
      <c r="GXS434" s="1831"/>
      <c r="GXT434" s="1831"/>
      <c r="GXU434" s="1831"/>
      <c r="GXV434" s="1831"/>
      <c r="GXW434" s="1831"/>
      <c r="GXX434" s="1831"/>
      <c r="GXY434" s="1831"/>
      <c r="GXZ434" s="1831"/>
      <c r="GYA434" s="1831"/>
      <c r="GYB434" s="1831"/>
      <c r="GYC434" s="1831"/>
      <c r="GYD434" s="1831"/>
      <c r="GYE434" s="1831"/>
      <c r="GYF434" s="1831"/>
      <c r="GYG434" s="1831"/>
      <c r="GYH434" s="1831"/>
      <c r="GYI434" s="1831"/>
      <c r="GYJ434" s="1831"/>
      <c r="GYK434" s="1831"/>
      <c r="GYL434" s="1831"/>
      <c r="GYM434" s="1831"/>
      <c r="GYN434" s="1831"/>
      <c r="GYO434" s="1831"/>
      <c r="GYP434" s="1831"/>
      <c r="GYQ434" s="1831"/>
      <c r="GYR434" s="1831"/>
      <c r="GYS434" s="1831"/>
      <c r="GYT434" s="1831"/>
      <c r="GYU434" s="1831"/>
      <c r="GYV434" s="1831"/>
      <c r="GYW434" s="1831"/>
      <c r="GYX434" s="1831"/>
      <c r="GYY434" s="1831"/>
      <c r="GYZ434" s="1831"/>
      <c r="GZA434" s="1831"/>
      <c r="GZB434" s="1831"/>
      <c r="GZC434" s="1831"/>
      <c r="GZD434" s="1831"/>
      <c r="GZE434" s="1831"/>
      <c r="GZF434" s="1831"/>
      <c r="GZG434" s="1831"/>
      <c r="GZH434" s="1831"/>
      <c r="GZI434" s="1831"/>
      <c r="GZJ434" s="1831"/>
      <c r="GZK434" s="1831"/>
      <c r="GZL434" s="1831"/>
      <c r="GZM434" s="1831"/>
      <c r="GZN434" s="1831"/>
      <c r="GZO434" s="1831"/>
      <c r="GZP434" s="1831"/>
      <c r="GZQ434" s="1831"/>
      <c r="GZR434" s="1831"/>
      <c r="GZS434" s="1831"/>
      <c r="GZT434" s="1831"/>
      <c r="GZU434" s="1831"/>
      <c r="GZV434" s="1831"/>
      <c r="GZW434" s="1831"/>
      <c r="GZX434" s="1831"/>
      <c r="GZY434" s="1831"/>
      <c r="GZZ434" s="1831"/>
      <c r="HAA434" s="1831"/>
      <c r="HAB434" s="1831"/>
      <c r="HAC434" s="1831"/>
      <c r="HAD434" s="1831"/>
      <c r="HAE434" s="1831"/>
      <c r="HAF434" s="1831"/>
      <c r="HAG434" s="1831"/>
      <c r="HAH434" s="1831"/>
      <c r="HAI434" s="1831"/>
      <c r="HAJ434" s="1831"/>
      <c r="HAK434" s="1831"/>
      <c r="HAL434" s="1831"/>
      <c r="HAM434" s="1831"/>
      <c r="HAN434" s="1831"/>
      <c r="HAO434" s="1831"/>
      <c r="HAP434" s="1831"/>
      <c r="HAQ434" s="1831"/>
      <c r="HAR434" s="1831"/>
      <c r="HAS434" s="1831"/>
      <c r="HAT434" s="1831"/>
      <c r="HAU434" s="1831"/>
      <c r="HAV434" s="1831"/>
      <c r="HAW434" s="1831"/>
      <c r="HAX434" s="1831"/>
      <c r="HAY434" s="1831"/>
      <c r="HAZ434" s="1831"/>
      <c r="HBA434" s="1831"/>
      <c r="HBB434" s="1831"/>
      <c r="HBC434" s="1831"/>
      <c r="HBD434" s="1831"/>
      <c r="HBE434" s="1831"/>
      <c r="HBF434" s="1831"/>
      <c r="HBG434" s="1831"/>
      <c r="HBH434" s="1831"/>
      <c r="HBI434" s="1831"/>
      <c r="HBJ434" s="1831"/>
      <c r="HBK434" s="1831"/>
      <c r="HBL434" s="1831"/>
      <c r="HBM434" s="1831"/>
      <c r="HBN434" s="1831"/>
      <c r="HBO434" s="1831"/>
      <c r="HBP434" s="1831"/>
      <c r="HBQ434" s="1831"/>
      <c r="HBR434" s="1831"/>
      <c r="HBS434" s="1831"/>
      <c r="HBT434" s="1831"/>
      <c r="HBU434" s="1831"/>
      <c r="HBV434" s="1831"/>
      <c r="HBW434" s="1831"/>
      <c r="HBX434" s="1831"/>
      <c r="HBY434" s="1831"/>
      <c r="HBZ434" s="1831"/>
      <c r="HCA434" s="1831"/>
      <c r="HCB434" s="1831"/>
      <c r="HCC434" s="1831"/>
      <c r="HCD434" s="1831"/>
      <c r="HCE434" s="1831"/>
      <c r="HCF434" s="1831"/>
      <c r="HCG434" s="1831"/>
      <c r="HCH434" s="1831"/>
      <c r="HCI434" s="1831"/>
      <c r="HCJ434" s="1831"/>
      <c r="HCK434" s="1831"/>
      <c r="HCL434" s="1831"/>
      <c r="HCM434" s="1831"/>
      <c r="HCN434" s="1831"/>
      <c r="HCO434" s="1831"/>
      <c r="HCP434" s="1831"/>
      <c r="HCQ434" s="1831"/>
      <c r="HCR434" s="1831"/>
      <c r="HCS434" s="1831"/>
      <c r="HCT434" s="1831"/>
      <c r="HCU434" s="1831"/>
      <c r="HCV434" s="1831"/>
      <c r="HCW434" s="1831"/>
      <c r="HCX434" s="1831"/>
      <c r="HCY434" s="1831"/>
      <c r="HCZ434" s="1831"/>
      <c r="HDA434" s="1831"/>
      <c r="HDB434" s="1831"/>
      <c r="HDC434" s="1831"/>
      <c r="HDD434" s="1831"/>
      <c r="HDE434" s="1831"/>
      <c r="HDF434" s="1831"/>
      <c r="HDG434" s="1831"/>
      <c r="HDH434" s="1831"/>
      <c r="HDI434" s="1831"/>
      <c r="HDJ434" s="1831"/>
      <c r="HDK434" s="1831"/>
      <c r="HDL434" s="1831"/>
      <c r="HDM434" s="1831"/>
      <c r="HDN434" s="1831"/>
      <c r="HDO434" s="1831"/>
      <c r="HDP434" s="1831"/>
      <c r="HDQ434" s="1831"/>
      <c r="HDR434" s="1831"/>
      <c r="HDS434" s="1831"/>
      <c r="HDT434" s="1831"/>
      <c r="HDU434" s="1831"/>
      <c r="HDV434" s="1831"/>
      <c r="HDW434" s="1831"/>
      <c r="HDX434" s="1831"/>
      <c r="HDY434" s="1831"/>
      <c r="HDZ434" s="1831"/>
      <c r="HEA434" s="1831"/>
      <c r="HEB434" s="1831"/>
      <c r="HEC434" s="1831"/>
      <c r="HED434" s="1831"/>
      <c r="HEE434" s="1831"/>
      <c r="HEF434" s="1831"/>
      <c r="HEG434" s="1831"/>
      <c r="HEH434" s="1831"/>
      <c r="HEI434" s="1831"/>
      <c r="HEJ434" s="1831"/>
      <c r="HEK434" s="1831"/>
      <c r="HEL434" s="1831"/>
      <c r="HEM434" s="1831"/>
      <c r="HEN434" s="1831"/>
      <c r="HEO434" s="1831"/>
      <c r="HEP434" s="1831"/>
      <c r="HEQ434" s="1831"/>
      <c r="HER434" s="1831"/>
      <c r="HES434" s="1831"/>
      <c r="HET434" s="1831"/>
      <c r="HEU434" s="1831"/>
      <c r="HEV434" s="1831"/>
      <c r="HEW434" s="1831"/>
      <c r="HEX434" s="1831"/>
      <c r="HEY434" s="1831"/>
      <c r="HEZ434" s="1831"/>
      <c r="HFA434" s="1831"/>
      <c r="HFB434" s="1831"/>
      <c r="HFC434" s="1831"/>
      <c r="HFD434" s="1831"/>
      <c r="HFE434" s="1831"/>
      <c r="HFF434" s="1831"/>
      <c r="HFG434" s="1831"/>
      <c r="HFH434" s="1831"/>
      <c r="HFI434" s="1831"/>
      <c r="HFJ434" s="1831"/>
      <c r="HFK434" s="1831"/>
      <c r="HFL434" s="1831"/>
      <c r="HFM434" s="1831"/>
      <c r="HFN434" s="1831"/>
      <c r="HFO434" s="1831"/>
      <c r="HFP434" s="1831"/>
      <c r="HFQ434" s="1831"/>
      <c r="HFR434" s="1831"/>
      <c r="HFS434" s="1831"/>
      <c r="HFT434" s="1831"/>
      <c r="HFU434" s="1831"/>
      <c r="HFV434" s="1831"/>
      <c r="HFW434" s="1831"/>
      <c r="HFX434" s="1831"/>
      <c r="HFY434" s="1831"/>
      <c r="HFZ434" s="1831"/>
      <c r="HGA434" s="1831"/>
      <c r="HGB434" s="1831"/>
      <c r="HGC434" s="1831"/>
      <c r="HGD434" s="1831"/>
      <c r="HGE434" s="1831"/>
      <c r="HGF434" s="1831"/>
      <c r="HGG434" s="1831"/>
      <c r="HGH434" s="1831"/>
      <c r="HGI434" s="1831"/>
      <c r="HGJ434" s="1831"/>
      <c r="HGK434" s="1831"/>
      <c r="HGL434" s="1831"/>
      <c r="HGM434" s="1831"/>
      <c r="HGN434" s="1831"/>
      <c r="HGO434" s="1831"/>
      <c r="HGP434" s="1831"/>
      <c r="HGQ434" s="1831"/>
      <c r="HGR434" s="1831"/>
      <c r="HGS434" s="1831"/>
      <c r="HGT434" s="1831"/>
      <c r="HGU434" s="1831"/>
      <c r="HGV434" s="1831"/>
      <c r="HGW434" s="1831"/>
      <c r="HGX434" s="1831"/>
      <c r="HGY434" s="1831"/>
      <c r="HGZ434" s="1831"/>
      <c r="HHA434" s="1831"/>
      <c r="HHB434" s="1831"/>
      <c r="HHC434" s="1831"/>
      <c r="HHD434" s="1831"/>
      <c r="HHE434" s="1831"/>
      <c r="HHF434" s="1831"/>
      <c r="HHG434" s="1831"/>
      <c r="HHH434" s="1831"/>
      <c r="HHI434" s="1831"/>
      <c r="HHJ434" s="1831"/>
      <c r="HHK434" s="1831"/>
      <c r="HHL434" s="1831"/>
      <c r="HHM434" s="1831"/>
      <c r="HHN434" s="1831"/>
      <c r="HHO434" s="1831"/>
      <c r="HHP434" s="1831"/>
      <c r="HHQ434" s="1831"/>
      <c r="HHR434" s="1831"/>
      <c r="HHS434" s="1831"/>
      <c r="HHT434" s="1831"/>
      <c r="HHU434" s="1831"/>
      <c r="HHV434" s="1831"/>
      <c r="HHW434" s="1831"/>
      <c r="HHX434" s="1831"/>
      <c r="HHY434" s="1831"/>
      <c r="HHZ434" s="1831"/>
      <c r="HIA434" s="1831"/>
      <c r="HIB434" s="1831"/>
      <c r="HIC434" s="1831"/>
      <c r="HID434" s="1831"/>
      <c r="HIE434" s="1831"/>
      <c r="HIF434" s="1831"/>
      <c r="HIG434" s="1831"/>
      <c r="HIH434" s="1831"/>
      <c r="HII434" s="1831"/>
      <c r="HIJ434" s="1831"/>
      <c r="HIK434" s="1831"/>
      <c r="HIL434" s="1831"/>
      <c r="HIM434" s="1831"/>
      <c r="HIN434" s="1831"/>
      <c r="HIO434" s="1831"/>
      <c r="HIP434" s="1831"/>
      <c r="HIQ434" s="1831"/>
      <c r="HIR434" s="1831"/>
      <c r="HIS434" s="1831"/>
      <c r="HIT434" s="1831"/>
      <c r="HIU434" s="1831"/>
      <c r="HIV434" s="1831"/>
      <c r="HIW434" s="1831"/>
      <c r="HIX434" s="1831"/>
      <c r="HIY434" s="1831"/>
      <c r="HIZ434" s="1831"/>
      <c r="HJA434" s="1831"/>
      <c r="HJB434" s="1831"/>
      <c r="HJC434" s="1831"/>
      <c r="HJD434" s="1831"/>
      <c r="HJE434" s="1831"/>
      <c r="HJF434" s="1831"/>
      <c r="HJG434" s="1831"/>
      <c r="HJH434" s="1831"/>
      <c r="HJI434" s="1831"/>
      <c r="HJJ434" s="1831"/>
      <c r="HJK434" s="1831"/>
      <c r="HJL434" s="1831"/>
      <c r="HJM434" s="1831"/>
      <c r="HJN434" s="1831"/>
      <c r="HJO434" s="1831"/>
      <c r="HJP434" s="1831"/>
      <c r="HJQ434" s="1831"/>
      <c r="HJR434" s="1831"/>
      <c r="HJS434" s="1831"/>
      <c r="HJT434" s="1831"/>
      <c r="HJU434" s="1831"/>
      <c r="HJV434" s="1831"/>
      <c r="HJW434" s="1831"/>
      <c r="HJX434" s="1831"/>
      <c r="HJY434" s="1831"/>
      <c r="HJZ434" s="1831"/>
      <c r="HKA434" s="1831"/>
      <c r="HKB434" s="1831"/>
      <c r="HKC434" s="1831"/>
      <c r="HKD434" s="1831"/>
      <c r="HKE434" s="1831"/>
      <c r="HKF434" s="1831"/>
      <c r="HKG434" s="1831"/>
      <c r="HKH434" s="1831"/>
      <c r="HKI434" s="1831"/>
      <c r="HKJ434" s="1831"/>
      <c r="HKK434" s="1831"/>
      <c r="HKL434" s="1831"/>
      <c r="HKM434" s="1831"/>
      <c r="HKN434" s="1831"/>
      <c r="HKO434" s="1831"/>
      <c r="HKP434" s="1831"/>
      <c r="HKQ434" s="1831"/>
      <c r="HKR434" s="1831"/>
      <c r="HKS434" s="1831"/>
      <c r="HKT434" s="1831"/>
      <c r="HKU434" s="1831"/>
      <c r="HKV434" s="1831"/>
      <c r="HKW434" s="1831"/>
      <c r="HKX434" s="1831"/>
      <c r="HKY434" s="1831"/>
      <c r="HKZ434" s="1831"/>
      <c r="HLA434" s="1831"/>
      <c r="HLB434" s="1831"/>
      <c r="HLC434" s="1831"/>
      <c r="HLD434" s="1831"/>
      <c r="HLE434" s="1831"/>
      <c r="HLF434" s="1831"/>
      <c r="HLG434" s="1831"/>
      <c r="HLH434" s="1831"/>
      <c r="HLI434" s="1831"/>
      <c r="HLJ434" s="1831"/>
      <c r="HLK434" s="1831"/>
      <c r="HLL434" s="1831"/>
      <c r="HLM434" s="1831"/>
      <c r="HLN434" s="1831"/>
      <c r="HLO434" s="1831"/>
      <c r="HLP434" s="1831"/>
      <c r="HLQ434" s="1831"/>
      <c r="HLR434" s="1831"/>
      <c r="HLS434" s="1831"/>
      <c r="HLT434" s="1831"/>
      <c r="HLU434" s="1831"/>
      <c r="HLV434" s="1831"/>
      <c r="HLW434" s="1831"/>
      <c r="HLX434" s="1831"/>
      <c r="HLY434" s="1831"/>
      <c r="HLZ434" s="1831"/>
      <c r="HMA434" s="1831"/>
      <c r="HMB434" s="1831"/>
      <c r="HMC434" s="1831"/>
      <c r="HMD434" s="1831"/>
      <c r="HME434" s="1831"/>
      <c r="HMF434" s="1831"/>
      <c r="HMG434" s="1831"/>
      <c r="HMH434" s="1831"/>
      <c r="HMI434" s="1831"/>
      <c r="HMJ434" s="1831"/>
      <c r="HMK434" s="1831"/>
      <c r="HML434" s="1831"/>
      <c r="HMM434" s="1831"/>
      <c r="HMN434" s="1831"/>
      <c r="HMO434" s="1831"/>
      <c r="HMP434" s="1831"/>
      <c r="HMQ434" s="1831"/>
      <c r="HMR434" s="1831"/>
      <c r="HMS434" s="1831"/>
      <c r="HMT434" s="1831"/>
      <c r="HMU434" s="1831"/>
      <c r="HMV434" s="1831"/>
      <c r="HMW434" s="1831"/>
      <c r="HMX434" s="1831"/>
      <c r="HMY434" s="1831"/>
      <c r="HMZ434" s="1831"/>
      <c r="HNA434" s="1831"/>
      <c r="HNB434" s="1831"/>
      <c r="HNC434" s="1831"/>
      <c r="HND434" s="1831"/>
      <c r="HNE434" s="1831"/>
      <c r="HNF434" s="1831"/>
      <c r="HNG434" s="1831"/>
      <c r="HNH434" s="1831"/>
      <c r="HNI434" s="1831"/>
      <c r="HNJ434" s="1831"/>
      <c r="HNK434" s="1831"/>
      <c r="HNL434" s="1831"/>
      <c r="HNM434" s="1831"/>
      <c r="HNN434" s="1831"/>
      <c r="HNO434" s="1831"/>
      <c r="HNP434" s="1831"/>
      <c r="HNQ434" s="1831"/>
      <c r="HNR434" s="1831"/>
      <c r="HNS434" s="1831"/>
      <c r="HNT434" s="1831"/>
      <c r="HNU434" s="1831"/>
      <c r="HNV434" s="1831"/>
      <c r="HNW434" s="1831"/>
      <c r="HNX434" s="1831"/>
      <c r="HNY434" s="1831"/>
      <c r="HNZ434" s="1831"/>
      <c r="HOA434" s="1831"/>
      <c r="HOB434" s="1831"/>
      <c r="HOC434" s="1831"/>
      <c r="HOD434" s="1831"/>
      <c r="HOE434" s="1831"/>
      <c r="HOF434" s="1831"/>
      <c r="HOG434" s="1831"/>
      <c r="HOH434" s="1831"/>
      <c r="HOI434" s="1831"/>
      <c r="HOJ434" s="1831"/>
      <c r="HOK434" s="1831"/>
      <c r="HOL434" s="1831"/>
      <c r="HOM434" s="1831"/>
      <c r="HON434" s="1831"/>
      <c r="HOO434" s="1831"/>
      <c r="HOP434" s="1831"/>
      <c r="HOQ434" s="1831"/>
      <c r="HOR434" s="1831"/>
      <c r="HOS434" s="1831"/>
      <c r="HOT434" s="1831"/>
      <c r="HOU434" s="1831"/>
      <c r="HOV434" s="1831"/>
      <c r="HOW434" s="1831"/>
      <c r="HOX434" s="1831"/>
      <c r="HOY434" s="1831"/>
      <c r="HOZ434" s="1831"/>
      <c r="HPA434" s="1831"/>
      <c r="HPB434" s="1831"/>
      <c r="HPC434" s="1831"/>
      <c r="HPD434" s="1831"/>
      <c r="HPE434" s="1831"/>
      <c r="HPF434" s="1831"/>
      <c r="HPG434" s="1831"/>
      <c r="HPH434" s="1831"/>
      <c r="HPI434" s="1831"/>
      <c r="HPJ434" s="1831"/>
      <c r="HPK434" s="1831"/>
      <c r="HPL434" s="1831"/>
      <c r="HPM434" s="1831"/>
      <c r="HPN434" s="1831"/>
      <c r="HPO434" s="1831"/>
      <c r="HPP434" s="1831"/>
      <c r="HPQ434" s="1831"/>
      <c r="HPR434" s="1831"/>
      <c r="HPS434" s="1831"/>
      <c r="HPT434" s="1831"/>
      <c r="HPU434" s="1831"/>
      <c r="HPV434" s="1831"/>
      <c r="HPW434" s="1831"/>
      <c r="HPX434" s="1831"/>
      <c r="HPY434" s="1831"/>
      <c r="HPZ434" s="1831"/>
      <c r="HQA434" s="1831"/>
      <c r="HQB434" s="1831"/>
      <c r="HQC434" s="1831"/>
      <c r="HQD434" s="1831"/>
      <c r="HQE434" s="1831"/>
      <c r="HQF434" s="1831"/>
      <c r="HQG434" s="1831"/>
      <c r="HQH434" s="1831"/>
      <c r="HQI434" s="1831"/>
      <c r="HQJ434" s="1831"/>
      <c r="HQK434" s="1831"/>
      <c r="HQL434" s="1831"/>
      <c r="HQM434" s="1831"/>
      <c r="HQN434" s="1831"/>
      <c r="HQO434" s="1831"/>
      <c r="HQP434" s="1831"/>
      <c r="HQQ434" s="1831"/>
      <c r="HQR434" s="1831"/>
      <c r="HQS434" s="1831"/>
      <c r="HQT434" s="1831"/>
      <c r="HQU434" s="1831"/>
      <c r="HQV434" s="1831"/>
      <c r="HQW434" s="1831"/>
      <c r="HQX434" s="1831"/>
      <c r="HQY434" s="1831"/>
      <c r="HQZ434" s="1831"/>
      <c r="HRA434" s="1831"/>
      <c r="HRB434" s="1831"/>
      <c r="HRC434" s="1831"/>
      <c r="HRD434" s="1831"/>
      <c r="HRE434" s="1831"/>
      <c r="HRF434" s="1831"/>
      <c r="HRG434" s="1831"/>
      <c r="HRH434" s="1831"/>
      <c r="HRI434" s="1831"/>
      <c r="HRJ434" s="1831"/>
      <c r="HRK434" s="1831"/>
      <c r="HRL434" s="1831"/>
      <c r="HRM434" s="1831"/>
      <c r="HRN434" s="1831"/>
      <c r="HRO434" s="1831"/>
      <c r="HRP434" s="1831"/>
      <c r="HRQ434" s="1831"/>
      <c r="HRR434" s="1831"/>
      <c r="HRS434" s="1831"/>
      <c r="HRT434" s="1831"/>
      <c r="HRU434" s="1831"/>
      <c r="HRV434" s="1831"/>
      <c r="HRW434" s="1831"/>
      <c r="HRX434" s="1831"/>
      <c r="HRY434" s="1831"/>
      <c r="HRZ434" s="1831"/>
      <c r="HSA434" s="1831"/>
      <c r="HSB434" s="1831"/>
      <c r="HSC434" s="1831"/>
      <c r="HSD434" s="1831"/>
      <c r="HSE434" s="1831"/>
      <c r="HSF434" s="1831"/>
      <c r="HSG434" s="1831"/>
      <c r="HSH434" s="1831"/>
      <c r="HSI434" s="1831"/>
      <c r="HSJ434" s="1831"/>
      <c r="HSK434" s="1831"/>
      <c r="HSL434" s="1831"/>
      <c r="HSM434" s="1831"/>
      <c r="HSN434" s="1831"/>
      <c r="HSO434" s="1831"/>
      <c r="HSP434" s="1831"/>
      <c r="HSQ434" s="1831"/>
      <c r="HSR434" s="1831"/>
      <c r="HSS434" s="1831"/>
      <c r="HST434" s="1831"/>
      <c r="HSU434" s="1831"/>
      <c r="HSV434" s="1831"/>
      <c r="HSW434" s="1831"/>
      <c r="HSX434" s="1831"/>
      <c r="HSY434" s="1831"/>
      <c r="HSZ434" s="1831"/>
      <c r="HTA434" s="1831"/>
      <c r="HTB434" s="1831"/>
      <c r="HTC434" s="1831"/>
      <c r="HTD434" s="1831"/>
      <c r="HTE434" s="1831"/>
      <c r="HTF434" s="1831"/>
      <c r="HTG434" s="1831"/>
      <c r="HTH434" s="1831"/>
      <c r="HTI434" s="1831"/>
      <c r="HTJ434" s="1831"/>
      <c r="HTK434" s="1831"/>
      <c r="HTL434" s="1831"/>
      <c r="HTM434" s="1831"/>
      <c r="HTN434" s="1831"/>
      <c r="HTO434" s="1831"/>
      <c r="HTP434" s="1831"/>
      <c r="HTQ434" s="1831"/>
      <c r="HTR434" s="1831"/>
      <c r="HTS434" s="1831"/>
      <c r="HTT434" s="1831"/>
      <c r="HTU434" s="1831"/>
      <c r="HTV434" s="1831"/>
      <c r="HTW434" s="1831"/>
      <c r="HTX434" s="1831"/>
      <c r="HTY434" s="1831"/>
      <c r="HTZ434" s="1831"/>
      <c r="HUA434" s="1831"/>
      <c r="HUB434" s="1831"/>
      <c r="HUC434" s="1831"/>
      <c r="HUD434" s="1831"/>
      <c r="HUE434" s="1831"/>
      <c r="HUF434" s="1831"/>
      <c r="HUG434" s="1831"/>
      <c r="HUH434" s="1831"/>
      <c r="HUI434" s="1831"/>
      <c r="HUJ434" s="1831"/>
      <c r="HUK434" s="1831"/>
      <c r="HUL434" s="1831"/>
      <c r="HUM434" s="1831"/>
      <c r="HUN434" s="1831"/>
      <c r="HUO434" s="1831"/>
      <c r="HUP434" s="1831"/>
      <c r="HUQ434" s="1831"/>
      <c r="HUR434" s="1831"/>
      <c r="HUS434" s="1831"/>
      <c r="HUT434" s="1831"/>
      <c r="HUU434" s="1831"/>
      <c r="HUV434" s="1831"/>
      <c r="HUW434" s="1831"/>
      <c r="HUX434" s="1831"/>
      <c r="HUY434" s="1831"/>
      <c r="HUZ434" s="1831"/>
      <c r="HVA434" s="1831"/>
      <c r="HVB434" s="1831"/>
      <c r="HVC434" s="1831"/>
      <c r="HVD434" s="1831"/>
      <c r="HVE434" s="1831"/>
      <c r="HVF434" s="1831"/>
      <c r="HVG434" s="1831"/>
      <c r="HVH434" s="1831"/>
      <c r="HVI434" s="1831"/>
      <c r="HVJ434" s="1831"/>
      <c r="HVK434" s="1831"/>
      <c r="HVL434" s="1831"/>
      <c r="HVM434" s="1831"/>
      <c r="HVN434" s="1831"/>
      <c r="HVO434" s="1831"/>
      <c r="HVP434" s="1831"/>
      <c r="HVQ434" s="1831"/>
      <c r="HVR434" s="1831"/>
      <c r="HVS434" s="1831"/>
      <c r="HVT434" s="1831"/>
      <c r="HVU434" s="1831"/>
      <c r="HVV434" s="1831"/>
      <c r="HVW434" s="1831"/>
      <c r="HVX434" s="1831"/>
      <c r="HVY434" s="1831"/>
      <c r="HVZ434" s="1831"/>
      <c r="HWA434" s="1831"/>
      <c r="HWB434" s="1831"/>
      <c r="HWC434" s="1831"/>
      <c r="HWD434" s="1831"/>
      <c r="HWE434" s="1831"/>
      <c r="HWF434" s="1831"/>
      <c r="HWG434" s="1831"/>
      <c r="HWH434" s="1831"/>
      <c r="HWI434" s="1831"/>
      <c r="HWJ434" s="1831"/>
      <c r="HWK434" s="1831"/>
      <c r="HWL434" s="1831"/>
      <c r="HWM434" s="1831"/>
      <c r="HWN434" s="1831"/>
      <c r="HWO434" s="1831"/>
      <c r="HWP434" s="1831"/>
      <c r="HWQ434" s="1831"/>
      <c r="HWR434" s="1831"/>
      <c r="HWS434" s="1831"/>
      <c r="HWT434" s="1831"/>
      <c r="HWU434" s="1831"/>
      <c r="HWV434" s="1831"/>
      <c r="HWW434" s="1831"/>
      <c r="HWX434" s="1831"/>
      <c r="HWY434" s="1831"/>
      <c r="HWZ434" s="1831"/>
      <c r="HXA434" s="1831"/>
      <c r="HXB434" s="1831"/>
      <c r="HXC434" s="1831"/>
      <c r="HXD434" s="1831"/>
      <c r="HXE434" s="1831"/>
      <c r="HXF434" s="1831"/>
      <c r="HXG434" s="1831"/>
      <c r="HXH434" s="1831"/>
      <c r="HXI434" s="1831"/>
      <c r="HXJ434" s="1831"/>
      <c r="HXK434" s="1831"/>
      <c r="HXL434" s="1831"/>
      <c r="HXM434" s="1831"/>
      <c r="HXN434" s="1831"/>
      <c r="HXO434" s="1831"/>
      <c r="HXP434" s="1831"/>
      <c r="HXQ434" s="1831"/>
      <c r="HXR434" s="1831"/>
      <c r="HXS434" s="1831"/>
      <c r="HXT434" s="1831"/>
      <c r="HXU434" s="1831"/>
      <c r="HXV434" s="1831"/>
      <c r="HXW434" s="1831"/>
      <c r="HXX434" s="1831"/>
      <c r="HXY434" s="1831"/>
      <c r="HXZ434" s="1831"/>
      <c r="HYA434" s="1831"/>
      <c r="HYB434" s="1831"/>
      <c r="HYC434" s="1831"/>
      <c r="HYD434" s="1831"/>
      <c r="HYE434" s="1831"/>
      <c r="HYF434" s="1831"/>
      <c r="HYG434" s="1831"/>
      <c r="HYH434" s="1831"/>
      <c r="HYI434" s="1831"/>
      <c r="HYJ434" s="1831"/>
      <c r="HYK434" s="1831"/>
      <c r="HYL434" s="1831"/>
      <c r="HYM434" s="1831"/>
      <c r="HYN434" s="1831"/>
      <c r="HYO434" s="1831"/>
      <c r="HYP434" s="1831"/>
      <c r="HYQ434" s="1831"/>
      <c r="HYR434" s="1831"/>
      <c r="HYS434" s="1831"/>
      <c r="HYT434" s="1831"/>
      <c r="HYU434" s="1831"/>
      <c r="HYV434" s="1831"/>
      <c r="HYW434" s="1831"/>
      <c r="HYX434" s="1831"/>
      <c r="HYY434" s="1831"/>
      <c r="HYZ434" s="1831"/>
      <c r="HZA434" s="1831"/>
      <c r="HZB434" s="1831"/>
      <c r="HZC434" s="1831"/>
      <c r="HZD434" s="1831"/>
      <c r="HZE434" s="1831"/>
      <c r="HZF434" s="1831"/>
      <c r="HZG434" s="1831"/>
      <c r="HZH434" s="1831"/>
      <c r="HZI434" s="1831"/>
      <c r="HZJ434" s="1831"/>
      <c r="HZK434" s="1831"/>
      <c r="HZL434" s="1831"/>
      <c r="HZM434" s="1831"/>
      <c r="HZN434" s="1831"/>
      <c r="HZO434" s="1831"/>
      <c r="HZP434" s="1831"/>
      <c r="HZQ434" s="1831"/>
      <c r="HZR434" s="1831"/>
      <c r="HZS434" s="1831"/>
      <c r="HZT434" s="1831"/>
      <c r="HZU434" s="1831"/>
      <c r="HZV434" s="1831"/>
      <c r="HZW434" s="1831"/>
      <c r="HZX434" s="1831"/>
      <c r="HZY434" s="1831"/>
      <c r="HZZ434" s="1831"/>
      <c r="IAA434" s="1831"/>
      <c r="IAB434" s="1831"/>
      <c r="IAC434" s="1831"/>
      <c r="IAD434" s="1831"/>
      <c r="IAE434" s="1831"/>
      <c r="IAF434" s="1831"/>
      <c r="IAG434" s="1831"/>
      <c r="IAH434" s="1831"/>
      <c r="IAI434" s="1831"/>
      <c r="IAJ434" s="1831"/>
      <c r="IAK434" s="1831"/>
      <c r="IAL434" s="1831"/>
      <c r="IAM434" s="1831"/>
      <c r="IAN434" s="1831"/>
      <c r="IAO434" s="1831"/>
      <c r="IAP434" s="1831"/>
      <c r="IAQ434" s="1831"/>
      <c r="IAR434" s="1831"/>
      <c r="IAS434" s="1831"/>
      <c r="IAT434" s="1831"/>
      <c r="IAU434" s="1831"/>
      <c r="IAV434" s="1831"/>
      <c r="IAW434" s="1831"/>
      <c r="IAX434" s="1831"/>
      <c r="IAY434" s="1831"/>
      <c r="IAZ434" s="1831"/>
      <c r="IBA434" s="1831"/>
      <c r="IBB434" s="1831"/>
      <c r="IBC434" s="1831"/>
      <c r="IBD434" s="1831"/>
      <c r="IBE434" s="1831"/>
      <c r="IBF434" s="1831"/>
      <c r="IBG434" s="1831"/>
      <c r="IBH434" s="1831"/>
      <c r="IBI434" s="1831"/>
      <c r="IBJ434" s="1831"/>
      <c r="IBK434" s="1831"/>
      <c r="IBL434" s="1831"/>
      <c r="IBM434" s="1831"/>
      <c r="IBN434" s="1831"/>
      <c r="IBO434" s="1831"/>
      <c r="IBP434" s="1831"/>
      <c r="IBQ434" s="1831"/>
      <c r="IBR434" s="1831"/>
      <c r="IBS434" s="1831"/>
      <c r="IBT434" s="1831"/>
      <c r="IBU434" s="1831"/>
      <c r="IBV434" s="1831"/>
      <c r="IBW434" s="1831"/>
      <c r="IBX434" s="1831"/>
      <c r="IBY434" s="1831"/>
      <c r="IBZ434" s="1831"/>
      <c r="ICA434" s="1831"/>
      <c r="ICB434" s="1831"/>
      <c r="ICC434" s="1831"/>
      <c r="ICD434" s="1831"/>
      <c r="ICE434" s="1831"/>
      <c r="ICF434" s="1831"/>
      <c r="ICG434" s="1831"/>
      <c r="ICH434" s="1831"/>
      <c r="ICI434" s="1831"/>
      <c r="ICJ434" s="1831"/>
      <c r="ICK434" s="1831"/>
      <c r="ICL434" s="1831"/>
      <c r="ICM434" s="1831"/>
      <c r="ICN434" s="1831"/>
      <c r="ICO434" s="1831"/>
      <c r="ICP434" s="1831"/>
      <c r="ICQ434" s="1831"/>
      <c r="ICR434" s="1831"/>
      <c r="ICS434" s="1831"/>
      <c r="ICT434" s="1831"/>
      <c r="ICU434" s="1831"/>
      <c r="ICV434" s="1831"/>
      <c r="ICW434" s="1831"/>
      <c r="ICX434" s="1831"/>
      <c r="ICY434" s="1831"/>
      <c r="ICZ434" s="1831"/>
      <c r="IDA434" s="1831"/>
      <c r="IDB434" s="1831"/>
      <c r="IDC434" s="1831"/>
      <c r="IDD434" s="1831"/>
      <c r="IDE434" s="1831"/>
      <c r="IDF434" s="1831"/>
      <c r="IDG434" s="1831"/>
      <c r="IDH434" s="1831"/>
      <c r="IDI434" s="1831"/>
      <c r="IDJ434" s="1831"/>
      <c r="IDK434" s="1831"/>
      <c r="IDL434" s="1831"/>
      <c r="IDM434" s="1831"/>
      <c r="IDN434" s="1831"/>
      <c r="IDO434" s="1831"/>
      <c r="IDP434" s="1831"/>
      <c r="IDQ434" s="1831"/>
      <c r="IDR434" s="1831"/>
      <c r="IDS434" s="1831"/>
      <c r="IDT434" s="1831"/>
      <c r="IDU434" s="1831"/>
      <c r="IDV434" s="1831"/>
      <c r="IDW434" s="1831"/>
      <c r="IDX434" s="1831"/>
      <c r="IDY434" s="1831"/>
      <c r="IDZ434" s="1831"/>
      <c r="IEA434" s="1831"/>
      <c r="IEB434" s="1831"/>
      <c r="IEC434" s="1831"/>
      <c r="IED434" s="1831"/>
      <c r="IEE434" s="1831"/>
      <c r="IEF434" s="1831"/>
      <c r="IEG434" s="1831"/>
      <c r="IEH434" s="1831"/>
      <c r="IEI434" s="1831"/>
      <c r="IEJ434" s="1831"/>
      <c r="IEK434" s="1831"/>
      <c r="IEL434" s="1831"/>
      <c r="IEM434" s="1831"/>
      <c r="IEN434" s="1831"/>
      <c r="IEO434" s="1831"/>
      <c r="IEP434" s="1831"/>
      <c r="IEQ434" s="1831"/>
      <c r="IER434" s="1831"/>
      <c r="IES434" s="1831"/>
      <c r="IET434" s="1831"/>
      <c r="IEU434" s="1831"/>
      <c r="IEV434" s="1831"/>
      <c r="IEW434" s="1831"/>
      <c r="IEX434" s="1831"/>
      <c r="IEY434" s="1831"/>
      <c r="IEZ434" s="1831"/>
      <c r="IFA434" s="1831"/>
      <c r="IFB434" s="1831"/>
      <c r="IFC434" s="1831"/>
      <c r="IFD434" s="1831"/>
      <c r="IFE434" s="1831"/>
      <c r="IFF434" s="1831"/>
      <c r="IFG434" s="1831"/>
      <c r="IFH434" s="1831"/>
      <c r="IFI434" s="1831"/>
      <c r="IFJ434" s="1831"/>
      <c r="IFK434" s="1831"/>
      <c r="IFL434" s="1831"/>
      <c r="IFM434" s="1831"/>
      <c r="IFN434" s="1831"/>
      <c r="IFO434" s="1831"/>
      <c r="IFP434" s="1831"/>
      <c r="IFQ434" s="1831"/>
      <c r="IFR434" s="1831"/>
      <c r="IFS434" s="1831"/>
      <c r="IFT434" s="1831"/>
      <c r="IFU434" s="1831"/>
      <c r="IFV434" s="1831"/>
      <c r="IFW434" s="1831"/>
      <c r="IFX434" s="1831"/>
      <c r="IFY434" s="1831"/>
      <c r="IFZ434" s="1831"/>
      <c r="IGA434" s="1831"/>
      <c r="IGB434" s="1831"/>
      <c r="IGC434" s="1831"/>
      <c r="IGD434" s="1831"/>
      <c r="IGE434" s="1831"/>
      <c r="IGF434" s="1831"/>
      <c r="IGG434" s="1831"/>
      <c r="IGH434" s="1831"/>
      <c r="IGI434" s="1831"/>
      <c r="IGJ434" s="1831"/>
      <c r="IGK434" s="1831"/>
      <c r="IGL434" s="1831"/>
      <c r="IGM434" s="1831"/>
      <c r="IGN434" s="1831"/>
      <c r="IGO434" s="1831"/>
      <c r="IGP434" s="1831"/>
      <c r="IGQ434" s="1831"/>
      <c r="IGR434" s="1831"/>
      <c r="IGS434" s="1831"/>
      <c r="IGT434" s="1831"/>
      <c r="IGU434" s="1831"/>
      <c r="IGV434" s="1831"/>
      <c r="IGW434" s="1831"/>
      <c r="IGX434" s="1831"/>
      <c r="IGY434" s="1831"/>
      <c r="IGZ434" s="1831"/>
      <c r="IHA434" s="1831"/>
      <c r="IHB434" s="1831"/>
      <c r="IHC434" s="1831"/>
      <c r="IHD434" s="1831"/>
      <c r="IHE434" s="1831"/>
      <c r="IHF434" s="1831"/>
      <c r="IHG434" s="1831"/>
      <c r="IHH434" s="1831"/>
      <c r="IHI434" s="1831"/>
      <c r="IHJ434" s="1831"/>
      <c r="IHK434" s="1831"/>
      <c r="IHL434" s="1831"/>
      <c r="IHM434" s="1831"/>
      <c r="IHN434" s="1831"/>
      <c r="IHO434" s="1831"/>
      <c r="IHP434" s="1831"/>
      <c r="IHQ434" s="1831"/>
      <c r="IHR434" s="1831"/>
      <c r="IHS434" s="1831"/>
      <c r="IHT434" s="1831"/>
      <c r="IHU434" s="1831"/>
      <c r="IHV434" s="1831"/>
      <c r="IHW434" s="1831"/>
      <c r="IHX434" s="1831"/>
      <c r="IHY434" s="1831"/>
      <c r="IHZ434" s="1831"/>
      <c r="IIA434" s="1831"/>
      <c r="IIB434" s="1831"/>
      <c r="IIC434" s="1831"/>
      <c r="IID434" s="1831"/>
      <c r="IIE434" s="1831"/>
      <c r="IIF434" s="1831"/>
      <c r="IIG434" s="1831"/>
      <c r="IIH434" s="1831"/>
      <c r="III434" s="1831"/>
      <c r="IIJ434" s="1831"/>
      <c r="IIK434" s="1831"/>
      <c r="IIL434" s="1831"/>
      <c r="IIM434" s="1831"/>
      <c r="IIN434" s="1831"/>
      <c r="IIO434" s="1831"/>
      <c r="IIP434" s="1831"/>
      <c r="IIQ434" s="1831"/>
      <c r="IIR434" s="1831"/>
      <c r="IIS434" s="1831"/>
      <c r="IIT434" s="1831"/>
      <c r="IIU434" s="1831"/>
      <c r="IIV434" s="1831"/>
      <c r="IIW434" s="1831"/>
      <c r="IIX434" s="1831"/>
      <c r="IIY434" s="1831"/>
      <c r="IIZ434" s="1831"/>
      <c r="IJA434" s="1831"/>
      <c r="IJB434" s="1831"/>
      <c r="IJC434" s="1831"/>
      <c r="IJD434" s="1831"/>
      <c r="IJE434" s="1831"/>
      <c r="IJF434" s="1831"/>
      <c r="IJG434" s="1831"/>
      <c r="IJH434" s="1831"/>
      <c r="IJI434" s="1831"/>
      <c r="IJJ434" s="1831"/>
      <c r="IJK434" s="1831"/>
      <c r="IJL434" s="1831"/>
      <c r="IJM434" s="1831"/>
      <c r="IJN434" s="1831"/>
      <c r="IJO434" s="1831"/>
      <c r="IJP434" s="1831"/>
      <c r="IJQ434" s="1831"/>
      <c r="IJR434" s="1831"/>
      <c r="IJS434" s="1831"/>
      <c r="IJT434" s="1831"/>
      <c r="IJU434" s="1831"/>
      <c r="IJV434" s="1831"/>
      <c r="IJW434" s="1831"/>
      <c r="IJX434" s="1831"/>
      <c r="IJY434" s="1831"/>
      <c r="IJZ434" s="1831"/>
      <c r="IKA434" s="1831"/>
      <c r="IKB434" s="1831"/>
      <c r="IKC434" s="1831"/>
      <c r="IKD434" s="1831"/>
      <c r="IKE434" s="1831"/>
      <c r="IKF434" s="1831"/>
      <c r="IKG434" s="1831"/>
      <c r="IKH434" s="1831"/>
      <c r="IKI434" s="1831"/>
      <c r="IKJ434" s="1831"/>
      <c r="IKK434" s="1831"/>
      <c r="IKL434" s="1831"/>
      <c r="IKM434" s="1831"/>
      <c r="IKN434" s="1831"/>
      <c r="IKO434" s="1831"/>
      <c r="IKP434" s="1831"/>
      <c r="IKQ434" s="1831"/>
      <c r="IKR434" s="1831"/>
      <c r="IKS434" s="1831"/>
      <c r="IKT434" s="1831"/>
      <c r="IKU434" s="1831"/>
      <c r="IKV434" s="1831"/>
      <c r="IKW434" s="1831"/>
      <c r="IKX434" s="1831"/>
      <c r="IKY434" s="1831"/>
      <c r="IKZ434" s="1831"/>
      <c r="ILA434" s="1831"/>
      <c r="ILB434" s="1831"/>
      <c r="ILC434" s="1831"/>
      <c r="ILD434" s="1831"/>
      <c r="ILE434" s="1831"/>
      <c r="ILF434" s="1831"/>
      <c r="ILG434" s="1831"/>
      <c r="ILH434" s="1831"/>
      <c r="ILI434" s="1831"/>
      <c r="ILJ434" s="1831"/>
      <c r="ILK434" s="1831"/>
      <c r="ILL434" s="1831"/>
      <c r="ILM434" s="1831"/>
      <c r="ILN434" s="1831"/>
      <c r="ILO434" s="1831"/>
      <c r="ILP434" s="1831"/>
      <c r="ILQ434" s="1831"/>
      <c r="ILR434" s="1831"/>
      <c r="ILS434" s="1831"/>
      <c r="ILT434" s="1831"/>
      <c r="ILU434" s="1831"/>
      <c r="ILV434" s="1831"/>
      <c r="ILW434" s="1831"/>
      <c r="ILX434" s="1831"/>
      <c r="ILY434" s="1831"/>
      <c r="ILZ434" s="1831"/>
      <c r="IMA434" s="1831"/>
      <c r="IMB434" s="1831"/>
      <c r="IMC434" s="1831"/>
      <c r="IMD434" s="1831"/>
      <c r="IME434" s="1831"/>
      <c r="IMF434" s="1831"/>
      <c r="IMG434" s="1831"/>
      <c r="IMH434" s="1831"/>
      <c r="IMI434" s="1831"/>
      <c r="IMJ434" s="1831"/>
      <c r="IMK434" s="1831"/>
      <c r="IML434" s="1831"/>
      <c r="IMM434" s="1831"/>
      <c r="IMN434" s="1831"/>
      <c r="IMO434" s="1831"/>
      <c r="IMP434" s="1831"/>
      <c r="IMQ434" s="1831"/>
      <c r="IMR434" s="1831"/>
      <c r="IMS434" s="1831"/>
      <c r="IMT434" s="1831"/>
      <c r="IMU434" s="1831"/>
      <c r="IMV434" s="1831"/>
      <c r="IMW434" s="1831"/>
      <c r="IMX434" s="1831"/>
      <c r="IMY434" s="1831"/>
      <c r="IMZ434" s="1831"/>
      <c r="INA434" s="1831"/>
      <c r="INB434" s="1831"/>
      <c r="INC434" s="1831"/>
      <c r="IND434" s="1831"/>
      <c r="INE434" s="1831"/>
      <c r="INF434" s="1831"/>
      <c r="ING434" s="1831"/>
      <c r="INH434" s="1831"/>
      <c r="INI434" s="1831"/>
      <c r="INJ434" s="1831"/>
      <c r="INK434" s="1831"/>
      <c r="INL434" s="1831"/>
      <c r="INM434" s="1831"/>
      <c r="INN434" s="1831"/>
      <c r="INO434" s="1831"/>
      <c r="INP434" s="1831"/>
      <c r="INQ434" s="1831"/>
      <c r="INR434" s="1831"/>
      <c r="INS434" s="1831"/>
      <c r="INT434" s="1831"/>
      <c r="INU434" s="1831"/>
      <c r="INV434" s="1831"/>
      <c r="INW434" s="1831"/>
      <c r="INX434" s="1831"/>
      <c r="INY434" s="1831"/>
      <c r="INZ434" s="1831"/>
      <c r="IOA434" s="1831"/>
      <c r="IOB434" s="1831"/>
      <c r="IOC434" s="1831"/>
      <c r="IOD434" s="1831"/>
      <c r="IOE434" s="1831"/>
      <c r="IOF434" s="1831"/>
      <c r="IOG434" s="1831"/>
      <c r="IOH434" s="1831"/>
      <c r="IOI434" s="1831"/>
      <c r="IOJ434" s="1831"/>
      <c r="IOK434" s="1831"/>
      <c r="IOL434" s="1831"/>
      <c r="IOM434" s="1831"/>
      <c r="ION434" s="1831"/>
      <c r="IOO434" s="1831"/>
      <c r="IOP434" s="1831"/>
      <c r="IOQ434" s="1831"/>
      <c r="IOR434" s="1831"/>
      <c r="IOS434" s="1831"/>
      <c r="IOT434" s="1831"/>
      <c r="IOU434" s="1831"/>
      <c r="IOV434" s="1831"/>
      <c r="IOW434" s="1831"/>
      <c r="IOX434" s="1831"/>
      <c r="IOY434" s="1831"/>
      <c r="IOZ434" s="1831"/>
      <c r="IPA434" s="1831"/>
      <c r="IPB434" s="1831"/>
      <c r="IPC434" s="1831"/>
      <c r="IPD434" s="1831"/>
      <c r="IPE434" s="1831"/>
      <c r="IPF434" s="1831"/>
      <c r="IPG434" s="1831"/>
      <c r="IPH434" s="1831"/>
      <c r="IPI434" s="1831"/>
      <c r="IPJ434" s="1831"/>
      <c r="IPK434" s="1831"/>
      <c r="IPL434" s="1831"/>
      <c r="IPM434" s="1831"/>
      <c r="IPN434" s="1831"/>
      <c r="IPO434" s="1831"/>
      <c r="IPP434" s="1831"/>
      <c r="IPQ434" s="1831"/>
      <c r="IPR434" s="1831"/>
      <c r="IPS434" s="1831"/>
      <c r="IPT434" s="1831"/>
      <c r="IPU434" s="1831"/>
      <c r="IPV434" s="1831"/>
      <c r="IPW434" s="1831"/>
      <c r="IPX434" s="1831"/>
      <c r="IPY434" s="1831"/>
      <c r="IPZ434" s="1831"/>
      <c r="IQA434" s="1831"/>
      <c r="IQB434" s="1831"/>
      <c r="IQC434" s="1831"/>
      <c r="IQD434" s="1831"/>
      <c r="IQE434" s="1831"/>
      <c r="IQF434" s="1831"/>
      <c r="IQG434" s="1831"/>
      <c r="IQH434" s="1831"/>
      <c r="IQI434" s="1831"/>
      <c r="IQJ434" s="1831"/>
      <c r="IQK434" s="1831"/>
      <c r="IQL434" s="1831"/>
      <c r="IQM434" s="1831"/>
      <c r="IQN434" s="1831"/>
      <c r="IQO434" s="1831"/>
      <c r="IQP434" s="1831"/>
      <c r="IQQ434" s="1831"/>
      <c r="IQR434" s="1831"/>
      <c r="IQS434" s="1831"/>
      <c r="IQT434" s="1831"/>
      <c r="IQU434" s="1831"/>
      <c r="IQV434" s="1831"/>
      <c r="IQW434" s="1831"/>
      <c r="IQX434" s="1831"/>
      <c r="IQY434" s="1831"/>
      <c r="IQZ434" s="1831"/>
      <c r="IRA434" s="1831"/>
      <c r="IRB434" s="1831"/>
      <c r="IRC434" s="1831"/>
      <c r="IRD434" s="1831"/>
      <c r="IRE434" s="1831"/>
      <c r="IRF434" s="1831"/>
      <c r="IRG434" s="1831"/>
      <c r="IRH434" s="1831"/>
      <c r="IRI434" s="1831"/>
      <c r="IRJ434" s="1831"/>
      <c r="IRK434" s="1831"/>
      <c r="IRL434" s="1831"/>
      <c r="IRM434" s="1831"/>
      <c r="IRN434" s="1831"/>
      <c r="IRO434" s="1831"/>
      <c r="IRP434" s="1831"/>
      <c r="IRQ434" s="1831"/>
      <c r="IRR434" s="1831"/>
      <c r="IRS434" s="1831"/>
      <c r="IRT434" s="1831"/>
      <c r="IRU434" s="1831"/>
      <c r="IRV434" s="1831"/>
      <c r="IRW434" s="1831"/>
      <c r="IRX434" s="1831"/>
      <c r="IRY434" s="1831"/>
      <c r="IRZ434" s="1831"/>
      <c r="ISA434" s="1831"/>
      <c r="ISB434" s="1831"/>
      <c r="ISC434" s="1831"/>
      <c r="ISD434" s="1831"/>
      <c r="ISE434" s="1831"/>
      <c r="ISF434" s="1831"/>
      <c r="ISG434" s="1831"/>
      <c r="ISH434" s="1831"/>
      <c r="ISI434" s="1831"/>
      <c r="ISJ434" s="1831"/>
      <c r="ISK434" s="1831"/>
      <c r="ISL434" s="1831"/>
      <c r="ISM434" s="1831"/>
      <c r="ISN434" s="1831"/>
      <c r="ISO434" s="1831"/>
      <c r="ISP434" s="1831"/>
      <c r="ISQ434" s="1831"/>
      <c r="ISR434" s="1831"/>
      <c r="ISS434" s="1831"/>
      <c r="IST434" s="1831"/>
      <c r="ISU434" s="1831"/>
      <c r="ISV434" s="1831"/>
      <c r="ISW434" s="1831"/>
      <c r="ISX434" s="1831"/>
      <c r="ISY434" s="1831"/>
      <c r="ISZ434" s="1831"/>
      <c r="ITA434" s="1831"/>
      <c r="ITB434" s="1831"/>
      <c r="ITC434" s="1831"/>
      <c r="ITD434" s="1831"/>
      <c r="ITE434" s="1831"/>
      <c r="ITF434" s="1831"/>
      <c r="ITG434" s="1831"/>
      <c r="ITH434" s="1831"/>
      <c r="ITI434" s="1831"/>
      <c r="ITJ434" s="1831"/>
      <c r="ITK434" s="1831"/>
      <c r="ITL434" s="1831"/>
      <c r="ITM434" s="1831"/>
      <c r="ITN434" s="1831"/>
      <c r="ITO434" s="1831"/>
      <c r="ITP434" s="1831"/>
      <c r="ITQ434" s="1831"/>
      <c r="ITR434" s="1831"/>
      <c r="ITS434" s="1831"/>
      <c r="ITT434" s="1831"/>
      <c r="ITU434" s="1831"/>
      <c r="ITV434" s="1831"/>
      <c r="ITW434" s="1831"/>
      <c r="ITX434" s="1831"/>
      <c r="ITY434" s="1831"/>
      <c r="ITZ434" s="1831"/>
      <c r="IUA434" s="1831"/>
      <c r="IUB434" s="1831"/>
      <c r="IUC434" s="1831"/>
      <c r="IUD434" s="1831"/>
      <c r="IUE434" s="1831"/>
      <c r="IUF434" s="1831"/>
      <c r="IUG434" s="1831"/>
      <c r="IUH434" s="1831"/>
      <c r="IUI434" s="1831"/>
      <c r="IUJ434" s="1831"/>
      <c r="IUK434" s="1831"/>
      <c r="IUL434" s="1831"/>
      <c r="IUM434" s="1831"/>
      <c r="IUN434" s="1831"/>
      <c r="IUO434" s="1831"/>
      <c r="IUP434" s="1831"/>
      <c r="IUQ434" s="1831"/>
      <c r="IUR434" s="1831"/>
      <c r="IUS434" s="1831"/>
      <c r="IUT434" s="1831"/>
      <c r="IUU434" s="1831"/>
      <c r="IUV434" s="1831"/>
      <c r="IUW434" s="1831"/>
      <c r="IUX434" s="1831"/>
      <c r="IUY434" s="1831"/>
      <c r="IUZ434" s="1831"/>
      <c r="IVA434" s="1831"/>
      <c r="IVB434" s="1831"/>
      <c r="IVC434" s="1831"/>
      <c r="IVD434" s="1831"/>
      <c r="IVE434" s="1831"/>
      <c r="IVF434" s="1831"/>
      <c r="IVG434" s="1831"/>
      <c r="IVH434" s="1831"/>
      <c r="IVI434" s="1831"/>
      <c r="IVJ434" s="1831"/>
      <c r="IVK434" s="1831"/>
      <c r="IVL434" s="1831"/>
      <c r="IVM434" s="1831"/>
      <c r="IVN434" s="1831"/>
      <c r="IVO434" s="1831"/>
      <c r="IVP434" s="1831"/>
      <c r="IVQ434" s="1831"/>
      <c r="IVR434" s="1831"/>
      <c r="IVS434" s="1831"/>
      <c r="IVT434" s="1831"/>
      <c r="IVU434" s="1831"/>
      <c r="IVV434" s="1831"/>
      <c r="IVW434" s="1831"/>
      <c r="IVX434" s="1831"/>
      <c r="IVY434" s="1831"/>
      <c r="IVZ434" s="1831"/>
      <c r="IWA434" s="1831"/>
      <c r="IWB434" s="1831"/>
      <c r="IWC434" s="1831"/>
      <c r="IWD434" s="1831"/>
      <c r="IWE434" s="1831"/>
      <c r="IWF434" s="1831"/>
      <c r="IWG434" s="1831"/>
      <c r="IWH434" s="1831"/>
      <c r="IWI434" s="1831"/>
      <c r="IWJ434" s="1831"/>
      <c r="IWK434" s="1831"/>
      <c r="IWL434" s="1831"/>
      <c r="IWM434" s="1831"/>
      <c r="IWN434" s="1831"/>
      <c r="IWO434" s="1831"/>
      <c r="IWP434" s="1831"/>
      <c r="IWQ434" s="1831"/>
      <c r="IWR434" s="1831"/>
      <c r="IWS434" s="1831"/>
      <c r="IWT434" s="1831"/>
      <c r="IWU434" s="1831"/>
      <c r="IWV434" s="1831"/>
      <c r="IWW434" s="1831"/>
      <c r="IWX434" s="1831"/>
      <c r="IWY434" s="1831"/>
      <c r="IWZ434" s="1831"/>
      <c r="IXA434" s="1831"/>
      <c r="IXB434" s="1831"/>
      <c r="IXC434" s="1831"/>
      <c r="IXD434" s="1831"/>
      <c r="IXE434" s="1831"/>
      <c r="IXF434" s="1831"/>
      <c r="IXG434" s="1831"/>
      <c r="IXH434" s="1831"/>
      <c r="IXI434" s="1831"/>
      <c r="IXJ434" s="1831"/>
      <c r="IXK434" s="1831"/>
      <c r="IXL434" s="1831"/>
      <c r="IXM434" s="1831"/>
      <c r="IXN434" s="1831"/>
      <c r="IXO434" s="1831"/>
      <c r="IXP434" s="1831"/>
      <c r="IXQ434" s="1831"/>
      <c r="IXR434" s="1831"/>
      <c r="IXS434" s="1831"/>
      <c r="IXT434" s="1831"/>
      <c r="IXU434" s="1831"/>
      <c r="IXV434" s="1831"/>
      <c r="IXW434" s="1831"/>
      <c r="IXX434" s="1831"/>
      <c r="IXY434" s="1831"/>
      <c r="IXZ434" s="1831"/>
      <c r="IYA434" s="1831"/>
      <c r="IYB434" s="1831"/>
      <c r="IYC434" s="1831"/>
      <c r="IYD434" s="1831"/>
      <c r="IYE434" s="1831"/>
      <c r="IYF434" s="1831"/>
      <c r="IYG434" s="1831"/>
      <c r="IYH434" s="1831"/>
      <c r="IYI434" s="1831"/>
      <c r="IYJ434" s="1831"/>
      <c r="IYK434" s="1831"/>
      <c r="IYL434" s="1831"/>
      <c r="IYM434" s="1831"/>
      <c r="IYN434" s="1831"/>
      <c r="IYO434" s="1831"/>
      <c r="IYP434" s="1831"/>
      <c r="IYQ434" s="1831"/>
      <c r="IYR434" s="1831"/>
      <c r="IYS434" s="1831"/>
      <c r="IYT434" s="1831"/>
      <c r="IYU434" s="1831"/>
      <c r="IYV434" s="1831"/>
      <c r="IYW434" s="1831"/>
      <c r="IYX434" s="1831"/>
      <c r="IYY434" s="1831"/>
      <c r="IYZ434" s="1831"/>
      <c r="IZA434" s="1831"/>
      <c r="IZB434" s="1831"/>
      <c r="IZC434" s="1831"/>
      <c r="IZD434" s="1831"/>
      <c r="IZE434" s="1831"/>
      <c r="IZF434" s="1831"/>
      <c r="IZG434" s="1831"/>
      <c r="IZH434" s="1831"/>
      <c r="IZI434" s="1831"/>
      <c r="IZJ434" s="1831"/>
      <c r="IZK434" s="1831"/>
      <c r="IZL434" s="1831"/>
      <c r="IZM434" s="1831"/>
      <c r="IZN434" s="1831"/>
      <c r="IZO434" s="1831"/>
      <c r="IZP434" s="1831"/>
      <c r="IZQ434" s="1831"/>
      <c r="IZR434" s="1831"/>
      <c r="IZS434" s="1831"/>
      <c r="IZT434" s="1831"/>
      <c r="IZU434" s="1831"/>
      <c r="IZV434" s="1831"/>
      <c r="IZW434" s="1831"/>
      <c r="IZX434" s="1831"/>
      <c r="IZY434" s="1831"/>
      <c r="IZZ434" s="1831"/>
      <c r="JAA434" s="1831"/>
      <c r="JAB434" s="1831"/>
      <c r="JAC434" s="1831"/>
      <c r="JAD434" s="1831"/>
      <c r="JAE434" s="1831"/>
      <c r="JAF434" s="1831"/>
      <c r="JAG434" s="1831"/>
      <c r="JAH434" s="1831"/>
      <c r="JAI434" s="1831"/>
      <c r="JAJ434" s="1831"/>
      <c r="JAK434" s="1831"/>
      <c r="JAL434" s="1831"/>
      <c r="JAM434" s="1831"/>
      <c r="JAN434" s="1831"/>
      <c r="JAO434" s="1831"/>
      <c r="JAP434" s="1831"/>
      <c r="JAQ434" s="1831"/>
      <c r="JAR434" s="1831"/>
      <c r="JAS434" s="1831"/>
      <c r="JAT434" s="1831"/>
      <c r="JAU434" s="1831"/>
      <c r="JAV434" s="1831"/>
      <c r="JAW434" s="1831"/>
      <c r="JAX434" s="1831"/>
      <c r="JAY434" s="1831"/>
      <c r="JAZ434" s="1831"/>
      <c r="JBA434" s="1831"/>
      <c r="JBB434" s="1831"/>
      <c r="JBC434" s="1831"/>
      <c r="JBD434" s="1831"/>
      <c r="JBE434" s="1831"/>
      <c r="JBF434" s="1831"/>
      <c r="JBG434" s="1831"/>
      <c r="JBH434" s="1831"/>
      <c r="JBI434" s="1831"/>
      <c r="JBJ434" s="1831"/>
      <c r="JBK434" s="1831"/>
      <c r="JBL434" s="1831"/>
      <c r="JBM434" s="1831"/>
      <c r="JBN434" s="1831"/>
      <c r="JBO434" s="1831"/>
      <c r="JBP434" s="1831"/>
      <c r="JBQ434" s="1831"/>
      <c r="JBR434" s="1831"/>
      <c r="JBS434" s="1831"/>
      <c r="JBT434" s="1831"/>
      <c r="JBU434" s="1831"/>
      <c r="JBV434" s="1831"/>
      <c r="JBW434" s="1831"/>
      <c r="JBX434" s="1831"/>
      <c r="JBY434" s="1831"/>
      <c r="JBZ434" s="1831"/>
      <c r="JCA434" s="1831"/>
      <c r="JCB434" s="1831"/>
      <c r="JCC434" s="1831"/>
      <c r="JCD434" s="1831"/>
      <c r="JCE434" s="1831"/>
      <c r="JCF434" s="1831"/>
      <c r="JCG434" s="1831"/>
      <c r="JCH434" s="1831"/>
      <c r="JCI434" s="1831"/>
      <c r="JCJ434" s="1831"/>
      <c r="JCK434" s="1831"/>
      <c r="JCL434" s="1831"/>
      <c r="JCM434" s="1831"/>
      <c r="JCN434" s="1831"/>
      <c r="JCO434" s="1831"/>
      <c r="JCP434" s="1831"/>
      <c r="JCQ434" s="1831"/>
      <c r="JCR434" s="1831"/>
      <c r="JCS434" s="1831"/>
      <c r="JCT434" s="1831"/>
      <c r="JCU434" s="1831"/>
      <c r="JCV434" s="1831"/>
      <c r="JCW434" s="1831"/>
      <c r="JCX434" s="1831"/>
      <c r="JCY434" s="1831"/>
      <c r="JCZ434" s="1831"/>
      <c r="JDA434" s="1831"/>
      <c r="JDB434" s="1831"/>
      <c r="JDC434" s="1831"/>
      <c r="JDD434" s="1831"/>
      <c r="JDE434" s="1831"/>
      <c r="JDF434" s="1831"/>
      <c r="JDG434" s="1831"/>
      <c r="JDH434" s="1831"/>
      <c r="JDI434" s="1831"/>
      <c r="JDJ434" s="1831"/>
      <c r="JDK434" s="1831"/>
      <c r="JDL434" s="1831"/>
      <c r="JDM434" s="1831"/>
      <c r="JDN434" s="1831"/>
      <c r="JDO434" s="1831"/>
      <c r="JDP434" s="1831"/>
      <c r="JDQ434" s="1831"/>
      <c r="JDR434" s="1831"/>
      <c r="JDS434" s="1831"/>
      <c r="JDT434" s="1831"/>
      <c r="JDU434" s="1831"/>
      <c r="JDV434" s="1831"/>
      <c r="JDW434" s="1831"/>
      <c r="JDX434" s="1831"/>
      <c r="JDY434" s="1831"/>
      <c r="JDZ434" s="1831"/>
      <c r="JEA434" s="1831"/>
      <c r="JEB434" s="1831"/>
      <c r="JEC434" s="1831"/>
      <c r="JED434" s="1831"/>
      <c r="JEE434" s="1831"/>
      <c r="JEF434" s="1831"/>
      <c r="JEG434" s="1831"/>
      <c r="JEH434" s="1831"/>
      <c r="JEI434" s="1831"/>
      <c r="JEJ434" s="1831"/>
      <c r="JEK434" s="1831"/>
      <c r="JEL434" s="1831"/>
      <c r="JEM434" s="1831"/>
      <c r="JEN434" s="1831"/>
      <c r="JEO434" s="1831"/>
      <c r="JEP434" s="1831"/>
      <c r="JEQ434" s="1831"/>
      <c r="JER434" s="1831"/>
      <c r="JES434" s="1831"/>
      <c r="JET434" s="1831"/>
      <c r="JEU434" s="1831"/>
      <c r="JEV434" s="1831"/>
      <c r="JEW434" s="1831"/>
      <c r="JEX434" s="1831"/>
      <c r="JEY434" s="1831"/>
      <c r="JEZ434" s="1831"/>
      <c r="JFA434" s="1831"/>
      <c r="JFB434" s="1831"/>
      <c r="JFC434" s="1831"/>
      <c r="JFD434" s="1831"/>
      <c r="JFE434" s="1831"/>
      <c r="JFF434" s="1831"/>
      <c r="JFG434" s="1831"/>
      <c r="JFH434" s="1831"/>
      <c r="JFI434" s="1831"/>
      <c r="JFJ434" s="1831"/>
      <c r="JFK434" s="1831"/>
      <c r="JFL434" s="1831"/>
      <c r="JFM434" s="1831"/>
      <c r="JFN434" s="1831"/>
      <c r="JFO434" s="1831"/>
      <c r="JFP434" s="1831"/>
      <c r="JFQ434" s="1831"/>
      <c r="JFR434" s="1831"/>
      <c r="JFS434" s="1831"/>
      <c r="JFT434" s="1831"/>
      <c r="JFU434" s="1831"/>
      <c r="JFV434" s="1831"/>
      <c r="JFW434" s="1831"/>
      <c r="JFX434" s="1831"/>
      <c r="JFY434" s="1831"/>
      <c r="JFZ434" s="1831"/>
      <c r="JGA434" s="1831"/>
      <c r="JGB434" s="1831"/>
      <c r="JGC434" s="1831"/>
      <c r="JGD434" s="1831"/>
      <c r="JGE434" s="1831"/>
      <c r="JGF434" s="1831"/>
      <c r="JGG434" s="1831"/>
      <c r="JGH434" s="1831"/>
      <c r="JGI434" s="1831"/>
      <c r="JGJ434" s="1831"/>
      <c r="JGK434" s="1831"/>
      <c r="JGL434" s="1831"/>
      <c r="JGM434" s="1831"/>
      <c r="JGN434" s="1831"/>
      <c r="JGO434" s="1831"/>
      <c r="JGP434" s="1831"/>
      <c r="JGQ434" s="1831"/>
      <c r="JGR434" s="1831"/>
      <c r="JGS434" s="1831"/>
      <c r="JGT434" s="1831"/>
      <c r="JGU434" s="1831"/>
      <c r="JGV434" s="1831"/>
      <c r="JGW434" s="1831"/>
      <c r="JGX434" s="1831"/>
      <c r="JGY434" s="1831"/>
      <c r="JGZ434" s="1831"/>
      <c r="JHA434" s="1831"/>
      <c r="JHB434" s="1831"/>
      <c r="JHC434" s="1831"/>
      <c r="JHD434" s="1831"/>
      <c r="JHE434" s="1831"/>
      <c r="JHF434" s="1831"/>
      <c r="JHG434" s="1831"/>
      <c r="JHH434" s="1831"/>
      <c r="JHI434" s="1831"/>
      <c r="JHJ434" s="1831"/>
      <c r="JHK434" s="1831"/>
      <c r="JHL434" s="1831"/>
      <c r="JHM434" s="1831"/>
      <c r="JHN434" s="1831"/>
      <c r="JHO434" s="1831"/>
      <c r="JHP434" s="1831"/>
      <c r="JHQ434" s="1831"/>
      <c r="JHR434" s="1831"/>
      <c r="JHS434" s="1831"/>
      <c r="JHT434" s="1831"/>
      <c r="JHU434" s="1831"/>
      <c r="JHV434" s="1831"/>
      <c r="JHW434" s="1831"/>
      <c r="JHX434" s="1831"/>
      <c r="JHY434" s="1831"/>
      <c r="JHZ434" s="1831"/>
      <c r="JIA434" s="1831"/>
      <c r="JIB434" s="1831"/>
      <c r="JIC434" s="1831"/>
      <c r="JID434" s="1831"/>
      <c r="JIE434" s="1831"/>
      <c r="JIF434" s="1831"/>
      <c r="JIG434" s="1831"/>
      <c r="JIH434" s="1831"/>
      <c r="JII434" s="1831"/>
      <c r="JIJ434" s="1831"/>
      <c r="JIK434" s="1831"/>
      <c r="JIL434" s="1831"/>
      <c r="JIM434" s="1831"/>
      <c r="JIN434" s="1831"/>
      <c r="JIO434" s="1831"/>
      <c r="JIP434" s="1831"/>
      <c r="JIQ434" s="1831"/>
      <c r="JIR434" s="1831"/>
      <c r="JIS434" s="1831"/>
      <c r="JIT434" s="1831"/>
      <c r="JIU434" s="1831"/>
      <c r="JIV434" s="1831"/>
      <c r="JIW434" s="1831"/>
      <c r="JIX434" s="1831"/>
      <c r="JIY434" s="1831"/>
      <c r="JIZ434" s="1831"/>
      <c r="JJA434" s="1831"/>
      <c r="JJB434" s="1831"/>
      <c r="JJC434" s="1831"/>
      <c r="JJD434" s="1831"/>
      <c r="JJE434" s="1831"/>
      <c r="JJF434" s="1831"/>
      <c r="JJG434" s="1831"/>
      <c r="JJH434" s="1831"/>
      <c r="JJI434" s="1831"/>
      <c r="JJJ434" s="1831"/>
      <c r="JJK434" s="1831"/>
      <c r="JJL434" s="1831"/>
      <c r="JJM434" s="1831"/>
      <c r="JJN434" s="1831"/>
      <c r="JJO434" s="1831"/>
      <c r="JJP434" s="1831"/>
      <c r="JJQ434" s="1831"/>
      <c r="JJR434" s="1831"/>
      <c r="JJS434" s="1831"/>
      <c r="JJT434" s="1831"/>
      <c r="JJU434" s="1831"/>
      <c r="JJV434" s="1831"/>
      <c r="JJW434" s="1831"/>
      <c r="JJX434" s="1831"/>
      <c r="JJY434" s="1831"/>
      <c r="JJZ434" s="1831"/>
      <c r="JKA434" s="1831"/>
      <c r="JKB434" s="1831"/>
      <c r="JKC434" s="1831"/>
      <c r="JKD434" s="1831"/>
      <c r="JKE434" s="1831"/>
      <c r="JKF434" s="1831"/>
      <c r="JKG434" s="1831"/>
      <c r="JKH434" s="1831"/>
      <c r="JKI434" s="1831"/>
      <c r="JKJ434" s="1831"/>
      <c r="JKK434" s="1831"/>
      <c r="JKL434" s="1831"/>
      <c r="JKM434" s="1831"/>
      <c r="JKN434" s="1831"/>
      <c r="JKO434" s="1831"/>
      <c r="JKP434" s="1831"/>
      <c r="JKQ434" s="1831"/>
      <c r="JKR434" s="1831"/>
      <c r="JKS434" s="1831"/>
      <c r="JKT434" s="1831"/>
      <c r="JKU434" s="1831"/>
      <c r="JKV434" s="1831"/>
      <c r="JKW434" s="1831"/>
      <c r="JKX434" s="1831"/>
      <c r="JKY434" s="1831"/>
      <c r="JKZ434" s="1831"/>
      <c r="JLA434" s="1831"/>
      <c r="JLB434" s="1831"/>
      <c r="JLC434" s="1831"/>
      <c r="JLD434" s="1831"/>
      <c r="JLE434" s="1831"/>
      <c r="JLF434" s="1831"/>
      <c r="JLG434" s="1831"/>
      <c r="JLH434" s="1831"/>
      <c r="JLI434" s="1831"/>
      <c r="JLJ434" s="1831"/>
      <c r="JLK434" s="1831"/>
      <c r="JLL434" s="1831"/>
      <c r="JLM434" s="1831"/>
      <c r="JLN434" s="1831"/>
      <c r="JLO434" s="1831"/>
      <c r="JLP434" s="1831"/>
      <c r="JLQ434" s="1831"/>
      <c r="JLR434" s="1831"/>
      <c r="JLS434" s="1831"/>
      <c r="JLT434" s="1831"/>
      <c r="JLU434" s="1831"/>
      <c r="JLV434" s="1831"/>
      <c r="JLW434" s="1831"/>
      <c r="JLX434" s="1831"/>
      <c r="JLY434" s="1831"/>
      <c r="JLZ434" s="1831"/>
      <c r="JMA434" s="1831"/>
      <c r="JMB434" s="1831"/>
      <c r="JMC434" s="1831"/>
      <c r="JMD434" s="1831"/>
      <c r="JME434" s="1831"/>
      <c r="JMF434" s="1831"/>
      <c r="JMG434" s="1831"/>
      <c r="JMH434" s="1831"/>
      <c r="JMI434" s="1831"/>
      <c r="JMJ434" s="1831"/>
      <c r="JMK434" s="1831"/>
      <c r="JML434" s="1831"/>
      <c r="JMM434" s="1831"/>
      <c r="JMN434" s="1831"/>
      <c r="JMO434" s="1831"/>
      <c r="JMP434" s="1831"/>
      <c r="JMQ434" s="1831"/>
      <c r="JMR434" s="1831"/>
      <c r="JMS434" s="1831"/>
      <c r="JMT434" s="1831"/>
      <c r="JMU434" s="1831"/>
      <c r="JMV434" s="1831"/>
      <c r="JMW434" s="1831"/>
      <c r="JMX434" s="1831"/>
      <c r="JMY434" s="1831"/>
      <c r="JMZ434" s="1831"/>
      <c r="JNA434" s="1831"/>
      <c r="JNB434" s="1831"/>
      <c r="JNC434" s="1831"/>
      <c r="JND434" s="1831"/>
      <c r="JNE434" s="1831"/>
      <c r="JNF434" s="1831"/>
      <c r="JNG434" s="1831"/>
      <c r="JNH434" s="1831"/>
      <c r="JNI434" s="1831"/>
      <c r="JNJ434" s="1831"/>
      <c r="JNK434" s="1831"/>
      <c r="JNL434" s="1831"/>
      <c r="JNM434" s="1831"/>
      <c r="JNN434" s="1831"/>
      <c r="JNO434" s="1831"/>
      <c r="JNP434" s="1831"/>
      <c r="JNQ434" s="1831"/>
      <c r="JNR434" s="1831"/>
      <c r="JNS434" s="1831"/>
      <c r="JNT434" s="1831"/>
      <c r="JNU434" s="1831"/>
      <c r="JNV434" s="1831"/>
      <c r="JNW434" s="1831"/>
      <c r="JNX434" s="1831"/>
      <c r="JNY434" s="1831"/>
      <c r="JNZ434" s="1831"/>
      <c r="JOA434" s="1831"/>
      <c r="JOB434" s="1831"/>
      <c r="JOC434" s="1831"/>
      <c r="JOD434" s="1831"/>
      <c r="JOE434" s="1831"/>
      <c r="JOF434" s="1831"/>
      <c r="JOG434" s="1831"/>
      <c r="JOH434" s="1831"/>
      <c r="JOI434" s="1831"/>
      <c r="JOJ434" s="1831"/>
      <c r="JOK434" s="1831"/>
      <c r="JOL434" s="1831"/>
      <c r="JOM434" s="1831"/>
      <c r="JON434" s="1831"/>
      <c r="JOO434" s="1831"/>
      <c r="JOP434" s="1831"/>
      <c r="JOQ434" s="1831"/>
      <c r="JOR434" s="1831"/>
      <c r="JOS434" s="1831"/>
      <c r="JOT434" s="1831"/>
      <c r="JOU434" s="1831"/>
      <c r="JOV434" s="1831"/>
      <c r="JOW434" s="1831"/>
      <c r="JOX434" s="1831"/>
      <c r="JOY434" s="1831"/>
      <c r="JOZ434" s="1831"/>
      <c r="JPA434" s="1831"/>
      <c r="JPB434" s="1831"/>
      <c r="JPC434" s="1831"/>
      <c r="JPD434" s="1831"/>
      <c r="JPE434" s="1831"/>
      <c r="JPF434" s="1831"/>
      <c r="JPG434" s="1831"/>
      <c r="JPH434" s="1831"/>
      <c r="JPI434" s="1831"/>
      <c r="JPJ434" s="1831"/>
      <c r="JPK434" s="1831"/>
      <c r="JPL434" s="1831"/>
      <c r="JPM434" s="1831"/>
      <c r="JPN434" s="1831"/>
      <c r="JPO434" s="1831"/>
      <c r="JPP434" s="1831"/>
      <c r="JPQ434" s="1831"/>
      <c r="JPR434" s="1831"/>
      <c r="JPS434" s="1831"/>
      <c r="JPT434" s="1831"/>
      <c r="JPU434" s="1831"/>
      <c r="JPV434" s="1831"/>
      <c r="JPW434" s="1831"/>
      <c r="JPX434" s="1831"/>
      <c r="JPY434" s="1831"/>
      <c r="JPZ434" s="1831"/>
      <c r="JQA434" s="1831"/>
      <c r="JQB434" s="1831"/>
      <c r="JQC434" s="1831"/>
      <c r="JQD434" s="1831"/>
      <c r="JQE434" s="1831"/>
      <c r="JQF434" s="1831"/>
      <c r="JQG434" s="1831"/>
      <c r="JQH434" s="1831"/>
      <c r="JQI434" s="1831"/>
      <c r="JQJ434" s="1831"/>
      <c r="JQK434" s="1831"/>
      <c r="JQL434" s="1831"/>
      <c r="JQM434" s="1831"/>
      <c r="JQN434" s="1831"/>
      <c r="JQO434" s="1831"/>
      <c r="JQP434" s="1831"/>
      <c r="JQQ434" s="1831"/>
      <c r="JQR434" s="1831"/>
      <c r="JQS434" s="1831"/>
      <c r="JQT434" s="1831"/>
      <c r="JQU434" s="1831"/>
      <c r="JQV434" s="1831"/>
      <c r="JQW434" s="1831"/>
      <c r="JQX434" s="1831"/>
      <c r="JQY434" s="1831"/>
      <c r="JQZ434" s="1831"/>
      <c r="JRA434" s="1831"/>
      <c r="JRB434" s="1831"/>
      <c r="JRC434" s="1831"/>
      <c r="JRD434" s="1831"/>
      <c r="JRE434" s="1831"/>
      <c r="JRF434" s="1831"/>
      <c r="JRG434" s="1831"/>
      <c r="JRH434" s="1831"/>
      <c r="JRI434" s="1831"/>
      <c r="JRJ434" s="1831"/>
      <c r="JRK434" s="1831"/>
      <c r="JRL434" s="1831"/>
      <c r="JRM434" s="1831"/>
      <c r="JRN434" s="1831"/>
      <c r="JRO434" s="1831"/>
      <c r="JRP434" s="1831"/>
      <c r="JRQ434" s="1831"/>
      <c r="JRR434" s="1831"/>
      <c r="JRS434" s="1831"/>
      <c r="JRT434" s="1831"/>
      <c r="JRU434" s="1831"/>
      <c r="JRV434" s="1831"/>
      <c r="JRW434" s="1831"/>
      <c r="JRX434" s="1831"/>
      <c r="JRY434" s="1831"/>
      <c r="JRZ434" s="1831"/>
      <c r="JSA434" s="1831"/>
      <c r="JSB434" s="1831"/>
      <c r="JSC434" s="1831"/>
      <c r="JSD434" s="1831"/>
      <c r="JSE434" s="1831"/>
      <c r="JSF434" s="1831"/>
      <c r="JSG434" s="1831"/>
      <c r="JSH434" s="1831"/>
      <c r="JSI434" s="1831"/>
      <c r="JSJ434" s="1831"/>
      <c r="JSK434" s="1831"/>
      <c r="JSL434" s="1831"/>
      <c r="JSM434" s="1831"/>
      <c r="JSN434" s="1831"/>
      <c r="JSO434" s="1831"/>
      <c r="JSP434" s="1831"/>
      <c r="JSQ434" s="1831"/>
      <c r="JSR434" s="1831"/>
      <c r="JSS434" s="1831"/>
      <c r="JST434" s="1831"/>
      <c r="JSU434" s="1831"/>
      <c r="JSV434" s="1831"/>
      <c r="JSW434" s="1831"/>
      <c r="JSX434" s="1831"/>
      <c r="JSY434" s="1831"/>
      <c r="JSZ434" s="1831"/>
      <c r="JTA434" s="1831"/>
      <c r="JTB434" s="1831"/>
      <c r="JTC434" s="1831"/>
      <c r="JTD434" s="1831"/>
      <c r="JTE434" s="1831"/>
      <c r="JTF434" s="1831"/>
      <c r="JTG434" s="1831"/>
      <c r="JTH434" s="1831"/>
      <c r="JTI434" s="1831"/>
      <c r="JTJ434" s="1831"/>
      <c r="JTK434" s="1831"/>
      <c r="JTL434" s="1831"/>
      <c r="JTM434" s="1831"/>
      <c r="JTN434" s="1831"/>
      <c r="JTO434" s="1831"/>
      <c r="JTP434" s="1831"/>
      <c r="JTQ434" s="1831"/>
      <c r="JTR434" s="1831"/>
      <c r="JTS434" s="1831"/>
      <c r="JTT434" s="1831"/>
      <c r="JTU434" s="1831"/>
      <c r="JTV434" s="1831"/>
      <c r="JTW434" s="1831"/>
      <c r="JTX434" s="1831"/>
      <c r="JTY434" s="1831"/>
      <c r="JTZ434" s="1831"/>
      <c r="JUA434" s="1831"/>
      <c r="JUB434" s="1831"/>
      <c r="JUC434" s="1831"/>
      <c r="JUD434" s="1831"/>
      <c r="JUE434" s="1831"/>
      <c r="JUF434" s="1831"/>
      <c r="JUG434" s="1831"/>
      <c r="JUH434" s="1831"/>
      <c r="JUI434" s="1831"/>
      <c r="JUJ434" s="1831"/>
      <c r="JUK434" s="1831"/>
      <c r="JUL434" s="1831"/>
      <c r="JUM434" s="1831"/>
      <c r="JUN434" s="1831"/>
      <c r="JUO434" s="1831"/>
      <c r="JUP434" s="1831"/>
      <c r="JUQ434" s="1831"/>
      <c r="JUR434" s="1831"/>
      <c r="JUS434" s="1831"/>
      <c r="JUT434" s="1831"/>
      <c r="JUU434" s="1831"/>
      <c r="JUV434" s="1831"/>
      <c r="JUW434" s="1831"/>
      <c r="JUX434" s="1831"/>
      <c r="JUY434" s="1831"/>
      <c r="JUZ434" s="1831"/>
      <c r="JVA434" s="1831"/>
      <c r="JVB434" s="1831"/>
      <c r="JVC434" s="1831"/>
      <c r="JVD434" s="1831"/>
      <c r="JVE434" s="1831"/>
      <c r="JVF434" s="1831"/>
      <c r="JVG434" s="1831"/>
      <c r="JVH434" s="1831"/>
      <c r="JVI434" s="1831"/>
      <c r="JVJ434" s="1831"/>
      <c r="JVK434" s="1831"/>
      <c r="JVL434" s="1831"/>
      <c r="JVM434" s="1831"/>
      <c r="JVN434" s="1831"/>
      <c r="JVO434" s="1831"/>
      <c r="JVP434" s="1831"/>
      <c r="JVQ434" s="1831"/>
      <c r="JVR434" s="1831"/>
      <c r="JVS434" s="1831"/>
      <c r="JVT434" s="1831"/>
      <c r="JVU434" s="1831"/>
      <c r="JVV434" s="1831"/>
      <c r="JVW434" s="1831"/>
      <c r="JVX434" s="1831"/>
      <c r="JVY434" s="1831"/>
      <c r="JVZ434" s="1831"/>
      <c r="JWA434" s="1831"/>
      <c r="JWB434" s="1831"/>
      <c r="JWC434" s="1831"/>
      <c r="JWD434" s="1831"/>
      <c r="JWE434" s="1831"/>
      <c r="JWF434" s="1831"/>
      <c r="JWG434" s="1831"/>
      <c r="JWH434" s="1831"/>
      <c r="JWI434" s="1831"/>
      <c r="JWJ434" s="1831"/>
      <c r="JWK434" s="1831"/>
      <c r="JWL434" s="1831"/>
      <c r="JWM434" s="1831"/>
      <c r="JWN434" s="1831"/>
      <c r="JWO434" s="1831"/>
      <c r="JWP434" s="1831"/>
      <c r="JWQ434" s="1831"/>
      <c r="JWR434" s="1831"/>
      <c r="JWS434" s="1831"/>
      <c r="JWT434" s="1831"/>
      <c r="JWU434" s="1831"/>
      <c r="JWV434" s="1831"/>
      <c r="JWW434" s="1831"/>
      <c r="JWX434" s="1831"/>
      <c r="JWY434" s="1831"/>
      <c r="JWZ434" s="1831"/>
      <c r="JXA434" s="1831"/>
      <c r="JXB434" s="1831"/>
      <c r="JXC434" s="1831"/>
      <c r="JXD434" s="1831"/>
      <c r="JXE434" s="1831"/>
      <c r="JXF434" s="1831"/>
      <c r="JXG434" s="1831"/>
      <c r="JXH434" s="1831"/>
      <c r="JXI434" s="1831"/>
      <c r="JXJ434" s="1831"/>
      <c r="JXK434" s="1831"/>
      <c r="JXL434" s="1831"/>
      <c r="JXM434" s="1831"/>
      <c r="JXN434" s="1831"/>
      <c r="JXO434" s="1831"/>
      <c r="JXP434" s="1831"/>
      <c r="JXQ434" s="1831"/>
      <c r="JXR434" s="1831"/>
      <c r="JXS434" s="1831"/>
      <c r="JXT434" s="1831"/>
      <c r="JXU434" s="1831"/>
      <c r="JXV434" s="1831"/>
      <c r="JXW434" s="1831"/>
      <c r="JXX434" s="1831"/>
      <c r="JXY434" s="1831"/>
      <c r="JXZ434" s="1831"/>
      <c r="JYA434" s="1831"/>
      <c r="JYB434" s="1831"/>
      <c r="JYC434" s="1831"/>
      <c r="JYD434" s="1831"/>
      <c r="JYE434" s="1831"/>
      <c r="JYF434" s="1831"/>
      <c r="JYG434" s="1831"/>
      <c r="JYH434" s="1831"/>
      <c r="JYI434" s="1831"/>
      <c r="JYJ434" s="1831"/>
      <c r="JYK434" s="1831"/>
      <c r="JYL434" s="1831"/>
      <c r="JYM434" s="1831"/>
      <c r="JYN434" s="1831"/>
      <c r="JYO434" s="1831"/>
      <c r="JYP434" s="1831"/>
      <c r="JYQ434" s="1831"/>
      <c r="JYR434" s="1831"/>
      <c r="JYS434" s="1831"/>
      <c r="JYT434" s="1831"/>
      <c r="JYU434" s="1831"/>
      <c r="JYV434" s="1831"/>
      <c r="JYW434" s="1831"/>
      <c r="JYX434" s="1831"/>
      <c r="JYY434" s="1831"/>
      <c r="JYZ434" s="1831"/>
      <c r="JZA434" s="1831"/>
      <c r="JZB434" s="1831"/>
      <c r="JZC434" s="1831"/>
      <c r="JZD434" s="1831"/>
      <c r="JZE434" s="1831"/>
      <c r="JZF434" s="1831"/>
      <c r="JZG434" s="1831"/>
      <c r="JZH434" s="1831"/>
      <c r="JZI434" s="1831"/>
      <c r="JZJ434" s="1831"/>
      <c r="JZK434" s="1831"/>
      <c r="JZL434" s="1831"/>
      <c r="JZM434" s="1831"/>
      <c r="JZN434" s="1831"/>
      <c r="JZO434" s="1831"/>
      <c r="JZP434" s="1831"/>
      <c r="JZQ434" s="1831"/>
      <c r="JZR434" s="1831"/>
      <c r="JZS434" s="1831"/>
      <c r="JZT434" s="1831"/>
      <c r="JZU434" s="1831"/>
      <c r="JZV434" s="1831"/>
      <c r="JZW434" s="1831"/>
      <c r="JZX434" s="1831"/>
      <c r="JZY434" s="1831"/>
      <c r="JZZ434" s="1831"/>
      <c r="KAA434" s="1831"/>
      <c r="KAB434" s="1831"/>
      <c r="KAC434" s="1831"/>
      <c r="KAD434" s="1831"/>
      <c r="KAE434" s="1831"/>
      <c r="KAF434" s="1831"/>
      <c r="KAG434" s="1831"/>
      <c r="KAH434" s="1831"/>
      <c r="KAI434" s="1831"/>
      <c r="KAJ434" s="1831"/>
      <c r="KAK434" s="1831"/>
      <c r="KAL434" s="1831"/>
      <c r="KAM434" s="1831"/>
      <c r="KAN434" s="1831"/>
      <c r="KAO434" s="1831"/>
      <c r="KAP434" s="1831"/>
      <c r="KAQ434" s="1831"/>
      <c r="KAR434" s="1831"/>
      <c r="KAS434" s="1831"/>
      <c r="KAT434" s="1831"/>
      <c r="KAU434" s="1831"/>
      <c r="KAV434" s="1831"/>
      <c r="KAW434" s="1831"/>
      <c r="KAX434" s="1831"/>
      <c r="KAY434" s="1831"/>
      <c r="KAZ434" s="1831"/>
      <c r="KBA434" s="1831"/>
      <c r="KBB434" s="1831"/>
      <c r="KBC434" s="1831"/>
      <c r="KBD434" s="1831"/>
      <c r="KBE434" s="1831"/>
      <c r="KBF434" s="1831"/>
      <c r="KBG434" s="1831"/>
      <c r="KBH434" s="1831"/>
      <c r="KBI434" s="1831"/>
      <c r="KBJ434" s="1831"/>
      <c r="KBK434" s="1831"/>
      <c r="KBL434" s="1831"/>
      <c r="KBM434" s="1831"/>
      <c r="KBN434" s="1831"/>
      <c r="KBO434" s="1831"/>
      <c r="KBP434" s="1831"/>
      <c r="KBQ434" s="1831"/>
      <c r="KBR434" s="1831"/>
      <c r="KBS434" s="1831"/>
      <c r="KBT434" s="1831"/>
      <c r="KBU434" s="1831"/>
      <c r="KBV434" s="1831"/>
      <c r="KBW434" s="1831"/>
      <c r="KBX434" s="1831"/>
      <c r="KBY434" s="1831"/>
      <c r="KBZ434" s="1831"/>
      <c r="KCA434" s="1831"/>
      <c r="KCB434" s="1831"/>
      <c r="KCC434" s="1831"/>
      <c r="KCD434" s="1831"/>
      <c r="KCE434" s="1831"/>
      <c r="KCF434" s="1831"/>
      <c r="KCG434" s="1831"/>
      <c r="KCH434" s="1831"/>
      <c r="KCI434" s="1831"/>
      <c r="KCJ434" s="1831"/>
      <c r="KCK434" s="1831"/>
      <c r="KCL434" s="1831"/>
      <c r="KCM434" s="1831"/>
      <c r="KCN434" s="1831"/>
      <c r="KCO434" s="1831"/>
      <c r="KCP434" s="1831"/>
      <c r="KCQ434" s="1831"/>
      <c r="KCR434" s="1831"/>
      <c r="KCS434" s="1831"/>
      <c r="KCT434" s="1831"/>
      <c r="KCU434" s="1831"/>
      <c r="KCV434" s="1831"/>
      <c r="KCW434" s="1831"/>
      <c r="KCX434" s="1831"/>
      <c r="KCY434" s="1831"/>
      <c r="KCZ434" s="1831"/>
      <c r="KDA434" s="1831"/>
      <c r="KDB434" s="1831"/>
      <c r="KDC434" s="1831"/>
      <c r="KDD434" s="1831"/>
      <c r="KDE434" s="1831"/>
      <c r="KDF434" s="1831"/>
      <c r="KDG434" s="1831"/>
      <c r="KDH434" s="1831"/>
      <c r="KDI434" s="1831"/>
      <c r="KDJ434" s="1831"/>
      <c r="KDK434" s="1831"/>
      <c r="KDL434" s="1831"/>
      <c r="KDM434" s="1831"/>
      <c r="KDN434" s="1831"/>
      <c r="KDO434" s="1831"/>
      <c r="KDP434" s="1831"/>
      <c r="KDQ434" s="1831"/>
      <c r="KDR434" s="1831"/>
      <c r="KDS434" s="1831"/>
      <c r="KDT434" s="1831"/>
      <c r="KDU434" s="1831"/>
      <c r="KDV434" s="1831"/>
      <c r="KDW434" s="1831"/>
      <c r="KDX434" s="1831"/>
      <c r="KDY434" s="1831"/>
      <c r="KDZ434" s="1831"/>
      <c r="KEA434" s="1831"/>
      <c r="KEB434" s="1831"/>
      <c r="KEC434" s="1831"/>
      <c r="KED434" s="1831"/>
      <c r="KEE434" s="1831"/>
      <c r="KEF434" s="1831"/>
      <c r="KEG434" s="1831"/>
      <c r="KEH434" s="1831"/>
      <c r="KEI434" s="1831"/>
      <c r="KEJ434" s="1831"/>
      <c r="KEK434" s="1831"/>
      <c r="KEL434" s="1831"/>
      <c r="KEM434" s="1831"/>
      <c r="KEN434" s="1831"/>
      <c r="KEO434" s="1831"/>
      <c r="KEP434" s="1831"/>
      <c r="KEQ434" s="1831"/>
      <c r="KER434" s="1831"/>
      <c r="KES434" s="1831"/>
      <c r="KET434" s="1831"/>
      <c r="KEU434" s="1831"/>
      <c r="KEV434" s="1831"/>
      <c r="KEW434" s="1831"/>
      <c r="KEX434" s="1831"/>
      <c r="KEY434" s="1831"/>
      <c r="KEZ434" s="1831"/>
      <c r="KFA434" s="1831"/>
      <c r="KFB434" s="1831"/>
      <c r="KFC434" s="1831"/>
      <c r="KFD434" s="1831"/>
      <c r="KFE434" s="1831"/>
      <c r="KFF434" s="1831"/>
      <c r="KFG434" s="1831"/>
      <c r="KFH434" s="1831"/>
      <c r="KFI434" s="1831"/>
      <c r="KFJ434" s="1831"/>
      <c r="KFK434" s="1831"/>
      <c r="KFL434" s="1831"/>
      <c r="KFM434" s="1831"/>
      <c r="KFN434" s="1831"/>
      <c r="KFO434" s="1831"/>
      <c r="KFP434" s="1831"/>
      <c r="KFQ434" s="1831"/>
      <c r="KFR434" s="1831"/>
      <c r="KFS434" s="1831"/>
      <c r="KFT434" s="1831"/>
      <c r="KFU434" s="1831"/>
      <c r="KFV434" s="1831"/>
      <c r="KFW434" s="1831"/>
      <c r="KFX434" s="1831"/>
      <c r="KFY434" s="1831"/>
      <c r="KFZ434" s="1831"/>
      <c r="KGA434" s="1831"/>
      <c r="KGB434" s="1831"/>
      <c r="KGC434" s="1831"/>
      <c r="KGD434" s="1831"/>
      <c r="KGE434" s="1831"/>
      <c r="KGF434" s="1831"/>
      <c r="KGG434" s="1831"/>
      <c r="KGH434" s="1831"/>
      <c r="KGI434" s="1831"/>
      <c r="KGJ434" s="1831"/>
      <c r="KGK434" s="1831"/>
      <c r="KGL434" s="1831"/>
      <c r="KGM434" s="1831"/>
      <c r="KGN434" s="1831"/>
      <c r="KGO434" s="1831"/>
      <c r="KGP434" s="1831"/>
      <c r="KGQ434" s="1831"/>
      <c r="KGR434" s="1831"/>
      <c r="KGS434" s="1831"/>
      <c r="KGT434" s="1831"/>
      <c r="KGU434" s="1831"/>
      <c r="KGV434" s="1831"/>
      <c r="KGW434" s="1831"/>
      <c r="KGX434" s="1831"/>
      <c r="KGY434" s="1831"/>
      <c r="KGZ434" s="1831"/>
      <c r="KHA434" s="1831"/>
      <c r="KHB434" s="1831"/>
      <c r="KHC434" s="1831"/>
      <c r="KHD434" s="1831"/>
      <c r="KHE434" s="1831"/>
      <c r="KHF434" s="1831"/>
      <c r="KHG434" s="1831"/>
      <c r="KHH434" s="1831"/>
      <c r="KHI434" s="1831"/>
      <c r="KHJ434" s="1831"/>
      <c r="KHK434" s="1831"/>
      <c r="KHL434" s="1831"/>
      <c r="KHM434" s="1831"/>
      <c r="KHN434" s="1831"/>
      <c r="KHO434" s="1831"/>
      <c r="KHP434" s="1831"/>
      <c r="KHQ434" s="1831"/>
      <c r="KHR434" s="1831"/>
      <c r="KHS434" s="1831"/>
      <c r="KHT434" s="1831"/>
      <c r="KHU434" s="1831"/>
      <c r="KHV434" s="1831"/>
      <c r="KHW434" s="1831"/>
      <c r="KHX434" s="1831"/>
      <c r="KHY434" s="1831"/>
      <c r="KHZ434" s="1831"/>
      <c r="KIA434" s="1831"/>
      <c r="KIB434" s="1831"/>
      <c r="KIC434" s="1831"/>
      <c r="KID434" s="1831"/>
      <c r="KIE434" s="1831"/>
      <c r="KIF434" s="1831"/>
      <c r="KIG434" s="1831"/>
      <c r="KIH434" s="1831"/>
      <c r="KII434" s="1831"/>
      <c r="KIJ434" s="1831"/>
      <c r="KIK434" s="1831"/>
      <c r="KIL434" s="1831"/>
      <c r="KIM434" s="1831"/>
      <c r="KIN434" s="1831"/>
      <c r="KIO434" s="1831"/>
      <c r="KIP434" s="1831"/>
      <c r="KIQ434" s="1831"/>
      <c r="KIR434" s="1831"/>
      <c r="KIS434" s="1831"/>
      <c r="KIT434" s="1831"/>
      <c r="KIU434" s="1831"/>
      <c r="KIV434" s="1831"/>
      <c r="KIW434" s="1831"/>
      <c r="KIX434" s="1831"/>
      <c r="KIY434" s="1831"/>
      <c r="KIZ434" s="1831"/>
      <c r="KJA434" s="1831"/>
      <c r="KJB434" s="1831"/>
      <c r="KJC434" s="1831"/>
      <c r="KJD434" s="1831"/>
      <c r="KJE434" s="1831"/>
      <c r="KJF434" s="1831"/>
      <c r="KJG434" s="1831"/>
      <c r="KJH434" s="1831"/>
      <c r="KJI434" s="1831"/>
      <c r="KJJ434" s="1831"/>
      <c r="KJK434" s="1831"/>
      <c r="KJL434" s="1831"/>
      <c r="KJM434" s="1831"/>
      <c r="KJN434" s="1831"/>
      <c r="KJO434" s="1831"/>
      <c r="KJP434" s="1831"/>
      <c r="KJQ434" s="1831"/>
      <c r="KJR434" s="1831"/>
      <c r="KJS434" s="1831"/>
      <c r="KJT434" s="1831"/>
      <c r="KJU434" s="1831"/>
      <c r="KJV434" s="1831"/>
      <c r="KJW434" s="1831"/>
      <c r="KJX434" s="1831"/>
      <c r="KJY434" s="1831"/>
      <c r="KJZ434" s="1831"/>
      <c r="KKA434" s="1831"/>
      <c r="KKB434" s="1831"/>
      <c r="KKC434" s="1831"/>
      <c r="KKD434" s="1831"/>
      <c r="KKE434" s="1831"/>
      <c r="KKF434" s="1831"/>
      <c r="KKG434" s="1831"/>
      <c r="KKH434" s="1831"/>
      <c r="KKI434" s="1831"/>
      <c r="KKJ434" s="1831"/>
      <c r="KKK434" s="1831"/>
      <c r="KKL434" s="1831"/>
      <c r="KKM434" s="1831"/>
      <c r="KKN434" s="1831"/>
      <c r="KKO434" s="1831"/>
      <c r="KKP434" s="1831"/>
      <c r="KKQ434" s="1831"/>
      <c r="KKR434" s="1831"/>
      <c r="KKS434" s="1831"/>
      <c r="KKT434" s="1831"/>
      <c r="KKU434" s="1831"/>
      <c r="KKV434" s="1831"/>
      <c r="KKW434" s="1831"/>
      <c r="KKX434" s="1831"/>
      <c r="KKY434" s="1831"/>
      <c r="KKZ434" s="1831"/>
      <c r="KLA434" s="1831"/>
      <c r="KLB434" s="1831"/>
      <c r="KLC434" s="1831"/>
      <c r="KLD434" s="1831"/>
      <c r="KLE434" s="1831"/>
      <c r="KLF434" s="1831"/>
      <c r="KLG434" s="1831"/>
      <c r="KLH434" s="1831"/>
      <c r="KLI434" s="1831"/>
      <c r="KLJ434" s="1831"/>
      <c r="KLK434" s="1831"/>
      <c r="KLL434" s="1831"/>
      <c r="KLM434" s="1831"/>
      <c r="KLN434" s="1831"/>
      <c r="KLO434" s="1831"/>
      <c r="KLP434" s="1831"/>
      <c r="KLQ434" s="1831"/>
      <c r="KLR434" s="1831"/>
      <c r="KLS434" s="1831"/>
      <c r="KLT434" s="1831"/>
      <c r="KLU434" s="1831"/>
      <c r="KLV434" s="1831"/>
      <c r="KLW434" s="1831"/>
      <c r="KLX434" s="1831"/>
      <c r="KLY434" s="1831"/>
      <c r="KLZ434" s="1831"/>
      <c r="KMA434" s="1831"/>
      <c r="KMB434" s="1831"/>
      <c r="KMC434" s="1831"/>
      <c r="KMD434" s="1831"/>
      <c r="KME434" s="1831"/>
      <c r="KMF434" s="1831"/>
      <c r="KMG434" s="1831"/>
      <c r="KMH434" s="1831"/>
      <c r="KMI434" s="1831"/>
      <c r="KMJ434" s="1831"/>
      <c r="KMK434" s="1831"/>
      <c r="KML434" s="1831"/>
      <c r="KMM434" s="1831"/>
      <c r="KMN434" s="1831"/>
      <c r="KMO434" s="1831"/>
      <c r="KMP434" s="1831"/>
      <c r="KMQ434" s="1831"/>
      <c r="KMR434" s="1831"/>
      <c r="KMS434" s="1831"/>
      <c r="KMT434" s="1831"/>
      <c r="KMU434" s="1831"/>
      <c r="KMV434" s="1831"/>
      <c r="KMW434" s="1831"/>
      <c r="KMX434" s="1831"/>
      <c r="KMY434" s="1831"/>
      <c r="KMZ434" s="1831"/>
      <c r="KNA434" s="1831"/>
      <c r="KNB434" s="1831"/>
      <c r="KNC434" s="1831"/>
      <c r="KND434" s="1831"/>
      <c r="KNE434" s="1831"/>
      <c r="KNF434" s="1831"/>
      <c r="KNG434" s="1831"/>
      <c r="KNH434" s="1831"/>
      <c r="KNI434" s="1831"/>
      <c r="KNJ434" s="1831"/>
      <c r="KNK434" s="1831"/>
      <c r="KNL434" s="1831"/>
      <c r="KNM434" s="1831"/>
      <c r="KNN434" s="1831"/>
      <c r="KNO434" s="1831"/>
      <c r="KNP434" s="1831"/>
      <c r="KNQ434" s="1831"/>
      <c r="KNR434" s="1831"/>
      <c r="KNS434" s="1831"/>
      <c r="KNT434" s="1831"/>
      <c r="KNU434" s="1831"/>
      <c r="KNV434" s="1831"/>
      <c r="KNW434" s="1831"/>
      <c r="KNX434" s="1831"/>
      <c r="KNY434" s="1831"/>
      <c r="KNZ434" s="1831"/>
      <c r="KOA434" s="1831"/>
      <c r="KOB434" s="1831"/>
      <c r="KOC434" s="1831"/>
      <c r="KOD434" s="1831"/>
      <c r="KOE434" s="1831"/>
      <c r="KOF434" s="1831"/>
      <c r="KOG434" s="1831"/>
      <c r="KOH434" s="1831"/>
      <c r="KOI434" s="1831"/>
      <c r="KOJ434" s="1831"/>
      <c r="KOK434" s="1831"/>
      <c r="KOL434" s="1831"/>
      <c r="KOM434" s="1831"/>
      <c r="KON434" s="1831"/>
      <c r="KOO434" s="1831"/>
      <c r="KOP434" s="1831"/>
      <c r="KOQ434" s="1831"/>
      <c r="KOR434" s="1831"/>
      <c r="KOS434" s="1831"/>
      <c r="KOT434" s="1831"/>
      <c r="KOU434" s="1831"/>
      <c r="KOV434" s="1831"/>
      <c r="KOW434" s="1831"/>
      <c r="KOX434" s="1831"/>
      <c r="KOY434" s="1831"/>
      <c r="KOZ434" s="1831"/>
      <c r="KPA434" s="1831"/>
      <c r="KPB434" s="1831"/>
      <c r="KPC434" s="1831"/>
      <c r="KPD434" s="1831"/>
      <c r="KPE434" s="1831"/>
      <c r="KPF434" s="1831"/>
      <c r="KPG434" s="1831"/>
      <c r="KPH434" s="1831"/>
      <c r="KPI434" s="1831"/>
      <c r="KPJ434" s="1831"/>
      <c r="KPK434" s="1831"/>
      <c r="KPL434" s="1831"/>
      <c r="KPM434" s="1831"/>
      <c r="KPN434" s="1831"/>
      <c r="KPO434" s="1831"/>
      <c r="KPP434" s="1831"/>
      <c r="KPQ434" s="1831"/>
      <c r="KPR434" s="1831"/>
      <c r="KPS434" s="1831"/>
      <c r="KPT434" s="1831"/>
      <c r="KPU434" s="1831"/>
      <c r="KPV434" s="1831"/>
      <c r="KPW434" s="1831"/>
      <c r="KPX434" s="1831"/>
      <c r="KPY434" s="1831"/>
      <c r="KPZ434" s="1831"/>
      <c r="KQA434" s="1831"/>
      <c r="KQB434" s="1831"/>
      <c r="KQC434" s="1831"/>
      <c r="KQD434" s="1831"/>
      <c r="KQE434" s="1831"/>
      <c r="KQF434" s="1831"/>
      <c r="KQG434" s="1831"/>
      <c r="KQH434" s="1831"/>
      <c r="KQI434" s="1831"/>
      <c r="KQJ434" s="1831"/>
      <c r="KQK434" s="1831"/>
      <c r="KQL434" s="1831"/>
      <c r="KQM434" s="1831"/>
      <c r="KQN434" s="1831"/>
      <c r="KQO434" s="1831"/>
      <c r="KQP434" s="1831"/>
      <c r="KQQ434" s="1831"/>
      <c r="KQR434" s="1831"/>
      <c r="KQS434" s="1831"/>
      <c r="KQT434" s="1831"/>
      <c r="KQU434" s="1831"/>
      <c r="KQV434" s="1831"/>
      <c r="KQW434" s="1831"/>
      <c r="KQX434" s="1831"/>
      <c r="KQY434" s="1831"/>
      <c r="KQZ434" s="1831"/>
      <c r="KRA434" s="1831"/>
      <c r="KRB434" s="1831"/>
      <c r="KRC434" s="1831"/>
      <c r="KRD434" s="1831"/>
      <c r="KRE434" s="1831"/>
      <c r="KRF434" s="1831"/>
      <c r="KRG434" s="1831"/>
      <c r="KRH434" s="1831"/>
      <c r="KRI434" s="1831"/>
      <c r="KRJ434" s="1831"/>
      <c r="KRK434" s="1831"/>
      <c r="KRL434" s="1831"/>
      <c r="KRM434" s="1831"/>
      <c r="KRN434" s="1831"/>
      <c r="KRO434" s="1831"/>
      <c r="KRP434" s="1831"/>
      <c r="KRQ434" s="1831"/>
      <c r="KRR434" s="1831"/>
      <c r="KRS434" s="1831"/>
      <c r="KRT434" s="1831"/>
      <c r="KRU434" s="1831"/>
      <c r="KRV434" s="1831"/>
      <c r="KRW434" s="1831"/>
      <c r="KRX434" s="1831"/>
      <c r="KRY434" s="1831"/>
      <c r="KRZ434" s="1831"/>
      <c r="KSA434" s="1831"/>
      <c r="KSB434" s="1831"/>
      <c r="KSC434" s="1831"/>
      <c r="KSD434" s="1831"/>
      <c r="KSE434" s="1831"/>
      <c r="KSF434" s="1831"/>
      <c r="KSG434" s="1831"/>
      <c r="KSH434" s="1831"/>
      <c r="KSI434" s="1831"/>
      <c r="KSJ434" s="1831"/>
      <c r="KSK434" s="1831"/>
      <c r="KSL434" s="1831"/>
      <c r="KSM434" s="1831"/>
      <c r="KSN434" s="1831"/>
      <c r="KSO434" s="1831"/>
      <c r="KSP434" s="1831"/>
      <c r="KSQ434" s="1831"/>
      <c r="KSR434" s="1831"/>
      <c r="KSS434" s="1831"/>
      <c r="KST434" s="1831"/>
      <c r="KSU434" s="1831"/>
      <c r="KSV434" s="1831"/>
      <c r="KSW434" s="1831"/>
      <c r="KSX434" s="1831"/>
      <c r="KSY434" s="1831"/>
      <c r="KSZ434" s="1831"/>
      <c r="KTA434" s="1831"/>
      <c r="KTB434" s="1831"/>
      <c r="KTC434" s="1831"/>
      <c r="KTD434" s="1831"/>
      <c r="KTE434" s="1831"/>
      <c r="KTF434" s="1831"/>
      <c r="KTG434" s="1831"/>
      <c r="KTH434" s="1831"/>
      <c r="KTI434" s="1831"/>
      <c r="KTJ434" s="1831"/>
      <c r="KTK434" s="1831"/>
      <c r="KTL434" s="1831"/>
      <c r="KTM434" s="1831"/>
      <c r="KTN434" s="1831"/>
      <c r="KTO434" s="1831"/>
      <c r="KTP434" s="1831"/>
      <c r="KTQ434" s="1831"/>
      <c r="KTR434" s="1831"/>
      <c r="KTS434" s="1831"/>
      <c r="KTT434" s="1831"/>
      <c r="KTU434" s="1831"/>
      <c r="KTV434" s="1831"/>
      <c r="KTW434" s="1831"/>
      <c r="KTX434" s="1831"/>
      <c r="KTY434" s="1831"/>
      <c r="KTZ434" s="1831"/>
      <c r="KUA434" s="1831"/>
      <c r="KUB434" s="1831"/>
      <c r="KUC434" s="1831"/>
      <c r="KUD434" s="1831"/>
      <c r="KUE434" s="1831"/>
      <c r="KUF434" s="1831"/>
      <c r="KUG434" s="1831"/>
      <c r="KUH434" s="1831"/>
      <c r="KUI434" s="1831"/>
      <c r="KUJ434" s="1831"/>
      <c r="KUK434" s="1831"/>
      <c r="KUL434" s="1831"/>
      <c r="KUM434" s="1831"/>
      <c r="KUN434" s="1831"/>
      <c r="KUO434" s="1831"/>
      <c r="KUP434" s="1831"/>
      <c r="KUQ434" s="1831"/>
      <c r="KUR434" s="1831"/>
      <c r="KUS434" s="1831"/>
      <c r="KUT434" s="1831"/>
      <c r="KUU434" s="1831"/>
      <c r="KUV434" s="1831"/>
      <c r="KUW434" s="1831"/>
      <c r="KUX434" s="1831"/>
      <c r="KUY434" s="1831"/>
      <c r="KUZ434" s="1831"/>
      <c r="KVA434" s="1831"/>
      <c r="KVB434" s="1831"/>
      <c r="KVC434" s="1831"/>
      <c r="KVD434" s="1831"/>
      <c r="KVE434" s="1831"/>
      <c r="KVF434" s="1831"/>
      <c r="KVG434" s="1831"/>
      <c r="KVH434" s="1831"/>
      <c r="KVI434" s="1831"/>
      <c r="KVJ434" s="1831"/>
      <c r="KVK434" s="1831"/>
      <c r="KVL434" s="1831"/>
      <c r="KVM434" s="1831"/>
      <c r="KVN434" s="1831"/>
      <c r="KVO434" s="1831"/>
      <c r="KVP434" s="1831"/>
      <c r="KVQ434" s="1831"/>
      <c r="KVR434" s="1831"/>
      <c r="KVS434" s="1831"/>
      <c r="KVT434" s="1831"/>
      <c r="KVU434" s="1831"/>
      <c r="KVV434" s="1831"/>
      <c r="KVW434" s="1831"/>
      <c r="KVX434" s="1831"/>
      <c r="KVY434" s="1831"/>
      <c r="KVZ434" s="1831"/>
      <c r="KWA434" s="1831"/>
      <c r="KWB434" s="1831"/>
      <c r="KWC434" s="1831"/>
      <c r="KWD434" s="1831"/>
      <c r="KWE434" s="1831"/>
      <c r="KWF434" s="1831"/>
      <c r="KWG434" s="1831"/>
      <c r="KWH434" s="1831"/>
      <c r="KWI434" s="1831"/>
      <c r="KWJ434" s="1831"/>
      <c r="KWK434" s="1831"/>
      <c r="KWL434" s="1831"/>
      <c r="KWM434" s="1831"/>
      <c r="KWN434" s="1831"/>
      <c r="KWO434" s="1831"/>
      <c r="KWP434" s="1831"/>
      <c r="KWQ434" s="1831"/>
      <c r="KWR434" s="1831"/>
      <c r="KWS434" s="1831"/>
      <c r="KWT434" s="1831"/>
      <c r="KWU434" s="1831"/>
      <c r="KWV434" s="1831"/>
      <c r="KWW434" s="1831"/>
      <c r="KWX434" s="1831"/>
      <c r="KWY434" s="1831"/>
      <c r="KWZ434" s="1831"/>
      <c r="KXA434" s="1831"/>
      <c r="KXB434" s="1831"/>
      <c r="KXC434" s="1831"/>
      <c r="KXD434" s="1831"/>
      <c r="KXE434" s="1831"/>
      <c r="KXF434" s="1831"/>
      <c r="KXG434" s="1831"/>
      <c r="KXH434" s="1831"/>
      <c r="KXI434" s="1831"/>
      <c r="KXJ434" s="1831"/>
      <c r="KXK434" s="1831"/>
      <c r="KXL434" s="1831"/>
      <c r="KXM434" s="1831"/>
      <c r="KXN434" s="1831"/>
      <c r="KXO434" s="1831"/>
      <c r="KXP434" s="1831"/>
      <c r="KXQ434" s="1831"/>
      <c r="KXR434" s="1831"/>
      <c r="KXS434" s="1831"/>
      <c r="KXT434" s="1831"/>
      <c r="KXU434" s="1831"/>
      <c r="KXV434" s="1831"/>
      <c r="KXW434" s="1831"/>
      <c r="KXX434" s="1831"/>
      <c r="KXY434" s="1831"/>
      <c r="KXZ434" s="1831"/>
      <c r="KYA434" s="1831"/>
      <c r="KYB434" s="1831"/>
      <c r="KYC434" s="1831"/>
      <c r="KYD434" s="1831"/>
      <c r="KYE434" s="1831"/>
      <c r="KYF434" s="1831"/>
      <c r="KYG434" s="1831"/>
      <c r="KYH434" s="1831"/>
      <c r="KYI434" s="1831"/>
      <c r="KYJ434" s="1831"/>
      <c r="KYK434" s="1831"/>
      <c r="KYL434" s="1831"/>
      <c r="KYM434" s="1831"/>
      <c r="KYN434" s="1831"/>
      <c r="KYO434" s="1831"/>
      <c r="KYP434" s="1831"/>
      <c r="KYQ434" s="1831"/>
      <c r="KYR434" s="1831"/>
      <c r="KYS434" s="1831"/>
      <c r="KYT434" s="1831"/>
      <c r="KYU434" s="1831"/>
      <c r="KYV434" s="1831"/>
      <c r="KYW434" s="1831"/>
      <c r="KYX434" s="1831"/>
      <c r="KYY434" s="1831"/>
      <c r="KYZ434" s="1831"/>
      <c r="KZA434" s="1831"/>
      <c r="KZB434" s="1831"/>
      <c r="KZC434" s="1831"/>
      <c r="KZD434" s="1831"/>
      <c r="KZE434" s="1831"/>
      <c r="KZF434" s="1831"/>
      <c r="KZG434" s="1831"/>
      <c r="KZH434" s="1831"/>
      <c r="KZI434" s="1831"/>
      <c r="KZJ434" s="1831"/>
      <c r="KZK434" s="1831"/>
      <c r="KZL434" s="1831"/>
      <c r="KZM434" s="1831"/>
      <c r="KZN434" s="1831"/>
      <c r="KZO434" s="1831"/>
      <c r="KZP434" s="1831"/>
      <c r="KZQ434" s="1831"/>
      <c r="KZR434" s="1831"/>
      <c r="KZS434" s="1831"/>
      <c r="KZT434" s="1831"/>
      <c r="KZU434" s="1831"/>
      <c r="KZV434" s="1831"/>
      <c r="KZW434" s="1831"/>
      <c r="KZX434" s="1831"/>
      <c r="KZY434" s="1831"/>
      <c r="KZZ434" s="1831"/>
      <c r="LAA434" s="1831"/>
      <c r="LAB434" s="1831"/>
      <c r="LAC434" s="1831"/>
      <c r="LAD434" s="1831"/>
      <c r="LAE434" s="1831"/>
      <c r="LAF434" s="1831"/>
      <c r="LAG434" s="1831"/>
      <c r="LAH434" s="1831"/>
      <c r="LAI434" s="1831"/>
      <c r="LAJ434" s="1831"/>
      <c r="LAK434" s="1831"/>
      <c r="LAL434" s="1831"/>
      <c r="LAM434" s="1831"/>
      <c r="LAN434" s="1831"/>
      <c r="LAO434" s="1831"/>
      <c r="LAP434" s="1831"/>
      <c r="LAQ434" s="1831"/>
      <c r="LAR434" s="1831"/>
      <c r="LAS434" s="1831"/>
      <c r="LAT434" s="1831"/>
      <c r="LAU434" s="1831"/>
      <c r="LAV434" s="1831"/>
      <c r="LAW434" s="1831"/>
      <c r="LAX434" s="1831"/>
      <c r="LAY434" s="1831"/>
      <c r="LAZ434" s="1831"/>
      <c r="LBA434" s="1831"/>
      <c r="LBB434" s="1831"/>
      <c r="LBC434" s="1831"/>
      <c r="LBD434" s="1831"/>
      <c r="LBE434" s="1831"/>
      <c r="LBF434" s="1831"/>
      <c r="LBG434" s="1831"/>
      <c r="LBH434" s="1831"/>
      <c r="LBI434" s="1831"/>
      <c r="LBJ434" s="1831"/>
      <c r="LBK434" s="1831"/>
      <c r="LBL434" s="1831"/>
      <c r="LBM434" s="1831"/>
      <c r="LBN434" s="1831"/>
      <c r="LBO434" s="1831"/>
      <c r="LBP434" s="1831"/>
      <c r="LBQ434" s="1831"/>
      <c r="LBR434" s="1831"/>
      <c r="LBS434" s="1831"/>
      <c r="LBT434" s="1831"/>
      <c r="LBU434" s="1831"/>
      <c r="LBV434" s="1831"/>
      <c r="LBW434" s="1831"/>
      <c r="LBX434" s="1831"/>
      <c r="LBY434" s="1831"/>
      <c r="LBZ434" s="1831"/>
      <c r="LCA434" s="1831"/>
      <c r="LCB434" s="1831"/>
      <c r="LCC434" s="1831"/>
      <c r="LCD434" s="1831"/>
      <c r="LCE434" s="1831"/>
      <c r="LCF434" s="1831"/>
      <c r="LCG434" s="1831"/>
      <c r="LCH434" s="1831"/>
      <c r="LCI434" s="1831"/>
      <c r="LCJ434" s="1831"/>
      <c r="LCK434" s="1831"/>
      <c r="LCL434" s="1831"/>
      <c r="LCM434" s="1831"/>
      <c r="LCN434" s="1831"/>
      <c r="LCO434" s="1831"/>
      <c r="LCP434" s="1831"/>
      <c r="LCQ434" s="1831"/>
      <c r="LCR434" s="1831"/>
      <c r="LCS434" s="1831"/>
      <c r="LCT434" s="1831"/>
      <c r="LCU434" s="1831"/>
      <c r="LCV434" s="1831"/>
      <c r="LCW434" s="1831"/>
      <c r="LCX434" s="1831"/>
      <c r="LCY434" s="1831"/>
      <c r="LCZ434" s="1831"/>
      <c r="LDA434" s="1831"/>
      <c r="LDB434" s="1831"/>
      <c r="LDC434" s="1831"/>
      <c r="LDD434" s="1831"/>
      <c r="LDE434" s="1831"/>
      <c r="LDF434" s="1831"/>
      <c r="LDG434" s="1831"/>
      <c r="LDH434" s="1831"/>
      <c r="LDI434" s="1831"/>
      <c r="LDJ434" s="1831"/>
      <c r="LDK434" s="1831"/>
      <c r="LDL434" s="1831"/>
      <c r="LDM434" s="1831"/>
      <c r="LDN434" s="1831"/>
      <c r="LDO434" s="1831"/>
      <c r="LDP434" s="1831"/>
      <c r="LDQ434" s="1831"/>
      <c r="LDR434" s="1831"/>
      <c r="LDS434" s="1831"/>
      <c r="LDT434" s="1831"/>
      <c r="LDU434" s="1831"/>
      <c r="LDV434" s="1831"/>
      <c r="LDW434" s="1831"/>
      <c r="LDX434" s="1831"/>
      <c r="LDY434" s="1831"/>
      <c r="LDZ434" s="1831"/>
      <c r="LEA434" s="1831"/>
      <c r="LEB434" s="1831"/>
      <c r="LEC434" s="1831"/>
      <c r="LED434" s="1831"/>
      <c r="LEE434" s="1831"/>
      <c r="LEF434" s="1831"/>
      <c r="LEG434" s="1831"/>
      <c r="LEH434" s="1831"/>
      <c r="LEI434" s="1831"/>
      <c r="LEJ434" s="1831"/>
      <c r="LEK434" s="1831"/>
      <c r="LEL434" s="1831"/>
      <c r="LEM434" s="1831"/>
      <c r="LEN434" s="1831"/>
      <c r="LEO434" s="1831"/>
      <c r="LEP434" s="1831"/>
      <c r="LEQ434" s="1831"/>
      <c r="LER434" s="1831"/>
      <c r="LES434" s="1831"/>
      <c r="LET434" s="1831"/>
      <c r="LEU434" s="1831"/>
      <c r="LEV434" s="1831"/>
      <c r="LEW434" s="1831"/>
      <c r="LEX434" s="1831"/>
      <c r="LEY434" s="1831"/>
      <c r="LEZ434" s="1831"/>
      <c r="LFA434" s="1831"/>
      <c r="LFB434" s="1831"/>
      <c r="LFC434" s="1831"/>
      <c r="LFD434" s="1831"/>
      <c r="LFE434" s="1831"/>
      <c r="LFF434" s="1831"/>
      <c r="LFG434" s="1831"/>
      <c r="LFH434" s="1831"/>
      <c r="LFI434" s="1831"/>
      <c r="LFJ434" s="1831"/>
      <c r="LFK434" s="1831"/>
      <c r="LFL434" s="1831"/>
      <c r="LFM434" s="1831"/>
      <c r="LFN434" s="1831"/>
      <c r="LFO434" s="1831"/>
      <c r="LFP434" s="1831"/>
      <c r="LFQ434" s="1831"/>
      <c r="LFR434" s="1831"/>
      <c r="LFS434" s="1831"/>
      <c r="LFT434" s="1831"/>
      <c r="LFU434" s="1831"/>
      <c r="LFV434" s="1831"/>
      <c r="LFW434" s="1831"/>
      <c r="LFX434" s="1831"/>
      <c r="LFY434" s="1831"/>
      <c r="LFZ434" s="1831"/>
      <c r="LGA434" s="1831"/>
      <c r="LGB434" s="1831"/>
      <c r="LGC434" s="1831"/>
      <c r="LGD434" s="1831"/>
      <c r="LGE434" s="1831"/>
      <c r="LGF434" s="1831"/>
      <c r="LGG434" s="1831"/>
      <c r="LGH434" s="1831"/>
      <c r="LGI434" s="1831"/>
      <c r="LGJ434" s="1831"/>
      <c r="LGK434" s="1831"/>
      <c r="LGL434" s="1831"/>
      <c r="LGM434" s="1831"/>
      <c r="LGN434" s="1831"/>
      <c r="LGO434" s="1831"/>
      <c r="LGP434" s="1831"/>
      <c r="LGQ434" s="1831"/>
      <c r="LGR434" s="1831"/>
      <c r="LGS434" s="1831"/>
      <c r="LGT434" s="1831"/>
      <c r="LGU434" s="1831"/>
      <c r="LGV434" s="1831"/>
      <c r="LGW434" s="1831"/>
      <c r="LGX434" s="1831"/>
      <c r="LGY434" s="1831"/>
      <c r="LGZ434" s="1831"/>
      <c r="LHA434" s="1831"/>
      <c r="LHB434" s="1831"/>
      <c r="LHC434" s="1831"/>
      <c r="LHD434" s="1831"/>
      <c r="LHE434" s="1831"/>
      <c r="LHF434" s="1831"/>
      <c r="LHG434" s="1831"/>
      <c r="LHH434" s="1831"/>
      <c r="LHI434" s="1831"/>
      <c r="LHJ434" s="1831"/>
      <c r="LHK434" s="1831"/>
      <c r="LHL434" s="1831"/>
      <c r="LHM434" s="1831"/>
      <c r="LHN434" s="1831"/>
      <c r="LHO434" s="1831"/>
      <c r="LHP434" s="1831"/>
      <c r="LHQ434" s="1831"/>
      <c r="LHR434" s="1831"/>
      <c r="LHS434" s="1831"/>
      <c r="LHT434" s="1831"/>
      <c r="LHU434" s="1831"/>
      <c r="LHV434" s="1831"/>
      <c r="LHW434" s="1831"/>
      <c r="LHX434" s="1831"/>
      <c r="LHY434" s="1831"/>
      <c r="LHZ434" s="1831"/>
      <c r="LIA434" s="1831"/>
      <c r="LIB434" s="1831"/>
      <c r="LIC434" s="1831"/>
      <c r="LID434" s="1831"/>
      <c r="LIE434" s="1831"/>
      <c r="LIF434" s="1831"/>
      <c r="LIG434" s="1831"/>
      <c r="LIH434" s="1831"/>
      <c r="LII434" s="1831"/>
      <c r="LIJ434" s="1831"/>
      <c r="LIK434" s="1831"/>
      <c r="LIL434" s="1831"/>
      <c r="LIM434" s="1831"/>
      <c r="LIN434" s="1831"/>
      <c r="LIO434" s="1831"/>
      <c r="LIP434" s="1831"/>
      <c r="LIQ434" s="1831"/>
      <c r="LIR434" s="1831"/>
      <c r="LIS434" s="1831"/>
      <c r="LIT434" s="1831"/>
      <c r="LIU434" s="1831"/>
      <c r="LIV434" s="1831"/>
      <c r="LIW434" s="1831"/>
      <c r="LIX434" s="1831"/>
      <c r="LIY434" s="1831"/>
      <c r="LIZ434" s="1831"/>
      <c r="LJA434" s="1831"/>
      <c r="LJB434" s="1831"/>
      <c r="LJC434" s="1831"/>
      <c r="LJD434" s="1831"/>
      <c r="LJE434" s="1831"/>
      <c r="LJF434" s="1831"/>
      <c r="LJG434" s="1831"/>
      <c r="LJH434" s="1831"/>
      <c r="LJI434" s="1831"/>
      <c r="LJJ434" s="1831"/>
      <c r="LJK434" s="1831"/>
      <c r="LJL434" s="1831"/>
      <c r="LJM434" s="1831"/>
      <c r="LJN434" s="1831"/>
      <c r="LJO434" s="1831"/>
      <c r="LJP434" s="1831"/>
      <c r="LJQ434" s="1831"/>
      <c r="LJR434" s="1831"/>
      <c r="LJS434" s="1831"/>
      <c r="LJT434" s="1831"/>
      <c r="LJU434" s="1831"/>
      <c r="LJV434" s="1831"/>
      <c r="LJW434" s="1831"/>
      <c r="LJX434" s="1831"/>
      <c r="LJY434" s="1831"/>
      <c r="LJZ434" s="1831"/>
      <c r="LKA434" s="1831"/>
      <c r="LKB434" s="1831"/>
      <c r="LKC434" s="1831"/>
      <c r="LKD434" s="1831"/>
      <c r="LKE434" s="1831"/>
      <c r="LKF434" s="1831"/>
      <c r="LKG434" s="1831"/>
      <c r="LKH434" s="1831"/>
      <c r="LKI434" s="1831"/>
      <c r="LKJ434" s="1831"/>
      <c r="LKK434" s="1831"/>
      <c r="LKL434" s="1831"/>
      <c r="LKM434" s="1831"/>
      <c r="LKN434" s="1831"/>
      <c r="LKO434" s="1831"/>
      <c r="LKP434" s="1831"/>
      <c r="LKQ434" s="1831"/>
      <c r="LKR434" s="1831"/>
      <c r="LKS434" s="1831"/>
      <c r="LKT434" s="1831"/>
      <c r="LKU434" s="1831"/>
      <c r="LKV434" s="1831"/>
      <c r="LKW434" s="1831"/>
      <c r="LKX434" s="1831"/>
      <c r="LKY434" s="1831"/>
      <c r="LKZ434" s="1831"/>
      <c r="LLA434" s="1831"/>
      <c r="LLB434" s="1831"/>
      <c r="LLC434" s="1831"/>
      <c r="LLD434" s="1831"/>
      <c r="LLE434" s="1831"/>
      <c r="LLF434" s="1831"/>
      <c r="LLG434" s="1831"/>
      <c r="LLH434" s="1831"/>
      <c r="LLI434" s="1831"/>
      <c r="LLJ434" s="1831"/>
      <c r="LLK434" s="1831"/>
      <c r="LLL434" s="1831"/>
      <c r="LLM434" s="1831"/>
      <c r="LLN434" s="1831"/>
      <c r="LLO434" s="1831"/>
      <c r="LLP434" s="1831"/>
      <c r="LLQ434" s="1831"/>
      <c r="LLR434" s="1831"/>
      <c r="LLS434" s="1831"/>
      <c r="LLT434" s="1831"/>
      <c r="LLU434" s="1831"/>
      <c r="LLV434" s="1831"/>
      <c r="LLW434" s="1831"/>
      <c r="LLX434" s="1831"/>
      <c r="LLY434" s="1831"/>
      <c r="LLZ434" s="1831"/>
      <c r="LMA434" s="1831"/>
      <c r="LMB434" s="1831"/>
      <c r="LMC434" s="1831"/>
      <c r="LMD434" s="1831"/>
      <c r="LME434" s="1831"/>
      <c r="LMF434" s="1831"/>
      <c r="LMG434" s="1831"/>
      <c r="LMH434" s="1831"/>
      <c r="LMI434" s="1831"/>
      <c r="LMJ434" s="1831"/>
      <c r="LMK434" s="1831"/>
      <c r="LML434" s="1831"/>
      <c r="LMM434" s="1831"/>
      <c r="LMN434" s="1831"/>
      <c r="LMO434" s="1831"/>
      <c r="LMP434" s="1831"/>
      <c r="LMQ434" s="1831"/>
      <c r="LMR434" s="1831"/>
      <c r="LMS434" s="1831"/>
      <c r="LMT434" s="1831"/>
      <c r="LMU434" s="1831"/>
      <c r="LMV434" s="1831"/>
      <c r="LMW434" s="1831"/>
      <c r="LMX434" s="1831"/>
      <c r="LMY434" s="1831"/>
      <c r="LMZ434" s="1831"/>
      <c r="LNA434" s="1831"/>
      <c r="LNB434" s="1831"/>
      <c r="LNC434" s="1831"/>
      <c r="LND434" s="1831"/>
      <c r="LNE434" s="1831"/>
      <c r="LNF434" s="1831"/>
      <c r="LNG434" s="1831"/>
      <c r="LNH434" s="1831"/>
      <c r="LNI434" s="1831"/>
      <c r="LNJ434" s="1831"/>
      <c r="LNK434" s="1831"/>
      <c r="LNL434" s="1831"/>
      <c r="LNM434" s="1831"/>
      <c r="LNN434" s="1831"/>
      <c r="LNO434" s="1831"/>
      <c r="LNP434" s="1831"/>
      <c r="LNQ434" s="1831"/>
      <c r="LNR434" s="1831"/>
      <c r="LNS434" s="1831"/>
      <c r="LNT434" s="1831"/>
      <c r="LNU434" s="1831"/>
      <c r="LNV434" s="1831"/>
      <c r="LNW434" s="1831"/>
      <c r="LNX434" s="1831"/>
      <c r="LNY434" s="1831"/>
      <c r="LNZ434" s="1831"/>
      <c r="LOA434" s="1831"/>
      <c r="LOB434" s="1831"/>
      <c r="LOC434" s="1831"/>
      <c r="LOD434" s="1831"/>
      <c r="LOE434" s="1831"/>
      <c r="LOF434" s="1831"/>
      <c r="LOG434" s="1831"/>
      <c r="LOH434" s="1831"/>
      <c r="LOI434" s="1831"/>
      <c r="LOJ434" s="1831"/>
      <c r="LOK434" s="1831"/>
      <c r="LOL434" s="1831"/>
      <c r="LOM434" s="1831"/>
      <c r="LON434" s="1831"/>
      <c r="LOO434" s="1831"/>
      <c r="LOP434" s="1831"/>
      <c r="LOQ434" s="1831"/>
      <c r="LOR434" s="1831"/>
      <c r="LOS434" s="1831"/>
      <c r="LOT434" s="1831"/>
      <c r="LOU434" s="1831"/>
      <c r="LOV434" s="1831"/>
      <c r="LOW434" s="1831"/>
      <c r="LOX434" s="1831"/>
      <c r="LOY434" s="1831"/>
      <c r="LOZ434" s="1831"/>
      <c r="LPA434" s="1831"/>
      <c r="LPB434" s="1831"/>
      <c r="LPC434" s="1831"/>
      <c r="LPD434" s="1831"/>
      <c r="LPE434" s="1831"/>
      <c r="LPF434" s="1831"/>
      <c r="LPG434" s="1831"/>
      <c r="LPH434" s="1831"/>
      <c r="LPI434" s="1831"/>
      <c r="LPJ434" s="1831"/>
      <c r="LPK434" s="1831"/>
      <c r="LPL434" s="1831"/>
      <c r="LPM434" s="1831"/>
      <c r="LPN434" s="1831"/>
      <c r="LPO434" s="1831"/>
      <c r="LPP434" s="1831"/>
      <c r="LPQ434" s="1831"/>
      <c r="LPR434" s="1831"/>
      <c r="LPS434" s="1831"/>
      <c r="LPT434" s="1831"/>
      <c r="LPU434" s="1831"/>
      <c r="LPV434" s="1831"/>
      <c r="LPW434" s="1831"/>
      <c r="LPX434" s="1831"/>
      <c r="LPY434" s="1831"/>
      <c r="LPZ434" s="1831"/>
      <c r="LQA434" s="1831"/>
      <c r="LQB434" s="1831"/>
      <c r="LQC434" s="1831"/>
      <c r="LQD434" s="1831"/>
      <c r="LQE434" s="1831"/>
      <c r="LQF434" s="1831"/>
      <c r="LQG434" s="1831"/>
      <c r="LQH434" s="1831"/>
      <c r="LQI434" s="1831"/>
      <c r="LQJ434" s="1831"/>
      <c r="LQK434" s="1831"/>
      <c r="LQL434" s="1831"/>
      <c r="LQM434" s="1831"/>
      <c r="LQN434" s="1831"/>
      <c r="LQO434" s="1831"/>
      <c r="LQP434" s="1831"/>
      <c r="LQQ434" s="1831"/>
      <c r="LQR434" s="1831"/>
      <c r="LQS434" s="1831"/>
      <c r="LQT434" s="1831"/>
      <c r="LQU434" s="1831"/>
      <c r="LQV434" s="1831"/>
      <c r="LQW434" s="1831"/>
      <c r="LQX434" s="1831"/>
      <c r="LQY434" s="1831"/>
      <c r="LQZ434" s="1831"/>
      <c r="LRA434" s="1831"/>
      <c r="LRB434" s="1831"/>
      <c r="LRC434" s="1831"/>
      <c r="LRD434" s="1831"/>
      <c r="LRE434" s="1831"/>
      <c r="LRF434" s="1831"/>
      <c r="LRG434" s="1831"/>
      <c r="LRH434" s="1831"/>
      <c r="LRI434" s="1831"/>
      <c r="LRJ434" s="1831"/>
      <c r="LRK434" s="1831"/>
      <c r="LRL434" s="1831"/>
      <c r="LRM434" s="1831"/>
      <c r="LRN434" s="1831"/>
      <c r="LRO434" s="1831"/>
      <c r="LRP434" s="1831"/>
      <c r="LRQ434" s="1831"/>
      <c r="LRR434" s="1831"/>
      <c r="LRS434" s="1831"/>
      <c r="LRT434" s="1831"/>
      <c r="LRU434" s="1831"/>
      <c r="LRV434" s="1831"/>
      <c r="LRW434" s="1831"/>
      <c r="LRX434" s="1831"/>
      <c r="LRY434" s="1831"/>
      <c r="LRZ434" s="1831"/>
      <c r="LSA434" s="1831"/>
      <c r="LSB434" s="1831"/>
      <c r="LSC434" s="1831"/>
      <c r="LSD434" s="1831"/>
      <c r="LSE434" s="1831"/>
      <c r="LSF434" s="1831"/>
      <c r="LSG434" s="1831"/>
      <c r="LSH434" s="1831"/>
      <c r="LSI434" s="1831"/>
      <c r="LSJ434" s="1831"/>
      <c r="LSK434" s="1831"/>
      <c r="LSL434" s="1831"/>
      <c r="LSM434" s="1831"/>
      <c r="LSN434" s="1831"/>
      <c r="LSO434" s="1831"/>
      <c r="LSP434" s="1831"/>
      <c r="LSQ434" s="1831"/>
      <c r="LSR434" s="1831"/>
      <c r="LSS434" s="1831"/>
      <c r="LST434" s="1831"/>
      <c r="LSU434" s="1831"/>
      <c r="LSV434" s="1831"/>
      <c r="LSW434" s="1831"/>
      <c r="LSX434" s="1831"/>
      <c r="LSY434" s="1831"/>
      <c r="LSZ434" s="1831"/>
      <c r="LTA434" s="1831"/>
      <c r="LTB434" s="1831"/>
      <c r="LTC434" s="1831"/>
      <c r="LTD434" s="1831"/>
      <c r="LTE434" s="1831"/>
      <c r="LTF434" s="1831"/>
      <c r="LTG434" s="1831"/>
      <c r="LTH434" s="1831"/>
      <c r="LTI434" s="1831"/>
      <c r="LTJ434" s="1831"/>
      <c r="LTK434" s="1831"/>
      <c r="LTL434" s="1831"/>
      <c r="LTM434" s="1831"/>
      <c r="LTN434" s="1831"/>
      <c r="LTO434" s="1831"/>
      <c r="LTP434" s="1831"/>
      <c r="LTQ434" s="1831"/>
      <c r="LTR434" s="1831"/>
      <c r="LTS434" s="1831"/>
      <c r="LTT434" s="1831"/>
      <c r="LTU434" s="1831"/>
      <c r="LTV434" s="1831"/>
      <c r="LTW434" s="1831"/>
      <c r="LTX434" s="1831"/>
      <c r="LTY434" s="1831"/>
      <c r="LTZ434" s="1831"/>
      <c r="LUA434" s="1831"/>
      <c r="LUB434" s="1831"/>
      <c r="LUC434" s="1831"/>
      <c r="LUD434" s="1831"/>
      <c r="LUE434" s="1831"/>
      <c r="LUF434" s="1831"/>
      <c r="LUG434" s="1831"/>
      <c r="LUH434" s="1831"/>
      <c r="LUI434" s="1831"/>
      <c r="LUJ434" s="1831"/>
      <c r="LUK434" s="1831"/>
      <c r="LUL434" s="1831"/>
      <c r="LUM434" s="1831"/>
      <c r="LUN434" s="1831"/>
      <c r="LUO434" s="1831"/>
      <c r="LUP434" s="1831"/>
      <c r="LUQ434" s="1831"/>
      <c r="LUR434" s="1831"/>
      <c r="LUS434" s="1831"/>
      <c r="LUT434" s="1831"/>
      <c r="LUU434" s="1831"/>
      <c r="LUV434" s="1831"/>
      <c r="LUW434" s="1831"/>
      <c r="LUX434" s="1831"/>
      <c r="LUY434" s="1831"/>
      <c r="LUZ434" s="1831"/>
      <c r="LVA434" s="1831"/>
      <c r="LVB434" s="1831"/>
      <c r="LVC434" s="1831"/>
      <c r="LVD434" s="1831"/>
      <c r="LVE434" s="1831"/>
      <c r="LVF434" s="1831"/>
      <c r="LVG434" s="1831"/>
      <c r="LVH434" s="1831"/>
      <c r="LVI434" s="1831"/>
      <c r="LVJ434" s="1831"/>
      <c r="LVK434" s="1831"/>
      <c r="LVL434" s="1831"/>
      <c r="LVM434" s="1831"/>
      <c r="LVN434" s="1831"/>
      <c r="LVO434" s="1831"/>
      <c r="LVP434" s="1831"/>
      <c r="LVQ434" s="1831"/>
      <c r="LVR434" s="1831"/>
      <c r="LVS434" s="1831"/>
      <c r="LVT434" s="1831"/>
      <c r="LVU434" s="1831"/>
      <c r="LVV434" s="1831"/>
      <c r="LVW434" s="1831"/>
      <c r="LVX434" s="1831"/>
      <c r="LVY434" s="1831"/>
      <c r="LVZ434" s="1831"/>
      <c r="LWA434" s="1831"/>
      <c r="LWB434" s="1831"/>
      <c r="LWC434" s="1831"/>
      <c r="LWD434" s="1831"/>
      <c r="LWE434" s="1831"/>
      <c r="LWF434" s="1831"/>
      <c r="LWG434" s="1831"/>
      <c r="LWH434" s="1831"/>
      <c r="LWI434" s="1831"/>
      <c r="LWJ434" s="1831"/>
      <c r="LWK434" s="1831"/>
      <c r="LWL434" s="1831"/>
      <c r="LWM434" s="1831"/>
      <c r="LWN434" s="1831"/>
      <c r="LWO434" s="1831"/>
      <c r="LWP434" s="1831"/>
      <c r="LWQ434" s="1831"/>
      <c r="LWR434" s="1831"/>
      <c r="LWS434" s="1831"/>
      <c r="LWT434" s="1831"/>
      <c r="LWU434" s="1831"/>
      <c r="LWV434" s="1831"/>
      <c r="LWW434" s="1831"/>
      <c r="LWX434" s="1831"/>
      <c r="LWY434" s="1831"/>
      <c r="LWZ434" s="1831"/>
      <c r="LXA434" s="1831"/>
      <c r="LXB434" s="1831"/>
      <c r="LXC434" s="1831"/>
      <c r="LXD434" s="1831"/>
      <c r="LXE434" s="1831"/>
      <c r="LXF434" s="1831"/>
      <c r="LXG434" s="1831"/>
      <c r="LXH434" s="1831"/>
      <c r="LXI434" s="1831"/>
      <c r="LXJ434" s="1831"/>
      <c r="LXK434" s="1831"/>
      <c r="LXL434" s="1831"/>
      <c r="LXM434" s="1831"/>
      <c r="LXN434" s="1831"/>
      <c r="LXO434" s="1831"/>
      <c r="LXP434" s="1831"/>
      <c r="LXQ434" s="1831"/>
      <c r="LXR434" s="1831"/>
      <c r="LXS434" s="1831"/>
      <c r="LXT434" s="1831"/>
      <c r="LXU434" s="1831"/>
      <c r="LXV434" s="1831"/>
      <c r="LXW434" s="1831"/>
      <c r="LXX434" s="1831"/>
      <c r="LXY434" s="1831"/>
      <c r="LXZ434" s="1831"/>
      <c r="LYA434" s="1831"/>
      <c r="LYB434" s="1831"/>
      <c r="LYC434" s="1831"/>
      <c r="LYD434" s="1831"/>
      <c r="LYE434" s="1831"/>
      <c r="LYF434" s="1831"/>
      <c r="LYG434" s="1831"/>
      <c r="LYH434" s="1831"/>
      <c r="LYI434" s="1831"/>
      <c r="LYJ434" s="1831"/>
      <c r="LYK434" s="1831"/>
      <c r="LYL434" s="1831"/>
      <c r="LYM434" s="1831"/>
      <c r="LYN434" s="1831"/>
      <c r="LYO434" s="1831"/>
      <c r="LYP434" s="1831"/>
      <c r="LYQ434" s="1831"/>
      <c r="LYR434" s="1831"/>
      <c r="LYS434" s="1831"/>
      <c r="LYT434" s="1831"/>
      <c r="LYU434" s="1831"/>
      <c r="LYV434" s="1831"/>
      <c r="LYW434" s="1831"/>
      <c r="LYX434" s="1831"/>
      <c r="LYY434" s="1831"/>
      <c r="LYZ434" s="1831"/>
      <c r="LZA434" s="1831"/>
      <c r="LZB434" s="1831"/>
      <c r="LZC434" s="1831"/>
      <c r="LZD434" s="1831"/>
      <c r="LZE434" s="1831"/>
      <c r="LZF434" s="1831"/>
      <c r="LZG434" s="1831"/>
      <c r="LZH434" s="1831"/>
      <c r="LZI434" s="1831"/>
      <c r="LZJ434" s="1831"/>
      <c r="LZK434" s="1831"/>
      <c r="LZL434" s="1831"/>
      <c r="LZM434" s="1831"/>
      <c r="LZN434" s="1831"/>
      <c r="LZO434" s="1831"/>
      <c r="LZP434" s="1831"/>
      <c r="LZQ434" s="1831"/>
      <c r="LZR434" s="1831"/>
      <c r="LZS434" s="1831"/>
      <c r="LZT434" s="1831"/>
      <c r="LZU434" s="1831"/>
      <c r="LZV434" s="1831"/>
      <c r="LZW434" s="1831"/>
      <c r="LZX434" s="1831"/>
      <c r="LZY434" s="1831"/>
      <c r="LZZ434" s="1831"/>
      <c r="MAA434" s="1831"/>
      <c r="MAB434" s="1831"/>
      <c r="MAC434" s="1831"/>
      <c r="MAD434" s="1831"/>
      <c r="MAE434" s="1831"/>
      <c r="MAF434" s="1831"/>
      <c r="MAG434" s="1831"/>
      <c r="MAH434" s="1831"/>
      <c r="MAI434" s="1831"/>
      <c r="MAJ434" s="1831"/>
      <c r="MAK434" s="1831"/>
      <c r="MAL434" s="1831"/>
      <c r="MAM434" s="1831"/>
      <c r="MAN434" s="1831"/>
      <c r="MAO434" s="1831"/>
      <c r="MAP434" s="1831"/>
      <c r="MAQ434" s="1831"/>
      <c r="MAR434" s="1831"/>
      <c r="MAS434" s="1831"/>
      <c r="MAT434" s="1831"/>
      <c r="MAU434" s="1831"/>
      <c r="MAV434" s="1831"/>
      <c r="MAW434" s="1831"/>
      <c r="MAX434" s="1831"/>
      <c r="MAY434" s="1831"/>
      <c r="MAZ434" s="1831"/>
      <c r="MBA434" s="1831"/>
      <c r="MBB434" s="1831"/>
      <c r="MBC434" s="1831"/>
      <c r="MBD434" s="1831"/>
      <c r="MBE434" s="1831"/>
      <c r="MBF434" s="1831"/>
      <c r="MBG434" s="1831"/>
      <c r="MBH434" s="1831"/>
      <c r="MBI434" s="1831"/>
      <c r="MBJ434" s="1831"/>
      <c r="MBK434" s="1831"/>
      <c r="MBL434" s="1831"/>
      <c r="MBM434" s="1831"/>
      <c r="MBN434" s="1831"/>
      <c r="MBO434" s="1831"/>
      <c r="MBP434" s="1831"/>
      <c r="MBQ434" s="1831"/>
      <c r="MBR434" s="1831"/>
      <c r="MBS434" s="1831"/>
      <c r="MBT434" s="1831"/>
      <c r="MBU434" s="1831"/>
      <c r="MBV434" s="1831"/>
      <c r="MBW434" s="1831"/>
      <c r="MBX434" s="1831"/>
      <c r="MBY434" s="1831"/>
      <c r="MBZ434" s="1831"/>
      <c r="MCA434" s="1831"/>
      <c r="MCB434" s="1831"/>
      <c r="MCC434" s="1831"/>
      <c r="MCD434" s="1831"/>
      <c r="MCE434" s="1831"/>
      <c r="MCF434" s="1831"/>
      <c r="MCG434" s="1831"/>
      <c r="MCH434" s="1831"/>
      <c r="MCI434" s="1831"/>
      <c r="MCJ434" s="1831"/>
      <c r="MCK434" s="1831"/>
      <c r="MCL434" s="1831"/>
      <c r="MCM434" s="1831"/>
      <c r="MCN434" s="1831"/>
      <c r="MCO434" s="1831"/>
      <c r="MCP434" s="1831"/>
      <c r="MCQ434" s="1831"/>
      <c r="MCR434" s="1831"/>
      <c r="MCS434" s="1831"/>
      <c r="MCT434" s="1831"/>
      <c r="MCU434" s="1831"/>
      <c r="MCV434" s="1831"/>
      <c r="MCW434" s="1831"/>
      <c r="MCX434" s="1831"/>
      <c r="MCY434" s="1831"/>
      <c r="MCZ434" s="1831"/>
      <c r="MDA434" s="1831"/>
      <c r="MDB434" s="1831"/>
      <c r="MDC434" s="1831"/>
      <c r="MDD434" s="1831"/>
      <c r="MDE434" s="1831"/>
      <c r="MDF434" s="1831"/>
      <c r="MDG434" s="1831"/>
      <c r="MDH434" s="1831"/>
      <c r="MDI434" s="1831"/>
      <c r="MDJ434" s="1831"/>
      <c r="MDK434" s="1831"/>
      <c r="MDL434" s="1831"/>
      <c r="MDM434" s="1831"/>
      <c r="MDN434" s="1831"/>
      <c r="MDO434" s="1831"/>
      <c r="MDP434" s="1831"/>
      <c r="MDQ434" s="1831"/>
      <c r="MDR434" s="1831"/>
      <c r="MDS434" s="1831"/>
      <c r="MDT434" s="1831"/>
      <c r="MDU434" s="1831"/>
      <c r="MDV434" s="1831"/>
      <c r="MDW434" s="1831"/>
      <c r="MDX434" s="1831"/>
      <c r="MDY434" s="1831"/>
      <c r="MDZ434" s="1831"/>
      <c r="MEA434" s="1831"/>
      <c r="MEB434" s="1831"/>
      <c r="MEC434" s="1831"/>
      <c r="MED434" s="1831"/>
      <c r="MEE434" s="1831"/>
      <c r="MEF434" s="1831"/>
      <c r="MEG434" s="1831"/>
      <c r="MEH434" s="1831"/>
      <c r="MEI434" s="1831"/>
      <c r="MEJ434" s="1831"/>
      <c r="MEK434" s="1831"/>
      <c r="MEL434" s="1831"/>
      <c r="MEM434" s="1831"/>
      <c r="MEN434" s="1831"/>
      <c r="MEO434" s="1831"/>
      <c r="MEP434" s="1831"/>
      <c r="MEQ434" s="1831"/>
      <c r="MER434" s="1831"/>
      <c r="MES434" s="1831"/>
      <c r="MET434" s="1831"/>
      <c r="MEU434" s="1831"/>
      <c r="MEV434" s="1831"/>
      <c r="MEW434" s="1831"/>
      <c r="MEX434" s="1831"/>
      <c r="MEY434" s="1831"/>
      <c r="MEZ434" s="1831"/>
      <c r="MFA434" s="1831"/>
      <c r="MFB434" s="1831"/>
      <c r="MFC434" s="1831"/>
      <c r="MFD434" s="1831"/>
      <c r="MFE434" s="1831"/>
      <c r="MFF434" s="1831"/>
      <c r="MFG434" s="1831"/>
      <c r="MFH434" s="1831"/>
      <c r="MFI434" s="1831"/>
      <c r="MFJ434" s="1831"/>
      <c r="MFK434" s="1831"/>
      <c r="MFL434" s="1831"/>
      <c r="MFM434" s="1831"/>
      <c r="MFN434" s="1831"/>
      <c r="MFO434" s="1831"/>
      <c r="MFP434" s="1831"/>
      <c r="MFQ434" s="1831"/>
      <c r="MFR434" s="1831"/>
      <c r="MFS434" s="1831"/>
      <c r="MFT434" s="1831"/>
      <c r="MFU434" s="1831"/>
      <c r="MFV434" s="1831"/>
      <c r="MFW434" s="1831"/>
      <c r="MFX434" s="1831"/>
      <c r="MFY434" s="1831"/>
      <c r="MFZ434" s="1831"/>
      <c r="MGA434" s="1831"/>
      <c r="MGB434" s="1831"/>
      <c r="MGC434" s="1831"/>
      <c r="MGD434" s="1831"/>
      <c r="MGE434" s="1831"/>
      <c r="MGF434" s="1831"/>
      <c r="MGG434" s="1831"/>
      <c r="MGH434" s="1831"/>
      <c r="MGI434" s="1831"/>
      <c r="MGJ434" s="1831"/>
      <c r="MGK434" s="1831"/>
      <c r="MGL434" s="1831"/>
      <c r="MGM434" s="1831"/>
      <c r="MGN434" s="1831"/>
      <c r="MGO434" s="1831"/>
      <c r="MGP434" s="1831"/>
      <c r="MGQ434" s="1831"/>
      <c r="MGR434" s="1831"/>
      <c r="MGS434" s="1831"/>
      <c r="MGT434" s="1831"/>
      <c r="MGU434" s="1831"/>
      <c r="MGV434" s="1831"/>
      <c r="MGW434" s="1831"/>
      <c r="MGX434" s="1831"/>
      <c r="MGY434" s="1831"/>
      <c r="MGZ434" s="1831"/>
      <c r="MHA434" s="1831"/>
      <c r="MHB434" s="1831"/>
      <c r="MHC434" s="1831"/>
      <c r="MHD434" s="1831"/>
      <c r="MHE434" s="1831"/>
      <c r="MHF434" s="1831"/>
      <c r="MHG434" s="1831"/>
      <c r="MHH434" s="1831"/>
      <c r="MHI434" s="1831"/>
      <c r="MHJ434" s="1831"/>
      <c r="MHK434" s="1831"/>
      <c r="MHL434" s="1831"/>
      <c r="MHM434" s="1831"/>
      <c r="MHN434" s="1831"/>
      <c r="MHO434" s="1831"/>
      <c r="MHP434" s="1831"/>
      <c r="MHQ434" s="1831"/>
      <c r="MHR434" s="1831"/>
      <c r="MHS434" s="1831"/>
      <c r="MHT434" s="1831"/>
      <c r="MHU434" s="1831"/>
      <c r="MHV434" s="1831"/>
      <c r="MHW434" s="1831"/>
      <c r="MHX434" s="1831"/>
      <c r="MHY434" s="1831"/>
      <c r="MHZ434" s="1831"/>
      <c r="MIA434" s="1831"/>
      <c r="MIB434" s="1831"/>
      <c r="MIC434" s="1831"/>
      <c r="MID434" s="1831"/>
      <c r="MIE434" s="1831"/>
      <c r="MIF434" s="1831"/>
      <c r="MIG434" s="1831"/>
      <c r="MIH434" s="1831"/>
      <c r="MII434" s="1831"/>
      <c r="MIJ434" s="1831"/>
      <c r="MIK434" s="1831"/>
      <c r="MIL434" s="1831"/>
      <c r="MIM434" s="1831"/>
      <c r="MIN434" s="1831"/>
      <c r="MIO434" s="1831"/>
      <c r="MIP434" s="1831"/>
      <c r="MIQ434" s="1831"/>
      <c r="MIR434" s="1831"/>
      <c r="MIS434" s="1831"/>
      <c r="MIT434" s="1831"/>
      <c r="MIU434" s="1831"/>
      <c r="MIV434" s="1831"/>
      <c r="MIW434" s="1831"/>
      <c r="MIX434" s="1831"/>
      <c r="MIY434" s="1831"/>
      <c r="MIZ434" s="1831"/>
      <c r="MJA434" s="1831"/>
      <c r="MJB434" s="1831"/>
      <c r="MJC434" s="1831"/>
      <c r="MJD434" s="1831"/>
      <c r="MJE434" s="1831"/>
      <c r="MJF434" s="1831"/>
      <c r="MJG434" s="1831"/>
      <c r="MJH434" s="1831"/>
      <c r="MJI434" s="1831"/>
      <c r="MJJ434" s="1831"/>
      <c r="MJK434" s="1831"/>
      <c r="MJL434" s="1831"/>
      <c r="MJM434" s="1831"/>
      <c r="MJN434" s="1831"/>
      <c r="MJO434" s="1831"/>
      <c r="MJP434" s="1831"/>
      <c r="MJQ434" s="1831"/>
      <c r="MJR434" s="1831"/>
      <c r="MJS434" s="1831"/>
      <c r="MJT434" s="1831"/>
      <c r="MJU434" s="1831"/>
      <c r="MJV434" s="1831"/>
      <c r="MJW434" s="1831"/>
      <c r="MJX434" s="1831"/>
      <c r="MJY434" s="1831"/>
      <c r="MJZ434" s="1831"/>
      <c r="MKA434" s="1831"/>
      <c r="MKB434" s="1831"/>
      <c r="MKC434" s="1831"/>
      <c r="MKD434" s="1831"/>
      <c r="MKE434" s="1831"/>
      <c r="MKF434" s="1831"/>
      <c r="MKG434" s="1831"/>
      <c r="MKH434" s="1831"/>
      <c r="MKI434" s="1831"/>
      <c r="MKJ434" s="1831"/>
      <c r="MKK434" s="1831"/>
      <c r="MKL434" s="1831"/>
      <c r="MKM434" s="1831"/>
      <c r="MKN434" s="1831"/>
      <c r="MKO434" s="1831"/>
      <c r="MKP434" s="1831"/>
      <c r="MKQ434" s="1831"/>
      <c r="MKR434" s="1831"/>
      <c r="MKS434" s="1831"/>
      <c r="MKT434" s="1831"/>
      <c r="MKU434" s="1831"/>
      <c r="MKV434" s="1831"/>
      <c r="MKW434" s="1831"/>
      <c r="MKX434" s="1831"/>
      <c r="MKY434" s="1831"/>
      <c r="MKZ434" s="1831"/>
      <c r="MLA434" s="1831"/>
      <c r="MLB434" s="1831"/>
      <c r="MLC434" s="1831"/>
      <c r="MLD434" s="1831"/>
      <c r="MLE434" s="1831"/>
      <c r="MLF434" s="1831"/>
      <c r="MLG434" s="1831"/>
      <c r="MLH434" s="1831"/>
      <c r="MLI434" s="1831"/>
      <c r="MLJ434" s="1831"/>
      <c r="MLK434" s="1831"/>
      <c r="MLL434" s="1831"/>
      <c r="MLM434" s="1831"/>
      <c r="MLN434" s="1831"/>
      <c r="MLO434" s="1831"/>
      <c r="MLP434" s="1831"/>
      <c r="MLQ434" s="1831"/>
      <c r="MLR434" s="1831"/>
      <c r="MLS434" s="1831"/>
      <c r="MLT434" s="1831"/>
      <c r="MLU434" s="1831"/>
      <c r="MLV434" s="1831"/>
      <c r="MLW434" s="1831"/>
      <c r="MLX434" s="1831"/>
      <c r="MLY434" s="1831"/>
      <c r="MLZ434" s="1831"/>
      <c r="MMA434" s="1831"/>
      <c r="MMB434" s="1831"/>
      <c r="MMC434" s="1831"/>
      <c r="MMD434" s="1831"/>
      <c r="MME434" s="1831"/>
      <c r="MMF434" s="1831"/>
      <c r="MMG434" s="1831"/>
      <c r="MMH434" s="1831"/>
      <c r="MMI434" s="1831"/>
      <c r="MMJ434" s="1831"/>
      <c r="MMK434" s="1831"/>
      <c r="MML434" s="1831"/>
      <c r="MMM434" s="1831"/>
      <c r="MMN434" s="1831"/>
      <c r="MMO434" s="1831"/>
      <c r="MMP434" s="1831"/>
      <c r="MMQ434" s="1831"/>
      <c r="MMR434" s="1831"/>
      <c r="MMS434" s="1831"/>
      <c r="MMT434" s="1831"/>
      <c r="MMU434" s="1831"/>
      <c r="MMV434" s="1831"/>
      <c r="MMW434" s="1831"/>
      <c r="MMX434" s="1831"/>
      <c r="MMY434" s="1831"/>
      <c r="MMZ434" s="1831"/>
      <c r="MNA434" s="1831"/>
      <c r="MNB434" s="1831"/>
      <c r="MNC434" s="1831"/>
      <c r="MND434" s="1831"/>
      <c r="MNE434" s="1831"/>
      <c r="MNF434" s="1831"/>
      <c r="MNG434" s="1831"/>
      <c r="MNH434" s="1831"/>
      <c r="MNI434" s="1831"/>
      <c r="MNJ434" s="1831"/>
      <c r="MNK434" s="1831"/>
      <c r="MNL434" s="1831"/>
      <c r="MNM434" s="1831"/>
      <c r="MNN434" s="1831"/>
      <c r="MNO434" s="1831"/>
      <c r="MNP434" s="1831"/>
      <c r="MNQ434" s="1831"/>
      <c r="MNR434" s="1831"/>
      <c r="MNS434" s="1831"/>
      <c r="MNT434" s="1831"/>
      <c r="MNU434" s="1831"/>
      <c r="MNV434" s="1831"/>
      <c r="MNW434" s="1831"/>
      <c r="MNX434" s="1831"/>
      <c r="MNY434" s="1831"/>
      <c r="MNZ434" s="1831"/>
      <c r="MOA434" s="1831"/>
      <c r="MOB434" s="1831"/>
      <c r="MOC434" s="1831"/>
      <c r="MOD434" s="1831"/>
      <c r="MOE434" s="1831"/>
      <c r="MOF434" s="1831"/>
      <c r="MOG434" s="1831"/>
      <c r="MOH434" s="1831"/>
      <c r="MOI434" s="1831"/>
      <c r="MOJ434" s="1831"/>
      <c r="MOK434" s="1831"/>
      <c r="MOL434" s="1831"/>
      <c r="MOM434" s="1831"/>
      <c r="MON434" s="1831"/>
      <c r="MOO434" s="1831"/>
      <c r="MOP434" s="1831"/>
      <c r="MOQ434" s="1831"/>
      <c r="MOR434" s="1831"/>
      <c r="MOS434" s="1831"/>
      <c r="MOT434" s="1831"/>
      <c r="MOU434" s="1831"/>
      <c r="MOV434" s="1831"/>
      <c r="MOW434" s="1831"/>
      <c r="MOX434" s="1831"/>
      <c r="MOY434" s="1831"/>
      <c r="MOZ434" s="1831"/>
      <c r="MPA434" s="1831"/>
      <c r="MPB434" s="1831"/>
      <c r="MPC434" s="1831"/>
      <c r="MPD434" s="1831"/>
      <c r="MPE434" s="1831"/>
      <c r="MPF434" s="1831"/>
      <c r="MPG434" s="1831"/>
      <c r="MPH434" s="1831"/>
      <c r="MPI434" s="1831"/>
      <c r="MPJ434" s="1831"/>
      <c r="MPK434" s="1831"/>
      <c r="MPL434" s="1831"/>
      <c r="MPM434" s="1831"/>
      <c r="MPN434" s="1831"/>
      <c r="MPO434" s="1831"/>
      <c r="MPP434" s="1831"/>
      <c r="MPQ434" s="1831"/>
      <c r="MPR434" s="1831"/>
      <c r="MPS434" s="1831"/>
      <c r="MPT434" s="1831"/>
      <c r="MPU434" s="1831"/>
      <c r="MPV434" s="1831"/>
      <c r="MPW434" s="1831"/>
      <c r="MPX434" s="1831"/>
      <c r="MPY434" s="1831"/>
      <c r="MPZ434" s="1831"/>
      <c r="MQA434" s="1831"/>
      <c r="MQB434" s="1831"/>
      <c r="MQC434" s="1831"/>
      <c r="MQD434" s="1831"/>
      <c r="MQE434" s="1831"/>
      <c r="MQF434" s="1831"/>
      <c r="MQG434" s="1831"/>
      <c r="MQH434" s="1831"/>
      <c r="MQI434" s="1831"/>
      <c r="MQJ434" s="1831"/>
      <c r="MQK434" s="1831"/>
      <c r="MQL434" s="1831"/>
      <c r="MQM434" s="1831"/>
      <c r="MQN434" s="1831"/>
      <c r="MQO434" s="1831"/>
      <c r="MQP434" s="1831"/>
      <c r="MQQ434" s="1831"/>
      <c r="MQR434" s="1831"/>
      <c r="MQS434" s="1831"/>
      <c r="MQT434" s="1831"/>
      <c r="MQU434" s="1831"/>
      <c r="MQV434" s="1831"/>
      <c r="MQW434" s="1831"/>
      <c r="MQX434" s="1831"/>
      <c r="MQY434" s="1831"/>
      <c r="MQZ434" s="1831"/>
      <c r="MRA434" s="1831"/>
      <c r="MRB434" s="1831"/>
      <c r="MRC434" s="1831"/>
      <c r="MRD434" s="1831"/>
      <c r="MRE434" s="1831"/>
      <c r="MRF434" s="1831"/>
      <c r="MRG434" s="1831"/>
      <c r="MRH434" s="1831"/>
      <c r="MRI434" s="1831"/>
      <c r="MRJ434" s="1831"/>
      <c r="MRK434" s="1831"/>
      <c r="MRL434" s="1831"/>
      <c r="MRM434" s="1831"/>
      <c r="MRN434" s="1831"/>
      <c r="MRO434" s="1831"/>
      <c r="MRP434" s="1831"/>
      <c r="MRQ434" s="1831"/>
      <c r="MRR434" s="1831"/>
      <c r="MRS434" s="1831"/>
      <c r="MRT434" s="1831"/>
      <c r="MRU434" s="1831"/>
      <c r="MRV434" s="1831"/>
      <c r="MRW434" s="1831"/>
      <c r="MRX434" s="1831"/>
      <c r="MRY434" s="1831"/>
      <c r="MRZ434" s="1831"/>
      <c r="MSA434" s="1831"/>
      <c r="MSB434" s="1831"/>
      <c r="MSC434" s="1831"/>
      <c r="MSD434" s="1831"/>
      <c r="MSE434" s="1831"/>
      <c r="MSF434" s="1831"/>
      <c r="MSG434" s="1831"/>
      <c r="MSH434" s="1831"/>
      <c r="MSI434" s="1831"/>
      <c r="MSJ434" s="1831"/>
      <c r="MSK434" s="1831"/>
      <c r="MSL434" s="1831"/>
      <c r="MSM434" s="1831"/>
      <c r="MSN434" s="1831"/>
      <c r="MSO434" s="1831"/>
      <c r="MSP434" s="1831"/>
      <c r="MSQ434" s="1831"/>
      <c r="MSR434" s="1831"/>
      <c r="MSS434" s="1831"/>
      <c r="MST434" s="1831"/>
      <c r="MSU434" s="1831"/>
      <c r="MSV434" s="1831"/>
      <c r="MSW434" s="1831"/>
      <c r="MSX434" s="1831"/>
      <c r="MSY434" s="1831"/>
      <c r="MSZ434" s="1831"/>
      <c r="MTA434" s="1831"/>
      <c r="MTB434" s="1831"/>
      <c r="MTC434" s="1831"/>
      <c r="MTD434" s="1831"/>
      <c r="MTE434" s="1831"/>
      <c r="MTF434" s="1831"/>
      <c r="MTG434" s="1831"/>
      <c r="MTH434" s="1831"/>
      <c r="MTI434" s="1831"/>
      <c r="MTJ434" s="1831"/>
      <c r="MTK434" s="1831"/>
      <c r="MTL434" s="1831"/>
      <c r="MTM434" s="1831"/>
      <c r="MTN434" s="1831"/>
      <c r="MTO434" s="1831"/>
      <c r="MTP434" s="1831"/>
      <c r="MTQ434" s="1831"/>
      <c r="MTR434" s="1831"/>
      <c r="MTS434" s="1831"/>
      <c r="MTT434" s="1831"/>
      <c r="MTU434" s="1831"/>
      <c r="MTV434" s="1831"/>
      <c r="MTW434" s="1831"/>
      <c r="MTX434" s="1831"/>
      <c r="MTY434" s="1831"/>
      <c r="MTZ434" s="1831"/>
      <c r="MUA434" s="1831"/>
      <c r="MUB434" s="1831"/>
      <c r="MUC434" s="1831"/>
      <c r="MUD434" s="1831"/>
      <c r="MUE434" s="1831"/>
      <c r="MUF434" s="1831"/>
      <c r="MUG434" s="1831"/>
      <c r="MUH434" s="1831"/>
      <c r="MUI434" s="1831"/>
      <c r="MUJ434" s="1831"/>
      <c r="MUK434" s="1831"/>
      <c r="MUL434" s="1831"/>
      <c r="MUM434" s="1831"/>
      <c r="MUN434" s="1831"/>
      <c r="MUO434" s="1831"/>
      <c r="MUP434" s="1831"/>
      <c r="MUQ434" s="1831"/>
      <c r="MUR434" s="1831"/>
      <c r="MUS434" s="1831"/>
      <c r="MUT434" s="1831"/>
      <c r="MUU434" s="1831"/>
      <c r="MUV434" s="1831"/>
      <c r="MUW434" s="1831"/>
      <c r="MUX434" s="1831"/>
      <c r="MUY434" s="1831"/>
      <c r="MUZ434" s="1831"/>
      <c r="MVA434" s="1831"/>
      <c r="MVB434" s="1831"/>
      <c r="MVC434" s="1831"/>
      <c r="MVD434" s="1831"/>
      <c r="MVE434" s="1831"/>
      <c r="MVF434" s="1831"/>
      <c r="MVG434" s="1831"/>
      <c r="MVH434" s="1831"/>
      <c r="MVI434" s="1831"/>
      <c r="MVJ434" s="1831"/>
      <c r="MVK434" s="1831"/>
      <c r="MVL434" s="1831"/>
      <c r="MVM434" s="1831"/>
      <c r="MVN434" s="1831"/>
      <c r="MVO434" s="1831"/>
      <c r="MVP434" s="1831"/>
      <c r="MVQ434" s="1831"/>
      <c r="MVR434" s="1831"/>
      <c r="MVS434" s="1831"/>
      <c r="MVT434" s="1831"/>
      <c r="MVU434" s="1831"/>
      <c r="MVV434" s="1831"/>
      <c r="MVW434" s="1831"/>
      <c r="MVX434" s="1831"/>
      <c r="MVY434" s="1831"/>
      <c r="MVZ434" s="1831"/>
      <c r="MWA434" s="1831"/>
      <c r="MWB434" s="1831"/>
      <c r="MWC434" s="1831"/>
      <c r="MWD434" s="1831"/>
      <c r="MWE434" s="1831"/>
      <c r="MWF434" s="1831"/>
      <c r="MWG434" s="1831"/>
      <c r="MWH434" s="1831"/>
      <c r="MWI434" s="1831"/>
      <c r="MWJ434" s="1831"/>
      <c r="MWK434" s="1831"/>
      <c r="MWL434" s="1831"/>
      <c r="MWM434" s="1831"/>
      <c r="MWN434" s="1831"/>
      <c r="MWO434" s="1831"/>
      <c r="MWP434" s="1831"/>
      <c r="MWQ434" s="1831"/>
      <c r="MWR434" s="1831"/>
      <c r="MWS434" s="1831"/>
      <c r="MWT434" s="1831"/>
      <c r="MWU434" s="1831"/>
      <c r="MWV434" s="1831"/>
      <c r="MWW434" s="1831"/>
      <c r="MWX434" s="1831"/>
      <c r="MWY434" s="1831"/>
      <c r="MWZ434" s="1831"/>
      <c r="MXA434" s="1831"/>
      <c r="MXB434" s="1831"/>
      <c r="MXC434" s="1831"/>
      <c r="MXD434" s="1831"/>
      <c r="MXE434" s="1831"/>
      <c r="MXF434" s="1831"/>
      <c r="MXG434" s="1831"/>
      <c r="MXH434" s="1831"/>
      <c r="MXI434" s="1831"/>
      <c r="MXJ434" s="1831"/>
      <c r="MXK434" s="1831"/>
      <c r="MXL434" s="1831"/>
      <c r="MXM434" s="1831"/>
      <c r="MXN434" s="1831"/>
      <c r="MXO434" s="1831"/>
      <c r="MXP434" s="1831"/>
      <c r="MXQ434" s="1831"/>
      <c r="MXR434" s="1831"/>
      <c r="MXS434" s="1831"/>
      <c r="MXT434" s="1831"/>
      <c r="MXU434" s="1831"/>
      <c r="MXV434" s="1831"/>
      <c r="MXW434" s="1831"/>
      <c r="MXX434" s="1831"/>
      <c r="MXY434" s="1831"/>
      <c r="MXZ434" s="1831"/>
      <c r="MYA434" s="1831"/>
      <c r="MYB434" s="1831"/>
      <c r="MYC434" s="1831"/>
      <c r="MYD434" s="1831"/>
      <c r="MYE434" s="1831"/>
      <c r="MYF434" s="1831"/>
      <c r="MYG434" s="1831"/>
      <c r="MYH434" s="1831"/>
      <c r="MYI434" s="1831"/>
      <c r="MYJ434" s="1831"/>
      <c r="MYK434" s="1831"/>
      <c r="MYL434" s="1831"/>
      <c r="MYM434" s="1831"/>
      <c r="MYN434" s="1831"/>
      <c r="MYO434" s="1831"/>
      <c r="MYP434" s="1831"/>
      <c r="MYQ434" s="1831"/>
      <c r="MYR434" s="1831"/>
      <c r="MYS434" s="1831"/>
      <c r="MYT434" s="1831"/>
      <c r="MYU434" s="1831"/>
      <c r="MYV434" s="1831"/>
      <c r="MYW434" s="1831"/>
      <c r="MYX434" s="1831"/>
      <c r="MYY434" s="1831"/>
      <c r="MYZ434" s="1831"/>
      <c r="MZA434" s="1831"/>
      <c r="MZB434" s="1831"/>
      <c r="MZC434" s="1831"/>
      <c r="MZD434" s="1831"/>
      <c r="MZE434" s="1831"/>
      <c r="MZF434" s="1831"/>
      <c r="MZG434" s="1831"/>
      <c r="MZH434" s="1831"/>
      <c r="MZI434" s="1831"/>
      <c r="MZJ434" s="1831"/>
      <c r="MZK434" s="1831"/>
      <c r="MZL434" s="1831"/>
      <c r="MZM434" s="1831"/>
      <c r="MZN434" s="1831"/>
      <c r="MZO434" s="1831"/>
      <c r="MZP434" s="1831"/>
      <c r="MZQ434" s="1831"/>
      <c r="MZR434" s="1831"/>
      <c r="MZS434" s="1831"/>
      <c r="MZT434" s="1831"/>
      <c r="MZU434" s="1831"/>
      <c r="MZV434" s="1831"/>
      <c r="MZW434" s="1831"/>
      <c r="MZX434" s="1831"/>
      <c r="MZY434" s="1831"/>
      <c r="MZZ434" s="1831"/>
      <c r="NAA434" s="1831"/>
      <c r="NAB434" s="1831"/>
      <c r="NAC434" s="1831"/>
      <c r="NAD434" s="1831"/>
      <c r="NAE434" s="1831"/>
      <c r="NAF434" s="1831"/>
      <c r="NAG434" s="1831"/>
      <c r="NAH434" s="1831"/>
      <c r="NAI434" s="1831"/>
      <c r="NAJ434" s="1831"/>
      <c r="NAK434" s="1831"/>
      <c r="NAL434" s="1831"/>
      <c r="NAM434" s="1831"/>
      <c r="NAN434" s="1831"/>
      <c r="NAO434" s="1831"/>
      <c r="NAP434" s="1831"/>
      <c r="NAQ434" s="1831"/>
      <c r="NAR434" s="1831"/>
      <c r="NAS434" s="1831"/>
      <c r="NAT434" s="1831"/>
      <c r="NAU434" s="1831"/>
      <c r="NAV434" s="1831"/>
      <c r="NAW434" s="1831"/>
      <c r="NAX434" s="1831"/>
      <c r="NAY434" s="1831"/>
      <c r="NAZ434" s="1831"/>
      <c r="NBA434" s="1831"/>
      <c r="NBB434" s="1831"/>
      <c r="NBC434" s="1831"/>
      <c r="NBD434" s="1831"/>
      <c r="NBE434" s="1831"/>
      <c r="NBF434" s="1831"/>
      <c r="NBG434" s="1831"/>
      <c r="NBH434" s="1831"/>
      <c r="NBI434" s="1831"/>
      <c r="NBJ434" s="1831"/>
      <c r="NBK434" s="1831"/>
      <c r="NBL434" s="1831"/>
      <c r="NBM434" s="1831"/>
      <c r="NBN434" s="1831"/>
      <c r="NBO434" s="1831"/>
      <c r="NBP434" s="1831"/>
      <c r="NBQ434" s="1831"/>
      <c r="NBR434" s="1831"/>
      <c r="NBS434" s="1831"/>
      <c r="NBT434" s="1831"/>
      <c r="NBU434" s="1831"/>
      <c r="NBV434" s="1831"/>
      <c r="NBW434" s="1831"/>
      <c r="NBX434" s="1831"/>
      <c r="NBY434" s="1831"/>
      <c r="NBZ434" s="1831"/>
      <c r="NCA434" s="1831"/>
      <c r="NCB434" s="1831"/>
      <c r="NCC434" s="1831"/>
      <c r="NCD434" s="1831"/>
      <c r="NCE434" s="1831"/>
      <c r="NCF434" s="1831"/>
      <c r="NCG434" s="1831"/>
      <c r="NCH434" s="1831"/>
      <c r="NCI434" s="1831"/>
      <c r="NCJ434" s="1831"/>
      <c r="NCK434" s="1831"/>
      <c r="NCL434" s="1831"/>
      <c r="NCM434" s="1831"/>
      <c r="NCN434" s="1831"/>
      <c r="NCO434" s="1831"/>
      <c r="NCP434" s="1831"/>
      <c r="NCQ434" s="1831"/>
      <c r="NCR434" s="1831"/>
      <c r="NCS434" s="1831"/>
      <c r="NCT434" s="1831"/>
      <c r="NCU434" s="1831"/>
      <c r="NCV434" s="1831"/>
      <c r="NCW434" s="1831"/>
      <c r="NCX434" s="1831"/>
      <c r="NCY434" s="1831"/>
      <c r="NCZ434" s="1831"/>
      <c r="NDA434" s="1831"/>
      <c r="NDB434" s="1831"/>
      <c r="NDC434" s="1831"/>
      <c r="NDD434" s="1831"/>
      <c r="NDE434" s="1831"/>
      <c r="NDF434" s="1831"/>
      <c r="NDG434" s="1831"/>
      <c r="NDH434" s="1831"/>
      <c r="NDI434" s="1831"/>
      <c r="NDJ434" s="1831"/>
      <c r="NDK434" s="1831"/>
      <c r="NDL434" s="1831"/>
      <c r="NDM434" s="1831"/>
      <c r="NDN434" s="1831"/>
      <c r="NDO434" s="1831"/>
      <c r="NDP434" s="1831"/>
      <c r="NDQ434" s="1831"/>
      <c r="NDR434" s="1831"/>
      <c r="NDS434" s="1831"/>
      <c r="NDT434" s="1831"/>
      <c r="NDU434" s="1831"/>
      <c r="NDV434" s="1831"/>
      <c r="NDW434" s="1831"/>
      <c r="NDX434" s="1831"/>
      <c r="NDY434" s="1831"/>
      <c r="NDZ434" s="1831"/>
      <c r="NEA434" s="1831"/>
      <c r="NEB434" s="1831"/>
      <c r="NEC434" s="1831"/>
      <c r="NED434" s="1831"/>
      <c r="NEE434" s="1831"/>
      <c r="NEF434" s="1831"/>
      <c r="NEG434" s="1831"/>
      <c r="NEH434" s="1831"/>
      <c r="NEI434" s="1831"/>
      <c r="NEJ434" s="1831"/>
      <c r="NEK434" s="1831"/>
      <c r="NEL434" s="1831"/>
      <c r="NEM434" s="1831"/>
      <c r="NEN434" s="1831"/>
      <c r="NEO434" s="1831"/>
      <c r="NEP434" s="1831"/>
      <c r="NEQ434" s="1831"/>
      <c r="NER434" s="1831"/>
      <c r="NES434" s="1831"/>
      <c r="NET434" s="1831"/>
      <c r="NEU434" s="1831"/>
      <c r="NEV434" s="1831"/>
      <c r="NEW434" s="1831"/>
      <c r="NEX434" s="1831"/>
      <c r="NEY434" s="1831"/>
      <c r="NEZ434" s="1831"/>
      <c r="NFA434" s="1831"/>
      <c r="NFB434" s="1831"/>
      <c r="NFC434" s="1831"/>
      <c r="NFD434" s="1831"/>
      <c r="NFE434" s="1831"/>
      <c r="NFF434" s="1831"/>
      <c r="NFG434" s="1831"/>
      <c r="NFH434" s="1831"/>
      <c r="NFI434" s="1831"/>
      <c r="NFJ434" s="1831"/>
      <c r="NFK434" s="1831"/>
      <c r="NFL434" s="1831"/>
      <c r="NFM434" s="1831"/>
      <c r="NFN434" s="1831"/>
      <c r="NFO434" s="1831"/>
      <c r="NFP434" s="1831"/>
      <c r="NFQ434" s="1831"/>
      <c r="NFR434" s="1831"/>
      <c r="NFS434" s="1831"/>
      <c r="NFT434" s="1831"/>
      <c r="NFU434" s="1831"/>
      <c r="NFV434" s="1831"/>
      <c r="NFW434" s="1831"/>
      <c r="NFX434" s="1831"/>
      <c r="NFY434" s="1831"/>
      <c r="NFZ434" s="1831"/>
      <c r="NGA434" s="1831"/>
      <c r="NGB434" s="1831"/>
      <c r="NGC434" s="1831"/>
      <c r="NGD434" s="1831"/>
      <c r="NGE434" s="1831"/>
      <c r="NGF434" s="1831"/>
      <c r="NGG434" s="1831"/>
      <c r="NGH434" s="1831"/>
      <c r="NGI434" s="1831"/>
      <c r="NGJ434" s="1831"/>
      <c r="NGK434" s="1831"/>
      <c r="NGL434" s="1831"/>
      <c r="NGM434" s="1831"/>
      <c r="NGN434" s="1831"/>
      <c r="NGO434" s="1831"/>
      <c r="NGP434" s="1831"/>
      <c r="NGQ434" s="1831"/>
      <c r="NGR434" s="1831"/>
      <c r="NGS434" s="1831"/>
      <c r="NGT434" s="1831"/>
      <c r="NGU434" s="1831"/>
      <c r="NGV434" s="1831"/>
      <c r="NGW434" s="1831"/>
      <c r="NGX434" s="1831"/>
      <c r="NGY434" s="1831"/>
      <c r="NGZ434" s="1831"/>
      <c r="NHA434" s="1831"/>
      <c r="NHB434" s="1831"/>
      <c r="NHC434" s="1831"/>
      <c r="NHD434" s="1831"/>
      <c r="NHE434" s="1831"/>
      <c r="NHF434" s="1831"/>
      <c r="NHG434" s="1831"/>
      <c r="NHH434" s="1831"/>
      <c r="NHI434" s="1831"/>
      <c r="NHJ434" s="1831"/>
      <c r="NHK434" s="1831"/>
      <c r="NHL434" s="1831"/>
      <c r="NHM434" s="1831"/>
      <c r="NHN434" s="1831"/>
      <c r="NHO434" s="1831"/>
      <c r="NHP434" s="1831"/>
      <c r="NHQ434" s="1831"/>
      <c r="NHR434" s="1831"/>
      <c r="NHS434" s="1831"/>
      <c r="NHT434" s="1831"/>
      <c r="NHU434" s="1831"/>
      <c r="NHV434" s="1831"/>
      <c r="NHW434" s="1831"/>
      <c r="NHX434" s="1831"/>
      <c r="NHY434" s="1831"/>
      <c r="NHZ434" s="1831"/>
      <c r="NIA434" s="1831"/>
      <c r="NIB434" s="1831"/>
      <c r="NIC434" s="1831"/>
      <c r="NID434" s="1831"/>
      <c r="NIE434" s="1831"/>
      <c r="NIF434" s="1831"/>
      <c r="NIG434" s="1831"/>
      <c r="NIH434" s="1831"/>
      <c r="NII434" s="1831"/>
      <c r="NIJ434" s="1831"/>
      <c r="NIK434" s="1831"/>
      <c r="NIL434" s="1831"/>
      <c r="NIM434" s="1831"/>
      <c r="NIN434" s="1831"/>
      <c r="NIO434" s="1831"/>
      <c r="NIP434" s="1831"/>
      <c r="NIQ434" s="1831"/>
      <c r="NIR434" s="1831"/>
      <c r="NIS434" s="1831"/>
      <c r="NIT434" s="1831"/>
      <c r="NIU434" s="1831"/>
      <c r="NIV434" s="1831"/>
      <c r="NIW434" s="1831"/>
      <c r="NIX434" s="1831"/>
      <c r="NIY434" s="1831"/>
      <c r="NIZ434" s="1831"/>
      <c r="NJA434" s="1831"/>
      <c r="NJB434" s="1831"/>
      <c r="NJC434" s="1831"/>
      <c r="NJD434" s="1831"/>
      <c r="NJE434" s="1831"/>
      <c r="NJF434" s="1831"/>
      <c r="NJG434" s="1831"/>
      <c r="NJH434" s="1831"/>
      <c r="NJI434" s="1831"/>
      <c r="NJJ434" s="1831"/>
      <c r="NJK434" s="1831"/>
      <c r="NJL434" s="1831"/>
      <c r="NJM434" s="1831"/>
      <c r="NJN434" s="1831"/>
      <c r="NJO434" s="1831"/>
      <c r="NJP434" s="1831"/>
      <c r="NJQ434" s="1831"/>
      <c r="NJR434" s="1831"/>
      <c r="NJS434" s="1831"/>
      <c r="NJT434" s="1831"/>
      <c r="NJU434" s="1831"/>
      <c r="NJV434" s="1831"/>
      <c r="NJW434" s="1831"/>
      <c r="NJX434" s="1831"/>
      <c r="NJY434" s="1831"/>
      <c r="NJZ434" s="1831"/>
      <c r="NKA434" s="1831"/>
      <c r="NKB434" s="1831"/>
      <c r="NKC434" s="1831"/>
      <c r="NKD434" s="1831"/>
      <c r="NKE434" s="1831"/>
      <c r="NKF434" s="1831"/>
      <c r="NKG434" s="1831"/>
      <c r="NKH434" s="1831"/>
      <c r="NKI434" s="1831"/>
      <c r="NKJ434" s="1831"/>
      <c r="NKK434" s="1831"/>
      <c r="NKL434" s="1831"/>
      <c r="NKM434" s="1831"/>
      <c r="NKN434" s="1831"/>
      <c r="NKO434" s="1831"/>
      <c r="NKP434" s="1831"/>
      <c r="NKQ434" s="1831"/>
      <c r="NKR434" s="1831"/>
      <c r="NKS434" s="1831"/>
      <c r="NKT434" s="1831"/>
      <c r="NKU434" s="1831"/>
      <c r="NKV434" s="1831"/>
      <c r="NKW434" s="1831"/>
      <c r="NKX434" s="1831"/>
      <c r="NKY434" s="1831"/>
      <c r="NKZ434" s="1831"/>
      <c r="NLA434" s="1831"/>
      <c r="NLB434" s="1831"/>
      <c r="NLC434" s="1831"/>
      <c r="NLD434" s="1831"/>
      <c r="NLE434" s="1831"/>
      <c r="NLF434" s="1831"/>
      <c r="NLG434" s="1831"/>
      <c r="NLH434" s="1831"/>
      <c r="NLI434" s="1831"/>
      <c r="NLJ434" s="1831"/>
      <c r="NLK434" s="1831"/>
      <c r="NLL434" s="1831"/>
      <c r="NLM434" s="1831"/>
      <c r="NLN434" s="1831"/>
      <c r="NLO434" s="1831"/>
      <c r="NLP434" s="1831"/>
      <c r="NLQ434" s="1831"/>
      <c r="NLR434" s="1831"/>
      <c r="NLS434" s="1831"/>
      <c r="NLT434" s="1831"/>
      <c r="NLU434" s="1831"/>
      <c r="NLV434" s="1831"/>
      <c r="NLW434" s="1831"/>
      <c r="NLX434" s="1831"/>
      <c r="NLY434" s="1831"/>
      <c r="NLZ434" s="1831"/>
      <c r="NMA434" s="1831"/>
      <c r="NMB434" s="1831"/>
      <c r="NMC434" s="1831"/>
      <c r="NMD434" s="1831"/>
      <c r="NME434" s="1831"/>
      <c r="NMF434" s="1831"/>
      <c r="NMG434" s="1831"/>
      <c r="NMH434" s="1831"/>
      <c r="NMI434" s="1831"/>
      <c r="NMJ434" s="1831"/>
      <c r="NMK434" s="1831"/>
      <c r="NML434" s="1831"/>
      <c r="NMM434" s="1831"/>
      <c r="NMN434" s="1831"/>
      <c r="NMO434" s="1831"/>
      <c r="NMP434" s="1831"/>
      <c r="NMQ434" s="1831"/>
      <c r="NMR434" s="1831"/>
      <c r="NMS434" s="1831"/>
      <c r="NMT434" s="1831"/>
      <c r="NMU434" s="1831"/>
      <c r="NMV434" s="1831"/>
      <c r="NMW434" s="1831"/>
      <c r="NMX434" s="1831"/>
      <c r="NMY434" s="1831"/>
      <c r="NMZ434" s="1831"/>
      <c r="NNA434" s="1831"/>
      <c r="NNB434" s="1831"/>
      <c r="NNC434" s="1831"/>
      <c r="NND434" s="1831"/>
      <c r="NNE434" s="1831"/>
      <c r="NNF434" s="1831"/>
      <c r="NNG434" s="1831"/>
      <c r="NNH434" s="1831"/>
      <c r="NNI434" s="1831"/>
      <c r="NNJ434" s="1831"/>
      <c r="NNK434" s="1831"/>
      <c r="NNL434" s="1831"/>
      <c r="NNM434" s="1831"/>
      <c r="NNN434" s="1831"/>
      <c r="NNO434" s="1831"/>
      <c r="NNP434" s="1831"/>
      <c r="NNQ434" s="1831"/>
      <c r="NNR434" s="1831"/>
      <c r="NNS434" s="1831"/>
      <c r="NNT434" s="1831"/>
      <c r="NNU434" s="1831"/>
      <c r="NNV434" s="1831"/>
      <c r="NNW434" s="1831"/>
      <c r="NNX434" s="1831"/>
      <c r="NNY434" s="1831"/>
      <c r="NNZ434" s="1831"/>
      <c r="NOA434" s="1831"/>
      <c r="NOB434" s="1831"/>
      <c r="NOC434" s="1831"/>
      <c r="NOD434" s="1831"/>
      <c r="NOE434" s="1831"/>
      <c r="NOF434" s="1831"/>
      <c r="NOG434" s="1831"/>
      <c r="NOH434" s="1831"/>
      <c r="NOI434" s="1831"/>
      <c r="NOJ434" s="1831"/>
      <c r="NOK434" s="1831"/>
      <c r="NOL434" s="1831"/>
      <c r="NOM434" s="1831"/>
      <c r="NON434" s="1831"/>
      <c r="NOO434" s="1831"/>
      <c r="NOP434" s="1831"/>
      <c r="NOQ434" s="1831"/>
      <c r="NOR434" s="1831"/>
      <c r="NOS434" s="1831"/>
      <c r="NOT434" s="1831"/>
      <c r="NOU434" s="1831"/>
      <c r="NOV434" s="1831"/>
      <c r="NOW434" s="1831"/>
      <c r="NOX434" s="1831"/>
      <c r="NOY434" s="1831"/>
      <c r="NOZ434" s="1831"/>
      <c r="NPA434" s="1831"/>
      <c r="NPB434" s="1831"/>
      <c r="NPC434" s="1831"/>
      <c r="NPD434" s="1831"/>
      <c r="NPE434" s="1831"/>
      <c r="NPF434" s="1831"/>
      <c r="NPG434" s="1831"/>
      <c r="NPH434" s="1831"/>
      <c r="NPI434" s="1831"/>
      <c r="NPJ434" s="1831"/>
      <c r="NPK434" s="1831"/>
      <c r="NPL434" s="1831"/>
      <c r="NPM434" s="1831"/>
      <c r="NPN434" s="1831"/>
      <c r="NPO434" s="1831"/>
      <c r="NPP434" s="1831"/>
      <c r="NPQ434" s="1831"/>
      <c r="NPR434" s="1831"/>
      <c r="NPS434" s="1831"/>
      <c r="NPT434" s="1831"/>
      <c r="NPU434" s="1831"/>
      <c r="NPV434" s="1831"/>
      <c r="NPW434" s="1831"/>
      <c r="NPX434" s="1831"/>
      <c r="NPY434" s="1831"/>
      <c r="NPZ434" s="1831"/>
      <c r="NQA434" s="1831"/>
      <c r="NQB434" s="1831"/>
      <c r="NQC434" s="1831"/>
      <c r="NQD434" s="1831"/>
      <c r="NQE434" s="1831"/>
      <c r="NQF434" s="1831"/>
      <c r="NQG434" s="1831"/>
      <c r="NQH434" s="1831"/>
      <c r="NQI434" s="1831"/>
      <c r="NQJ434" s="1831"/>
      <c r="NQK434" s="1831"/>
      <c r="NQL434" s="1831"/>
      <c r="NQM434" s="1831"/>
      <c r="NQN434" s="1831"/>
      <c r="NQO434" s="1831"/>
      <c r="NQP434" s="1831"/>
      <c r="NQQ434" s="1831"/>
      <c r="NQR434" s="1831"/>
      <c r="NQS434" s="1831"/>
      <c r="NQT434" s="1831"/>
      <c r="NQU434" s="1831"/>
      <c r="NQV434" s="1831"/>
      <c r="NQW434" s="1831"/>
      <c r="NQX434" s="1831"/>
      <c r="NQY434" s="1831"/>
      <c r="NQZ434" s="1831"/>
      <c r="NRA434" s="1831"/>
      <c r="NRB434" s="1831"/>
      <c r="NRC434" s="1831"/>
      <c r="NRD434" s="1831"/>
      <c r="NRE434" s="1831"/>
      <c r="NRF434" s="1831"/>
      <c r="NRG434" s="1831"/>
      <c r="NRH434" s="1831"/>
      <c r="NRI434" s="1831"/>
      <c r="NRJ434" s="1831"/>
      <c r="NRK434" s="1831"/>
      <c r="NRL434" s="1831"/>
      <c r="NRM434" s="1831"/>
      <c r="NRN434" s="1831"/>
      <c r="NRO434" s="1831"/>
      <c r="NRP434" s="1831"/>
      <c r="NRQ434" s="1831"/>
      <c r="NRR434" s="1831"/>
      <c r="NRS434" s="1831"/>
      <c r="NRT434" s="1831"/>
      <c r="NRU434" s="1831"/>
      <c r="NRV434" s="1831"/>
      <c r="NRW434" s="1831"/>
      <c r="NRX434" s="1831"/>
      <c r="NRY434" s="1831"/>
      <c r="NRZ434" s="1831"/>
      <c r="NSA434" s="1831"/>
      <c r="NSB434" s="1831"/>
      <c r="NSC434" s="1831"/>
      <c r="NSD434" s="1831"/>
      <c r="NSE434" s="1831"/>
      <c r="NSF434" s="1831"/>
      <c r="NSG434" s="1831"/>
      <c r="NSH434" s="1831"/>
      <c r="NSI434" s="1831"/>
      <c r="NSJ434" s="1831"/>
      <c r="NSK434" s="1831"/>
      <c r="NSL434" s="1831"/>
      <c r="NSM434" s="1831"/>
      <c r="NSN434" s="1831"/>
      <c r="NSO434" s="1831"/>
      <c r="NSP434" s="1831"/>
      <c r="NSQ434" s="1831"/>
      <c r="NSR434" s="1831"/>
      <c r="NSS434" s="1831"/>
      <c r="NST434" s="1831"/>
      <c r="NSU434" s="1831"/>
      <c r="NSV434" s="1831"/>
      <c r="NSW434" s="1831"/>
      <c r="NSX434" s="1831"/>
      <c r="NSY434" s="1831"/>
      <c r="NSZ434" s="1831"/>
      <c r="NTA434" s="1831"/>
      <c r="NTB434" s="1831"/>
      <c r="NTC434" s="1831"/>
      <c r="NTD434" s="1831"/>
      <c r="NTE434" s="1831"/>
      <c r="NTF434" s="1831"/>
      <c r="NTG434" s="1831"/>
      <c r="NTH434" s="1831"/>
      <c r="NTI434" s="1831"/>
      <c r="NTJ434" s="1831"/>
      <c r="NTK434" s="1831"/>
      <c r="NTL434" s="1831"/>
      <c r="NTM434" s="1831"/>
      <c r="NTN434" s="1831"/>
      <c r="NTO434" s="1831"/>
      <c r="NTP434" s="1831"/>
      <c r="NTQ434" s="1831"/>
      <c r="NTR434" s="1831"/>
      <c r="NTS434" s="1831"/>
      <c r="NTT434" s="1831"/>
      <c r="NTU434" s="1831"/>
      <c r="NTV434" s="1831"/>
      <c r="NTW434" s="1831"/>
      <c r="NTX434" s="1831"/>
      <c r="NTY434" s="1831"/>
      <c r="NTZ434" s="1831"/>
      <c r="NUA434" s="1831"/>
      <c r="NUB434" s="1831"/>
      <c r="NUC434" s="1831"/>
      <c r="NUD434" s="1831"/>
      <c r="NUE434" s="1831"/>
      <c r="NUF434" s="1831"/>
      <c r="NUG434" s="1831"/>
      <c r="NUH434" s="1831"/>
      <c r="NUI434" s="1831"/>
      <c r="NUJ434" s="1831"/>
      <c r="NUK434" s="1831"/>
      <c r="NUL434" s="1831"/>
      <c r="NUM434" s="1831"/>
      <c r="NUN434" s="1831"/>
      <c r="NUO434" s="1831"/>
      <c r="NUP434" s="1831"/>
      <c r="NUQ434" s="1831"/>
      <c r="NUR434" s="1831"/>
      <c r="NUS434" s="1831"/>
      <c r="NUT434" s="1831"/>
      <c r="NUU434" s="1831"/>
      <c r="NUV434" s="1831"/>
      <c r="NUW434" s="1831"/>
      <c r="NUX434" s="1831"/>
      <c r="NUY434" s="1831"/>
      <c r="NUZ434" s="1831"/>
      <c r="NVA434" s="1831"/>
      <c r="NVB434" s="1831"/>
      <c r="NVC434" s="1831"/>
      <c r="NVD434" s="1831"/>
      <c r="NVE434" s="1831"/>
      <c r="NVF434" s="1831"/>
      <c r="NVG434" s="1831"/>
      <c r="NVH434" s="1831"/>
      <c r="NVI434" s="1831"/>
      <c r="NVJ434" s="1831"/>
      <c r="NVK434" s="1831"/>
      <c r="NVL434" s="1831"/>
      <c r="NVM434" s="1831"/>
      <c r="NVN434" s="1831"/>
      <c r="NVO434" s="1831"/>
      <c r="NVP434" s="1831"/>
      <c r="NVQ434" s="1831"/>
      <c r="NVR434" s="1831"/>
      <c r="NVS434" s="1831"/>
      <c r="NVT434" s="1831"/>
      <c r="NVU434" s="1831"/>
      <c r="NVV434" s="1831"/>
      <c r="NVW434" s="1831"/>
      <c r="NVX434" s="1831"/>
      <c r="NVY434" s="1831"/>
      <c r="NVZ434" s="1831"/>
      <c r="NWA434" s="1831"/>
      <c r="NWB434" s="1831"/>
      <c r="NWC434" s="1831"/>
      <c r="NWD434" s="1831"/>
      <c r="NWE434" s="1831"/>
      <c r="NWF434" s="1831"/>
      <c r="NWG434" s="1831"/>
      <c r="NWH434" s="1831"/>
      <c r="NWI434" s="1831"/>
      <c r="NWJ434" s="1831"/>
      <c r="NWK434" s="1831"/>
      <c r="NWL434" s="1831"/>
      <c r="NWM434" s="1831"/>
      <c r="NWN434" s="1831"/>
      <c r="NWO434" s="1831"/>
      <c r="NWP434" s="1831"/>
      <c r="NWQ434" s="1831"/>
      <c r="NWR434" s="1831"/>
      <c r="NWS434" s="1831"/>
      <c r="NWT434" s="1831"/>
      <c r="NWU434" s="1831"/>
      <c r="NWV434" s="1831"/>
      <c r="NWW434" s="1831"/>
      <c r="NWX434" s="1831"/>
      <c r="NWY434" s="1831"/>
      <c r="NWZ434" s="1831"/>
      <c r="NXA434" s="1831"/>
      <c r="NXB434" s="1831"/>
      <c r="NXC434" s="1831"/>
      <c r="NXD434" s="1831"/>
      <c r="NXE434" s="1831"/>
      <c r="NXF434" s="1831"/>
      <c r="NXG434" s="1831"/>
      <c r="NXH434" s="1831"/>
      <c r="NXI434" s="1831"/>
      <c r="NXJ434" s="1831"/>
      <c r="NXK434" s="1831"/>
      <c r="NXL434" s="1831"/>
      <c r="NXM434" s="1831"/>
      <c r="NXN434" s="1831"/>
      <c r="NXO434" s="1831"/>
      <c r="NXP434" s="1831"/>
      <c r="NXQ434" s="1831"/>
      <c r="NXR434" s="1831"/>
      <c r="NXS434" s="1831"/>
      <c r="NXT434" s="1831"/>
      <c r="NXU434" s="1831"/>
      <c r="NXV434" s="1831"/>
      <c r="NXW434" s="1831"/>
      <c r="NXX434" s="1831"/>
      <c r="NXY434" s="1831"/>
      <c r="NXZ434" s="1831"/>
      <c r="NYA434" s="1831"/>
      <c r="NYB434" s="1831"/>
      <c r="NYC434" s="1831"/>
      <c r="NYD434" s="1831"/>
      <c r="NYE434" s="1831"/>
      <c r="NYF434" s="1831"/>
      <c r="NYG434" s="1831"/>
      <c r="NYH434" s="1831"/>
      <c r="NYI434" s="1831"/>
      <c r="NYJ434" s="1831"/>
      <c r="NYK434" s="1831"/>
      <c r="NYL434" s="1831"/>
      <c r="NYM434" s="1831"/>
      <c r="NYN434" s="1831"/>
      <c r="NYO434" s="1831"/>
      <c r="NYP434" s="1831"/>
      <c r="NYQ434" s="1831"/>
      <c r="NYR434" s="1831"/>
      <c r="NYS434" s="1831"/>
      <c r="NYT434" s="1831"/>
      <c r="NYU434" s="1831"/>
      <c r="NYV434" s="1831"/>
      <c r="NYW434" s="1831"/>
      <c r="NYX434" s="1831"/>
      <c r="NYY434" s="1831"/>
      <c r="NYZ434" s="1831"/>
      <c r="NZA434" s="1831"/>
      <c r="NZB434" s="1831"/>
      <c r="NZC434" s="1831"/>
      <c r="NZD434" s="1831"/>
      <c r="NZE434" s="1831"/>
      <c r="NZF434" s="1831"/>
      <c r="NZG434" s="1831"/>
      <c r="NZH434" s="1831"/>
      <c r="NZI434" s="1831"/>
      <c r="NZJ434" s="1831"/>
      <c r="NZK434" s="1831"/>
      <c r="NZL434" s="1831"/>
      <c r="NZM434" s="1831"/>
      <c r="NZN434" s="1831"/>
      <c r="NZO434" s="1831"/>
      <c r="NZP434" s="1831"/>
      <c r="NZQ434" s="1831"/>
      <c r="NZR434" s="1831"/>
      <c r="NZS434" s="1831"/>
      <c r="NZT434" s="1831"/>
      <c r="NZU434" s="1831"/>
      <c r="NZV434" s="1831"/>
      <c r="NZW434" s="1831"/>
      <c r="NZX434" s="1831"/>
      <c r="NZY434" s="1831"/>
      <c r="NZZ434" s="1831"/>
      <c r="OAA434" s="1831"/>
      <c r="OAB434" s="1831"/>
      <c r="OAC434" s="1831"/>
      <c r="OAD434" s="1831"/>
      <c r="OAE434" s="1831"/>
      <c r="OAF434" s="1831"/>
      <c r="OAG434" s="1831"/>
      <c r="OAH434" s="1831"/>
      <c r="OAI434" s="1831"/>
      <c r="OAJ434" s="1831"/>
      <c r="OAK434" s="1831"/>
      <c r="OAL434" s="1831"/>
      <c r="OAM434" s="1831"/>
      <c r="OAN434" s="1831"/>
      <c r="OAO434" s="1831"/>
      <c r="OAP434" s="1831"/>
      <c r="OAQ434" s="1831"/>
      <c r="OAR434" s="1831"/>
      <c r="OAS434" s="1831"/>
      <c r="OAT434" s="1831"/>
      <c r="OAU434" s="1831"/>
      <c r="OAV434" s="1831"/>
      <c r="OAW434" s="1831"/>
      <c r="OAX434" s="1831"/>
      <c r="OAY434" s="1831"/>
      <c r="OAZ434" s="1831"/>
      <c r="OBA434" s="1831"/>
      <c r="OBB434" s="1831"/>
      <c r="OBC434" s="1831"/>
      <c r="OBD434" s="1831"/>
      <c r="OBE434" s="1831"/>
      <c r="OBF434" s="1831"/>
      <c r="OBG434" s="1831"/>
      <c r="OBH434" s="1831"/>
      <c r="OBI434" s="1831"/>
      <c r="OBJ434" s="1831"/>
      <c r="OBK434" s="1831"/>
      <c r="OBL434" s="1831"/>
      <c r="OBM434" s="1831"/>
      <c r="OBN434" s="1831"/>
      <c r="OBO434" s="1831"/>
      <c r="OBP434" s="1831"/>
      <c r="OBQ434" s="1831"/>
      <c r="OBR434" s="1831"/>
      <c r="OBS434" s="1831"/>
      <c r="OBT434" s="1831"/>
      <c r="OBU434" s="1831"/>
      <c r="OBV434" s="1831"/>
      <c r="OBW434" s="1831"/>
      <c r="OBX434" s="1831"/>
      <c r="OBY434" s="1831"/>
      <c r="OBZ434" s="1831"/>
      <c r="OCA434" s="1831"/>
      <c r="OCB434" s="1831"/>
      <c r="OCC434" s="1831"/>
      <c r="OCD434" s="1831"/>
      <c r="OCE434" s="1831"/>
      <c r="OCF434" s="1831"/>
      <c r="OCG434" s="1831"/>
      <c r="OCH434" s="1831"/>
      <c r="OCI434" s="1831"/>
      <c r="OCJ434" s="1831"/>
      <c r="OCK434" s="1831"/>
      <c r="OCL434" s="1831"/>
      <c r="OCM434" s="1831"/>
      <c r="OCN434" s="1831"/>
      <c r="OCO434" s="1831"/>
      <c r="OCP434" s="1831"/>
      <c r="OCQ434" s="1831"/>
      <c r="OCR434" s="1831"/>
      <c r="OCS434" s="1831"/>
      <c r="OCT434" s="1831"/>
      <c r="OCU434" s="1831"/>
      <c r="OCV434" s="1831"/>
      <c r="OCW434" s="1831"/>
      <c r="OCX434" s="1831"/>
      <c r="OCY434" s="1831"/>
      <c r="OCZ434" s="1831"/>
      <c r="ODA434" s="1831"/>
      <c r="ODB434" s="1831"/>
      <c r="ODC434" s="1831"/>
      <c r="ODD434" s="1831"/>
      <c r="ODE434" s="1831"/>
      <c r="ODF434" s="1831"/>
      <c r="ODG434" s="1831"/>
      <c r="ODH434" s="1831"/>
      <c r="ODI434" s="1831"/>
      <c r="ODJ434" s="1831"/>
      <c r="ODK434" s="1831"/>
      <c r="ODL434" s="1831"/>
      <c r="ODM434" s="1831"/>
      <c r="ODN434" s="1831"/>
      <c r="ODO434" s="1831"/>
      <c r="ODP434" s="1831"/>
      <c r="ODQ434" s="1831"/>
      <c r="ODR434" s="1831"/>
      <c r="ODS434" s="1831"/>
      <c r="ODT434" s="1831"/>
      <c r="ODU434" s="1831"/>
      <c r="ODV434" s="1831"/>
      <c r="ODW434" s="1831"/>
      <c r="ODX434" s="1831"/>
      <c r="ODY434" s="1831"/>
      <c r="ODZ434" s="1831"/>
      <c r="OEA434" s="1831"/>
      <c r="OEB434" s="1831"/>
      <c r="OEC434" s="1831"/>
      <c r="OED434" s="1831"/>
      <c r="OEE434" s="1831"/>
      <c r="OEF434" s="1831"/>
      <c r="OEG434" s="1831"/>
      <c r="OEH434" s="1831"/>
      <c r="OEI434" s="1831"/>
      <c r="OEJ434" s="1831"/>
      <c r="OEK434" s="1831"/>
      <c r="OEL434" s="1831"/>
      <c r="OEM434" s="1831"/>
      <c r="OEN434" s="1831"/>
      <c r="OEO434" s="1831"/>
      <c r="OEP434" s="1831"/>
      <c r="OEQ434" s="1831"/>
      <c r="OER434" s="1831"/>
      <c r="OES434" s="1831"/>
      <c r="OET434" s="1831"/>
      <c r="OEU434" s="1831"/>
      <c r="OEV434" s="1831"/>
      <c r="OEW434" s="1831"/>
      <c r="OEX434" s="1831"/>
      <c r="OEY434" s="1831"/>
      <c r="OEZ434" s="1831"/>
      <c r="OFA434" s="1831"/>
      <c r="OFB434" s="1831"/>
      <c r="OFC434" s="1831"/>
      <c r="OFD434" s="1831"/>
      <c r="OFE434" s="1831"/>
      <c r="OFF434" s="1831"/>
      <c r="OFG434" s="1831"/>
      <c r="OFH434" s="1831"/>
      <c r="OFI434" s="1831"/>
      <c r="OFJ434" s="1831"/>
      <c r="OFK434" s="1831"/>
      <c r="OFL434" s="1831"/>
      <c r="OFM434" s="1831"/>
      <c r="OFN434" s="1831"/>
      <c r="OFO434" s="1831"/>
      <c r="OFP434" s="1831"/>
      <c r="OFQ434" s="1831"/>
      <c r="OFR434" s="1831"/>
      <c r="OFS434" s="1831"/>
      <c r="OFT434" s="1831"/>
      <c r="OFU434" s="1831"/>
      <c r="OFV434" s="1831"/>
      <c r="OFW434" s="1831"/>
      <c r="OFX434" s="1831"/>
      <c r="OFY434" s="1831"/>
      <c r="OFZ434" s="1831"/>
      <c r="OGA434" s="1831"/>
      <c r="OGB434" s="1831"/>
      <c r="OGC434" s="1831"/>
      <c r="OGD434" s="1831"/>
      <c r="OGE434" s="1831"/>
      <c r="OGF434" s="1831"/>
      <c r="OGG434" s="1831"/>
      <c r="OGH434" s="1831"/>
      <c r="OGI434" s="1831"/>
      <c r="OGJ434" s="1831"/>
      <c r="OGK434" s="1831"/>
      <c r="OGL434" s="1831"/>
      <c r="OGM434" s="1831"/>
      <c r="OGN434" s="1831"/>
      <c r="OGO434" s="1831"/>
      <c r="OGP434" s="1831"/>
      <c r="OGQ434" s="1831"/>
      <c r="OGR434" s="1831"/>
      <c r="OGS434" s="1831"/>
      <c r="OGT434" s="1831"/>
      <c r="OGU434" s="1831"/>
      <c r="OGV434" s="1831"/>
      <c r="OGW434" s="1831"/>
      <c r="OGX434" s="1831"/>
      <c r="OGY434" s="1831"/>
      <c r="OGZ434" s="1831"/>
      <c r="OHA434" s="1831"/>
      <c r="OHB434" s="1831"/>
      <c r="OHC434" s="1831"/>
      <c r="OHD434" s="1831"/>
      <c r="OHE434" s="1831"/>
      <c r="OHF434" s="1831"/>
      <c r="OHG434" s="1831"/>
      <c r="OHH434" s="1831"/>
      <c r="OHI434" s="1831"/>
      <c r="OHJ434" s="1831"/>
      <c r="OHK434" s="1831"/>
      <c r="OHL434" s="1831"/>
      <c r="OHM434" s="1831"/>
      <c r="OHN434" s="1831"/>
      <c r="OHO434" s="1831"/>
      <c r="OHP434" s="1831"/>
      <c r="OHQ434" s="1831"/>
      <c r="OHR434" s="1831"/>
      <c r="OHS434" s="1831"/>
      <c r="OHT434" s="1831"/>
      <c r="OHU434" s="1831"/>
      <c r="OHV434" s="1831"/>
      <c r="OHW434" s="1831"/>
      <c r="OHX434" s="1831"/>
      <c r="OHY434" s="1831"/>
      <c r="OHZ434" s="1831"/>
      <c r="OIA434" s="1831"/>
      <c r="OIB434" s="1831"/>
      <c r="OIC434" s="1831"/>
      <c r="OID434" s="1831"/>
      <c r="OIE434" s="1831"/>
      <c r="OIF434" s="1831"/>
      <c r="OIG434" s="1831"/>
      <c r="OIH434" s="1831"/>
      <c r="OII434" s="1831"/>
      <c r="OIJ434" s="1831"/>
      <c r="OIK434" s="1831"/>
      <c r="OIL434" s="1831"/>
      <c r="OIM434" s="1831"/>
      <c r="OIN434" s="1831"/>
      <c r="OIO434" s="1831"/>
      <c r="OIP434" s="1831"/>
      <c r="OIQ434" s="1831"/>
      <c r="OIR434" s="1831"/>
      <c r="OIS434" s="1831"/>
      <c r="OIT434" s="1831"/>
      <c r="OIU434" s="1831"/>
      <c r="OIV434" s="1831"/>
      <c r="OIW434" s="1831"/>
      <c r="OIX434" s="1831"/>
      <c r="OIY434" s="1831"/>
      <c r="OIZ434" s="1831"/>
      <c r="OJA434" s="1831"/>
      <c r="OJB434" s="1831"/>
      <c r="OJC434" s="1831"/>
      <c r="OJD434" s="1831"/>
      <c r="OJE434" s="1831"/>
      <c r="OJF434" s="1831"/>
      <c r="OJG434" s="1831"/>
      <c r="OJH434" s="1831"/>
      <c r="OJI434" s="1831"/>
      <c r="OJJ434" s="1831"/>
      <c r="OJK434" s="1831"/>
      <c r="OJL434" s="1831"/>
      <c r="OJM434" s="1831"/>
      <c r="OJN434" s="1831"/>
      <c r="OJO434" s="1831"/>
      <c r="OJP434" s="1831"/>
      <c r="OJQ434" s="1831"/>
      <c r="OJR434" s="1831"/>
      <c r="OJS434" s="1831"/>
      <c r="OJT434" s="1831"/>
      <c r="OJU434" s="1831"/>
      <c r="OJV434" s="1831"/>
      <c r="OJW434" s="1831"/>
      <c r="OJX434" s="1831"/>
      <c r="OJY434" s="1831"/>
      <c r="OJZ434" s="1831"/>
      <c r="OKA434" s="1831"/>
      <c r="OKB434" s="1831"/>
      <c r="OKC434" s="1831"/>
      <c r="OKD434" s="1831"/>
      <c r="OKE434" s="1831"/>
      <c r="OKF434" s="1831"/>
      <c r="OKG434" s="1831"/>
      <c r="OKH434" s="1831"/>
      <c r="OKI434" s="1831"/>
      <c r="OKJ434" s="1831"/>
      <c r="OKK434" s="1831"/>
      <c r="OKL434" s="1831"/>
      <c r="OKM434" s="1831"/>
      <c r="OKN434" s="1831"/>
      <c r="OKO434" s="1831"/>
      <c r="OKP434" s="1831"/>
      <c r="OKQ434" s="1831"/>
      <c r="OKR434" s="1831"/>
      <c r="OKS434" s="1831"/>
      <c r="OKT434" s="1831"/>
      <c r="OKU434" s="1831"/>
      <c r="OKV434" s="1831"/>
      <c r="OKW434" s="1831"/>
      <c r="OKX434" s="1831"/>
      <c r="OKY434" s="1831"/>
      <c r="OKZ434" s="1831"/>
      <c r="OLA434" s="1831"/>
      <c r="OLB434" s="1831"/>
      <c r="OLC434" s="1831"/>
      <c r="OLD434" s="1831"/>
      <c r="OLE434" s="1831"/>
      <c r="OLF434" s="1831"/>
      <c r="OLG434" s="1831"/>
      <c r="OLH434" s="1831"/>
      <c r="OLI434" s="1831"/>
      <c r="OLJ434" s="1831"/>
      <c r="OLK434" s="1831"/>
      <c r="OLL434" s="1831"/>
      <c r="OLM434" s="1831"/>
      <c r="OLN434" s="1831"/>
      <c r="OLO434" s="1831"/>
      <c r="OLP434" s="1831"/>
      <c r="OLQ434" s="1831"/>
      <c r="OLR434" s="1831"/>
      <c r="OLS434" s="1831"/>
      <c r="OLT434" s="1831"/>
      <c r="OLU434" s="1831"/>
      <c r="OLV434" s="1831"/>
      <c r="OLW434" s="1831"/>
      <c r="OLX434" s="1831"/>
      <c r="OLY434" s="1831"/>
      <c r="OLZ434" s="1831"/>
      <c r="OMA434" s="1831"/>
      <c r="OMB434" s="1831"/>
      <c r="OMC434" s="1831"/>
      <c r="OMD434" s="1831"/>
      <c r="OME434" s="1831"/>
      <c r="OMF434" s="1831"/>
      <c r="OMG434" s="1831"/>
      <c r="OMH434" s="1831"/>
      <c r="OMI434" s="1831"/>
      <c r="OMJ434" s="1831"/>
      <c r="OMK434" s="1831"/>
      <c r="OML434" s="1831"/>
      <c r="OMM434" s="1831"/>
      <c r="OMN434" s="1831"/>
      <c r="OMO434" s="1831"/>
      <c r="OMP434" s="1831"/>
      <c r="OMQ434" s="1831"/>
      <c r="OMR434" s="1831"/>
      <c r="OMS434" s="1831"/>
      <c r="OMT434" s="1831"/>
      <c r="OMU434" s="1831"/>
      <c r="OMV434" s="1831"/>
      <c r="OMW434" s="1831"/>
      <c r="OMX434" s="1831"/>
      <c r="OMY434" s="1831"/>
      <c r="OMZ434" s="1831"/>
      <c r="ONA434" s="1831"/>
      <c r="ONB434" s="1831"/>
      <c r="ONC434" s="1831"/>
      <c r="OND434" s="1831"/>
      <c r="ONE434" s="1831"/>
      <c r="ONF434" s="1831"/>
      <c r="ONG434" s="1831"/>
      <c r="ONH434" s="1831"/>
      <c r="ONI434" s="1831"/>
      <c r="ONJ434" s="1831"/>
      <c r="ONK434" s="1831"/>
      <c r="ONL434" s="1831"/>
      <c r="ONM434" s="1831"/>
      <c r="ONN434" s="1831"/>
      <c r="ONO434" s="1831"/>
      <c r="ONP434" s="1831"/>
      <c r="ONQ434" s="1831"/>
      <c r="ONR434" s="1831"/>
      <c r="ONS434" s="1831"/>
      <c r="ONT434" s="1831"/>
      <c r="ONU434" s="1831"/>
      <c r="ONV434" s="1831"/>
      <c r="ONW434" s="1831"/>
      <c r="ONX434" s="1831"/>
      <c r="ONY434" s="1831"/>
      <c r="ONZ434" s="1831"/>
      <c r="OOA434" s="1831"/>
      <c r="OOB434" s="1831"/>
      <c r="OOC434" s="1831"/>
      <c r="OOD434" s="1831"/>
      <c r="OOE434" s="1831"/>
      <c r="OOF434" s="1831"/>
      <c r="OOG434" s="1831"/>
      <c r="OOH434" s="1831"/>
      <c r="OOI434" s="1831"/>
      <c r="OOJ434" s="1831"/>
      <c r="OOK434" s="1831"/>
      <c r="OOL434" s="1831"/>
      <c r="OOM434" s="1831"/>
      <c r="OON434" s="1831"/>
      <c r="OOO434" s="1831"/>
      <c r="OOP434" s="1831"/>
      <c r="OOQ434" s="1831"/>
      <c r="OOR434" s="1831"/>
      <c r="OOS434" s="1831"/>
      <c r="OOT434" s="1831"/>
      <c r="OOU434" s="1831"/>
      <c r="OOV434" s="1831"/>
      <c r="OOW434" s="1831"/>
      <c r="OOX434" s="1831"/>
      <c r="OOY434" s="1831"/>
      <c r="OOZ434" s="1831"/>
      <c r="OPA434" s="1831"/>
      <c r="OPB434" s="1831"/>
      <c r="OPC434" s="1831"/>
      <c r="OPD434" s="1831"/>
      <c r="OPE434" s="1831"/>
      <c r="OPF434" s="1831"/>
      <c r="OPG434" s="1831"/>
      <c r="OPH434" s="1831"/>
      <c r="OPI434" s="1831"/>
      <c r="OPJ434" s="1831"/>
      <c r="OPK434" s="1831"/>
      <c r="OPL434" s="1831"/>
      <c r="OPM434" s="1831"/>
      <c r="OPN434" s="1831"/>
      <c r="OPO434" s="1831"/>
      <c r="OPP434" s="1831"/>
      <c r="OPQ434" s="1831"/>
      <c r="OPR434" s="1831"/>
      <c r="OPS434" s="1831"/>
      <c r="OPT434" s="1831"/>
      <c r="OPU434" s="1831"/>
      <c r="OPV434" s="1831"/>
      <c r="OPW434" s="1831"/>
      <c r="OPX434" s="1831"/>
      <c r="OPY434" s="1831"/>
      <c r="OPZ434" s="1831"/>
      <c r="OQA434" s="1831"/>
      <c r="OQB434" s="1831"/>
      <c r="OQC434" s="1831"/>
      <c r="OQD434" s="1831"/>
      <c r="OQE434" s="1831"/>
      <c r="OQF434" s="1831"/>
      <c r="OQG434" s="1831"/>
      <c r="OQH434" s="1831"/>
      <c r="OQI434" s="1831"/>
      <c r="OQJ434" s="1831"/>
      <c r="OQK434" s="1831"/>
      <c r="OQL434" s="1831"/>
      <c r="OQM434" s="1831"/>
      <c r="OQN434" s="1831"/>
      <c r="OQO434" s="1831"/>
      <c r="OQP434" s="1831"/>
      <c r="OQQ434" s="1831"/>
      <c r="OQR434" s="1831"/>
      <c r="OQS434" s="1831"/>
      <c r="OQT434" s="1831"/>
      <c r="OQU434" s="1831"/>
      <c r="OQV434" s="1831"/>
      <c r="OQW434" s="1831"/>
      <c r="OQX434" s="1831"/>
      <c r="OQY434" s="1831"/>
      <c r="OQZ434" s="1831"/>
      <c r="ORA434" s="1831"/>
      <c r="ORB434" s="1831"/>
      <c r="ORC434" s="1831"/>
      <c r="ORD434" s="1831"/>
      <c r="ORE434" s="1831"/>
      <c r="ORF434" s="1831"/>
      <c r="ORG434" s="1831"/>
      <c r="ORH434" s="1831"/>
      <c r="ORI434" s="1831"/>
      <c r="ORJ434" s="1831"/>
      <c r="ORK434" s="1831"/>
      <c r="ORL434" s="1831"/>
      <c r="ORM434" s="1831"/>
      <c r="ORN434" s="1831"/>
      <c r="ORO434" s="1831"/>
      <c r="ORP434" s="1831"/>
      <c r="ORQ434" s="1831"/>
      <c r="ORR434" s="1831"/>
      <c r="ORS434" s="1831"/>
      <c r="ORT434" s="1831"/>
      <c r="ORU434" s="1831"/>
      <c r="ORV434" s="1831"/>
      <c r="ORW434" s="1831"/>
      <c r="ORX434" s="1831"/>
      <c r="ORY434" s="1831"/>
      <c r="ORZ434" s="1831"/>
      <c r="OSA434" s="1831"/>
      <c r="OSB434" s="1831"/>
      <c r="OSC434" s="1831"/>
      <c r="OSD434" s="1831"/>
      <c r="OSE434" s="1831"/>
      <c r="OSF434" s="1831"/>
      <c r="OSG434" s="1831"/>
      <c r="OSH434" s="1831"/>
      <c r="OSI434" s="1831"/>
      <c r="OSJ434" s="1831"/>
      <c r="OSK434" s="1831"/>
      <c r="OSL434" s="1831"/>
      <c r="OSM434" s="1831"/>
      <c r="OSN434" s="1831"/>
      <c r="OSO434" s="1831"/>
      <c r="OSP434" s="1831"/>
      <c r="OSQ434" s="1831"/>
      <c r="OSR434" s="1831"/>
      <c r="OSS434" s="1831"/>
      <c r="OST434" s="1831"/>
      <c r="OSU434" s="1831"/>
      <c r="OSV434" s="1831"/>
      <c r="OSW434" s="1831"/>
      <c r="OSX434" s="1831"/>
      <c r="OSY434" s="1831"/>
      <c r="OSZ434" s="1831"/>
      <c r="OTA434" s="1831"/>
      <c r="OTB434" s="1831"/>
      <c r="OTC434" s="1831"/>
      <c r="OTD434" s="1831"/>
      <c r="OTE434" s="1831"/>
      <c r="OTF434" s="1831"/>
      <c r="OTG434" s="1831"/>
      <c r="OTH434" s="1831"/>
      <c r="OTI434" s="1831"/>
      <c r="OTJ434" s="1831"/>
      <c r="OTK434" s="1831"/>
      <c r="OTL434" s="1831"/>
      <c r="OTM434" s="1831"/>
      <c r="OTN434" s="1831"/>
      <c r="OTO434" s="1831"/>
      <c r="OTP434" s="1831"/>
      <c r="OTQ434" s="1831"/>
      <c r="OTR434" s="1831"/>
      <c r="OTS434" s="1831"/>
      <c r="OTT434" s="1831"/>
      <c r="OTU434" s="1831"/>
      <c r="OTV434" s="1831"/>
      <c r="OTW434" s="1831"/>
      <c r="OTX434" s="1831"/>
      <c r="OTY434" s="1831"/>
      <c r="OTZ434" s="1831"/>
      <c r="OUA434" s="1831"/>
      <c r="OUB434" s="1831"/>
      <c r="OUC434" s="1831"/>
      <c r="OUD434" s="1831"/>
      <c r="OUE434" s="1831"/>
      <c r="OUF434" s="1831"/>
      <c r="OUG434" s="1831"/>
      <c r="OUH434" s="1831"/>
      <c r="OUI434" s="1831"/>
      <c r="OUJ434" s="1831"/>
      <c r="OUK434" s="1831"/>
      <c r="OUL434" s="1831"/>
      <c r="OUM434" s="1831"/>
      <c r="OUN434" s="1831"/>
      <c r="OUO434" s="1831"/>
      <c r="OUP434" s="1831"/>
      <c r="OUQ434" s="1831"/>
      <c r="OUR434" s="1831"/>
      <c r="OUS434" s="1831"/>
      <c r="OUT434" s="1831"/>
      <c r="OUU434" s="1831"/>
      <c r="OUV434" s="1831"/>
      <c r="OUW434" s="1831"/>
      <c r="OUX434" s="1831"/>
      <c r="OUY434" s="1831"/>
      <c r="OUZ434" s="1831"/>
      <c r="OVA434" s="1831"/>
      <c r="OVB434" s="1831"/>
      <c r="OVC434" s="1831"/>
      <c r="OVD434" s="1831"/>
      <c r="OVE434" s="1831"/>
      <c r="OVF434" s="1831"/>
      <c r="OVG434" s="1831"/>
      <c r="OVH434" s="1831"/>
      <c r="OVI434" s="1831"/>
      <c r="OVJ434" s="1831"/>
      <c r="OVK434" s="1831"/>
      <c r="OVL434" s="1831"/>
      <c r="OVM434" s="1831"/>
      <c r="OVN434" s="1831"/>
      <c r="OVO434" s="1831"/>
      <c r="OVP434" s="1831"/>
      <c r="OVQ434" s="1831"/>
      <c r="OVR434" s="1831"/>
      <c r="OVS434" s="1831"/>
      <c r="OVT434" s="1831"/>
      <c r="OVU434" s="1831"/>
      <c r="OVV434" s="1831"/>
      <c r="OVW434" s="1831"/>
      <c r="OVX434" s="1831"/>
      <c r="OVY434" s="1831"/>
      <c r="OVZ434" s="1831"/>
      <c r="OWA434" s="1831"/>
      <c r="OWB434" s="1831"/>
      <c r="OWC434" s="1831"/>
      <c r="OWD434" s="1831"/>
      <c r="OWE434" s="1831"/>
      <c r="OWF434" s="1831"/>
      <c r="OWG434" s="1831"/>
      <c r="OWH434" s="1831"/>
      <c r="OWI434" s="1831"/>
      <c r="OWJ434" s="1831"/>
      <c r="OWK434" s="1831"/>
      <c r="OWL434" s="1831"/>
      <c r="OWM434" s="1831"/>
      <c r="OWN434" s="1831"/>
      <c r="OWO434" s="1831"/>
      <c r="OWP434" s="1831"/>
      <c r="OWQ434" s="1831"/>
      <c r="OWR434" s="1831"/>
      <c r="OWS434" s="1831"/>
      <c r="OWT434" s="1831"/>
      <c r="OWU434" s="1831"/>
      <c r="OWV434" s="1831"/>
      <c r="OWW434" s="1831"/>
      <c r="OWX434" s="1831"/>
      <c r="OWY434" s="1831"/>
      <c r="OWZ434" s="1831"/>
      <c r="OXA434" s="1831"/>
      <c r="OXB434" s="1831"/>
      <c r="OXC434" s="1831"/>
      <c r="OXD434" s="1831"/>
      <c r="OXE434" s="1831"/>
      <c r="OXF434" s="1831"/>
      <c r="OXG434" s="1831"/>
      <c r="OXH434" s="1831"/>
      <c r="OXI434" s="1831"/>
      <c r="OXJ434" s="1831"/>
      <c r="OXK434" s="1831"/>
      <c r="OXL434" s="1831"/>
      <c r="OXM434" s="1831"/>
      <c r="OXN434" s="1831"/>
      <c r="OXO434" s="1831"/>
      <c r="OXP434" s="1831"/>
      <c r="OXQ434" s="1831"/>
      <c r="OXR434" s="1831"/>
      <c r="OXS434" s="1831"/>
      <c r="OXT434" s="1831"/>
      <c r="OXU434" s="1831"/>
      <c r="OXV434" s="1831"/>
      <c r="OXW434" s="1831"/>
      <c r="OXX434" s="1831"/>
      <c r="OXY434" s="1831"/>
      <c r="OXZ434" s="1831"/>
      <c r="OYA434" s="1831"/>
      <c r="OYB434" s="1831"/>
      <c r="OYC434" s="1831"/>
      <c r="OYD434" s="1831"/>
      <c r="OYE434" s="1831"/>
      <c r="OYF434" s="1831"/>
      <c r="OYG434" s="1831"/>
      <c r="OYH434" s="1831"/>
      <c r="OYI434" s="1831"/>
      <c r="OYJ434" s="1831"/>
      <c r="OYK434" s="1831"/>
      <c r="OYL434" s="1831"/>
      <c r="OYM434" s="1831"/>
      <c r="OYN434" s="1831"/>
      <c r="OYO434" s="1831"/>
      <c r="OYP434" s="1831"/>
      <c r="OYQ434" s="1831"/>
      <c r="OYR434" s="1831"/>
      <c r="OYS434" s="1831"/>
      <c r="OYT434" s="1831"/>
      <c r="OYU434" s="1831"/>
      <c r="OYV434" s="1831"/>
      <c r="OYW434" s="1831"/>
      <c r="OYX434" s="1831"/>
      <c r="OYY434" s="1831"/>
      <c r="OYZ434" s="1831"/>
      <c r="OZA434" s="1831"/>
      <c r="OZB434" s="1831"/>
      <c r="OZC434" s="1831"/>
      <c r="OZD434" s="1831"/>
      <c r="OZE434" s="1831"/>
      <c r="OZF434" s="1831"/>
      <c r="OZG434" s="1831"/>
      <c r="OZH434" s="1831"/>
      <c r="OZI434" s="1831"/>
      <c r="OZJ434" s="1831"/>
      <c r="OZK434" s="1831"/>
      <c r="OZL434" s="1831"/>
      <c r="OZM434" s="1831"/>
      <c r="OZN434" s="1831"/>
      <c r="OZO434" s="1831"/>
      <c r="OZP434" s="1831"/>
      <c r="OZQ434" s="1831"/>
      <c r="OZR434" s="1831"/>
      <c r="OZS434" s="1831"/>
      <c r="OZT434" s="1831"/>
      <c r="OZU434" s="1831"/>
      <c r="OZV434" s="1831"/>
      <c r="OZW434" s="1831"/>
      <c r="OZX434" s="1831"/>
      <c r="OZY434" s="1831"/>
      <c r="OZZ434" s="1831"/>
      <c r="PAA434" s="1831"/>
      <c r="PAB434" s="1831"/>
      <c r="PAC434" s="1831"/>
      <c r="PAD434" s="1831"/>
      <c r="PAE434" s="1831"/>
      <c r="PAF434" s="1831"/>
      <c r="PAG434" s="1831"/>
      <c r="PAH434" s="1831"/>
      <c r="PAI434" s="1831"/>
      <c r="PAJ434" s="1831"/>
      <c r="PAK434" s="1831"/>
      <c r="PAL434" s="1831"/>
      <c r="PAM434" s="1831"/>
      <c r="PAN434" s="1831"/>
      <c r="PAO434" s="1831"/>
      <c r="PAP434" s="1831"/>
      <c r="PAQ434" s="1831"/>
      <c r="PAR434" s="1831"/>
      <c r="PAS434" s="1831"/>
      <c r="PAT434" s="1831"/>
      <c r="PAU434" s="1831"/>
      <c r="PAV434" s="1831"/>
      <c r="PAW434" s="1831"/>
      <c r="PAX434" s="1831"/>
      <c r="PAY434" s="1831"/>
      <c r="PAZ434" s="1831"/>
      <c r="PBA434" s="1831"/>
      <c r="PBB434" s="1831"/>
      <c r="PBC434" s="1831"/>
      <c r="PBD434" s="1831"/>
      <c r="PBE434" s="1831"/>
      <c r="PBF434" s="1831"/>
      <c r="PBG434" s="1831"/>
      <c r="PBH434" s="1831"/>
      <c r="PBI434" s="1831"/>
      <c r="PBJ434" s="1831"/>
      <c r="PBK434" s="1831"/>
      <c r="PBL434" s="1831"/>
      <c r="PBM434" s="1831"/>
      <c r="PBN434" s="1831"/>
      <c r="PBO434" s="1831"/>
      <c r="PBP434" s="1831"/>
      <c r="PBQ434" s="1831"/>
      <c r="PBR434" s="1831"/>
      <c r="PBS434" s="1831"/>
      <c r="PBT434" s="1831"/>
      <c r="PBU434" s="1831"/>
      <c r="PBV434" s="1831"/>
      <c r="PBW434" s="1831"/>
      <c r="PBX434" s="1831"/>
      <c r="PBY434" s="1831"/>
      <c r="PBZ434" s="1831"/>
      <c r="PCA434" s="1831"/>
      <c r="PCB434" s="1831"/>
      <c r="PCC434" s="1831"/>
      <c r="PCD434" s="1831"/>
      <c r="PCE434" s="1831"/>
      <c r="PCF434" s="1831"/>
      <c r="PCG434" s="1831"/>
      <c r="PCH434" s="1831"/>
      <c r="PCI434" s="1831"/>
      <c r="PCJ434" s="1831"/>
      <c r="PCK434" s="1831"/>
      <c r="PCL434" s="1831"/>
      <c r="PCM434" s="1831"/>
      <c r="PCN434" s="1831"/>
      <c r="PCO434" s="1831"/>
      <c r="PCP434" s="1831"/>
      <c r="PCQ434" s="1831"/>
      <c r="PCR434" s="1831"/>
      <c r="PCS434" s="1831"/>
      <c r="PCT434" s="1831"/>
      <c r="PCU434" s="1831"/>
      <c r="PCV434" s="1831"/>
      <c r="PCW434" s="1831"/>
      <c r="PCX434" s="1831"/>
      <c r="PCY434" s="1831"/>
      <c r="PCZ434" s="1831"/>
      <c r="PDA434" s="1831"/>
      <c r="PDB434" s="1831"/>
      <c r="PDC434" s="1831"/>
      <c r="PDD434" s="1831"/>
      <c r="PDE434" s="1831"/>
      <c r="PDF434" s="1831"/>
      <c r="PDG434" s="1831"/>
      <c r="PDH434" s="1831"/>
      <c r="PDI434" s="1831"/>
      <c r="PDJ434" s="1831"/>
      <c r="PDK434" s="1831"/>
      <c r="PDL434" s="1831"/>
      <c r="PDM434" s="1831"/>
      <c r="PDN434" s="1831"/>
      <c r="PDO434" s="1831"/>
      <c r="PDP434" s="1831"/>
      <c r="PDQ434" s="1831"/>
      <c r="PDR434" s="1831"/>
      <c r="PDS434" s="1831"/>
      <c r="PDT434" s="1831"/>
      <c r="PDU434" s="1831"/>
      <c r="PDV434" s="1831"/>
      <c r="PDW434" s="1831"/>
      <c r="PDX434" s="1831"/>
      <c r="PDY434" s="1831"/>
      <c r="PDZ434" s="1831"/>
      <c r="PEA434" s="1831"/>
      <c r="PEB434" s="1831"/>
      <c r="PEC434" s="1831"/>
      <c r="PED434" s="1831"/>
      <c r="PEE434" s="1831"/>
      <c r="PEF434" s="1831"/>
      <c r="PEG434" s="1831"/>
      <c r="PEH434" s="1831"/>
      <c r="PEI434" s="1831"/>
      <c r="PEJ434" s="1831"/>
      <c r="PEK434" s="1831"/>
      <c r="PEL434" s="1831"/>
      <c r="PEM434" s="1831"/>
      <c r="PEN434" s="1831"/>
      <c r="PEO434" s="1831"/>
      <c r="PEP434" s="1831"/>
      <c r="PEQ434" s="1831"/>
      <c r="PER434" s="1831"/>
      <c r="PES434" s="1831"/>
      <c r="PET434" s="1831"/>
      <c r="PEU434" s="1831"/>
      <c r="PEV434" s="1831"/>
      <c r="PEW434" s="1831"/>
      <c r="PEX434" s="1831"/>
      <c r="PEY434" s="1831"/>
      <c r="PEZ434" s="1831"/>
      <c r="PFA434" s="1831"/>
      <c r="PFB434" s="1831"/>
      <c r="PFC434" s="1831"/>
      <c r="PFD434" s="1831"/>
      <c r="PFE434" s="1831"/>
      <c r="PFF434" s="1831"/>
      <c r="PFG434" s="1831"/>
      <c r="PFH434" s="1831"/>
      <c r="PFI434" s="1831"/>
      <c r="PFJ434" s="1831"/>
      <c r="PFK434" s="1831"/>
      <c r="PFL434" s="1831"/>
      <c r="PFM434" s="1831"/>
      <c r="PFN434" s="1831"/>
      <c r="PFO434" s="1831"/>
      <c r="PFP434" s="1831"/>
      <c r="PFQ434" s="1831"/>
      <c r="PFR434" s="1831"/>
      <c r="PFS434" s="1831"/>
      <c r="PFT434" s="1831"/>
      <c r="PFU434" s="1831"/>
      <c r="PFV434" s="1831"/>
      <c r="PFW434" s="1831"/>
      <c r="PFX434" s="1831"/>
      <c r="PFY434" s="1831"/>
      <c r="PFZ434" s="1831"/>
      <c r="PGA434" s="1831"/>
      <c r="PGB434" s="1831"/>
      <c r="PGC434" s="1831"/>
      <c r="PGD434" s="1831"/>
      <c r="PGE434" s="1831"/>
      <c r="PGF434" s="1831"/>
      <c r="PGG434" s="1831"/>
      <c r="PGH434" s="1831"/>
      <c r="PGI434" s="1831"/>
      <c r="PGJ434" s="1831"/>
      <c r="PGK434" s="1831"/>
      <c r="PGL434" s="1831"/>
      <c r="PGM434" s="1831"/>
      <c r="PGN434" s="1831"/>
      <c r="PGO434" s="1831"/>
      <c r="PGP434" s="1831"/>
      <c r="PGQ434" s="1831"/>
      <c r="PGR434" s="1831"/>
      <c r="PGS434" s="1831"/>
      <c r="PGT434" s="1831"/>
      <c r="PGU434" s="1831"/>
      <c r="PGV434" s="1831"/>
      <c r="PGW434" s="1831"/>
      <c r="PGX434" s="1831"/>
      <c r="PGY434" s="1831"/>
      <c r="PGZ434" s="1831"/>
      <c r="PHA434" s="1831"/>
      <c r="PHB434" s="1831"/>
      <c r="PHC434" s="1831"/>
      <c r="PHD434" s="1831"/>
      <c r="PHE434" s="1831"/>
      <c r="PHF434" s="1831"/>
      <c r="PHG434" s="1831"/>
      <c r="PHH434" s="1831"/>
      <c r="PHI434" s="1831"/>
      <c r="PHJ434" s="1831"/>
      <c r="PHK434" s="1831"/>
      <c r="PHL434" s="1831"/>
      <c r="PHM434" s="1831"/>
      <c r="PHN434" s="1831"/>
      <c r="PHO434" s="1831"/>
      <c r="PHP434" s="1831"/>
      <c r="PHQ434" s="1831"/>
      <c r="PHR434" s="1831"/>
      <c r="PHS434" s="1831"/>
      <c r="PHT434" s="1831"/>
      <c r="PHU434" s="1831"/>
      <c r="PHV434" s="1831"/>
      <c r="PHW434" s="1831"/>
      <c r="PHX434" s="1831"/>
      <c r="PHY434" s="1831"/>
      <c r="PHZ434" s="1831"/>
      <c r="PIA434" s="1831"/>
      <c r="PIB434" s="1831"/>
      <c r="PIC434" s="1831"/>
      <c r="PID434" s="1831"/>
      <c r="PIE434" s="1831"/>
      <c r="PIF434" s="1831"/>
      <c r="PIG434" s="1831"/>
      <c r="PIH434" s="1831"/>
      <c r="PII434" s="1831"/>
      <c r="PIJ434" s="1831"/>
      <c r="PIK434" s="1831"/>
      <c r="PIL434" s="1831"/>
      <c r="PIM434" s="1831"/>
      <c r="PIN434" s="1831"/>
      <c r="PIO434" s="1831"/>
      <c r="PIP434" s="1831"/>
      <c r="PIQ434" s="1831"/>
      <c r="PIR434" s="1831"/>
      <c r="PIS434" s="1831"/>
      <c r="PIT434" s="1831"/>
      <c r="PIU434" s="1831"/>
      <c r="PIV434" s="1831"/>
      <c r="PIW434" s="1831"/>
      <c r="PIX434" s="1831"/>
      <c r="PIY434" s="1831"/>
      <c r="PIZ434" s="1831"/>
      <c r="PJA434" s="1831"/>
      <c r="PJB434" s="1831"/>
      <c r="PJC434" s="1831"/>
      <c r="PJD434" s="1831"/>
      <c r="PJE434" s="1831"/>
      <c r="PJF434" s="1831"/>
      <c r="PJG434" s="1831"/>
      <c r="PJH434" s="1831"/>
      <c r="PJI434" s="1831"/>
      <c r="PJJ434" s="1831"/>
      <c r="PJK434" s="1831"/>
      <c r="PJL434" s="1831"/>
      <c r="PJM434" s="1831"/>
      <c r="PJN434" s="1831"/>
      <c r="PJO434" s="1831"/>
      <c r="PJP434" s="1831"/>
      <c r="PJQ434" s="1831"/>
      <c r="PJR434" s="1831"/>
      <c r="PJS434" s="1831"/>
      <c r="PJT434" s="1831"/>
      <c r="PJU434" s="1831"/>
      <c r="PJV434" s="1831"/>
      <c r="PJW434" s="1831"/>
      <c r="PJX434" s="1831"/>
      <c r="PJY434" s="1831"/>
      <c r="PJZ434" s="1831"/>
      <c r="PKA434" s="1831"/>
      <c r="PKB434" s="1831"/>
      <c r="PKC434" s="1831"/>
      <c r="PKD434" s="1831"/>
      <c r="PKE434" s="1831"/>
      <c r="PKF434" s="1831"/>
      <c r="PKG434" s="1831"/>
      <c r="PKH434" s="1831"/>
      <c r="PKI434" s="1831"/>
      <c r="PKJ434" s="1831"/>
      <c r="PKK434" s="1831"/>
      <c r="PKL434" s="1831"/>
      <c r="PKM434" s="1831"/>
      <c r="PKN434" s="1831"/>
      <c r="PKO434" s="1831"/>
      <c r="PKP434" s="1831"/>
      <c r="PKQ434" s="1831"/>
      <c r="PKR434" s="1831"/>
      <c r="PKS434" s="1831"/>
      <c r="PKT434" s="1831"/>
      <c r="PKU434" s="1831"/>
      <c r="PKV434" s="1831"/>
      <c r="PKW434" s="1831"/>
      <c r="PKX434" s="1831"/>
      <c r="PKY434" s="1831"/>
      <c r="PKZ434" s="1831"/>
      <c r="PLA434" s="1831"/>
      <c r="PLB434" s="1831"/>
      <c r="PLC434" s="1831"/>
      <c r="PLD434" s="1831"/>
      <c r="PLE434" s="1831"/>
      <c r="PLF434" s="1831"/>
      <c r="PLG434" s="1831"/>
      <c r="PLH434" s="1831"/>
      <c r="PLI434" s="1831"/>
      <c r="PLJ434" s="1831"/>
      <c r="PLK434" s="1831"/>
      <c r="PLL434" s="1831"/>
      <c r="PLM434" s="1831"/>
      <c r="PLN434" s="1831"/>
      <c r="PLO434" s="1831"/>
      <c r="PLP434" s="1831"/>
      <c r="PLQ434" s="1831"/>
      <c r="PLR434" s="1831"/>
      <c r="PLS434" s="1831"/>
      <c r="PLT434" s="1831"/>
      <c r="PLU434" s="1831"/>
      <c r="PLV434" s="1831"/>
      <c r="PLW434" s="1831"/>
      <c r="PLX434" s="1831"/>
      <c r="PLY434" s="1831"/>
      <c r="PLZ434" s="1831"/>
      <c r="PMA434" s="1831"/>
      <c r="PMB434" s="1831"/>
      <c r="PMC434" s="1831"/>
      <c r="PMD434" s="1831"/>
      <c r="PME434" s="1831"/>
      <c r="PMF434" s="1831"/>
      <c r="PMG434" s="1831"/>
      <c r="PMH434" s="1831"/>
      <c r="PMI434" s="1831"/>
      <c r="PMJ434" s="1831"/>
      <c r="PMK434" s="1831"/>
      <c r="PML434" s="1831"/>
      <c r="PMM434" s="1831"/>
      <c r="PMN434" s="1831"/>
      <c r="PMO434" s="1831"/>
      <c r="PMP434" s="1831"/>
      <c r="PMQ434" s="1831"/>
      <c r="PMR434" s="1831"/>
      <c r="PMS434" s="1831"/>
      <c r="PMT434" s="1831"/>
      <c r="PMU434" s="1831"/>
      <c r="PMV434" s="1831"/>
      <c r="PMW434" s="1831"/>
      <c r="PMX434" s="1831"/>
      <c r="PMY434" s="1831"/>
      <c r="PMZ434" s="1831"/>
      <c r="PNA434" s="1831"/>
      <c r="PNB434" s="1831"/>
      <c r="PNC434" s="1831"/>
      <c r="PND434" s="1831"/>
      <c r="PNE434" s="1831"/>
      <c r="PNF434" s="1831"/>
      <c r="PNG434" s="1831"/>
      <c r="PNH434" s="1831"/>
      <c r="PNI434" s="1831"/>
      <c r="PNJ434" s="1831"/>
      <c r="PNK434" s="1831"/>
      <c r="PNL434" s="1831"/>
      <c r="PNM434" s="1831"/>
      <c r="PNN434" s="1831"/>
      <c r="PNO434" s="1831"/>
      <c r="PNP434" s="1831"/>
      <c r="PNQ434" s="1831"/>
      <c r="PNR434" s="1831"/>
      <c r="PNS434" s="1831"/>
      <c r="PNT434" s="1831"/>
      <c r="PNU434" s="1831"/>
      <c r="PNV434" s="1831"/>
      <c r="PNW434" s="1831"/>
      <c r="PNX434" s="1831"/>
      <c r="PNY434" s="1831"/>
      <c r="PNZ434" s="1831"/>
      <c r="POA434" s="1831"/>
      <c r="POB434" s="1831"/>
      <c r="POC434" s="1831"/>
      <c r="POD434" s="1831"/>
      <c r="POE434" s="1831"/>
      <c r="POF434" s="1831"/>
      <c r="POG434" s="1831"/>
      <c r="POH434" s="1831"/>
      <c r="POI434" s="1831"/>
      <c r="POJ434" s="1831"/>
      <c r="POK434" s="1831"/>
      <c r="POL434" s="1831"/>
      <c r="POM434" s="1831"/>
      <c r="PON434" s="1831"/>
      <c r="POO434" s="1831"/>
      <c r="POP434" s="1831"/>
      <c r="POQ434" s="1831"/>
      <c r="POR434" s="1831"/>
      <c r="POS434" s="1831"/>
      <c r="POT434" s="1831"/>
      <c r="POU434" s="1831"/>
      <c r="POV434" s="1831"/>
      <c r="POW434" s="1831"/>
      <c r="POX434" s="1831"/>
      <c r="POY434" s="1831"/>
      <c r="POZ434" s="1831"/>
      <c r="PPA434" s="1831"/>
      <c r="PPB434" s="1831"/>
      <c r="PPC434" s="1831"/>
      <c r="PPD434" s="1831"/>
      <c r="PPE434" s="1831"/>
      <c r="PPF434" s="1831"/>
      <c r="PPG434" s="1831"/>
      <c r="PPH434" s="1831"/>
      <c r="PPI434" s="1831"/>
      <c r="PPJ434" s="1831"/>
      <c r="PPK434" s="1831"/>
      <c r="PPL434" s="1831"/>
      <c r="PPM434" s="1831"/>
      <c r="PPN434" s="1831"/>
      <c r="PPO434" s="1831"/>
      <c r="PPP434" s="1831"/>
      <c r="PPQ434" s="1831"/>
      <c r="PPR434" s="1831"/>
      <c r="PPS434" s="1831"/>
      <c r="PPT434" s="1831"/>
      <c r="PPU434" s="1831"/>
      <c r="PPV434" s="1831"/>
      <c r="PPW434" s="1831"/>
      <c r="PPX434" s="1831"/>
      <c r="PPY434" s="1831"/>
      <c r="PPZ434" s="1831"/>
      <c r="PQA434" s="1831"/>
      <c r="PQB434" s="1831"/>
      <c r="PQC434" s="1831"/>
      <c r="PQD434" s="1831"/>
      <c r="PQE434" s="1831"/>
      <c r="PQF434" s="1831"/>
      <c r="PQG434" s="1831"/>
      <c r="PQH434" s="1831"/>
      <c r="PQI434" s="1831"/>
      <c r="PQJ434" s="1831"/>
      <c r="PQK434" s="1831"/>
      <c r="PQL434" s="1831"/>
      <c r="PQM434" s="1831"/>
      <c r="PQN434" s="1831"/>
      <c r="PQO434" s="1831"/>
      <c r="PQP434" s="1831"/>
      <c r="PQQ434" s="1831"/>
      <c r="PQR434" s="1831"/>
      <c r="PQS434" s="1831"/>
      <c r="PQT434" s="1831"/>
      <c r="PQU434" s="1831"/>
      <c r="PQV434" s="1831"/>
      <c r="PQW434" s="1831"/>
      <c r="PQX434" s="1831"/>
      <c r="PQY434" s="1831"/>
      <c r="PQZ434" s="1831"/>
      <c r="PRA434" s="1831"/>
      <c r="PRB434" s="1831"/>
      <c r="PRC434" s="1831"/>
      <c r="PRD434" s="1831"/>
      <c r="PRE434" s="1831"/>
      <c r="PRF434" s="1831"/>
      <c r="PRG434" s="1831"/>
      <c r="PRH434" s="1831"/>
      <c r="PRI434" s="1831"/>
      <c r="PRJ434" s="1831"/>
      <c r="PRK434" s="1831"/>
      <c r="PRL434" s="1831"/>
      <c r="PRM434" s="1831"/>
      <c r="PRN434" s="1831"/>
      <c r="PRO434" s="1831"/>
      <c r="PRP434" s="1831"/>
      <c r="PRQ434" s="1831"/>
      <c r="PRR434" s="1831"/>
      <c r="PRS434" s="1831"/>
      <c r="PRT434" s="1831"/>
      <c r="PRU434" s="1831"/>
      <c r="PRV434" s="1831"/>
      <c r="PRW434" s="1831"/>
      <c r="PRX434" s="1831"/>
      <c r="PRY434" s="1831"/>
      <c r="PRZ434" s="1831"/>
      <c r="PSA434" s="1831"/>
      <c r="PSB434" s="1831"/>
      <c r="PSC434" s="1831"/>
      <c r="PSD434" s="1831"/>
      <c r="PSE434" s="1831"/>
      <c r="PSF434" s="1831"/>
      <c r="PSG434" s="1831"/>
      <c r="PSH434" s="1831"/>
      <c r="PSI434" s="1831"/>
      <c r="PSJ434" s="1831"/>
      <c r="PSK434" s="1831"/>
      <c r="PSL434" s="1831"/>
      <c r="PSM434" s="1831"/>
      <c r="PSN434" s="1831"/>
      <c r="PSO434" s="1831"/>
      <c r="PSP434" s="1831"/>
      <c r="PSQ434" s="1831"/>
      <c r="PSR434" s="1831"/>
      <c r="PSS434" s="1831"/>
      <c r="PST434" s="1831"/>
      <c r="PSU434" s="1831"/>
      <c r="PSV434" s="1831"/>
      <c r="PSW434" s="1831"/>
      <c r="PSX434" s="1831"/>
      <c r="PSY434" s="1831"/>
      <c r="PSZ434" s="1831"/>
      <c r="PTA434" s="1831"/>
      <c r="PTB434" s="1831"/>
      <c r="PTC434" s="1831"/>
      <c r="PTD434" s="1831"/>
      <c r="PTE434" s="1831"/>
      <c r="PTF434" s="1831"/>
      <c r="PTG434" s="1831"/>
      <c r="PTH434" s="1831"/>
      <c r="PTI434" s="1831"/>
      <c r="PTJ434" s="1831"/>
      <c r="PTK434" s="1831"/>
      <c r="PTL434" s="1831"/>
      <c r="PTM434" s="1831"/>
      <c r="PTN434" s="1831"/>
      <c r="PTO434" s="1831"/>
      <c r="PTP434" s="1831"/>
      <c r="PTQ434" s="1831"/>
      <c r="PTR434" s="1831"/>
      <c r="PTS434" s="1831"/>
      <c r="PTT434" s="1831"/>
      <c r="PTU434" s="1831"/>
      <c r="PTV434" s="1831"/>
      <c r="PTW434" s="1831"/>
      <c r="PTX434" s="1831"/>
      <c r="PTY434" s="1831"/>
      <c r="PTZ434" s="1831"/>
      <c r="PUA434" s="1831"/>
      <c r="PUB434" s="1831"/>
      <c r="PUC434" s="1831"/>
      <c r="PUD434" s="1831"/>
      <c r="PUE434" s="1831"/>
      <c r="PUF434" s="1831"/>
      <c r="PUG434" s="1831"/>
      <c r="PUH434" s="1831"/>
      <c r="PUI434" s="1831"/>
      <c r="PUJ434" s="1831"/>
      <c r="PUK434" s="1831"/>
      <c r="PUL434" s="1831"/>
      <c r="PUM434" s="1831"/>
      <c r="PUN434" s="1831"/>
      <c r="PUO434" s="1831"/>
      <c r="PUP434" s="1831"/>
      <c r="PUQ434" s="1831"/>
      <c r="PUR434" s="1831"/>
      <c r="PUS434" s="1831"/>
      <c r="PUT434" s="1831"/>
      <c r="PUU434" s="1831"/>
      <c r="PUV434" s="1831"/>
      <c r="PUW434" s="1831"/>
      <c r="PUX434" s="1831"/>
      <c r="PUY434" s="1831"/>
      <c r="PUZ434" s="1831"/>
      <c r="PVA434" s="1831"/>
      <c r="PVB434" s="1831"/>
      <c r="PVC434" s="1831"/>
      <c r="PVD434" s="1831"/>
      <c r="PVE434" s="1831"/>
      <c r="PVF434" s="1831"/>
      <c r="PVG434" s="1831"/>
      <c r="PVH434" s="1831"/>
      <c r="PVI434" s="1831"/>
      <c r="PVJ434" s="1831"/>
      <c r="PVK434" s="1831"/>
      <c r="PVL434" s="1831"/>
      <c r="PVM434" s="1831"/>
      <c r="PVN434" s="1831"/>
      <c r="PVO434" s="1831"/>
      <c r="PVP434" s="1831"/>
      <c r="PVQ434" s="1831"/>
      <c r="PVR434" s="1831"/>
      <c r="PVS434" s="1831"/>
      <c r="PVT434" s="1831"/>
      <c r="PVU434" s="1831"/>
      <c r="PVV434" s="1831"/>
      <c r="PVW434" s="1831"/>
      <c r="PVX434" s="1831"/>
      <c r="PVY434" s="1831"/>
      <c r="PVZ434" s="1831"/>
      <c r="PWA434" s="1831"/>
      <c r="PWB434" s="1831"/>
      <c r="PWC434" s="1831"/>
      <c r="PWD434" s="1831"/>
      <c r="PWE434" s="1831"/>
      <c r="PWF434" s="1831"/>
      <c r="PWG434" s="1831"/>
      <c r="PWH434" s="1831"/>
      <c r="PWI434" s="1831"/>
      <c r="PWJ434" s="1831"/>
      <c r="PWK434" s="1831"/>
      <c r="PWL434" s="1831"/>
      <c r="PWM434" s="1831"/>
      <c r="PWN434" s="1831"/>
      <c r="PWO434" s="1831"/>
      <c r="PWP434" s="1831"/>
      <c r="PWQ434" s="1831"/>
      <c r="PWR434" s="1831"/>
      <c r="PWS434" s="1831"/>
      <c r="PWT434" s="1831"/>
      <c r="PWU434" s="1831"/>
      <c r="PWV434" s="1831"/>
      <c r="PWW434" s="1831"/>
      <c r="PWX434" s="1831"/>
      <c r="PWY434" s="1831"/>
      <c r="PWZ434" s="1831"/>
      <c r="PXA434" s="1831"/>
      <c r="PXB434" s="1831"/>
      <c r="PXC434" s="1831"/>
      <c r="PXD434" s="1831"/>
      <c r="PXE434" s="1831"/>
      <c r="PXF434" s="1831"/>
      <c r="PXG434" s="1831"/>
      <c r="PXH434" s="1831"/>
      <c r="PXI434" s="1831"/>
      <c r="PXJ434" s="1831"/>
      <c r="PXK434" s="1831"/>
      <c r="PXL434" s="1831"/>
      <c r="PXM434" s="1831"/>
      <c r="PXN434" s="1831"/>
      <c r="PXO434" s="1831"/>
      <c r="PXP434" s="1831"/>
      <c r="PXQ434" s="1831"/>
      <c r="PXR434" s="1831"/>
      <c r="PXS434" s="1831"/>
      <c r="PXT434" s="1831"/>
      <c r="PXU434" s="1831"/>
      <c r="PXV434" s="1831"/>
      <c r="PXW434" s="1831"/>
      <c r="PXX434" s="1831"/>
      <c r="PXY434" s="1831"/>
      <c r="PXZ434" s="1831"/>
      <c r="PYA434" s="1831"/>
      <c r="PYB434" s="1831"/>
      <c r="PYC434" s="1831"/>
      <c r="PYD434" s="1831"/>
      <c r="PYE434" s="1831"/>
      <c r="PYF434" s="1831"/>
      <c r="PYG434" s="1831"/>
      <c r="PYH434" s="1831"/>
      <c r="PYI434" s="1831"/>
      <c r="PYJ434" s="1831"/>
      <c r="PYK434" s="1831"/>
      <c r="PYL434" s="1831"/>
      <c r="PYM434" s="1831"/>
      <c r="PYN434" s="1831"/>
      <c r="PYO434" s="1831"/>
      <c r="PYP434" s="1831"/>
      <c r="PYQ434" s="1831"/>
      <c r="PYR434" s="1831"/>
      <c r="PYS434" s="1831"/>
      <c r="PYT434" s="1831"/>
      <c r="PYU434" s="1831"/>
      <c r="PYV434" s="1831"/>
      <c r="PYW434" s="1831"/>
      <c r="PYX434" s="1831"/>
      <c r="PYY434" s="1831"/>
      <c r="PYZ434" s="1831"/>
      <c r="PZA434" s="1831"/>
      <c r="PZB434" s="1831"/>
      <c r="PZC434" s="1831"/>
      <c r="PZD434" s="1831"/>
      <c r="PZE434" s="1831"/>
      <c r="PZF434" s="1831"/>
      <c r="PZG434" s="1831"/>
      <c r="PZH434" s="1831"/>
      <c r="PZI434" s="1831"/>
      <c r="PZJ434" s="1831"/>
      <c r="PZK434" s="1831"/>
      <c r="PZL434" s="1831"/>
      <c r="PZM434" s="1831"/>
      <c r="PZN434" s="1831"/>
      <c r="PZO434" s="1831"/>
      <c r="PZP434" s="1831"/>
      <c r="PZQ434" s="1831"/>
      <c r="PZR434" s="1831"/>
      <c r="PZS434" s="1831"/>
      <c r="PZT434" s="1831"/>
      <c r="PZU434" s="1831"/>
      <c r="PZV434" s="1831"/>
      <c r="PZW434" s="1831"/>
      <c r="PZX434" s="1831"/>
      <c r="PZY434" s="1831"/>
      <c r="PZZ434" s="1831"/>
      <c r="QAA434" s="1831"/>
      <c r="QAB434" s="1831"/>
      <c r="QAC434" s="1831"/>
      <c r="QAD434" s="1831"/>
      <c r="QAE434" s="1831"/>
      <c r="QAF434" s="1831"/>
      <c r="QAG434" s="1831"/>
      <c r="QAH434" s="1831"/>
      <c r="QAI434" s="1831"/>
      <c r="QAJ434" s="1831"/>
      <c r="QAK434" s="1831"/>
      <c r="QAL434" s="1831"/>
      <c r="QAM434" s="1831"/>
      <c r="QAN434" s="1831"/>
      <c r="QAO434" s="1831"/>
      <c r="QAP434" s="1831"/>
      <c r="QAQ434" s="1831"/>
      <c r="QAR434" s="1831"/>
      <c r="QAS434" s="1831"/>
      <c r="QAT434" s="1831"/>
      <c r="QAU434" s="1831"/>
      <c r="QAV434" s="1831"/>
      <c r="QAW434" s="1831"/>
      <c r="QAX434" s="1831"/>
      <c r="QAY434" s="1831"/>
      <c r="QAZ434" s="1831"/>
      <c r="QBA434" s="1831"/>
      <c r="QBB434" s="1831"/>
      <c r="QBC434" s="1831"/>
      <c r="QBD434" s="1831"/>
      <c r="QBE434" s="1831"/>
      <c r="QBF434" s="1831"/>
      <c r="QBG434" s="1831"/>
      <c r="QBH434" s="1831"/>
      <c r="QBI434" s="1831"/>
      <c r="QBJ434" s="1831"/>
      <c r="QBK434" s="1831"/>
      <c r="QBL434" s="1831"/>
      <c r="QBM434" s="1831"/>
      <c r="QBN434" s="1831"/>
      <c r="QBO434" s="1831"/>
      <c r="QBP434" s="1831"/>
      <c r="QBQ434" s="1831"/>
      <c r="QBR434" s="1831"/>
      <c r="QBS434" s="1831"/>
      <c r="QBT434" s="1831"/>
      <c r="QBU434" s="1831"/>
      <c r="QBV434" s="1831"/>
      <c r="QBW434" s="1831"/>
      <c r="QBX434" s="1831"/>
      <c r="QBY434" s="1831"/>
      <c r="QBZ434" s="1831"/>
      <c r="QCA434" s="1831"/>
      <c r="QCB434" s="1831"/>
      <c r="QCC434" s="1831"/>
      <c r="QCD434" s="1831"/>
      <c r="QCE434" s="1831"/>
      <c r="QCF434" s="1831"/>
      <c r="QCG434" s="1831"/>
      <c r="QCH434" s="1831"/>
      <c r="QCI434" s="1831"/>
      <c r="QCJ434" s="1831"/>
      <c r="QCK434" s="1831"/>
      <c r="QCL434" s="1831"/>
      <c r="QCM434" s="1831"/>
      <c r="QCN434" s="1831"/>
      <c r="QCO434" s="1831"/>
      <c r="QCP434" s="1831"/>
      <c r="QCQ434" s="1831"/>
      <c r="QCR434" s="1831"/>
      <c r="QCS434" s="1831"/>
      <c r="QCT434" s="1831"/>
      <c r="QCU434" s="1831"/>
      <c r="QCV434" s="1831"/>
      <c r="QCW434" s="1831"/>
      <c r="QCX434" s="1831"/>
      <c r="QCY434" s="1831"/>
      <c r="QCZ434" s="1831"/>
      <c r="QDA434" s="1831"/>
      <c r="QDB434" s="1831"/>
      <c r="QDC434" s="1831"/>
      <c r="QDD434" s="1831"/>
      <c r="QDE434" s="1831"/>
      <c r="QDF434" s="1831"/>
      <c r="QDG434" s="1831"/>
      <c r="QDH434" s="1831"/>
      <c r="QDI434" s="1831"/>
      <c r="QDJ434" s="1831"/>
      <c r="QDK434" s="1831"/>
      <c r="QDL434" s="1831"/>
      <c r="QDM434" s="1831"/>
      <c r="QDN434" s="1831"/>
      <c r="QDO434" s="1831"/>
      <c r="QDP434" s="1831"/>
      <c r="QDQ434" s="1831"/>
      <c r="QDR434" s="1831"/>
      <c r="QDS434" s="1831"/>
      <c r="QDT434" s="1831"/>
      <c r="QDU434" s="1831"/>
      <c r="QDV434" s="1831"/>
      <c r="QDW434" s="1831"/>
      <c r="QDX434" s="1831"/>
      <c r="QDY434" s="1831"/>
      <c r="QDZ434" s="1831"/>
      <c r="QEA434" s="1831"/>
      <c r="QEB434" s="1831"/>
      <c r="QEC434" s="1831"/>
      <c r="QED434" s="1831"/>
      <c r="QEE434" s="1831"/>
      <c r="QEF434" s="1831"/>
      <c r="QEG434" s="1831"/>
      <c r="QEH434" s="1831"/>
      <c r="QEI434" s="1831"/>
      <c r="QEJ434" s="1831"/>
      <c r="QEK434" s="1831"/>
      <c r="QEL434" s="1831"/>
      <c r="QEM434" s="1831"/>
      <c r="QEN434" s="1831"/>
      <c r="QEO434" s="1831"/>
      <c r="QEP434" s="1831"/>
      <c r="QEQ434" s="1831"/>
      <c r="QER434" s="1831"/>
      <c r="QES434" s="1831"/>
      <c r="QET434" s="1831"/>
      <c r="QEU434" s="1831"/>
      <c r="QEV434" s="1831"/>
      <c r="QEW434" s="1831"/>
      <c r="QEX434" s="1831"/>
      <c r="QEY434" s="1831"/>
      <c r="QEZ434" s="1831"/>
      <c r="QFA434" s="1831"/>
      <c r="QFB434" s="1831"/>
      <c r="QFC434" s="1831"/>
      <c r="QFD434" s="1831"/>
      <c r="QFE434" s="1831"/>
      <c r="QFF434" s="1831"/>
      <c r="QFG434" s="1831"/>
      <c r="QFH434" s="1831"/>
      <c r="QFI434" s="1831"/>
      <c r="QFJ434" s="1831"/>
      <c r="QFK434" s="1831"/>
      <c r="QFL434" s="1831"/>
      <c r="QFM434" s="1831"/>
      <c r="QFN434" s="1831"/>
      <c r="QFO434" s="1831"/>
      <c r="QFP434" s="1831"/>
      <c r="QFQ434" s="1831"/>
      <c r="QFR434" s="1831"/>
      <c r="QFS434" s="1831"/>
      <c r="QFT434" s="1831"/>
      <c r="QFU434" s="1831"/>
      <c r="QFV434" s="1831"/>
      <c r="QFW434" s="1831"/>
      <c r="QFX434" s="1831"/>
      <c r="QFY434" s="1831"/>
      <c r="QFZ434" s="1831"/>
      <c r="QGA434" s="1831"/>
      <c r="QGB434" s="1831"/>
      <c r="QGC434" s="1831"/>
      <c r="QGD434" s="1831"/>
      <c r="QGE434" s="1831"/>
      <c r="QGF434" s="1831"/>
      <c r="QGG434" s="1831"/>
      <c r="QGH434" s="1831"/>
      <c r="QGI434" s="1831"/>
      <c r="QGJ434" s="1831"/>
      <c r="QGK434" s="1831"/>
      <c r="QGL434" s="1831"/>
      <c r="QGM434" s="1831"/>
      <c r="QGN434" s="1831"/>
      <c r="QGO434" s="1831"/>
      <c r="QGP434" s="1831"/>
      <c r="QGQ434" s="1831"/>
      <c r="QGR434" s="1831"/>
      <c r="QGS434" s="1831"/>
      <c r="QGT434" s="1831"/>
      <c r="QGU434" s="1831"/>
      <c r="QGV434" s="1831"/>
      <c r="QGW434" s="1831"/>
      <c r="QGX434" s="1831"/>
      <c r="QGY434" s="1831"/>
      <c r="QGZ434" s="1831"/>
      <c r="QHA434" s="1831"/>
      <c r="QHB434" s="1831"/>
      <c r="QHC434" s="1831"/>
      <c r="QHD434" s="1831"/>
      <c r="QHE434" s="1831"/>
      <c r="QHF434" s="1831"/>
      <c r="QHG434" s="1831"/>
      <c r="QHH434" s="1831"/>
      <c r="QHI434" s="1831"/>
      <c r="QHJ434" s="1831"/>
      <c r="QHK434" s="1831"/>
      <c r="QHL434" s="1831"/>
      <c r="QHM434" s="1831"/>
      <c r="QHN434" s="1831"/>
      <c r="QHO434" s="1831"/>
      <c r="QHP434" s="1831"/>
      <c r="QHQ434" s="1831"/>
      <c r="QHR434" s="1831"/>
      <c r="QHS434" s="1831"/>
      <c r="QHT434" s="1831"/>
      <c r="QHU434" s="1831"/>
      <c r="QHV434" s="1831"/>
      <c r="QHW434" s="1831"/>
      <c r="QHX434" s="1831"/>
      <c r="QHY434" s="1831"/>
      <c r="QHZ434" s="1831"/>
      <c r="QIA434" s="1831"/>
      <c r="QIB434" s="1831"/>
      <c r="QIC434" s="1831"/>
      <c r="QID434" s="1831"/>
      <c r="QIE434" s="1831"/>
      <c r="QIF434" s="1831"/>
      <c r="QIG434" s="1831"/>
      <c r="QIH434" s="1831"/>
      <c r="QII434" s="1831"/>
      <c r="QIJ434" s="1831"/>
      <c r="QIK434" s="1831"/>
      <c r="QIL434" s="1831"/>
      <c r="QIM434" s="1831"/>
      <c r="QIN434" s="1831"/>
      <c r="QIO434" s="1831"/>
      <c r="QIP434" s="1831"/>
      <c r="QIQ434" s="1831"/>
      <c r="QIR434" s="1831"/>
      <c r="QIS434" s="1831"/>
      <c r="QIT434" s="1831"/>
      <c r="QIU434" s="1831"/>
      <c r="QIV434" s="1831"/>
      <c r="QIW434" s="1831"/>
      <c r="QIX434" s="1831"/>
      <c r="QIY434" s="1831"/>
      <c r="QIZ434" s="1831"/>
      <c r="QJA434" s="1831"/>
      <c r="QJB434" s="1831"/>
      <c r="QJC434" s="1831"/>
      <c r="QJD434" s="1831"/>
      <c r="QJE434" s="1831"/>
      <c r="QJF434" s="1831"/>
      <c r="QJG434" s="1831"/>
      <c r="QJH434" s="1831"/>
      <c r="QJI434" s="1831"/>
      <c r="QJJ434" s="1831"/>
      <c r="QJK434" s="1831"/>
      <c r="QJL434" s="1831"/>
      <c r="QJM434" s="1831"/>
      <c r="QJN434" s="1831"/>
      <c r="QJO434" s="1831"/>
      <c r="QJP434" s="1831"/>
      <c r="QJQ434" s="1831"/>
      <c r="QJR434" s="1831"/>
      <c r="QJS434" s="1831"/>
      <c r="QJT434" s="1831"/>
      <c r="QJU434" s="1831"/>
      <c r="QJV434" s="1831"/>
      <c r="QJW434" s="1831"/>
      <c r="QJX434" s="1831"/>
      <c r="QJY434" s="1831"/>
      <c r="QJZ434" s="1831"/>
      <c r="QKA434" s="1831"/>
      <c r="QKB434" s="1831"/>
      <c r="QKC434" s="1831"/>
      <c r="QKD434" s="1831"/>
      <c r="QKE434" s="1831"/>
      <c r="QKF434" s="1831"/>
      <c r="QKG434" s="1831"/>
      <c r="QKH434" s="1831"/>
      <c r="QKI434" s="1831"/>
      <c r="QKJ434" s="1831"/>
      <c r="QKK434" s="1831"/>
      <c r="QKL434" s="1831"/>
      <c r="QKM434" s="1831"/>
      <c r="QKN434" s="1831"/>
      <c r="QKO434" s="1831"/>
      <c r="QKP434" s="1831"/>
      <c r="QKQ434" s="1831"/>
      <c r="QKR434" s="1831"/>
      <c r="QKS434" s="1831"/>
      <c r="QKT434" s="1831"/>
      <c r="QKU434" s="1831"/>
      <c r="QKV434" s="1831"/>
      <c r="QKW434" s="1831"/>
      <c r="QKX434" s="1831"/>
      <c r="QKY434" s="1831"/>
      <c r="QKZ434" s="1831"/>
      <c r="QLA434" s="1831"/>
      <c r="QLB434" s="1831"/>
      <c r="QLC434" s="1831"/>
      <c r="QLD434" s="1831"/>
      <c r="QLE434" s="1831"/>
      <c r="QLF434" s="1831"/>
      <c r="QLG434" s="1831"/>
      <c r="QLH434" s="1831"/>
      <c r="QLI434" s="1831"/>
      <c r="QLJ434" s="1831"/>
      <c r="QLK434" s="1831"/>
      <c r="QLL434" s="1831"/>
      <c r="QLM434" s="1831"/>
      <c r="QLN434" s="1831"/>
      <c r="QLO434" s="1831"/>
      <c r="QLP434" s="1831"/>
      <c r="QLQ434" s="1831"/>
      <c r="QLR434" s="1831"/>
      <c r="QLS434" s="1831"/>
      <c r="QLT434" s="1831"/>
      <c r="QLU434" s="1831"/>
      <c r="QLV434" s="1831"/>
      <c r="QLW434" s="1831"/>
      <c r="QLX434" s="1831"/>
      <c r="QLY434" s="1831"/>
      <c r="QLZ434" s="1831"/>
      <c r="QMA434" s="1831"/>
      <c r="QMB434" s="1831"/>
      <c r="QMC434" s="1831"/>
      <c r="QMD434" s="1831"/>
      <c r="QME434" s="1831"/>
      <c r="QMF434" s="1831"/>
      <c r="QMG434" s="1831"/>
      <c r="QMH434" s="1831"/>
      <c r="QMI434" s="1831"/>
      <c r="QMJ434" s="1831"/>
      <c r="QMK434" s="1831"/>
      <c r="QML434" s="1831"/>
      <c r="QMM434" s="1831"/>
      <c r="QMN434" s="1831"/>
      <c r="QMO434" s="1831"/>
      <c r="QMP434" s="1831"/>
      <c r="QMQ434" s="1831"/>
      <c r="QMR434" s="1831"/>
      <c r="QMS434" s="1831"/>
      <c r="QMT434" s="1831"/>
      <c r="QMU434" s="1831"/>
      <c r="QMV434" s="1831"/>
      <c r="QMW434" s="1831"/>
      <c r="QMX434" s="1831"/>
      <c r="QMY434" s="1831"/>
      <c r="QMZ434" s="1831"/>
      <c r="QNA434" s="1831"/>
      <c r="QNB434" s="1831"/>
      <c r="QNC434" s="1831"/>
      <c r="QND434" s="1831"/>
      <c r="QNE434" s="1831"/>
      <c r="QNF434" s="1831"/>
      <c r="QNG434" s="1831"/>
      <c r="QNH434" s="1831"/>
      <c r="QNI434" s="1831"/>
      <c r="QNJ434" s="1831"/>
      <c r="QNK434" s="1831"/>
      <c r="QNL434" s="1831"/>
      <c r="QNM434" s="1831"/>
      <c r="QNN434" s="1831"/>
      <c r="QNO434" s="1831"/>
      <c r="QNP434" s="1831"/>
      <c r="QNQ434" s="1831"/>
      <c r="QNR434" s="1831"/>
      <c r="QNS434" s="1831"/>
      <c r="QNT434" s="1831"/>
      <c r="QNU434" s="1831"/>
      <c r="QNV434" s="1831"/>
      <c r="QNW434" s="1831"/>
      <c r="QNX434" s="1831"/>
      <c r="QNY434" s="1831"/>
      <c r="QNZ434" s="1831"/>
      <c r="QOA434" s="1831"/>
      <c r="QOB434" s="1831"/>
      <c r="QOC434" s="1831"/>
      <c r="QOD434" s="1831"/>
      <c r="QOE434" s="1831"/>
      <c r="QOF434" s="1831"/>
      <c r="QOG434" s="1831"/>
      <c r="QOH434" s="1831"/>
      <c r="QOI434" s="1831"/>
      <c r="QOJ434" s="1831"/>
      <c r="QOK434" s="1831"/>
      <c r="QOL434" s="1831"/>
      <c r="QOM434" s="1831"/>
      <c r="QON434" s="1831"/>
      <c r="QOO434" s="1831"/>
      <c r="QOP434" s="1831"/>
      <c r="QOQ434" s="1831"/>
      <c r="QOR434" s="1831"/>
      <c r="QOS434" s="1831"/>
      <c r="QOT434" s="1831"/>
      <c r="QOU434" s="1831"/>
      <c r="QOV434" s="1831"/>
      <c r="QOW434" s="1831"/>
      <c r="QOX434" s="1831"/>
      <c r="QOY434" s="1831"/>
      <c r="QOZ434" s="1831"/>
      <c r="QPA434" s="1831"/>
      <c r="QPB434" s="1831"/>
      <c r="QPC434" s="1831"/>
      <c r="QPD434" s="1831"/>
      <c r="QPE434" s="1831"/>
      <c r="QPF434" s="1831"/>
      <c r="QPG434" s="1831"/>
      <c r="QPH434" s="1831"/>
      <c r="QPI434" s="1831"/>
      <c r="QPJ434" s="1831"/>
      <c r="QPK434" s="1831"/>
      <c r="QPL434" s="1831"/>
      <c r="QPM434" s="1831"/>
      <c r="QPN434" s="1831"/>
      <c r="QPO434" s="1831"/>
      <c r="QPP434" s="1831"/>
      <c r="QPQ434" s="1831"/>
      <c r="QPR434" s="1831"/>
      <c r="QPS434" s="1831"/>
      <c r="QPT434" s="1831"/>
      <c r="QPU434" s="1831"/>
      <c r="QPV434" s="1831"/>
      <c r="QPW434" s="1831"/>
      <c r="QPX434" s="1831"/>
      <c r="QPY434" s="1831"/>
      <c r="QPZ434" s="1831"/>
      <c r="QQA434" s="1831"/>
      <c r="QQB434" s="1831"/>
      <c r="QQC434" s="1831"/>
      <c r="QQD434" s="1831"/>
      <c r="QQE434" s="1831"/>
      <c r="QQF434" s="1831"/>
      <c r="QQG434" s="1831"/>
      <c r="QQH434" s="1831"/>
      <c r="QQI434" s="1831"/>
      <c r="QQJ434" s="1831"/>
      <c r="QQK434" s="1831"/>
      <c r="QQL434" s="1831"/>
      <c r="QQM434" s="1831"/>
      <c r="QQN434" s="1831"/>
      <c r="QQO434" s="1831"/>
      <c r="QQP434" s="1831"/>
      <c r="QQQ434" s="1831"/>
      <c r="QQR434" s="1831"/>
      <c r="QQS434" s="1831"/>
      <c r="QQT434" s="1831"/>
      <c r="QQU434" s="1831"/>
      <c r="QQV434" s="1831"/>
      <c r="QQW434" s="1831"/>
      <c r="QQX434" s="1831"/>
      <c r="QQY434" s="1831"/>
      <c r="QQZ434" s="1831"/>
      <c r="QRA434" s="1831"/>
      <c r="QRB434" s="1831"/>
      <c r="QRC434" s="1831"/>
      <c r="QRD434" s="1831"/>
      <c r="QRE434" s="1831"/>
      <c r="QRF434" s="1831"/>
      <c r="QRG434" s="1831"/>
      <c r="QRH434" s="1831"/>
      <c r="QRI434" s="1831"/>
      <c r="QRJ434" s="1831"/>
      <c r="QRK434" s="1831"/>
      <c r="QRL434" s="1831"/>
      <c r="QRM434" s="1831"/>
      <c r="QRN434" s="1831"/>
      <c r="QRO434" s="1831"/>
      <c r="QRP434" s="1831"/>
      <c r="QRQ434" s="1831"/>
      <c r="QRR434" s="1831"/>
      <c r="QRS434" s="1831"/>
      <c r="QRT434" s="1831"/>
      <c r="QRU434" s="1831"/>
      <c r="QRV434" s="1831"/>
      <c r="QRW434" s="1831"/>
      <c r="QRX434" s="1831"/>
      <c r="QRY434" s="1831"/>
      <c r="QRZ434" s="1831"/>
      <c r="QSA434" s="1831"/>
      <c r="QSB434" s="1831"/>
      <c r="QSC434" s="1831"/>
      <c r="QSD434" s="1831"/>
      <c r="QSE434" s="1831"/>
      <c r="QSF434" s="1831"/>
      <c r="QSG434" s="1831"/>
      <c r="QSH434" s="1831"/>
      <c r="QSI434" s="1831"/>
      <c r="QSJ434" s="1831"/>
      <c r="QSK434" s="1831"/>
      <c r="QSL434" s="1831"/>
      <c r="QSM434" s="1831"/>
      <c r="QSN434" s="1831"/>
      <c r="QSO434" s="1831"/>
      <c r="QSP434" s="1831"/>
      <c r="QSQ434" s="1831"/>
      <c r="QSR434" s="1831"/>
      <c r="QSS434" s="1831"/>
      <c r="QST434" s="1831"/>
      <c r="QSU434" s="1831"/>
      <c r="QSV434" s="1831"/>
      <c r="QSW434" s="1831"/>
      <c r="QSX434" s="1831"/>
      <c r="QSY434" s="1831"/>
      <c r="QSZ434" s="1831"/>
      <c r="QTA434" s="1831"/>
      <c r="QTB434" s="1831"/>
      <c r="QTC434" s="1831"/>
      <c r="QTD434" s="1831"/>
      <c r="QTE434" s="1831"/>
      <c r="QTF434" s="1831"/>
      <c r="QTG434" s="1831"/>
      <c r="QTH434" s="1831"/>
      <c r="QTI434" s="1831"/>
      <c r="QTJ434" s="1831"/>
      <c r="QTK434" s="1831"/>
      <c r="QTL434" s="1831"/>
      <c r="QTM434" s="1831"/>
      <c r="QTN434" s="1831"/>
      <c r="QTO434" s="1831"/>
      <c r="QTP434" s="1831"/>
      <c r="QTQ434" s="1831"/>
      <c r="QTR434" s="1831"/>
      <c r="QTS434" s="1831"/>
      <c r="QTT434" s="1831"/>
      <c r="QTU434" s="1831"/>
      <c r="QTV434" s="1831"/>
      <c r="QTW434" s="1831"/>
      <c r="QTX434" s="1831"/>
      <c r="QTY434" s="1831"/>
      <c r="QTZ434" s="1831"/>
      <c r="QUA434" s="1831"/>
      <c r="QUB434" s="1831"/>
      <c r="QUC434" s="1831"/>
      <c r="QUD434" s="1831"/>
      <c r="QUE434" s="1831"/>
      <c r="QUF434" s="1831"/>
      <c r="QUG434" s="1831"/>
      <c r="QUH434" s="1831"/>
      <c r="QUI434" s="1831"/>
      <c r="QUJ434" s="1831"/>
      <c r="QUK434" s="1831"/>
      <c r="QUL434" s="1831"/>
      <c r="QUM434" s="1831"/>
      <c r="QUN434" s="1831"/>
      <c r="QUO434" s="1831"/>
      <c r="QUP434" s="1831"/>
      <c r="QUQ434" s="1831"/>
      <c r="QUR434" s="1831"/>
      <c r="QUS434" s="1831"/>
      <c r="QUT434" s="1831"/>
      <c r="QUU434" s="1831"/>
      <c r="QUV434" s="1831"/>
      <c r="QUW434" s="1831"/>
      <c r="QUX434" s="1831"/>
      <c r="QUY434" s="1831"/>
      <c r="QUZ434" s="1831"/>
      <c r="QVA434" s="1831"/>
      <c r="QVB434" s="1831"/>
      <c r="QVC434" s="1831"/>
      <c r="QVD434" s="1831"/>
      <c r="QVE434" s="1831"/>
      <c r="QVF434" s="1831"/>
      <c r="QVG434" s="1831"/>
      <c r="QVH434" s="1831"/>
      <c r="QVI434" s="1831"/>
      <c r="QVJ434" s="1831"/>
      <c r="QVK434" s="1831"/>
      <c r="QVL434" s="1831"/>
      <c r="QVM434" s="1831"/>
      <c r="QVN434" s="1831"/>
      <c r="QVO434" s="1831"/>
      <c r="QVP434" s="1831"/>
      <c r="QVQ434" s="1831"/>
      <c r="QVR434" s="1831"/>
      <c r="QVS434" s="1831"/>
      <c r="QVT434" s="1831"/>
      <c r="QVU434" s="1831"/>
      <c r="QVV434" s="1831"/>
      <c r="QVW434" s="1831"/>
      <c r="QVX434" s="1831"/>
      <c r="QVY434" s="1831"/>
      <c r="QVZ434" s="1831"/>
      <c r="QWA434" s="1831"/>
      <c r="QWB434" s="1831"/>
      <c r="QWC434" s="1831"/>
      <c r="QWD434" s="1831"/>
      <c r="QWE434" s="1831"/>
      <c r="QWF434" s="1831"/>
      <c r="QWG434" s="1831"/>
      <c r="QWH434" s="1831"/>
      <c r="QWI434" s="1831"/>
      <c r="QWJ434" s="1831"/>
      <c r="QWK434" s="1831"/>
      <c r="QWL434" s="1831"/>
      <c r="QWM434" s="1831"/>
      <c r="QWN434" s="1831"/>
      <c r="QWO434" s="1831"/>
      <c r="QWP434" s="1831"/>
      <c r="QWQ434" s="1831"/>
      <c r="QWR434" s="1831"/>
      <c r="QWS434" s="1831"/>
      <c r="QWT434" s="1831"/>
      <c r="QWU434" s="1831"/>
      <c r="QWV434" s="1831"/>
      <c r="QWW434" s="1831"/>
      <c r="QWX434" s="1831"/>
      <c r="QWY434" s="1831"/>
      <c r="QWZ434" s="1831"/>
      <c r="QXA434" s="1831"/>
      <c r="QXB434" s="1831"/>
      <c r="QXC434" s="1831"/>
      <c r="QXD434" s="1831"/>
      <c r="QXE434" s="1831"/>
      <c r="QXF434" s="1831"/>
      <c r="QXG434" s="1831"/>
      <c r="QXH434" s="1831"/>
      <c r="QXI434" s="1831"/>
      <c r="QXJ434" s="1831"/>
      <c r="QXK434" s="1831"/>
      <c r="QXL434" s="1831"/>
      <c r="QXM434" s="1831"/>
      <c r="QXN434" s="1831"/>
      <c r="QXO434" s="1831"/>
      <c r="QXP434" s="1831"/>
      <c r="QXQ434" s="1831"/>
      <c r="QXR434" s="1831"/>
      <c r="QXS434" s="1831"/>
      <c r="QXT434" s="1831"/>
      <c r="QXU434" s="1831"/>
      <c r="QXV434" s="1831"/>
      <c r="QXW434" s="1831"/>
      <c r="QXX434" s="1831"/>
      <c r="QXY434" s="1831"/>
      <c r="QXZ434" s="1831"/>
      <c r="QYA434" s="1831"/>
      <c r="QYB434" s="1831"/>
      <c r="QYC434" s="1831"/>
      <c r="QYD434" s="1831"/>
      <c r="QYE434" s="1831"/>
      <c r="QYF434" s="1831"/>
      <c r="QYG434" s="1831"/>
      <c r="QYH434" s="1831"/>
      <c r="QYI434" s="1831"/>
      <c r="QYJ434" s="1831"/>
      <c r="QYK434" s="1831"/>
      <c r="QYL434" s="1831"/>
      <c r="QYM434" s="1831"/>
      <c r="QYN434" s="1831"/>
      <c r="QYO434" s="1831"/>
      <c r="QYP434" s="1831"/>
      <c r="QYQ434" s="1831"/>
      <c r="QYR434" s="1831"/>
      <c r="QYS434" s="1831"/>
      <c r="QYT434" s="1831"/>
      <c r="QYU434" s="1831"/>
      <c r="QYV434" s="1831"/>
      <c r="QYW434" s="1831"/>
      <c r="QYX434" s="1831"/>
      <c r="QYY434" s="1831"/>
      <c r="QYZ434" s="1831"/>
      <c r="QZA434" s="1831"/>
      <c r="QZB434" s="1831"/>
      <c r="QZC434" s="1831"/>
      <c r="QZD434" s="1831"/>
      <c r="QZE434" s="1831"/>
      <c r="QZF434" s="1831"/>
      <c r="QZG434" s="1831"/>
      <c r="QZH434" s="1831"/>
      <c r="QZI434" s="1831"/>
      <c r="QZJ434" s="1831"/>
      <c r="QZK434" s="1831"/>
      <c r="QZL434" s="1831"/>
      <c r="QZM434" s="1831"/>
      <c r="QZN434" s="1831"/>
      <c r="QZO434" s="1831"/>
      <c r="QZP434" s="1831"/>
      <c r="QZQ434" s="1831"/>
      <c r="QZR434" s="1831"/>
      <c r="QZS434" s="1831"/>
      <c r="QZT434" s="1831"/>
      <c r="QZU434" s="1831"/>
      <c r="QZV434" s="1831"/>
      <c r="QZW434" s="1831"/>
      <c r="QZX434" s="1831"/>
      <c r="QZY434" s="1831"/>
      <c r="QZZ434" s="1831"/>
      <c r="RAA434" s="1831"/>
      <c r="RAB434" s="1831"/>
      <c r="RAC434" s="1831"/>
      <c r="RAD434" s="1831"/>
      <c r="RAE434" s="1831"/>
      <c r="RAF434" s="1831"/>
      <c r="RAG434" s="1831"/>
      <c r="RAH434" s="1831"/>
      <c r="RAI434" s="1831"/>
      <c r="RAJ434" s="1831"/>
      <c r="RAK434" s="1831"/>
      <c r="RAL434" s="1831"/>
      <c r="RAM434" s="1831"/>
      <c r="RAN434" s="1831"/>
      <c r="RAO434" s="1831"/>
      <c r="RAP434" s="1831"/>
      <c r="RAQ434" s="1831"/>
      <c r="RAR434" s="1831"/>
      <c r="RAS434" s="1831"/>
      <c r="RAT434" s="1831"/>
      <c r="RAU434" s="1831"/>
      <c r="RAV434" s="1831"/>
      <c r="RAW434" s="1831"/>
      <c r="RAX434" s="1831"/>
      <c r="RAY434" s="1831"/>
      <c r="RAZ434" s="1831"/>
      <c r="RBA434" s="1831"/>
      <c r="RBB434" s="1831"/>
      <c r="RBC434" s="1831"/>
      <c r="RBD434" s="1831"/>
      <c r="RBE434" s="1831"/>
      <c r="RBF434" s="1831"/>
      <c r="RBG434" s="1831"/>
      <c r="RBH434" s="1831"/>
      <c r="RBI434" s="1831"/>
      <c r="RBJ434" s="1831"/>
      <c r="RBK434" s="1831"/>
      <c r="RBL434" s="1831"/>
      <c r="RBM434" s="1831"/>
      <c r="RBN434" s="1831"/>
      <c r="RBO434" s="1831"/>
      <c r="RBP434" s="1831"/>
      <c r="RBQ434" s="1831"/>
      <c r="RBR434" s="1831"/>
      <c r="RBS434" s="1831"/>
      <c r="RBT434" s="1831"/>
      <c r="RBU434" s="1831"/>
      <c r="RBV434" s="1831"/>
      <c r="RBW434" s="1831"/>
      <c r="RBX434" s="1831"/>
      <c r="RBY434" s="1831"/>
      <c r="RBZ434" s="1831"/>
      <c r="RCA434" s="1831"/>
      <c r="RCB434" s="1831"/>
      <c r="RCC434" s="1831"/>
      <c r="RCD434" s="1831"/>
      <c r="RCE434" s="1831"/>
      <c r="RCF434" s="1831"/>
      <c r="RCG434" s="1831"/>
      <c r="RCH434" s="1831"/>
      <c r="RCI434" s="1831"/>
      <c r="RCJ434" s="1831"/>
      <c r="RCK434" s="1831"/>
      <c r="RCL434" s="1831"/>
      <c r="RCM434" s="1831"/>
      <c r="RCN434" s="1831"/>
      <c r="RCO434" s="1831"/>
      <c r="RCP434" s="1831"/>
      <c r="RCQ434" s="1831"/>
      <c r="RCR434" s="1831"/>
      <c r="RCS434" s="1831"/>
      <c r="RCT434" s="1831"/>
      <c r="RCU434" s="1831"/>
      <c r="RCV434" s="1831"/>
      <c r="RCW434" s="1831"/>
      <c r="RCX434" s="1831"/>
      <c r="RCY434" s="1831"/>
      <c r="RCZ434" s="1831"/>
      <c r="RDA434" s="1831"/>
      <c r="RDB434" s="1831"/>
      <c r="RDC434" s="1831"/>
      <c r="RDD434" s="1831"/>
      <c r="RDE434" s="1831"/>
      <c r="RDF434" s="1831"/>
      <c r="RDG434" s="1831"/>
      <c r="RDH434" s="1831"/>
      <c r="RDI434" s="1831"/>
      <c r="RDJ434" s="1831"/>
      <c r="RDK434" s="1831"/>
      <c r="RDL434" s="1831"/>
      <c r="RDM434" s="1831"/>
      <c r="RDN434" s="1831"/>
      <c r="RDO434" s="1831"/>
      <c r="RDP434" s="1831"/>
      <c r="RDQ434" s="1831"/>
      <c r="RDR434" s="1831"/>
      <c r="RDS434" s="1831"/>
      <c r="RDT434" s="1831"/>
      <c r="RDU434" s="1831"/>
      <c r="RDV434" s="1831"/>
      <c r="RDW434" s="1831"/>
      <c r="RDX434" s="1831"/>
      <c r="RDY434" s="1831"/>
      <c r="RDZ434" s="1831"/>
      <c r="REA434" s="1831"/>
      <c r="REB434" s="1831"/>
      <c r="REC434" s="1831"/>
      <c r="RED434" s="1831"/>
      <c r="REE434" s="1831"/>
      <c r="REF434" s="1831"/>
      <c r="REG434" s="1831"/>
      <c r="REH434" s="1831"/>
      <c r="REI434" s="1831"/>
      <c r="REJ434" s="1831"/>
      <c r="REK434" s="1831"/>
      <c r="REL434" s="1831"/>
      <c r="REM434" s="1831"/>
      <c r="REN434" s="1831"/>
      <c r="REO434" s="1831"/>
      <c r="REP434" s="1831"/>
      <c r="REQ434" s="1831"/>
      <c r="RER434" s="1831"/>
      <c r="RES434" s="1831"/>
      <c r="RET434" s="1831"/>
      <c r="REU434" s="1831"/>
      <c r="REV434" s="1831"/>
      <c r="REW434" s="1831"/>
      <c r="REX434" s="1831"/>
      <c r="REY434" s="1831"/>
      <c r="REZ434" s="1831"/>
      <c r="RFA434" s="1831"/>
      <c r="RFB434" s="1831"/>
      <c r="RFC434" s="1831"/>
      <c r="RFD434" s="1831"/>
      <c r="RFE434" s="1831"/>
      <c r="RFF434" s="1831"/>
      <c r="RFG434" s="1831"/>
      <c r="RFH434" s="1831"/>
      <c r="RFI434" s="1831"/>
      <c r="RFJ434" s="1831"/>
      <c r="RFK434" s="1831"/>
      <c r="RFL434" s="1831"/>
      <c r="RFM434" s="1831"/>
      <c r="RFN434" s="1831"/>
      <c r="RFO434" s="1831"/>
      <c r="RFP434" s="1831"/>
      <c r="RFQ434" s="1831"/>
      <c r="RFR434" s="1831"/>
      <c r="RFS434" s="1831"/>
      <c r="RFT434" s="1831"/>
      <c r="RFU434" s="1831"/>
      <c r="RFV434" s="1831"/>
      <c r="RFW434" s="1831"/>
      <c r="RFX434" s="1831"/>
      <c r="RFY434" s="1831"/>
      <c r="RFZ434" s="1831"/>
      <c r="RGA434" s="1831"/>
      <c r="RGB434" s="1831"/>
      <c r="RGC434" s="1831"/>
      <c r="RGD434" s="1831"/>
      <c r="RGE434" s="1831"/>
      <c r="RGF434" s="1831"/>
      <c r="RGG434" s="1831"/>
      <c r="RGH434" s="1831"/>
      <c r="RGI434" s="1831"/>
      <c r="RGJ434" s="1831"/>
      <c r="RGK434" s="1831"/>
      <c r="RGL434" s="1831"/>
      <c r="RGM434" s="1831"/>
      <c r="RGN434" s="1831"/>
      <c r="RGO434" s="1831"/>
      <c r="RGP434" s="1831"/>
      <c r="RGQ434" s="1831"/>
      <c r="RGR434" s="1831"/>
      <c r="RGS434" s="1831"/>
      <c r="RGT434" s="1831"/>
      <c r="RGU434" s="1831"/>
      <c r="RGV434" s="1831"/>
      <c r="RGW434" s="1831"/>
      <c r="RGX434" s="1831"/>
      <c r="RGY434" s="1831"/>
      <c r="RGZ434" s="1831"/>
      <c r="RHA434" s="1831"/>
      <c r="RHB434" s="1831"/>
      <c r="RHC434" s="1831"/>
      <c r="RHD434" s="1831"/>
      <c r="RHE434" s="1831"/>
      <c r="RHF434" s="1831"/>
      <c r="RHG434" s="1831"/>
      <c r="RHH434" s="1831"/>
      <c r="RHI434" s="1831"/>
      <c r="RHJ434" s="1831"/>
      <c r="RHK434" s="1831"/>
      <c r="RHL434" s="1831"/>
      <c r="RHM434" s="1831"/>
      <c r="RHN434" s="1831"/>
      <c r="RHO434" s="1831"/>
      <c r="RHP434" s="1831"/>
      <c r="RHQ434" s="1831"/>
      <c r="RHR434" s="1831"/>
      <c r="RHS434" s="1831"/>
      <c r="RHT434" s="1831"/>
      <c r="RHU434" s="1831"/>
      <c r="RHV434" s="1831"/>
      <c r="RHW434" s="1831"/>
      <c r="RHX434" s="1831"/>
      <c r="RHY434" s="1831"/>
      <c r="RHZ434" s="1831"/>
      <c r="RIA434" s="1831"/>
      <c r="RIB434" s="1831"/>
      <c r="RIC434" s="1831"/>
      <c r="RID434" s="1831"/>
      <c r="RIE434" s="1831"/>
      <c r="RIF434" s="1831"/>
      <c r="RIG434" s="1831"/>
      <c r="RIH434" s="1831"/>
      <c r="RII434" s="1831"/>
      <c r="RIJ434" s="1831"/>
      <c r="RIK434" s="1831"/>
      <c r="RIL434" s="1831"/>
      <c r="RIM434" s="1831"/>
      <c r="RIN434" s="1831"/>
      <c r="RIO434" s="1831"/>
      <c r="RIP434" s="1831"/>
      <c r="RIQ434" s="1831"/>
      <c r="RIR434" s="1831"/>
      <c r="RIS434" s="1831"/>
      <c r="RIT434" s="1831"/>
      <c r="RIU434" s="1831"/>
      <c r="RIV434" s="1831"/>
      <c r="RIW434" s="1831"/>
      <c r="RIX434" s="1831"/>
      <c r="RIY434" s="1831"/>
      <c r="RIZ434" s="1831"/>
      <c r="RJA434" s="1831"/>
      <c r="RJB434" s="1831"/>
      <c r="RJC434" s="1831"/>
      <c r="RJD434" s="1831"/>
      <c r="RJE434" s="1831"/>
      <c r="RJF434" s="1831"/>
      <c r="RJG434" s="1831"/>
      <c r="RJH434" s="1831"/>
      <c r="RJI434" s="1831"/>
      <c r="RJJ434" s="1831"/>
      <c r="RJK434" s="1831"/>
      <c r="RJL434" s="1831"/>
      <c r="RJM434" s="1831"/>
      <c r="RJN434" s="1831"/>
      <c r="RJO434" s="1831"/>
      <c r="RJP434" s="1831"/>
      <c r="RJQ434" s="1831"/>
      <c r="RJR434" s="1831"/>
      <c r="RJS434" s="1831"/>
      <c r="RJT434" s="1831"/>
      <c r="RJU434" s="1831"/>
      <c r="RJV434" s="1831"/>
      <c r="RJW434" s="1831"/>
      <c r="RJX434" s="1831"/>
      <c r="RJY434" s="1831"/>
      <c r="RJZ434" s="1831"/>
      <c r="RKA434" s="1831"/>
      <c r="RKB434" s="1831"/>
      <c r="RKC434" s="1831"/>
      <c r="RKD434" s="1831"/>
      <c r="RKE434" s="1831"/>
      <c r="RKF434" s="1831"/>
      <c r="RKG434" s="1831"/>
      <c r="RKH434" s="1831"/>
      <c r="RKI434" s="1831"/>
      <c r="RKJ434" s="1831"/>
      <c r="RKK434" s="1831"/>
      <c r="RKL434" s="1831"/>
      <c r="RKM434" s="1831"/>
      <c r="RKN434" s="1831"/>
      <c r="RKO434" s="1831"/>
      <c r="RKP434" s="1831"/>
      <c r="RKQ434" s="1831"/>
      <c r="RKR434" s="1831"/>
      <c r="RKS434" s="1831"/>
      <c r="RKT434" s="1831"/>
      <c r="RKU434" s="1831"/>
      <c r="RKV434" s="1831"/>
      <c r="RKW434" s="1831"/>
      <c r="RKX434" s="1831"/>
      <c r="RKY434" s="1831"/>
      <c r="RKZ434" s="1831"/>
      <c r="RLA434" s="1831"/>
      <c r="RLB434" s="1831"/>
      <c r="RLC434" s="1831"/>
      <c r="RLD434" s="1831"/>
      <c r="RLE434" s="1831"/>
      <c r="RLF434" s="1831"/>
      <c r="RLG434" s="1831"/>
      <c r="RLH434" s="1831"/>
      <c r="RLI434" s="1831"/>
      <c r="RLJ434" s="1831"/>
      <c r="RLK434" s="1831"/>
      <c r="RLL434" s="1831"/>
      <c r="RLM434" s="1831"/>
      <c r="RLN434" s="1831"/>
      <c r="RLO434" s="1831"/>
      <c r="RLP434" s="1831"/>
      <c r="RLQ434" s="1831"/>
      <c r="RLR434" s="1831"/>
      <c r="RLS434" s="1831"/>
      <c r="RLT434" s="1831"/>
      <c r="RLU434" s="1831"/>
      <c r="RLV434" s="1831"/>
      <c r="RLW434" s="1831"/>
      <c r="RLX434" s="1831"/>
      <c r="RLY434" s="1831"/>
      <c r="RLZ434" s="1831"/>
      <c r="RMA434" s="1831"/>
      <c r="RMB434" s="1831"/>
      <c r="RMC434" s="1831"/>
      <c r="RMD434" s="1831"/>
      <c r="RME434" s="1831"/>
      <c r="RMF434" s="1831"/>
      <c r="RMG434" s="1831"/>
      <c r="RMH434" s="1831"/>
      <c r="RMI434" s="1831"/>
      <c r="RMJ434" s="1831"/>
      <c r="RMK434" s="1831"/>
      <c r="RML434" s="1831"/>
      <c r="RMM434" s="1831"/>
      <c r="RMN434" s="1831"/>
      <c r="RMO434" s="1831"/>
      <c r="RMP434" s="1831"/>
      <c r="RMQ434" s="1831"/>
      <c r="RMR434" s="1831"/>
      <c r="RMS434" s="1831"/>
      <c r="RMT434" s="1831"/>
      <c r="RMU434" s="1831"/>
      <c r="RMV434" s="1831"/>
      <c r="RMW434" s="1831"/>
      <c r="RMX434" s="1831"/>
      <c r="RMY434" s="1831"/>
      <c r="RMZ434" s="1831"/>
      <c r="RNA434" s="1831"/>
      <c r="RNB434" s="1831"/>
      <c r="RNC434" s="1831"/>
      <c r="RND434" s="1831"/>
      <c r="RNE434" s="1831"/>
      <c r="RNF434" s="1831"/>
      <c r="RNG434" s="1831"/>
      <c r="RNH434" s="1831"/>
      <c r="RNI434" s="1831"/>
      <c r="RNJ434" s="1831"/>
      <c r="RNK434" s="1831"/>
      <c r="RNL434" s="1831"/>
      <c r="RNM434" s="1831"/>
      <c r="RNN434" s="1831"/>
      <c r="RNO434" s="1831"/>
      <c r="RNP434" s="1831"/>
      <c r="RNQ434" s="1831"/>
      <c r="RNR434" s="1831"/>
      <c r="RNS434" s="1831"/>
      <c r="RNT434" s="1831"/>
      <c r="RNU434" s="1831"/>
      <c r="RNV434" s="1831"/>
      <c r="RNW434" s="1831"/>
      <c r="RNX434" s="1831"/>
      <c r="RNY434" s="1831"/>
      <c r="RNZ434" s="1831"/>
      <c r="ROA434" s="1831"/>
      <c r="ROB434" s="1831"/>
      <c r="ROC434" s="1831"/>
      <c r="ROD434" s="1831"/>
      <c r="ROE434" s="1831"/>
      <c r="ROF434" s="1831"/>
      <c r="ROG434" s="1831"/>
      <c r="ROH434" s="1831"/>
      <c r="ROI434" s="1831"/>
      <c r="ROJ434" s="1831"/>
      <c r="ROK434" s="1831"/>
      <c r="ROL434" s="1831"/>
      <c r="ROM434" s="1831"/>
      <c r="RON434" s="1831"/>
      <c r="ROO434" s="1831"/>
      <c r="ROP434" s="1831"/>
      <c r="ROQ434" s="1831"/>
      <c r="ROR434" s="1831"/>
      <c r="ROS434" s="1831"/>
      <c r="ROT434" s="1831"/>
      <c r="ROU434" s="1831"/>
      <c r="ROV434" s="1831"/>
      <c r="ROW434" s="1831"/>
      <c r="ROX434" s="1831"/>
      <c r="ROY434" s="1831"/>
      <c r="ROZ434" s="1831"/>
      <c r="RPA434" s="1831"/>
      <c r="RPB434" s="1831"/>
      <c r="RPC434" s="1831"/>
      <c r="RPD434" s="1831"/>
      <c r="RPE434" s="1831"/>
      <c r="RPF434" s="1831"/>
      <c r="RPG434" s="1831"/>
      <c r="RPH434" s="1831"/>
      <c r="RPI434" s="1831"/>
      <c r="RPJ434" s="1831"/>
      <c r="RPK434" s="1831"/>
      <c r="RPL434" s="1831"/>
      <c r="RPM434" s="1831"/>
      <c r="RPN434" s="1831"/>
      <c r="RPO434" s="1831"/>
      <c r="RPP434" s="1831"/>
      <c r="RPQ434" s="1831"/>
      <c r="RPR434" s="1831"/>
      <c r="RPS434" s="1831"/>
      <c r="RPT434" s="1831"/>
      <c r="RPU434" s="1831"/>
      <c r="RPV434" s="1831"/>
      <c r="RPW434" s="1831"/>
      <c r="RPX434" s="1831"/>
      <c r="RPY434" s="1831"/>
      <c r="RPZ434" s="1831"/>
      <c r="RQA434" s="1831"/>
      <c r="RQB434" s="1831"/>
      <c r="RQC434" s="1831"/>
      <c r="RQD434" s="1831"/>
      <c r="RQE434" s="1831"/>
      <c r="RQF434" s="1831"/>
      <c r="RQG434" s="1831"/>
      <c r="RQH434" s="1831"/>
      <c r="RQI434" s="1831"/>
      <c r="RQJ434" s="1831"/>
      <c r="RQK434" s="1831"/>
      <c r="RQL434" s="1831"/>
      <c r="RQM434" s="1831"/>
      <c r="RQN434" s="1831"/>
      <c r="RQO434" s="1831"/>
      <c r="RQP434" s="1831"/>
      <c r="RQQ434" s="1831"/>
      <c r="RQR434" s="1831"/>
      <c r="RQS434" s="1831"/>
      <c r="RQT434" s="1831"/>
      <c r="RQU434" s="1831"/>
      <c r="RQV434" s="1831"/>
      <c r="RQW434" s="1831"/>
      <c r="RQX434" s="1831"/>
      <c r="RQY434" s="1831"/>
      <c r="RQZ434" s="1831"/>
      <c r="RRA434" s="1831"/>
      <c r="RRB434" s="1831"/>
      <c r="RRC434" s="1831"/>
      <c r="RRD434" s="1831"/>
      <c r="RRE434" s="1831"/>
      <c r="RRF434" s="1831"/>
      <c r="RRG434" s="1831"/>
      <c r="RRH434" s="1831"/>
      <c r="RRI434" s="1831"/>
      <c r="RRJ434" s="1831"/>
      <c r="RRK434" s="1831"/>
      <c r="RRL434" s="1831"/>
      <c r="RRM434" s="1831"/>
      <c r="RRN434" s="1831"/>
      <c r="RRO434" s="1831"/>
      <c r="RRP434" s="1831"/>
      <c r="RRQ434" s="1831"/>
      <c r="RRR434" s="1831"/>
      <c r="RRS434" s="1831"/>
      <c r="RRT434" s="1831"/>
      <c r="RRU434" s="1831"/>
      <c r="RRV434" s="1831"/>
      <c r="RRW434" s="1831"/>
      <c r="RRX434" s="1831"/>
      <c r="RRY434" s="1831"/>
      <c r="RRZ434" s="1831"/>
      <c r="RSA434" s="1831"/>
      <c r="RSB434" s="1831"/>
      <c r="RSC434" s="1831"/>
      <c r="RSD434" s="1831"/>
      <c r="RSE434" s="1831"/>
      <c r="RSF434" s="1831"/>
      <c r="RSG434" s="1831"/>
      <c r="RSH434" s="1831"/>
      <c r="RSI434" s="1831"/>
      <c r="RSJ434" s="1831"/>
      <c r="RSK434" s="1831"/>
      <c r="RSL434" s="1831"/>
      <c r="RSM434" s="1831"/>
      <c r="RSN434" s="1831"/>
      <c r="RSO434" s="1831"/>
      <c r="RSP434" s="1831"/>
      <c r="RSQ434" s="1831"/>
      <c r="RSR434" s="1831"/>
      <c r="RSS434" s="1831"/>
      <c r="RST434" s="1831"/>
      <c r="RSU434" s="1831"/>
      <c r="RSV434" s="1831"/>
      <c r="RSW434" s="1831"/>
      <c r="RSX434" s="1831"/>
      <c r="RSY434" s="1831"/>
      <c r="RSZ434" s="1831"/>
      <c r="RTA434" s="1831"/>
      <c r="RTB434" s="1831"/>
      <c r="RTC434" s="1831"/>
      <c r="RTD434" s="1831"/>
      <c r="RTE434" s="1831"/>
      <c r="RTF434" s="1831"/>
      <c r="RTG434" s="1831"/>
      <c r="RTH434" s="1831"/>
      <c r="RTI434" s="1831"/>
      <c r="RTJ434" s="1831"/>
      <c r="RTK434" s="1831"/>
      <c r="RTL434" s="1831"/>
      <c r="RTM434" s="1831"/>
      <c r="RTN434" s="1831"/>
      <c r="RTO434" s="1831"/>
      <c r="RTP434" s="1831"/>
      <c r="RTQ434" s="1831"/>
      <c r="RTR434" s="1831"/>
      <c r="RTS434" s="1831"/>
      <c r="RTT434" s="1831"/>
      <c r="RTU434" s="1831"/>
      <c r="RTV434" s="1831"/>
      <c r="RTW434" s="1831"/>
      <c r="RTX434" s="1831"/>
      <c r="RTY434" s="1831"/>
      <c r="RTZ434" s="1831"/>
      <c r="RUA434" s="1831"/>
      <c r="RUB434" s="1831"/>
      <c r="RUC434" s="1831"/>
      <c r="RUD434" s="1831"/>
      <c r="RUE434" s="1831"/>
      <c r="RUF434" s="1831"/>
      <c r="RUG434" s="1831"/>
      <c r="RUH434" s="1831"/>
      <c r="RUI434" s="1831"/>
      <c r="RUJ434" s="1831"/>
      <c r="RUK434" s="1831"/>
      <c r="RUL434" s="1831"/>
      <c r="RUM434" s="1831"/>
      <c r="RUN434" s="1831"/>
      <c r="RUO434" s="1831"/>
      <c r="RUP434" s="1831"/>
      <c r="RUQ434" s="1831"/>
      <c r="RUR434" s="1831"/>
      <c r="RUS434" s="1831"/>
      <c r="RUT434" s="1831"/>
      <c r="RUU434" s="1831"/>
      <c r="RUV434" s="1831"/>
      <c r="RUW434" s="1831"/>
      <c r="RUX434" s="1831"/>
      <c r="RUY434" s="1831"/>
      <c r="RUZ434" s="1831"/>
      <c r="RVA434" s="1831"/>
      <c r="RVB434" s="1831"/>
      <c r="RVC434" s="1831"/>
      <c r="RVD434" s="1831"/>
      <c r="RVE434" s="1831"/>
      <c r="RVF434" s="1831"/>
      <c r="RVG434" s="1831"/>
      <c r="RVH434" s="1831"/>
      <c r="RVI434" s="1831"/>
      <c r="RVJ434" s="1831"/>
      <c r="RVK434" s="1831"/>
      <c r="RVL434" s="1831"/>
      <c r="RVM434" s="1831"/>
      <c r="RVN434" s="1831"/>
      <c r="RVO434" s="1831"/>
      <c r="RVP434" s="1831"/>
      <c r="RVQ434" s="1831"/>
      <c r="RVR434" s="1831"/>
      <c r="RVS434" s="1831"/>
      <c r="RVT434" s="1831"/>
      <c r="RVU434" s="1831"/>
      <c r="RVV434" s="1831"/>
      <c r="RVW434" s="1831"/>
      <c r="RVX434" s="1831"/>
      <c r="RVY434" s="1831"/>
      <c r="RVZ434" s="1831"/>
      <c r="RWA434" s="1831"/>
      <c r="RWB434" s="1831"/>
      <c r="RWC434" s="1831"/>
      <c r="RWD434" s="1831"/>
      <c r="RWE434" s="1831"/>
      <c r="RWF434" s="1831"/>
      <c r="RWG434" s="1831"/>
      <c r="RWH434" s="1831"/>
      <c r="RWI434" s="1831"/>
      <c r="RWJ434" s="1831"/>
      <c r="RWK434" s="1831"/>
      <c r="RWL434" s="1831"/>
      <c r="RWM434" s="1831"/>
      <c r="RWN434" s="1831"/>
      <c r="RWO434" s="1831"/>
      <c r="RWP434" s="1831"/>
      <c r="RWQ434" s="1831"/>
      <c r="RWR434" s="1831"/>
      <c r="RWS434" s="1831"/>
      <c r="RWT434" s="1831"/>
      <c r="RWU434" s="1831"/>
      <c r="RWV434" s="1831"/>
      <c r="RWW434" s="1831"/>
      <c r="RWX434" s="1831"/>
      <c r="RWY434" s="1831"/>
      <c r="RWZ434" s="1831"/>
      <c r="RXA434" s="1831"/>
      <c r="RXB434" s="1831"/>
      <c r="RXC434" s="1831"/>
      <c r="RXD434" s="1831"/>
      <c r="RXE434" s="1831"/>
      <c r="RXF434" s="1831"/>
      <c r="RXG434" s="1831"/>
      <c r="RXH434" s="1831"/>
      <c r="RXI434" s="1831"/>
      <c r="RXJ434" s="1831"/>
      <c r="RXK434" s="1831"/>
      <c r="RXL434" s="1831"/>
      <c r="RXM434" s="1831"/>
      <c r="RXN434" s="1831"/>
      <c r="RXO434" s="1831"/>
      <c r="RXP434" s="1831"/>
      <c r="RXQ434" s="1831"/>
      <c r="RXR434" s="1831"/>
      <c r="RXS434" s="1831"/>
      <c r="RXT434" s="1831"/>
      <c r="RXU434" s="1831"/>
      <c r="RXV434" s="1831"/>
      <c r="RXW434" s="1831"/>
      <c r="RXX434" s="1831"/>
      <c r="RXY434" s="1831"/>
      <c r="RXZ434" s="1831"/>
      <c r="RYA434" s="1831"/>
      <c r="RYB434" s="1831"/>
      <c r="RYC434" s="1831"/>
      <c r="RYD434" s="1831"/>
      <c r="RYE434" s="1831"/>
      <c r="RYF434" s="1831"/>
      <c r="RYG434" s="1831"/>
      <c r="RYH434" s="1831"/>
      <c r="RYI434" s="1831"/>
      <c r="RYJ434" s="1831"/>
      <c r="RYK434" s="1831"/>
      <c r="RYL434" s="1831"/>
      <c r="RYM434" s="1831"/>
      <c r="RYN434" s="1831"/>
      <c r="RYO434" s="1831"/>
      <c r="RYP434" s="1831"/>
      <c r="RYQ434" s="1831"/>
      <c r="RYR434" s="1831"/>
      <c r="RYS434" s="1831"/>
      <c r="RYT434" s="1831"/>
      <c r="RYU434" s="1831"/>
      <c r="RYV434" s="1831"/>
      <c r="RYW434" s="1831"/>
      <c r="RYX434" s="1831"/>
      <c r="RYY434" s="1831"/>
      <c r="RYZ434" s="1831"/>
      <c r="RZA434" s="1831"/>
      <c r="RZB434" s="1831"/>
      <c r="RZC434" s="1831"/>
      <c r="RZD434" s="1831"/>
      <c r="RZE434" s="1831"/>
      <c r="RZF434" s="1831"/>
      <c r="RZG434" s="1831"/>
      <c r="RZH434" s="1831"/>
      <c r="RZI434" s="1831"/>
      <c r="RZJ434" s="1831"/>
      <c r="RZK434" s="1831"/>
      <c r="RZL434" s="1831"/>
      <c r="RZM434" s="1831"/>
      <c r="RZN434" s="1831"/>
      <c r="RZO434" s="1831"/>
      <c r="RZP434" s="1831"/>
      <c r="RZQ434" s="1831"/>
      <c r="RZR434" s="1831"/>
      <c r="RZS434" s="1831"/>
      <c r="RZT434" s="1831"/>
      <c r="RZU434" s="1831"/>
      <c r="RZV434" s="1831"/>
      <c r="RZW434" s="1831"/>
      <c r="RZX434" s="1831"/>
      <c r="RZY434" s="1831"/>
      <c r="RZZ434" s="1831"/>
      <c r="SAA434" s="1831"/>
      <c r="SAB434" s="1831"/>
      <c r="SAC434" s="1831"/>
      <c r="SAD434" s="1831"/>
      <c r="SAE434" s="1831"/>
      <c r="SAF434" s="1831"/>
      <c r="SAG434" s="1831"/>
      <c r="SAH434" s="1831"/>
      <c r="SAI434" s="1831"/>
      <c r="SAJ434" s="1831"/>
      <c r="SAK434" s="1831"/>
      <c r="SAL434" s="1831"/>
      <c r="SAM434" s="1831"/>
      <c r="SAN434" s="1831"/>
      <c r="SAO434" s="1831"/>
      <c r="SAP434" s="1831"/>
      <c r="SAQ434" s="1831"/>
      <c r="SAR434" s="1831"/>
      <c r="SAS434" s="1831"/>
      <c r="SAT434" s="1831"/>
      <c r="SAU434" s="1831"/>
      <c r="SAV434" s="1831"/>
      <c r="SAW434" s="1831"/>
      <c r="SAX434" s="1831"/>
      <c r="SAY434" s="1831"/>
      <c r="SAZ434" s="1831"/>
      <c r="SBA434" s="1831"/>
      <c r="SBB434" s="1831"/>
      <c r="SBC434" s="1831"/>
      <c r="SBD434" s="1831"/>
      <c r="SBE434" s="1831"/>
      <c r="SBF434" s="1831"/>
      <c r="SBG434" s="1831"/>
      <c r="SBH434" s="1831"/>
      <c r="SBI434" s="1831"/>
      <c r="SBJ434" s="1831"/>
      <c r="SBK434" s="1831"/>
      <c r="SBL434" s="1831"/>
      <c r="SBM434" s="1831"/>
      <c r="SBN434" s="1831"/>
      <c r="SBO434" s="1831"/>
      <c r="SBP434" s="1831"/>
      <c r="SBQ434" s="1831"/>
      <c r="SBR434" s="1831"/>
      <c r="SBS434" s="1831"/>
      <c r="SBT434" s="1831"/>
      <c r="SBU434" s="1831"/>
      <c r="SBV434" s="1831"/>
      <c r="SBW434" s="1831"/>
      <c r="SBX434" s="1831"/>
      <c r="SBY434" s="1831"/>
      <c r="SBZ434" s="1831"/>
      <c r="SCA434" s="1831"/>
      <c r="SCB434" s="1831"/>
      <c r="SCC434" s="1831"/>
      <c r="SCD434" s="1831"/>
      <c r="SCE434" s="1831"/>
      <c r="SCF434" s="1831"/>
      <c r="SCG434" s="1831"/>
      <c r="SCH434" s="1831"/>
      <c r="SCI434" s="1831"/>
      <c r="SCJ434" s="1831"/>
      <c r="SCK434" s="1831"/>
      <c r="SCL434" s="1831"/>
      <c r="SCM434" s="1831"/>
      <c r="SCN434" s="1831"/>
      <c r="SCO434" s="1831"/>
      <c r="SCP434" s="1831"/>
      <c r="SCQ434" s="1831"/>
      <c r="SCR434" s="1831"/>
      <c r="SCS434" s="1831"/>
      <c r="SCT434" s="1831"/>
      <c r="SCU434" s="1831"/>
      <c r="SCV434" s="1831"/>
      <c r="SCW434" s="1831"/>
      <c r="SCX434" s="1831"/>
      <c r="SCY434" s="1831"/>
      <c r="SCZ434" s="1831"/>
      <c r="SDA434" s="1831"/>
      <c r="SDB434" s="1831"/>
      <c r="SDC434" s="1831"/>
      <c r="SDD434" s="1831"/>
      <c r="SDE434" s="1831"/>
      <c r="SDF434" s="1831"/>
      <c r="SDG434" s="1831"/>
      <c r="SDH434" s="1831"/>
      <c r="SDI434" s="1831"/>
      <c r="SDJ434" s="1831"/>
      <c r="SDK434" s="1831"/>
      <c r="SDL434" s="1831"/>
      <c r="SDM434" s="1831"/>
      <c r="SDN434" s="1831"/>
      <c r="SDO434" s="1831"/>
      <c r="SDP434" s="1831"/>
      <c r="SDQ434" s="1831"/>
      <c r="SDR434" s="1831"/>
      <c r="SDS434" s="1831"/>
      <c r="SDT434" s="1831"/>
      <c r="SDU434" s="1831"/>
      <c r="SDV434" s="1831"/>
      <c r="SDW434" s="1831"/>
      <c r="SDX434" s="1831"/>
      <c r="SDY434" s="1831"/>
      <c r="SDZ434" s="1831"/>
      <c r="SEA434" s="1831"/>
      <c r="SEB434" s="1831"/>
      <c r="SEC434" s="1831"/>
      <c r="SED434" s="1831"/>
      <c r="SEE434" s="1831"/>
      <c r="SEF434" s="1831"/>
      <c r="SEG434" s="1831"/>
      <c r="SEH434" s="1831"/>
      <c r="SEI434" s="1831"/>
      <c r="SEJ434" s="1831"/>
      <c r="SEK434" s="1831"/>
      <c r="SEL434" s="1831"/>
      <c r="SEM434" s="1831"/>
      <c r="SEN434" s="1831"/>
      <c r="SEO434" s="1831"/>
      <c r="SEP434" s="1831"/>
      <c r="SEQ434" s="1831"/>
      <c r="SER434" s="1831"/>
      <c r="SES434" s="1831"/>
      <c r="SET434" s="1831"/>
      <c r="SEU434" s="1831"/>
      <c r="SEV434" s="1831"/>
      <c r="SEW434" s="1831"/>
      <c r="SEX434" s="1831"/>
      <c r="SEY434" s="1831"/>
      <c r="SEZ434" s="1831"/>
      <c r="SFA434" s="1831"/>
      <c r="SFB434" s="1831"/>
      <c r="SFC434" s="1831"/>
      <c r="SFD434" s="1831"/>
      <c r="SFE434" s="1831"/>
      <c r="SFF434" s="1831"/>
      <c r="SFG434" s="1831"/>
      <c r="SFH434" s="1831"/>
      <c r="SFI434" s="1831"/>
      <c r="SFJ434" s="1831"/>
      <c r="SFK434" s="1831"/>
      <c r="SFL434" s="1831"/>
      <c r="SFM434" s="1831"/>
      <c r="SFN434" s="1831"/>
      <c r="SFO434" s="1831"/>
      <c r="SFP434" s="1831"/>
      <c r="SFQ434" s="1831"/>
      <c r="SFR434" s="1831"/>
      <c r="SFS434" s="1831"/>
      <c r="SFT434" s="1831"/>
      <c r="SFU434" s="1831"/>
      <c r="SFV434" s="1831"/>
      <c r="SFW434" s="1831"/>
      <c r="SFX434" s="1831"/>
      <c r="SFY434" s="1831"/>
      <c r="SFZ434" s="1831"/>
      <c r="SGA434" s="1831"/>
      <c r="SGB434" s="1831"/>
      <c r="SGC434" s="1831"/>
      <c r="SGD434" s="1831"/>
      <c r="SGE434" s="1831"/>
      <c r="SGF434" s="1831"/>
      <c r="SGG434" s="1831"/>
      <c r="SGH434" s="1831"/>
      <c r="SGI434" s="1831"/>
      <c r="SGJ434" s="1831"/>
      <c r="SGK434" s="1831"/>
      <c r="SGL434" s="1831"/>
      <c r="SGM434" s="1831"/>
      <c r="SGN434" s="1831"/>
      <c r="SGO434" s="1831"/>
      <c r="SGP434" s="1831"/>
      <c r="SGQ434" s="1831"/>
      <c r="SGR434" s="1831"/>
      <c r="SGS434" s="1831"/>
      <c r="SGT434" s="1831"/>
      <c r="SGU434" s="1831"/>
      <c r="SGV434" s="1831"/>
      <c r="SGW434" s="1831"/>
      <c r="SGX434" s="1831"/>
      <c r="SGY434" s="1831"/>
      <c r="SGZ434" s="1831"/>
      <c r="SHA434" s="1831"/>
      <c r="SHB434" s="1831"/>
      <c r="SHC434" s="1831"/>
      <c r="SHD434" s="1831"/>
      <c r="SHE434" s="1831"/>
      <c r="SHF434" s="1831"/>
      <c r="SHG434" s="1831"/>
      <c r="SHH434" s="1831"/>
      <c r="SHI434" s="1831"/>
      <c r="SHJ434" s="1831"/>
      <c r="SHK434" s="1831"/>
      <c r="SHL434" s="1831"/>
      <c r="SHM434" s="1831"/>
      <c r="SHN434" s="1831"/>
      <c r="SHO434" s="1831"/>
      <c r="SHP434" s="1831"/>
      <c r="SHQ434" s="1831"/>
      <c r="SHR434" s="1831"/>
      <c r="SHS434" s="1831"/>
      <c r="SHT434" s="1831"/>
      <c r="SHU434" s="1831"/>
      <c r="SHV434" s="1831"/>
      <c r="SHW434" s="1831"/>
      <c r="SHX434" s="1831"/>
      <c r="SHY434" s="1831"/>
      <c r="SHZ434" s="1831"/>
      <c r="SIA434" s="1831"/>
      <c r="SIB434" s="1831"/>
      <c r="SIC434" s="1831"/>
      <c r="SID434" s="1831"/>
      <c r="SIE434" s="1831"/>
      <c r="SIF434" s="1831"/>
      <c r="SIG434" s="1831"/>
      <c r="SIH434" s="1831"/>
      <c r="SII434" s="1831"/>
      <c r="SIJ434" s="1831"/>
      <c r="SIK434" s="1831"/>
      <c r="SIL434" s="1831"/>
      <c r="SIM434" s="1831"/>
      <c r="SIN434" s="1831"/>
      <c r="SIO434" s="1831"/>
      <c r="SIP434" s="1831"/>
      <c r="SIQ434" s="1831"/>
      <c r="SIR434" s="1831"/>
      <c r="SIS434" s="1831"/>
      <c r="SIT434" s="1831"/>
      <c r="SIU434" s="1831"/>
      <c r="SIV434" s="1831"/>
      <c r="SIW434" s="1831"/>
      <c r="SIX434" s="1831"/>
      <c r="SIY434" s="1831"/>
      <c r="SIZ434" s="1831"/>
      <c r="SJA434" s="1831"/>
      <c r="SJB434" s="1831"/>
      <c r="SJC434" s="1831"/>
      <c r="SJD434" s="1831"/>
      <c r="SJE434" s="1831"/>
      <c r="SJF434" s="1831"/>
      <c r="SJG434" s="1831"/>
      <c r="SJH434" s="1831"/>
      <c r="SJI434" s="1831"/>
      <c r="SJJ434" s="1831"/>
      <c r="SJK434" s="1831"/>
      <c r="SJL434" s="1831"/>
      <c r="SJM434" s="1831"/>
      <c r="SJN434" s="1831"/>
      <c r="SJO434" s="1831"/>
      <c r="SJP434" s="1831"/>
      <c r="SJQ434" s="1831"/>
      <c r="SJR434" s="1831"/>
      <c r="SJS434" s="1831"/>
      <c r="SJT434" s="1831"/>
      <c r="SJU434" s="1831"/>
      <c r="SJV434" s="1831"/>
      <c r="SJW434" s="1831"/>
      <c r="SJX434" s="1831"/>
      <c r="SJY434" s="1831"/>
      <c r="SJZ434" s="1831"/>
      <c r="SKA434" s="1831"/>
      <c r="SKB434" s="1831"/>
      <c r="SKC434" s="1831"/>
      <c r="SKD434" s="1831"/>
      <c r="SKE434" s="1831"/>
      <c r="SKF434" s="1831"/>
      <c r="SKG434" s="1831"/>
      <c r="SKH434" s="1831"/>
      <c r="SKI434" s="1831"/>
      <c r="SKJ434" s="1831"/>
      <c r="SKK434" s="1831"/>
      <c r="SKL434" s="1831"/>
      <c r="SKM434" s="1831"/>
      <c r="SKN434" s="1831"/>
      <c r="SKO434" s="1831"/>
      <c r="SKP434" s="1831"/>
      <c r="SKQ434" s="1831"/>
      <c r="SKR434" s="1831"/>
      <c r="SKS434" s="1831"/>
      <c r="SKT434" s="1831"/>
      <c r="SKU434" s="1831"/>
      <c r="SKV434" s="1831"/>
      <c r="SKW434" s="1831"/>
      <c r="SKX434" s="1831"/>
      <c r="SKY434" s="1831"/>
      <c r="SKZ434" s="1831"/>
      <c r="SLA434" s="1831"/>
      <c r="SLB434" s="1831"/>
      <c r="SLC434" s="1831"/>
      <c r="SLD434" s="1831"/>
      <c r="SLE434" s="1831"/>
      <c r="SLF434" s="1831"/>
      <c r="SLG434" s="1831"/>
      <c r="SLH434" s="1831"/>
      <c r="SLI434" s="1831"/>
      <c r="SLJ434" s="1831"/>
      <c r="SLK434" s="1831"/>
      <c r="SLL434" s="1831"/>
      <c r="SLM434" s="1831"/>
      <c r="SLN434" s="1831"/>
      <c r="SLO434" s="1831"/>
      <c r="SLP434" s="1831"/>
      <c r="SLQ434" s="1831"/>
      <c r="SLR434" s="1831"/>
      <c r="SLS434" s="1831"/>
      <c r="SLT434" s="1831"/>
      <c r="SLU434" s="1831"/>
      <c r="SLV434" s="1831"/>
      <c r="SLW434" s="1831"/>
      <c r="SLX434" s="1831"/>
      <c r="SLY434" s="1831"/>
      <c r="SLZ434" s="1831"/>
      <c r="SMA434" s="1831"/>
      <c r="SMB434" s="1831"/>
      <c r="SMC434" s="1831"/>
      <c r="SMD434" s="1831"/>
      <c r="SME434" s="1831"/>
      <c r="SMF434" s="1831"/>
      <c r="SMG434" s="1831"/>
      <c r="SMH434" s="1831"/>
      <c r="SMI434" s="1831"/>
      <c r="SMJ434" s="1831"/>
      <c r="SMK434" s="1831"/>
      <c r="SML434" s="1831"/>
      <c r="SMM434" s="1831"/>
      <c r="SMN434" s="1831"/>
      <c r="SMO434" s="1831"/>
      <c r="SMP434" s="1831"/>
      <c r="SMQ434" s="1831"/>
      <c r="SMR434" s="1831"/>
      <c r="SMS434" s="1831"/>
      <c r="SMT434" s="1831"/>
      <c r="SMU434" s="1831"/>
      <c r="SMV434" s="1831"/>
      <c r="SMW434" s="1831"/>
      <c r="SMX434" s="1831"/>
      <c r="SMY434" s="1831"/>
      <c r="SMZ434" s="1831"/>
      <c r="SNA434" s="1831"/>
      <c r="SNB434" s="1831"/>
      <c r="SNC434" s="1831"/>
      <c r="SND434" s="1831"/>
      <c r="SNE434" s="1831"/>
      <c r="SNF434" s="1831"/>
      <c r="SNG434" s="1831"/>
      <c r="SNH434" s="1831"/>
      <c r="SNI434" s="1831"/>
      <c r="SNJ434" s="1831"/>
      <c r="SNK434" s="1831"/>
      <c r="SNL434" s="1831"/>
      <c r="SNM434" s="1831"/>
      <c r="SNN434" s="1831"/>
      <c r="SNO434" s="1831"/>
      <c r="SNP434" s="1831"/>
      <c r="SNQ434" s="1831"/>
      <c r="SNR434" s="1831"/>
      <c r="SNS434" s="1831"/>
      <c r="SNT434" s="1831"/>
      <c r="SNU434" s="1831"/>
      <c r="SNV434" s="1831"/>
      <c r="SNW434" s="1831"/>
      <c r="SNX434" s="1831"/>
      <c r="SNY434" s="1831"/>
      <c r="SNZ434" s="1831"/>
      <c r="SOA434" s="1831"/>
      <c r="SOB434" s="1831"/>
      <c r="SOC434" s="1831"/>
      <c r="SOD434" s="1831"/>
      <c r="SOE434" s="1831"/>
      <c r="SOF434" s="1831"/>
      <c r="SOG434" s="1831"/>
      <c r="SOH434" s="1831"/>
      <c r="SOI434" s="1831"/>
      <c r="SOJ434" s="1831"/>
      <c r="SOK434" s="1831"/>
      <c r="SOL434" s="1831"/>
      <c r="SOM434" s="1831"/>
      <c r="SON434" s="1831"/>
      <c r="SOO434" s="1831"/>
      <c r="SOP434" s="1831"/>
      <c r="SOQ434" s="1831"/>
      <c r="SOR434" s="1831"/>
      <c r="SOS434" s="1831"/>
      <c r="SOT434" s="1831"/>
      <c r="SOU434" s="1831"/>
      <c r="SOV434" s="1831"/>
      <c r="SOW434" s="1831"/>
      <c r="SOX434" s="1831"/>
      <c r="SOY434" s="1831"/>
      <c r="SOZ434" s="1831"/>
      <c r="SPA434" s="1831"/>
      <c r="SPB434" s="1831"/>
      <c r="SPC434" s="1831"/>
      <c r="SPD434" s="1831"/>
      <c r="SPE434" s="1831"/>
      <c r="SPF434" s="1831"/>
      <c r="SPG434" s="1831"/>
      <c r="SPH434" s="1831"/>
      <c r="SPI434" s="1831"/>
      <c r="SPJ434" s="1831"/>
      <c r="SPK434" s="1831"/>
      <c r="SPL434" s="1831"/>
      <c r="SPM434" s="1831"/>
      <c r="SPN434" s="1831"/>
      <c r="SPO434" s="1831"/>
      <c r="SPP434" s="1831"/>
      <c r="SPQ434" s="1831"/>
      <c r="SPR434" s="1831"/>
      <c r="SPS434" s="1831"/>
      <c r="SPT434" s="1831"/>
      <c r="SPU434" s="1831"/>
      <c r="SPV434" s="1831"/>
      <c r="SPW434" s="1831"/>
      <c r="SPX434" s="1831"/>
      <c r="SPY434" s="1831"/>
      <c r="SPZ434" s="1831"/>
      <c r="SQA434" s="1831"/>
      <c r="SQB434" s="1831"/>
      <c r="SQC434" s="1831"/>
      <c r="SQD434" s="1831"/>
      <c r="SQE434" s="1831"/>
      <c r="SQF434" s="1831"/>
      <c r="SQG434" s="1831"/>
      <c r="SQH434" s="1831"/>
      <c r="SQI434" s="1831"/>
      <c r="SQJ434" s="1831"/>
      <c r="SQK434" s="1831"/>
      <c r="SQL434" s="1831"/>
      <c r="SQM434" s="1831"/>
      <c r="SQN434" s="1831"/>
      <c r="SQO434" s="1831"/>
      <c r="SQP434" s="1831"/>
      <c r="SQQ434" s="1831"/>
      <c r="SQR434" s="1831"/>
      <c r="SQS434" s="1831"/>
      <c r="SQT434" s="1831"/>
      <c r="SQU434" s="1831"/>
      <c r="SQV434" s="1831"/>
      <c r="SQW434" s="1831"/>
      <c r="SQX434" s="1831"/>
      <c r="SQY434" s="1831"/>
      <c r="SQZ434" s="1831"/>
      <c r="SRA434" s="1831"/>
      <c r="SRB434" s="1831"/>
      <c r="SRC434" s="1831"/>
      <c r="SRD434" s="1831"/>
      <c r="SRE434" s="1831"/>
      <c r="SRF434" s="1831"/>
      <c r="SRG434" s="1831"/>
      <c r="SRH434" s="1831"/>
      <c r="SRI434" s="1831"/>
      <c r="SRJ434" s="1831"/>
      <c r="SRK434" s="1831"/>
      <c r="SRL434" s="1831"/>
      <c r="SRM434" s="1831"/>
      <c r="SRN434" s="1831"/>
      <c r="SRO434" s="1831"/>
      <c r="SRP434" s="1831"/>
      <c r="SRQ434" s="1831"/>
      <c r="SRR434" s="1831"/>
      <c r="SRS434" s="1831"/>
      <c r="SRT434" s="1831"/>
      <c r="SRU434" s="1831"/>
      <c r="SRV434" s="1831"/>
      <c r="SRW434" s="1831"/>
      <c r="SRX434" s="1831"/>
      <c r="SRY434" s="1831"/>
      <c r="SRZ434" s="1831"/>
      <c r="SSA434" s="1831"/>
      <c r="SSB434" s="1831"/>
      <c r="SSC434" s="1831"/>
      <c r="SSD434" s="1831"/>
      <c r="SSE434" s="1831"/>
      <c r="SSF434" s="1831"/>
      <c r="SSG434" s="1831"/>
      <c r="SSH434" s="1831"/>
      <c r="SSI434" s="1831"/>
      <c r="SSJ434" s="1831"/>
      <c r="SSK434" s="1831"/>
      <c r="SSL434" s="1831"/>
      <c r="SSM434" s="1831"/>
      <c r="SSN434" s="1831"/>
      <c r="SSO434" s="1831"/>
      <c r="SSP434" s="1831"/>
      <c r="SSQ434" s="1831"/>
      <c r="SSR434" s="1831"/>
      <c r="SSS434" s="1831"/>
      <c r="SST434" s="1831"/>
      <c r="SSU434" s="1831"/>
      <c r="SSV434" s="1831"/>
      <c r="SSW434" s="1831"/>
      <c r="SSX434" s="1831"/>
      <c r="SSY434" s="1831"/>
      <c r="SSZ434" s="1831"/>
      <c r="STA434" s="1831"/>
      <c r="STB434" s="1831"/>
      <c r="STC434" s="1831"/>
      <c r="STD434" s="1831"/>
      <c r="STE434" s="1831"/>
      <c r="STF434" s="1831"/>
      <c r="STG434" s="1831"/>
      <c r="STH434" s="1831"/>
      <c r="STI434" s="1831"/>
      <c r="STJ434" s="1831"/>
      <c r="STK434" s="1831"/>
      <c r="STL434" s="1831"/>
      <c r="STM434" s="1831"/>
      <c r="STN434" s="1831"/>
      <c r="STO434" s="1831"/>
      <c r="STP434" s="1831"/>
      <c r="STQ434" s="1831"/>
      <c r="STR434" s="1831"/>
      <c r="STS434" s="1831"/>
      <c r="STT434" s="1831"/>
      <c r="STU434" s="1831"/>
      <c r="STV434" s="1831"/>
      <c r="STW434" s="1831"/>
      <c r="STX434" s="1831"/>
      <c r="STY434" s="1831"/>
      <c r="STZ434" s="1831"/>
      <c r="SUA434" s="1831"/>
      <c r="SUB434" s="1831"/>
      <c r="SUC434" s="1831"/>
      <c r="SUD434" s="1831"/>
      <c r="SUE434" s="1831"/>
      <c r="SUF434" s="1831"/>
      <c r="SUG434" s="1831"/>
      <c r="SUH434" s="1831"/>
      <c r="SUI434" s="1831"/>
      <c r="SUJ434" s="1831"/>
      <c r="SUK434" s="1831"/>
      <c r="SUL434" s="1831"/>
      <c r="SUM434" s="1831"/>
      <c r="SUN434" s="1831"/>
      <c r="SUO434" s="1831"/>
      <c r="SUP434" s="1831"/>
      <c r="SUQ434" s="1831"/>
      <c r="SUR434" s="1831"/>
      <c r="SUS434" s="1831"/>
      <c r="SUT434" s="1831"/>
      <c r="SUU434" s="1831"/>
      <c r="SUV434" s="1831"/>
      <c r="SUW434" s="1831"/>
      <c r="SUX434" s="1831"/>
      <c r="SUY434" s="1831"/>
      <c r="SUZ434" s="1831"/>
      <c r="SVA434" s="1831"/>
      <c r="SVB434" s="1831"/>
      <c r="SVC434" s="1831"/>
      <c r="SVD434" s="1831"/>
      <c r="SVE434" s="1831"/>
      <c r="SVF434" s="1831"/>
      <c r="SVG434" s="1831"/>
      <c r="SVH434" s="1831"/>
      <c r="SVI434" s="1831"/>
      <c r="SVJ434" s="1831"/>
      <c r="SVK434" s="1831"/>
      <c r="SVL434" s="1831"/>
      <c r="SVM434" s="1831"/>
      <c r="SVN434" s="1831"/>
      <c r="SVO434" s="1831"/>
      <c r="SVP434" s="1831"/>
      <c r="SVQ434" s="1831"/>
      <c r="SVR434" s="1831"/>
      <c r="SVS434" s="1831"/>
      <c r="SVT434" s="1831"/>
      <c r="SVU434" s="1831"/>
      <c r="SVV434" s="1831"/>
      <c r="SVW434" s="1831"/>
      <c r="SVX434" s="1831"/>
      <c r="SVY434" s="1831"/>
      <c r="SVZ434" s="1831"/>
      <c r="SWA434" s="1831"/>
      <c r="SWB434" s="1831"/>
      <c r="SWC434" s="1831"/>
      <c r="SWD434" s="1831"/>
      <c r="SWE434" s="1831"/>
      <c r="SWF434" s="1831"/>
      <c r="SWG434" s="1831"/>
      <c r="SWH434" s="1831"/>
      <c r="SWI434" s="1831"/>
      <c r="SWJ434" s="1831"/>
      <c r="SWK434" s="1831"/>
      <c r="SWL434" s="1831"/>
      <c r="SWM434" s="1831"/>
      <c r="SWN434" s="1831"/>
      <c r="SWO434" s="1831"/>
      <c r="SWP434" s="1831"/>
      <c r="SWQ434" s="1831"/>
      <c r="SWR434" s="1831"/>
      <c r="SWS434" s="1831"/>
      <c r="SWT434" s="1831"/>
      <c r="SWU434" s="1831"/>
      <c r="SWV434" s="1831"/>
      <c r="SWW434" s="1831"/>
      <c r="SWX434" s="1831"/>
      <c r="SWY434" s="1831"/>
      <c r="SWZ434" s="1831"/>
      <c r="SXA434" s="1831"/>
      <c r="SXB434" s="1831"/>
      <c r="SXC434" s="1831"/>
      <c r="SXD434" s="1831"/>
      <c r="SXE434" s="1831"/>
      <c r="SXF434" s="1831"/>
      <c r="SXG434" s="1831"/>
      <c r="SXH434" s="1831"/>
      <c r="SXI434" s="1831"/>
      <c r="SXJ434" s="1831"/>
      <c r="SXK434" s="1831"/>
      <c r="SXL434" s="1831"/>
      <c r="SXM434" s="1831"/>
      <c r="SXN434" s="1831"/>
      <c r="SXO434" s="1831"/>
      <c r="SXP434" s="1831"/>
      <c r="SXQ434" s="1831"/>
      <c r="SXR434" s="1831"/>
      <c r="SXS434" s="1831"/>
      <c r="SXT434" s="1831"/>
      <c r="SXU434" s="1831"/>
      <c r="SXV434" s="1831"/>
      <c r="SXW434" s="1831"/>
      <c r="SXX434" s="1831"/>
      <c r="SXY434" s="1831"/>
      <c r="SXZ434" s="1831"/>
      <c r="SYA434" s="1831"/>
      <c r="SYB434" s="1831"/>
      <c r="SYC434" s="1831"/>
      <c r="SYD434" s="1831"/>
      <c r="SYE434" s="1831"/>
      <c r="SYF434" s="1831"/>
      <c r="SYG434" s="1831"/>
      <c r="SYH434" s="1831"/>
      <c r="SYI434" s="1831"/>
      <c r="SYJ434" s="1831"/>
      <c r="SYK434" s="1831"/>
      <c r="SYL434" s="1831"/>
      <c r="SYM434" s="1831"/>
      <c r="SYN434" s="1831"/>
      <c r="SYO434" s="1831"/>
      <c r="SYP434" s="1831"/>
      <c r="SYQ434" s="1831"/>
      <c r="SYR434" s="1831"/>
      <c r="SYS434" s="1831"/>
      <c r="SYT434" s="1831"/>
      <c r="SYU434" s="1831"/>
      <c r="SYV434" s="1831"/>
      <c r="SYW434" s="1831"/>
      <c r="SYX434" s="1831"/>
      <c r="SYY434" s="1831"/>
      <c r="SYZ434" s="1831"/>
      <c r="SZA434" s="1831"/>
      <c r="SZB434" s="1831"/>
      <c r="SZC434" s="1831"/>
      <c r="SZD434" s="1831"/>
      <c r="SZE434" s="1831"/>
      <c r="SZF434" s="1831"/>
      <c r="SZG434" s="1831"/>
      <c r="SZH434" s="1831"/>
      <c r="SZI434" s="1831"/>
      <c r="SZJ434" s="1831"/>
      <c r="SZK434" s="1831"/>
      <c r="SZL434" s="1831"/>
      <c r="SZM434" s="1831"/>
      <c r="SZN434" s="1831"/>
      <c r="SZO434" s="1831"/>
      <c r="SZP434" s="1831"/>
      <c r="SZQ434" s="1831"/>
      <c r="SZR434" s="1831"/>
      <c r="SZS434" s="1831"/>
      <c r="SZT434" s="1831"/>
      <c r="SZU434" s="1831"/>
      <c r="SZV434" s="1831"/>
      <c r="SZW434" s="1831"/>
      <c r="SZX434" s="1831"/>
      <c r="SZY434" s="1831"/>
      <c r="SZZ434" s="1831"/>
      <c r="TAA434" s="1831"/>
      <c r="TAB434" s="1831"/>
      <c r="TAC434" s="1831"/>
      <c r="TAD434" s="1831"/>
      <c r="TAE434" s="1831"/>
      <c r="TAF434" s="1831"/>
      <c r="TAG434" s="1831"/>
      <c r="TAH434" s="1831"/>
      <c r="TAI434" s="1831"/>
      <c r="TAJ434" s="1831"/>
      <c r="TAK434" s="1831"/>
      <c r="TAL434" s="1831"/>
      <c r="TAM434" s="1831"/>
      <c r="TAN434" s="1831"/>
      <c r="TAO434" s="1831"/>
      <c r="TAP434" s="1831"/>
      <c r="TAQ434" s="1831"/>
      <c r="TAR434" s="1831"/>
      <c r="TAS434" s="1831"/>
      <c r="TAT434" s="1831"/>
      <c r="TAU434" s="1831"/>
      <c r="TAV434" s="1831"/>
      <c r="TAW434" s="1831"/>
      <c r="TAX434" s="1831"/>
      <c r="TAY434" s="1831"/>
      <c r="TAZ434" s="1831"/>
      <c r="TBA434" s="1831"/>
      <c r="TBB434" s="1831"/>
      <c r="TBC434" s="1831"/>
      <c r="TBD434" s="1831"/>
      <c r="TBE434" s="1831"/>
      <c r="TBF434" s="1831"/>
      <c r="TBG434" s="1831"/>
      <c r="TBH434" s="1831"/>
      <c r="TBI434" s="1831"/>
      <c r="TBJ434" s="1831"/>
      <c r="TBK434" s="1831"/>
      <c r="TBL434" s="1831"/>
      <c r="TBM434" s="1831"/>
      <c r="TBN434" s="1831"/>
      <c r="TBO434" s="1831"/>
      <c r="TBP434" s="1831"/>
      <c r="TBQ434" s="1831"/>
      <c r="TBR434" s="1831"/>
      <c r="TBS434" s="1831"/>
      <c r="TBT434" s="1831"/>
      <c r="TBU434" s="1831"/>
      <c r="TBV434" s="1831"/>
      <c r="TBW434" s="1831"/>
      <c r="TBX434" s="1831"/>
      <c r="TBY434" s="1831"/>
      <c r="TBZ434" s="1831"/>
      <c r="TCA434" s="1831"/>
      <c r="TCB434" s="1831"/>
      <c r="TCC434" s="1831"/>
      <c r="TCD434" s="1831"/>
      <c r="TCE434" s="1831"/>
      <c r="TCF434" s="1831"/>
      <c r="TCG434" s="1831"/>
      <c r="TCH434" s="1831"/>
      <c r="TCI434" s="1831"/>
      <c r="TCJ434" s="1831"/>
      <c r="TCK434" s="1831"/>
      <c r="TCL434" s="1831"/>
      <c r="TCM434" s="1831"/>
      <c r="TCN434" s="1831"/>
      <c r="TCO434" s="1831"/>
      <c r="TCP434" s="1831"/>
      <c r="TCQ434" s="1831"/>
      <c r="TCR434" s="1831"/>
      <c r="TCS434" s="1831"/>
      <c r="TCT434" s="1831"/>
      <c r="TCU434" s="1831"/>
      <c r="TCV434" s="1831"/>
      <c r="TCW434" s="1831"/>
      <c r="TCX434" s="1831"/>
      <c r="TCY434" s="1831"/>
      <c r="TCZ434" s="1831"/>
      <c r="TDA434" s="1831"/>
      <c r="TDB434" s="1831"/>
      <c r="TDC434" s="1831"/>
      <c r="TDD434" s="1831"/>
      <c r="TDE434" s="1831"/>
      <c r="TDF434" s="1831"/>
      <c r="TDG434" s="1831"/>
      <c r="TDH434" s="1831"/>
      <c r="TDI434" s="1831"/>
      <c r="TDJ434" s="1831"/>
      <c r="TDK434" s="1831"/>
      <c r="TDL434" s="1831"/>
      <c r="TDM434" s="1831"/>
      <c r="TDN434" s="1831"/>
      <c r="TDO434" s="1831"/>
      <c r="TDP434" s="1831"/>
      <c r="TDQ434" s="1831"/>
      <c r="TDR434" s="1831"/>
      <c r="TDS434" s="1831"/>
      <c r="TDT434" s="1831"/>
      <c r="TDU434" s="1831"/>
      <c r="TDV434" s="1831"/>
      <c r="TDW434" s="1831"/>
      <c r="TDX434" s="1831"/>
      <c r="TDY434" s="1831"/>
      <c r="TDZ434" s="1831"/>
      <c r="TEA434" s="1831"/>
      <c r="TEB434" s="1831"/>
      <c r="TEC434" s="1831"/>
      <c r="TED434" s="1831"/>
      <c r="TEE434" s="1831"/>
      <c r="TEF434" s="1831"/>
      <c r="TEG434" s="1831"/>
      <c r="TEH434" s="1831"/>
      <c r="TEI434" s="1831"/>
      <c r="TEJ434" s="1831"/>
      <c r="TEK434" s="1831"/>
      <c r="TEL434" s="1831"/>
      <c r="TEM434" s="1831"/>
      <c r="TEN434" s="1831"/>
      <c r="TEO434" s="1831"/>
      <c r="TEP434" s="1831"/>
      <c r="TEQ434" s="1831"/>
      <c r="TER434" s="1831"/>
      <c r="TES434" s="1831"/>
      <c r="TET434" s="1831"/>
      <c r="TEU434" s="1831"/>
      <c r="TEV434" s="1831"/>
      <c r="TEW434" s="1831"/>
      <c r="TEX434" s="1831"/>
      <c r="TEY434" s="1831"/>
      <c r="TEZ434" s="1831"/>
      <c r="TFA434" s="1831"/>
      <c r="TFB434" s="1831"/>
      <c r="TFC434" s="1831"/>
      <c r="TFD434" s="1831"/>
      <c r="TFE434" s="1831"/>
      <c r="TFF434" s="1831"/>
      <c r="TFG434" s="1831"/>
      <c r="TFH434" s="1831"/>
      <c r="TFI434" s="1831"/>
      <c r="TFJ434" s="1831"/>
      <c r="TFK434" s="1831"/>
      <c r="TFL434" s="1831"/>
      <c r="TFM434" s="1831"/>
      <c r="TFN434" s="1831"/>
      <c r="TFO434" s="1831"/>
      <c r="TFP434" s="1831"/>
      <c r="TFQ434" s="1831"/>
      <c r="TFR434" s="1831"/>
      <c r="TFS434" s="1831"/>
      <c r="TFT434" s="1831"/>
      <c r="TFU434" s="1831"/>
      <c r="TFV434" s="1831"/>
      <c r="TFW434" s="1831"/>
      <c r="TFX434" s="1831"/>
      <c r="TFY434" s="1831"/>
      <c r="TFZ434" s="1831"/>
      <c r="TGA434" s="1831"/>
      <c r="TGB434" s="1831"/>
      <c r="TGC434" s="1831"/>
      <c r="TGD434" s="1831"/>
      <c r="TGE434" s="1831"/>
      <c r="TGF434" s="1831"/>
      <c r="TGG434" s="1831"/>
      <c r="TGH434" s="1831"/>
      <c r="TGI434" s="1831"/>
      <c r="TGJ434" s="1831"/>
      <c r="TGK434" s="1831"/>
      <c r="TGL434" s="1831"/>
      <c r="TGM434" s="1831"/>
      <c r="TGN434" s="1831"/>
      <c r="TGO434" s="1831"/>
      <c r="TGP434" s="1831"/>
      <c r="TGQ434" s="1831"/>
      <c r="TGR434" s="1831"/>
      <c r="TGS434" s="1831"/>
      <c r="TGT434" s="1831"/>
      <c r="TGU434" s="1831"/>
      <c r="TGV434" s="1831"/>
      <c r="TGW434" s="1831"/>
      <c r="TGX434" s="1831"/>
      <c r="TGY434" s="1831"/>
      <c r="TGZ434" s="1831"/>
      <c r="THA434" s="1831"/>
      <c r="THB434" s="1831"/>
      <c r="THC434" s="1831"/>
      <c r="THD434" s="1831"/>
      <c r="THE434" s="1831"/>
      <c r="THF434" s="1831"/>
      <c r="THG434" s="1831"/>
      <c r="THH434" s="1831"/>
      <c r="THI434" s="1831"/>
      <c r="THJ434" s="1831"/>
      <c r="THK434" s="1831"/>
      <c r="THL434" s="1831"/>
      <c r="THM434" s="1831"/>
      <c r="THN434" s="1831"/>
      <c r="THO434" s="1831"/>
      <c r="THP434" s="1831"/>
      <c r="THQ434" s="1831"/>
      <c r="THR434" s="1831"/>
      <c r="THS434" s="1831"/>
      <c r="THT434" s="1831"/>
      <c r="THU434" s="1831"/>
      <c r="THV434" s="1831"/>
      <c r="THW434" s="1831"/>
      <c r="THX434" s="1831"/>
      <c r="THY434" s="1831"/>
      <c r="THZ434" s="1831"/>
      <c r="TIA434" s="1831"/>
      <c r="TIB434" s="1831"/>
      <c r="TIC434" s="1831"/>
      <c r="TID434" s="1831"/>
      <c r="TIE434" s="1831"/>
      <c r="TIF434" s="1831"/>
      <c r="TIG434" s="1831"/>
      <c r="TIH434" s="1831"/>
      <c r="TII434" s="1831"/>
      <c r="TIJ434" s="1831"/>
      <c r="TIK434" s="1831"/>
      <c r="TIL434" s="1831"/>
      <c r="TIM434" s="1831"/>
      <c r="TIN434" s="1831"/>
      <c r="TIO434" s="1831"/>
      <c r="TIP434" s="1831"/>
      <c r="TIQ434" s="1831"/>
      <c r="TIR434" s="1831"/>
      <c r="TIS434" s="1831"/>
      <c r="TIT434" s="1831"/>
      <c r="TIU434" s="1831"/>
      <c r="TIV434" s="1831"/>
      <c r="TIW434" s="1831"/>
      <c r="TIX434" s="1831"/>
      <c r="TIY434" s="1831"/>
      <c r="TIZ434" s="1831"/>
      <c r="TJA434" s="1831"/>
      <c r="TJB434" s="1831"/>
      <c r="TJC434" s="1831"/>
      <c r="TJD434" s="1831"/>
      <c r="TJE434" s="1831"/>
      <c r="TJF434" s="1831"/>
      <c r="TJG434" s="1831"/>
      <c r="TJH434" s="1831"/>
      <c r="TJI434" s="1831"/>
      <c r="TJJ434" s="1831"/>
      <c r="TJK434" s="1831"/>
      <c r="TJL434" s="1831"/>
      <c r="TJM434" s="1831"/>
      <c r="TJN434" s="1831"/>
      <c r="TJO434" s="1831"/>
      <c r="TJP434" s="1831"/>
      <c r="TJQ434" s="1831"/>
      <c r="TJR434" s="1831"/>
      <c r="TJS434" s="1831"/>
      <c r="TJT434" s="1831"/>
      <c r="TJU434" s="1831"/>
      <c r="TJV434" s="1831"/>
      <c r="TJW434" s="1831"/>
      <c r="TJX434" s="1831"/>
      <c r="TJY434" s="1831"/>
      <c r="TJZ434" s="1831"/>
      <c r="TKA434" s="1831"/>
      <c r="TKB434" s="1831"/>
      <c r="TKC434" s="1831"/>
      <c r="TKD434" s="1831"/>
      <c r="TKE434" s="1831"/>
      <c r="TKF434" s="1831"/>
      <c r="TKG434" s="1831"/>
      <c r="TKH434" s="1831"/>
      <c r="TKI434" s="1831"/>
      <c r="TKJ434" s="1831"/>
      <c r="TKK434" s="1831"/>
      <c r="TKL434" s="1831"/>
      <c r="TKM434" s="1831"/>
      <c r="TKN434" s="1831"/>
      <c r="TKO434" s="1831"/>
      <c r="TKP434" s="1831"/>
      <c r="TKQ434" s="1831"/>
      <c r="TKR434" s="1831"/>
      <c r="TKS434" s="1831"/>
      <c r="TKT434" s="1831"/>
      <c r="TKU434" s="1831"/>
      <c r="TKV434" s="1831"/>
      <c r="TKW434" s="1831"/>
      <c r="TKX434" s="1831"/>
      <c r="TKY434" s="1831"/>
      <c r="TKZ434" s="1831"/>
      <c r="TLA434" s="1831"/>
      <c r="TLB434" s="1831"/>
      <c r="TLC434" s="1831"/>
      <c r="TLD434" s="1831"/>
      <c r="TLE434" s="1831"/>
      <c r="TLF434" s="1831"/>
      <c r="TLG434" s="1831"/>
      <c r="TLH434" s="1831"/>
      <c r="TLI434" s="1831"/>
      <c r="TLJ434" s="1831"/>
      <c r="TLK434" s="1831"/>
      <c r="TLL434" s="1831"/>
      <c r="TLM434" s="1831"/>
      <c r="TLN434" s="1831"/>
      <c r="TLO434" s="1831"/>
      <c r="TLP434" s="1831"/>
      <c r="TLQ434" s="1831"/>
      <c r="TLR434" s="1831"/>
      <c r="TLS434" s="1831"/>
      <c r="TLT434" s="1831"/>
      <c r="TLU434" s="1831"/>
      <c r="TLV434" s="1831"/>
      <c r="TLW434" s="1831"/>
      <c r="TLX434" s="1831"/>
      <c r="TLY434" s="1831"/>
      <c r="TLZ434" s="1831"/>
      <c r="TMA434" s="1831"/>
      <c r="TMB434" s="1831"/>
      <c r="TMC434" s="1831"/>
      <c r="TMD434" s="1831"/>
      <c r="TME434" s="1831"/>
      <c r="TMF434" s="1831"/>
      <c r="TMG434" s="1831"/>
      <c r="TMH434" s="1831"/>
      <c r="TMI434" s="1831"/>
      <c r="TMJ434" s="1831"/>
      <c r="TMK434" s="1831"/>
      <c r="TML434" s="1831"/>
      <c r="TMM434" s="1831"/>
      <c r="TMN434" s="1831"/>
      <c r="TMO434" s="1831"/>
      <c r="TMP434" s="1831"/>
      <c r="TMQ434" s="1831"/>
      <c r="TMR434" s="1831"/>
      <c r="TMS434" s="1831"/>
      <c r="TMT434" s="1831"/>
      <c r="TMU434" s="1831"/>
      <c r="TMV434" s="1831"/>
      <c r="TMW434" s="1831"/>
      <c r="TMX434" s="1831"/>
      <c r="TMY434" s="1831"/>
      <c r="TMZ434" s="1831"/>
      <c r="TNA434" s="1831"/>
      <c r="TNB434" s="1831"/>
      <c r="TNC434" s="1831"/>
      <c r="TND434" s="1831"/>
      <c r="TNE434" s="1831"/>
      <c r="TNF434" s="1831"/>
      <c r="TNG434" s="1831"/>
      <c r="TNH434" s="1831"/>
      <c r="TNI434" s="1831"/>
      <c r="TNJ434" s="1831"/>
      <c r="TNK434" s="1831"/>
      <c r="TNL434" s="1831"/>
      <c r="TNM434" s="1831"/>
      <c r="TNN434" s="1831"/>
      <c r="TNO434" s="1831"/>
      <c r="TNP434" s="1831"/>
      <c r="TNQ434" s="1831"/>
      <c r="TNR434" s="1831"/>
      <c r="TNS434" s="1831"/>
      <c r="TNT434" s="1831"/>
      <c r="TNU434" s="1831"/>
      <c r="TNV434" s="1831"/>
      <c r="TNW434" s="1831"/>
      <c r="TNX434" s="1831"/>
      <c r="TNY434" s="1831"/>
      <c r="TNZ434" s="1831"/>
      <c r="TOA434" s="1831"/>
      <c r="TOB434" s="1831"/>
      <c r="TOC434" s="1831"/>
      <c r="TOD434" s="1831"/>
      <c r="TOE434" s="1831"/>
      <c r="TOF434" s="1831"/>
      <c r="TOG434" s="1831"/>
      <c r="TOH434" s="1831"/>
      <c r="TOI434" s="1831"/>
      <c r="TOJ434" s="1831"/>
      <c r="TOK434" s="1831"/>
      <c r="TOL434" s="1831"/>
      <c r="TOM434" s="1831"/>
      <c r="TON434" s="1831"/>
      <c r="TOO434" s="1831"/>
      <c r="TOP434" s="1831"/>
      <c r="TOQ434" s="1831"/>
      <c r="TOR434" s="1831"/>
      <c r="TOS434" s="1831"/>
      <c r="TOT434" s="1831"/>
      <c r="TOU434" s="1831"/>
      <c r="TOV434" s="1831"/>
      <c r="TOW434" s="1831"/>
      <c r="TOX434" s="1831"/>
      <c r="TOY434" s="1831"/>
      <c r="TOZ434" s="1831"/>
      <c r="TPA434" s="1831"/>
      <c r="TPB434" s="1831"/>
      <c r="TPC434" s="1831"/>
      <c r="TPD434" s="1831"/>
      <c r="TPE434" s="1831"/>
      <c r="TPF434" s="1831"/>
      <c r="TPG434" s="1831"/>
      <c r="TPH434" s="1831"/>
      <c r="TPI434" s="1831"/>
      <c r="TPJ434" s="1831"/>
      <c r="TPK434" s="1831"/>
      <c r="TPL434" s="1831"/>
      <c r="TPM434" s="1831"/>
      <c r="TPN434" s="1831"/>
      <c r="TPO434" s="1831"/>
      <c r="TPP434" s="1831"/>
      <c r="TPQ434" s="1831"/>
      <c r="TPR434" s="1831"/>
      <c r="TPS434" s="1831"/>
      <c r="TPT434" s="1831"/>
      <c r="TPU434" s="1831"/>
      <c r="TPV434" s="1831"/>
      <c r="TPW434" s="1831"/>
      <c r="TPX434" s="1831"/>
      <c r="TPY434" s="1831"/>
      <c r="TPZ434" s="1831"/>
      <c r="TQA434" s="1831"/>
      <c r="TQB434" s="1831"/>
      <c r="TQC434" s="1831"/>
      <c r="TQD434" s="1831"/>
      <c r="TQE434" s="1831"/>
      <c r="TQF434" s="1831"/>
      <c r="TQG434" s="1831"/>
      <c r="TQH434" s="1831"/>
      <c r="TQI434" s="1831"/>
      <c r="TQJ434" s="1831"/>
      <c r="TQK434" s="1831"/>
      <c r="TQL434" s="1831"/>
      <c r="TQM434" s="1831"/>
      <c r="TQN434" s="1831"/>
      <c r="TQO434" s="1831"/>
      <c r="TQP434" s="1831"/>
      <c r="TQQ434" s="1831"/>
      <c r="TQR434" s="1831"/>
      <c r="TQS434" s="1831"/>
      <c r="TQT434" s="1831"/>
      <c r="TQU434" s="1831"/>
      <c r="TQV434" s="1831"/>
      <c r="TQW434" s="1831"/>
      <c r="TQX434" s="1831"/>
      <c r="TQY434" s="1831"/>
      <c r="TQZ434" s="1831"/>
      <c r="TRA434" s="1831"/>
      <c r="TRB434" s="1831"/>
      <c r="TRC434" s="1831"/>
      <c r="TRD434" s="1831"/>
      <c r="TRE434" s="1831"/>
      <c r="TRF434" s="1831"/>
      <c r="TRG434" s="1831"/>
      <c r="TRH434" s="1831"/>
      <c r="TRI434" s="1831"/>
      <c r="TRJ434" s="1831"/>
      <c r="TRK434" s="1831"/>
      <c r="TRL434" s="1831"/>
      <c r="TRM434" s="1831"/>
      <c r="TRN434" s="1831"/>
      <c r="TRO434" s="1831"/>
      <c r="TRP434" s="1831"/>
      <c r="TRQ434" s="1831"/>
      <c r="TRR434" s="1831"/>
      <c r="TRS434" s="1831"/>
      <c r="TRT434" s="1831"/>
      <c r="TRU434" s="1831"/>
      <c r="TRV434" s="1831"/>
      <c r="TRW434" s="1831"/>
      <c r="TRX434" s="1831"/>
      <c r="TRY434" s="1831"/>
      <c r="TRZ434" s="1831"/>
      <c r="TSA434" s="1831"/>
      <c r="TSB434" s="1831"/>
      <c r="TSC434" s="1831"/>
      <c r="TSD434" s="1831"/>
      <c r="TSE434" s="1831"/>
      <c r="TSF434" s="1831"/>
      <c r="TSG434" s="1831"/>
      <c r="TSH434" s="1831"/>
      <c r="TSI434" s="1831"/>
      <c r="TSJ434" s="1831"/>
      <c r="TSK434" s="1831"/>
      <c r="TSL434" s="1831"/>
      <c r="TSM434" s="1831"/>
      <c r="TSN434" s="1831"/>
      <c r="TSO434" s="1831"/>
      <c r="TSP434" s="1831"/>
      <c r="TSQ434" s="1831"/>
      <c r="TSR434" s="1831"/>
      <c r="TSS434" s="1831"/>
      <c r="TST434" s="1831"/>
      <c r="TSU434" s="1831"/>
      <c r="TSV434" s="1831"/>
      <c r="TSW434" s="1831"/>
      <c r="TSX434" s="1831"/>
      <c r="TSY434" s="1831"/>
      <c r="TSZ434" s="1831"/>
      <c r="TTA434" s="1831"/>
      <c r="TTB434" s="1831"/>
      <c r="TTC434" s="1831"/>
      <c r="TTD434" s="1831"/>
      <c r="TTE434" s="1831"/>
      <c r="TTF434" s="1831"/>
      <c r="TTG434" s="1831"/>
      <c r="TTH434" s="1831"/>
      <c r="TTI434" s="1831"/>
      <c r="TTJ434" s="1831"/>
      <c r="TTK434" s="1831"/>
      <c r="TTL434" s="1831"/>
      <c r="TTM434" s="1831"/>
      <c r="TTN434" s="1831"/>
      <c r="TTO434" s="1831"/>
      <c r="TTP434" s="1831"/>
      <c r="TTQ434" s="1831"/>
      <c r="TTR434" s="1831"/>
      <c r="TTS434" s="1831"/>
      <c r="TTT434" s="1831"/>
      <c r="TTU434" s="1831"/>
      <c r="TTV434" s="1831"/>
      <c r="TTW434" s="1831"/>
      <c r="TTX434" s="1831"/>
      <c r="TTY434" s="1831"/>
      <c r="TTZ434" s="1831"/>
      <c r="TUA434" s="1831"/>
      <c r="TUB434" s="1831"/>
      <c r="TUC434" s="1831"/>
      <c r="TUD434" s="1831"/>
      <c r="TUE434" s="1831"/>
      <c r="TUF434" s="1831"/>
      <c r="TUG434" s="1831"/>
      <c r="TUH434" s="1831"/>
      <c r="TUI434" s="1831"/>
      <c r="TUJ434" s="1831"/>
      <c r="TUK434" s="1831"/>
      <c r="TUL434" s="1831"/>
      <c r="TUM434" s="1831"/>
      <c r="TUN434" s="1831"/>
      <c r="TUO434" s="1831"/>
      <c r="TUP434" s="1831"/>
      <c r="TUQ434" s="1831"/>
      <c r="TUR434" s="1831"/>
      <c r="TUS434" s="1831"/>
      <c r="TUT434" s="1831"/>
      <c r="TUU434" s="1831"/>
      <c r="TUV434" s="1831"/>
      <c r="TUW434" s="1831"/>
      <c r="TUX434" s="1831"/>
      <c r="TUY434" s="1831"/>
      <c r="TUZ434" s="1831"/>
      <c r="TVA434" s="1831"/>
      <c r="TVB434" s="1831"/>
      <c r="TVC434" s="1831"/>
      <c r="TVD434" s="1831"/>
      <c r="TVE434" s="1831"/>
      <c r="TVF434" s="1831"/>
      <c r="TVG434" s="1831"/>
      <c r="TVH434" s="1831"/>
      <c r="TVI434" s="1831"/>
      <c r="TVJ434" s="1831"/>
      <c r="TVK434" s="1831"/>
      <c r="TVL434" s="1831"/>
      <c r="TVM434" s="1831"/>
      <c r="TVN434" s="1831"/>
      <c r="TVO434" s="1831"/>
      <c r="TVP434" s="1831"/>
      <c r="TVQ434" s="1831"/>
      <c r="TVR434" s="1831"/>
      <c r="TVS434" s="1831"/>
      <c r="TVT434" s="1831"/>
      <c r="TVU434" s="1831"/>
      <c r="TVV434" s="1831"/>
      <c r="TVW434" s="1831"/>
      <c r="TVX434" s="1831"/>
      <c r="TVY434" s="1831"/>
      <c r="TVZ434" s="1831"/>
      <c r="TWA434" s="1831"/>
      <c r="TWB434" s="1831"/>
      <c r="TWC434" s="1831"/>
      <c r="TWD434" s="1831"/>
      <c r="TWE434" s="1831"/>
      <c r="TWF434" s="1831"/>
      <c r="TWG434" s="1831"/>
      <c r="TWH434" s="1831"/>
      <c r="TWI434" s="1831"/>
      <c r="TWJ434" s="1831"/>
      <c r="TWK434" s="1831"/>
      <c r="TWL434" s="1831"/>
      <c r="TWM434" s="1831"/>
      <c r="TWN434" s="1831"/>
      <c r="TWO434" s="1831"/>
      <c r="TWP434" s="1831"/>
      <c r="TWQ434" s="1831"/>
      <c r="TWR434" s="1831"/>
      <c r="TWS434" s="1831"/>
      <c r="TWT434" s="1831"/>
      <c r="TWU434" s="1831"/>
      <c r="TWV434" s="1831"/>
      <c r="TWW434" s="1831"/>
      <c r="TWX434" s="1831"/>
      <c r="TWY434" s="1831"/>
      <c r="TWZ434" s="1831"/>
      <c r="TXA434" s="1831"/>
      <c r="TXB434" s="1831"/>
      <c r="TXC434" s="1831"/>
      <c r="TXD434" s="1831"/>
      <c r="TXE434" s="1831"/>
      <c r="TXF434" s="1831"/>
      <c r="TXG434" s="1831"/>
      <c r="TXH434" s="1831"/>
      <c r="TXI434" s="1831"/>
      <c r="TXJ434" s="1831"/>
      <c r="TXK434" s="1831"/>
      <c r="TXL434" s="1831"/>
      <c r="TXM434" s="1831"/>
      <c r="TXN434" s="1831"/>
      <c r="TXO434" s="1831"/>
      <c r="TXP434" s="1831"/>
      <c r="TXQ434" s="1831"/>
      <c r="TXR434" s="1831"/>
      <c r="TXS434" s="1831"/>
      <c r="TXT434" s="1831"/>
      <c r="TXU434" s="1831"/>
      <c r="TXV434" s="1831"/>
      <c r="TXW434" s="1831"/>
      <c r="TXX434" s="1831"/>
      <c r="TXY434" s="1831"/>
      <c r="TXZ434" s="1831"/>
      <c r="TYA434" s="1831"/>
      <c r="TYB434" s="1831"/>
      <c r="TYC434" s="1831"/>
      <c r="TYD434" s="1831"/>
      <c r="TYE434" s="1831"/>
      <c r="TYF434" s="1831"/>
      <c r="TYG434" s="1831"/>
      <c r="TYH434" s="1831"/>
      <c r="TYI434" s="1831"/>
      <c r="TYJ434" s="1831"/>
      <c r="TYK434" s="1831"/>
      <c r="TYL434" s="1831"/>
      <c r="TYM434" s="1831"/>
      <c r="TYN434" s="1831"/>
      <c r="TYO434" s="1831"/>
      <c r="TYP434" s="1831"/>
      <c r="TYQ434" s="1831"/>
      <c r="TYR434" s="1831"/>
      <c r="TYS434" s="1831"/>
      <c r="TYT434" s="1831"/>
      <c r="TYU434" s="1831"/>
      <c r="TYV434" s="1831"/>
      <c r="TYW434" s="1831"/>
      <c r="TYX434" s="1831"/>
      <c r="TYY434" s="1831"/>
      <c r="TYZ434" s="1831"/>
      <c r="TZA434" s="1831"/>
      <c r="TZB434" s="1831"/>
      <c r="TZC434" s="1831"/>
      <c r="TZD434" s="1831"/>
      <c r="TZE434" s="1831"/>
      <c r="TZF434" s="1831"/>
      <c r="TZG434" s="1831"/>
      <c r="TZH434" s="1831"/>
      <c r="TZI434" s="1831"/>
      <c r="TZJ434" s="1831"/>
      <c r="TZK434" s="1831"/>
      <c r="TZL434" s="1831"/>
      <c r="TZM434" s="1831"/>
      <c r="TZN434" s="1831"/>
      <c r="TZO434" s="1831"/>
      <c r="TZP434" s="1831"/>
      <c r="TZQ434" s="1831"/>
      <c r="TZR434" s="1831"/>
      <c r="TZS434" s="1831"/>
      <c r="TZT434" s="1831"/>
      <c r="TZU434" s="1831"/>
      <c r="TZV434" s="1831"/>
      <c r="TZW434" s="1831"/>
      <c r="TZX434" s="1831"/>
      <c r="TZY434" s="1831"/>
      <c r="TZZ434" s="1831"/>
      <c r="UAA434" s="1831"/>
      <c r="UAB434" s="1831"/>
      <c r="UAC434" s="1831"/>
      <c r="UAD434" s="1831"/>
      <c r="UAE434" s="1831"/>
      <c r="UAF434" s="1831"/>
      <c r="UAG434" s="1831"/>
      <c r="UAH434" s="1831"/>
      <c r="UAI434" s="1831"/>
      <c r="UAJ434" s="1831"/>
      <c r="UAK434" s="1831"/>
      <c r="UAL434" s="1831"/>
      <c r="UAM434" s="1831"/>
      <c r="UAN434" s="1831"/>
      <c r="UAO434" s="1831"/>
      <c r="UAP434" s="1831"/>
      <c r="UAQ434" s="1831"/>
      <c r="UAR434" s="1831"/>
      <c r="UAS434" s="1831"/>
      <c r="UAT434" s="1831"/>
      <c r="UAU434" s="1831"/>
      <c r="UAV434" s="1831"/>
      <c r="UAW434" s="1831"/>
      <c r="UAX434" s="1831"/>
      <c r="UAY434" s="1831"/>
      <c r="UAZ434" s="1831"/>
      <c r="UBA434" s="1831"/>
      <c r="UBB434" s="1831"/>
      <c r="UBC434" s="1831"/>
      <c r="UBD434" s="1831"/>
      <c r="UBE434" s="1831"/>
      <c r="UBF434" s="1831"/>
      <c r="UBG434" s="1831"/>
      <c r="UBH434" s="1831"/>
      <c r="UBI434" s="1831"/>
      <c r="UBJ434" s="1831"/>
      <c r="UBK434" s="1831"/>
      <c r="UBL434" s="1831"/>
      <c r="UBM434" s="1831"/>
      <c r="UBN434" s="1831"/>
      <c r="UBO434" s="1831"/>
      <c r="UBP434" s="1831"/>
      <c r="UBQ434" s="1831"/>
      <c r="UBR434" s="1831"/>
      <c r="UBS434" s="1831"/>
      <c r="UBT434" s="1831"/>
      <c r="UBU434" s="1831"/>
      <c r="UBV434" s="1831"/>
      <c r="UBW434" s="1831"/>
      <c r="UBX434" s="1831"/>
      <c r="UBY434" s="1831"/>
      <c r="UBZ434" s="1831"/>
      <c r="UCA434" s="1831"/>
      <c r="UCB434" s="1831"/>
      <c r="UCC434" s="1831"/>
      <c r="UCD434" s="1831"/>
      <c r="UCE434" s="1831"/>
      <c r="UCF434" s="1831"/>
      <c r="UCG434" s="1831"/>
      <c r="UCH434" s="1831"/>
      <c r="UCI434" s="1831"/>
      <c r="UCJ434" s="1831"/>
      <c r="UCK434" s="1831"/>
      <c r="UCL434" s="1831"/>
      <c r="UCM434" s="1831"/>
      <c r="UCN434" s="1831"/>
      <c r="UCO434" s="1831"/>
      <c r="UCP434" s="1831"/>
      <c r="UCQ434" s="1831"/>
      <c r="UCR434" s="1831"/>
      <c r="UCS434" s="1831"/>
      <c r="UCT434" s="1831"/>
      <c r="UCU434" s="1831"/>
      <c r="UCV434" s="1831"/>
      <c r="UCW434" s="1831"/>
      <c r="UCX434" s="1831"/>
      <c r="UCY434" s="1831"/>
      <c r="UCZ434" s="1831"/>
      <c r="UDA434" s="1831"/>
      <c r="UDB434" s="1831"/>
      <c r="UDC434" s="1831"/>
      <c r="UDD434" s="1831"/>
      <c r="UDE434" s="1831"/>
      <c r="UDF434" s="1831"/>
      <c r="UDG434" s="1831"/>
      <c r="UDH434" s="1831"/>
      <c r="UDI434" s="1831"/>
      <c r="UDJ434" s="1831"/>
      <c r="UDK434" s="1831"/>
      <c r="UDL434" s="1831"/>
      <c r="UDM434" s="1831"/>
      <c r="UDN434" s="1831"/>
      <c r="UDO434" s="1831"/>
      <c r="UDP434" s="1831"/>
      <c r="UDQ434" s="1831"/>
      <c r="UDR434" s="1831"/>
      <c r="UDS434" s="1831"/>
      <c r="UDT434" s="1831"/>
      <c r="UDU434" s="1831"/>
      <c r="UDV434" s="1831"/>
      <c r="UDW434" s="1831"/>
      <c r="UDX434" s="1831"/>
      <c r="UDY434" s="1831"/>
      <c r="UDZ434" s="1831"/>
      <c r="UEA434" s="1831"/>
      <c r="UEB434" s="1831"/>
      <c r="UEC434" s="1831"/>
      <c r="UED434" s="1831"/>
      <c r="UEE434" s="1831"/>
      <c r="UEF434" s="1831"/>
      <c r="UEG434" s="1831"/>
      <c r="UEH434" s="1831"/>
      <c r="UEI434" s="1831"/>
      <c r="UEJ434" s="1831"/>
      <c r="UEK434" s="1831"/>
      <c r="UEL434" s="1831"/>
      <c r="UEM434" s="1831"/>
      <c r="UEN434" s="1831"/>
      <c r="UEO434" s="1831"/>
      <c r="UEP434" s="1831"/>
      <c r="UEQ434" s="1831"/>
      <c r="UER434" s="1831"/>
      <c r="UES434" s="1831"/>
      <c r="UET434" s="1831"/>
      <c r="UEU434" s="1831"/>
      <c r="UEV434" s="1831"/>
      <c r="UEW434" s="1831"/>
      <c r="UEX434" s="1831"/>
      <c r="UEY434" s="1831"/>
      <c r="UEZ434" s="1831"/>
      <c r="UFA434" s="1831"/>
      <c r="UFB434" s="1831"/>
      <c r="UFC434" s="1831"/>
      <c r="UFD434" s="1831"/>
      <c r="UFE434" s="1831"/>
      <c r="UFF434" s="1831"/>
      <c r="UFG434" s="1831"/>
      <c r="UFH434" s="1831"/>
      <c r="UFI434" s="1831"/>
      <c r="UFJ434" s="1831"/>
      <c r="UFK434" s="1831"/>
      <c r="UFL434" s="1831"/>
      <c r="UFM434" s="1831"/>
      <c r="UFN434" s="1831"/>
      <c r="UFO434" s="1831"/>
      <c r="UFP434" s="1831"/>
      <c r="UFQ434" s="1831"/>
      <c r="UFR434" s="1831"/>
      <c r="UFS434" s="1831"/>
      <c r="UFT434" s="1831"/>
      <c r="UFU434" s="1831"/>
      <c r="UFV434" s="1831"/>
      <c r="UFW434" s="1831"/>
      <c r="UFX434" s="1831"/>
      <c r="UFY434" s="1831"/>
      <c r="UFZ434" s="1831"/>
      <c r="UGA434" s="1831"/>
      <c r="UGB434" s="1831"/>
      <c r="UGC434" s="1831"/>
      <c r="UGD434" s="1831"/>
      <c r="UGE434" s="1831"/>
      <c r="UGF434" s="1831"/>
      <c r="UGG434" s="1831"/>
      <c r="UGH434" s="1831"/>
      <c r="UGI434" s="1831"/>
      <c r="UGJ434" s="1831"/>
      <c r="UGK434" s="1831"/>
      <c r="UGL434" s="1831"/>
      <c r="UGM434" s="1831"/>
      <c r="UGN434" s="1831"/>
      <c r="UGO434" s="1831"/>
      <c r="UGP434" s="1831"/>
      <c r="UGQ434" s="1831"/>
      <c r="UGR434" s="1831"/>
      <c r="UGS434" s="1831"/>
      <c r="UGT434" s="1831"/>
      <c r="UGU434" s="1831"/>
      <c r="UGV434" s="1831"/>
      <c r="UGW434" s="1831"/>
      <c r="UGX434" s="1831"/>
      <c r="UGY434" s="1831"/>
      <c r="UGZ434" s="1831"/>
      <c r="UHA434" s="1831"/>
      <c r="UHB434" s="1831"/>
      <c r="UHC434" s="1831"/>
      <c r="UHD434" s="1831"/>
      <c r="UHE434" s="1831"/>
      <c r="UHF434" s="1831"/>
      <c r="UHG434" s="1831"/>
      <c r="UHH434" s="1831"/>
      <c r="UHI434" s="1831"/>
      <c r="UHJ434" s="1831"/>
      <c r="UHK434" s="1831"/>
      <c r="UHL434" s="1831"/>
      <c r="UHM434" s="1831"/>
      <c r="UHN434" s="1831"/>
      <c r="UHO434" s="1831"/>
      <c r="UHP434" s="1831"/>
      <c r="UHQ434" s="1831"/>
      <c r="UHR434" s="1831"/>
      <c r="UHS434" s="1831"/>
      <c r="UHT434" s="1831"/>
      <c r="UHU434" s="1831"/>
      <c r="UHV434" s="1831"/>
      <c r="UHW434" s="1831"/>
      <c r="UHX434" s="1831"/>
      <c r="UHY434" s="1831"/>
      <c r="UHZ434" s="1831"/>
      <c r="UIA434" s="1831"/>
      <c r="UIB434" s="1831"/>
      <c r="UIC434" s="1831"/>
      <c r="UID434" s="1831"/>
      <c r="UIE434" s="1831"/>
      <c r="UIF434" s="1831"/>
      <c r="UIG434" s="1831"/>
      <c r="UIH434" s="1831"/>
      <c r="UII434" s="1831"/>
      <c r="UIJ434" s="1831"/>
      <c r="UIK434" s="1831"/>
      <c r="UIL434" s="1831"/>
      <c r="UIM434" s="1831"/>
      <c r="UIN434" s="1831"/>
      <c r="UIO434" s="1831"/>
      <c r="UIP434" s="1831"/>
      <c r="UIQ434" s="1831"/>
      <c r="UIR434" s="1831"/>
      <c r="UIS434" s="1831"/>
      <c r="UIT434" s="1831"/>
      <c r="UIU434" s="1831"/>
      <c r="UIV434" s="1831"/>
      <c r="UIW434" s="1831"/>
      <c r="UIX434" s="1831"/>
      <c r="UIY434" s="1831"/>
      <c r="UIZ434" s="1831"/>
      <c r="UJA434" s="1831"/>
      <c r="UJB434" s="1831"/>
      <c r="UJC434" s="1831"/>
      <c r="UJD434" s="1831"/>
      <c r="UJE434" s="1831"/>
      <c r="UJF434" s="1831"/>
      <c r="UJG434" s="1831"/>
      <c r="UJH434" s="1831"/>
      <c r="UJI434" s="1831"/>
      <c r="UJJ434" s="1831"/>
      <c r="UJK434" s="1831"/>
      <c r="UJL434" s="1831"/>
      <c r="UJM434" s="1831"/>
      <c r="UJN434" s="1831"/>
      <c r="UJO434" s="1831"/>
      <c r="UJP434" s="1831"/>
      <c r="UJQ434" s="1831"/>
      <c r="UJR434" s="1831"/>
      <c r="UJS434" s="1831"/>
      <c r="UJT434" s="1831"/>
      <c r="UJU434" s="1831"/>
      <c r="UJV434" s="1831"/>
      <c r="UJW434" s="1831"/>
      <c r="UJX434" s="1831"/>
      <c r="UJY434" s="1831"/>
      <c r="UJZ434" s="1831"/>
      <c r="UKA434" s="1831"/>
      <c r="UKB434" s="1831"/>
      <c r="UKC434" s="1831"/>
      <c r="UKD434" s="1831"/>
      <c r="UKE434" s="1831"/>
      <c r="UKF434" s="1831"/>
      <c r="UKG434" s="1831"/>
      <c r="UKH434" s="1831"/>
      <c r="UKI434" s="1831"/>
      <c r="UKJ434" s="1831"/>
      <c r="UKK434" s="1831"/>
      <c r="UKL434" s="1831"/>
      <c r="UKM434" s="1831"/>
      <c r="UKN434" s="1831"/>
      <c r="UKO434" s="1831"/>
      <c r="UKP434" s="1831"/>
      <c r="UKQ434" s="1831"/>
      <c r="UKR434" s="1831"/>
      <c r="UKS434" s="1831"/>
      <c r="UKT434" s="1831"/>
      <c r="UKU434" s="1831"/>
      <c r="UKV434" s="1831"/>
      <c r="UKW434" s="1831"/>
      <c r="UKX434" s="1831"/>
      <c r="UKY434" s="1831"/>
      <c r="UKZ434" s="1831"/>
      <c r="ULA434" s="1831"/>
      <c r="ULB434" s="1831"/>
      <c r="ULC434" s="1831"/>
      <c r="ULD434" s="1831"/>
      <c r="ULE434" s="1831"/>
      <c r="ULF434" s="1831"/>
      <c r="ULG434" s="1831"/>
      <c r="ULH434" s="1831"/>
      <c r="ULI434" s="1831"/>
      <c r="ULJ434" s="1831"/>
      <c r="ULK434" s="1831"/>
      <c r="ULL434" s="1831"/>
      <c r="ULM434" s="1831"/>
      <c r="ULN434" s="1831"/>
      <c r="ULO434" s="1831"/>
      <c r="ULP434" s="1831"/>
      <c r="ULQ434" s="1831"/>
      <c r="ULR434" s="1831"/>
      <c r="ULS434" s="1831"/>
      <c r="ULT434" s="1831"/>
      <c r="ULU434" s="1831"/>
      <c r="ULV434" s="1831"/>
      <c r="ULW434" s="1831"/>
      <c r="ULX434" s="1831"/>
      <c r="ULY434" s="1831"/>
      <c r="ULZ434" s="1831"/>
      <c r="UMA434" s="1831"/>
      <c r="UMB434" s="1831"/>
      <c r="UMC434" s="1831"/>
      <c r="UMD434" s="1831"/>
      <c r="UME434" s="1831"/>
      <c r="UMF434" s="1831"/>
      <c r="UMG434" s="1831"/>
      <c r="UMH434" s="1831"/>
      <c r="UMI434" s="1831"/>
      <c r="UMJ434" s="1831"/>
      <c r="UMK434" s="1831"/>
      <c r="UML434" s="1831"/>
      <c r="UMM434" s="1831"/>
      <c r="UMN434" s="1831"/>
      <c r="UMO434" s="1831"/>
      <c r="UMP434" s="1831"/>
      <c r="UMQ434" s="1831"/>
      <c r="UMR434" s="1831"/>
      <c r="UMS434" s="1831"/>
      <c r="UMT434" s="1831"/>
      <c r="UMU434" s="1831"/>
      <c r="UMV434" s="1831"/>
      <c r="UMW434" s="1831"/>
      <c r="UMX434" s="1831"/>
      <c r="UMY434" s="1831"/>
      <c r="UMZ434" s="1831"/>
      <c r="UNA434" s="1831"/>
      <c r="UNB434" s="1831"/>
      <c r="UNC434" s="1831"/>
      <c r="UND434" s="1831"/>
      <c r="UNE434" s="1831"/>
      <c r="UNF434" s="1831"/>
      <c r="UNG434" s="1831"/>
      <c r="UNH434" s="1831"/>
      <c r="UNI434" s="1831"/>
      <c r="UNJ434" s="1831"/>
      <c r="UNK434" s="1831"/>
      <c r="UNL434" s="1831"/>
      <c r="UNM434" s="1831"/>
      <c r="UNN434" s="1831"/>
      <c r="UNO434" s="1831"/>
      <c r="UNP434" s="1831"/>
      <c r="UNQ434" s="1831"/>
      <c r="UNR434" s="1831"/>
      <c r="UNS434" s="1831"/>
      <c r="UNT434" s="1831"/>
      <c r="UNU434" s="1831"/>
      <c r="UNV434" s="1831"/>
      <c r="UNW434" s="1831"/>
      <c r="UNX434" s="1831"/>
      <c r="UNY434" s="1831"/>
      <c r="UNZ434" s="1831"/>
      <c r="UOA434" s="1831"/>
      <c r="UOB434" s="1831"/>
      <c r="UOC434" s="1831"/>
      <c r="UOD434" s="1831"/>
      <c r="UOE434" s="1831"/>
      <c r="UOF434" s="1831"/>
      <c r="UOG434" s="1831"/>
      <c r="UOH434" s="1831"/>
      <c r="UOI434" s="1831"/>
      <c r="UOJ434" s="1831"/>
      <c r="UOK434" s="1831"/>
      <c r="UOL434" s="1831"/>
      <c r="UOM434" s="1831"/>
      <c r="UON434" s="1831"/>
      <c r="UOO434" s="1831"/>
      <c r="UOP434" s="1831"/>
      <c r="UOQ434" s="1831"/>
      <c r="UOR434" s="1831"/>
      <c r="UOS434" s="1831"/>
      <c r="UOT434" s="1831"/>
      <c r="UOU434" s="1831"/>
      <c r="UOV434" s="1831"/>
      <c r="UOW434" s="1831"/>
      <c r="UOX434" s="1831"/>
      <c r="UOY434" s="1831"/>
      <c r="UOZ434" s="1831"/>
      <c r="UPA434" s="1831"/>
      <c r="UPB434" s="1831"/>
      <c r="UPC434" s="1831"/>
      <c r="UPD434" s="1831"/>
      <c r="UPE434" s="1831"/>
      <c r="UPF434" s="1831"/>
      <c r="UPG434" s="1831"/>
      <c r="UPH434" s="1831"/>
      <c r="UPI434" s="1831"/>
      <c r="UPJ434" s="1831"/>
      <c r="UPK434" s="1831"/>
      <c r="UPL434" s="1831"/>
      <c r="UPM434" s="1831"/>
      <c r="UPN434" s="1831"/>
      <c r="UPO434" s="1831"/>
      <c r="UPP434" s="1831"/>
      <c r="UPQ434" s="1831"/>
      <c r="UPR434" s="1831"/>
      <c r="UPS434" s="1831"/>
      <c r="UPT434" s="1831"/>
      <c r="UPU434" s="1831"/>
      <c r="UPV434" s="1831"/>
      <c r="UPW434" s="1831"/>
      <c r="UPX434" s="1831"/>
      <c r="UPY434" s="1831"/>
      <c r="UPZ434" s="1831"/>
      <c r="UQA434" s="1831"/>
      <c r="UQB434" s="1831"/>
      <c r="UQC434" s="1831"/>
      <c r="UQD434" s="1831"/>
      <c r="UQE434" s="1831"/>
      <c r="UQF434" s="1831"/>
      <c r="UQG434" s="1831"/>
      <c r="UQH434" s="1831"/>
      <c r="UQI434" s="1831"/>
      <c r="UQJ434" s="1831"/>
      <c r="UQK434" s="1831"/>
      <c r="UQL434" s="1831"/>
      <c r="UQM434" s="1831"/>
      <c r="UQN434" s="1831"/>
      <c r="UQO434" s="1831"/>
      <c r="UQP434" s="1831"/>
      <c r="UQQ434" s="1831"/>
      <c r="UQR434" s="1831"/>
      <c r="UQS434" s="1831"/>
      <c r="UQT434" s="1831"/>
      <c r="UQU434" s="1831"/>
      <c r="UQV434" s="1831"/>
      <c r="UQW434" s="1831"/>
      <c r="UQX434" s="1831"/>
      <c r="UQY434" s="1831"/>
      <c r="UQZ434" s="1831"/>
      <c r="URA434" s="1831"/>
      <c r="URB434" s="1831"/>
      <c r="URC434" s="1831"/>
      <c r="URD434" s="1831"/>
      <c r="URE434" s="1831"/>
      <c r="URF434" s="1831"/>
      <c r="URG434" s="1831"/>
      <c r="URH434" s="1831"/>
      <c r="URI434" s="1831"/>
      <c r="URJ434" s="1831"/>
      <c r="URK434" s="1831"/>
      <c r="URL434" s="1831"/>
      <c r="URM434" s="1831"/>
      <c r="URN434" s="1831"/>
      <c r="URO434" s="1831"/>
      <c r="URP434" s="1831"/>
      <c r="URQ434" s="1831"/>
      <c r="URR434" s="1831"/>
      <c r="URS434" s="1831"/>
      <c r="URT434" s="1831"/>
      <c r="URU434" s="1831"/>
      <c r="URV434" s="1831"/>
      <c r="URW434" s="1831"/>
      <c r="URX434" s="1831"/>
      <c r="URY434" s="1831"/>
      <c r="URZ434" s="1831"/>
      <c r="USA434" s="1831"/>
      <c r="USB434" s="1831"/>
      <c r="USC434" s="1831"/>
      <c r="USD434" s="1831"/>
      <c r="USE434" s="1831"/>
      <c r="USF434" s="1831"/>
      <c r="USG434" s="1831"/>
      <c r="USH434" s="1831"/>
      <c r="USI434" s="1831"/>
      <c r="USJ434" s="1831"/>
      <c r="USK434" s="1831"/>
      <c r="USL434" s="1831"/>
      <c r="USM434" s="1831"/>
      <c r="USN434" s="1831"/>
      <c r="USO434" s="1831"/>
      <c r="USP434" s="1831"/>
      <c r="USQ434" s="1831"/>
      <c r="USR434" s="1831"/>
      <c r="USS434" s="1831"/>
      <c r="UST434" s="1831"/>
      <c r="USU434" s="1831"/>
      <c r="USV434" s="1831"/>
      <c r="USW434" s="1831"/>
      <c r="USX434" s="1831"/>
      <c r="USY434" s="1831"/>
      <c r="USZ434" s="1831"/>
      <c r="UTA434" s="1831"/>
      <c r="UTB434" s="1831"/>
      <c r="UTC434" s="1831"/>
      <c r="UTD434" s="1831"/>
      <c r="UTE434" s="1831"/>
      <c r="UTF434" s="1831"/>
      <c r="UTG434" s="1831"/>
      <c r="UTH434" s="1831"/>
      <c r="UTI434" s="1831"/>
      <c r="UTJ434" s="1831"/>
      <c r="UTK434" s="1831"/>
      <c r="UTL434" s="1831"/>
      <c r="UTM434" s="1831"/>
      <c r="UTN434" s="1831"/>
      <c r="UTO434" s="1831"/>
      <c r="UTP434" s="1831"/>
      <c r="UTQ434" s="1831"/>
      <c r="UTR434" s="1831"/>
      <c r="UTS434" s="1831"/>
      <c r="UTT434" s="1831"/>
      <c r="UTU434" s="1831"/>
      <c r="UTV434" s="1831"/>
      <c r="UTW434" s="1831"/>
      <c r="UTX434" s="1831"/>
      <c r="UTY434" s="1831"/>
      <c r="UTZ434" s="1831"/>
      <c r="UUA434" s="1831"/>
      <c r="UUB434" s="1831"/>
      <c r="UUC434" s="1831"/>
      <c r="UUD434" s="1831"/>
      <c r="UUE434" s="1831"/>
      <c r="UUF434" s="1831"/>
      <c r="UUG434" s="1831"/>
      <c r="UUH434" s="1831"/>
      <c r="UUI434" s="1831"/>
      <c r="UUJ434" s="1831"/>
      <c r="UUK434" s="1831"/>
      <c r="UUL434" s="1831"/>
      <c r="UUM434" s="1831"/>
      <c r="UUN434" s="1831"/>
      <c r="UUO434" s="1831"/>
      <c r="UUP434" s="1831"/>
      <c r="UUQ434" s="1831"/>
      <c r="UUR434" s="1831"/>
      <c r="UUS434" s="1831"/>
      <c r="UUT434" s="1831"/>
      <c r="UUU434" s="1831"/>
      <c r="UUV434" s="1831"/>
      <c r="UUW434" s="1831"/>
      <c r="UUX434" s="1831"/>
      <c r="UUY434" s="1831"/>
      <c r="UUZ434" s="1831"/>
      <c r="UVA434" s="1831"/>
      <c r="UVB434" s="1831"/>
      <c r="UVC434" s="1831"/>
      <c r="UVD434" s="1831"/>
      <c r="UVE434" s="1831"/>
      <c r="UVF434" s="1831"/>
      <c r="UVG434" s="1831"/>
      <c r="UVH434" s="1831"/>
      <c r="UVI434" s="1831"/>
      <c r="UVJ434" s="1831"/>
      <c r="UVK434" s="1831"/>
      <c r="UVL434" s="1831"/>
      <c r="UVM434" s="1831"/>
      <c r="UVN434" s="1831"/>
      <c r="UVO434" s="1831"/>
      <c r="UVP434" s="1831"/>
      <c r="UVQ434" s="1831"/>
      <c r="UVR434" s="1831"/>
      <c r="UVS434" s="1831"/>
      <c r="UVT434" s="1831"/>
      <c r="UVU434" s="1831"/>
      <c r="UVV434" s="1831"/>
      <c r="UVW434" s="1831"/>
      <c r="UVX434" s="1831"/>
      <c r="UVY434" s="1831"/>
      <c r="UVZ434" s="1831"/>
      <c r="UWA434" s="1831"/>
      <c r="UWB434" s="1831"/>
      <c r="UWC434" s="1831"/>
      <c r="UWD434" s="1831"/>
      <c r="UWE434" s="1831"/>
      <c r="UWF434" s="1831"/>
      <c r="UWG434" s="1831"/>
      <c r="UWH434" s="1831"/>
      <c r="UWI434" s="1831"/>
      <c r="UWJ434" s="1831"/>
      <c r="UWK434" s="1831"/>
      <c r="UWL434" s="1831"/>
      <c r="UWM434" s="1831"/>
      <c r="UWN434" s="1831"/>
      <c r="UWO434" s="1831"/>
      <c r="UWP434" s="1831"/>
      <c r="UWQ434" s="1831"/>
      <c r="UWR434" s="1831"/>
      <c r="UWS434" s="1831"/>
      <c r="UWT434" s="1831"/>
      <c r="UWU434" s="1831"/>
      <c r="UWV434" s="1831"/>
      <c r="UWW434" s="1831"/>
      <c r="UWX434" s="1831"/>
      <c r="UWY434" s="1831"/>
      <c r="UWZ434" s="1831"/>
      <c r="UXA434" s="1831"/>
      <c r="UXB434" s="1831"/>
      <c r="UXC434" s="1831"/>
      <c r="UXD434" s="1831"/>
      <c r="UXE434" s="1831"/>
      <c r="UXF434" s="1831"/>
      <c r="UXG434" s="1831"/>
      <c r="UXH434" s="1831"/>
      <c r="UXI434" s="1831"/>
      <c r="UXJ434" s="1831"/>
      <c r="UXK434" s="1831"/>
      <c r="UXL434" s="1831"/>
      <c r="UXM434" s="1831"/>
      <c r="UXN434" s="1831"/>
      <c r="UXO434" s="1831"/>
      <c r="UXP434" s="1831"/>
      <c r="UXQ434" s="1831"/>
      <c r="UXR434" s="1831"/>
      <c r="UXS434" s="1831"/>
      <c r="UXT434" s="1831"/>
      <c r="UXU434" s="1831"/>
      <c r="UXV434" s="1831"/>
      <c r="UXW434" s="1831"/>
      <c r="UXX434" s="1831"/>
      <c r="UXY434" s="1831"/>
      <c r="UXZ434" s="1831"/>
      <c r="UYA434" s="1831"/>
      <c r="UYB434" s="1831"/>
      <c r="UYC434" s="1831"/>
      <c r="UYD434" s="1831"/>
      <c r="UYE434" s="1831"/>
      <c r="UYF434" s="1831"/>
      <c r="UYG434" s="1831"/>
      <c r="UYH434" s="1831"/>
      <c r="UYI434" s="1831"/>
      <c r="UYJ434" s="1831"/>
      <c r="UYK434" s="1831"/>
      <c r="UYL434" s="1831"/>
      <c r="UYM434" s="1831"/>
      <c r="UYN434" s="1831"/>
      <c r="UYO434" s="1831"/>
      <c r="UYP434" s="1831"/>
      <c r="UYQ434" s="1831"/>
      <c r="UYR434" s="1831"/>
      <c r="UYS434" s="1831"/>
      <c r="UYT434" s="1831"/>
      <c r="UYU434" s="1831"/>
      <c r="UYV434" s="1831"/>
      <c r="UYW434" s="1831"/>
      <c r="UYX434" s="1831"/>
      <c r="UYY434" s="1831"/>
      <c r="UYZ434" s="1831"/>
      <c r="UZA434" s="1831"/>
      <c r="UZB434" s="1831"/>
      <c r="UZC434" s="1831"/>
      <c r="UZD434" s="1831"/>
      <c r="UZE434" s="1831"/>
      <c r="UZF434" s="1831"/>
      <c r="UZG434" s="1831"/>
      <c r="UZH434" s="1831"/>
      <c r="UZI434" s="1831"/>
      <c r="UZJ434" s="1831"/>
      <c r="UZK434" s="1831"/>
      <c r="UZL434" s="1831"/>
      <c r="UZM434" s="1831"/>
      <c r="UZN434" s="1831"/>
      <c r="UZO434" s="1831"/>
      <c r="UZP434" s="1831"/>
      <c r="UZQ434" s="1831"/>
      <c r="UZR434" s="1831"/>
      <c r="UZS434" s="1831"/>
      <c r="UZT434" s="1831"/>
      <c r="UZU434" s="1831"/>
      <c r="UZV434" s="1831"/>
      <c r="UZW434" s="1831"/>
      <c r="UZX434" s="1831"/>
      <c r="UZY434" s="1831"/>
      <c r="UZZ434" s="1831"/>
      <c r="VAA434" s="1831"/>
      <c r="VAB434" s="1831"/>
      <c r="VAC434" s="1831"/>
      <c r="VAD434" s="1831"/>
      <c r="VAE434" s="1831"/>
      <c r="VAF434" s="1831"/>
      <c r="VAG434" s="1831"/>
      <c r="VAH434" s="1831"/>
      <c r="VAI434" s="1831"/>
      <c r="VAJ434" s="1831"/>
      <c r="VAK434" s="1831"/>
      <c r="VAL434" s="1831"/>
      <c r="VAM434" s="1831"/>
      <c r="VAN434" s="1831"/>
      <c r="VAO434" s="1831"/>
      <c r="VAP434" s="1831"/>
      <c r="VAQ434" s="1831"/>
      <c r="VAR434" s="1831"/>
      <c r="VAS434" s="1831"/>
      <c r="VAT434" s="1831"/>
      <c r="VAU434" s="1831"/>
      <c r="VAV434" s="1831"/>
      <c r="VAW434" s="1831"/>
      <c r="VAX434" s="1831"/>
      <c r="VAY434" s="1831"/>
      <c r="VAZ434" s="1831"/>
      <c r="VBA434" s="1831"/>
      <c r="VBB434" s="1831"/>
      <c r="VBC434" s="1831"/>
      <c r="VBD434" s="1831"/>
      <c r="VBE434" s="1831"/>
      <c r="VBF434" s="1831"/>
      <c r="VBG434" s="1831"/>
      <c r="VBH434" s="1831"/>
      <c r="VBI434" s="1831"/>
      <c r="VBJ434" s="1831"/>
      <c r="VBK434" s="1831"/>
      <c r="VBL434" s="1831"/>
      <c r="VBM434" s="1831"/>
      <c r="VBN434" s="1831"/>
      <c r="VBO434" s="1831"/>
      <c r="VBP434" s="1831"/>
      <c r="VBQ434" s="1831"/>
      <c r="VBR434" s="1831"/>
      <c r="VBS434" s="1831"/>
      <c r="VBT434" s="1831"/>
      <c r="VBU434" s="1831"/>
      <c r="VBV434" s="1831"/>
      <c r="VBW434" s="1831"/>
      <c r="VBX434" s="1831"/>
      <c r="VBY434" s="1831"/>
      <c r="VBZ434" s="1831"/>
      <c r="VCA434" s="1831"/>
      <c r="VCB434" s="1831"/>
      <c r="VCC434" s="1831"/>
      <c r="VCD434" s="1831"/>
      <c r="VCE434" s="1831"/>
      <c r="VCF434" s="1831"/>
      <c r="VCG434" s="1831"/>
      <c r="VCH434" s="1831"/>
      <c r="VCI434" s="1831"/>
      <c r="VCJ434" s="1831"/>
      <c r="VCK434" s="1831"/>
      <c r="VCL434" s="1831"/>
      <c r="VCM434" s="1831"/>
      <c r="VCN434" s="1831"/>
      <c r="VCO434" s="1831"/>
      <c r="VCP434" s="1831"/>
      <c r="VCQ434" s="1831"/>
      <c r="VCR434" s="1831"/>
      <c r="VCS434" s="1831"/>
      <c r="VCT434" s="1831"/>
      <c r="VCU434" s="1831"/>
      <c r="VCV434" s="1831"/>
      <c r="VCW434" s="1831"/>
      <c r="VCX434" s="1831"/>
      <c r="VCY434" s="1831"/>
      <c r="VCZ434" s="1831"/>
      <c r="VDA434" s="1831"/>
      <c r="VDB434" s="1831"/>
      <c r="VDC434" s="1831"/>
      <c r="VDD434" s="1831"/>
      <c r="VDE434" s="1831"/>
      <c r="VDF434" s="1831"/>
      <c r="VDG434" s="1831"/>
      <c r="VDH434" s="1831"/>
      <c r="VDI434" s="1831"/>
      <c r="VDJ434" s="1831"/>
      <c r="VDK434" s="1831"/>
      <c r="VDL434" s="1831"/>
      <c r="VDM434" s="1831"/>
      <c r="VDN434" s="1831"/>
      <c r="VDO434" s="1831"/>
      <c r="VDP434" s="1831"/>
      <c r="VDQ434" s="1831"/>
      <c r="VDR434" s="1831"/>
      <c r="VDS434" s="1831"/>
      <c r="VDT434" s="1831"/>
      <c r="VDU434" s="1831"/>
      <c r="VDV434" s="1831"/>
      <c r="VDW434" s="1831"/>
      <c r="VDX434" s="1831"/>
      <c r="VDY434" s="1831"/>
      <c r="VDZ434" s="1831"/>
      <c r="VEA434" s="1831"/>
      <c r="VEB434" s="1831"/>
      <c r="VEC434" s="1831"/>
      <c r="VED434" s="1831"/>
      <c r="VEE434" s="1831"/>
      <c r="VEF434" s="1831"/>
      <c r="VEG434" s="1831"/>
      <c r="VEH434" s="1831"/>
      <c r="VEI434" s="1831"/>
      <c r="VEJ434" s="1831"/>
      <c r="VEK434" s="1831"/>
      <c r="VEL434" s="1831"/>
      <c r="VEM434" s="1831"/>
      <c r="VEN434" s="1831"/>
      <c r="VEO434" s="1831"/>
      <c r="VEP434" s="1831"/>
      <c r="VEQ434" s="1831"/>
      <c r="VER434" s="1831"/>
      <c r="VES434" s="1831"/>
      <c r="VET434" s="1831"/>
      <c r="VEU434" s="1831"/>
      <c r="VEV434" s="1831"/>
      <c r="VEW434" s="1831"/>
      <c r="VEX434" s="1831"/>
      <c r="VEY434" s="1831"/>
      <c r="VEZ434" s="1831"/>
      <c r="VFA434" s="1831"/>
      <c r="VFB434" s="1831"/>
      <c r="VFC434" s="1831"/>
      <c r="VFD434" s="1831"/>
      <c r="VFE434" s="1831"/>
      <c r="VFF434" s="1831"/>
      <c r="VFG434" s="1831"/>
      <c r="VFH434" s="1831"/>
      <c r="VFI434" s="1831"/>
      <c r="VFJ434" s="1831"/>
      <c r="VFK434" s="1831"/>
      <c r="VFL434" s="1831"/>
      <c r="VFM434" s="1831"/>
      <c r="VFN434" s="1831"/>
      <c r="VFO434" s="1831"/>
      <c r="VFP434" s="1831"/>
      <c r="VFQ434" s="1831"/>
      <c r="VFR434" s="1831"/>
      <c r="VFS434" s="1831"/>
      <c r="VFT434" s="1831"/>
      <c r="VFU434" s="1831"/>
      <c r="VFV434" s="1831"/>
      <c r="VFW434" s="1831"/>
      <c r="VFX434" s="1831"/>
      <c r="VFY434" s="1831"/>
      <c r="VFZ434" s="1831"/>
      <c r="VGA434" s="1831"/>
      <c r="VGB434" s="1831"/>
      <c r="VGC434" s="1831"/>
      <c r="VGD434" s="1831"/>
      <c r="VGE434" s="1831"/>
      <c r="VGF434" s="1831"/>
      <c r="VGG434" s="1831"/>
      <c r="VGH434" s="1831"/>
      <c r="VGI434" s="1831"/>
      <c r="VGJ434" s="1831"/>
      <c r="VGK434" s="1831"/>
      <c r="VGL434" s="1831"/>
      <c r="VGM434" s="1831"/>
      <c r="VGN434" s="1831"/>
      <c r="VGO434" s="1831"/>
      <c r="VGP434" s="1831"/>
      <c r="VGQ434" s="1831"/>
      <c r="VGR434" s="1831"/>
      <c r="VGS434" s="1831"/>
      <c r="VGT434" s="1831"/>
      <c r="VGU434" s="1831"/>
      <c r="VGV434" s="1831"/>
      <c r="VGW434" s="1831"/>
      <c r="VGX434" s="1831"/>
      <c r="VGY434" s="1831"/>
      <c r="VGZ434" s="1831"/>
      <c r="VHA434" s="1831"/>
      <c r="VHB434" s="1831"/>
      <c r="VHC434" s="1831"/>
      <c r="VHD434" s="1831"/>
      <c r="VHE434" s="1831"/>
      <c r="VHF434" s="1831"/>
      <c r="VHG434" s="1831"/>
      <c r="VHH434" s="1831"/>
      <c r="VHI434" s="1831"/>
      <c r="VHJ434" s="1831"/>
      <c r="VHK434" s="1831"/>
      <c r="VHL434" s="1831"/>
      <c r="VHM434" s="1831"/>
      <c r="VHN434" s="1831"/>
      <c r="VHO434" s="1831"/>
      <c r="VHP434" s="1831"/>
      <c r="VHQ434" s="1831"/>
      <c r="VHR434" s="1831"/>
      <c r="VHS434" s="1831"/>
      <c r="VHT434" s="1831"/>
      <c r="VHU434" s="1831"/>
      <c r="VHV434" s="1831"/>
      <c r="VHW434" s="1831"/>
      <c r="VHX434" s="1831"/>
      <c r="VHY434" s="1831"/>
      <c r="VHZ434" s="1831"/>
      <c r="VIA434" s="1831"/>
      <c r="VIB434" s="1831"/>
      <c r="VIC434" s="1831"/>
      <c r="VID434" s="1831"/>
      <c r="VIE434" s="1831"/>
      <c r="VIF434" s="1831"/>
      <c r="VIG434" s="1831"/>
      <c r="VIH434" s="1831"/>
      <c r="VII434" s="1831"/>
      <c r="VIJ434" s="1831"/>
      <c r="VIK434" s="1831"/>
      <c r="VIL434" s="1831"/>
      <c r="VIM434" s="1831"/>
      <c r="VIN434" s="1831"/>
      <c r="VIO434" s="1831"/>
      <c r="VIP434" s="1831"/>
      <c r="VIQ434" s="1831"/>
      <c r="VIR434" s="1831"/>
      <c r="VIS434" s="1831"/>
      <c r="VIT434" s="1831"/>
      <c r="VIU434" s="1831"/>
      <c r="VIV434" s="1831"/>
      <c r="VIW434" s="1831"/>
      <c r="VIX434" s="1831"/>
      <c r="VIY434" s="1831"/>
      <c r="VIZ434" s="1831"/>
      <c r="VJA434" s="1831"/>
      <c r="VJB434" s="1831"/>
      <c r="VJC434" s="1831"/>
      <c r="VJD434" s="1831"/>
      <c r="VJE434" s="1831"/>
      <c r="VJF434" s="1831"/>
      <c r="VJG434" s="1831"/>
      <c r="VJH434" s="1831"/>
      <c r="VJI434" s="1831"/>
      <c r="VJJ434" s="1831"/>
      <c r="VJK434" s="1831"/>
      <c r="VJL434" s="1831"/>
      <c r="VJM434" s="1831"/>
      <c r="VJN434" s="1831"/>
      <c r="VJO434" s="1831"/>
      <c r="VJP434" s="1831"/>
      <c r="VJQ434" s="1831"/>
      <c r="VJR434" s="1831"/>
      <c r="VJS434" s="1831"/>
      <c r="VJT434" s="1831"/>
      <c r="VJU434" s="1831"/>
      <c r="VJV434" s="1831"/>
      <c r="VJW434" s="1831"/>
      <c r="VJX434" s="1831"/>
      <c r="VJY434" s="1831"/>
      <c r="VJZ434" s="1831"/>
      <c r="VKA434" s="1831"/>
      <c r="VKB434" s="1831"/>
      <c r="VKC434" s="1831"/>
      <c r="VKD434" s="1831"/>
      <c r="VKE434" s="1831"/>
      <c r="VKF434" s="1831"/>
      <c r="VKG434" s="1831"/>
      <c r="VKH434" s="1831"/>
      <c r="VKI434" s="1831"/>
      <c r="VKJ434" s="1831"/>
      <c r="VKK434" s="1831"/>
      <c r="VKL434" s="1831"/>
      <c r="VKM434" s="1831"/>
      <c r="VKN434" s="1831"/>
      <c r="VKO434" s="1831"/>
      <c r="VKP434" s="1831"/>
      <c r="VKQ434" s="1831"/>
      <c r="VKR434" s="1831"/>
      <c r="VKS434" s="1831"/>
      <c r="VKT434" s="1831"/>
      <c r="VKU434" s="1831"/>
      <c r="VKV434" s="1831"/>
      <c r="VKW434" s="1831"/>
      <c r="VKX434" s="1831"/>
      <c r="VKY434" s="1831"/>
      <c r="VKZ434" s="1831"/>
      <c r="VLA434" s="1831"/>
      <c r="VLB434" s="1831"/>
      <c r="VLC434" s="1831"/>
      <c r="VLD434" s="1831"/>
      <c r="VLE434" s="1831"/>
      <c r="VLF434" s="1831"/>
      <c r="VLG434" s="1831"/>
      <c r="VLH434" s="1831"/>
      <c r="VLI434" s="1831"/>
      <c r="VLJ434" s="1831"/>
      <c r="VLK434" s="1831"/>
      <c r="VLL434" s="1831"/>
      <c r="VLM434" s="1831"/>
      <c r="VLN434" s="1831"/>
      <c r="VLO434" s="1831"/>
      <c r="VLP434" s="1831"/>
      <c r="VLQ434" s="1831"/>
      <c r="VLR434" s="1831"/>
      <c r="VLS434" s="1831"/>
      <c r="VLT434" s="1831"/>
      <c r="VLU434" s="1831"/>
      <c r="VLV434" s="1831"/>
      <c r="VLW434" s="1831"/>
      <c r="VLX434" s="1831"/>
      <c r="VLY434" s="1831"/>
      <c r="VLZ434" s="1831"/>
      <c r="VMA434" s="1831"/>
      <c r="VMB434" s="1831"/>
      <c r="VMC434" s="1831"/>
      <c r="VMD434" s="1831"/>
      <c r="VME434" s="1831"/>
      <c r="VMF434" s="1831"/>
      <c r="VMG434" s="1831"/>
      <c r="VMH434" s="1831"/>
      <c r="VMI434" s="1831"/>
      <c r="VMJ434" s="1831"/>
      <c r="VMK434" s="1831"/>
      <c r="VML434" s="1831"/>
      <c r="VMM434" s="1831"/>
      <c r="VMN434" s="1831"/>
      <c r="VMO434" s="1831"/>
      <c r="VMP434" s="1831"/>
      <c r="VMQ434" s="1831"/>
      <c r="VMR434" s="1831"/>
      <c r="VMS434" s="1831"/>
      <c r="VMT434" s="1831"/>
      <c r="VMU434" s="1831"/>
      <c r="VMV434" s="1831"/>
      <c r="VMW434" s="1831"/>
      <c r="VMX434" s="1831"/>
      <c r="VMY434" s="1831"/>
      <c r="VMZ434" s="1831"/>
      <c r="VNA434" s="1831"/>
      <c r="VNB434" s="1831"/>
      <c r="VNC434" s="1831"/>
      <c r="VND434" s="1831"/>
      <c r="VNE434" s="1831"/>
      <c r="VNF434" s="1831"/>
      <c r="VNG434" s="1831"/>
      <c r="VNH434" s="1831"/>
      <c r="VNI434" s="1831"/>
      <c r="VNJ434" s="1831"/>
      <c r="VNK434" s="1831"/>
      <c r="VNL434" s="1831"/>
      <c r="VNM434" s="1831"/>
      <c r="VNN434" s="1831"/>
      <c r="VNO434" s="1831"/>
      <c r="VNP434" s="1831"/>
      <c r="VNQ434" s="1831"/>
      <c r="VNR434" s="1831"/>
      <c r="VNS434" s="1831"/>
      <c r="VNT434" s="1831"/>
      <c r="VNU434" s="1831"/>
      <c r="VNV434" s="1831"/>
      <c r="VNW434" s="1831"/>
      <c r="VNX434" s="1831"/>
      <c r="VNY434" s="1831"/>
      <c r="VNZ434" s="1831"/>
      <c r="VOA434" s="1831"/>
      <c r="VOB434" s="1831"/>
      <c r="VOC434" s="1831"/>
      <c r="VOD434" s="1831"/>
      <c r="VOE434" s="1831"/>
      <c r="VOF434" s="1831"/>
      <c r="VOG434" s="1831"/>
      <c r="VOH434" s="1831"/>
      <c r="VOI434" s="1831"/>
      <c r="VOJ434" s="1831"/>
      <c r="VOK434" s="1831"/>
      <c r="VOL434" s="1831"/>
      <c r="VOM434" s="1831"/>
      <c r="VON434" s="1831"/>
      <c r="VOO434" s="1831"/>
      <c r="VOP434" s="1831"/>
      <c r="VOQ434" s="1831"/>
      <c r="VOR434" s="1831"/>
      <c r="VOS434" s="1831"/>
      <c r="VOT434" s="1831"/>
      <c r="VOU434" s="1831"/>
      <c r="VOV434" s="1831"/>
      <c r="VOW434" s="1831"/>
      <c r="VOX434" s="1831"/>
      <c r="VOY434" s="1831"/>
      <c r="VOZ434" s="1831"/>
      <c r="VPA434" s="1831"/>
      <c r="VPB434" s="1831"/>
      <c r="VPC434" s="1831"/>
      <c r="VPD434" s="1831"/>
      <c r="VPE434" s="1831"/>
      <c r="VPF434" s="1831"/>
      <c r="VPG434" s="1831"/>
      <c r="VPH434" s="1831"/>
      <c r="VPI434" s="1831"/>
      <c r="VPJ434" s="1831"/>
      <c r="VPK434" s="1831"/>
      <c r="VPL434" s="1831"/>
      <c r="VPM434" s="1831"/>
      <c r="VPN434" s="1831"/>
      <c r="VPO434" s="1831"/>
      <c r="VPP434" s="1831"/>
      <c r="VPQ434" s="1831"/>
      <c r="VPR434" s="1831"/>
      <c r="VPS434" s="1831"/>
      <c r="VPT434" s="1831"/>
      <c r="VPU434" s="1831"/>
      <c r="VPV434" s="1831"/>
      <c r="VPW434" s="1831"/>
      <c r="VPX434" s="1831"/>
      <c r="VPY434" s="1831"/>
      <c r="VPZ434" s="1831"/>
      <c r="VQA434" s="1831"/>
      <c r="VQB434" s="1831"/>
      <c r="VQC434" s="1831"/>
      <c r="VQD434" s="1831"/>
      <c r="VQE434" s="1831"/>
      <c r="VQF434" s="1831"/>
      <c r="VQG434" s="1831"/>
      <c r="VQH434" s="1831"/>
      <c r="VQI434" s="1831"/>
      <c r="VQJ434" s="1831"/>
      <c r="VQK434" s="1831"/>
      <c r="VQL434" s="1831"/>
      <c r="VQM434" s="1831"/>
      <c r="VQN434" s="1831"/>
      <c r="VQO434" s="1831"/>
      <c r="VQP434" s="1831"/>
      <c r="VQQ434" s="1831"/>
      <c r="VQR434" s="1831"/>
      <c r="VQS434" s="1831"/>
      <c r="VQT434" s="1831"/>
      <c r="VQU434" s="1831"/>
      <c r="VQV434" s="1831"/>
      <c r="VQW434" s="1831"/>
      <c r="VQX434" s="1831"/>
      <c r="VQY434" s="1831"/>
      <c r="VQZ434" s="1831"/>
      <c r="VRA434" s="1831"/>
      <c r="VRB434" s="1831"/>
      <c r="VRC434" s="1831"/>
      <c r="VRD434" s="1831"/>
      <c r="VRE434" s="1831"/>
      <c r="VRF434" s="1831"/>
      <c r="VRG434" s="1831"/>
      <c r="VRH434" s="1831"/>
      <c r="VRI434" s="1831"/>
      <c r="VRJ434" s="1831"/>
      <c r="VRK434" s="1831"/>
      <c r="VRL434" s="1831"/>
      <c r="VRM434" s="1831"/>
      <c r="VRN434" s="1831"/>
      <c r="VRO434" s="1831"/>
      <c r="VRP434" s="1831"/>
      <c r="VRQ434" s="1831"/>
      <c r="VRR434" s="1831"/>
      <c r="VRS434" s="1831"/>
      <c r="VRT434" s="1831"/>
      <c r="VRU434" s="1831"/>
      <c r="VRV434" s="1831"/>
      <c r="VRW434" s="1831"/>
      <c r="VRX434" s="1831"/>
      <c r="VRY434" s="1831"/>
      <c r="VRZ434" s="1831"/>
      <c r="VSA434" s="1831"/>
      <c r="VSB434" s="1831"/>
      <c r="VSC434" s="1831"/>
      <c r="VSD434" s="1831"/>
      <c r="VSE434" s="1831"/>
      <c r="VSF434" s="1831"/>
      <c r="VSG434" s="1831"/>
      <c r="VSH434" s="1831"/>
      <c r="VSI434" s="1831"/>
      <c r="VSJ434" s="1831"/>
      <c r="VSK434" s="1831"/>
      <c r="VSL434" s="1831"/>
      <c r="VSM434" s="1831"/>
      <c r="VSN434" s="1831"/>
      <c r="VSO434" s="1831"/>
      <c r="VSP434" s="1831"/>
      <c r="VSQ434" s="1831"/>
      <c r="VSR434" s="1831"/>
      <c r="VSS434" s="1831"/>
      <c r="VST434" s="1831"/>
      <c r="VSU434" s="1831"/>
      <c r="VSV434" s="1831"/>
      <c r="VSW434" s="1831"/>
      <c r="VSX434" s="1831"/>
      <c r="VSY434" s="1831"/>
      <c r="VSZ434" s="1831"/>
      <c r="VTA434" s="1831"/>
      <c r="VTB434" s="1831"/>
      <c r="VTC434" s="1831"/>
      <c r="VTD434" s="1831"/>
      <c r="VTE434" s="1831"/>
      <c r="VTF434" s="1831"/>
      <c r="VTG434" s="1831"/>
      <c r="VTH434" s="1831"/>
      <c r="VTI434" s="1831"/>
      <c r="VTJ434" s="1831"/>
      <c r="VTK434" s="1831"/>
      <c r="VTL434" s="1831"/>
      <c r="VTM434" s="1831"/>
      <c r="VTN434" s="1831"/>
      <c r="VTO434" s="1831"/>
      <c r="VTP434" s="1831"/>
      <c r="VTQ434" s="1831"/>
      <c r="VTR434" s="1831"/>
      <c r="VTS434" s="1831"/>
      <c r="VTT434" s="1831"/>
      <c r="VTU434" s="1831"/>
      <c r="VTV434" s="1831"/>
      <c r="VTW434" s="1831"/>
      <c r="VTX434" s="1831"/>
      <c r="VTY434" s="1831"/>
      <c r="VTZ434" s="1831"/>
      <c r="VUA434" s="1831"/>
      <c r="VUB434" s="1831"/>
      <c r="VUC434" s="1831"/>
      <c r="VUD434" s="1831"/>
      <c r="VUE434" s="1831"/>
      <c r="VUF434" s="1831"/>
      <c r="VUG434" s="1831"/>
      <c r="VUH434" s="1831"/>
      <c r="VUI434" s="1831"/>
      <c r="VUJ434" s="1831"/>
      <c r="VUK434" s="1831"/>
      <c r="VUL434" s="1831"/>
      <c r="VUM434" s="1831"/>
      <c r="VUN434" s="1831"/>
      <c r="VUO434" s="1831"/>
      <c r="VUP434" s="1831"/>
      <c r="VUQ434" s="1831"/>
      <c r="VUR434" s="1831"/>
      <c r="VUS434" s="1831"/>
      <c r="VUT434" s="1831"/>
      <c r="VUU434" s="1831"/>
      <c r="VUV434" s="1831"/>
      <c r="VUW434" s="1831"/>
      <c r="VUX434" s="1831"/>
      <c r="VUY434" s="1831"/>
      <c r="VUZ434" s="1831"/>
      <c r="VVA434" s="1831"/>
      <c r="VVB434" s="1831"/>
      <c r="VVC434" s="1831"/>
      <c r="VVD434" s="1831"/>
      <c r="VVE434" s="1831"/>
      <c r="VVF434" s="1831"/>
      <c r="VVG434" s="1831"/>
      <c r="VVH434" s="1831"/>
      <c r="VVI434" s="1831"/>
      <c r="VVJ434" s="1831"/>
      <c r="VVK434" s="1831"/>
      <c r="VVL434" s="1831"/>
      <c r="VVM434" s="1831"/>
      <c r="VVN434" s="1831"/>
      <c r="VVO434" s="1831"/>
      <c r="VVP434" s="1831"/>
      <c r="VVQ434" s="1831"/>
      <c r="VVR434" s="1831"/>
      <c r="VVS434" s="1831"/>
      <c r="VVT434" s="1831"/>
      <c r="VVU434" s="1831"/>
      <c r="VVV434" s="1831"/>
      <c r="VVW434" s="1831"/>
      <c r="VVX434" s="1831"/>
      <c r="VVY434" s="1831"/>
      <c r="VVZ434" s="1831"/>
      <c r="VWA434" s="1831"/>
      <c r="VWB434" s="1831"/>
      <c r="VWC434" s="1831"/>
      <c r="VWD434" s="1831"/>
      <c r="VWE434" s="1831"/>
      <c r="VWF434" s="1831"/>
      <c r="VWG434" s="1831"/>
      <c r="VWH434" s="1831"/>
      <c r="VWI434" s="1831"/>
      <c r="VWJ434" s="1831"/>
      <c r="VWK434" s="1831"/>
      <c r="VWL434" s="1831"/>
      <c r="VWM434" s="1831"/>
      <c r="VWN434" s="1831"/>
      <c r="VWO434" s="1831"/>
      <c r="VWP434" s="1831"/>
      <c r="VWQ434" s="1831"/>
      <c r="VWR434" s="1831"/>
      <c r="VWS434" s="1831"/>
      <c r="VWT434" s="1831"/>
      <c r="VWU434" s="1831"/>
      <c r="VWV434" s="1831"/>
      <c r="VWW434" s="1831"/>
      <c r="VWX434" s="1831"/>
      <c r="VWY434" s="1831"/>
      <c r="VWZ434" s="1831"/>
      <c r="VXA434" s="1831"/>
      <c r="VXB434" s="1831"/>
      <c r="VXC434" s="1831"/>
      <c r="VXD434" s="1831"/>
      <c r="VXE434" s="1831"/>
      <c r="VXF434" s="1831"/>
      <c r="VXG434" s="1831"/>
      <c r="VXH434" s="1831"/>
      <c r="VXI434" s="1831"/>
      <c r="VXJ434" s="1831"/>
      <c r="VXK434" s="1831"/>
      <c r="VXL434" s="1831"/>
      <c r="VXM434" s="1831"/>
      <c r="VXN434" s="1831"/>
      <c r="VXO434" s="1831"/>
      <c r="VXP434" s="1831"/>
      <c r="VXQ434" s="1831"/>
      <c r="VXR434" s="1831"/>
      <c r="VXS434" s="1831"/>
      <c r="VXT434" s="1831"/>
      <c r="VXU434" s="1831"/>
      <c r="VXV434" s="1831"/>
      <c r="VXW434" s="1831"/>
      <c r="VXX434" s="1831"/>
      <c r="VXY434" s="1831"/>
      <c r="VXZ434" s="1831"/>
      <c r="VYA434" s="1831"/>
      <c r="VYB434" s="1831"/>
      <c r="VYC434" s="1831"/>
      <c r="VYD434" s="1831"/>
      <c r="VYE434" s="1831"/>
      <c r="VYF434" s="1831"/>
      <c r="VYG434" s="1831"/>
      <c r="VYH434" s="1831"/>
      <c r="VYI434" s="1831"/>
      <c r="VYJ434" s="1831"/>
      <c r="VYK434" s="1831"/>
      <c r="VYL434" s="1831"/>
      <c r="VYM434" s="1831"/>
      <c r="VYN434" s="1831"/>
      <c r="VYO434" s="1831"/>
      <c r="VYP434" s="1831"/>
      <c r="VYQ434" s="1831"/>
      <c r="VYR434" s="1831"/>
      <c r="VYS434" s="1831"/>
      <c r="VYT434" s="1831"/>
      <c r="VYU434" s="1831"/>
      <c r="VYV434" s="1831"/>
      <c r="VYW434" s="1831"/>
      <c r="VYX434" s="1831"/>
      <c r="VYY434" s="1831"/>
      <c r="VYZ434" s="1831"/>
      <c r="VZA434" s="1831"/>
      <c r="VZB434" s="1831"/>
      <c r="VZC434" s="1831"/>
      <c r="VZD434" s="1831"/>
      <c r="VZE434" s="1831"/>
      <c r="VZF434" s="1831"/>
      <c r="VZG434" s="1831"/>
      <c r="VZH434" s="1831"/>
      <c r="VZI434" s="1831"/>
      <c r="VZJ434" s="1831"/>
      <c r="VZK434" s="1831"/>
      <c r="VZL434" s="1831"/>
      <c r="VZM434" s="1831"/>
      <c r="VZN434" s="1831"/>
      <c r="VZO434" s="1831"/>
      <c r="VZP434" s="1831"/>
      <c r="VZQ434" s="1831"/>
      <c r="VZR434" s="1831"/>
      <c r="VZS434" s="1831"/>
      <c r="VZT434" s="1831"/>
      <c r="VZU434" s="1831"/>
      <c r="VZV434" s="1831"/>
      <c r="VZW434" s="1831"/>
      <c r="VZX434" s="1831"/>
      <c r="VZY434" s="1831"/>
      <c r="VZZ434" s="1831"/>
      <c r="WAA434" s="1831"/>
      <c r="WAB434" s="1831"/>
      <c r="WAC434" s="1831"/>
      <c r="WAD434" s="1831"/>
      <c r="WAE434" s="1831"/>
      <c r="WAF434" s="1831"/>
      <c r="WAG434" s="1831"/>
      <c r="WAH434" s="1831"/>
      <c r="WAI434" s="1831"/>
      <c r="WAJ434" s="1831"/>
      <c r="WAK434" s="1831"/>
      <c r="WAL434" s="1831"/>
      <c r="WAM434" s="1831"/>
      <c r="WAN434" s="1831"/>
      <c r="WAO434" s="1831"/>
      <c r="WAP434" s="1831"/>
      <c r="WAQ434" s="1831"/>
      <c r="WAR434" s="1831"/>
      <c r="WAS434" s="1831"/>
      <c r="WAT434" s="1831"/>
      <c r="WAU434" s="1831"/>
      <c r="WAV434" s="1831"/>
      <c r="WAW434" s="1831"/>
      <c r="WAX434" s="1831"/>
      <c r="WAY434" s="1831"/>
      <c r="WAZ434" s="1831"/>
      <c r="WBA434" s="1831"/>
      <c r="WBB434" s="1831"/>
      <c r="WBC434" s="1831"/>
      <c r="WBD434" s="1831"/>
      <c r="WBE434" s="1831"/>
      <c r="WBF434" s="1831"/>
      <c r="WBG434" s="1831"/>
      <c r="WBH434" s="1831"/>
      <c r="WBI434" s="1831"/>
      <c r="WBJ434" s="1831"/>
      <c r="WBK434" s="1831"/>
      <c r="WBL434" s="1831"/>
      <c r="WBM434" s="1831"/>
      <c r="WBN434" s="1831"/>
      <c r="WBO434" s="1831"/>
      <c r="WBP434" s="1831"/>
      <c r="WBQ434" s="1831"/>
      <c r="WBR434" s="1831"/>
      <c r="WBS434" s="1831"/>
      <c r="WBT434" s="1831"/>
      <c r="WBU434" s="1831"/>
      <c r="WBV434" s="1831"/>
      <c r="WBW434" s="1831"/>
      <c r="WBX434" s="1831"/>
      <c r="WBY434" s="1831"/>
      <c r="WBZ434" s="1831"/>
      <c r="WCA434" s="1831"/>
      <c r="WCB434" s="1831"/>
      <c r="WCC434" s="1831"/>
      <c r="WCD434" s="1831"/>
      <c r="WCE434" s="1831"/>
      <c r="WCF434" s="1831"/>
      <c r="WCG434" s="1831"/>
      <c r="WCH434" s="1831"/>
      <c r="WCI434" s="1831"/>
      <c r="WCJ434" s="1831"/>
      <c r="WCK434" s="1831"/>
      <c r="WCL434" s="1831"/>
      <c r="WCM434" s="1831"/>
      <c r="WCN434" s="1831"/>
      <c r="WCO434" s="1831"/>
      <c r="WCP434" s="1831"/>
      <c r="WCQ434" s="1831"/>
      <c r="WCR434" s="1831"/>
      <c r="WCS434" s="1831"/>
      <c r="WCT434" s="1831"/>
      <c r="WCU434" s="1831"/>
      <c r="WCV434" s="1831"/>
      <c r="WCW434" s="1831"/>
      <c r="WCX434" s="1831"/>
      <c r="WCY434" s="1831"/>
      <c r="WCZ434" s="1831"/>
      <c r="WDA434" s="1831"/>
      <c r="WDB434" s="1831"/>
      <c r="WDC434" s="1831"/>
      <c r="WDD434" s="1831"/>
      <c r="WDE434" s="1831"/>
      <c r="WDF434" s="1831"/>
      <c r="WDG434" s="1831"/>
      <c r="WDH434" s="1831"/>
      <c r="WDI434" s="1831"/>
      <c r="WDJ434" s="1831"/>
      <c r="WDK434" s="1831"/>
      <c r="WDL434" s="1831"/>
      <c r="WDM434" s="1831"/>
      <c r="WDN434" s="1831"/>
      <c r="WDO434" s="1831"/>
      <c r="WDP434" s="1831"/>
      <c r="WDQ434" s="1831"/>
      <c r="WDR434" s="1831"/>
      <c r="WDS434" s="1831"/>
      <c r="WDT434" s="1831"/>
      <c r="WDU434" s="1831"/>
      <c r="WDV434" s="1831"/>
      <c r="WDW434" s="1831"/>
      <c r="WDX434" s="1831"/>
      <c r="WDY434" s="1831"/>
      <c r="WDZ434" s="1831"/>
      <c r="WEA434" s="1831"/>
      <c r="WEB434" s="1831"/>
      <c r="WEC434" s="1831"/>
      <c r="WED434" s="1831"/>
      <c r="WEE434" s="1831"/>
      <c r="WEF434" s="1831"/>
      <c r="WEG434" s="1831"/>
      <c r="WEH434" s="1831"/>
      <c r="WEI434" s="1831"/>
      <c r="WEJ434" s="1831"/>
      <c r="WEK434" s="1831"/>
      <c r="WEL434" s="1831"/>
      <c r="WEM434" s="1831"/>
      <c r="WEN434" s="1831"/>
      <c r="WEO434" s="1831"/>
      <c r="WEP434" s="1831"/>
      <c r="WEQ434" s="1831"/>
      <c r="WER434" s="1831"/>
      <c r="WES434" s="1831"/>
      <c r="WET434" s="1831"/>
      <c r="WEU434" s="1831"/>
      <c r="WEV434" s="1831"/>
      <c r="WEW434" s="1831"/>
      <c r="WEX434" s="1831"/>
      <c r="WEY434" s="1831"/>
      <c r="WEZ434" s="1831"/>
      <c r="WFA434" s="1831"/>
      <c r="WFB434" s="1831"/>
      <c r="WFC434" s="1831"/>
      <c r="WFD434" s="1831"/>
      <c r="WFE434" s="1831"/>
      <c r="WFF434" s="1831"/>
      <c r="WFG434" s="1831"/>
      <c r="WFH434" s="1831"/>
      <c r="WFI434" s="1831"/>
      <c r="WFJ434" s="1831"/>
      <c r="WFK434" s="1831"/>
      <c r="WFL434" s="1831"/>
      <c r="WFM434" s="1831"/>
      <c r="WFN434" s="1831"/>
      <c r="WFO434" s="1831"/>
      <c r="WFP434" s="1831"/>
      <c r="WFQ434" s="1831"/>
      <c r="WFR434" s="1831"/>
      <c r="WFS434" s="1831"/>
      <c r="WFT434" s="1831"/>
      <c r="WFU434" s="1831"/>
      <c r="WFV434" s="1831"/>
      <c r="WFW434" s="1831"/>
      <c r="WFX434" s="1831"/>
      <c r="WFY434" s="1831"/>
      <c r="WFZ434" s="1831"/>
      <c r="WGA434" s="1831"/>
      <c r="WGB434" s="1831"/>
      <c r="WGC434" s="1831"/>
      <c r="WGD434" s="1831"/>
      <c r="WGE434" s="1831"/>
      <c r="WGF434" s="1831"/>
      <c r="WGG434" s="1831"/>
      <c r="WGH434" s="1831"/>
      <c r="WGI434" s="1831"/>
      <c r="WGJ434" s="1831"/>
      <c r="WGK434" s="1831"/>
      <c r="WGL434" s="1831"/>
      <c r="WGM434" s="1831"/>
      <c r="WGN434" s="1831"/>
      <c r="WGO434" s="1831"/>
      <c r="WGP434" s="1831"/>
      <c r="WGQ434" s="1831"/>
      <c r="WGR434" s="1831"/>
      <c r="WGS434" s="1831"/>
      <c r="WGT434" s="1831"/>
      <c r="WGU434" s="1831"/>
      <c r="WGV434" s="1831"/>
      <c r="WGW434" s="1831"/>
      <c r="WGX434" s="1831"/>
      <c r="WGY434" s="1831"/>
      <c r="WGZ434" s="1831"/>
      <c r="WHA434" s="1831"/>
      <c r="WHB434" s="1831"/>
      <c r="WHC434" s="1831"/>
      <c r="WHD434" s="1831"/>
      <c r="WHE434" s="1831"/>
      <c r="WHF434" s="1831"/>
      <c r="WHG434" s="1831"/>
      <c r="WHH434" s="1831"/>
      <c r="WHI434" s="1831"/>
      <c r="WHJ434" s="1831"/>
      <c r="WHK434" s="1831"/>
      <c r="WHL434" s="1831"/>
      <c r="WHM434" s="1831"/>
      <c r="WHN434" s="1831"/>
      <c r="WHO434" s="1831"/>
      <c r="WHP434" s="1831"/>
      <c r="WHQ434" s="1831"/>
      <c r="WHR434" s="1831"/>
      <c r="WHS434" s="1831"/>
      <c r="WHT434" s="1831"/>
      <c r="WHU434" s="1831"/>
      <c r="WHV434" s="1831"/>
      <c r="WHW434" s="1831"/>
      <c r="WHX434" s="1831"/>
      <c r="WHY434" s="1831"/>
      <c r="WHZ434" s="1831"/>
      <c r="WIA434" s="1831"/>
      <c r="WIB434" s="1831"/>
      <c r="WIC434" s="1831"/>
      <c r="WID434" s="1831"/>
      <c r="WIE434" s="1831"/>
      <c r="WIF434" s="1831"/>
      <c r="WIG434" s="1831"/>
      <c r="WIH434" s="1831"/>
      <c r="WII434" s="1831"/>
      <c r="WIJ434" s="1831"/>
      <c r="WIK434" s="1831"/>
      <c r="WIL434" s="1831"/>
      <c r="WIM434" s="1831"/>
      <c r="WIN434" s="1831"/>
      <c r="WIO434" s="1831"/>
      <c r="WIP434" s="1831"/>
      <c r="WIQ434" s="1831"/>
      <c r="WIR434" s="1831"/>
      <c r="WIS434" s="1831"/>
      <c r="WIT434" s="1831"/>
      <c r="WIU434" s="1831"/>
      <c r="WIV434" s="1831"/>
      <c r="WIW434" s="1831"/>
      <c r="WIX434" s="1831"/>
      <c r="WIY434" s="1831"/>
      <c r="WIZ434" s="1831"/>
      <c r="WJA434" s="1831"/>
      <c r="WJB434" s="1831"/>
      <c r="WJC434" s="1831"/>
      <c r="WJD434" s="1831"/>
      <c r="WJE434" s="1831"/>
      <c r="WJF434" s="1831"/>
      <c r="WJG434" s="1831"/>
      <c r="WJH434" s="1831"/>
      <c r="WJI434" s="1831"/>
      <c r="WJJ434" s="1831"/>
      <c r="WJK434" s="1831"/>
      <c r="WJL434" s="1831"/>
      <c r="WJM434" s="1831"/>
      <c r="WJN434" s="1831"/>
      <c r="WJO434" s="1831"/>
      <c r="WJP434" s="1831"/>
      <c r="WJQ434" s="1831"/>
      <c r="WJR434" s="1831"/>
      <c r="WJS434" s="1831"/>
      <c r="WJT434" s="1831"/>
      <c r="WJU434" s="1831"/>
      <c r="WJV434" s="1831"/>
      <c r="WJW434" s="1831"/>
      <c r="WJX434" s="1831"/>
      <c r="WJY434" s="1831"/>
      <c r="WJZ434" s="1831"/>
      <c r="WKA434" s="1831"/>
      <c r="WKB434" s="1831"/>
      <c r="WKC434" s="1831"/>
      <c r="WKD434" s="1831"/>
      <c r="WKE434" s="1831"/>
      <c r="WKF434" s="1831"/>
      <c r="WKG434" s="1831"/>
      <c r="WKH434" s="1831"/>
      <c r="WKI434" s="1831"/>
      <c r="WKJ434" s="1831"/>
      <c r="WKK434" s="1831"/>
      <c r="WKL434" s="1831"/>
      <c r="WKM434" s="1831"/>
      <c r="WKN434" s="1831"/>
      <c r="WKO434" s="1831"/>
      <c r="WKP434" s="1831"/>
      <c r="WKQ434" s="1831"/>
      <c r="WKR434" s="1831"/>
      <c r="WKS434" s="1831"/>
      <c r="WKT434" s="1831"/>
      <c r="WKU434" s="1831"/>
      <c r="WKV434" s="1831"/>
      <c r="WKW434" s="1831"/>
      <c r="WKX434" s="1831"/>
      <c r="WKY434" s="1831"/>
      <c r="WKZ434" s="1831"/>
      <c r="WLA434" s="1831"/>
      <c r="WLB434" s="1831"/>
      <c r="WLC434" s="1831"/>
      <c r="WLD434" s="1831"/>
      <c r="WLE434" s="1831"/>
      <c r="WLF434" s="1831"/>
      <c r="WLG434" s="1831"/>
      <c r="WLH434" s="1831"/>
      <c r="WLI434" s="1831"/>
      <c r="WLJ434" s="1831"/>
      <c r="WLK434" s="1831"/>
      <c r="WLL434" s="1831"/>
      <c r="WLM434" s="1831"/>
      <c r="WLN434" s="1831"/>
      <c r="WLO434" s="1831"/>
      <c r="WLP434" s="1831"/>
      <c r="WLQ434" s="1831"/>
      <c r="WLR434" s="1831"/>
      <c r="WLS434" s="1831"/>
      <c r="WLT434" s="1831"/>
      <c r="WLU434" s="1831"/>
      <c r="WLV434" s="1831"/>
      <c r="WLW434" s="1831"/>
      <c r="WLX434" s="1831"/>
      <c r="WLY434" s="1831"/>
      <c r="WLZ434" s="1831"/>
      <c r="WMA434" s="1831"/>
      <c r="WMB434" s="1831"/>
      <c r="WMC434" s="1831"/>
      <c r="WMD434" s="1831"/>
      <c r="WME434" s="1831"/>
      <c r="WMF434" s="1831"/>
      <c r="WMG434" s="1831"/>
      <c r="WMH434" s="1831"/>
      <c r="WMI434" s="1831"/>
      <c r="WMJ434" s="1831"/>
      <c r="WMK434" s="1831"/>
      <c r="WML434" s="1831"/>
      <c r="WMM434" s="1831"/>
      <c r="WMN434" s="1831"/>
      <c r="WMO434" s="1831"/>
      <c r="WMP434" s="1831"/>
      <c r="WMQ434" s="1831"/>
      <c r="WMR434" s="1831"/>
      <c r="WMS434" s="1831"/>
      <c r="WMT434" s="1831"/>
      <c r="WMU434" s="1831"/>
      <c r="WMV434" s="1831"/>
      <c r="WMW434" s="1831"/>
      <c r="WMX434" s="1831"/>
      <c r="WMY434" s="1831"/>
      <c r="WMZ434" s="1831"/>
      <c r="WNA434" s="1831"/>
      <c r="WNB434" s="1831"/>
      <c r="WNC434" s="1831"/>
      <c r="WND434" s="1831"/>
      <c r="WNE434" s="1831"/>
      <c r="WNF434" s="1831"/>
      <c r="WNG434" s="1831"/>
      <c r="WNH434" s="1831"/>
      <c r="WNI434" s="1831"/>
      <c r="WNJ434" s="1831"/>
      <c r="WNK434" s="1831"/>
      <c r="WNL434" s="1831"/>
      <c r="WNM434" s="1831"/>
      <c r="WNN434" s="1831"/>
      <c r="WNO434" s="1831"/>
      <c r="WNP434" s="1831"/>
      <c r="WNQ434" s="1831"/>
      <c r="WNR434" s="1831"/>
      <c r="WNS434" s="1831"/>
      <c r="WNT434" s="1831"/>
      <c r="WNU434" s="1831"/>
      <c r="WNV434" s="1831"/>
      <c r="WNW434" s="1831"/>
      <c r="WNX434" s="1831"/>
      <c r="WNY434" s="1831"/>
      <c r="WNZ434" s="1831"/>
      <c r="WOA434" s="1831"/>
      <c r="WOB434" s="1831"/>
      <c r="WOC434" s="1831"/>
      <c r="WOD434" s="1831"/>
      <c r="WOE434" s="1831"/>
      <c r="WOF434" s="1831"/>
      <c r="WOG434" s="1831"/>
      <c r="WOH434" s="1831"/>
      <c r="WOI434" s="1831"/>
      <c r="WOJ434" s="1831"/>
      <c r="WOK434" s="1831"/>
      <c r="WOL434" s="1831"/>
      <c r="WOM434" s="1831"/>
      <c r="WON434" s="1831"/>
      <c r="WOO434" s="1831"/>
      <c r="WOP434" s="1831"/>
      <c r="WOQ434" s="1831"/>
      <c r="WOR434" s="1831"/>
      <c r="WOS434" s="1831"/>
      <c r="WOT434" s="1831"/>
      <c r="WOU434" s="1831"/>
      <c r="WOV434" s="1831"/>
      <c r="WOW434" s="1831"/>
      <c r="WOX434" s="1831"/>
      <c r="WOY434" s="1831"/>
      <c r="WOZ434" s="1831"/>
      <c r="WPA434" s="1831"/>
      <c r="WPB434" s="1831"/>
      <c r="WPC434" s="1831"/>
      <c r="WPD434" s="1831"/>
      <c r="WPE434" s="1831"/>
      <c r="WPF434" s="1831"/>
      <c r="WPG434" s="1831"/>
      <c r="WPH434" s="1831"/>
      <c r="WPI434" s="1831"/>
      <c r="WPJ434" s="1831"/>
      <c r="WPK434" s="1831"/>
      <c r="WPL434" s="1831"/>
      <c r="WPM434" s="1831"/>
      <c r="WPN434" s="1831"/>
      <c r="WPO434" s="1831"/>
      <c r="WPP434" s="1831"/>
      <c r="WPQ434" s="1831"/>
      <c r="WPR434" s="1831"/>
      <c r="WPS434" s="1831"/>
      <c r="WPT434" s="1831"/>
      <c r="WPU434" s="1831"/>
      <c r="WPV434" s="1831"/>
      <c r="WPW434" s="1831"/>
      <c r="WPX434" s="1831"/>
      <c r="WPY434" s="1831"/>
      <c r="WPZ434" s="1831"/>
      <c r="WQA434" s="1831"/>
      <c r="WQB434" s="1831"/>
      <c r="WQC434" s="1831"/>
      <c r="WQD434" s="1831"/>
      <c r="WQE434" s="1831"/>
      <c r="WQF434" s="1831"/>
      <c r="WQG434" s="1831"/>
      <c r="WQH434" s="1831"/>
      <c r="WQI434" s="1831"/>
      <c r="WQJ434" s="1831"/>
      <c r="WQK434" s="1831"/>
      <c r="WQL434" s="1831"/>
      <c r="WQM434" s="1831"/>
      <c r="WQN434" s="1831"/>
      <c r="WQO434" s="1831"/>
      <c r="WQP434" s="1831"/>
      <c r="WQQ434" s="1831"/>
      <c r="WQR434" s="1831"/>
      <c r="WQS434" s="1831"/>
      <c r="WQT434" s="1831"/>
      <c r="WQU434" s="1831"/>
      <c r="WQV434" s="1831"/>
      <c r="WQW434" s="1831"/>
      <c r="WQX434" s="1831"/>
      <c r="WQY434" s="1831"/>
      <c r="WQZ434" s="1831"/>
      <c r="WRA434" s="1831"/>
      <c r="WRB434" s="1831"/>
      <c r="WRC434" s="1831"/>
      <c r="WRD434" s="1831"/>
      <c r="WRE434" s="1831"/>
      <c r="WRF434" s="1831"/>
      <c r="WRG434" s="1831"/>
      <c r="WRH434" s="1831"/>
      <c r="WRI434" s="1831"/>
      <c r="WRJ434" s="1831"/>
      <c r="WRK434" s="1831"/>
      <c r="WRL434" s="1831"/>
      <c r="WRM434" s="1831"/>
      <c r="WRN434" s="1831"/>
      <c r="WRO434" s="1831"/>
      <c r="WRP434" s="1831"/>
      <c r="WRQ434" s="1831"/>
      <c r="WRR434" s="1831"/>
      <c r="WRS434" s="1831"/>
      <c r="WRT434" s="1831"/>
      <c r="WRU434" s="1831"/>
      <c r="WRV434" s="1831"/>
      <c r="WRW434" s="1831"/>
      <c r="WRX434" s="1831"/>
      <c r="WRY434" s="1831"/>
      <c r="WRZ434" s="1831"/>
      <c r="WSA434" s="1831"/>
      <c r="WSB434" s="1831"/>
      <c r="WSC434" s="1831"/>
      <c r="WSD434" s="1831"/>
      <c r="WSE434" s="1831"/>
      <c r="WSF434" s="1831"/>
      <c r="WSG434" s="1831"/>
      <c r="WSH434" s="1831"/>
      <c r="WSI434" s="1831"/>
      <c r="WSJ434" s="1831"/>
      <c r="WSK434" s="1831"/>
      <c r="WSL434" s="1831"/>
      <c r="WSM434" s="1831"/>
      <c r="WSN434" s="1831"/>
      <c r="WSO434" s="1831"/>
      <c r="WSP434" s="1831"/>
      <c r="WSQ434" s="1831"/>
      <c r="WSR434" s="1831"/>
      <c r="WSS434" s="1831"/>
      <c r="WST434" s="1831"/>
      <c r="WSU434" s="1831"/>
      <c r="WSV434" s="1831"/>
      <c r="WSW434" s="1831"/>
      <c r="WSX434" s="1831"/>
      <c r="WSY434" s="1831"/>
      <c r="WSZ434" s="1831"/>
      <c r="WTA434" s="1831"/>
      <c r="WTB434" s="1831"/>
      <c r="WTC434" s="1831"/>
      <c r="WTD434" s="1831"/>
      <c r="WTE434" s="1831"/>
      <c r="WTF434" s="1831"/>
      <c r="WTG434" s="1831"/>
      <c r="WTH434" s="1831"/>
      <c r="WTI434" s="1831"/>
      <c r="WTJ434" s="1831"/>
      <c r="WTK434" s="1831"/>
      <c r="WTL434" s="1831"/>
      <c r="WTM434" s="1831"/>
      <c r="WTN434" s="1831"/>
      <c r="WTO434" s="1831"/>
      <c r="WTP434" s="1831"/>
      <c r="WTQ434" s="1831"/>
      <c r="WTR434" s="1831"/>
      <c r="WTS434" s="1831"/>
      <c r="WTT434" s="1831"/>
      <c r="WTU434" s="1831"/>
      <c r="WTV434" s="1831"/>
      <c r="WTW434" s="1831"/>
      <c r="WTX434" s="1831"/>
      <c r="WTY434" s="1831"/>
      <c r="WTZ434" s="1831"/>
      <c r="WUA434" s="1831"/>
      <c r="WUB434" s="1831"/>
      <c r="WUC434" s="1831"/>
      <c r="WUD434" s="1831"/>
      <c r="WUE434" s="1831"/>
      <c r="WUF434" s="1831"/>
      <c r="WUG434" s="1831"/>
      <c r="WUH434" s="1831"/>
      <c r="WUI434" s="1831"/>
      <c r="WUJ434" s="1831"/>
      <c r="WUK434" s="1831"/>
      <c r="WUL434" s="1831"/>
      <c r="WUM434" s="1831"/>
      <c r="WUN434" s="1831"/>
      <c r="WUO434" s="1831"/>
      <c r="WUP434" s="1831"/>
      <c r="WUQ434" s="1831"/>
      <c r="WUR434" s="1831"/>
      <c r="WUS434" s="1831"/>
      <c r="WUT434" s="1831"/>
      <c r="WUU434" s="1831"/>
      <c r="WUV434" s="1831"/>
      <c r="WUW434" s="1831"/>
      <c r="WUX434" s="1831"/>
      <c r="WUY434" s="1831"/>
      <c r="WUZ434" s="1831"/>
      <c r="WVA434" s="1831"/>
      <c r="WVB434" s="1831"/>
      <c r="WVC434" s="1831"/>
      <c r="WVD434" s="1831"/>
      <c r="WVE434" s="1831"/>
      <c r="WVF434" s="1831"/>
      <c r="WVG434" s="1831"/>
      <c r="WVH434" s="1831"/>
      <c r="WVI434" s="1831"/>
      <c r="WVJ434" s="1831"/>
      <c r="WVK434" s="1831"/>
      <c r="WVL434" s="1831"/>
      <c r="WVM434" s="1831"/>
      <c r="WVN434" s="1831"/>
      <c r="WVO434" s="1831"/>
      <c r="WVP434" s="1831"/>
      <c r="WVQ434" s="1831"/>
      <c r="WVR434" s="1831"/>
      <c r="WVS434" s="1831"/>
      <c r="WVT434" s="1831"/>
      <c r="WVU434" s="1831"/>
      <c r="WVV434" s="1831"/>
      <c r="WVW434" s="1831"/>
      <c r="WVX434" s="1831"/>
      <c r="WVY434" s="1831"/>
      <c r="WVZ434" s="1831"/>
      <c r="WWA434" s="1831"/>
      <c r="WWB434" s="1831"/>
      <c r="WWC434" s="1831"/>
      <c r="WWD434" s="1831"/>
      <c r="WWE434" s="1831"/>
      <c r="WWF434" s="1831"/>
      <c r="WWG434" s="1831"/>
      <c r="WWH434" s="1831"/>
      <c r="WWI434" s="1831"/>
      <c r="WWJ434" s="1831"/>
      <c r="WWK434" s="1831"/>
      <c r="WWL434" s="1831"/>
      <c r="WWM434" s="1831"/>
      <c r="WWN434" s="1831"/>
      <c r="WWO434" s="1831"/>
      <c r="WWP434" s="1831"/>
      <c r="WWQ434" s="1831"/>
      <c r="WWR434" s="1831"/>
      <c r="WWS434" s="1831"/>
      <c r="WWT434" s="1831"/>
      <c r="WWU434" s="1831"/>
      <c r="WWV434" s="1831"/>
      <c r="WWW434" s="1831"/>
      <c r="WWX434" s="1831"/>
      <c r="WWY434" s="1831"/>
      <c r="WWZ434" s="1831"/>
      <c r="WXA434" s="1831"/>
      <c r="WXB434" s="1831"/>
      <c r="WXC434" s="1831"/>
      <c r="WXD434" s="1831"/>
      <c r="WXE434" s="1831"/>
      <c r="WXF434" s="1831"/>
      <c r="WXG434" s="1831"/>
      <c r="WXH434" s="1831"/>
      <c r="WXI434" s="1831"/>
      <c r="WXJ434" s="1831"/>
      <c r="WXK434" s="1831"/>
      <c r="WXL434" s="1831"/>
      <c r="WXM434" s="1831"/>
      <c r="WXN434" s="1831"/>
      <c r="WXO434" s="1831"/>
      <c r="WXP434" s="1831"/>
      <c r="WXQ434" s="1831"/>
      <c r="WXR434" s="1831"/>
      <c r="WXS434" s="1831"/>
      <c r="WXT434" s="1831"/>
      <c r="WXU434" s="1831"/>
      <c r="WXV434" s="1831"/>
      <c r="WXW434" s="1831"/>
      <c r="WXX434" s="1831"/>
      <c r="WXY434" s="1831"/>
      <c r="WXZ434" s="1831"/>
      <c r="WYA434" s="1831"/>
      <c r="WYB434" s="1831"/>
      <c r="WYC434" s="1831"/>
      <c r="WYD434" s="1831"/>
      <c r="WYE434" s="1831"/>
      <c r="WYF434" s="1831"/>
      <c r="WYG434" s="1831"/>
      <c r="WYH434" s="1831"/>
      <c r="WYI434" s="1831"/>
      <c r="WYJ434" s="1831"/>
      <c r="WYK434" s="1831"/>
      <c r="WYL434" s="1831"/>
      <c r="WYM434" s="1831"/>
      <c r="WYN434" s="1831"/>
      <c r="WYO434" s="1831"/>
      <c r="WYP434" s="1831"/>
      <c r="WYQ434" s="1831"/>
      <c r="WYR434" s="1831"/>
      <c r="WYS434" s="1831"/>
      <c r="WYT434" s="1831"/>
      <c r="WYU434" s="1831"/>
      <c r="WYV434" s="1831"/>
      <c r="WYW434" s="1831"/>
      <c r="WYX434" s="1831"/>
      <c r="WYY434" s="1831"/>
      <c r="WYZ434" s="1831"/>
      <c r="WZA434" s="1831"/>
      <c r="WZB434" s="1831"/>
      <c r="WZC434" s="1831"/>
      <c r="WZD434" s="1831"/>
      <c r="WZE434" s="1831"/>
      <c r="WZF434" s="1831"/>
      <c r="WZG434" s="1831"/>
      <c r="WZH434" s="1831"/>
      <c r="WZI434" s="1831"/>
      <c r="WZJ434" s="1831"/>
      <c r="WZK434" s="1831"/>
      <c r="WZL434" s="1831"/>
      <c r="WZM434" s="1831"/>
      <c r="WZN434" s="1831"/>
      <c r="WZO434" s="1831"/>
      <c r="WZP434" s="1831"/>
      <c r="WZQ434" s="1831"/>
      <c r="WZR434" s="1831"/>
      <c r="WZS434" s="1831"/>
      <c r="WZT434" s="1831"/>
      <c r="WZU434" s="1831"/>
      <c r="WZV434" s="1831"/>
      <c r="WZW434" s="1831"/>
      <c r="WZX434" s="1831"/>
      <c r="WZY434" s="1831"/>
      <c r="WZZ434" s="1831"/>
      <c r="XAA434" s="1831"/>
      <c r="XAB434" s="1831"/>
      <c r="XAC434" s="1831"/>
      <c r="XAD434" s="1831"/>
      <c r="XAE434" s="1831"/>
      <c r="XAF434" s="1831"/>
      <c r="XAG434" s="1831"/>
      <c r="XAH434" s="1831"/>
      <c r="XAI434" s="1831"/>
      <c r="XAJ434" s="1831"/>
      <c r="XAK434" s="1831"/>
      <c r="XAL434" s="1831"/>
      <c r="XAM434" s="1831"/>
      <c r="XAN434" s="1831"/>
      <c r="XAO434" s="1831"/>
      <c r="XAP434" s="1831"/>
      <c r="XAQ434" s="1831"/>
      <c r="XAR434" s="1831"/>
      <c r="XAS434" s="1831"/>
      <c r="XAT434" s="1831"/>
      <c r="XAU434" s="1831"/>
      <c r="XAV434" s="1831"/>
      <c r="XAW434" s="1831"/>
      <c r="XAX434" s="1831"/>
      <c r="XAY434" s="1831"/>
      <c r="XAZ434" s="1831"/>
      <c r="XBA434" s="1831"/>
      <c r="XBB434" s="1831"/>
      <c r="XBC434" s="1831"/>
      <c r="XBD434" s="1831"/>
      <c r="XBE434" s="1831"/>
      <c r="XBF434" s="1831"/>
      <c r="XBG434" s="1831"/>
      <c r="XBH434" s="1831"/>
      <c r="XBI434" s="1831"/>
      <c r="XBJ434" s="1831"/>
      <c r="XBK434" s="1831"/>
      <c r="XBL434" s="1831"/>
      <c r="XBM434" s="1831"/>
      <c r="XBN434" s="1831"/>
      <c r="XBO434" s="1831"/>
      <c r="XBP434" s="1831"/>
      <c r="XBQ434" s="1831"/>
      <c r="XBR434" s="1831"/>
      <c r="XBS434" s="1831"/>
      <c r="XBT434" s="1831"/>
      <c r="XBU434" s="1831"/>
      <c r="XBV434" s="1831"/>
      <c r="XBW434" s="1831"/>
      <c r="XBX434" s="1831"/>
      <c r="XBY434" s="1831"/>
      <c r="XBZ434" s="1831"/>
      <c r="XCA434" s="1831"/>
      <c r="XCB434" s="1831"/>
      <c r="XCC434" s="1831"/>
      <c r="XCD434" s="1831"/>
      <c r="XCE434" s="1831"/>
      <c r="XCF434" s="1831"/>
      <c r="XCG434" s="1831"/>
      <c r="XCH434" s="1831"/>
      <c r="XCI434" s="1831"/>
      <c r="XCJ434" s="1831"/>
      <c r="XCK434" s="1831"/>
      <c r="XCL434" s="1831"/>
      <c r="XCM434" s="1831"/>
      <c r="XCN434" s="1831"/>
      <c r="XCO434" s="1831"/>
      <c r="XCP434" s="1831"/>
      <c r="XCQ434" s="1831"/>
      <c r="XCR434" s="1831"/>
      <c r="XCS434" s="1831"/>
      <c r="XCT434" s="1831"/>
      <c r="XCU434" s="1831"/>
      <c r="XCV434" s="1831"/>
      <c r="XCW434" s="1831"/>
      <c r="XCX434" s="1831"/>
      <c r="XCY434" s="1831"/>
      <c r="XCZ434" s="1831"/>
      <c r="XDA434" s="1831"/>
      <c r="XDB434" s="1831"/>
      <c r="XDC434" s="1831"/>
      <c r="XDD434" s="1831"/>
      <c r="XDE434" s="1831"/>
      <c r="XDF434" s="1831"/>
      <c r="XDG434" s="1831"/>
      <c r="XDH434" s="1831"/>
      <c r="XDI434" s="1831"/>
      <c r="XDJ434" s="1831"/>
      <c r="XDK434" s="1831"/>
      <c r="XDL434" s="1831"/>
      <c r="XDM434" s="1831"/>
      <c r="XDN434" s="1831"/>
      <c r="XDO434" s="1831"/>
      <c r="XDP434" s="1831"/>
      <c r="XDQ434" s="1831"/>
      <c r="XDR434" s="1831"/>
      <c r="XDS434" s="1831"/>
      <c r="XDT434" s="1831"/>
      <c r="XDU434" s="1831"/>
      <c r="XDV434" s="1831"/>
      <c r="XDW434" s="1831"/>
      <c r="XDX434" s="1831"/>
      <c r="XDY434" s="1831"/>
      <c r="XDZ434" s="1831"/>
      <c r="XEA434" s="1831"/>
      <c r="XEB434" s="1831"/>
      <c r="XEC434" s="1831"/>
      <c r="XED434" s="1831"/>
      <c r="XEE434" s="1831"/>
      <c r="XEF434" s="1831"/>
      <c r="XEG434" s="1831"/>
      <c r="XEH434" s="1831"/>
      <c r="XEI434" s="1831"/>
      <c r="XEJ434" s="1831"/>
      <c r="XEK434" s="1831"/>
      <c r="XEL434" s="1831"/>
      <c r="XEM434" s="1831"/>
      <c r="XEN434" s="1831"/>
      <c r="XEO434" s="1831"/>
      <c r="XEP434" s="1831"/>
      <c r="XEQ434" s="1831"/>
      <c r="XER434" s="1831"/>
      <c r="XES434" s="1831"/>
      <c r="XET434" s="1831"/>
      <c r="XEU434" s="1831"/>
      <c r="XEV434" s="1831"/>
      <c r="XEW434" s="1831"/>
      <c r="XEX434" s="1831"/>
    </row>
    <row r="435" spans="1:16378" hidden="1" outlineLevel="1" x14ac:dyDescent="0.3">
      <c r="A435" s="1082"/>
      <c r="B435" s="1734" t="s">
        <v>1483</v>
      </c>
      <c r="C435" s="1070"/>
      <c r="D435" s="1070"/>
      <c r="E435" s="1070"/>
      <c r="F435" s="1070"/>
      <c r="G435" s="1070"/>
      <c r="H435" s="1070"/>
      <c r="I435" s="1070"/>
      <c r="J435" s="1070"/>
      <c r="K435" s="1070"/>
      <c r="L435" s="1070"/>
      <c r="M435" s="1070"/>
      <c r="N435" s="1070"/>
      <c r="O435" s="1070"/>
      <c r="P435" s="1070"/>
      <c r="Q435" s="1070"/>
      <c r="R435" s="1070"/>
      <c r="S435" s="1070"/>
      <c r="T435" s="1070"/>
      <c r="U435" s="1070"/>
      <c r="V435" s="1070"/>
      <c r="W435" s="1070"/>
      <c r="X435" s="1070"/>
      <c r="Y435" s="1070"/>
      <c r="Z435" s="1070"/>
      <c r="AA435" s="1070"/>
      <c r="AB435" s="1070"/>
      <c r="AC435" s="1070"/>
      <c r="AD435" s="1070"/>
      <c r="AE435" s="1070"/>
      <c r="AF435" s="1070"/>
      <c r="AG435" s="1070"/>
      <c r="AH435" s="1070"/>
      <c r="AI435" s="1070"/>
      <c r="AJ435" s="1070"/>
      <c r="AK435" s="1070"/>
      <c r="AL435" s="1070"/>
      <c r="AM435" s="1070"/>
      <c r="AN435" s="1070"/>
    </row>
    <row r="436" spans="1:16378" hidden="1" outlineLevel="1" x14ac:dyDescent="0.3">
      <c r="A436" s="1082"/>
      <c r="B436" s="1734"/>
      <c r="C436" s="1070"/>
      <c r="D436" s="1070"/>
      <c r="E436" s="1070"/>
      <c r="F436" s="1070"/>
      <c r="G436" s="1070"/>
      <c r="H436" s="1082"/>
      <c r="I436" s="1082"/>
      <c r="J436" s="1082"/>
      <c r="K436" s="1082"/>
      <c r="L436" s="1082"/>
      <c r="M436" s="1082"/>
      <c r="N436" s="1082"/>
      <c r="O436" s="1082"/>
      <c r="P436" s="1082"/>
      <c r="Q436" s="1082"/>
      <c r="R436" s="1070"/>
      <c r="S436" s="1070"/>
      <c r="T436" s="1070"/>
      <c r="U436" s="1070"/>
      <c r="V436" s="1070"/>
      <c r="W436" s="1070"/>
      <c r="X436" s="1070"/>
      <c r="Y436" s="1070"/>
      <c r="Z436" s="1070"/>
      <c r="AA436" s="1070"/>
      <c r="AB436" s="1070"/>
      <c r="AC436" s="1070"/>
      <c r="AD436" s="1070"/>
      <c r="AE436" s="1070"/>
      <c r="AF436" s="1070"/>
      <c r="AG436" s="1070"/>
      <c r="AH436" s="1070"/>
      <c r="AI436" s="1070"/>
      <c r="AJ436" s="1070"/>
      <c r="AK436" s="1070"/>
      <c r="AL436" s="1070"/>
      <c r="AM436" s="1070"/>
      <c r="AN436" s="1070"/>
    </row>
    <row r="437" spans="1:16378" hidden="1" outlineLevel="1" x14ac:dyDescent="0.3">
      <c r="A437" s="1082"/>
      <c r="B437" s="1734" t="s">
        <v>1442</v>
      </c>
      <c r="C437" s="1070"/>
      <c r="D437" s="1070"/>
      <c r="E437" s="1070"/>
      <c r="F437" s="1070"/>
      <c r="G437" s="1070"/>
      <c r="H437" s="1070"/>
      <c r="I437" s="1070"/>
      <c r="J437" s="1070"/>
      <c r="K437" s="1070"/>
      <c r="L437" s="1070"/>
      <c r="M437" s="1070"/>
      <c r="N437" s="1070"/>
      <c r="O437" s="1070"/>
      <c r="P437" s="1070"/>
      <c r="Q437" s="1070"/>
      <c r="R437" s="1070"/>
      <c r="S437" s="1070"/>
      <c r="T437" s="1070"/>
      <c r="U437" s="1070"/>
      <c r="V437" s="1070"/>
      <c r="W437" s="1070"/>
      <c r="X437" s="1070"/>
      <c r="Y437" s="1070"/>
      <c r="Z437" s="1070"/>
      <c r="AA437" s="1070"/>
      <c r="AB437" s="1070"/>
      <c r="AC437" s="1070"/>
      <c r="AD437" s="1070"/>
      <c r="AE437" s="1070"/>
      <c r="AF437" s="1070"/>
      <c r="AG437" s="1070"/>
      <c r="AH437" s="1070"/>
      <c r="AI437" s="1070"/>
      <c r="AJ437" s="1070"/>
      <c r="AK437" s="1070"/>
      <c r="AL437" s="1070"/>
      <c r="AM437" s="1070"/>
      <c r="AN437" s="1070"/>
    </row>
    <row r="438" spans="1:16378" hidden="1" outlineLevel="1" x14ac:dyDescent="0.3">
      <c r="A438" s="1082"/>
      <c r="B438" s="1070"/>
      <c r="C438" s="1070"/>
      <c r="D438" s="1739" t="s">
        <v>1432</v>
      </c>
      <c r="E438" s="1740" t="s">
        <v>682</v>
      </c>
      <c r="F438" s="1070"/>
      <c r="G438" s="1070"/>
      <c r="H438" s="1070"/>
      <c r="I438" s="1070"/>
      <c r="J438" s="1070"/>
      <c r="K438" s="1070"/>
      <c r="L438" s="1070"/>
      <c r="M438" s="1070"/>
      <c r="N438" s="1070"/>
      <c r="O438" s="1070"/>
      <c r="P438" s="1070"/>
      <c r="Q438" s="1070"/>
      <c r="R438" s="1070"/>
      <c r="S438" s="1070"/>
      <c r="T438" s="1070"/>
      <c r="U438" s="1070"/>
      <c r="V438" s="1070"/>
      <c r="W438" s="1070"/>
      <c r="X438" s="1070"/>
      <c r="Y438" s="1070"/>
      <c r="Z438" s="1070"/>
      <c r="AA438" s="1070"/>
      <c r="AB438" s="1070"/>
      <c r="AC438" s="1070"/>
      <c r="AD438" s="1070"/>
      <c r="AE438" s="1070"/>
      <c r="AF438" s="1070"/>
      <c r="AG438" s="1070"/>
      <c r="AH438" s="1070"/>
      <c r="AI438" s="1070"/>
      <c r="AJ438" s="1070"/>
      <c r="AK438" s="1070"/>
      <c r="AL438" s="1070"/>
      <c r="AM438" s="1070"/>
      <c r="AN438" s="1070"/>
    </row>
    <row r="439" spans="1:16378" hidden="1" outlineLevel="1" x14ac:dyDescent="0.3">
      <c r="A439" s="1082"/>
      <c r="B439" s="1164" t="s">
        <v>1444</v>
      </c>
      <c r="C439" s="1146"/>
      <c r="D439" s="1743" t="s">
        <v>1445</v>
      </c>
      <c r="E439" s="1744" t="s">
        <v>1445</v>
      </c>
      <c r="F439" s="1070"/>
      <c r="G439" s="1153" t="s">
        <v>1515</v>
      </c>
      <c r="H439" s="1070"/>
      <c r="I439" s="1070"/>
      <c r="J439" s="1070"/>
      <c r="K439" s="1070"/>
      <c r="L439" s="1070"/>
      <c r="M439" s="1070"/>
      <c r="N439" s="1070"/>
      <c r="O439" s="1070"/>
      <c r="P439" s="1070"/>
      <c r="Q439" s="1070"/>
      <c r="R439" s="1070"/>
      <c r="S439" s="1070"/>
      <c r="T439" s="1070"/>
      <c r="U439" s="1070"/>
      <c r="V439" s="1070"/>
      <c r="W439" s="1070"/>
      <c r="X439" s="1070"/>
      <c r="Y439" s="1070"/>
      <c r="Z439" s="1070"/>
      <c r="AA439" s="1070"/>
      <c r="AB439" s="1070"/>
      <c r="AC439" s="1070"/>
      <c r="AD439" s="1070"/>
      <c r="AE439" s="1070"/>
      <c r="AF439" s="1070"/>
      <c r="AG439" s="1070"/>
      <c r="AH439" s="1070"/>
      <c r="AI439" s="1070"/>
      <c r="AJ439" s="1070"/>
      <c r="AK439" s="1070"/>
      <c r="AL439" s="1070"/>
      <c r="AM439" s="1070"/>
      <c r="AN439" s="1070"/>
    </row>
    <row r="440" spans="1:16378" hidden="1" outlineLevel="1" x14ac:dyDescent="0.3">
      <c r="A440" s="1082"/>
      <c r="B440" s="1070"/>
      <c r="C440" s="1070"/>
      <c r="D440" s="1070"/>
      <c r="E440" s="1070"/>
      <c r="F440" s="1070"/>
      <c r="G440" s="1070"/>
      <c r="H440" s="1070"/>
      <c r="I440" s="1070"/>
      <c r="J440" s="1070"/>
      <c r="K440" s="1070"/>
      <c r="L440" s="1070"/>
      <c r="M440" s="1070"/>
      <c r="N440" s="1070"/>
      <c r="O440" s="1070"/>
      <c r="P440" s="1070"/>
      <c r="Q440" s="1070"/>
      <c r="R440" s="1070"/>
      <c r="S440" s="1070"/>
      <c r="T440" s="1070"/>
      <c r="U440" s="1070"/>
      <c r="V440" s="1070"/>
      <c r="W440" s="1070"/>
      <c r="X440" s="1070"/>
      <c r="Y440" s="1070"/>
      <c r="Z440" s="1070"/>
      <c r="AA440" s="1070"/>
      <c r="AB440" s="1070"/>
      <c r="AC440" s="1070"/>
      <c r="AD440" s="1070"/>
      <c r="AE440" s="1070"/>
      <c r="AF440" s="1070"/>
      <c r="AG440" s="1070"/>
      <c r="AH440" s="1070"/>
      <c r="AI440" s="1070"/>
      <c r="AJ440" s="1070"/>
      <c r="AK440" s="1070"/>
      <c r="AL440" s="1070"/>
      <c r="AM440" s="1070"/>
      <c r="AN440" s="1070"/>
    </row>
    <row r="441" spans="1:16378" hidden="1" outlineLevel="1" x14ac:dyDescent="0.3">
      <c r="A441" s="1082"/>
      <c r="B441" s="1070"/>
      <c r="C441" s="1070"/>
      <c r="D441" s="1070"/>
      <c r="E441" s="1070"/>
      <c r="F441" s="1070"/>
      <c r="G441" s="1070"/>
      <c r="H441" s="1070"/>
      <c r="I441" s="1070"/>
      <c r="J441" s="1070"/>
      <c r="K441" s="1070"/>
      <c r="L441" s="1070"/>
      <c r="M441" s="1070"/>
      <c r="N441" s="1070"/>
      <c r="O441" s="1070"/>
      <c r="P441" s="1070"/>
      <c r="Q441" s="1070"/>
      <c r="R441" s="1070"/>
      <c r="S441" s="1070"/>
      <c r="T441" s="1070"/>
      <c r="U441" s="1070"/>
      <c r="V441" s="1070"/>
      <c r="W441" s="1070"/>
      <c r="X441" s="1070"/>
      <c r="Y441" s="1070"/>
      <c r="Z441" s="1070"/>
      <c r="AA441" s="1070"/>
      <c r="AB441" s="1070"/>
      <c r="AC441" s="1070"/>
      <c r="AD441" s="1070"/>
      <c r="AE441" s="1070"/>
      <c r="AF441" s="1070"/>
      <c r="AG441" s="1070"/>
      <c r="AH441" s="1070"/>
      <c r="AI441" s="1070"/>
      <c r="AJ441" s="1070"/>
      <c r="AK441" s="1070"/>
      <c r="AL441" s="1070"/>
      <c r="AM441" s="1070"/>
      <c r="AN441" s="1070"/>
    </row>
    <row r="442" spans="1:16378" ht="17.25" hidden="1" customHeight="1" outlineLevel="1" x14ac:dyDescent="0.3">
      <c r="A442" s="1082"/>
      <c r="B442" s="1240"/>
      <c r="C442" s="1241"/>
      <c r="D442" s="1241"/>
      <c r="E442" s="1241"/>
      <c r="F442" s="1746" t="s">
        <v>739</v>
      </c>
      <c r="G442" s="1746" t="s">
        <v>1461</v>
      </c>
      <c r="H442" s="1746" t="s">
        <v>1461</v>
      </c>
      <c r="I442" s="1746" t="s">
        <v>1461</v>
      </c>
      <c r="J442" s="1746" t="s">
        <v>1461</v>
      </c>
      <c r="K442" s="1747" t="s">
        <v>1461</v>
      </c>
      <c r="L442" s="1747" t="s">
        <v>1461</v>
      </c>
      <c r="M442" s="1747" t="s">
        <v>1461</v>
      </c>
      <c r="N442" s="1747" t="s">
        <v>1461</v>
      </c>
      <c r="O442" s="1747" t="s">
        <v>1461</v>
      </c>
      <c r="P442" s="1747" t="s">
        <v>1461</v>
      </c>
      <c r="Q442" s="1747" t="s">
        <v>1461</v>
      </c>
      <c r="R442" s="1747" t="s">
        <v>1461</v>
      </c>
      <c r="S442" s="1747" t="s">
        <v>1461</v>
      </c>
      <c r="T442" s="1747" t="s">
        <v>1461</v>
      </c>
      <c r="U442" s="1747" t="s">
        <v>1461</v>
      </c>
      <c r="V442" s="1747" t="s">
        <v>1461</v>
      </c>
      <c r="W442" s="1747" t="s">
        <v>1461</v>
      </c>
      <c r="X442" s="1747" t="s">
        <v>1461</v>
      </c>
      <c r="Y442" s="1747" t="s">
        <v>1461</v>
      </c>
      <c r="Z442" s="1747" t="s">
        <v>1461</v>
      </c>
      <c r="AA442" s="1747" t="s">
        <v>1461</v>
      </c>
      <c r="AB442" s="1747" t="s">
        <v>1461</v>
      </c>
      <c r="AC442" s="1747" t="s">
        <v>1461</v>
      </c>
      <c r="AD442" s="1747" t="s">
        <v>1461</v>
      </c>
      <c r="AE442" s="1747" t="s">
        <v>1461</v>
      </c>
      <c r="AF442" s="1747" t="s">
        <v>1461</v>
      </c>
      <c r="AG442" s="1747" t="s">
        <v>1461</v>
      </c>
      <c r="AH442" s="1747" t="s">
        <v>1461</v>
      </c>
      <c r="AI442" s="1747" t="s">
        <v>1461</v>
      </c>
      <c r="AJ442" s="1748" t="s">
        <v>1316</v>
      </c>
      <c r="AK442" s="1749" t="s">
        <v>1315</v>
      </c>
      <c r="AL442" s="1750"/>
      <c r="AM442" s="1746" t="s">
        <v>1316</v>
      </c>
      <c r="AN442" s="1070"/>
    </row>
    <row r="443" spans="1:16378" hidden="1" outlineLevel="1" x14ac:dyDescent="0.3">
      <c r="A443" s="1082"/>
      <c r="B443" s="1149"/>
      <c r="C443" s="1142"/>
      <c r="D443" s="1142"/>
      <c r="E443" s="1142"/>
      <c r="F443" s="1753"/>
      <c r="G443" s="1754"/>
      <c r="H443" s="1754"/>
      <c r="I443" s="1754"/>
      <c r="J443" s="1754"/>
      <c r="K443" s="1754"/>
      <c r="L443" s="1754"/>
      <c r="M443" s="1754"/>
      <c r="N443" s="1755"/>
      <c r="O443" s="1756"/>
      <c r="P443" s="1756"/>
      <c r="Q443" s="1756"/>
      <c r="R443" s="1756"/>
      <c r="S443" s="1756"/>
      <c r="T443" s="1756"/>
      <c r="U443" s="1756"/>
      <c r="V443" s="1756"/>
      <c r="W443" s="1756"/>
      <c r="X443" s="1756"/>
      <c r="Y443" s="1756"/>
      <c r="Z443" s="1756"/>
      <c r="AA443" s="1756"/>
      <c r="AB443" s="1756"/>
      <c r="AC443" s="1756"/>
      <c r="AD443" s="1756"/>
      <c r="AE443" s="1756"/>
      <c r="AF443" s="1756"/>
      <c r="AG443" s="1756"/>
      <c r="AH443" s="1756"/>
      <c r="AI443" s="1756"/>
      <c r="AJ443" s="1251"/>
      <c r="AK443" s="1252"/>
      <c r="AL443" s="1757"/>
      <c r="AN443" s="1070"/>
    </row>
    <row r="444" spans="1:16378" ht="18" hidden="1" outlineLevel="1" x14ac:dyDescent="0.3">
      <c r="A444" s="1082"/>
      <c r="B444" s="1253" t="s">
        <v>784</v>
      </c>
      <c r="C444" s="1254"/>
      <c r="D444" s="1254"/>
      <c r="E444" s="1255"/>
      <c r="F444" s="1261">
        <v>0</v>
      </c>
      <c r="G444" s="1263">
        <v>0</v>
      </c>
      <c r="H444" s="1262">
        <v>0</v>
      </c>
      <c r="I444" s="1262">
        <v>0</v>
      </c>
      <c r="J444" s="1262">
        <v>0</v>
      </c>
      <c r="K444" s="1262">
        <v>0</v>
      </c>
      <c r="L444" s="1262">
        <v>0</v>
      </c>
      <c r="M444" s="1262">
        <v>0</v>
      </c>
      <c r="N444" s="1262">
        <v>0</v>
      </c>
      <c r="O444" s="1262">
        <v>0</v>
      </c>
      <c r="P444" s="1262">
        <v>0</v>
      </c>
      <c r="Q444" s="1262">
        <v>0</v>
      </c>
      <c r="R444" s="1262">
        <v>0</v>
      </c>
      <c r="S444" s="1262">
        <v>0</v>
      </c>
      <c r="T444" s="1262">
        <v>0</v>
      </c>
      <c r="U444" s="1262">
        <v>0</v>
      </c>
      <c r="V444" s="1262">
        <v>0</v>
      </c>
      <c r="W444" s="1262">
        <v>0</v>
      </c>
      <c r="X444" s="1262">
        <v>0</v>
      </c>
      <c r="Y444" s="1262">
        <v>0</v>
      </c>
      <c r="Z444" s="1262">
        <v>0</v>
      </c>
      <c r="AA444" s="1262">
        <v>0</v>
      </c>
      <c r="AB444" s="1262">
        <v>0</v>
      </c>
      <c r="AC444" s="1262">
        <v>0</v>
      </c>
      <c r="AD444" s="1262">
        <v>0</v>
      </c>
      <c r="AE444" s="1262">
        <v>0</v>
      </c>
      <c r="AF444" s="1262">
        <v>0</v>
      </c>
      <c r="AG444" s="1262">
        <v>0</v>
      </c>
      <c r="AH444" s="1262">
        <v>0</v>
      </c>
      <c r="AI444" s="1262">
        <v>0</v>
      </c>
      <c r="AJ444" s="1263">
        <v>0</v>
      </c>
      <c r="AK444" s="1264"/>
      <c r="AL444" s="1761"/>
      <c r="AM444" s="1261">
        <v>0</v>
      </c>
      <c r="AN444" s="1070"/>
    </row>
    <row r="445" spans="1:16378" hidden="1" outlineLevel="1" x14ac:dyDescent="0.3">
      <c r="A445" s="1082"/>
      <c r="B445" s="1266" t="s">
        <v>1317</v>
      </c>
      <c r="C445" s="1267"/>
      <c r="D445" s="1267"/>
      <c r="E445" s="1267"/>
      <c r="F445" s="1274"/>
      <c r="G445" s="1276">
        <v>0</v>
      </c>
      <c r="H445" s="1275">
        <v>0</v>
      </c>
      <c r="I445" s="1275">
        <v>0</v>
      </c>
      <c r="J445" s="1275">
        <v>0</v>
      </c>
      <c r="K445" s="1275">
        <v>0</v>
      </c>
      <c r="L445" s="1275">
        <v>0</v>
      </c>
      <c r="M445" s="1275">
        <v>0</v>
      </c>
      <c r="N445" s="1275">
        <v>0</v>
      </c>
      <c r="O445" s="1275">
        <v>0</v>
      </c>
      <c r="P445" s="1275">
        <v>0</v>
      </c>
      <c r="Q445" s="1275">
        <v>0</v>
      </c>
      <c r="R445" s="1275">
        <v>0</v>
      </c>
      <c r="S445" s="1275">
        <v>0</v>
      </c>
      <c r="T445" s="1275">
        <v>0</v>
      </c>
      <c r="U445" s="1275">
        <v>0</v>
      </c>
      <c r="V445" s="1275">
        <v>0</v>
      </c>
      <c r="W445" s="1275">
        <v>0</v>
      </c>
      <c r="X445" s="1275">
        <v>0</v>
      </c>
      <c r="Y445" s="1275">
        <v>0</v>
      </c>
      <c r="Z445" s="1275">
        <v>0</v>
      </c>
      <c r="AA445" s="1275">
        <v>0</v>
      </c>
      <c r="AB445" s="1275">
        <v>0</v>
      </c>
      <c r="AC445" s="1275">
        <v>0</v>
      </c>
      <c r="AD445" s="1275">
        <v>0</v>
      </c>
      <c r="AE445" s="1275">
        <v>0</v>
      </c>
      <c r="AF445" s="1275">
        <v>0</v>
      </c>
      <c r="AG445" s="1275">
        <v>0</v>
      </c>
      <c r="AH445" s="1275">
        <v>0</v>
      </c>
      <c r="AI445" s="1275">
        <v>0</v>
      </c>
      <c r="AJ445" s="1276">
        <v>0</v>
      </c>
      <c r="AK445" s="1277" t="s">
        <v>1318</v>
      </c>
      <c r="AL445" s="1762"/>
      <c r="AM445" s="1279"/>
      <c r="AN445" s="1070"/>
    </row>
    <row r="446" spans="1:16378" hidden="1" outlineLevel="1" x14ac:dyDescent="0.3">
      <c r="A446" s="1082"/>
      <c r="B446" s="1266" t="s">
        <v>1319</v>
      </c>
      <c r="C446" s="1766" t="s">
        <v>1449</v>
      </c>
      <c r="D446" s="1767"/>
      <c r="E446" s="1267"/>
      <c r="F446" s="1274"/>
      <c r="G446" s="1276">
        <v>0</v>
      </c>
      <c r="H446" s="1275">
        <v>0</v>
      </c>
      <c r="I446" s="1275">
        <v>0</v>
      </c>
      <c r="J446" s="1275">
        <v>0</v>
      </c>
      <c r="K446" s="1275">
        <v>0</v>
      </c>
      <c r="L446" s="1275">
        <v>0</v>
      </c>
      <c r="M446" s="1275">
        <v>0</v>
      </c>
      <c r="N446" s="1275">
        <v>0</v>
      </c>
      <c r="O446" s="1275">
        <v>0</v>
      </c>
      <c r="P446" s="1275">
        <v>0</v>
      </c>
      <c r="Q446" s="1275">
        <v>0</v>
      </c>
      <c r="R446" s="1275">
        <v>0</v>
      </c>
      <c r="S446" s="1275">
        <v>0</v>
      </c>
      <c r="T446" s="1275">
        <v>0</v>
      </c>
      <c r="U446" s="1275">
        <v>0</v>
      </c>
      <c r="V446" s="1275">
        <v>0</v>
      </c>
      <c r="W446" s="1275">
        <v>0</v>
      </c>
      <c r="X446" s="1275">
        <v>0</v>
      </c>
      <c r="Y446" s="1275">
        <v>0</v>
      </c>
      <c r="Z446" s="1275">
        <v>0</v>
      </c>
      <c r="AA446" s="1275">
        <v>0</v>
      </c>
      <c r="AB446" s="1275">
        <v>0</v>
      </c>
      <c r="AC446" s="1275">
        <v>0</v>
      </c>
      <c r="AD446" s="1275">
        <v>0</v>
      </c>
      <c r="AE446" s="1275">
        <v>0</v>
      </c>
      <c r="AF446" s="1275">
        <v>0</v>
      </c>
      <c r="AG446" s="1275">
        <v>0</v>
      </c>
      <c r="AH446" s="1275">
        <v>0</v>
      </c>
      <c r="AI446" s="1275">
        <v>0</v>
      </c>
      <c r="AJ446" s="1276">
        <v>0</v>
      </c>
      <c r="AK446" s="1277"/>
      <c r="AL446" s="1762"/>
      <c r="AM446" s="1279"/>
      <c r="AN446" s="1070"/>
    </row>
    <row r="447" spans="1:16378" ht="18" hidden="1" outlineLevel="1" x14ac:dyDescent="0.3">
      <c r="A447" s="1082"/>
      <c r="B447" s="1283" t="s">
        <v>1320</v>
      </c>
      <c r="C447" s="1284"/>
      <c r="D447" s="1284"/>
      <c r="E447" s="1286"/>
      <c r="F447" s="1292"/>
      <c r="G447" s="1768">
        <v>0</v>
      </c>
      <c r="H447" s="1769">
        <v>0</v>
      </c>
      <c r="I447" s="1769">
        <v>0</v>
      </c>
      <c r="J447" s="1769">
        <v>0</v>
      </c>
      <c r="K447" s="1769">
        <v>0</v>
      </c>
      <c r="L447" s="1769">
        <v>0</v>
      </c>
      <c r="M447" s="1769">
        <v>0</v>
      </c>
      <c r="N447" s="1769">
        <v>0</v>
      </c>
      <c r="O447" s="1769">
        <v>0</v>
      </c>
      <c r="P447" s="1769">
        <v>0</v>
      </c>
      <c r="Q447" s="1769">
        <v>0</v>
      </c>
      <c r="R447" s="1769">
        <v>0</v>
      </c>
      <c r="S447" s="1769">
        <v>0</v>
      </c>
      <c r="T447" s="1769">
        <v>0</v>
      </c>
      <c r="U447" s="1769">
        <v>0</v>
      </c>
      <c r="V447" s="1769">
        <v>0</v>
      </c>
      <c r="W447" s="1769">
        <v>0</v>
      </c>
      <c r="X447" s="1769">
        <v>0</v>
      </c>
      <c r="Y447" s="1769">
        <v>0</v>
      </c>
      <c r="Z447" s="1769">
        <v>0</v>
      </c>
      <c r="AA447" s="1769">
        <v>0</v>
      </c>
      <c r="AB447" s="1769">
        <v>0</v>
      </c>
      <c r="AC447" s="1769">
        <v>0</v>
      </c>
      <c r="AD447" s="1769">
        <v>0</v>
      </c>
      <c r="AE447" s="1769">
        <v>0</v>
      </c>
      <c r="AF447" s="1769">
        <v>0</v>
      </c>
      <c r="AG447" s="1769">
        <v>0</v>
      </c>
      <c r="AH447" s="1769">
        <v>0</v>
      </c>
      <c r="AI447" s="1769">
        <v>0</v>
      </c>
      <c r="AJ447" s="1768">
        <v>0</v>
      </c>
      <c r="AK447" s="1295"/>
      <c r="AL447" s="1761"/>
      <c r="AM447" s="1296">
        <v>0</v>
      </c>
      <c r="AN447" s="1070"/>
    </row>
    <row r="448" spans="1:16378" ht="18" hidden="1" outlineLevel="1" x14ac:dyDescent="0.3">
      <c r="A448" s="1082"/>
      <c r="B448" s="1297" t="s">
        <v>1321</v>
      </c>
      <c r="C448" s="1298"/>
      <c r="D448" s="1298"/>
      <c r="E448" s="1298"/>
      <c r="F448" s="1304">
        <v>0</v>
      </c>
      <c r="G448" s="1306">
        <v>0</v>
      </c>
      <c r="H448" s="1305">
        <v>0</v>
      </c>
      <c r="I448" s="1305">
        <v>0</v>
      </c>
      <c r="J448" s="1305">
        <v>0</v>
      </c>
      <c r="K448" s="1305">
        <v>0</v>
      </c>
      <c r="L448" s="1305">
        <v>0</v>
      </c>
      <c r="M448" s="1305">
        <v>0</v>
      </c>
      <c r="N448" s="1305">
        <v>0</v>
      </c>
      <c r="O448" s="1305">
        <v>0</v>
      </c>
      <c r="P448" s="1305">
        <v>0</v>
      </c>
      <c r="Q448" s="1305">
        <v>0</v>
      </c>
      <c r="R448" s="1305">
        <v>0</v>
      </c>
      <c r="S448" s="1305">
        <v>0</v>
      </c>
      <c r="T448" s="1305">
        <v>0</v>
      </c>
      <c r="U448" s="1305">
        <v>0</v>
      </c>
      <c r="V448" s="1305">
        <v>0</v>
      </c>
      <c r="W448" s="1305">
        <v>0</v>
      </c>
      <c r="X448" s="1305">
        <v>0</v>
      </c>
      <c r="Y448" s="1305">
        <v>0</v>
      </c>
      <c r="Z448" s="1305">
        <v>0</v>
      </c>
      <c r="AA448" s="1305">
        <v>0</v>
      </c>
      <c r="AB448" s="1305">
        <v>0</v>
      </c>
      <c r="AC448" s="1305">
        <v>0</v>
      </c>
      <c r="AD448" s="1305">
        <v>0</v>
      </c>
      <c r="AE448" s="1305">
        <v>0</v>
      </c>
      <c r="AF448" s="1305">
        <v>0</v>
      </c>
      <c r="AG448" s="1305">
        <v>0</v>
      </c>
      <c r="AH448" s="1305">
        <v>0</v>
      </c>
      <c r="AI448" s="1305">
        <v>0</v>
      </c>
      <c r="AJ448" s="1306">
        <v>0</v>
      </c>
      <c r="AK448" s="1307">
        <v>0</v>
      </c>
      <c r="AL448" s="1770"/>
      <c r="AM448" s="1304">
        <v>0</v>
      </c>
      <c r="AN448" s="1070"/>
    </row>
    <row r="449" spans="1:40" ht="18" hidden="1" outlineLevel="1" x14ac:dyDescent="0.3">
      <c r="A449" s="1082"/>
      <c r="B449" s="1297" t="s">
        <v>1322</v>
      </c>
      <c r="C449" s="1298"/>
      <c r="D449" s="1298"/>
      <c r="E449" s="1298"/>
      <c r="F449" s="1304">
        <v>0</v>
      </c>
      <c r="G449" s="1306">
        <v>0</v>
      </c>
      <c r="H449" s="1305">
        <v>0</v>
      </c>
      <c r="I449" s="1305">
        <v>0</v>
      </c>
      <c r="J449" s="1305">
        <v>0</v>
      </c>
      <c r="K449" s="1305">
        <v>0</v>
      </c>
      <c r="L449" s="1305">
        <v>0</v>
      </c>
      <c r="M449" s="1305">
        <v>0</v>
      </c>
      <c r="N449" s="1305">
        <v>0</v>
      </c>
      <c r="O449" s="1305">
        <v>0</v>
      </c>
      <c r="P449" s="1305">
        <v>0</v>
      </c>
      <c r="Q449" s="1305">
        <v>0</v>
      </c>
      <c r="R449" s="1305">
        <v>0</v>
      </c>
      <c r="S449" s="1305">
        <v>0</v>
      </c>
      <c r="T449" s="1305">
        <v>0</v>
      </c>
      <c r="U449" s="1305">
        <v>0</v>
      </c>
      <c r="V449" s="1305">
        <v>0</v>
      </c>
      <c r="W449" s="1305">
        <v>0</v>
      </c>
      <c r="X449" s="1305">
        <v>0</v>
      </c>
      <c r="Y449" s="1305">
        <v>0</v>
      </c>
      <c r="Z449" s="1305">
        <v>0</v>
      </c>
      <c r="AA449" s="1305">
        <v>0</v>
      </c>
      <c r="AB449" s="1305">
        <v>0</v>
      </c>
      <c r="AC449" s="1305">
        <v>0</v>
      </c>
      <c r="AD449" s="1305">
        <v>0</v>
      </c>
      <c r="AE449" s="1305">
        <v>0</v>
      </c>
      <c r="AF449" s="1305">
        <v>0</v>
      </c>
      <c r="AG449" s="1305">
        <v>0</v>
      </c>
      <c r="AH449" s="1305">
        <v>0</v>
      </c>
      <c r="AI449" s="1305">
        <v>0</v>
      </c>
      <c r="AJ449" s="1306">
        <v>0</v>
      </c>
      <c r="AK449" s="1307">
        <v>0</v>
      </c>
      <c r="AL449" s="1770"/>
      <c r="AM449" s="1304">
        <v>0</v>
      </c>
      <c r="AN449" s="1070"/>
    </row>
    <row r="450" spans="1:40" ht="18" hidden="1" outlineLevel="1" x14ac:dyDescent="0.3">
      <c r="A450" s="1082"/>
      <c r="B450" s="1308" t="s">
        <v>286</v>
      </c>
      <c r="C450" s="1309"/>
      <c r="D450" s="1309"/>
      <c r="E450" s="1309"/>
      <c r="F450" s="1315">
        <v>0</v>
      </c>
      <c r="G450" s="1317">
        <v>0</v>
      </c>
      <c r="H450" s="1316">
        <v>0</v>
      </c>
      <c r="I450" s="1316">
        <v>0</v>
      </c>
      <c r="J450" s="1316">
        <v>0</v>
      </c>
      <c r="K450" s="1316">
        <v>0</v>
      </c>
      <c r="L450" s="1316">
        <v>0</v>
      </c>
      <c r="M450" s="1316">
        <v>0</v>
      </c>
      <c r="N450" s="1316">
        <v>0</v>
      </c>
      <c r="O450" s="1316">
        <v>0</v>
      </c>
      <c r="P450" s="1316">
        <v>0</v>
      </c>
      <c r="Q450" s="1316">
        <v>0</v>
      </c>
      <c r="R450" s="1316">
        <v>0</v>
      </c>
      <c r="S450" s="1316">
        <v>0</v>
      </c>
      <c r="T450" s="1316">
        <v>0</v>
      </c>
      <c r="U450" s="1316">
        <v>0</v>
      </c>
      <c r="V450" s="1316">
        <v>0</v>
      </c>
      <c r="W450" s="1316">
        <v>0</v>
      </c>
      <c r="X450" s="1316">
        <v>0</v>
      </c>
      <c r="Y450" s="1316">
        <v>0</v>
      </c>
      <c r="Z450" s="1316">
        <v>0</v>
      </c>
      <c r="AA450" s="1316">
        <v>0</v>
      </c>
      <c r="AB450" s="1316">
        <v>0</v>
      </c>
      <c r="AC450" s="1316">
        <v>0</v>
      </c>
      <c r="AD450" s="1316">
        <v>0</v>
      </c>
      <c r="AE450" s="1316">
        <v>0</v>
      </c>
      <c r="AF450" s="1316">
        <v>0</v>
      </c>
      <c r="AG450" s="1316">
        <v>0</v>
      </c>
      <c r="AH450" s="1316">
        <v>0</v>
      </c>
      <c r="AI450" s="1316">
        <v>0</v>
      </c>
      <c r="AJ450" s="1317">
        <v>0</v>
      </c>
      <c r="AK450" s="1318"/>
      <c r="AL450" s="1761"/>
      <c r="AM450" s="1315">
        <v>0</v>
      </c>
      <c r="AN450" s="1070"/>
    </row>
    <row r="451" spans="1:40" hidden="1" outlineLevel="1" x14ac:dyDescent="0.3">
      <c r="A451" s="1082"/>
      <c r="B451" s="1320"/>
      <c r="C451" s="1321" t="s">
        <v>1323</v>
      </c>
      <c r="D451" s="1321"/>
      <c r="E451" s="1323"/>
      <c r="F451" s="1330"/>
      <c r="G451" s="1332">
        <v>0</v>
      </c>
      <c r="H451" s="1331">
        <v>0</v>
      </c>
      <c r="I451" s="1331">
        <v>0</v>
      </c>
      <c r="J451" s="1331">
        <v>0</v>
      </c>
      <c r="K451" s="1331">
        <v>0</v>
      </c>
      <c r="L451" s="1331">
        <v>0</v>
      </c>
      <c r="M451" s="1331">
        <v>0</v>
      </c>
      <c r="N451" s="1331">
        <v>0</v>
      </c>
      <c r="O451" s="1331">
        <v>0</v>
      </c>
      <c r="P451" s="1331">
        <v>0</v>
      </c>
      <c r="Q451" s="1331">
        <v>0</v>
      </c>
      <c r="R451" s="1331">
        <v>0</v>
      </c>
      <c r="S451" s="1331">
        <v>0</v>
      </c>
      <c r="T451" s="1331">
        <v>0</v>
      </c>
      <c r="U451" s="1331">
        <v>0</v>
      </c>
      <c r="V451" s="1331">
        <v>0</v>
      </c>
      <c r="W451" s="1331">
        <v>0</v>
      </c>
      <c r="X451" s="1331">
        <v>0</v>
      </c>
      <c r="Y451" s="1331">
        <v>0</v>
      </c>
      <c r="Z451" s="1331">
        <v>0</v>
      </c>
      <c r="AA451" s="1331">
        <v>0</v>
      </c>
      <c r="AB451" s="1331">
        <v>0</v>
      </c>
      <c r="AC451" s="1331">
        <v>0</v>
      </c>
      <c r="AD451" s="1331">
        <v>0</v>
      </c>
      <c r="AE451" s="1331">
        <v>0</v>
      </c>
      <c r="AF451" s="1331">
        <v>0</v>
      </c>
      <c r="AG451" s="1331">
        <v>0</v>
      </c>
      <c r="AH451" s="1331">
        <v>0</v>
      </c>
      <c r="AI451" s="1331">
        <v>0</v>
      </c>
      <c r="AJ451" s="1332">
        <v>0</v>
      </c>
      <c r="AK451" s="1333"/>
      <c r="AL451" s="1771"/>
      <c r="AM451" s="1335"/>
      <c r="AN451" s="1070"/>
    </row>
    <row r="452" spans="1:40" ht="18" hidden="1" outlineLevel="1" x14ac:dyDescent="0.3">
      <c r="A452" s="1082"/>
      <c r="B452" s="1336" t="s">
        <v>1324</v>
      </c>
      <c r="C452" s="1337"/>
      <c r="D452" s="1337"/>
      <c r="E452" s="1337"/>
      <c r="F452" s="1304">
        <v>0</v>
      </c>
      <c r="G452" s="1306">
        <v>0</v>
      </c>
      <c r="H452" s="1305">
        <v>0</v>
      </c>
      <c r="I452" s="1305">
        <v>0</v>
      </c>
      <c r="J452" s="1305">
        <v>0</v>
      </c>
      <c r="K452" s="1305">
        <v>0</v>
      </c>
      <c r="L452" s="1305">
        <v>0</v>
      </c>
      <c r="M452" s="1305">
        <v>0</v>
      </c>
      <c r="N452" s="1305">
        <v>0</v>
      </c>
      <c r="O452" s="1305">
        <v>0</v>
      </c>
      <c r="P452" s="1305">
        <v>0</v>
      </c>
      <c r="Q452" s="1305">
        <v>0</v>
      </c>
      <c r="R452" s="1305">
        <v>0</v>
      </c>
      <c r="S452" s="1305">
        <v>0</v>
      </c>
      <c r="T452" s="1305">
        <v>0</v>
      </c>
      <c r="U452" s="1305">
        <v>0</v>
      </c>
      <c r="V452" s="1305">
        <v>0</v>
      </c>
      <c r="W452" s="1305">
        <v>0</v>
      </c>
      <c r="X452" s="1305">
        <v>0</v>
      </c>
      <c r="Y452" s="1305">
        <v>0</v>
      </c>
      <c r="Z452" s="1305">
        <v>0</v>
      </c>
      <c r="AA452" s="1305">
        <v>0</v>
      </c>
      <c r="AB452" s="1305">
        <v>0</v>
      </c>
      <c r="AC452" s="1305">
        <v>0</v>
      </c>
      <c r="AD452" s="1305">
        <v>0</v>
      </c>
      <c r="AE452" s="1305">
        <v>0</v>
      </c>
      <c r="AF452" s="1305">
        <v>0</v>
      </c>
      <c r="AG452" s="1305">
        <v>0</v>
      </c>
      <c r="AH452" s="1305">
        <v>0</v>
      </c>
      <c r="AI452" s="1305">
        <v>0</v>
      </c>
      <c r="AJ452" s="1306">
        <v>0</v>
      </c>
      <c r="AK452" s="1307">
        <v>0</v>
      </c>
      <c r="AL452" s="1770"/>
      <c r="AM452" s="1304">
        <v>0</v>
      </c>
      <c r="AN452" s="1070"/>
    </row>
    <row r="453" spans="1:40" ht="18" hidden="1" outlineLevel="1" x14ac:dyDescent="0.3">
      <c r="A453" s="1082"/>
      <c r="B453" s="1336" t="s">
        <v>1325</v>
      </c>
      <c r="C453" s="1337"/>
      <c r="D453" s="1337"/>
      <c r="E453" s="1337"/>
      <c r="F453" s="1304">
        <v>0</v>
      </c>
      <c r="G453" s="1306">
        <v>0</v>
      </c>
      <c r="H453" s="1305">
        <v>0</v>
      </c>
      <c r="I453" s="1305">
        <v>0</v>
      </c>
      <c r="J453" s="1305">
        <v>0</v>
      </c>
      <c r="K453" s="1305">
        <v>0</v>
      </c>
      <c r="L453" s="1305">
        <v>0</v>
      </c>
      <c r="M453" s="1305">
        <v>0</v>
      </c>
      <c r="N453" s="1305">
        <v>0</v>
      </c>
      <c r="O453" s="1305">
        <v>0</v>
      </c>
      <c r="P453" s="1305">
        <v>0</v>
      </c>
      <c r="Q453" s="1305">
        <v>0</v>
      </c>
      <c r="R453" s="1305">
        <v>0</v>
      </c>
      <c r="S453" s="1305">
        <v>0</v>
      </c>
      <c r="T453" s="1305">
        <v>0</v>
      </c>
      <c r="U453" s="1305">
        <v>0</v>
      </c>
      <c r="V453" s="1305">
        <v>0</v>
      </c>
      <c r="W453" s="1305">
        <v>0</v>
      </c>
      <c r="X453" s="1305">
        <v>0</v>
      </c>
      <c r="Y453" s="1305">
        <v>0</v>
      </c>
      <c r="Z453" s="1305">
        <v>0</v>
      </c>
      <c r="AA453" s="1305">
        <v>0</v>
      </c>
      <c r="AB453" s="1305">
        <v>0</v>
      </c>
      <c r="AC453" s="1305">
        <v>0</v>
      </c>
      <c r="AD453" s="1305">
        <v>0</v>
      </c>
      <c r="AE453" s="1305">
        <v>0</v>
      </c>
      <c r="AF453" s="1305">
        <v>0</v>
      </c>
      <c r="AG453" s="1305">
        <v>0</v>
      </c>
      <c r="AH453" s="1305">
        <v>0</v>
      </c>
      <c r="AI453" s="1305">
        <v>0</v>
      </c>
      <c r="AJ453" s="1306">
        <v>0</v>
      </c>
      <c r="AK453" s="1307">
        <v>0</v>
      </c>
      <c r="AL453" s="1770"/>
      <c r="AM453" s="1304">
        <v>0</v>
      </c>
      <c r="AN453" s="1070"/>
    </row>
    <row r="454" spans="1:40" ht="18.600000000000001" hidden="1" outlineLevel="1" thickBot="1" x14ac:dyDescent="0.35">
      <c r="A454" s="1082"/>
      <c r="B454" s="1338" t="s">
        <v>660</v>
      </c>
      <c r="C454" s="1339"/>
      <c r="D454" s="1339"/>
      <c r="E454" s="1339"/>
      <c r="F454" s="1345">
        <v>0</v>
      </c>
      <c r="G454" s="1347">
        <v>0</v>
      </c>
      <c r="H454" s="1346">
        <v>0</v>
      </c>
      <c r="I454" s="1346">
        <v>0</v>
      </c>
      <c r="J454" s="1346">
        <v>0</v>
      </c>
      <c r="K454" s="1346">
        <v>0</v>
      </c>
      <c r="L454" s="1346">
        <v>0</v>
      </c>
      <c r="M454" s="1346">
        <v>0</v>
      </c>
      <c r="N454" s="1346">
        <v>0</v>
      </c>
      <c r="O454" s="1346">
        <v>0</v>
      </c>
      <c r="P454" s="1346">
        <v>0</v>
      </c>
      <c r="Q454" s="1346">
        <v>0</v>
      </c>
      <c r="R454" s="1346">
        <v>0</v>
      </c>
      <c r="S454" s="1346">
        <v>0</v>
      </c>
      <c r="T454" s="1346">
        <v>0</v>
      </c>
      <c r="U454" s="1346">
        <v>0</v>
      </c>
      <c r="V454" s="1346">
        <v>0</v>
      </c>
      <c r="W454" s="1346">
        <v>0</v>
      </c>
      <c r="X454" s="1346">
        <v>0</v>
      </c>
      <c r="Y454" s="1346">
        <v>0</v>
      </c>
      <c r="Z454" s="1346">
        <v>0</v>
      </c>
      <c r="AA454" s="1346">
        <v>0</v>
      </c>
      <c r="AB454" s="1346">
        <v>0</v>
      </c>
      <c r="AC454" s="1346">
        <v>0</v>
      </c>
      <c r="AD454" s="1346">
        <v>0</v>
      </c>
      <c r="AE454" s="1346">
        <v>0</v>
      </c>
      <c r="AF454" s="1346">
        <v>0</v>
      </c>
      <c r="AG454" s="1346">
        <v>0</v>
      </c>
      <c r="AH454" s="1346">
        <v>0</v>
      </c>
      <c r="AI454" s="1346">
        <v>0</v>
      </c>
      <c r="AJ454" s="1347">
        <v>0</v>
      </c>
      <c r="AK454" s="1348"/>
      <c r="AL454" s="1761"/>
      <c r="AM454" s="1345">
        <v>0</v>
      </c>
      <c r="AN454" s="1070"/>
    </row>
    <row r="455" spans="1:40" hidden="1" outlineLevel="1" x14ac:dyDescent="0.3">
      <c r="A455" s="1082"/>
      <c r="B455" s="1350"/>
      <c r="C455" s="1351" t="s">
        <v>1323</v>
      </c>
      <c r="D455" s="1351"/>
      <c r="E455" s="1353"/>
      <c r="F455" s="1357"/>
      <c r="G455" s="1276">
        <v>0</v>
      </c>
      <c r="H455" s="1275">
        <v>0</v>
      </c>
      <c r="I455" s="1275">
        <v>0</v>
      </c>
      <c r="J455" s="1275">
        <v>0</v>
      </c>
      <c r="K455" s="1275">
        <v>0</v>
      </c>
      <c r="L455" s="1275">
        <v>0</v>
      </c>
      <c r="M455" s="1275">
        <v>0</v>
      </c>
      <c r="N455" s="1275">
        <v>0</v>
      </c>
      <c r="O455" s="1275">
        <v>0</v>
      </c>
      <c r="P455" s="1275">
        <v>0</v>
      </c>
      <c r="Q455" s="1275">
        <v>0</v>
      </c>
      <c r="R455" s="1275">
        <v>0</v>
      </c>
      <c r="S455" s="1275">
        <v>0</v>
      </c>
      <c r="T455" s="1275">
        <v>0</v>
      </c>
      <c r="U455" s="1275">
        <v>0</v>
      </c>
      <c r="V455" s="1275">
        <v>0</v>
      </c>
      <c r="W455" s="1275">
        <v>0</v>
      </c>
      <c r="X455" s="1275">
        <v>0</v>
      </c>
      <c r="Y455" s="1275">
        <v>0</v>
      </c>
      <c r="Z455" s="1275">
        <v>0</v>
      </c>
      <c r="AA455" s="1275">
        <v>0</v>
      </c>
      <c r="AB455" s="1275">
        <v>0</v>
      </c>
      <c r="AC455" s="1275">
        <v>0</v>
      </c>
      <c r="AD455" s="1275">
        <v>0</v>
      </c>
      <c r="AE455" s="1275">
        <v>0</v>
      </c>
      <c r="AF455" s="1275">
        <v>0</v>
      </c>
      <c r="AG455" s="1275">
        <v>0</v>
      </c>
      <c r="AH455" s="1275">
        <v>0</v>
      </c>
      <c r="AI455" s="1275">
        <v>0</v>
      </c>
      <c r="AJ455" s="1276">
        <v>0</v>
      </c>
      <c r="AK455" s="1358"/>
      <c r="AL455" s="1771"/>
      <c r="AM455" s="1279"/>
      <c r="AN455" s="1070"/>
    </row>
    <row r="456" spans="1:40" ht="18" hidden="1" outlineLevel="1" x14ac:dyDescent="0.3">
      <c r="A456" s="1082"/>
      <c r="B456" s="1336" t="s">
        <v>1326</v>
      </c>
      <c r="C456" s="1351"/>
      <c r="D456" s="1351"/>
      <c r="E456" s="1353"/>
      <c r="F456" s="1304">
        <v>0</v>
      </c>
      <c r="G456" s="1306">
        <v>0</v>
      </c>
      <c r="H456" s="1305">
        <v>0</v>
      </c>
      <c r="I456" s="1305">
        <v>0</v>
      </c>
      <c r="J456" s="1305">
        <v>0</v>
      </c>
      <c r="K456" s="1305">
        <v>0</v>
      </c>
      <c r="L456" s="1305">
        <v>0</v>
      </c>
      <c r="M456" s="1305">
        <v>0</v>
      </c>
      <c r="N456" s="1305">
        <v>0</v>
      </c>
      <c r="O456" s="1305">
        <v>0</v>
      </c>
      <c r="P456" s="1305">
        <v>0</v>
      </c>
      <c r="Q456" s="1305">
        <v>0</v>
      </c>
      <c r="R456" s="1305">
        <v>0</v>
      </c>
      <c r="S456" s="1305">
        <v>0</v>
      </c>
      <c r="T456" s="1305">
        <v>0</v>
      </c>
      <c r="U456" s="1305">
        <v>0</v>
      </c>
      <c r="V456" s="1305">
        <v>0</v>
      </c>
      <c r="W456" s="1305">
        <v>0</v>
      </c>
      <c r="X456" s="1305">
        <v>0</v>
      </c>
      <c r="Y456" s="1305">
        <v>0</v>
      </c>
      <c r="Z456" s="1305">
        <v>0</v>
      </c>
      <c r="AA456" s="1305">
        <v>0</v>
      </c>
      <c r="AB456" s="1305">
        <v>0</v>
      </c>
      <c r="AC456" s="1305">
        <v>0</v>
      </c>
      <c r="AD456" s="1305">
        <v>0</v>
      </c>
      <c r="AE456" s="1305">
        <v>0</v>
      </c>
      <c r="AF456" s="1305">
        <v>0</v>
      </c>
      <c r="AG456" s="1305">
        <v>0</v>
      </c>
      <c r="AH456" s="1305">
        <v>0</v>
      </c>
      <c r="AI456" s="1305">
        <v>0</v>
      </c>
      <c r="AJ456" s="1306">
        <v>0</v>
      </c>
      <c r="AK456" s="1358" t="s">
        <v>3</v>
      </c>
      <c r="AL456" s="1771"/>
      <c r="AM456" s="1304">
        <v>0</v>
      </c>
      <c r="AN456" s="1070"/>
    </row>
    <row r="457" spans="1:40" ht="18" hidden="1" outlineLevel="1" x14ac:dyDescent="0.3">
      <c r="A457" s="1082"/>
      <c r="B457" s="1336" t="s">
        <v>1327</v>
      </c>
      <c r="C457" s="1360"/>
      <c r="D457" s="1360"/>
      <c r="E457" s="1360"/>
      <c r="F457" s="1304">
        <v>0</v>
      </c>
      <c r="G457" s="1306">
        <v>0</v>
      </c>
      <c r="H457" s="1305">
        <v>0</v>
      </c>
      <c r="I457" s="1305">
        <v>0</v>
      </c>
      <c r="J457" s="1305">
        <v>0</v>
      </c>
      <c r="K457" s="1305">
        <v>0</v>
      </c>
      <c r="L457" s="1305">
        <v>0</v>
      </c>
      <c r="M457" s="1305">
        <v>0</v>
      </c>
      <c r="N457" s="1305">
        <v>0</v>
      </c>
      <c r="O457" s="1305">
        <v>0</v>
      </c>
      <c r="P457" s="1305">
        <v>0</v>
      </c>
      <c r="Q457" s="1305">
        <v>0</v>
      </c>
      <c r="R457" s="1305">
        <v>0</v>
      </c>
      <c r="S457" s="1305">
        <v>0</v>
      </c>
      <c r="T457" s="1305">
        <v>0</v>
      </c>
      <c r="U457" s="1305">
        <v>0</v>
      </c>
      <c r="V457" s="1305">
        <v>0</v>
      </c>
      <c r="W457" s="1305">
        <v>0</v>
      </c>
      <c r="X457" s="1305">
        <v>0</v>
      </c>
      <c r="Y457" s="1305">
        <v>0</v>
      </c>
      <c r="Z457" s="1305">
        <v>0</v>
      </c>
      <c r="AA457" s="1305">
        <v>0</v>
      </c>
      <c r="AB457" s="1305">
        <v>0</v>
      </c>
      <c r="AC457" s="1305">
        <v>0</v>
      </c>
      <c r="AD457" s="1305">
        <v>0</v>
      </c>
      <c r="AE457" s="1305">
        <v>0</v>
      </c>
      <c r="AF457" s="1305">
        <v>0</v>
      </c>
      <c r="AG457" s="1305">
        <v>0</v>
      </c>
      <c r="AH457" s="1305">
        <v>0</v>
      </c>
      <c r="AI457" s="1305">
        <v>0</v>
      </c>
      <c r="AJ457" s="1306">
        <v>0</v>
      </c>
      <c r="AK457" s="1307">
        <v>0</v>
      </c>
      <c r="AL457" s="1770"/>
      <c r="AM457" s="1304">
        <v>0</v>
      </c>
      <c r="AN457" s="1070"/>
    </row>
    <row r="458" spans="1:40" ht="18" hidden="1" outlineLevel="1" x14ac:dyDescent="0.3">
      <c r="A458" s="1082"/>
      <c r="B458" s="1308" t="s">
        <v>674</v>
      </c>
      <c r="C458" s="1362"/>
      <c r="D458" s="1362"/>
      <c r="E458" s="1362"/>
      <c r="F458" s="1315">
        <v>0</v>
      </c>
      <c r="G458" s="1317">
        <v>0</v>
      </c>
      <c r="H458" s="1316">
        <v>0</v>
      </c>
      <c r="I458" s="1316">
        <v>0</v>
      </c>
      <c r="J458" s="1316">
        <v>0</v>
      </c>
      <c r="K458" s="1316">
        <v>0</v>
      </c>
      <c r="L458" s="1316">
        <v>0</v>
      </c>
      <c r="M458" s="1316">
        <v>0</v>
      </c>
      <c r="N458" s="1316">
        <v>0</v>
      </c>
      <c r="O458" s="1316">
        <v>0</v>
      </c>
      <c r="P458" s="1316">
        <v>0</v>
      </c>
      <c r="Q458" s="1316">
        <v>0</v>
      </c>
      <c r="R458" s="1316">
        <v>0</v>
      </c>
      <c r="S458" s="1316">
        <v>0</v>
      </c>
      <c r="T458" s="1316">
        <v>0</v>
      </c>
      <c r="U458" s="1316">
        <v>0</v>
      </c>
      <c r="V458" s="1316">
        <v>0</v>
      </c>
      <c r="W458" s="1316">
        <v>0</v>
      </c>
      <c r="X458" s="1316">
        <v>0</v>
      </c>
      <c r="Y458" s="1316">
        <v>0</v>
      </c>
      <c r="Z458" s="1316">
        <v>0</v>
      </c>
      <c r="AA458" s="1316">
        <v>0</v>
      </c>
      <c r="AB458" s="1316">
        <v>0</v>
      </c>
      <c r="AC458" s="1316">
        <v>0</v>
      </c>
      <c r="AD458" s="1316">
        <v>0</v>
      </c>
      <c r="AE458" s="1316">
        <v>0</v>
      </c>
      <c r="AF458" s="1316">
        <v>0</v>
      </c>
      <c r="AG458" s="1316">
        <v>0</v>
      </c>
      <c r="AH458" s="1316">
        <v>0</v>
      </c>
      <c r="AI458" s="1316">
        <v>0</v>
      </c>
      <c r="AJ458" s="1317">
        <v>0</v>
      </c>
      <c r="AK458" s="1318"/>
      <c r="AL458" s="1761"/>
      <c r="AM458" s="1315">
        <v>0</v>
      </c>
      <c r="AN458" s="1070"/>
    </row>
    <row r="459" spans="1:40" hidden="1" outlineLevel="1" x14ac:dyDescent="0.3">
      <c r="A459" s="1082"/>
      <c r="B459" s="1363"/>
      <c r="C459" s="1321" t="s">
        <v>1323</v>
      </c>
      <c r="D459" s="1321"/>
      <c r="E459" s="1364"/>
      <c r="F459" s="1367"/>
      <c r="G459" s="1332">
        <v>0</v>
      </c>
      <c r="H459" s="1331">
        <v>0</v>
      </c>
      <c r="I459" s="1331">
        <v>0</v>
      </c>
      <c r="J459" s="1331">
        <v>0</v>
      </c>
      <c r="K459" s="1331">
        <v>0</v>
      </c>
      <c r="L459" s="1331">
        <v>0</v>
      </c>
      <c r="M459" s="1331">
        <v>0</v>
      </c>
      <c r="N459" s="1331">
        <v>0</v>
      </c>
      <c r="O459" s="1331">
        <v>0</v>
      </c>
      <c r="P459" s="1331">
        <v>0</v>
      </c>
      <c r="Q459" s="1331">
        <v>0</v>
      </c>
      <c r="R459" s="1331">
        <v>0</v>
      </c>
      <c r="S459" s="1331">
        <v>0</v>
      </c>
      <c r="T459" s="1331">
        <v>0</v>
      </c>
      <c r="U459" s="1331">
        <v>0</v>
      </c>
      <c r="V459" s="1331">
        <v>0</v>
      </c>
      <c r="W459" s="1331">
        <v>0</v>
      </c>
      <c r="X459" s="1331">
        <v>0</v>
      </c>
      <c r="Y459" s="1331">
        <v>0</v>
      </c>
      <c r="Z459" s="1331">
        <v>0</v>
      </c>
      <c r="AA459" s="1331">
        <v>0</v>
      </c>
      <c r="AB459" s="1331">
        <v>0</v>
      </c>
      <c r="AC459" s="1331">
        <v>0</v>
      </c>
      <c r="AD459" s="1331">
        <v>0</v>
      </c>
      <c r="AE459" s="1331">
        <v>0</v>
      </c>
      <c r="AF459" s="1331">
        <v>0</v>
      </c>
      <c r="AG459" s="1331">
        <v>0</v>
      </c>
      <c r="AH459" s="1331">
        <v>0</v>
      </c>
      <c r="AI459" s="1331">
        <v>0</v>
      </c>
      <c r="AJ459" s="1332">
        <v>0</v>
      </c>
      <c r="AK459" s="1368"/>
      <c r="AL459" s="1776"/>
      <c r="AM459" s="1335"/>
      <c r="AN459" s="1070"/>
    </row>
    <row r="460" spans="1:40" ht="18" hidden="1" outlineLevel="1" x14ac:dyDescent="0.3">
      <c r="A460" s="1082"/>
      <c r="B460" s="1336" t="s">
        <v>1328</v>
      </c>
      <c r="C460" s="1337"/>
      <c r="D460" s="1337"/>
      <c r="E460" s="1337"/>
      <c r="F460" s="1304">
        <v>0</v>
      </c>
      <c r="G460" s="1306">
        <v>0</v>
      </c>
      <c r="H460" s="1305">
        <v>0</v>
      </c>
      <c r="I460" s="1305">
        <v>0</v>
      </c>
      <c r="J460" s="1305">
        <v>0</v>
      </c>
      <c r="K460" s="1305">
        <v>0</v>
      </c>
      <c r="L460" s="1305">
        <v>0</v>
      </c>
      <c r="M460" s="1305">
        <v>0</v>
      </c>
      <c r="N460" s="1305">
        <v>0</v>
      </c>
      <c r="O460" s="1305">
        <v>0</v>
      </c>
      <c r="P460" s="1305">
        <v>0</v>
      </c>
      <c r="Q460" s="1305">
        <v>0</v>
      </c>
      <c r="R460" s="1305">
        <v>0</v>
      </c>
      <c r="S460" s="1305">
        <v>0</v>
      </c>
      <c r="T460" s="1305">
        <v>0</v>
      </c>
      <c r="U460" s="1305">
        <v>0</v>
      </c>
      <c r="V460" s="1305">
        <v>0</v>
      </c>
      <c r="W460" s="1305">
        <v>0</v>
      </c>
      <c r="X460" s="1305">
        <v>0</v>
      </c>
      <c r="Y460" s="1305">
        <v>0</v>
      </c>
      <c r="Z460" s="1305">
        <v>0</v>
      </c>
      <c r="AA460" s="1305">
        <v>0</v>
      </c>
      <c r="AB460" s="1305">
        <v>0</v>
      </c>
      <c r="AC460" s="1305">
        <v>0</v>
      </c>
      <c r="AD460" s="1305">
        <v>0</v>
      </c>
      <c r="AE460" s="1305">
        <v>0</v>
      </c>
      <c r="AF460" s="1305">
        <v>0</v>
      </c>
      <c r="AG460" s="1305">
        <v>0</v>
      </c>
      <c r="AH460" s="1305">
        <v>0</v>
      </c>
      <c r="AI460" s="1305">
        <v>0</v>
      </c>
      <c r="AJ460" s="1306">
        <v>0</v>
      </c>
      <c r="AK460" s="1307">
        <v>0</v>
      </c>
      <c r="AL460" s="1770"/>
      <c r="AM460" s="1304">
        <v>0</v>
      </c>
      <c r="AN460" s="1070"/>
    </row>
    <row r="461" spans="1:40" ht="18" hidden="1" outlineLevel="1" x14ac:dyDescent="0.3">
      <c r="A461" s="1082"/>
      <c r="B461" s="1336" t="s">
        <v>1329</v>
      </c>
      <c r="C461" s="1337"/>
      <c r="D461" s="1337"/>
      <c r="E461" s="1337"/>
      <c r="F461" s="1304">
        <v>0</v>
      </c>
      <c r="G461" s="1306">
        <v>0</v>
      </c>
      <c r="H461" s="1305">
        <v>0</v>
      </c>
      <c r="I461" s="1305">
        <v>0</v>
      </c>
      <c r="J461" s="1305">
        <v>0</v>
      </c>
      <c r="K461" s="1305">
        <v>0</v>
      </c>
      <c r="L461" s="1305">
        <v>0</v>
      </c>
      <c r="M461" s="1305">
        <v>0</v>
      </c>
      <c r="N461" s="1305">
        <v>0</v>
      </c>
      <c r="O461" s="1305">
        <v>0</v>
      </c>
      <c r="P461" s="1305">
        <v>0</v>
      </c>
      <c r="Q461" s="1305">
        <v>0</v>
      </c>
      <c r="R461" s="1305">
        <v>0</v>
      </c>
      <c r="S461" s="1305">
        <v>0</v>
      </c>
      <c r="T461" s="1305">
        <v>0</v>
      </c>
      <c r="U461" s="1305">
        <v>0</v>
      </c>
      <c r="V461" s="1305">
        <v>0</v>
      </c>
      <c r="W461" s="1305">
        <v>0</v>
      </c>
      <c r="X461" s="1305">
        <v>0</v>
      </c>
      <c r="Y461" s="1305">
        <v>0</v>
      </c>
      <c r="Z461" s="1305">
        <v>0</v>
      </c>
      <c r="AA461" s="1305">
        <v>0</v>
      </c>
      <c r="AB461" s="1305">
        <v>0</v>
      </c>
      <c r="AC461" s="1305">
        <v>0</v>
      </c>
      <c r="AD461" s="1305">
        <v>0</v>
      </c>
      <c r="AE461" s="1305">
        <v>0</v>
      </c>
      <c r="AF461" s="1305">
        <v>0</v>
      </c>
      <c r="AG461" s="1305">
        <v>0</v>
      </c>
      <c r="AH461" s="1305">
        <v>0</v>
      </c>
      <c r="AI461" s="1777">
        <v>0</v>
      </c>
      <c r="AJ461" s="1306">
        <v>0</v>
      </c>
      <c r="AK461" s="1307">
        <v>0</v>
      </c>
      <c r="AL461" s="1770"/>
      <c r="AM461" s="1304">
        <v>0</v>
      </c>
      <c r="AN461" s="1070"/>
    </row>
    <row r="462" spans="1:40" ht="18" hidden="1" outlineLevel="1" x14ac:dyDescent="0.3">
      <c r="A462" s="1082"/>
      <c r="B462" s="1369" t="s">
        <v>1450</v>
      </c>
      <c r="C462" s="1298"/>
      <c r="D462" s="1298"/>
      <c r="E462" s="1298"/>
      <c r="F462" s="1374">
        <v>0</v>
      </c>
      <c r="G462" s="1376">
        <v>0</v>
      </c>
      <c r="H462" s="1375">
        <v>0</v>
      </c>
      <c r="I462" s="1375">
        <v>0</v>
      </c>
      <c r="J462" s="1375">
        <v>0</v>
      </c>
      <c r="K462" s="1375">
        <v>0</v>
      </c>
      <c r="L462" s="1375">
        <v>0</v>
      </c>
      <c r="M462" s="1375">
        <v>0</v>
      </c>
      <c r="N462" s="1375">
        <v>0</v>
      </c>
      <c r="O462" s="1375">
        <v>0</v>
      </c>
      <c r="P462" s="1375">
        <v>0</v>
      </c>
      <c r="Q462" s="1375">
        <v>0</v>
      </c>
      <c r="R462" s="1375">
        <v>0</v>
      </c>
      <c r="S462" s="1375">
        <v>0</v>
      </c>
      <c r="T462" s="1375">
        <v>0</v>
      </c>
      <c r="U462" s="1375">
        <v>0</v>
      </c>
      <c r="V462" s="1375">
        <v>0</v>
      </c>
      <c r="W462" s="1375">
        <v>0</v>
      </c>
      <c r="X462" s="1375">
        <v>0</v>
      </c>
      <c r="Y462" s="1375">
        <v>0</v>
      </c>
      <c r="Z462" s="1375">
        <v>0</v>
      </c>
      <c r="AA462" s="1375">
        <v>0</v>
      </c>
      <c r="AB462" s="1375">
        <v>0</v>
      </c>
      <c r="AC462" s="1375">
        <v>0</v>
      </c>
      <c r="AD462" s="1375">
        <v>0</v>
      </c>
      <c r="AE462" s="1375">
        <v>0</v>
      </c>
      <c r="AF462" s="1375">
        <v>0</v>
      </c>
      <c r="AG462" s="1375">
        <v>0</v>
      </c>
      <c r="AH462" s="1375">
        <v>0</v>
      </c>
      <c r="AI462" s="1375">
        <v>0</v>
      </c>
      <c r="AJ462" s="1376">
        <v>0</v>
      </c>
      <c r="AK462" s="1377"/>
      <c r="AL462" s="1761"/>
      <c r="AM462" s="1374">
        <v>0</v>
      </c>
      <c r="AN462" s="1070"/>
    </row>
    <row r="463" spans="1:40" ht="18" hidden="1" outlineLevel="1" x14ac:dyDescent="0.3">
      <c r="A463" s="1082"/>
      <c r="B463" s="1369"/>
      <c r="C463" s="1351" t="s">
        <v>1323</v>
      </c>
      <c r="D463" s="1351"/>
      <c r="E463" s="1351"/>
      <c r="F463" s="1381"/>
      <c r="G463" s="1276">
        <v>0</v>
      </c>
      <c r="H463" s="1275">
        <v>0</v>
      </c>
      <c r="I463" s="1275">
        <v>0</v>
      </c>
      <c r="J463" s="1275">
        <v>0</v>
      </c>
      <c r="K463" s="1275">
        <v>0</v>
      </c>
      <c r="L463" s="1275">
        <v>0</v>
      </c>
      <c r="M463" s="1275">
        <v>0</v>
      </c>
      <c r="N463" s="1275">
        <v>0</v>
      </c>
      <c r="O463" s="1275">
        <v>0</v>
      </c>
      <c r="P463" s="1275">
        <v>0</v>
      </c>
      <c r="Q463" s="1275">
        <v>0</v>
      </c>
      <c r="R463" s="1275">
        <v>0</v>
      </c>
      <c r="S463" s="1275">
        <v>0</v>
      </c>
      <c r="T463" s="1275">
        <v>0</v>
      </c>
      <c r="U463" s="1275">
        <v>0</v>
      </c>
      <c r="V463" s="1275">
        <v>0</v>
      </c>
      <c r="W463" s="1275">
        <v>0</v>
      </c>
      <c r="X463" s="1275">
        <v>0</v>
      </c>
      <c r="Y463" s="1275">
        <v>0</v>
      </c>
      <c r="Z463" s="1275">
        <v>0</v>
      </c>
      <c r="AA463" s="1275">
        <v>0</v>
      </c>
      <c r="AB463" s="1275">
        <v>0</v>
      </c>
      <c r="AC463" s="1275">
        <v>0</v>
      </c>
      <c r="AD463" s="1275">
        <v>0</v>
      </c>
      <c r="AE463" s="1275">
        <v>0</v>
      </c>
      <c r="AF463" s="1275">
        <v>0</v>
      </c>
      <c r="AG463" s="1275">
        <v>0</v>
      </c>
      <c r="AH463" s="1275">
        <v>0</v>
      </c>
      <c r="AI463" s="1275">
        <v>0</v>
      </c>
      <c r="AJ463" s="1276">
        <v>0</v>
      </c>
      <c r="AK463" s="1377"/>
      <c r="AL463" s="1761"/>
      <c r="AM463" s="1279"/>
      <c r="AN463" s="1070"/>
    </row>
    <row r="464" spans="1:40" ht="18.600000000000001" hidden="1" outlineLevel="1" thickBot="1" x14ac:dyDescent="0.35">
      <c r="A464" s="1082"/>
      <c r="B464" s="1778"/>
      <c r="C464" s="1779"/>
      <c r="D464" s="1779"/>
      <c r="E464" s="1779"/>
      <c r="F464" s="1780"/>
      <c r="G464" s="1781"/>
      <c r="H464" s="1781"/>
      <c r="I464" s="1781"/>
      <c r="J464" s="1781"/>
      <c r="K464" s="1781"/>
      <c r="L464" s="1781"/>
      <c r="M464" s="1781"/>
      <c r="N464" s="1781"/>
      <c r="O464" s="1781"/>
      <c r="P464" s="1781"/>
      <c r="Q464" s="1781"/>
      <c r="R464" s="1781"/>
      <c r="S464" s="1781"/>
      <c r="T464" s="1781"/>
      <c r="U464" s="1781"/>
      <c r="V464" s="1781"/>
      <c r="W464" s="1781"/>
      <c r="X464" s="1781"/>
      <c r="Y464" s="1781"/>
      <c r="Z464" s="1781"/>
      <c r="AA464" s="1781"/>
      <c r="AB464" s="1781"/>
      <c r="AC464" s="1781"/>
      <c r="AD464" s="1781"/>
      <c r="AE464" s="1781"/>
      <c r="AF464" s="1781"/>
      <c r="AG464" s="1781"/>
      <c r="AH464" s="1781"/>
      <c r="AI464" s="1781"/>
      <c r="AJ464" s="1782"/>
      <c r="AK464" s="1783"/>
      <c r="AL464" s="1784"/>
      <c r="AM464" s="1785"/>
      <c r="AN464" s="1070"/>
    </row>
    <row r="465" spans="1:16378" ht="18" hidden="1" outlineLevel="1" x14ac:dyDescent="0.3">
      <c r="A465" s="1070"/>
      <c r="B465" s="1082"/>
      <c r="C465" s="1082"/>
      <c r="D465" s="1082"/>
      <c r="E465" s="1082"/>
      <c r="F465" s="1371"/>
      <c r="G465" s="1300"/>
      <c r="H465" s="1300"/>
      <c r="I465" s="1300"/>
      <c r="J465" s="1300"/>
      <c r="K465" s="1300"/>
      <c r="L465" s="1300"/>
      <c r="M465" s="1300"/>
      <c r="N465" s="1300"/>
      <c r="O465" s="1300"/>
      <c r="P465" s="1300"/>
      <c r="Q465" s="1300"/>
      <c r="R465" s="1300"/>
      <c r="S465" s="1300"/>
      <c r="T465" s="1300"/>
      <c r="U465" s="1300"/>
      <c r="V465" s="1300"/>
      <c r="W465" s="1300"/>
      <c r="X465" s="1300"/>
      <c r="Y465" s="1300"/>
      <c r="Z465" s="1300"/>
      <c r="AA465" s="1300"/>
      <c r="AB465" s="1300"/>
      <c r="AC465" s="1300"/>
      <c r="AD465" s="1300"/>
      <c r="AE465" s="1300"/>
      <c r="AF465" s="1300"/>
      <c r="AG465" s="1300"/>
      <c r="AH465" s="1300"/>
      <c r="AI465" s="1300"/>
      <c r="AJ465" s="1300"/>
      <c r="AK465" s="1791"/>
      <c r="AL465" s="1791"/>
      <c r="AM465" s="1300"/>
      <c r="AN465" s="1070"/>
    </row>
    <row r="466" spans="1:16378" s="1236" customFormat="1" ht="18" hidden="1" outlineLevel="1" x14ac:dyDescent="0.3">
      <c r="A466" s="1082"/>
      <c r="B466" s="1082"/>
      <c r="C466" s="1082"/>
      <c r="D466" s="1082"/>
      <c r="E466" s="1082"/>
      <c r="F466" s="1371"/>
      <c r="G466" s="1300"/>
      <c r="H466" s="1300"/>
      <c r="I466" s="1300"/>
      <c r="J466" s="1300"/>
      <c r="K466" s="1300"/>
      <c r="L466" s="1300"/>
      <c r="M466" s="1300"/>
      <c r="N466" s="1300"/>
      <c r="O466" s="1300"/>
      <c r="P466" s="1300"/>
      <c r="Q466" s="1300"/>
      <c r="R466" s="1300"/>
      <c r="S466" s="1300"/>
      <c r="T466" s="1300"/>
      <c r="U466" s="1300"/>
      <c r="V466" s="1300"/>
      <c r="W466" s="1300"/>
      <c r="X466" s="1300"/>
      <c r="Y466" s="1300"/>
      <c r="Z466" s="1300"/>
      <c r="AA466" s="1795"/>
      <c r="AB466" s="1795"/>
      <c r="AC466" s="1795"/>
      <c r="AD466" s="1795"/>
      <c r="AE466" s="1795"/>
      <c r="AF466" s="1795"/>
      <c r="AG466" s="1795"/>
      <c r="AH466" s="1795"/>
      <c r="AI466" s="1795"/>
      <c r="AJ466" s="1795"/>
      <c r="AK466" s="1796"/>
      <c r="AL466" s="1796"/>
      <c r="AM466" s="1795"/>
    </row>
    <row r="467" spans="1:16378" ht="15" hidden="1" customHeight="1" outlineLevel="1" x14ac:dyDescent="0.3">
      <c r="A467" s="1070"/>
      <c r="B467" s="1070"/>
      <c r="C467" s="1070"/>
      <c r="D467" s="1070"/>
      <c r="E467" s="1070"/>
      <c r="F467" s="1070"/>
      <c r="G467" s="1070"/>
      <c r="H467" s="3144" t="s">
        <v>1516</v>
      </c>
      <c r="I467" s="3145"/>
      <c r="J467" s="3145"/>
      <c r="K467" s="3145"/>
      <c r="L467" s="3146"/>
      <c r="M467" s="1070"/>
      <c r="N467" s="1070"/>
      <c r="O467" s="3274" t="s">
        <v>1452</v>
      </c>
      <c r="P467" s="3275"/>
      <c r="Q467" s="3275"/>
      <c r="R467" s="3276"/>
      <c r="T467" s="1079"/>
      <c r="U467" s="1082"/>
      <c r="V467" s="3277" t="s">
        <v>1517</v>
      </c>
      <c r="W467" s="3278"/>
      <c r="X467" s="3278"/>
      <c r="Y467" s="3279"/>
      <c r="Z467" s="1082"/>
    </row>
    <row r="468" spans="1:16378" hidden="1" outlineLevel="1" x14ac:dyDescent="0.3">
      <c r="A468" s="1070"/>
      <c r="B468" s="1070"/>
      <c r="C468" s="1070"/>
      <c r="D468" s="1070"/>
      <c r="E468" s="1070"/>
      <c r="F468" s="1070"/>
      <c r="G468" s="1070"/>
      <c r="H468" s="1217" t="s">
        <v>1299</v>
      </c>
      <c r="I468" s="1218"/>
      <c r="J468" s="1218"/>
      <c r="K468" s="1218"/>
      <c r="L468" s="1412"/>
      <c r="M468" s="1070"/>
      <c r="N468" s="1070"/>
      <c r="O468" s="1797"/>
      <c r="P468" s="1798"/>
      <c r="Q468" s="1799" t="s">
        <v>1313</v>
      </c>
      <c r="R468" s="1799" t="s">
        <v>1314</v>
      </c>
      <c r="T468" s="1079"/>
      <c r="U468" s="1082"/>
      <c r="V468" s="3280"/>
      <c r="W468" s="3281"/>
      <c r="X468" s="3281"/>
      <c r="Y468" s="3282"/>
      <c r="Z468" s="1082"/>
    </row>
    <row r="469" spans="1:16378" hidden="1" outlineLevel="1" x14ac:dyDescent="0.3">
      <c r="A469" s="1070"/>
      <c r="B469" s="1070"/>
      <c r="C469" s="1070"/>
      <c r="D469" s="1070"/>
      <c r="E469" s="1070"/>
      <c r="F469" s="1070"/>
      <c r="G469" s="1070"/>
      <c r="H469" s="1800" t="s">
        <v>1301</v>
      </c>
      <c r="I469" s="1801"/>
      <c r="J469" s="1801"/>
      <c r="K469" s="1802" t="s">
        <v>1432</v>
      </c>
      <c r="L469" s="1803" t="s">
        <v>682</v>
      </c>
      <c r="M469" s="1070"/>
      <c r="N469" s="1070"/>
      <c r="O469" s="1804"/>
      <c r="P469" s="1805"/>
      <c r="Q469" s="1806" t="s">
        <v>1465</v>
      </c>
      <c r="R469" s="1806" t="s">
        <v>1465</v>
      </c>
      <c r="T469" s="1079"/>
      <c r="U469" s="1082"/>
      <c r="V469" s="1807" t="s">
        <v>1454</v>
      </c>
      <c r="W469" s="1143"/>
      <c r="X469" s="1414" t="s">
        <v>1432</v>
      </c>
      <c r="Y469" s="1415" t="s">
        <v>682</v>
      </c>
      <c r="Z469" s="1082"/>
    </row>
    <row r="470" spans="1:16378" hidden="1" outlineLevel="1" x14ac:dyDescent="0.3">
      <c r="A470" s="1070"/>
      <c r="B470" s="1070"/>
      <c r="C470" s="1070"/>
      <c r="D470" s="1070"/>
      <c r="E470" s="1070"/>
      <c r="F470" s="1070"/>
      <c r="G470" s="1070"/>
      <c r="H470" s="1440" t="s">
        <v>1456</v>
      </c>
      <c r="I470" s="1441"/>
      <c r="J470" s="1441"/>
      <c r="K470" s="1809" t="s">
        <v>1445</v>
      </c>
      <c r="L470" s="1443" t="s">
        <v>1445</v>
      </c>
      <c r="M470" s="1070"/>
      <c r="N470" s="1070"/>
      <c r="O470" s="1422" t="s">
        <v>794</v>
      </c>
      <c r="P470" s="1412"/>
      <c r="Q470" s="1832"/>
      <c r="R470" s="1833"/>
      <c r="T470" s="1079"/>
      <c r="U470" s="1082"/>
      <c r="V470" s="1147" t="s">
        <v>756</v>
      </c>
      <c r="W470" s="1186"/>
      <c r="X470" s="1811" t="s">
        <v>1445</v>
      </c>
      <c r="Y470" s="1812" t="s">
        <v>1445</v>
      </c>
      <c r="Z470" s="1082"/>
    </row>
    <row r="471" spans="1:16378" hidden="1" outlineLevel="1" x14ac:dyDescent="0.3">
      <c r="A471" s="1070"/>
      <c r="B471" s="1070"/>
      <c r="C471" s="1070"/>
      <c r="D471" s="1070"/>
      <c r="E471" s="1070"/>
      <c r="F471" s="1070"/>
      <c r="G471" s="1070"/>
      <c r="H471" s="1800" t="s">
        <v>730</v>
      </c>
      <c r="I471" s="1801"/>
      <c r="J471" s="1801"/>
      <c r="K471" s="1813"/>
      <c r="L471" s="1814"/>
      <c r="M471" s="1070"/>
      <c r="N471" s="1070"/>
      <c r="O471" s="1434" t="s">
        <v>725</v>
      </c>
      <c r="P471" s="1435"/>
      <c r="Q471" s="1834"/>
      <c r="R471" s="1835"/>
      <c r="T471" s="1079"/>
      <c r="U471" s="1082"/>
      <c r="V471" s="1149" t="s">
        <v>757</v>
      </c>
      <c r="W471" s="1437"/>
      <c r="X471" s="1816" t="s">
        <v>1445</v>
      </c>
      <c r="Y471" s="1817" t="s">
        <v>1445</v>
      </c>
      <c r="Z471" s="1082"/>
    </row>
    <row r="472" spans="1:16378" hidden="1" outlineLevel="1" x14ac:dyDescent="0.3">
      <c r="A472" s="1070"/>
      <c r="B472" s="1070"/>
      <c r="C472" s="1070"/>
      <c r="D472" s="1070"/>
      <c r="E472" s="1070"/>
      <c r="F472" s="1070"/>
      <c r="G472" s="1070"/>
      <c r="H472" s="1440" t="s">
        <v>1456</v>
      </c>
      <c r="I472" s="1441"/>
      <c r="J472" s="1441"/>
      <c r="K472" s="1809" t="s">
        <v>1445</v>
      </c>
      <c r="L472" s="1443" t="s">
        <v>1445</v>
      </c>
      <c r="M472" s="1070"/>
      <c r="N472" s="1070"/>
      <c r="O472" s="1422" t="s">
        <v>1348</v>
      </c>
      <c r="P472" s="1412"/>
      <c r="Q472" s="1836"/>
      <c r="R472" s="1079"/>
      <c r="T472" s="1079"/>
      <c r="U472" s="1082"/>
      <c r="V472" s="1149"/>
      <c r="W472" s="1437"/>
      <c r="X472" s="3182" t="s">
        <v>1457</v>
      </c>
      <c r="Y472" s="3183"/>
      <c r="Z472" s="1082"/>
    </row>
    <row r="473" spans="1:16378" hidden="1" outlineLevel="1" x14ac:dyDescent="0.3">
      <c r="A473" s="1070"/>
      <c r="B473" s="1070"/>
      <c r="C473" s="1070"/>
      <c r="D473" s="1070"/>
      <c r="E473" s="1070"/>
      <c r="F473" s="1070"/>
      <c r="G473" s="1070"/>
      <c r="H473" s="1800" t="s">
        <v>446</v>
      </c>
      <c r="I473" s="1801"/>
      <c r="J473" s="1801"/>
      <c r="K473" s="1813"/>
      <c r="L473" s="1814"/>
      <c r="M473" s="1070"/>
      <c r="N473" s="1070"/>
      <c r="O473" s="1434" t="s">
        <v>1349</v>
      </c>
      <c r="P473" s="1435"/>
      <c r="Q473" s="1837"/>
      <c r="R473" s="1079"/>
      <c r="T473" s="1079"/>
      <c r="U473" s="1082"/>
      <c r="V473" s="1149" t="s">
        <v>758</v>
      </c>
      <c r="W473" s="1437"/>
      <c r="X473" s="1811" t="s">
        <v>1445</v>
      </c>
      <c r="Y473" s="1812" t="s">
        <v>1445</v>
      </c>
      <c r="Z473" s="1082"/>
    </row>
    <row r="474" spans="1:16378" hidden="1" outlineLevel="1" x14ac:dyDescent="0.3">
      <c r="A474" s="1070"/>
      <c r="B474" s="1070"/>
      <c r="C474" s="1070"/>
      <c r="D474" s="1070"/>
      <c r="E474" s="1070"/>
      <c r="F474" s="1070"/>
      <c r="G474" s="1070"/>
      <c r="H474" s="1440" t="s">
        <v>1456</v>
      </c>
      <c r="I474" s="1441"/>
      <c r="J474" s="1441"/>
      <c r="K474" s="1809" t="s">
        <v>1445</v>
      </c>
      <c r="L474" s="1443" t="s">
        <v>1445</v>
      </c>
      <c r="M474" s="1070"/>
      <c r="N474" s="1070"/>
      <c r="O474" s="1070"/>
      <c r="P474" s="1070"/>
      <c r="Q474" s="1070"/>
      <c r="R474" s="1070"/>
      <c r="S474" s="1070"/>
      <c r="T474" s="1070"/>
      <c r="U474" s="1082"/>
      <c r="V474" s="1149" t="s">
        <v>759</v>
      </c>
      <c r="W474" s="1437"/>
      <c r="X474" s="1811" t="s">
        <v>1445</v>
      </c>
      <c r="Y474" s="1812" t="s">
        <v>1445</v>
      </c>
      <c r="Z474" s="1082"/>
    </row>
    <row r="475" spans="1:16378" hidden="1" outlineLevel="1" x14ac:dyDescent="0.3">
      <c r="A475" s="1070"/>
      <c r="B475" s="1070"/>
      <c r="C475" s="1070"/>
      <c r="D475" s="1070"/>
      <c r="E475" s="1070"/>
      <c r="F475" s="1070"/>
      <c r="G475" s="1070"/>
      <c r="H475" s="1800" t="s">
        <v>1305</v>
      </c>
      <c r="I475" s="1801"/>
      <c r="J475" s="1801"/>
      <c r="K475" s="1813"/>
      <c r="L475" s="1814"/>
      <c r="M475" s="1070"/>
      <c r="N475" s="1070"/>
      <c r="O475" s="1422" t="s">
        <v>3</v>
      </c>
      <c r="P475" s="1186"/>
      <c r="Q475" s="1848"/>
      <c r="R475" s="1070"/>
      <c r="S475" s="1070"/>
      <c r="T475" s="1070"/>
      <c r="U475" s="1082"/>
      <c r="V475" s="1184" t="s">
        <v>1268</v>
      </c>
      <c r="W475" s="1459"/>
      <c r="X475" s="1816" t="s">
        <v>1445</v>
      </c>
      <c r="Y475" s="1817" t="s">
        <v>1445</v>
      </c>
      <c r="Z475" s="1082"/>
    </row>
    <row r="476" spans="1:16378" hidden="1" outlineLevel="1" x14ac:dyDescent="0.3">
      <c r="A476" s="1070"/>
      <c r="B476" s="1070"/>
      <c r="C476" s="1070"/>
      <c r="D476" s="1070"/>
      <c r="E476" s="1070"/>
      <c r="F476" s="1070"/>
      <c r="G476" s="1070"/>
      <c r="H476" s="1465" t="s">
        <v>1456</v>
      </c>
      <c r="I476" s="1466"/>
      <c r="J476" s="1466"/>
      <c r="K476" s="1822" t="s">
        <v>1445</v>
      </c>
      <c r="L476" s="1448" t="s">
        <v>1445</v>
      </c>
      <c r="M476" s="1070"/>
      <c r="N476" s="1070"/>
      <c r="O476" s="1434" t="s">
        <v>1458</v>
      </c>
      <c r="P476" s="1459"/>
      <c r="Q476" s="1849"/>
      <c r="R476" s="1070"/>
      <c r="S476" s="1070"/>
      <c r="T476" s="1070"/>
      <c r="U476" s="1082"/>
      <c r="V476" s="1082"/>
      <c r="W476" s="1082"/>
      <c r="X476" s="1082"/>
      <c r="Y476" s="1082"/>
      <c r="Z476" s="1082"/>
    </row>
    <row r="477" spans="1:16378" hidden="1" outlineLevel="1" x14ac:dyDescent="0.3">
      <c r="A477" s="1070"/>
      <c r="B477" s="1070"/>
      <c r="C477" s="1070"/>
      <c r="D477" s="1070"/>
      <c r="E477" s="1070"/>
      <c r="F477" s="1070"/>
      <c r="G477" s="1070"/>
      <c r="H477" s="1070"/>
      <c r="I477" s="1070"/>
      <c r="J477" s="1070"/>
      <c r="K477" s="1070"/>
      <c r="L477" s="1070"/>
      <c r="M477" s="1070"/>
      <c r="N477" s="1070"/>
      <c r="O477" s="1070"/>
      <c r="P477" s="1070"/>
      <c r="Q477" s="1070"/>
      <c r="R477" s="1070"/>
      <c r="S477" s="1070"/>
      <c r="T477" s="1070"/>
      <c r="U477" s="1070"/>
      <c r="V477" s="1070"/>
      <c r="W477" s="1070"/>
      <c r="X477" s="1070"/>
      <c r="Y477" s="1070"/>
      <c r="Z477" s="1070"/>
    </row>
    <row r="478" spans="1:16378" hidden="1" outlineLevel="1" x14ac:dyDescent="0.3">
      <c r="A478" s="1070"/>
      <c r="B478" s="1070"/>
      <c r="C478" s="1070"/>
      <c r="D478" s="1070"/>
      <c r="E478" s="1070"/>
      <c r="F478" s="1070"/>
      <c r="G478" s="1070"/>
      <c r="H478" s="1070"/>
      <c r="I478" s="1070"/>
      <c r="J478" s="1070"/>
      <c r="K478" s="1070"/>
      <c r="L478" s="1070"/>
      <c r="M478" s="1070"/>
      <c r="N478" s="1070"/>
      <c r="R478" s="1070"/>
      <c r="S478" s="1070"/>
      <c r="T478" s="1070"/>
      <c r="U478" s="1070"/>
      <c r="V478" s="1070"/>
      <c r="W478" s="1070"/>
      <c r="X478" s="1070"/>
      <c r="Y478" s="1070"/>
      <c r="Z478" s="1070"/>
    </row>
    <row r="479" spans="1:16378" collapsed="1" x14ac:dyDescent="0.3">
      <c r="A479" s="1070"/>
      <c r="B479" s="1734" t="str">
        <f>B435</f>
        <v>Definition Exit Commitment (Original)</v>
      </c>
      <c r="C479" s="1070"/>
      <c r="D479" s="1070"/>
      <c r="E479" s="1070"/>
      <c r="F479" s="1070"/>
      <c r="G479" s="1070"/>
      <c r="H479" s="1070"/>
      <c r="I479" s="1070"/>
      <c r="J479" s="1070"/>
      <c r="K479" s="1070"/>
      <c r="L479" s="1070"/>
      <c r="M479" s="1070"/>
      <c r="N479" s="1070"/>
      <c r="R479" s="1070"/>
      <c r="S479" s="1070"/>
      <c r="T479" s="1070"/>
      <c r="U479" s="1070"/>
      <c r="V479" s="1070"/>
      <c r="W479" s="1070"/>
      <c r="X479" s="1070"/>
      <c r="Y479" s="1070"/>
      <c r="Z479" s="1070"/>
    </row>
    <row r="480" spans="1:16378" ht="9.9" customHeight="1" x14ac:dyDescent="0.3">
      <c r="A480" s="1824"/>
      <c r="B480" s="1824"/>
      <c r="C480" s="1824"/>
      <c r="D480" s="1824"/>
      <c r="E480" s="1824"/>
      <c r="F480" s="1824"/>
      <c r="G480" s="1824"/>
      <c r="H480" s="1824"/>
      <c r="I480" s="1824"/>
      <c r="J480" s="1824"/>
      <c r="K480" s="1824"/>
      <c r="L480" s="1824"/>
      <c r="M480" s="1824"/>
      <c r="N480" s="1824"/>
      <c r="O480" s="1824"/>
      <c r="P480" s="1824"/>
      <c r="Q480" s="1824"/>
      <c r="R480" s="1824"/>
      <c r="S480" s="1824"/>
      <c r="T480" s="1824"/>
      <c r="U480" s="1824"/>
      <c r="V480" s="1824"/>
      <c r="W480" s="1824"/>
      <c r="X480" s="1824"/>
      <c r="Y480" s="1824"/>
      <c r="Z480" s="1824"/>
      <c r="AA480" s="1824"/>
      <c r="AB480" s="1824"/>
      <c r="AC480" s="1824"/>
      <c r="AD480" s="1824"/>
      <c r="AE480" s="1824"/>
      <c r="AF480" s="1824"/>
      <c r="AG480" s="1824"/>
      <c r="AH480" s="1824"/>
      <c r="AI480" s="1824"/>
      <c r="AJ480" s="1824"/>
      <c r="AK480" s="1824"/>
      <c r="AL480" s="1824"/>
      <c r="AM480" s="1824"/>
      <c r="AN480" s="1824"/>
      <c r="AO480" s="1831"/>
      <c r="AP480" s="1831"/>
      <c r="AQ480" s="1831"/>
      <c r="AR480" s="1831"/>
      <c r="AS480" s="1831"/>
      <c r="AT480" s="1831"/>
      <c r="AU480" s="1831"/>
      <c r="AV480" s="1831"/>
      <c r="AW480" s="1831"/>
      <c r="AX480" s="1831"/>
      <c r="AY480" s="1831"/>
      <c r="AZ480" s="1831"/>
      <c r="BA480" s="1831"/>
      <c r="BB480" s="1831"/>
      <c r="BC480" s="1831"/>
      <c r="BD480" s="1831"/>
      <c r="BE480" s="1831"/>
      <c r="BF480" s="1831"/>
      <c r="BG480" s="1831"/>
      <c r="BH480" s="1831"/>
      <c r="BI480" s="1831"/>
      <c r="BJ480" s="1831"/>
      <c r="BK480" s="1831"/>
      <c r="BL480" s="1831"/>
      <c r="BM480" s="1831"/>
      <c r="BN480" s="1831"/>
      <c r="BO480" s="1831"/>
      <c r="BP480" s="1831"/>
      <c r="BQ480" s="1831"/>
      <c r="BR480" s="1831"/>
      <c r="BS480" s="1831"/>
      <c r="BT480" s="1831"/>
      <c r="BU480" s="1831"/>
      <c r="BV480" s="1831"/>
      <c r="BW480" s="1831"/>
      <c r="BX480" s="1831"/>
      <c r="BY480" s="1831"/>
      <c r="BZ480" s="1831"/>
      <c r="CA480" s="1831"/>
      <c r="CB480" s="1831"/>
      <c r="CC480" s="1831"/>
      <c r="CD480" s="1831"/>
      <c r="CE480" s="1831"/>
      <c r="CF480" s="1831"/>
      <c r="CG480" s="1831"/>
      <c r="CH480" s="1831"/>
      <c r="CI480" s="1831"/>
      <c r="CJ480" s="1831"/>
      <c r="CK480" s="1831"/>
      <c r="CL480" s="1831"/>
      <c r="CM480" s="1831"/>
      <c r="CN480" s="1831"/>
      <c r="CO480" s="1831"/>
      <c r="CP480" s="1831"/>
      <c r="CQ480" s="1831"/>
      <c r="CR480" s="1831"/>
      <c r="CS480" s="1831"/>
      <c r="CT480" s="1831"/>
      <c r="CU480" s="1831"/>
      <c r="CV480" s="1831"/>
      <c r="CW480" s="1831"/>
      <c r="CX480" s="1831"/>
      <c r="CY480" s="1831"/>
      <c r="CZ480" s="1831"/>
      <c r="DA480" s="1831"/>
      <c r="DB480" s="1831"/>
      <c r="DC480" s="1831"/>
      <c r="DD480" s="1831"/>
      <c r="DE480" s="1831"/>
      <c r="DF480" s="1831"/>
      <c r="DG480" s="1831"/>
      <c r="DH480" s="1831"/>
      <c r="DI480" s="1831"/>
      <c r="DJ480" s="1831"/>
      <c r="DK480" s="1831"/>
      <c r="DL480" s="1831"/>
      <c r="DM480" s="1831"/>
      <c r="DN480" s="1831"/>
      <c r="DO480" s="1831"/>
      <c r="DP480" s="1831"/>
      <c r="DQ480" s="1831"/>
      <c r="DR480" s="1831"/>
      <c r="DS480" s="1831"/>
      <c r="DT480" s="1831"/>
      <c r="DU480" s="1831"/>
      <c r="DV480" s="1831"/>
      <c r="DW480" s="1831"/>
      <c r="DX480" s="1831"/>
      <c r="DY480" s="1831"/>
      <c r="DZ480" s="1831"/>
      <c r="EA480" s="1831"/>
      <c r="EB480" s="1831"/>
      <c r="EC480" s="1831"/>
      <c r="ED480" s="1831"/>
      <c r="EE480" s="1831"/>
      <c r="EF480" s="1831"/>
      <c r="EG480" s="1831"/>
      <c r="EH480" s="1831"/>
      <c r="EI480" s="1831"/>
      <c r="EJ480" s="1831"/>
      <c r="EK480" s="1831"/>
      <c r="EL480" s="1831"/>
      <c r="EM480" s="1831"/>
      <c r="EN480" s="1831"/>
      <c r="EO480" s="1831"/>
      <c r="EP480" s="1831"/>
      <c r="EQ480" s="1831"/>
      <c r="ER480" s="1831"/>
      <c r="ES480" s="1831"/>
      <c r="ET480" s="1831"/>
      <c r="EU480" s="1831"/>
      <c r="EV480" s="1831"/>
      <c r="EW480" s="1831"/>
      <c r="EX480" s="1831"/>
      <c r="EY480" s="1831"/>
      <c r="EZ480" s="1831"/>
      <c r="FA480" s="1831"/>
      <c r="FB480" s="1831"/>
      <c r="FC480" s="1831"/>
      <c r="FD480" s="1831"/>
      <c r="FE480" s="1831"/>
      <c r="FF480" s="1831"/>
      <c r="FG480" s="1831"/>
      <c r="FH480" s="1831"/>
      <c r="FI480" s="1831"/>
      <c r="FJ480" s="1831"/>
      <c r="FK480" s="1831"/>
      <c r="FL480" s="1831"/>
      <c r="FM480" s="1831"/>
      <c r="FN480" s="1831"/>
      <c r="FO480" s="1831"/>
      <c r="FP480" s="1831"/>
      <c r="FQ480" s="1831"/>
      <c r="FR480" s="1831"/>
      <c r="FS480" s="1831"/>
      <c r="FT480" s="1831"/>
      <c r="FU480" s="1831"/>
      <c r="FV480" s="1831"/>
      <c r="FW480" s="1831"/>
      <c r="FX480" s="1831"/>
      <c r="FY480" s="1831"/>
      <c r="FZ480" s="1831"/>
      <c r="GA480" s="1831"/>
      <c r="GB480" s="1831"/>
      <c r="GC480" s="1831"/>
      <c r="GD480" s="1831"/>
      <c r="GE480" s="1831"/>
      <c r="GF480" s="1831"/>
      <c r="GG480" s="1831"/>
      <c r="GH480" s="1831"/>
      <c r="GI480" s="1831"/>
      <c r="GJ480" s="1831"/>
      <c r="GK480" s="1831"/>
      <c r="GL480" s="1831"/>
      <c r="GM480" s="1831"/>
      <c r="GN480" s="1831"/>
      <c r="GO480" s="1831"/>
      <c r="GP480" s="1831"/>
      <c r="GQ480" s="1831"/>
      <c r="GR480" s="1831"/>
      <c r="GS480" s="1831"/>
      <c r="GT480" s="1831"/>
      <c r="GU480" s="1831"/>
      <c r="GV480" s="1831"/>
      <c r="GW480" s="1831"/>
      <c r="GX480" s="1831"/>
      <c r="GY480" s="1831"/>
      <c r="GZ480" s="1831"/>
      <c r="HA480" s="1831"/>
      <c r="HB480" s="1831"/>
      <c r="HC480" s="1831"/>
      <c r="HD480" s="1831"/>
      <c r="HE480" s="1831"/>
      <c r="HF480" s="1831"/>
      <c r="HG480" s="1831"/>
      <c r="HH480" s="1831"/>
      <c r="HI480" s="1831"/>
      <c r="HJ480" s="1831"/>
      <c r="HK480" s="1831"/>
      <c r="HL480" s="1831"/>
      <c r="HM480" s="1831"/>
      <c r="HN480" s="1831"/>
      <c r="HO480" s="1831"/>
      <c r="HP480" s="1831"/>
      <c r="HQ480" s="1831"/>
      <c r="HR480" s="1831"/>
      <c r="HS480" s="1831"/>
      <c r="HT480" s="1831"/>
      <c r="HU480" s="1831"/>
      <c r="HV480" s="1831"/>
      <c r="HW480" s="1831"/>
      <c r="HX480" s="1831"/>
      <c r="HY480" s="1831"/>
      <c r="HZ480" s="1831"/>
      <c r="IA480" s="1831"/>
      <c r="IB480" s="1831"/>
      <c r="IC480" s="1831"/>
      <c r="ID480" s="1831"/>
      <c r="IE480" s="1831"/>
      <c r="IF480" s="1831"/>
      <c r="IG480" s="1831"/>
      <c r="IH480" s="1831"/>
      <c r="II480" s="1831"/>
      <c r="IJ480" s="1831"/>
      <c r="IK480" s="1831"/>
      <c r="IL480" s="1831"/>
      <c r="IM480" s="1831"/>
      <c r="IN480" s="1831"/>
      <c r="IO480" s="1831"/>
      <c r="IP480" s="1831"/>
      <c r="IQ480" s="1831"/>
      <c r="IR480" s="1831"/>
      <c r="IS480" s="1831"/>
      <c r="IT480" s="1831"/>
      <c r="IU480" s="1831"/>
      <c r="IV480" s="1831"/>
      <c r="IW480" s="1831"/>
      <c r="IX480" s="1831"/>
      <c r="IY480" s="1831"/>
      <c r="IZ480" s="1831"/>
      <c r="JA480" s="1831"/>
      <c r="JB480" s="1831"/>
      <c r="JC480" s="1831"/>
      <c r="JD480" s="1831"/>
      <c r="JE480" s="1831"/>
      <c r="JF480" s="1831"/>
      <c r="JG480" s="1831"/>
      <c r="JH480" s="1831"/>
      <c r="JI480" s="1831"/>
      <c r="JJ480" s="1831"/>
      <c r="JK480" s="1831"/>
      <c r="JL480" s="1831"/>
      <c r="JM480" s="1831"/>
      <c r="JN480" s="1831"/>
      <c r="JO480" s="1831"/>
      <c r="JP480" s="1831"/>
      <c r="JQ480" s="1831"/>
      <c r="JR480" s="1831"/>
      <c r="JS480" s="1831"/>
      <c r="JT480" s="1831"/>
      <c r="JU480" s="1831"/>
      <c r="JV480" s="1831"/>
      <c r="JW480" s="1831"/>
      <c r="JX480" s="1831"/>
      <c r="JY480" s="1831"/>
      <c r="JZ480" s="1831"/>
      <c r="KA480" s="1831"/>
      <c r="KB480" s="1831"/>
      <c r="KC480" s="1831"/>
      <c r="KD480" s="1831"/>
      <c r="KE480" s="1831"/>
      <c r="KF480" s="1831"/>
      <c r="KG480" s="1831"/>
      <c r="KH480" s="1831"/>
      <c r="KI480" s="1831"/>
      <c r="KJ480" s="1831"/>
      <c r="KK480" s="1831"/>
      <c r="KL480" s="1831"/>
      <c r="KM480" s="1831"/>
      <c r="KN480" s="1831"/>
      <c r="KO480" s="1831"/>
      <c r="KP480" s="1831"/>
      <c r="KQ480" s="1831"/>
      <c r="KR480" s="1831"/>
      <c r="KS480" s="1831"/>
      <c r="KT480" s="1831"/>
      <c r="KU480" s="1831"/>
      <c r="KV480" s="1831"/>
      <c r="KW480" s="1831"/>
      <c r="KX480" s="1831"/>
      <c r="KY480" s="1831"/>
      <c r="KZ480" s="1831"/>
      <c r="LA480" s="1831"/>
      <c r="LB480" s="1831"/>
      <c r="LC480" s="1831"/>
      <c r="LD480" s="1831"/>
      <c r="LE480" s="1831"/>
      <c r="LF480" s="1831"/>
      <c r="LG480" s="1831"/>
      <c r="LH480" s="1831"/>
      <c r="LI480" s="1831"/>
      <c r="LJ480" s="1831"/>
      <c r="LK480" s="1831"/>
      <c r="LL480" s="1831"/>
      <c r="LM480" s="1831"/>
      <c r="LN480" s="1831"/>
      <c r="LO480" s="1831"/>
      <c r="LP480" s="1831"/>
      <c r="LQ480" s="1831"/>
      <c r="LR480" s="1831"/>
      <c r="LS480" s="1831"/>
      <c r="LT480" s="1831"/>
      <c r="LU480" s="1831"/>
      <c r="LV480" s="1831"/>
      <c r="LW480" s="1831"/>
      <c r="LX480" s="1831"/>
      <c r="LY480" s="1831"/>
      <c r="LZ480" s="1831"/>
      <c r="MA480" s="1831"/>
      <c r="MB480" s="1831"/>
      <c r="MC480" s="1831"/>
      <c r="MD480" s="1831"/>
      <c r="ME480" s="1831"/>
      <c r="MF480" s="1831"/>
      <c r="MG480" s="1831"/>
      <c r="MH480" s="1831"/>
      <c r="MI480" s="1831"/>
      <c r="MJ480" s="1831"/>
      <c r="MK480" s="1831"/>
      <c r="ML480" s="1831"/>
      <c r="MM480" s="1831"/>
      <c r="MN480" s="1831"/>
      <c r="MO480" s="1831"/>
      <c r="MP480" s="1831"/>
      <c r="MQ480" s="1831"/>
      <c r="MR480" s="1831"/>
      <c r="MS480" s="1831"/>
      <c r="MT480" s="1831"/>
      <c r="MU480" s="1831"/>
      <c r="MV480" s="1831"/>
      <c r="MW480" s="1831"/>
      <c r="MX480" s="1831"/>
      <c r="MY480" s="1831"/>
      <c r="MZ480" s="1831"/>
      <c r="NA480" s="1831"/>
      <c r="NB480" s="1831"/>
      <c r="NC480" s="1831"/>
      <c r="ND480" s="1831"/>
      <c r="NE480" s="1831"/>
      <c r="NF480" s="1831"/>
      <c r="NG480" s="1831"/>
      <c r="NH480" s="1831"/>
      <c r="NI480" s="1831"/>
      <c r="NJ480" s="1831"/>
      <c r="NK480" s="1831"/>
      <c r="NL480" s="1831"/>
      <c r="NM480" s="1831"/>
      <c r="NN480" s="1831"/>
      <c r="NO480" s="1831"/>
      <c r="NP480" s="1831"/>
      <c r="NQ480" s="1831"/>
      <c r="NR480" s="1831"/>
      <c r="NS480" s="1831"/>
      <c r="NT480" s="1831"/>
      <c r="NU480" s="1831"/>
      <c r="NV480" s="1831"/>
      <c r="NW480" s="1831"/>
      <c r="NX480" s="1831"/>
      <c r="NY480" s="1831"/>
      <c r="NZ480" s="1831"/>
      <c r="OA480" s="1831"/>
      <c r="OB480" s="1831"/>
      <c r="OC480" s="1831"/>
      <c r="OD480" s="1831"/>
      <c r="OE480" s="1831"/>
      <c r="OF480" s="1831"/>
      <c r="OG480" s="1831"/>
      <c r="OH480" s="1831"/>
      <c r="OI480" s="1831"/>
      <c r="OJ480" s="1831"/>
      <c r="OK480" s="1831"/>
      <c r="OL480" s="1831"/>
      <c r="OM480" s="1831"/>
      <c r="ON480" s="1831"/>
      <c r="OO480" s="1831"/>
      <c r="OP480" s="1831"/>
      <c r="OQ480" s="1831"/>
      <c r="OR480" s="1831"/>
      <c r="OS480" s="1831"/>
      <c r="OT480" s="1831"/>
      <c r="OU480" s="1831"/>
      <c r="OV480" s="1831"/>
      <c r="OW480" s="1831"/>
      <c r="OX480" s="1831"/>
      <c r="OY480" s="1831"/>
      <c r="OZ480" s="1831"/>
      <c r="PA480" s="1831"/>
      <c r="PB480" s="1831"/>
      <c r="PC480" s="1831"/>
      <c r="PD480" s="1831"/>
      <c r="PE480" s="1831"/>
      <c r="PF480" s="1831"/>
      <c r="PG480" s="1831"/>
      <c r="PH480" s="1831"/>
      <c r="PI480" s="1831"/>
      <c r="PJ480" s="1831"/>
      <c r="PK480" s="1831"/>
      <c r="PL480" s="1831"/>
      <c r="PM480" s="1831"/>
      <c r="PN480" s="1831"/>
      <c r="PO480" s="1831"/>
      <c r="PP480" s="1831"/>
      <c r="PQ480" s="1831"/>
      <c r="PR480" s="1831"/>
      <c r="PS480" s="1831"/>
      <c r="PT480" s="1831"/>
      <c r="PU480" s="1831"/>
      <c r="PV480" s="1831"/>
      <c r="PW480" s="1831"/>
      <c r="PX480" s="1831"/>
      <c r="PY480" s="1831"/>
      <c r="PZ480" s="1831"/>
      <c r="QA480" s="1831"/>
      <c r="QB480" s="1831"/>
      <c r="QC480" s="1831"/>
      <c r="QD480" s="1831"/>
      <c r="QE480" s="1831"/>
      <c r="QF480" s="1831"/>
      <c r="QG480" s="1831"/>
      <c r="QH480" s="1831"/>
      <c r="QI480" s="1831"/>
      <c r="QJ480" s="1831"/>
      <c r="QK480" s="1831"/>
      <c r="QL480" s="1831"/>
      <c r="QM480" s="1831"/>
      <c r="QN480" s="1831"/>
      <c r="QO480" s="1831"/>
      <c r="QP480" s="1831"/>
      <c r="QQ480" s="1831"/>
      <c r="QR480" s="1831"/>
      <c r="QS480" s="1831"/>
      <c r="QT480" s="1831"/>
      <c r="QU480" s="1831"/>
      <c r="QV480" s="1831"/>
      <c r="QW480" s="1831"/>
      <c r="QX480" s="1831"/>
      <c r="QY480" s="1831"/>
      <c r="QZ480" s="1831"/>
      <c r="RA480" s="1831"/>
      <c r="RB480" s="1831"/>
      <c r="RC480" s="1831"/>
      <c r="RD480" s="1831"/>
      <c r="RE480" s="1831"/>
      <c r="RF480" s="1831"/>
      <c r="RG480" s="1831"/>
      <c r="RH480" s="1831"/>
      <c r="RI480" s="1831"/>
      <c r="RJ480" s="1831"/>
      <c r="RK480" s="1831"/>
      <c r="RL480" s="1831"/>
      <c r="RM480" s="1831"/>
      <c r="RN480" s="1831"/>
      <c r="RO480" s="1831"/>
      <c r="RP480" s="1831"/>
      <c r="RQ480" s="1831"/>
      <c r="RR480" s="1831"/>
      <c r="RS480" s="1831"/>
      <c r="RT480" s="1831"/>
      <c r="RU480" s="1831"/>
      <c r="RV480" s="1831"/>
      <c r="RW480" s="1831"/>
      <c r="RX480" s="1831"/>
      <c r="RY480" s="1831"/>
      <c r="RZ480" s="1831"/>
      <c r="SA480" s="1831"/>
      <c r="SB480" s="1831"/>
      <c r="SC480" s="1831"/>
      <c r="SD480" s="1831"/>
      <c r="SE480" s="1831"/>
      <c r="SF480" s="1831"/>
      <c r="SG480" s="1831"/>
      <c r="SH480" s="1831"/>
      <c r="SI480" s="1831"/>
      <c r="SJ480" s="1831"/>
      <c r="SK480" s="1831"/>
      <c r="SL480" s="1831"/>
      <c r="SM480" s="1831"/>
      <c r="SN480" s="1831"/>
      <c r="SO480" s="1831"/>
      <c r="SP480" s="1831"/>
      <c r="SQ480" s="1831"/>
      <c r="SR480" s="1831"/>
      <c r="SS480" s="1831"/>
      <c r="ST480" s="1831"/>
      <c r="SU480" s="1831"/>
      <c r="SV480" s="1831"/>
      <c r="SW480" s="1831"/>
      <c r="SX480" s="1831"/>
      <c r="SY480" s="1831"/>
      <c r="SZ480" s="1831"/>
      <c r="TA480" s="1831"/>
      <c r="TB480" s="1831"/>
      <c r="TC480" s="1831"/>
      <c r="TD480" s="1831"/>
      <c r="TE480" s="1831"/>
      <c r="TF480" s="1831"/>
      <c r="TG480" s="1831"/>
      <c r="TH480" s="1831"/>
      <c r="TI480" s="1831"/>
      <c r="TJ480" s="1831"/>
      <c r="TK480" s="1831"/>
      <c r="TL480" s="1831"/>
      <c r="TM480" s="1831"/>
      <c r="TN480" s="1831"/>
      <c r="TO480" s="1831"/>
      <c r="TP480" s="1831"/>
      <c r="TQ480" s="1831"/>
      <c r="TR480" s="1831"/>
      <c r="TS480" s="1831"/>
      <c r="TT480" s="1831"/>
      <c r="TU480" s="1831"/>
      <c r="TV480" s="1831"/>
      <c r="TW480" s="1831"/>
      <c r="TX480" s="1831"/>
      <c r="TY480" s="1831"/>
      <c r="TZ480" s="1831"/>
      <c r="UA480" s="1831"/>
      <c r="UB480" s="1831"/>
      <c r="UC480" s="1831"/>
      <c r="UD480" s="1831"/>
      <c r="UE480" s="1831"/>
      <c r="UF480" s="1831"/>
      <c r="UG480" s="1831"/>
      <c r="UH480" s="1831"/>
      <c r="UI480" s="1831"/>
      <c r="UJ480" s="1831"/>
      <c r="UK480" s="1831"/>
      <c r="UL480" s="1831"/>
      <c r="UM480" s="1831"/>
      <c r="UN480" s="1831"/>
      <c r="UO480" s="1831"/>
      <c r="UP480" s="1831"/>
      <c r="UQ480" s="1831"/>
      <c r="UR480" s="1831"/>
      <c r="US480" s="1831"/>
      <c r="UT480" s="1831"/>
      <c r="UU480" s="1831"/>
      <c r="UV480" s="1831"/>
      <c r="UW480" s="1831"/>
      <c r="UX480" s="1831"/>
      <c r="UY480" s="1831"/>
      <c r="UZ480" s="1831"/>
      <c r="VA480" s="1831"/>
      <c r="VB480" s="1831"/>
      <c r="VC480" s="1831"/>
      <c r="VD480" s="1831"/>
      <c r="VE480" s="1831"/>
      <c r="VF480" s="1831"/>
      <c r="VG480" s="1831"/>
      <c r="VH480" s="1831"/>
      <c r="VI480" s="1831"/>
      <c r="VJ480" s="1831"/>
      <c r="VK480" s="1831"/>
      <c r="VL480" s="1831"/>
      <c r="VM480" s="1831"/>
      <c r="VN480" s="1831"/>
      <c r="VO480" s="1831"/>
      <c r="VP480" s="1831"/>
      <c r="VQ480" s="1831"/>
      <c r="VR480" s="1831"/>
      <c r="VS480" s="1831"/>
      <c r="VT480" s="1831"/>
      <c r="VU480" s="1831"/>
      <c r="VV480" s="1831"/>
      <c r="VW480" s="1831"/>
      <c r="VX480" s="1831"/>
      <c r="VY480" s="1831"/>
      <c r="VZ480" s="1831"/>
      <c r="WA480" s="1831"/>
      <c r="WB480" s="1831"/>
      <c r="WC480" s="1831"/>
      <c r="WD480" s="1831"/>
      <c r="WE480" s="1831"/>
      <c r="WF480" s="1831"/>
      <c r="WG480" s="1831"/>
      <c r="WH480" s="1831"/>
      <c r="WI480" s="1831"/>
      <c r="WJ480" s="1831"/>
      <c r="WK480" s="1831"/>
      <c r="WL480" s="1831"/>
      <c r="WM480" s="1831"/>
      <c r="WN480" s="1831"/>
      <c r="WO480" s="1831"/>
      <c r="WP480" s="1831"/>
      <c r="WQ480" s="1831"/>
      <c r="WR480" s="1831"/>
      <c r="WS480" s="1831"/>
      <c r="WT480" s="1831"/>
      <c r="WU480" s="1831"/>
      <c r="WV480" s="1831"/>
      <c r="WW480" s="1831"/>
      <c r="WX480" s="1831"/>
      <c r="WY480" s="1831"/>
      <c r="WZ480" s="1831"/>
      <c r="XA480" s="1831"/>
      <c r="XB480" s="1831"/>
      <c r="XC480" s="1831"/>
      <c r="XD480" s="1831"/>
      <c r="XE480" s="1831"/>
      <c r="XF480" s="1831"/>
      <c r="XG480" s="1831"/>
      <c r="XH480" s="1831"/>
      <c r="XI480" s="1831"/>
      <c r="XJ480" s="1831"/>
      <c r="XK480" s="1831"/>
      <c r="XL480" s="1831"/>
      <c r="XM480" s="1831"/>
      <c r="XN480" s="1831"/>
      <c r="XO480" s="1831"/>
      <c r="XP480" s="1831"/>
      <c r="XQ480" s="1831"/>
      <c r="XR480" s="1831"/>
      <c r="XS480" s="1831"/>
      <c r="XT480" s="1831"/>
      <c r="XU480" s="1831"/>
      <c r="XV480" s="1831"/>
      <c r="XW480" s="1831"/>
      <c r="XX480" s="1831"/>
      <c r="XY480" s="1831"/>
      <c r="XZ480" s="1831"/>
      <c r="YA480" s="1831"/>
      <c r="YB480" s="1831"/>
      <c r="YC480" s="1831"/>
      <c r="YD480" s="1831"/>
      <c r="YE480" s="1831"/>
      <c r="YF480" s="1831"/>
      <c r="YG480" s="1831"/>
      <c r="YH480" s="1831"/>
      <c r="YI480" s="1831"/>
      <c r="YJ480" s="1831"/>
      <c r="YK480" s="1831"/>
      <c r="YL480" s="1831"/>
      <c r="YM480" s="1831"/>
      <c r="YN480" s="1831"/>
      <c r="YO480" s="1831"/>
      <c r="YP480" s="1831"/>
      <c r="YQ480" s="1831"/>
      <c r="YR480" s="1831"/>
      <c r="YS480" s="1831"/>
      <c r="YT480" s="1831"/>
      <c r="YU480" s="1831"/>
      <c r="YV480" s="1831"/>
      <c r="YW480" s="1831"/>
      <c r="YX480" s="1831"/>
      <c r="YY480" s="1831"/>
      <c r="YZ480" s="1831"/>
      <c r="ZA480" s="1831"/>
      <c r="ZB480" s="1831"/>
      <c r="ZC480" s="1831"/>
      <c r="ZD480" s="1831"/>
      <c r="ZE480" s="1831"/>
      <c r="ZF480" s="1831"/>
      <c r="ZG480" s="1831"/>
      <c r="ZH480" s="1831"/>
      <c r="ZI480" s="1831"/>
      <c r="ZJ480" s="1831"/>
      <c r="ZK480" s="1831"/>
      <c r="ZL480" s="1831"/>
      <c r="ZM480" s="1831"/>
      <c r="ZN480" s="1831"/>
      <c r="ZO480" s="1831"/>
      <c r="ZP480" s="1831"/>
      <c r="ZQ480" s="1831"/>
      <c r="ZR480" s="1831"/>
      <c r="ZS480" s="1831"/>
      <c r="ZT480" s="1831"/>
      <c r="ZU480" s="1831"/>
      <c r="ZV480" s="1831"/>
      <c r="ZW480" s="1831"/>
      <c r="ZX480" s="1831"/>
      <c r="ZY480" s="1831"/>
      <c r="ZZ480" s="1831"/>
      <c r="AAA480" s="1831"/>
      <c r="AAB480" s="1831"/>
      <c r="AAC480" s="1831"/>
      <c r="AAD480" s="1831"/>
      <c r="AAE480" s="1831"/>
      <c r="AAF480" s="1831"/>
      <c r="AAG480" s="1831"/>
      <c r="AAH480" s="1831"/>
      <c r="AAI480" s="1831"/>
      <c r="AAJ480" s="1831"/>
      <c r="AAK480" s="1831"/>
      <c r="AAL480" s="1831"/>
      <c r="AAM480" s="1831"/>
      <c r="AAN480" s="1831"/>
      <c r="AAO480" s="1831"/>
      <c r="AAP480" s="1831"/>
      <c r="AAQ480" s="1831"/>
      <c r="AAR480" s="1831"/>
      <c r="AAS480" s="1831"/>
      <c r="AAT480" s="1831"/>
      <c r="AAU480" s="1831"/>
      <c r="AAV480" s="1831"/>
      <c r="AAW480" s="1831"/>
      <c r="AAX480" s="1831"/>
      <c r="AAY480" s="1831"/>
      <c r="AAZ480" s="1831"/>
      <c r="ABA480" s="1831"/>
      <c r="ABB480" s="1831"/>
      <c r="ABC480" s="1831"/>
      <c r="ABD480" s="1831"/>
      <c r="ABE480" s="1831"/>
      <c r="ABF480" s="1831"/>
      <c r="ABG480" s="1831"/>
      <c r="ABH480" s="1831"/>
      <c r="ABI480" s="1831"/>
      <c r="ABJ480" s="1831"/>
      <c r="ABK480" s="1831"/>
      <c r="ABL480" s="1831"/>
      <c r="ABM480" s="1831"/>
      <c r="ABN480" s="1831"/>
      <c r="ABO480" s="1831"/>
      <c r="ABP480" s="1831"/>
      <c r="ABQ480" s="1831"/>
      <c r="ABR480" s="1831"/>
      <c r="ABS480" s="1831"/>
      <c r="ABT480" s="1831"/>
      <c r="ABU480" s="1831"/>
      <c r="ABV480" s="1831"/>
      <c r="ABW480" s="1831"/>
      <c r="ABX480" s="1831"/>
      <c r="ABY480" s="1831"/>
      <c r="ABZ480" s="1831"/>
      <c r="ACA480" s="1831"/>
      <c r="ACB480" s="1831"/>
      <c r="ACC480" s="1831"/>
      <c r="ACD480" s="1831"/>
      <c r="ACE480" s="1831"/>
      <c r="ACF480" s="1831"/>
      <c r="ACG480" s="1831"/>
      <c r="ACH480" s="1831"/>
      <c r="ACI480" s="1831"/>
      <c r="ACJ480" s="1831"/>
      <c r="ACK480" s="1831"/>
      <c r="ACL480" s="1831"/>
      <c r="ACM480" s="1831"/>
      <c r="ACN480" s="1831"/>
      <c r="ACO480" s="1831"/>
      <c r="ACP480" s="1831"/>
      <c r="ACQ480" s="1831"/>
      <c r="ACR480" s="1831"/>
      <c r="ACS480" s="1831"/>
      <c r="ACT480" s="1831"/>
      <c r="ACU480" s="1831"/>
      <c r="ACV480" s="1831"/>
      <c r="ACW480" s="1831"/>
      <c r="ACX480" s="1831"/>
      <c r="ACY480" s="1831"/>
      <c r="ACZ480" s="1831"/>
      <c r="ADA480" s="1831"/>
      <c r="ADB480" s="1831"/>
      <c r="ADC480" s="1831"/>
      <c r="ADD480" s="1831"/>
      <c r="ADE480" s="1831"/>
      <c r="ADF480" s="1831"/>
      <c r="ADG480" s="1831"/>
      <c r="ADH480" s="1831"/>
      <c r="ADI480" s="1831"/>
      <c r="ADJ480" s="1831"/>
      <c r="ADK480" s="1831"/>
      <c r="ADL480" s="1831"/>
      <c r="ADM480" s="1831"/>
      <c r="ADN480" s="1831"/>
      <c r="ADO480" s="1831"/>
      <c r="ADP480" s="1831"/>
      <c r="ADQ480" s="1831"/>
      <c r="ADR480" s="1831"/>
      <c r="ADS480" s="1831"/>
      <c r="ADT480" s="1831"/>
      <c r="ADU480" s="1831"/>
      <c r="ADV480" s="1831"/>
      <c r="ADW480" s="1831"/>
      <c r="ADX480" s="1831"/>
      <c r="ADY480" s="1831"/>
      <c r="ADZ480" s="1831"/>
      <c r="AEA480" s="1831"/>
      <c r="AEB480" s="1831"/>
      <c r="AEC480" s="1831"/>
      <c r="AED480" s="1831"/>
      <c r="AEE480" s="1831"/>
      <c r="AEF480" s="1831"/>
      <c r="AEG480" s="1831"/>
      <c r="AEH480" s="1831"/>
      <c r="AEI480" s="1831"/>
      <c r="AEJ480" s="1831"/>
      <c r="AEK480" s="1831"/>
      <c r="AEL480" s="1831"/>
      <c r="AEM480" s="1831"/>
      <c r="AEN480" s="1831"/>
      <c r="AEO480" s="1831"/>
      <c r="AEP480" s="1831"/>
      <c r="AEQ480" s="1831"/>
      <c r="AER480" s="1831"/>
      <c r="AES480" s="1831"/>
      <c r="AET480" s="1831"/>
      <c r="AEU480" s="1831"/>
      <c r="AEV480" s="1831"/>
      <c r="AEW480" s="1831"/>
      <c r="AEX480" s="1831"/>
      <c r="AEY480" s="1831"/>
      <c r="AEZ480" s="1831"/>
      <c r="AFA480" s="1831"/>
      <c r="AFB480" s="1831"/>
      <c r="AFC480" s="1831"/>
      <c r="AFD480" s="1831"/>
      <c r="AFE480" s="1831"/>
      <c r="AFF480" s="1831"/>
      <c r="AFG480" s="1831"/>
      <c r="AFH480" s="1831"/>
      <c r="AFI480" s="1831"/>
      <c r="AFJ480" s="1831"/>
      <c r="AFK480" s="1831"/>
      <c r="AFL480" s="1831"/>
      <c r="AFM480" s="1831"/>
      <c r="AFN480" s="1831"/>
      <c r="AFO480" s="1831"/>
      <c r="AFP480" s="1831"/>
      <c r="AFQ480" s="1831"/>
      <c r="AFR480" s="1831"/>
      <c r="AFS480" s="1831"/>
      <c r="AFT480" s="1831"/>
      <c r="AFU480" s="1831"/>
      <c r="AFV480" s="1831"/>
      <c r="AFW480" s="1831"/>
      <c r="AFX480" s="1831"/>
      <c r="AFY480" s="1831"/>
      <c r="AFZ480" s="1831"/>
      <c r="AGA480" s="1831"/>
      <c r="AGB480" s="1831"/>
      <c r="AGC480" s="1831"/>
      <c r="AGD480" s="1831"/>
      <c r="AGE480" s="1831"/>
      <c r="AGF480" s="1831"/>
      <c r="AGG480" s="1831"/>
      <c r="AGH480" s="1831"/>
      <c r="AGI480" s="1831"/>
      <c r="AGJ480" s="1831"/>
      <c r="AGK480" s="1831"/>
      <c r="AGL480" s="1831"/>
      <c r="AGM480" s="1831"/>
      <c r="AGN480" s="1831"/>
      <c r="AGO480" s="1831"/>
      <c r="AGP480" s="1831"/>
      <c r="AGQ480" s="1831"/>
      <c r="AGR480" s="1831"/>
      <c r="AGS480" s="1831"/>
      <c r="AGT480" s="1831"/>
      <c r="AGU480" s="1831"/>
      <c r="AGV480" s="1831"/>
      <c r="AGW480" s="1831"/>
      <c r="AGX480" s="1831"/>
      <c r="AGY480" s="1831"/>
      <c r="AGZ480" s="1831"/>
      <c r="AHA480" s="1831"/>
      <c r="AHB480" s="1831"/>
      <c r="AHC480" s="1831"/>
      <c r="AHD480" s="1831"/>
      <c r="AHE480" s="1831"/>
      <c r="AHF480" s="1831"/>
      <c r="AHG480" s="1831"/>
      <c r="AHH480" s="1831"/>
      <c r="AHI480" s="1831"/>
      <c r="AHJ480" s="1831"/>
      <c r="AHK480" s="1831"/>
      <c r="AHL480" s="1831"/>
      <c r="AHM480" s="1831"/>
      <c r="AHN480" s="1831"/>
      <c r="AHO480" s="1831"/>
      <c r="AHP480" s="1831"/>
      <c r="AHQ480" s="1831"/>
      <c r="AHR480" s="1831"/>
      <c r="AHS480" s="1831"/>
      <c r="AHT480" s="1831"/>
      <c r="AHU480" s="1831"/>
      <c r="AHV480" s="1831"/>
      <c r="AHW480" s="1831"/>
      <c r="AHX480" s="1831"/>
      <c r="AHY480" s="1831"/>
      <c r="AHZ480" s="1831"/>
      <c r="AIA480" s="1831"/>
      <c r="AIB480" s="1831"/>
      <c r="AIC480" s="1831"/>
      <c r="AID480" s="1831"/>
      <c r="AIE480" s="1831"/>
      <c r="AIF480" s="1831"/>
      <c r="AIG480" s="1831"/>
      <c r="AIH480" s="1831"/>
      <c r="AII480" s="1831"/>
      <c r="AIJ480" s="1831"/>
      <c r="AIK480" s="1831"/>
      <c r="AIL480" s="1831"/>
      <c r="AIM480" s="1831"/>
      <c r="AIN480" s="1831"/>
      <c r="AIO480" s="1831"/>
      <c r="AIP480" s="1831"/>
      <c r="AIQ480" s="1831"/>
      <c r="AIR480" s="1831"/>
      <c r="AIS480" s="1831"/>
      <c r="AIT480" s="1831"/>
      <c r="AIU480" s="1831"/>
      <c r="AIV480" s="1831"/>
      <c r="AIW480" s="1831"/>
      <c r="AIX480" s="1831"/>
      <c r="AIY480" s="1831"/>
      <c r="AIZ480" s="1831"/>
      <c r="AJA480" s="1831"/>
      <c r="AJB480" s="1831"/>
      <c r="AJC480" s="1831"/>
      <c r="AJD480" s="1831"/>
      <c r="AJE480" s="1831"/>
      <c r="AJF480" s="1831"/>
      <c r="AJG480" s="1831"/>
      <c r="AJH480" s="1831"/>
      <c r="AJI480" s="1831"/>
      <c r="AJJ480" s="1831"/>
      <c r="AJK480" s="1831"/>
      <c r="AJL480" s="1831"/>
      <c r="AJM480" s="1831"/>
      <c r="AJN480" s="1831"/>
      <c r="AJO480" s="1831"/>
      <c r="AJP480" s="1831"/>
      <c r="AJQ480" s="1831"/>
      <c r="AJR480" s="1831"/>
      <c r="AJS480" s="1831"/>
      <c r="AJT480" s="1831"/>
      <c r="AJU480" s="1831"/>
      <c r="AJV480" s="1831"/>
      <c r="AJW480" s="1831"/>
      <c r="AJX480" s="1831"/>
      <c r="AJY480" s="1831"/>
      <c r="AJZ480" s="1831"/>
      <c r="AKA480" s="1831"/>
      <c r="AKB480" s="1831"/>
      <c r="AKC480" s="1831"/>
      <c r="AKD480" s="1831"/>
      <c r="AKE480" s="1831"/>
      <c r="AKF480" s="1831"/>
      <c r="AKG480" s="1831"/>
      <c r="AKH480" s="1831"/>
      <c r="AKI480" s="1831"/>
      <c r="AKJ480" s="1831"/>
      <c r="AKK480" s="1831"/>
      <c r="AKL480" s="1831"/>
      <c r="AKM480" s="1831"/>
      <c r="AKN480" s="1831"/>
      <c r="AKO480" s="1831"/>
      <c r="AKP480" s="1831"/>
      <c r="AKQ480" s="1831"/>
      <c r="AKR480" s="1831"/>
      <c r="AKS480" s="1831"/>
      <c r="AKT480" s="1831"/>
      <c r="AKU480" s="1831"/>
      <c r="AKV480" s="1831"/>
      <c r="AKW480" s="1831"/>
      <c r="AKX480" s="1831"/>
      <c r="AKY480" s="1831"/>
      <c r="AKZ480" s="1831"/>
      <c r="ALA480" s="1831"/>
      <c r="ALB480" s="1831"/>
      <c r="ALC480" s="1831"/>
      <c r="ALD480" s="1831"/>
      <c r="ALE480" s="1831"/>
      <c r="ALF480" s="1831"/>
      <c r="ALG480" s="1831"/>
      <c r="ALH480" s="1831"/>
      <c r="ALI480" s="1831"/>
      <c r="ALJ480" s="1831"/>
      <c r="ALK480" s="1831"/>
      <c r="ALL480" s="1831"/>
      <c r="ALM480" s="1831"/>
      <c r="ALN480" s="1831"/>
      <c r="ALO480" s="1831"/>
      <c r="ALP480" s="1831"/>
      <c r="ALQ480" s="1831"/>
      <c r="ALR480" s="1831"/>
      <c r="ALS480" s="1831"/>
      <c r="ALT480" s="1831"/>
      <c r="ALU480" s="1831"/>
      <c r="ALV480" s="1831"/>
      <c r="ALW480" s="1831"/>
      <c r="ALX480" s="1831"/>
      <c r="ALY480" s="1831"/>
      <c r="ALZ480" s="1831"/>
      <c r="AMA480" s="1831"/>
      <c r="AMB480" s="1831"/>
      <c r="AMC480" s="1831"/>
      <c r="AMD480" s="1831"/>
      <c r="AME480" s="1831"/>
      <c r="AMF480" s="1831"/>
      <c r="AMG480" s="1831"/>
      <c r="AMH480" s="1831"/>
      <c r="AMI480" s="1831"/>
      <c r="AMJ480" s="1831"/>
      <c r="AMK480" s="1831"/>
      <c r="AML480" s="1831"/>
      <c r="AMM480" s="1831"/>
      <c r="AMN480" s="1831"/>
      <c r="AMO480" s="1831"/>
      <c r="AMP480" s="1831"/>
      <c r="AMQ480" s="1831"/>
      <c r="AMR480" s="1831"/>
      <c r="AMS480" s="1831"/>
      <c r="AMT480" s="1831"/>
      <c r="AMU480" s="1831"/>
      <c r="AMV480" s="1831"/>
      <c r="AMW480" s="1831"/>
      <c r="AMX480" s="1831"/>
      <c r="AMY480" s="1831"/>
      <c r="AMZ480" s="1831"/>
      <c r="ANA480" s="1831"/>
      <c r="ANB480" s="1831"/>
      <c r="ANC480" s="1831"/>
      <c r="AND480" s="1831"/>
      <c r="ANE480" s="1831"/>
      <c r="ANF480" s="1831"/>
      <c r="ANG480" s="1831"/>
      <c r="ANH480" s="1831"/>
      <c r="ANI480" s="1831"/>
      <c r="ANJ480" s="1831"/>
      <c r="ANK480" s="1831"/>
      <c r="ANL480" s="1831"/>
      <c r="ANM480" s="1831"/>
      <c r="ANN480" s="1831"/>
      <c r="ANO480" s="1831"/>
      <c r="ANP480" s="1831"/>
      <c r="ANQ480" s="1831"/>
      <c r="ANR480" s="1831"/>
      <c r="ANS480" s="1831"/>
      <c r="ANT480" s="1831"/>
      <c r="ANU480" s="1831"/>
      <c r="ANV480" s="1831"/>
      <c r="ANW480" s="1831"/>
      <c r="ANX480" s="1831"/>
      <c r="ANY480" s="1831"/>
      <c r="ANZ480" s="1831"/>
      <c r="AOA480" s="1831"/>
      <c r="AOB480" s="1831"/>
      <c r="AOC480" s="1831"/>
      <c r="AOD480" s="1831"/>
      <c r="AOE480" s="1831"/>
      <c r="AOF480" s="1831"/>
      <c r="AOG480" s="1831"/>
      <c r="AOH480" s="1831"/>
      <c r="AOI480" s="1831"/>
      <c r="AOJ480" s="1831"/>
      <c r="AOK480" s="1831"/>
      <c r="AOL480" s="1831"/>
      <c r="AOM480" s="1831"/>
      <c r="AON480" s="1831"/>
      <c r="AOO480" s="1831"/>
      <c r="AOP480" s="1831"/>
      <c r="AOQ480" s="1831"/>
      <c r="AOR480" s="1831"/>
      <c r="AOS480" s="1831"/>
      <c r="AOT480" s="1831"/>
      <c r="AOU480" s="1831"/>
      <c r="AOV480" s="1831"/>
      <c r="AOW480" s="1831"/>
      <c r="AOX480" s="1831"/>
      <c r="AOY480" s="1831"/>
      <c r="AOZ480" s="1831"/>
      <c r="APA480" s="1831"/>
      <c r="APB480" s="1831"/>
      <c r="APC480" s="1831"/>
      <c r="APD480" s="1831"/>
      <c r="APE480" s="1831"/>
      <c r="APF480" s="1831"/>
      <c r="APG480" s="1831"/>
      <c r="APH480" s="1831"/>
      <c r="API480" s="1831"/>
      <c r="APJ480" s="1831"/>
      <c r="APK480" s="1831"/>
      <c r="APL480" s="1831"/>
      <c r="APM480" s="1831"/>
      <c r="APN480" s="1831"/>
      <c r="APO480" s="1831"/>
      <c r="APP480" s="1831"/>
      <c r="APQ480" s="1831"/>
      <c r="APR480" s="1831"/>
      <c r="APS480" s="1831"/>
      <c r="APT480" s="1831"/>
      <c r="APU480" s="1831"/>
      <c r="APV480" s="1831"/>
      <c r="APW480" s="1831"/>
      <c r="APX480" s="1831"/>
      <c r="APY480" s="1831"/>
      <c r="APZ480" s="1831"/>
      <c r="AQA480" s="1831"/>
      <c r="AQB480" s="1831"/>
      <c r="AQC480" s="1831"/>
      <c r="AQD480" s="1831"/>
      <c r="AQE480" s="1831"/>
      <c r="AQF480" s="1831"/>
      <c r="AQG480" s="1831"/>
      <c r="AQH480" s="1831"/>
      <c r="AQI480" s="1831"/>
      <c r="AQJ480" s="1831"/>
      <c r="AQK480" s="1831"/>
      <c r="AQL480" s="1831"/>
      <c r="AQM480" s="1831"/>
      <c r="AQN480" s="1831"/>
      <c r="AQO480" s="1831"/>
      <c r="AQP480" s="1831"/>
      <c r="AQQ480" s="1831"/>
      <c r="AQR480" s="1831"/>
      <c r="AQS480" s="1831"/>
      <c r="AQT480" s="1831"/>
      <c r="AQU480" s="1831"/>
      <c r="AQV480" s="1831"/>
      <c r="AQW480" s="1831"/>
      <c r="AQX480" s="1831"/>
      <c r="AQY480" s="1831"/>
      <c r="AQZ480" s="1831"/>
      <c r="ARA480" s="1831"/>
      <c r="ARB480" s="1831"/>
      <c r="ARC480" s="1831"/>
      <c r="ARD480" s="1831"/>
      <c r="ARE480" s="1831"/>
      <c r="ARF480" s="1831"/>
      <c r="ARG480" s="1831"/>
      <c r="ARH480" s="1831"/>
      <c r="ARI480" s="1831"/>
      <c r="ARJ480" s="1831"/>
      <c r="ARK480" s="1831"/>
      <c r="ARL480" s="1831"/>
      <c r="ARM480" s="1831"/>
      <c r="ARN480" s="1831"/>
      <c r="ARO480" s="1831"/>
      <c r="ARP480" s="1831"/>
      <c r="ARQ480" s="1831"/>
      <c r="ARR480" s="1831"/>
      <c r="ARS480" s="1831"/>
      <c r="ART480" s="1831"/>
      <c r="ARU480" s="1831"/>
      <c r="ARV480" s="1831"/>
      <c r="ARW480" s="1831"/>
      <c r="ARX480" s="1831"/>
      <c r="ARY480" s="1831"/>
      <c r="ARZ480" s="1831"/>
      <c r="ASA480" s="1831"/>
      <c r="ASB480" s="1831"/>
      <c r="ASC480" s="1831"/>
      <c r="ASD480" s="1831"/>
      <c r="ASE480" s="1831"/>
      <c r="ASF480" s="1831"/>
      <c r="ASG480" s="1831"/>
      <c r="ASH480" s="1831"/>
      <c r="ASI480" s="1831"/>
      <c r="ASJ480" s="1831"/>
      <c r="ASK480" s="1831"/>
      <c r="ASL480" s="1831"/>
      <c r="ASM480" s="1831"/>
      <c r="ASN480" s="1831"/>
      <c r="ASO480" s="1831"/>
      <c r="ASP480" s="1831"/>
      <c r="ASQ480" s="1831"/>
      <c r="ASR480" s="1831"/>
      <c r="ASS480" s="1831"/>
      <c r="AST480" s="1831"/>
      <c r="ASU480" s="1831"/>
      <c r="ASV480" s="1831"/>
      <c r="ASW480" s="1831"/>
      <c r="ASX480" s="1831"/>
      <c r="ASY480" s="1831"/>
      <c r="ASZ480" s="1831"/>
      <c r="ATA480" s="1831"/>
      <c r="ATB480" s="1831"/>
      <c r="ATC480" s="1831"/>
      <c r="ATD480" s="1831"/>
      <c r="ATE480" s="1831"/>
      <c r="ATF480" s="1831"/>
      <c r="ATG480" s="1831"/>
      <c r="ATH480" s="1831"/>
      <c r="ATI480" s="1831"/>
      <c r="ATJ480" s="1831"/>
      <c r="ATK480" s="1831"/>
      <c r="ATL480" s="1831"/>
      <c r="ATM480" s="1831"/>
      <c r="ATN480" s="1831"/>
      <c r="ATO480" s="1831"/>
      <c r="ATP480" s="1831"/>
      <c r="ATQ480" s="1831"/>
      <c r="ATR480" s="1831"/>
      <c r="ATS480" s="1831"/>
      <c r="ATT480" s="1831"/>
      <c r="ATU480" s="1831"/>
      <c r="ATV480" s="1831"/>
      <c r="ATW480" s="1831"/>
      <c r="ATX480" s="1831"/>
      <c r="ATY480" s="1831"/>
      <c r="ATZ480" s="1831"/>
      <c r="AUA480" s="1831"/>
      <c r="AUB480" s="1831"/>
      <c r="AUC480" s="1831"/>
      <c r="AUD480" s="1831"/>
      <c r="AUE480" s="1831"/>
      <c r="AUF480" s="1831"/>
      <c r="AUG480" s="1831"/>
      <c r="AUH480" s="1831"/>
      <c r="AUI480" s="1831"/>
      <c r="AUJ480" s="1831"/>
      <c r="AUK480" s="1831"/>
      <c r="AUL480" s="1831"/>
      <c r="AUM480" s="1831"/>
      <c r="AUN480" s="1831"/>
      <c r="AUO480" s="1831"/>
      <c r="AUP480" s="1831"/>
      <c r="AUQ480" s="1831"/>
      <c r="AUR480" s="1831"/>
      <c r="AUS480" s="1831"/>
      <c r="AUT480" s="1831"/>
      <c r="AUU480" s="1831"/>
      <c r="AUV480" s="1831"/>
      <c r="AUW480" s="1831"/>
      <c r="AUX480" s="1831"/>
      <c r="AUY480" s="1831"/>
      <c r="AUZ480" s="1831"/>
      <c r="AVA480" s="1831"/>
      <c r="AVB480" s="1831"/>
      <c r="AVC480" s="1831"/>
      <c r="AVD480" s="1831"/>
      <c r="AVE480" s="1831"/>
      <c r="AVF480" s="1831"/>
      <c r="AVG480" s="1831"/>
      <c r="AVH480" s="1831"/>
      <c r="AVI480" s="1831"/>
      <c r="AVJ480" s="1831"/>
      <c r="AVK480" s="1831"/>
      <c r="AVL480" s="1831"/>
      <c r="AVM480" s="1831"/>
      <c r="AVN480" s="1831"/>
      <c r="AVO480" s="1831"/>
      <c r="AVP480" s="1831"/>
      <c r="AVQ480" s="1831"/>
      <c r="AVR480" s="1831"/>
      <c r="AVS480" s="1831"/>
      <c r="AVT480" s="1831"/>
      <c r="AVU480" s="1831"/>
      <c r="AVV480" s="1831"/>
      <c r="AVW480" s="1831"/>
      <c r="AVX480" s="1831"/>
      <c r="AVY480" s="1831"/>
      <c r="AVZ480" s="1831"/>
      <c r="AWA480" s="1831"/>
      <c r="AWB480" s="1831"/>
      <c r="AWC480" s="1831"/>
      <c r="AWD480" s="1831"/>
      <c r="AWE480" s="1831"/>
      <c r="AWF480" s="1831"/>
      <c r="AWG480" s="1831"/>
      <c r="AWH480" s="1831"/>
      <c r="AWI480" s="1831"/>
      <c r="AWJ480" s="1831"/>
      <c r="AWK480" s="1831"/>
      <c r="AWL480" s="1831"/>
      <c r="AWM480" s="1831"/>
      <c r="AWN480" s="1831"/>
      <c r="AWO480" s="1831"/>
      <c r="AWP480" s="1831"/>
      <c r="AWQ480" s="1831"/>
      <c r="AWR480" s="1831"/>
      <c r="AWS480" s="1831"/>
      <c r="AWT480" s="1831"/>
      <c r="AWU480" s="1831"/>
      <c r="AWV480" s="1831"/>
      <c r="AWW480" s="1831"/>
      <c r="AWX480" s="1831"/>
      <c r="AWY480" s="1831"/>
      <c r="AWZ480" s="1831"/>
      <c r="AXA480" s="1831"/>
      <c r="AXB480" s="1831"/>
      <c r="AXC480" s="1831"/>
      <c r="AXD480" s="1831"/>
      <c r="AXE480" s="1831"/>
      <c r="AXF480" s="1831"/>
      <c r="AXG480" s="1831"/>
      <c r="AXH480" s="1831"/>
      <c r="AXI480" s="1831"/>
      <c r="AXJ480" s="1831"/>
      <c r="AXK480" s="1831"/>
      <c r="AXL480" s="1831"/>
      <c r="AXM480" s="1831"/>
      <c r="AXN480" s="1831"/>
      <c r="AXO480" s="1831"/>
      <c r="AXP480" s="1831"/>
      <c r="AXQ480" s="1831"/>
      <c r="AXR480" s="1831"/>
      <c r="AXS480" s="1831"/>
      <c r="AXT480" s="1831"/>
      <c r="AXU480" s="1831"/>
      <c r="AXV480" s="1831"/>
      <c r="AXW480" s="1831"/>
      <c r="AXX480" s="1831"/>
      <c r="AXY480" s="1831"/>
      <c r="AXZ480" s="1831"/>
      <c r="AYA480" s="1831"/>
      <c r="AYB480" s="1831"/>
      <c r="AYC480" s="1831"/>
      <c r="AYD480" s="1831"/>
      <c r="AYE480" s="1831"/>
      <c r="AYF480" s="1831"/>
      <c r="AYG480" s="1831"/>
      <c r="AYH480" s="1831"/>
      <c r="AYI480" s="1831"/>
      <c r="AYJ480" s="1831"/>
      <c r="AYK480" s="1831"/>
      <c r="AYL480" s="1831"/>
      <c r="AYM480" s="1831"/>
      <c r="AYN480" s="1831"/>
      <c r="AYO480" s="1831"/>
      <c r="AYP480" s="1831"/>
      <c r="AYQ480" s="1831"/>
      <c r="AYR480" s="1831"/>
      <c r="AYS480" s="1831"/>
      <c r="AYT480" s="1831"/>
      <c r="AYU480" s="1831"/>
      <c r="AYV480" s="1831"/>
      <c r="AYW480" s="1831"/>
      <c r="AYX480" s="1831"/>
      <c r="AYY480" s="1831"/>
      <c r="AYZ480" s="1831"/>
      <c r="AZA480" s="1831"/>
      <c r="AZB480" s="1831"/>
      <c r="AZC480" s="1831"/>
      <c r="AZD480" s="1831"/>
      <c r="AZE480" s="1831"/>
      <c r="AZF480" s="1831"/>
      <c r="AZG480" s="1831"/>
      <c r="AZH480" s="1831"/>
      <c r="AZI480" s="1831"/>
      <c r="AZJ480" s="1831"/>
      <c r="AZK480" s="1831"/>
      <c r="AZL480" s="1831"/>
      <c r="AZM480" s="1831"/>
      <c r="AZN480" s="1831"/>
      <c r="AZO480" s="1831"/>
      <c r="AZP480" s="1831"/>
      <c r="AZQ480" s="1831"/>
      <c r="AZR480" s="1831"/>
      <c r="AZS480" s="1831"/>
      <c r="AZT480" s="1831"/>
      <c r="AZU480" s="1831"/>
      <c r="AZV480" s="1831"/>
      <c r="AZW480" s="1831"/>
      <c r="AZX480" s="1831"/>
      <c r="AZY480" s="1831"/>
      <c r="AZZ480" s="1831"/>
      <c r="BAA480" s="1831"/>
      <c r="BAB480" s="1831"/>
      <c r="BAC480" s="1831"/>
      <c r="BAD480" s="1831"/>
      <c r="BAE480" s="1831"/>
      <c r="BAF480" s="1831"/>
      <c r="BAG480" s="1831"/>
      <c r="BAH480" s="1831"/>
      <c r="BAI480" s="1831"/>
      <c r="BAJ480" s="1831"/>
      <c r="BAK480" s="1831"/>
      <c r="BAL480" s="1831"/>
      <c r="BAM480" s="1831"/>
      <c r="BAN480" s="1831"/>
      <c r="BAO480" s="1831"/>
      <c r="BAP480" s="1831"/>
      <c r="BAQ480" s="1831"/>
      <c r="BAR480" s="1831"/>
      <c r="BAS480" s="1831"/>
      <c r="BAT480" s="1831"/>
      <c r="BAU480" s="1831"/>
      <c r="BAV480" s="1831"/>
      <c r="BAW480" s="1831"/>
      <c r="BAX480" s="1831"/>
      <c r="BAY480" s="1831"/>
      <c r="BAZ480" s="1831"/>
      <c r="BBA480" s="1831"/>
      <c r="BBB480" s="1831"/>
      <c r="BBC480" s="1831"/>
      <c r="BBD480" s="1831"/>
      <c r="BBE480" s="1831"/>
      <c r="BBF480" s="1831"/>
      <c r="BBG480" s="1831"/>
      <c r="BBH480" s="1831"/>
      <c r="BBI480" s="1831"/>
      <c r="BBJ480" s="1831"/>
      <c r="BBK480" s="1831"/>
      <c r="BBL480" s="1831"/>
      <c r="BBM480" s="1831"/>
      <c r="BBN480" s="1831"/>
      <c r="BBO480" s="1831"/>
      <c r="BBP480" s="1831"/>
      <c r="BBQ480" s="1831"/>
      <c r="BBR480" s="1831"/>
      <c r="BBS480" s="1831"/>
      <c r="BBT480" s="1831"/>
      <c r="BBU480" s="1831"/>
      <c r="BBV480" s="1831"/>
      <c r="BBW480" s="1831"/>
      <c r="BBX480" s="1831"/>
      <c r="BBY480" s="1831"/>
      <c r="BBZ480" s="1831"/>
      <c r="BCA480" s="1831"/>
      <c r="BCB480" s="1831"/>
      <c r="BCC480" s="1831"/>
      <c r="BCD480" s="1831"/>
      <c r="BCE480" s="1831"/>
      <c r="BCF480" s="1831"/>
      <c r="BCG480" s="1831"/>
      <c r="BCH480" s="1831"/>
      <c r="BCI480" s="1831"/>
      <c r="BCJ480" s="1831"/>
      <c r="BCK480" s="1831"/>
      <c r="BCL480" s="1831"/>
      <c r="BCM480" s="1831"/>
      <c r="BCN480" s="1831"/>
      <c r="BCO480" s="1831"/>
      <c r="BCP480" s="1831"/>
      <c r="BCQ480" s="1831"/>
      <c r="BCR480" s="1831"/>
      <c r="BCS480" s="1831"/>
      <c r="BCT480" s="1831"/>
      <c r="BCU480" s="1831"/>
      <c r="BCV480" s="1831"/>
      <c r="BCW480" s="1831"/>
      <c r="BCX480" s="1831"/>
      <c r="BCY480" s="1831"/>
      <c r="BCZ480" s="1831"/>
      <c r="BDA480" s="1831"/>
      <c r="BDB480" s="1831"/>
      <c r="BDC480" s="1831"/>
      <c r="BDD480" s="1831"/>
      <c r="BDE480" s="1831"/>
      <c r="BDF480" s="1831"/>
      <c r="BDG480" s="1831"/>
      <c r="BDH480" s="1831"/>
      <c r="BDI480" s="1831"/>
      <c r="BDJ480" s="1831"/>
      <c r="BDK480" s="1831"/>
      <c r="BDL480" s="1831"/>
      <c r="BDM480" s="1831"/>
      <c r="BDN480" s="1831"/>
      <c r="BDO480" s="1831"/>
      <c r="BDP480" s="1831"/>
      <c r="BDQ480" s="1831"/>
      <c r="BDR480" s="1831"/>
      <c r="BDS480" s="1831"/>
      <c r="BDT480" s="1831"/>
      <c r="BDU480" s="1831"/>
      <c r="BDV480" s="1831"/>
      <c r="BDW480" s="1831"/>
      <c r="BDX480" s="1831"/>
      <c r="BDY480" s="1831"/>
      <c r="BDZ480" s="1831"/>
      <c r="BEA480" s="1831"/>
      <c r="BEB480" s="1831"/>
      <c r="BEC480" s="1831"/>
      <c r="BED480" s="1831"/>
      <c r="BEE480" s="1831"/>
      <c r="BEF480" s="1831"/>
      <c r="BEG480" s="1831"/>
      <c r="BEH480" s="1831"/>
      <c r="BEI480" s="1831"/>
      <c r="BEJ480" s="1831"/>
      <c r="BEK480" s="1831"/>
      <c r="BEL480" s="1831"/>
      <c r="BEM480" s="1831"/>
      <c r="BEN480" s="1831"/>
      <c r="BEO480" s="1831"/>
      <c r="BEP480" s="1831"/>
      <c r="BEQ480" s="1831"/>
      <c r="BER480" s="1831"/>
      <c r="BES480" s="1831"/>
      <c r="BET480" s="1831"/>
      <c r="BEU480" s="1831"/>
      <c r="BEV480" s="1831"/>
      <c r="BEW480" s="1831"/>
      <c r="BEX480" s="1831"/>
      <c r="BEY480" s="1831"/>
      <c r="BEZ480" s="1831"/>
      <c r="BFA480" s="1831"/>
      <c r="BFB480" s="1831"/>
      <c r="BFC480" s="1831"/>
      <c r="BFD480" s="1831"/>
      <c r="BFE480" s="1831"/>
      <c r="BFF480" s="1831"/>
      <c r="BFG480" s="1831"/>
      <c r="BFH480" s="1831"/>
      <c r="BFI480" s="1831"/>
      <c r="BFJ480" s="1831"/>
      <c r="BFK480" s="1831"/>
      <c r="BFL480" s="1831"/>
      <c r="BFM480" s="1831"/>
      <c r="BFN480" s="1831"/>
      <c r="BFO480" s="1831"/>
      <c r="BFP480" s="1831"/>
      <c r="BFQ480" s="1831"/>
      <c r="BFR480" s="1831"/>
      <c r="BFS480" s="1831"/>
      <c r="BFT480" s="1831"/>
      <c r="BFU480" s="1831"/>
      <c r="BFV480" s="1831"/>
      <c r="BFW480" s="1831"/>
      <c r="BFX480" s="1831"/>
      <c r="BFY480" s="1831"/>
      <c r="BFZ480" s="1831"/>
      <c r="BGA480" s="1831"/>
      <c r="BGB480" s="1831"/>
      <c r="BGC480" s="1831"/>
      <c r="BGD480" s="1831"/>
      <c r="BGE480" s="1831"/>
      <c r="BGF480" s="1831"/>
      <c r="BGG480" s="1831"/>
      <c r="BGH480" s="1831"/>
      <c r="BGI480" s="1831"/>
      <c r="BGJ480" s="1831"/>
      <c r="BGK480" s="1831"/>
      <c r="BGL480" s="1831"/>
      <c r="BGM480" s="1831"/>
      <c r="BGN480" s="1831"/>
      <c r="BGO480" s="1831"/>
      <c r="BGP480" s="1831"/>
      <c r="BGQ480" s="1831"/>
      <c r="BGR480" s="1831"/>
      <c r="BGS480" s="1831"/>
      <c r="BGT480" s="1831"/>
      <c r="BGU480" s="1831"/>
      <c r="BGV480" s="1831"/>
      <c r="BGW480" s="1831"/>
      <c r="BGX480" s="1831"/>
      <c r="BGY480" s="1831"/>
      <c r="BGZ480" s="1831"/>
      <c r="BHA480" s="1831"/>
      <c r="BHB480" s="1831"/>
      <c r="BHC480" s="1831"/>
      <c r="BHD480" s="1831"/>
      <c r="BHE480" s="1831"/>
      <c r="BHF480" s="1831"/>
      <c r="BHG480" s="1831"/>
      <c r="BHH480" s="1831"/>
      <c r="BHI480" s="1831"/>
      <c r="BHJ480" s="1831"/>
      <c r="BHK480" s="1831"/>
      <c r="BHL480" s="1831"/>
      <c r="BHM480" s="1831"/>
      <c r="BHN480" s="1831"/>
      <c r="BHO480" s="1831"/>
      <c r="BHP480" s="1831"/>
      <c r="BHQ480" s="1831"/>
      <c r="BHR480" s="1831"/>
      <c r="BHS480" s="1831"/>
      <c r="BHT480" s="1831"/>
      <c r="BHU480" s="1831"/>
      <c r="BHV480" s="1831"/>
      <c r="BHW480" s="1831"/>
      <c r="BHX480" s="1831"/>
      <c r="BHY480" s="1831"/>
      <c r="BHZ480" s="1831"/>
      <c r="BIA480" s="1831"/>
      <c r="BIB480" s="1831"/>
      <c r="BIC480" s="1831"/>
      <c r="BID480" s="1831"/>
      <c r="BIE480" s="1831"/>
      <c r="BIF480" s="1831"/>
      <c r="BIG480" s="1831"/>
      <c r="BIH480" s="1831"/>
      <c r="BII480" s="1831"/>
      <c r="BIJ480" s="1831"/>
      <c r="BIK480" s="1831"/>
      <c r="BIL480" s="1831"/>
      <c r="BIM480" s="1831"/>
      <c r="BIN480" s="1831"/>
      <c r="BIO480" s="1831"/>
      <c r="BIP480" s="1831"/>
      <c r="BIQ480" s="1831"/>
      <c r="BIR480" s="1831"/>
      <c r="BIS480" s="1831"/>
      <c r="BIT480" s="1831"/>
      <c r="BIU480" s="1831"/>
      <c r="BIV480" s="1831"/>
      <c r="BIW480" s="1831"/>
      <c r="BIX480" s="1831"/>
      <c r="BIY480" s="1831"/>
      <c r="BIZ480" s="1831"/>
      <c r="BJA480" s="1831"/>
      <c r="BJB480" s="1831"/>
      <c r="BJC480" s="1831"/>
      <c r="BJD480" s="1831"/>
      <c r="BJE480" s="1831"/>
      <c r="BJF480" s="1831"/>
      <c r="BJG480" s="1831"/>
      <c r="BJH480" s="1831"/>
      <c r="BJI480" s="1831"/>
      <c r="BJJ480" s="1831"/>
      <c r="BJK480" s="1831"/>
      <c r="BJL480" s="1831"/>
      <c r="BJM480" s="1831"/>
      <c r="BJN480" s="1831"/>
      <c r="BJO480" s="1831"/>
      <c r="BJP480" s="1831"/>
      <c r="BJQ480" s="1831"/>
      <c r="BJR480" s="1831"/>
      <c r="BJS480" s="1831"/>
      <c r="BJT480" s="1831"/>
      <c r="BJU480" s="1831"/>
      <c r="BJV480" s="1831"/>
      <c r="BJW480" s="1831"/>
      <c r="BJX480" s="1831"/>
      <c r="BJY480" s="1831"/>
      <c r="BJZ480" s="1831"/>
      <c r="BKA480" s="1831"/>
      <c r="BKB480" s="1831"/>
      <c r="BKC480" s="1831"/>
      <c r="BKD480" s="1831"/>
      <c r="BKE480" s="1831"/>
      <c r="BKF480" s="1831"/>
      <c r="BKG480" s="1831"/>
      <c r="BKH480" s="1831"/>
      <c r="BKI480" s="1831"/>
      <c r="BKJ480" s="1831"/>
      <c r="BKK480" s="1831"/>
      <c r="BKL480" s="1831"/>
      <c r="BKM480" s="1831"/>
      <c r="BKN480" s="1831"/>
      <c r="BKO480" s="1831"/>
      <c r="BKP480" s="1831"/>
      <c r="BKQ480" s="1831"/>
      <c r="BKR480" s="1831"/>
      <c r="BKS480" s="1831"/>
      <c r="BKT480" s="1831"/>
      <c r="BKU480" s="1831"/>
      <c r="BKV480" s="1831"/>
      <c r="BKW480" s="1831"/>
      <c r="BKX480" s="1831"/>
      <c r="BKY480" s="1831"/>
      <c r="BKZ480" s="1831"/>
      <c r="BLA480" s="1831"/>
      <c r="BLB480" s="1831"/>
      <c r="BLC480" s="1831"/>
      <c r="BLD480" s="1831"/>
      <c r="BLE480" s="1831"/>
      <c r="BLF480" s="1831"/>
      <c r="BLG480" s="1831"/>
      <c r="BLH480" s="1831"/>
      <c r="BLI480" s="1831"/>
      <c r="BLJ480" s="1831"/>
      <c r="BLK480" s="1831"/>
      <c r="BLL480" s="1831"/>
      <c r="BLM480" s="1831"/>
      <c r="BLN480" s="1831"/>
      <c r="BLO480" s="1831"/>
      <c r="BLP480" s="1831"/>
      <c r="BLQ480" s="1831"/>
      <c r="BLR480" s="1831"/>
      <c r="BLS480" s="1831"/>
      <c r="BLT480" s="1831"/>
      <c r="BLU480" s="1831"/>
      <c r="BLV480" s="1831"/>
      <c r="BLW480" s="1831"/>
      <c r="BLX480" s="1831"/>
      <c r="BLY480" s="1831"/>
      <c r="BLZ480" s="1831"/>
      <c r="BMA480" s="1831"/>
      <c r="BMB480" s="1831"/>
      <c r="BMC480" s="1831"/>
      <c r="BMD480" s="1831"/>
      <c r="BME480" s="1831"/>
      <c r="BMF480" s="1831"/>
      <c r="BMG480" s="1831"/>
      <c r="BMH480" s="1831"/>
      <c r="BMI480" s="1831"/>
      <c r="BMJ480" s="1831"/>
      <c r="BMK480" s="1831"/>
      <c r="BML480" s="1831"/>
      <c r="BMM480" s="1831"/>
      <c r="BMN480" s="1831"/>
      <c r="BMO480" s="1831"/>
      <c r="BMP480" s="1831"/>
      <c r="BMQ480" s="1831"/>
      <c r="BMR480" s="1831"/>
      <c r="BMS480" s="1831"/>
      <c r="BMT480" s="1831"/>
      <c r="BMU480" s="1831"/>
      <c r="BMV480" s="1831"/>
      <c r="BMW480" s="1831"/>
      <c r="BMX480" s="1831"/>
      <c r="BMY480" s="1831"/>
      <c r="BMZ480" s="1831"/>
      <c r="BNA480" s="1831"/>
      <c r="BNB480" s="1831"/>
      <c r="BNC480" s="1831"/>
      <c r="BND480" s="1831"/>
      <c r="BNE480" s="1831"/>
      <c r="BNF480" s="1831"/>
      <c r="BNG480" s="1831"/>
      <c r="BNH480" s="1831"/>
      <c r="BNI480" s="1831"/>
      <c r="BNJ480" s="1831"/>
      <c r="BNK480" s="1831"/>
      <c r="BNL480" s="1831"/>
      <c r="BNM480" s="1831"/>
      <c r="BNN480" s="1831"/>
      <c r="BNO480" s="1831"/>
      <c r="BNP480" s="1831"/>
      <c r="BNQ480" s="1831"/>
      <c r="BNR480" s="1831"/>
      <c r="BNS480" s="1831"/>
      <c r="BNT480" s="1831"/>
      <c r="BNU480" s="1831"/>
      <c r="BNV480" s="1831"/>
      <c r="BNW480" s="1831"/>
      <c r="BNX480" s="1831"/>
      <c r="BNY480" s="1831"/>
      <c r="BNZ480" s="1831"/>
      <c r="BOA480" s="1831"/>
      <c r="BOB480" s="1831"/>
      <c r="BOC480" s="1831"/>
      <c r="BOD480" s="1831"/>
      <c r="BOE480" s="1831"/>
      <c r="BOF480" s="1831"/>
      <c r="BOG480" s="1831"/>
      <c r="BOH480" s="1831"/>
      <c r="BOI480" s="1831"/>
      <c r="BOJ480" s="1831"/>
      <c r="BOK480" s="1831"/>
      <c r="BOL480" s="1831"/>
      <c r="BOM480" s="1831"/>
      <c r="BON480" s="1831"/>
      <c r="BOO480" s="1831"/>
      <c r="BOP480" s="1831"/>
      <c r="BOQ480" s="1831"/>
      <c r="BOR480" s="1831"/>
      <c r="BOS480" s="1831"/>
      <c r="BOT480" s="1831"/>
      <c r="BOU480" s="1831"/>
      <c r="BOV480" s="1831"/>
      <c r="BOW480" s="1831"/>
      <c r="BOX480" s="1831"/>
      <c r="BOY480" s="1831"/>
      <c r="BOZ480" s="1831"/>
      <c r="BPA480" s="1831"/>
      <c r="BPB480" s="1831"/>
      <c r="BPC480" s="1831"/>
      <c r="BPD480" s="1831"/>
      <c r="BPE480" s="1831"/>
      <c r="BPF480" s="1831"/>
      <c r="BPG480" s="1831"/>
      <c r="BPH480" s="1831"/>
      <c r="BPI480" s="1831"/>
      <c r="BPJ480" s="1831"/>
      <c r="BPK480" s="1831"/>
      <c r="BPL480" s="1831"/>
      <c r="BPM480" s="1831"/>
      <c r="BPN480" s="1831"/>
      <c r="BPO480" s="1831"/>
      <c r="BPP480" s="1831"/>
      <c r="BPQ480" s="1831"/>
      <c r="BPR480" s="1831"/>
      <c r="BPS480" s="1831"/>
      <c r="BPT480" s="1831"/>
      <c r="BPU480" s="1831"/>
      <c r="BPV480" s="1831"/>
      <c r="BPW480" s="1831"/>
      <c r="BPX480" s="1831"/>
      <c r="BPY480" s="1831"/>
      <c r="BPZ480" s="1831"/>
      <c r="BQA480" s="1831"/>
      <c r="BQB480" s="1831"/>
      <c r="BQC480" s="1831"/>
      <c r="BQD480" s="1831"/>
      <c r="BQE480" s="1831"/>
      <c r="BQF480" s="1831"/>
      <c r="BQG480" s="1831"/>
      <c r="BQH480" s="1831"/>
      <c r="BQI480" s="1831"/>
      <c r="BQJ480" s="1831"/>
      <c r="BQK480" s="1831"/>
      <c r="BQL480" s="1831"/>
      <c r="BQM480" s="1831"/>
      <c r="BQN480" s="1831"/>
      <c r="BQO480" s="1831"/>
      <c r="BQP480" s="1831"/>
      <c r="BQQ480" s="1831"/>
      <c r="BQR480" s="1831"/>
      <c r="BQS480" s="1831"/>
      <c r="BQT480" s="1831"/>
      <c r="BQU480" s="1831"/>
      <c r="BQV480" s="1831"/>
      <c r="BQW480" s="1831"/>
      <c r="BQX480" s="1831"/>
      <c r="BQY480" s="1831"/>
      <c r="BQZ480" s="1831"/>
      <c r="BRA480" s="1831"/>
      <c r="BRB480" s="1831"/>
      <c r="BRC480" s="1831"/>
      <c r="BRD480" s="1831"/>
      <c r="BRE480" s="1831"/>
      <c r="BRF480" s="1831"/>
      <c r="BRG480" s="1831"/>
      <c r="BRH480" s="1831"/>
      <c r="BRI480" s="1831"/>
      <c r="BRJ480" s="1831"/>
      <c r="BRK480" s="1831"/>
      <c r="BRL480" s="1831"/>
      <c r="BRM480" s="1831"/>
      <c r="BRN480" s="1831"/>
      <c r="BRO480" s="1831"/>
      <c r="BRP480" s="1831"/>
      <c r="BRQ480" s="1831"/>
      <c r="BRR480" s="1831"/>
      <c r="BRS480" s="1831"/>
      <c r="BRT480" s="1831"/>
      <c r="BRU480" s="1831"/>
      <c r="BRV480" s="1831"/>
      <c r="BRW480" s="1831"/>
      <c r="BRX480" s="1831"/>
      <c r="BRY480" s="1831"/>
      <c r="BRZ480" s="1831"/>
      <c r="BSA480" s="1831"/>
      <c r="BSB480" s="1831"/>
      <c r="BSC480" s="1831"/>
      <c r="BSD480" s="1831"/>
      <c r="BSE480" s="1831"/>
      <c r="BSF480" s="1831"/>
      <c r="BSG480" s="1831"/>
      <c r="BSH480" s="1831"/>
      <c r="BSI480" s="1831"/>
      <c r="BSJ480" s="1831"/>
      <c r="BSK480" s="1831"/>
      <c r="BSL480" s="1831"/>
      <c r="BSM480" s="1831"/>
      <c r="BSN480" s="1831"/>
      <c r="BSO480" s="1831"/>
      <c r="BSP480" s="1831"/>
      <c r="BSQ480" s="1831"/>
      <c r="BSR480" s="1831"/>
      <c r="BSS480" s="1831"/>
      <c r="BST480" s="1831"/>
      <c r="BSU480" s="1831"/>
      <c r="BSV480" s="1831"/>
      <c r="BSW480" s="1831"/>
      <c r="BSX480" s="1831"/>
      <c r="BSY480" s="1831"/>
      <c r="BSZ480" s="1831"/>
      <c r="BTA480" s="1831"/>
      <c r="BTB480" s="1831"/>
      <c r="BTC480" s="1831"/>
      <c r="BTD480" s="1831"/>
      <c r="BTE480" s="1831"/>
      <c r="BTF480" s="1831"/>
      <c r="BTG480" s="1831"/>
      <c r="BTH480" s="1831"/>
      <c r="BTI480" s="1831"/>
      <c r="BTJ480" s="1831"/>
      <c r="BTK480" s="1831"/>
      <c r="BTL480" s="1831"/>
      <c r="BTM480" s="1831"/>
      <c r="BTN480" s="1831"/>
      <c r="BTO480" s="1831"/>
      <c r="BTP480" s="1831"/>
      <c r="BTQ480" s="1831"/>
      <c r="BTR480" s="1831"/>
      <c r="BTS480" s="1831"/>
      <c r="BTT480" s="1831"/>
      <c r="BTU480" s="1831"/>
      <c r="BTV480" s="1831"/>
      <c r="BTW480" s="1831"/>
      <c r="BTX480" s="1831"/>
      <c r="BTY480" s="1831"/>
      <c r="BTZ480" s="1831"/>
      <c r="BUA480" s="1831"/>
      <c r="BUB480" s="1831"/>
      <c r="BUC480" s="1831"/>
      <c r="BUD480" s="1831"/>
      <c r="BUE480" s="1831"/>
      <c r="BUF480" s="1831"/>
      <c r="BUG480" s="1831"/>
      <c r="BUH480" s="1831"/>
      <c r="BUI480" s="1831"/>
      <c r="BUJ480" s="1831"/>
      <c r="BUK480" s="1831"/>
      <c r="BUL480" s="1831"/>
      <c r="BUM480" s="1831"/>
      <c r="BUN480" s="1831"/>
      <c r="BUO480" s="1831"/>
      <c r="BUP480" s="1831"/>
      <c r="BUQ480" s="1831"/>
      <c r="BUR480" s="1831"/>
      <c r="BUS480" s="1831"/>
      <c r="BUT480" s="1831"/>
      <c r="BUU480" s="1831"/>
      <c r="BUV480" s="1831"/>
      <c r="BUW480" s="1831"/>
      <c r="BUX480" s="1831"/>
      <c r="BUY480" s="1831"/>
      <c r="BUZ480" s="1831"/>
      <c r="BVA480" s="1831"/>
      <c r="BVB480" s="1831"/>
      <c r="BVC480" s="1831"/>
      <c r="BVD480" s="1831"/>
      <c r="BVE480" s="1831"/>
      <c r="BVF480" s="1831"/>
      <c r="BVG480" s="1831"/>
      <c r="BVH480" s="1831"/>
      <c r="BVI480" s="1831"/>
      <c r="BVJ480" s="1831"/>
      <c r="BVK480" s="1831"/>
      <c r="BVL480" s="1831"/>
      <c r="BVM480" s="1831"/>
      <c r="BVN480" s="1831"/>
      <c r="BVO480" s="1831"/>
      <c r="BVP480" s="1831"/>
      <c r="BVQ480" s="1831"/>
      <c r="BVR480" s="1831"/>
      <c r="BVS480" s="1831"/>
      <c r="BVT480" s="1831"/>
      <c r="BVU480" s="1831"/>
      <c r="BVV480" s="1831"/>
      <c r="BVW480" s="1831"/>
      <c r="BVX480" s="1831"/>
      <c r="BVY480" s="1831"/>
      <c r="BVZ480" s="1831"/>
      <c r="BWA480" s="1831"/>
      <c r="BWB480" s="1831"/>
      <c r="BWC480" s="1831"/>
      <c r="BWD480" s="1831"/>
      <c r="BWE480" s="1831"/>
      <c r="BWF480" s="1831"/>
      <c r="BWG480" s="1831"/>
      <c r="BWH480" s="1831"/>
      <c r="BWI480" s="1831"/>
      <c r="BWJ480" s="1831"/>
      <c r="BWK480" s="1831"/>
      <c r="BWL480" s="1831"/>
      <c r="BWM480" s="1831"/>
      <c r="BWN480" s="1831"/>
      <c r="BWO480" s="1831"/>
      <c r="BWP480" s="1831"/>
      <c r="BWQ480" s="1831"/>
      <c r="BWR480" s="1831"/>
      <c r="BWS480" s="1831"/>
      <c r="BWT480" s="1831"/>
      <c r="BWU480" s="1831"/>
      <c r="BWV480" s="1831"/>
      <c r="BWW480" s="1831"/>
      <c r="BWX480" s="1831"/>
      <c r="BWY480" s="1831"/>
      <c r="BWZ480" s="1831"/>
      <c r="BXA480" s="1831"/>
      <c r="BXB480" s="1831"/>
      <c r="BXC480" s="1831"/>
      <c r="BXD480" s="1831"/>
      <c r="BXE480" s="1831"/>
      <c r="BXF480" s="1831"/>
      <c r="BXG480" s="1831"/>
      <c r="BXH480" s="1831"/>
      <c r="BXI480" s="1831"/>
      <c r="BXJ480" s="1831"/>
      <c r="BXK480" s="1831"/>
      <c r="BXL480" s="1831"/>
      <c r="BXM480" s="1831"/>
      <c r="BXN480" s="1831"/>
      <c r="BXO480" s="1831"/>
      <c r="BXP480" s="1831"/>
      <c r="BXQ480" s="1831"/>
      <c r="BXR480" s="1831"/>
      <c r="BXS480" s="1831"/>
      <c r="BXT480" s="1831"/>
      <c r="BXU480" s="1831"/>
      <c r="BXV480" s="1831"/>
      <c r="BXW480" s="1831"/>
      <c r="BXX480" s="1831"/>
      <c r="BXY480" s="1831"/>
      <c r="BXZ480" s="1831"/>
      <c r="BYA480" s="1831"/>
      <c r="BYB480" s="1831"/>
      <c r="BYC480" s="1831"/>
      <c r="BYD480" s="1831"/>
      <c r="BYE480" s="1831"/>
      <c r="BYF480" s="1831"/>
      <c r="BYG480" s="1831"/>
      <c r="BYH480" s="1831"/>
      <c r="BYI480" s="1831"/>
      <c r="BYJ480" s="1831"/>
      <c r="BYK480" s="1831"/>
      <c r="BYL480" s="1831"/>
      <c r="BYM480" s="1831"/>
      <c r="BYN480" s="1831"/>
      <c r="BYO480" s="1831"/>
      <c r="BYP480" s="1831"/>
      <c r="BYQ480" s="1831"/>
      <c r="BYR480" s="1831"/>
      <c r="BYS480" s="1831"/>
      <c r="BYT480" s="1831"/>
      <c r="BYU480" s="1831"/>
      <c r="BYV480" s="1831"/>
      <c r="BYW480" s="1831"/>
      <c r="BYX480" s="1831"/>
      <c r="BYY480" s="1831"/>
      <c r="BYZ480" s="1831"/>
      <c r="BZA480" s="1831"/>
      <c r="BZB480" s="1831"/>
      <c r="BZC480" s="1831"/>
      <c r="BZD480" s="1831"/>
      <c r="BZE480" s="1831"/>
      <c r="BZF480" s="1831"/>
      <c r="BZG480" s="1831"/>
      <c r="BZH480" s="1831"/>
      <c r="BZI480" s="1831"/>
      <c r="BZJ480" s="1831"/>
      <c r="BZK480" s="1831"/>
      <c r="BZL480" s="1831"/>
      <c r="BZM480" s="1831"/>
      <c r="BZN480" s="1831"/>
      <c r="BZO480" s="1831"/>
      <c r="BZP480" s="1831"/>
      <c r="BZQ480" s="1831"/>
      <c r="BZR480" s="1831"/>
      <c r="BZS480" s="1831"/>
      <c r="BZT480" s="1831"/>
      <c r="BZU480" s="1831"/>
      <c r="BZV480" s="1831"/>
      <c r="BZW480" s="1831"/>
      <c r="BZX480" s="1831"/>
      <c r="BZY480" s="1831"/>
      <c r="BZZ480" s="1831"/>
      <c r="CAA480" s="1831"/>
      <c r="CAB480" s="1831"/>
      <c r="CAC480" s="1831"/>
      <c r="CAD480" s="1831"/>
      <c r="CAE480" s="1831"/>
      <c r="CAF480" s="1831"/>
      <c r="CAG480" s="1831"/>
      <c r="CAH480" s="1831"/>
      <c r="CAI480" s="1831"/>
      <c r="CAJ480" s="1831"/>
      <c r="CAK480" s="1831"/>
      <c r="CAL480" s="1831"/>
      <c r="CAM480" s="1831"/>
      <c r="CAN480" s="1831"/>
      <c r="CAO480" s="1831"/>
      <c r="CAP480" s="1831"/>
      <c r="CAQ480" s="1831"/>
      <c r="CAR480" s="1831"/>
      <c r="CAS480" s="1831"/>
      <c r="CAT480" s="1831"/>
      <c r="CAU480" s="1831"/>
      <c r="CAV480" s="1831"/>
      <c r="CAW480" s="1831"/>
      <c r="CAX480" s="1831"/>
      <c r="CAY480" s="1831"/>
      <c r="CAZ480" s="1831"/>
      <c r="CBA480" s="1831"/>
      <c r="CBB480" s="1831"/>
      <c r="CBC480" s="1831"/>
      <c r="CBD480" s="1831"/>
      <c r="CBE480" s="1831"/>
      <c r="CBF480" s="1831"/>
      <c r="CBG480" s="1831"/>
      <c r="CBH480" s="1831"/>
      <c r="CBI480" s="1831"/>
      <c r="CBJ480" s="1831"/>
      <c r="CBK480" s="1831"/>
      <c r="CBL480" s="1831"/>
      <c r="CBM480" s="1831"/>
      <c r="CBN480" s="1831"/>
      <c r="CBO480" s="1831"/>
      <c r="CBP480" s="1831"/>
      <c r="CBQ480" s="1831"/>
      <c r="CBR480" s="1831"/>
      <c r="CBS480" s="1831"/>
      <c r="CBT480" s="1831"/>
      <c r="CBU480" s="1831"/>
      <c r="CBV480" s="1831"/>
      <c r="CBW480" s="1831"/>
      <c r="CBX480" s="1831"/>
      <c r="CBY480" s="1831"/>
      <c r="CBZ480" s="1831"/>
      <c r="CCA480" s="1831"/>
      <c r="CCB480" s="1831"/>
      <c r="CCC480" s="1831"/>
      <c r="CCD480" s="1831"/>
      <c r="CCE480" s="1831"/>
      <c r="CCF480" s="1831"/>
      <c r="CCG480" s="1831"/>
      <c r="CCH480" s="1831"/>
      <c r="CCI480" s="1831"/>
      <c r="CCJ480" s="1831"/>
      <c r="CCK480" s="1831"/>
      <c r="CCL480" s="1831"/>
      <c r="CCM480" s="1831"/>
      <c r="CCN480" s="1831"/>
      <c r="CCO480" s="1831"/>
      <c r="CCP480" s="1831"/>
      <c r="CCQ480" s="1831"/>
      <c r="CCR480" s="1831"/>
      <c r="CCS480" s="1831"/>
      <c r="CCT480" s="1831"/>
      <c r="CCU480" s="1831"/>
      <c r="CCV480" s="1831"/>
      <c r="CCW480" s="1831"/>
      <c r="CCX480" s="1831"/>
      <c r="CCY480" s="1831"/>
      <c r="CCZ480" s="1831"/>
      <c r="CDA480" s="1831"/>
      <c r="CDB480" s="1831"/>
      <c r="CDC480" s="1831"/>
      <c r="CDD480" s="1831"/>
      <c r="CDE480" s="1831"/>
      <c r="CDF480" s="1831"/>
      <c r="CDG480" s="1831"/>
      <c r="CDH480" s="1831"/>
      <c r="CDI480" s="1831"/>
      <c r="CDJ480" s="1831"/>
      <c r="CDK480" s="1831"/>
      <c r="CDL480" s="1831"/>
      <c r="CDM480" s="1831"/>
      <c r="CDN480" s="1831"/>
      <c r="CDO480" s="1831"/>
      <c r="CDP480" s="1831"/>
      <c r="CDQ480" s="1831"/>
      <c r="CDR480" s="1831"/>
      <c r="CDS480" s="1831"/>
      <c r="CDT480" s="1831"/>
      <c r="CDU480" s="1831"/>
      <c r="CDV480" s="1831"/>
      <c r="CDW480" s="1831"/>
      <c r="CDX480" s="1831"/>
      <c r="CDY480" s="1831"/>
      <c r="CDZ480" s="1831"/>
      <c r="CEA480" s="1831"/>
      <c r="CEB480" s="1831"/>
      <c r="CEC480" s="1831"/>
      <c r="CED480" s="1831"/>
      <c r="CEE480" s="1831"/>
      <c r="CEF480" s="1831"/>
      <c r="CEG480" s="1831"/>
      <c r="CEH480" s="1831"/>
      <c r="CEI480" s="1831"/>
      <c r="CEJ480" s="1831"/>
      <c r="CEK480" s="1831"/>
      <c r="CEL480" s="1831"/>
      <c r="CEM480" s="1831"/>
      <c r="CEN480" s="1831"/>
      <c r="CEO480" s="1831"/>
      <c r="CEP480" s="1831"/>
      <c r="CEQ480" s="1831"/>
      <c r="CER480" s="1831"/>
      <c r="CES480" s="1831"/>
      <c r="CET480" s="1831"/>
      <c r="CEU480" s="1831"/>
      <c r="CEV480" s="1831"/>
      <c r="CEW480" s="1831"/>
      <c r="CEX480" s="1831"/>
      <c r="CEY480" s="1831"/>
      <c r="CEZ480" s="1831"/>
      <c r="CFA480" s="1831"/>
      <c r="CFB480" s="1831"/>
      <c r="CFC480" s="1831"/>
      <c r="CFD480" s="1831"/>
      <c r="CFE480" s="1831"/>
      <c r="CFF480" s="1831"/>
      <c r="CFG480" s="1831"/>
      <c r="CFH480" s="1831"/>
      <c r="CFI480" s="1831"/>
      <c r="CFJ480" s="1831"/>
      <c r="CFK480" s="1831"/>
      <c r="CFL480" s="1831"/>
      <c r="CFM480" s="1831"/>
      <c r="CFN480" s="1831"/>
      <c r="CFO480" s="1831"/>
      <c r="CFP480" s="1831"/>
      <c r="CFQ480" s="1831"/>
      <c r="CFR480" s="1831"/>
      <c r="CFS480" s="1831"/>
      <c r="CFT480" s="1831"/>
      <c r="CFU480" s="1831"/>
      <c r="CFV480" s="1831"/>
      <c r="CFW480" s="1831"/>
      <c r="CFX480" s="1831"/>
      <c r="CFY480" s="1831"/>
      <c r="CFZ480" s="1831"/>
      <c r="CGA480" s="1831"/>
      <c r="CGB480" s="1831"/>
      <c r="CGC480" s="1831"/>
      <c r="CGD480" s="1831"/>
      <c r="CGE480" s="1831"/>
      <c r="CGF480" s="1831"/>
      <c r="CGG480" s="1831"/>
      <c r="CGH480" s="1831"/>
      <c r="CGI480" s="1831"/>
      <c r="CGJ480" s="1831"/>
      <c r="CGK480" s="1831"/>
      <c r="CGL480" s="1831"/>
      <c r="CGM480" s="1831"/>
      <c r="CGN480" s="1831"/>
      <c r="CGO480" s="1831"/>
      <c r="CGP480" s="1831"/>
      <c r="CGQ480" s="1831"/>
      <c r="CGR480" s="1831"/>
      <c r="CGS480" s="1831"/>
      <c r="CGT480" s="1831"/>
      <c r="CGU480" s="1831"/>
      <c r="CGV480" s="1831"/>
      <c r="CGW480" s="1831"/>
      <c r="CGX480" s="1831"/>
      <c r="CGY480" s="1831"/>
      <c r="CGZ480" s="1831"/>
      <c r="CHA480" s="1831"/>
      <c r="CHB480" s="1831"/>
      <c r="CHC480" s="1831"/>
      <c r="CHD480" s="1831"/>
      <c r="CHE480" s="1831"/>
      <c r="CHF480" s="1831"/>
      <c r="CHG480" s="1831"/>
      <c r="CHH480" s="1831"/>
      <c r="CHI480" s="1831"/>
      <c r="CHJ480" s="1831"/>
      <c r="CHK480" s="1831"/>
      <c r="CHL480" s="1831"/>
      <c r="CHM480" s="1831"/>
      <c r="CHN480" s="1831"/>
      <c r="CHO480" s="1831"/>
      <c r="CHP480" s="1831"/>
      <c r="CHQ480" s="1831"/>
      <c r="CHR480" s="1831"/>
      <c r="CHS480" s="1831"/>
      <c r="CHT480" s="1831"/>
      <c r="CHU480" s="1831"/>
      <c r="CHV480" s="1831"/>
      <c r="CHW480" s="1831"/>
      <c r="CHX480" s="1831"/>
      <c r="CHY480" s="1831"/>
      <c r="CHZ480" s="1831"/>
      <c r="CIA480" s="1831"/>
      <c r="CIB480" s="1831"/>
      <c r="CIC480" s="1831"/>
      <c r="CID480" s="1831"/>
      <c r="CIE480" s="1831"/>
      <c r="CIF480" s="1831"/>
      <c r="CIG480" s="1831"/>
      <c r="CIH480" s="1831"/>
      <c r="CII480" s="1831"/>
      <c r="CIJ480" s="1831"/>
      <c r="CIK480" s="1831"/>
      <c r="CIL480" s="1831"/>
      <c r="CIM480" s="1831"/>
      <c r="CIN480" s="1831"/>
      <c r="CIO480" s="1831"/>
      <c r="CIP480" s="1831"/>
      <c r="CIQ480" s="1831"/>
      <c r="CIR480" s="1831"/>
      <c r="CIS480" s="1831"/>
      <c r="CIT480" s="1831"/>
      <c r="CIU480" s="1831"/>
      <c r="CIV480" s="1831"/>
      <c r="CIW480" s="1831"/>
      <c r="CIX480" s="1831"/>
      <c r="CIY480" s="1831"/>
      <c r="CIZ480" s="1831"/>
      <c r="CJA480" s="1831"/>
      <c r="CJB480" s="1831"/>
      <c r="CJC480" s="1831"/>
      <c r="CJD480" s="1831"/>
      <c r="CJE480" s="1831"/>
      <c r="CJF480" s="1831"/>
      <c r="CJG480" s="1831"/>
      <c r="CJH480" s="1831"/>
      <c r="CJI480" s="1831"/>
      <c r="CJJ480" s="1831"/>
      <c r="CJK480" s="1831"/>
      <c r="CJL480" s="1831"/>
      <c r="CJM480" s="1831"/>
      <c r="CJN480" s="1831"/>
      <c r="CJO480" s="1831"/>
      <c r="CJP480" s="1831"/>
      <c r="CJQ480" s="1831"/>
      <c r="CJR480" s="1831"/>
      <c r="CJS480" s="1831"/>
      <c r="CJT480" s="1831"/>
      <c r="CJU480" s="1831"/>
      <c r="CJV480" s="1831"/>
      <c r="CJW480" s="1831"/>
      <c r="CJX480" s="1831"/>
      <c r="CJY480" s="1831"/>
      <c r="CJZ480" s="1831"/>
      <c r="CKA480" s="1831"/>
      <c r="CKB480" s="1831"/>
      <c r="CKC480" s="1831"/>
      <c r="CKD480" s="1831"/>
      <c r="CKE480" s="1831"/>
      <c r="CKF480" s="1831"/>
      <c r="CKG480" s="1831"/>
      <c r="CKH480" s="1831"/>
      <c r="CKI480" s="1831"/>
      <c r="CKJ480" s="1831"/>
      <c r="CKK480" s="1831"/>
      <c r="CKL480" s="1831"/>
      <c r="CKM480" s="1831"/>
      <c r="CKN480" s="1831"/>
      <c r="CKO480" s="1831"/>
      <c r="CKP480" s="1831"/>
      <c r="CKQ480" s="1831"/>
      <c r="CKR480" s="1831"/>
      <c r="CKS480" s="1831"/>
      <c r="CKT480" s="1831"/>
      <c r="CKU480" s="1831"/>
      <c r="CKV480" s="1831"/>
      <c r="CKW480" s="1831"/>
      <c r="CKX480" s="1831"/>
      <c r="CKY480" s="1831"/>
      <c r="CKZ480" s="1831"/>
      <c r="CLA480" s="1831"/>
      <c r="CLB480" s="1831"/>
      <c r="CLC480" s="1831"/>
      <c r="CLD480" s="1831"/>
      <c r="CLE480" s="1831"/>
      <c r="CLF480" s="1831"/>
      <c r="CLG480" s="1831"/>
      <c r="CLH480" s="1831"/>
      <c r="CLI480" s="1831"/>
      <c r="CLJ480" s="1831"/>
      <c r="CLK480" s="1831"/>
      <c r="CLL480" s="1831"/>
      <c r="CLM480" s="1831"/>
      <c r="CLN480" s="1831"/>
      <c r="CLO480" s="1831"/>
      <c r="CLP480" s="1831"/>
      <c r="CLQ480" s="1831"/>
      <c r="CLR480" s="1831"/>
      <c r="CLS480" s="1831"/>
      <c r="CLT480" s="1831"/>
      <c r="CLU480" s="1831"/>
      <c r="CLV480" s="1831"/>
      <c r="CLW480" s="1831"/>
      <c r="CLX480" s="1831"/>
      <c r="CLY480" s="1831"/>
      <c r="CLZ480" s="1831"/>
      <c r="CMA480" s="1831"/>
      <c r="CMB480" s="1831"/>
      <c r="CMC480" s="1831"/>
      <c r="CMD480" s="1831"/>
      <c r="CME480" s="1831"/>
      <c r="CMF480" s="1831"/>
      <c r="CMG480" s="1831"/>
      <c r="CMH480" s="1831"/>
      <c r="CMI480" s="1831"/>
      <c r="CMJ480" s="1831"/>
      <c r="CMK480" s="1831"/>
      <c r="CML480" s="1831"/>
      <c r="CMM480" s="1831"/>
      <c r="CMN480" s="1831"/>
      <c r="CMO480" s="1831"/>
      <c r="CMP480" s="1831"/>
      <c r="CMQ480" s="1831"/>
      <c r="CMR480" s="1831"/>
      <c r="CMS480" s="1831"/>
      <c r="CMT480" s="1831"/>
      <c r="CMU480" s="1831"/>
      <c r="CMV480" s="1831"/>
      <c r="CMW480" s="1831"/>
      <c r="CMX480" s="1831"/>
      <c r="CMY480" s="1831"/>
      <c r="CMZ480" s="1831"/>
      <c r="CNA480" s="1831"/>
      <c r="CNB480" s="1831"/>
      <c r="CNC480" s="1831"/>
      <c r="CND480" s="1831"/>
      <c r="CNE480" s="1831"/>
      <c r="CNF480" s="1831"/>
      <c r="CNG480" s="1831"/>
      <c r="CNH480" s="1831"/>
      <c r="CNI480" s="1831"/>
      <c r="CNJ480" s="1831"/>
      <c r="CNK480" s="1831"/>
      <c r="CNL480" s="1831"/>
      <c r="CNM480" s="1831"/>
      <c r="CNN480" s="1831"/>
      <c r="CNO480" s="1831"/>
      <c r="CNP480" s="1831"/>
      <c r="CNQ480" s="1831"/>
      <c r="CNR480" s="1831"/>
      <c r="CNS480" s="1831"/>
      <c r="CNT480" s="1831"/>
      <c r="CNU480" s="1831"/>
      <c r="CNV480" s="1831"/>
      <c r="CNW480" s="1831"/>
      <c r="CNX480" s="1831"/>
      <c r="CNY480" s="1831"/>
      <c r="CNZ480" s="1831"/>
      <c r="COA480" s="1831"/>
      <c r="COB480" s="1831"/>
      <c r="COC480" s="1831"/>
      <c r="COD480" s="1831"/>
      <c r="COE480" s="1831"/>
      <c r="COF480" s="1831"/>
      <c r="COG480" s="1831"/>
      <c r="COH480" s="1831"/>
      <c r="COI480" s="1831"/>
      <c r="COJ480" s="1831"/>
      <c r="COK480" s="1831"/>
      <c r="COL480" s="1831"/>
      <c r="COM480" s="1831"/>
      <c r="CON480" s="1831"/>
      <c r="COO480" s="1831"/>
      <c r="COP480" s="1831"/>
      <c r="COQ480" s="1831"/>
      <c r="COR480" s="1831"/>
      <c r="COS480" s="1831"/>
      <c r="COT480" s="1831"/>
      <c r="COU480" s="1831"/>
      <c r="COV480" s="1831"/>
      <c r="COW480" s="1831"/>
      <c r="COX480" s="1831"/>
      <c r="COY480" s="1831"/>
      <c r="COZ480" s="1831"/>
      <c r="CPA480" s="1831"/>
      <c r="CPB480" s="1831"/>
      <c r="CPC480" s="1831"/>
      <c r="CPD480" s="1831"/>
      <c r="CPE480" s="1831"/>
      <c r="CPF480" s="1831"/>
      <c r="CPG480" s="1831"/>
      <c r="CPH480" s="1831"/>
      <c r="CPI480" s="1831"/>
      <c r="CPJ480" s="1831"/>
      <c r="CPK480" s="1831"/>
      <c r="CPL480" s="1831"/>
      <c r="CPM480" s="1831"/>
      <c r="CPN480" s="1831"/>
      <c r="CPO480" s="1831"/>
      <c r="CPP480" s="1831"/>
      <c r="CPQ480" s="1831"/>
      <c r="CPR480" s="1831"/>
      <c r="CPS480" s="1831"/>
      <c r="CPT480" s="1831"/>
      <c r="CPU480" s="1831"/>
      <c r="CPV480" s="1831"/>
      <c r="CPW480" s="1831"/>
      <c r="CPX480" s="1831"/>
      <c r="CPY480" s="1831"/>
      <c r="CPZ480" s="1831"/>
      <c r="CQA480" s="1831"/>
      <c r="CQB480" s="1831"/>
      <c r="CQC480" s="1831"/>
      <c r="CQD480" s="1831"/>
      <c r="CQE480" s="1831"/>
      <c r="CQF480" s="1831"/>
      <c r="CQG480" s="1831"/>
      <c r="CQH480" s="1831"/>
      <c r="CQI480" s="1831"/>
      <c r="CQJ480" s="1831"/>
      <c r="CQK480" s="1831"/>
      <c r="CQL480" s="1831"/>
      <c r="CQM480" s="1831"/>
      <c r="CQN480" s="1831"/>
      <c r="CQO480" s="1831"/>
      <c r="CQP480" s="1831"/>
      <c r="CQQ480" s="1831"/>
      <c r="CQR480" s="1831"/>
      <c r="CQS480" s="1831"/>
      <c r="CQT480" s="1831"/>
      <c r="CQU480" s="1831"/>
      <c r="CQV480" s="1831"/>
      <c r="CQW480" s="1831"/>
      <c r="CQX480" s="1831"/>
      <c r="CQY480" s="1831"/>
      <c r="CQZ480" s="1831"/>
      <c r="CRA480" s="1831"/>
      <c r="CRB480" s="1831"/>
      <c r="CRC480" s="1831"/>
      <c r="CRD480" s="1831"/>
      <c r="CRE480" s="1831"/>
      <c r="CRF480" s="1831"/>
      <c r="CRG480" s="1831"/>
      <c r="CRH480" s="1831"/>
      <c r="CRI480" s="1831"/>
      <c r="CRJ480" s="1831"/>
      <c r="CRK480" s="1831"/>
      <c r="CRL480" s="1831"/>
      <c r="CRM480" s="1831"/>
      <c r="CRN480" s="1831"/>
      <c r="CRO480" s="1831"/>
      <c r="CRP480" s="1831"/>
      <c r="CRQ480" s="1831"/>
      <c r="CRR480" s="1831"/>
      <c r="CRS480" s="1831"/>
      <c r="CRT480" s="1831"/>
      <c r="CRU480" s="1831"/>
      <c r="CRV480" s="1831"/>
      <c r="CRW480" s="1831"/>
      <c r="CRX480" s="1831"/>
      <c r="CRY480" s="1831"/>
      <c r="CRZ480" s="1831"/>
      <c r="CSA480" s="1831"/>
      <c r="CSB480" s="1831"/>
      <c r="CSC480" s="1831"/>
      <c r="CSD480" s="1831"/>
      <c r="CSE480" s="1831"/>
      <c r="CSF480" s="1831"/>
      <c r="CSG480" s="1831"/>
      <c r="CSH480" s="1831"/>
      <c r="CSI480" s="1831"/>
      <c r="CSJ480" s="1831"/>
      <c r="CSK480" s="1831"/>
      <c r="CSL480" s="1831"/>
      <c r="CSM480" s="1831"/>
      <c r="CSN480" s="1831"/>
      <c r="CSO480" s="1831"/>
      <c r="CSP480" s="1831"/>
      <c r="CSQ480" s="1831"/>
      <c r="CSR480" s="1831"/>
      <c r="CSS480" s="1831"/>
      <c r="CST480" s="1831"/>
      <c r="CSU480" s="1831"/>
      <c r="CSV480" s="1831"/>
      <c r="CSW480" s="1831"/>
      <c r="CSX480" s="1831"/>
      <c r="CSY480" s="1831"/>
      <c r="CSZ480" s="1831"/>
      <c r="CTA480" s="1831"/>
      <c r="CTB480" s="1831"/>
      <c r="CTC480" s="1831"/>
      <c r="CTD480" s="1831"/>
      <c r="CTE480" s="1831"/>
      <c r="CTF480" s="1831"/>
      <c r="CTG480" s="1831"/>
      <c r="CTH480" s="1831"/>
      <c r="CTI480" s="1831"/>
      <c r="CTJ480" s="1831"/>
      <c r="CTK480" s="1831"/>
      <c r="CTL480" s="1831"/>
      <c r="CTM480" s="1831"/>
      <c r="CTN480" s="1831"/>
      <c r="CTO480" s="1831"/>
      <c r="CTP480" s="1831"/>
      <c r="CTQ480" s="1831"/>
      <c r="CTR480" s="1831"/>
      <c r="CTS480" s="1831"/>
      <c r="CTT480" s="1831"/>
      <c r="CTU480" s="1831"/>
      <c r="CTV480" s="1831"/>
      <c r="CTW480" s="1831"/>
      <c r="CTX480" s="1831"/>
      <c r="CTY480" s="1831"/>
      <c r="CTZ480" s="1831"/>
      <c r="CUA480" s="1831"/>
      <c r="CUB480" s="1831"/>
      <c r="CUC480" s="1831"/>
      <c r="CUD480" s="1831"/>
      <c r="CUE480" s="1831"/>
      <c r="CUF480" s="1831"/>
      <c r="CUG480" s="1831"/>
      <c r="CUH480" s="1831"/>
      <c r="CUI480" s="1831"/>
      <c r="CUJ480" s="1831"/>
      <c r="CUK480" s="1831"/>
      <c r="CUL480" s="1831"/>
      <c r="CUM480" s="1831"/>
      <c r="CUN480" s="1831"/>
      <c r="CUO480" s="1831"/>
      <c r="CUP480" s="1831"/>
      <c r="CUQ480" s="1831"/>
      <c r="CUR480" s="1831"/>
      <c r="CUS480" s="1831"/>
      <c r="CUT480" s="1831"/>
      <c r="CUU480" s="1831"/>
      <c r="CUV480" s="1831"/>
      <c r="CUW480" s="1831"/>
      <c r="CUX480" s="1831"/>
      <c r="CUY480" s="1831"/>
      <c r="CUZ480" s="1831"/>
      <c r="CVA480" s="1831"/>
      <c r="CVB480" s="1831"/>
      <c r="CVC480" s="1831"/>
      <c r="CVD480" s="1831"/>
      <c r="CVE480" s="1831"/>
      <c r="CVF480" s="1831"/>
      <c r="CVG480" s="1831"/>
      <c r="CVH480" s="1831"/>
      <c r="CVI480" s="1831"/>
      <c r="CVJ480" s="1831"/>
      <c r="CVK480" s="1831"/>
      <c r="CVL480" s="1831"/>
      <c r="CVM480" s="1831"/>
      <c r="CVN480" s="1831"/>
      <c r="CVO480" s="1831"/>
      <c r="CVP480" s="1831"/>
      <c r="CVQ480" s="1831"/>
      <c r="CVR480" s="1831"/>
      <c r="CVS480" s="1831"/>
      <c r="CVT480" s="1831"/>
      <c r="CVU480" s="1831"/>
      <c r="CVV480" s="1831"/>
      <c r="CVW480" s="1831"/>
      <c r="CVX480" s="1831"/>
      <c r="CVY480" s="1831"/>
      <c r="CVZ480" s="1831"/>
      <c r="CWA480" s="1831"/>
      <c r="CWB480" s="1831"/>
      <c r="CWC480" s="1831"/>
      <c r="CWD480" s="1831"/>
      <c r="CWE480" s="1831"/>
      <c r="CWF480" s="1831"/>
      <c r="CWG480" s="1831"/>
      <c r="CWH480" s="1831"/>
      <c r="CWI480" s="1831"/>
      <c r="CWJ480" s="1831"/>
      <c r="CWK480" s="1831"/>
      <c r="CWL480" s="1831"/>
      <c r="CWM480" s="1831"/>
      <c r="CWN480" s="1831"/>
      <c r="CWO480" s="1831"/>
      <c r="CWP480" s="1831"/>
      <c r="CWQ480" s="1831"/>
      <c r="CWR480" s="1831"/>
      <c r="CWS480" s="1831"/>
      <c r="CWT480" s="1831"/>
      <c r="CWU480" s="1831"/>
      <c r="CWV480" s="1831"/>
      <c r="CWW480" s="1831"/>
      <c r="CWX480" s="1831"/>
      <c r="CWY480" s="1831"/>
      <c r="CWZ480" s="1831"/>
      <c r="CXA480" s="1831"/>
      <c r="CXB480" s="1831"/>
      <c r="CXC480" s="1831"/>
      <c r="CXD480" s="1831"/>
      <c r="CXE480" s="1831"/>
      <c r="CXF480" s="1831"/>
      <c r="CXG480" s="1831"/>
      <c r="CXH480" s="1831"/>
      <c r="CXI480" s="1831"/>
      <c r="CXJ480" s="1831"/>
      <c r="CXK480" s="1831"/>
      <c r="CXL480" s="1831"/>
      <c r="CXM480" s="1831"/>
      <c r="CXN480" s="1831"/>
      <c r="CXO480" s="1831"/>
      <c r="CXP480" s="1831"/>
      <c r="CXQ480" s="1831"/>
      <c r="CXR480" s="1831"/>
      <c r="CXS480" s="1831"/>
      <c r="CXT480" s="1831"/>
      <c r="CXU480" s="1831"/>
      <c r="CXV480" s="1831"/>
      <c r="CXW480" s="1831"/>
      <c r="CXX480" s="1831"/>
      <c r="CXY480" s="1831"/>
      <c r="CXZ480" s="1831"/>
      <c r="CYA480" s="1831"/>
      <c r="CYB480" s="1831"/>
      <c r="CYC480" s="1831"/>
      <c r="CYD480" s="1831"/>
      <c r="CYE480" s="1831"/>
      <c r="CYF480" s="1831"/>
      <c r="CYG480" s="1831"/>
      <c r="CYH480" s="1831"/>
      <c r="CYI480" s="1831"/>
      <c r="CYJ480" s="1831"/>
      <c r="CYK480" s="1831"/>
      <c r="CYL480" s="1831"/>
      <c r="CYM480" s="1831"/>
      <c r="CYN480" s="1831"/>
      <c r="CYO480" s="1831"/>
      <c r="CYP480" s="1831"/>
      <c r="CYQ480" s="1831"/>
      <c r="CYR480" s="1831"/>
      <c r="CYS480" s="1831"/>
      <c r="CYT480" s="1831"/>
      <c r="CYU480" s="1831"/>
      <c r="CYV480" s="1831"/>
      <c r="CYW480" s="1831"/>
      <c r="CYX480" s="1831"/>
      <c r="CYY480" s="1831"/>
      <c r="CYZ480" s="1831"/>
      <c r="CZA480" s="1831"/>
      <c r="CZB480" s="1831"/>
      <c r="CZC480" s="1831"/>
      <c r="CZD480" s="1831"/>
      <c r="CZE480" s="1831"/>
      <c r="CZF480" s="1831"/>
      <c r="CZG480" s="1831"/>
      <c r="CZH480" s="1831"/>
      <c r="CZI480" s="1831"/>
      <c r="CZJ480" s="1831"/>
      <c r="CZK480" s="1831"/>
      <c r="CZL480" s="1831"/>
      <c r="CZM480" s="1831"/>
      <c r="CZN480" s="1831"/>
      <c r="CZO480" s="1831"/>
      <c r="CZP480" s="1831"/>
      <c r="CZQ480" s="1831"/>
      <c r="CZR480" s="1831"/>
      <c r="CZS480" s="1831"/>
      <c r="CZT480" s="1831"/>
      <c r="CZU480" s="1831"/>
      <c r="CZV480" s="1831"/>
      <c r="CZW480" s="1831"/>
      <c r="CZX480" s="1831"/>
      <c r="CZY480" s="1831"/>
      <c r="CZZ480" s="1831"/>
      <c r="DAA480" s="1831"/>
      <c r="DAB480" s="1831"/>
      <c r="DAC480" s="1831"/>
      <c r="DAD480" s="1831"/>
      <c r="DAE480" s="1831"/>
      <c r="DAF480" s="1831"/>
      <c r="DAG480" s="1831"/>
      <c r="DAH480" s="1831"/>
      <c r="DAI480" s="1831"/>
      <c r="DAJ480" s="1831"/>
      <c r="DAK480" s="1831"/>
      <c r="DAL480" s="1831"/>
      <c r="DAM480" s="1831"/>
      <c r="DAN480" s="1831"/>
      <c r="DAO480" s="1831"/>
      <c r="DAP480" s="1831"/>
      <c r="DAQ480" s="1831"/>
      <c r="DAR480" s="1831"/>
      <c r="DAS480" s="1831"/>
      <c r="DAT480" s="1831"/>
      <c r="DAU480" s="1831"/>
      <c r="DAV480" s="1831"/>
      <c r="DAW480" s="1831"/>
      <c r="DAX480" s="1831"/>
      <c r="DAY480" s="1831"/>
      <c r="DAZ480" s="1831"/>
      <c r="DBA480" s="1831"/>
      <c r="DBB480" s="1831"/>
      <c r="DBC480" s="1831"/>
      <c r="DBD480" s="1831"/>
      <c r="DBE480" s="1831"/>
      <c r="DBF480" s="1831"/>
      <c r="DBG480" s="1831"/>
      <c r="DBH480" s="1831"/>
      <c r="DBI480" s="1831"/>
      <c r="DBJ480" s="1831"/>
      <c r="DBK480" s="1831"/>
      <c r="DBL480" s="1831"/>
      <c r="DBM480" s="1831"/>
      <c r="DBN480" s="1831"/>
      <c r="DBO480" s="1831"/>
      <c r="DBP480" s="1831"/>
      <c r="DBQ480" s="1831"/>
      <c r="DBR480" s="1831"/>
      <c r="DBS480" s="1831"/>
      <c r="DBT480" s="1831"/>
      <c r="DBU480" s="1831"/>
      <c r="DBV480" s="1831"/>
      <c r="DBW480" s="1831"/>
      <c r="DBX480" s="1831"/>
      <c r="DBY480" s="1831"/>
      <c r="DBZ480" s="1831"/>
      <c r="DCA480" s="1831"/>
      <c r="DCB480" s="1831"/>
      <c r="DCC480" s="1831"/>
      <c r="DCD480" s="1831"/>
      <c r="DCE480" s="1831"/>
      <c r="DCF480" s="1831"/>
      <c r="DCG480" s="1831"/>
      <c r="DCH480" s="1831"/>
      <c r="DCI480" s="1831"/>
      <c r="DCJ480" s="1831"/>
      <c r="DCK480" s="1831"/>
      <c r="DCL480" s="1831"/>
      <c r="DCM480" s="1831"/>
      <c r="DCN480" s="1831"/>
      <c r="DCO480" s="1831"/>
      <c r="DCP480" s="1831"/>
      <c r="DCQ480" s="1831"/>
      <c r="DCR480" s="1831"/>
      <c r="DCS480" s="1831"/>
      <c r="DCT480" s="1831"/>
      <c r="DCU480" s="1831"/>
      <c r="DCV480" s="1831"/>
      <c r="DCW480" s="1831"/>
      <c r="DCX480" s="1831"/>
      <c r="DCY480" s="1831"/>
      <c r="DCZ480" s="1831"/>
      <c r="DDA480" s="1831"/>
      <c r="DDB480" s="1831"/>
      <c r="DDC480" s="1831"/>
      <c r="DDD480" s="1831"/>
      <c r="DDE480" s="1831"/>
      <c r="DDF480" s="1831"/>
      <c r="DDG480" s="1831"/>
      <c r="DDH480" s="1831"/>
      <c r="DDI480" s="1831"/>
      <c r="DDJ480" s="1831"/>
      <c r="DDK480" s="1831"/>
      <c r="DDL480" s="1831"/>
      <c r="DDM480" s="1831"/>
      <c r="DDN480" s="1831"/>
      <c r="DDO480" s="1831"/>
      <c r="DDP480" s="1831"/>
      <c r="DDQ480" s="1831"/>
      <c r="DDR480" s="1831"/>
      <c r="DDS480" s="1831"/>
      <c r="DDT480" s="1831"/>
      <c r="DDU480" s="1831"/>
      <c r="DDV480" s="1831"/>
      <c r="DDW480" s="1831"/>
      <c r="DDX480" s="1831"/>
      <c r="DDY480" s="1831"/>
      <c r="DDZ480" s="1831"/>
      <c r="DEA480" s="1831"/>
      <c r="DEB480" s="1831"/>
      <c r="DEC480" s="1831"/>
      <c r="DED480" s="1831"/>
      <c r="DEE480" s="1831"/>
      <c r="DEF480" s="1831"/>
      <c r="DEG480" s="1831"/>
      <c r="DEH480" s="1831"/>
      <c r="DEI480" s="1831"/>
      <c r="DEJ480" s="1831"/>
      <c r="DEK480" s="1831"/>
      <c r="DEL480" s="1831"/>
      <c r="DEM480" s="1831"/>
      <c r="DEN480" s="1831"/>
      <c r="DEO480" s="1831"/>
      <c r="DEP480" s="1831"/>
      <c r="DEQ480" s="1831"/>
      <c r="DER480" s="1831"/>
      <c r="DES480" s="1831"/>
      <c r="DET480" s="1831"/>
      <c r="DEU480" s="1831"/>
      <c r="DEV480" s="1831"/>
      <c r="DEW480" s="1831"/>
      <c r="DEX480" s="1831"/>
      <c r="DEY480" s="1831"/>
      <c r="DEZ480" s="1831"/>
      <c r="DFA480" s="1831"/>
      <c r="DFB480" s="1831"/>
      <c r="DFC480" s="1831"/>
      <c r="DFD480" s="1831"/>
      <c r="DFE480" s="1831"/>
      <c r="DFF480" s="1831"/>
      <c r="DFG480" s="1831"/>
      <c r="DFH480" s="1831"/>
      <c r="DFI480" s="1831"/>
      <c r="DFJ480" s="1831"/>
      <c r="DFK480" s="1831"/>
      <c r="DFL480" s="1831"/>
      <c r="DFM480" s="1831"/>
      <c r="DFN480" s="1831"/>
      <c r="DFO480" s="1831"/>
      <c r="DFP480" s="1831"/>
      <c r="DFQ480" s="1831"/>
      <c r="DFR480" s="1831"/>
      <c r="DFS480" s="1831"/>
      <c r="DFT480" s="1831"/>
      <c r="DFU480" s="1831"/>
      <c r="DFV480" s="1831"/>
      <c r="DFW480" s="1831"/>
      <c r="DFX480" s="1831"/>
      <c r="DFY480" s="1831"/>
      <c r="DFZ480" s="1831"/>
      <c r="DGA480" s="1831"/>
      <c r="DGB480" s="1831"/>
      <c r="DGC480" s="1831"/>
      <c r="DGD480" s="1831"/>
      <c r="DGE480" s="1831"/>
      <c r="DGF480" s="1831"/>
      <c r="DGG480" s="1831"/>
      <c r="DGH480" s="1831"/>
      <c r="DGI480" s="1831"/>
      <c r="DGJ480" s="1831"/>
      <c r="DGK480" s="1831"/>
      <c r="DGL480" s="1831"/>
      <c r="DGM480" s="1831"/>
      <c r="DGN480" s="1831"/>
      <c r="DGO480" s="1831"/>
      <c r="DGP480" s="1831"/>
      <c r="DGQ480" s="1831"/>
      <c r="DGR480" s="1831"/>
      <c r="DGS480" s="1831"/>
      <c r="DGT480" s="1831"/>
      <c r="DGU480" s="1831"/>
      <c r="DGV480" s="1831"/>
      <c r="DGW480" s="1831"/>
      <c r="DGX480" s="1831"/>
      <c r="DGY480" s="1831"/>
      <c r="DGZ480" s="1831"/>
      <c r="DHA480" s="1831"/>
      <c r="DHB480" s="1831"/>
      <c r="DHC480" s="1831"/>
      <c r="DHD480" s="1831"/>
      <c r="DHE480" s="1831"/>
      <c r="DHF480" s="1831"/>
      <c r="DHG480" s="1831"/>
      <c r="DHH480" s="1831"/>
      <c r="DHI480" s="1831"/>
      <c r="DHJ480" s="1831"/>
      <c r="DHK480" s="1831"/>
      <c r="DHL480" s="1831"/>
      <c r="DHM480" s="1831"/>
      <c r="DHN480" s="1831"/>
      <c r="DHO480" s="1831"/>
      <c r="DHP480" s="1831"/>
      <c r="DHQ480" s="1831"/>
      <c r="DHR480" s="1831"/>
      <c r="DHS480" s="1831"/>
      <c r="DHT480" s="1831"/>
      <c r="DHU480" s="1831"/>
      <c r="DHV480" s="1831"/>
      <c r="DHW480" s="1831"/>
      <c r="DHX480" s="1831"/>
      <c r="DHY480" s="1831"/>
      <c r="DHZ480" s="1831"/>
      <c r="DIA480" s="1831"/>
      <c r="DIB480" s="1831"/>
      <c r="DIC480" s="1831"/>
      <c r="DID480" s="1831"/>
      <c r="DIE480" s="1831"/>
      <c r="DIF480" s="1831"/>
      <c r="DIG480" s="1831"/>
      <c r="DIH480" s="1831"/>
      <c r="DII480" s="1831"/>
      <c r="DIJ480" s="1831"/>
      <c r="DIK480" s="1831"/>
      <c r="DIL480" s="1831"/>
      <c r="DIM480" s="1831"/>
      <c r="DIN480" s="1831"/>
      <c r="DIO480" s="1831"/>
      <c r="DIP480" s="1831"/>
      <c r="DIQ480" s="1831"/>
      <c r="DIR480" s="1831"/>
      <c r="DIS480" s="1831"/>
      <c r="DIT480" s="1831"/>
      <c r="DIU480" s="1831"/>
      <c r="DIV480" s="1831"/>
      <c r="DIW480" s="1831"/>
      <c r="DIX480" s="1831"/>
      <c r="DIY480" s="1831"/>
      <c r="DIZ480" s="1831"/>
      <c r="DJA480" s="1831"/>
      <c r="DJB480" s="1831"/>
      <c r="DJC480" s="1831"/>
      <c r="DJD480" s="1831"/>
      <c r="DJE480" s="1831"/>
      <c r="DJF480" s="1831"/>
      <c r="DJG480" s="1831"/>
      <c r="DJH480" s="1831"/>
      <c r="DJI480" s="1831"/>
      <c r="DJJ480" s="1831"/>
      <c r="DJK480" s="1831"/>
      <c r="DJL480" s="1831"/>
      <c r="DJM480" s="1831"/>
      <c r="DJN480" s="1831"/>
      <c r="DJO480" s="1831"/>
      <c r="DJP480" s="1831"/>
      <c r="DJQ480" s="1831"/>
      <c r="DJR480" s="1831"/>
      <c r="DJS480" s="1831"/>
      <c r="DJT480" s="1831"/>
      <c r="DJU480" s="1831"/>
      <c r="DJV480" s="1831"/>
      <c r="DJW480" s="1831"/>
      <c r="DJX480" s="1831"/>
      <c r="DJY480" s="1831"/>
      <c r="DJZ480" s="1831"/>
      <c r="DKA480" s="1831"/>
      <c r="DKB480" s="1831"/>
      <c r="DKC480" s="1831"/>
      <c r="DKD480" s="1831"/>
      <c r="DKE480" s="1831"/>
      <c r="DKF480" s="1831"/>
      <c r="DKG480" s="1831"/>
      <c r="DKH480" s="1831"/>
      <c r="DKI480" s="1831"/>
      <c r="DKJ480" s="1831"/>
      <c r="DKK480" s="1831"/>
      <c r="DKL480" s="1831"/>
      <c r="DKM480" s="1831"/>
      <c r="DKN480" s="1831"/>
      <c r="DKO480" s="1831"/>
      <c r="DKP480" s="1831"/>
      <c r="DKQ480" s="1831"/>
      <c r="DKR480" s="1831"/>
      <c r="DKS480" s="1831"/>
      <c r="DKT480" s="1831"/>
      <c r="DKU480" s="1831"/>
      <c r="DKV480" s="1831"/>
      <c r="DKW480" s="1831"/>
      <c r="DKX480" s="1831"/>
      <c r="DKY480" s="1831"/>
      <c r="DKZ480" s="1831"/>
      <c r="DLA480" s="1831"/>
      <c r="DLB480" s="1831"/>
      <c r="DLC480" s="1831"/>
      <c r="DLD480" s="1831"/>
      <c r="DLE480" s="1831"/>
      <c r="DLF480" s="1831"/>
      <c r="DLG480" s="1831"/>
      <c r="DLH480" s="1831"/>
      <c r="DLI480" s="1831"/>
      <c r="DLJ480" s="1831"/>
      <c r="DLK480" s="1831"/>
      <c r="DLL480" s="1831"/>
      <c r="DLM480" s="1831"/>
      <c r="DLN480" s="1831"/>
      <c r="DLO480" s="1831"/>
      <c r="DLP480" s="1831"/>
      <c r="DLQ480" s="1831"/>
      <c r="DLR480" s="1831"/>
      <c r="DLS480" s="1831"/>
      <c r="DLT480" s="1831"/>
      <c r="DLU480" s="1831"/>
      <c r="DLV480" s="1831"/>
      <c r="DLW480" s="1831"/>
      <c r="DLX480" s="1831"/>
      <c r="DLY480" s="1831"/>
      <c r="DLZ480" s="1831"/>
      <c r="DMA480" s="1831"/>
      <c r="DMB480" s="1831"/>
      <c r="DMC480" s="1831"/>
      <c r="DMD480" s="1831"/>
      <c r="DME480" s="1831"/>
      <c r="DMF480" s="1831"/>
      <c r="DMG480" s="1831"/>
      <c r="DMH480" s="1831"/>
      <c r="DMI480" s="1831"/>
      <c r="DMJ480" s="1831"/>
      <c r="DMK480" s="1831"/>
      <c r="DML480" s="1831"/>
      <c r="DMM480" s="1831"/>
      <c r="DMN480" s="1831"/>
      <c r="DMO480" s="1831"/>
      <c r="DMP480" s="1831"/>
      <c r="DMQ480" s="1831"/>
      <c r="DMR480" s="1831"/>
      <c r="DMS480" s="1831"/>
      <c r="DMT480" s="1831"/>
      <c r="DMU480" s="1831"/>
      <c r="DMV480" s="1831"/>
      <c r="DMW480" s="1831"/>
      <c r="DMX480" s="1831"/>
      <c r="DMY480" s="1831"/>
      <c r="DMZ480" s="1831"/>
      <c r="DNA480" s="1831"/>
      <c r="DNB480" s="1831"/>
      <c r="DNC480" s="1831"/>
      <c r="DND480" s="1831"/>
      <c r="DNE480" s="1831"/>
      <c r="DNF480" s="1831"/>
      <c r="DNG480" s="1831"/>
      <c r="DNH480" s="1831"/>
      <c r="DNI480" s="1831"/>
      <c r="DNJ480" s="1831"/>
      <c r="DNK480" s="1831"/>
      <c r="DNL480" s="1831"/>
      <c r="DNM480" s="1831"/>
      <c r="DNN480" s="1831"/>
      <c r="DNO480" s="1831"/>
      <c r="DNP480" s="1831"/>
      <c r="DNQ480" s="1831"/>
      <c r="DNR480" s="1831"/>
      <c r="DNS480" s="1831"/>
      <c r="DNT480" s="1831"/>
      <c r="DNU480" s="1831"/>
      <c r="DNV480" s="1831"/>
      <c r="DNW480" s="1831"/>
      <c r="DNX480" s="1831"/>
      <c r="DNY480" s="1831"/>
      <c r="DNZ480" s="1831"/>
      <c r="DOA480" s="1831"/>
      <c r="DOB480" s="1831"/>
      <c r="DOC480" s="1831"/>
      <c r="DOD480" s="1831"/>
      <c r="DOE480" s="1831"/>
      <c r="DOF480" s="1831"/>
      <c r="DOG480" s="1831"/>
      <c r="DOH480" s="1831"/>
      <c r="DOI480" s="1831"/>
      <c r="DOJ480" s="1831"/>
      <c r="DOK480" s="1831"/>
      <c r="DOL480" s="1831"/>
      <c r="DOM480" s="1831"/>
      <c r="DON480" s="1831"/>
      <c r="DOO480" s="1831"/>
      <c r="DOP480" s="1831"/>
      <c r="DOQ480" s="1831"/>
      <c r="DOR480" s="1831"/>
      <c r="DOS480" s="1831"/>
      <c r="DOT480" s="1831"/>
      <c r="DOU480" s="1831"/>
      <c r="DOV480" s="1831"/>
      <c r="DOW480" s="1831"/>
      <c r="DOX480" s="1831"/>
      <c r="DOY480" s="1831"/>
      <c r="DOZ480" s="1831"/>
      <c r="DPA480" s="1831"/>
      <c r="DPB480" s="1831"/>
      <c r="DPC480" s="1831"/>
      <c r="DPD480" s="1831"/>
      <c r="DPE480" s="1831"/>
      <c r="DPF480" s="1831"/>
      <c r="DPG480" s="1831"/>
      <c r="DPH480" s="1831"/>
      <c r="DPI480" s="1831"/>
      <c r="DPJ480" s="1831"/>
      <c r="DPK480" s="1831"/>
      <c r="DPL480" s="1831"/>
      <c r="DPM480" s="1831"/>
      <c r="DPN480" s="1831"/>
      <c r="DPO480" s="1831"/>
      <c r="DPP480" s="1831"/>
      <c r="DPQ480" s="1831"/>
      <c r="DPR480" s="1831"/>
      <c r="DPS480" s="1831"/>
      <c r="DPT480" s="1831"/>
      <c r="DPU480" s="1831"/>
      <c r="DPV480" s="1831"/>
      <c r="DPW480" s="1831"/>
      <c r="DPX480" s="1831"/>
      <c r="DPY480" s="1831"/>
      <c r="DPZ480" s="1831"/>
      <c r="DQA480" s="1831"/>
      <c r="DQB480" s="1831"/>
      <c r="DQC480" s="1831"/>
      <c r="DQD480" s="1831"/>
      <c r="DQE480" s="1831"/>
      <c r="DQF480" s="1831"/>
      <c r="DQG480" s="1831"/>
      <c r="DQH480" s="1831"/>
      <c r="DQI480" s="1831"/>
      <c r="DQJ480" s="1831"/>
      <c r="DQK480" s="1831"/>
      <c r="DQL480" s="1831"/>
      <c r="DQM480" s="1831"/>
      <c r="DQN480" s="1831"/>
      <c r="DQO480" s="1831"/>
      <c r="DQP480" s="1831"/>
      <c r="DQQ480" s="1831"/>
      <c r="DQR480" s="1831"/>
      <c r="DQS480" s="1831"/>
      <c r="DQT480" s="1831"/>
      <c r="DQU480" s="1831"/>
      <c r="DQV480" s="1831"/>
      <c r="DQW480" s="1831"/>
      <c r="DQX480" s="1831"/>
      <c r="DQY480" s="1831"/>
      <c r="DQZ480" s="1831"/>
      <c r="DRA480" s="1831"/>
      <c r="DRB480" s="1831"/>
      <c r="DRC480" s="1831"/>
      <c r="DRD480" s="1831"/>
      <c r="DRE480" s="1831"/>
      <c r="DRF480" s="1831"/>
      <c r="DRG480" s="1831"/>
      <c r="DRH480" s="1831"/>
      <c r="DRI480" s="1831"/>
      <c r="DRJ480" s="1831"/>
      <c r="DRK480" s="1831"/>
      <c r="DRL480" s="1831"/>
      <c r="DRM480" s="1831"/>
      <c r="DRN480" s="1831"/>
      <c r="DRO480" s="1831"/>
      <c r="DRP480" s="1831"/>
      <c r="DRQ480" s="1831"/>
      <c r="DRR480" s="1831"/>
      <c r="DRS480" s="1831"/>
      <c r="DRT480" s="1831"/>
      <c r="DRU480" s="1831"/>
      <c r="DRV480" s="1831"/>
      <c r="DRW480" s="1831"/>
      <c r="DRX480" s="1831"/>
      <c r="DRY480" s="1831"/>
      <c r="DRZ480" s="1831"/>
      <c r="DSA480" s="1831"/>
      <c r="DSB480" s="1831"/>
      <c r="DSC480" s="1831"/>
      <c r="DSD480" s="1831"/>
      <c r="DSE480" s="1831"/>
      <c r="DSF480" s="1831"/>
      <c r="DSG480" s="1831"/>
      <c r="DSH480" s="1831"/>
      <c r="DSI480" s="1831"/>
      <c r="DSJ480" s="1831"/>
      <c r="DSK480" s="1831"/>
      <c r="DSL480" s="1831"/>
      <c r="DSM480" s="1831"/>
      <c r="DSN480" s="1831"/>
      <c r="DSO480" s="1831"/>
      <c r="DSP480" s="1831"/>
      <c r="DSQ480" s="1831"/>
      <c r="DSR480" s="1831"/>
      <c r="DSS480" s="1831"/>
      <c r="DST480" s="1831"/>
      <c r="DSU480" s="1831"/>
      <c r="DSV480" s="1831"/>
      <c r="DSW480" s="1831"/>
      <c r="DSX480" s="1831"/>
      <c r="DSY480" s="1831"/>
      <c r="DSZ480" s="1831"/>
      <c r="DTA480" s="1831"/>
      <c r="DTB480" s="1831"/>
      <c r="DTC480" s="1831"/>
      <c r="DTD480" s="1831"/>
      <c r="DTE480" s="1831"/>
      <c r="DTF480" s="1831"/>
      <c r="DTG480" s="1831"/>
      <c r="DTH480" s="1831"/>
      <c r="DTI480" s="1831"/>
      <c r="DTJ480" s="1831"/>
      <c r="DTK480" s="1831"/>
      <c r="DTL480" s="1831"/>
      <c r="DTM480" s="1831"/>
      <c r="DTN480" s="1831"/>
      <c r="DTO480" s="1831"/>
      <c r="DTP480" s="1831"/>
      <c r="DTQ480" s="1831"/>
      <c r="DTR480" s="1831"/>
      <c r="DTS480" s="1831"/>
      <c r="DTT480" s="1831"/>
      <c r="DTU480" s="1831"/>
      <c r="DTV480" s="1831"/>
      <c r="DTW480" s="1831"/>
      <c r="DTX480" s="1831"/>
      <c r="DTY480" s="1831"/>
      <c r="DTZ480" s="1831"/>
      <c r="DUA480" s="1831"/>
      <c r="DUB480" s="1831"/>
      <c r="DUC480" s="1831"/>
      <c r="DUD480" s="1831"/>
      <c r="DUE480" s="1831"/>
      <c r="DUF480" s="1831"/>
      <c r="DUG480" s="1831"/>
      <c r="DUH480" s="1831"/>
      <c r="DUI480" s="1831"/>
      <c r="DUJ480" s="1831"/>
      <c r="DUK480" s="1831"/>
      <c r="DUL480" s="1831"/>
      <c r="DUM480" s="1831"/>
      <c r="DUN480" s="1831"/>
      <c r="DUO480" s="1831"/>
      <c r="DUP480" s="1831"/>
      <c r="DUQ480" s="1831"/>
      <c r="DUR480" s="1831"/>
      <c r="DUS480" s="1831"/>
      <c r="DUT480" s="1831"/>
      <c r="DUU480" s="1831"/>
      <c r="DUV480" s="1831"/>
      <c r="DUW480" s="1831"/>
      <c r="DUX480" s="1831"/>
      <c r="DUY480" s="1831"/>
      <c r="DUZ480" s="1831"/>
      <c r="DVA480" s="1831"/>
      <c r="DVB480" s="1831"/>
      <c r="DVC480" s="1831"/>
      <c r="DVD480" s="1831"/>
      <c r="DVE480" s="1831"/>
      <c r="DVF480" s="1831"/>
      <c r="DVG480" s="1831"/>
      <c r="DVH480" s="1831"/>
      <c r="DVI480" s="1831"/>
      <c r="DVJ480" s="1831"/>
      <c r="DVK480" s="1831"/>
      <c r="DVL480" s="1831"/>
      <c r="DVM480" s="1831"/>
      <c r="DVN480" s="1831"/>
      <c r="DVO480" s="1831"/>
      <c r="DVP480" s="1831"/>
      <c r="DVQ480" s="1831"/>
      <c r="DVR480" s="1831"/>
      <c r="DVS480" s="1831"/>
      <c r="DVT480" s="1831"/>
      <c r="DVU480" s="1831"/>
      <c r="DVV480" s="1831"/>
      <c r="DVW480" s="1831"/>
      <c r="DVX480" s="1831"/>
      <c r="DVY480" s="1831"/>
      <c r="DVZ480" s="1831"/>
      <c r="DWA480" s="1831"/>
      <c r="DWB480" s="1831"/>
      <c r="DWC480" s="1831"/>
      <c r="DWD480" s="1831"/>
      <c r="DWE480" s="1831"/>
      <c r="DWF480" s="1831"/>
      <c r="DWG480" s="1831"/>
      <c r="DWH480" s="1831"/>
      <c r="DWI480" s="1831"/>
      <c r="DWJ480" s="1831"/>
      <c r="DWK480" s="1831"/>
      <c r="DWL480" s="1831"/>
      <c r="DWM480" s="1831"/>
      <c r="DWN480" s="1831"/>
      <c r="DWO480" s="1831"/>
      <c r="DWP480" s="1831"/>
      <c r="DWQ480" s="1831"/>
      <c r="DWR480" s="1831"/>
      <c r="DWS480" s="1831"/>
      <c r="DWT480" s="1831"/>
      <c r="DWU480" s="1831"/>
      <c r="DWV480" s="1831"/>
      <c r="DWW480" s="1831"/>
      <c r="DWX480" s="1831"/>
      <c r="DWY480" s="1831"/>
      <c r="DWZ480" s="1831"/>
      <c r="DXA480" s="1831"/>
      <c r="DXB480" s="1831"/>
      <c r="DXC480" s="1831"/>
      <c r="DXD480" s="1831"/>
      <c r="DXE480" s="1831"/>
      <c r="DXF480" s="1831"/>
      <c r="DXG480" s="1831"/>
      <c r="DXH480" s="1831"/>
      <c r="DXI480" s="1831"/>
      <c r="DXJ480" s="1831"/>
      <c r="DXK480" s="1831"/>
      <c r="DXL480" s="1831"/>
      <c r="DXM480" s="1831"/>
      <c r="DXN480" s="1831"/>
      <c r="DXO480" s="1831"/>
      <c r="DXP480" s="1831"/>
      <c r="DXQ480" s="1831"/>
      <c r="DXR480" s="1831"/>
      <c r="DXS480" s="1831"/>
      <c r="DXT480" s="1831"/>
      <c r="DXU480" s="1831"/>
      <c r="DXV480" s="1831"/>
      <c r="DXW480" s="1831"/>
      <c r="DXX480" s="1831"/>
      <c r="DXY480" s="1831"/>
      <c r="DXZ480" s="1831"/>
      <c r="DYA480" s="1831"/>
      <c r="DYB480" s="1831"/>
      <c r="DYC480" s="1831"/>
      <c r="DYD480" s="1831"/>
      <c r="DYE480" s="1831"/>
      <c r="DYF480" s="1831"/>
      <c r="DYG480" s="1831"/>
      <c r="DYH480" s="1831"/>
      <c r="DYI480" s="1831"/>
      <c r="DYJ480" s="1831"/>
      <c r="DYK480" s="1831"/>
      <c r="DYL480" s="1831"/>
      <c r="DYM480" s="1831"/>
      <c r="DYN480" s="1831"/>
      <c r="DYO480" s="1831"/>
      <c r="DYP480" s="1831"/>
      <c r="DYQ480" s="1831"/>
      <c r="DYR480" s="1831"/>
      <c r="DYS480" s="1831"/>
      <c r="DYT480" s="1831"/>
      <c r="DYU480" s="1831"/>
      <c r="DYV480" s="1831"/>
      <c r="DYW480" s="1831"/>
      <c r="DYX480" s="1831"/>
      <c r="DYY480" s="1831"/>
      <c r="DYZ480" s="1831"/>
      <c r="DZA480" s="1831"/>
      <c r="DZB480" s="1831"/>
      <c r="DZC480" s="1831"/>
      <c r="DZD480" s="1831"/>
      <c r="DZE480" s="1831"/>
      <c r="DZF480" s="1831"/>
      <c r="DZG480" s="1831"/>
      <c r="DZH480" s="1831"/>
      <c r="DZI480" s="1831"/>
      <c r="DZJ480" s="1831"/>
      <c r="DZK480" s="1831"/>
      <c r="DZL480" s="1831"/>
      <c r="DZM480" s="1831"/>
      <c r="DZN480" s="1831"/>
      <c r="DZO480" s="1831"/>
      <c r="DZP480" s="1831"/>
      <c r="DZQ480" s="1831"/>
      <c r="DZR480" s="1831"/>
      <c r="DZS480" s="1831"/>
      <c r="DZT480" s="1831"/>
      <c r="DZU480" s="1831"/>
      <c r="DZV480" s="1831"/>
      <c r="DZW480" s="1831"/>
      <c r="DZX480" s="1831"/>
      <c r="DZY480" s="1831"/>
      <c r="DZZ480" s="1831"/>
      <c r="EAA480" s="1831"/>
      <c r="EAB480" s="1831"/>
      <c r="EAC480" s="1831"/>
      <c r="EAD480" s="1831"/>
      <c r="EAE480" s="1831"/>
      <c r="EAF480" s="1831"/>
      <c r="EAG480" s="1831"/>
      <c r="EAH480" s="1831"/>
      <c r="EAI480" s="1831"/>
      <c r="EAJ480" s="1831"/>
      <c r="EAK480" s="1831"/>
      <c r="EAL480" s="1831"/>
      <c r="EAM480" s="1831"/>
      <c r="EAN480" s="1831"/>
      <c r="EAO480" s="1831"/>
      <c r="EAP480" s="1831"/>
      <c r="EAQ480" s="1831"/>
      <c r="EAR480" s="1831"/>
      <c r="EAS480" s="1831"/>
      <c r="EAT480" s="1831"/>
      <c r="EAU480" s="1831"/>
      <c r="EAV480" s="1831"/>
      <c r="EAW480" s="1831"/>
      <c r="EAX480" s="1831"/>
      <c r="EAY480" s="1831"/>
      <c r="EAZ480" s="1831"/>
      <c r="EBA480" s="1831"/>
      <c r="EBB480" s="1831"/>
      <c r="EBC480" s="1831"/>
      <c r="EBD480" s="1831"/>
      <c r="EBE480" s="1831"/>
      <c r="EBF480" s="1831"/>
      <c r="EBG480" s="1831"/>
      <c r="EBH480" s="1831"/>
      <c r="EBI480" s="1831"/>
      <c r="EBJ480" s="1831"/>
      <c r="EBK480" s="1831"/>
      <c r="EBL480" s="1831"/>
      <c r="EBM480" s="1831"/>
      <c r="EBN480" s="1831"/>
      <c r="EBO480" s="1831"/>
      <c r="EBP480" s="1831"/>
      <c r="EBQ480" s="1831"/>
      <c r="EBR480" s="1831"/>
      <c r="EBS480" s="1831"/>
      <c r="EBT480" s="1831"/>
      <c r="EBU480" s="1831"/>
      <c r="EBV480" s="1831"/>
      <c r="EBW480" s="1831"/>
      <c r="EBX480" s="1831"/>
      <c r="EBY480" s="1831"/>
      <c r="EBZ480" s="1831"/>
      <c r="ECA480" s="1831"/>
      <c r="ECB480" s="1831"/>
      <c r="ECC480" s="1831"/>
      <c r="ECD480" s="1831"/>
      <c r="ECE480" s="1831"/>
      <c r="ECF480" s="1831"/>
      <c r="ECG480" s="1831"/>
      <c r="ECH480" s="1831"/>
      <c r="ECI480" s="1831"/>
      <c r="ECJ480" s="1831"/>
      <c r="ECK480" s="1831"/>
      <c r="ECL480" s="1831"/>
      <c r="ECM480" s="1831"/>
      <c r="ECN480" s="1831"/>
      <c r="ECO480" s="1831"/>
      <c r="ECP480" s="1831"/>
      <c r="ECQ480" s="1831"/>
      <c r="ECR480" s="1831"/>
      <c r="ECS480" s="1831"/>
      <c r="ECT480" s="1831"/>
      <c r="ECU480" s="1831"/>
      <c r="ECV480" s="1831"/>
      <c r="ECW480" s="1831"/>
      <c r="ECX480" s="1831"/>
      <c r="ECY480" s="1831"/>
      <c r="ECZ480" s="1831"/>
      <c r="EDA480" s="1831"/>
      <c r="EDB480" s="1831"/>
      <c r="EDC480" s="1831"/>
      <c r="EDD480" s="1831"/>
      <c r="EDE480" s="1831"/>
      <c r="EDF480" s="1831"/>
      <c r="EDG480" s="1831"/>
      <c r="EDH480" s="1831"/>
      <c r="EDI480" s="1831"/>
      <c r="EDJ480" s="1831"/>
      <c r="EDK480" s="1831"/>
      <c r="EDL480" s="1831"/>
      <c r="EDM480" s="1831"/>
      <c r="EDN480" s="1831"/>
      <c r="EDO480" s="1831"/>
      <c r="EDP480" s="1831"/>
      <c r="EDQ480" s="1831"/>
      <c r="EDR480" s="1831"/>
      <c r="EDS480" s="1831"/>
      <c r="EDT480" s="1831"/>
      <c r="EDU480" s="1831"/>
      <c r="EDV480" s="1831"/>
      <c r="EDW480" s="1831"/>
      <c r="EDX480" s="1831"/>
      <c r="EDY480" s="1831"/>
      <c r="EDZ480" s="1831"/>
      <c r="EEA480" s="1831"/>
      <c r="EEB480" s="1831"/>
      <c r="EEC480" s="1831"/>
      <c r="EED480" s="1831"/>
      <c r="EEE480" s="1831"/>
      <c r="EEF480" s="1831"/>
      <c r="EEG480" s="1831"/>
      <c r="EEH480" s="1831"/>
      <c r="EEI480" s="1831"/>
      <c r="EEJ480" s="1831"/>
      <c r="EEK480" s="1831"/>
      <c r="EEL480" s="1831"/>
      <c r="EEM480" s="1831"/>
      <c r="EEN480" s="1831"/>
      <c r="EEO480" s="1831"/>
      <c r="EEP480" s="1831"/>
      <c r="EEQ480" s="1831"/>
      <c r="EER480" s="1831"/>
      <c r="EES480" s="1831"/>
      <c r="EET480" s="1831"/>
      <c r="EEU480" s="1831"/>
      <c r="EEV480" s="1831"/>
      <c r="EEW480" s="1831"/>
      <c r="EEX480" s="1831"/>
      <c r="EEY480" s="1831"/>
      <c r="EEZ480" s="1831"/>
      <c r="EFA480" s="1831"/>
      <c r="EFB480" s="1831"/>
      <c r="EFC480" s="1831"/>
      <c r="EFD480" s="1831"/>
      <c r="EFE480" s="1831"/>
      <c r="EFF480" s="1831"/>
      <c r="EFG480" s="1831"/>
      <c r="EFH480" s="1831"/>
      <c r="EFI480" s="1831"/>
      <c r="EFJ480" s="1831"/>
      <c r="EFK480" s="1831"/>
      <c r="EFL480" s="1831"/>
      <c r="EFM480" s="1831"/>
      <c r="EFN480" s="1831"/>
      <c r="EFO480" s="1831"/>
      <c r="EFP480" s="1831"/>
      <c r="EFQ480" s="1831"/>
      <c r="EFR480" s="1831"/>
      <c r="EFS480" s="1831"/>
      <c r="EFT480" s="1831"/>
      <c r="EFU480" s="1831"/>
      <c r="EFV480" s="1831"/>
      <c r="EFW480" s="1831"/>
      <c r="EFX480" s="1831"/>
      <c r="EFY480" s="1831"/>
      <c r="EFZ480" s="1831"/>
      <c r="EGA480" s="1831"/>
      <c r="EGB480" s="1831"/>
      <c r="EGC480" s="1831"/>
      <c r="EGD480" s="1831"/>
      <c r="EGE480" s="1831"/>
      <c r="EGF480" s="1831"/>
      <c r="EGG480" s="1831"/>
      <c r="EGH480" s="1831"/>
      <c r="EGI480" s="1831"/>
      <c r="EGJ480" s="1831"/>
      <c r="EGK480" s="1831"/>
      <c r="EGL480" s="1831"/>
      <c r="EGM480" s="1831"/>
      <c r="EGN480" s="1831"/>
      <c r="EGO480" s="1831"/>
      <c r="EGP480" s="1831"/>
      <c r="EGQ480" s="1831"/>
      <c r="EGR480" s="1831"/>
      <c r="EGS480" s="1831"/>
      <c r="EGT480" s="1831"/>
      <c r="EGU480" s="1831"/>
      <c r="EGV480" s="1831"/>
      <c r="EGW480" s="1831"/>
      <c r="EGX480" s="1831"/>
      <c r="EGY480" s="1831"/>
      <c r="EGZ480" s="1831"/>
      <c r="EHA480" s="1831"/>
      <c r="EHB480" s="1831"/>
      <c r="EHC480" s="1831"/>
      <c r="EHD480" s="1831"/>
      <c r="EHE480" s="1831"/>
      <c r="EHF480" s="1831"/>
      <c r="EHG480" s="1831"/>
      <c r="EHH480" s="1831"/>
      <c r="EHI480" s="1831"/>
      <c r="EHJ480" s="1831"/>
      <c r="EHK480" s="1831"/>
      <c r="EHL480" s="1831"/>
      <c r="EHM480" s="1831"/>
      <c r="EHN480" s="1831"/>
      <c r="EHO480" s="1831"/>
      <c r="EHP480" s="1831"/>
      <c r="EHQ480" s="1831"/>
      <c r="EHR480" s="1831"/>
      <c r="EHS480" s="1831"/>
      <c r="EHT480" s="1831"/>
      <c r="EHU480" s="1831"/>
      <c r="EHV480" s="1831"/>
      <c r="EHW480" s="1831"/>
      <c r="EHX480" s="1831"/>
      <c r="EHY480" s="1831"/>
      <c r="EHZ480" s="1831"/>
      <c r="EIA480" s="1831"/>
      <c r="EIB480" s="1831"/>
      <c r="EIC480" s="1831"/>
      <c r="EID480" s="1831"/>
      <c r="EIE480" s="1831"/>
      <c r="EIF480" s="1831"/>
      <c r="EIG480" s="1831"/>
      <c r="EIH480" s="1831"/>
      <c r="EII480" s="1831"/>
      <c r="EIJ480" s="1831"/>
      <c r="EIK480" s="1831"/>
      <c r="EIL480" s="1831"/>
      <c r="EIM480" s="1831"/>
      <c r="EIN480" s="1831"/>
      <c r="EIO480" s="1831"/>
      <c r="EIP480" s="1831"/>
      <c r="EIQ480" s="1831"/>
      <c r="EIR480" s="1831"/>
      <c r="EIS480" s="1831"/>
      <c r="EIT480" s="1831"/>
      <c r="EIU480" s="1831"/>
      <c r="EIV480" s="1831"/>
      <c r="EIW480" s="1831"/>
      <c r="EIX480" s="1831"/>
      <c r="EIY480" s="1831"/>
      <c r="EIZ480" s="1831"/>
      <c r="EJA480" s="1831"/>
      <c r="EJB480" s="1831"/>
      <c r="EJC480" s="1831"/>
      <c r="EJD480" s="1831"/>
      <c r="EJE480" s="1831"/>
      <c r="EJF480" s="1831"/>
      <c r="EJG480" s="1831"/>
      <c r="EJH480" s="1831"/>
      <c r="EJI480" s="1831"/>
      <c r="EJJ480" s="1831"/>
      <c r="EJK480" s="1831"/>
      <c r="EJL480" s="1831"/>
      <c r="EJM480" s="1831"/>
      <c r="EJN480" s="1831"/>
      <c r="EJO480" s="1831"/>
      <c r="EJP480" s="1831"/>
      <c r="EJQ480" s="1831"/>
      <c r="EJR480" s="1831"/>
      <c r="EJS480" s="1831"/>
      <c r="EJT480" s="1831"/>
      <c r="EJU480" s="1831"/>
      <c r="EJV480" s="1831"/>
      <c r="EJW480" s="1831"/>
      <c r="EJX480" s="1831"/>
      <c r="EJY480" s="1831"/>
      <c r="EJZ480" s="1831"/>
      <c r="EKA480" s="1831"/>
      <c r="EKB480" s="1831"/>
      <c r="EKC480" s="1831"/>
      <c r="EKD480" s="1831"/>
      <c r="EKE480" s="1831"/>
      <c r="EKF480" s="1831"/>
      <c r="EKG480" s="1831"/>
      <c r="EKH480" s="1831"/>
      <c r="EKI480" s="1831"/>
      <c r="EKJ480" s="1831"/>
      <c r="EKK480" s="1831"/>
      <c r="EKL480" s="1831"/>
      <c r="EKM480" s="1831"/>
      <c r="EKN480" s="1831"/>
      <c r="EKO480" s="1831"/>
      <c r="EKP480" s="1831"/>
      <c r="EKQ480" s="1831"/>
      <c r="EKR480" s="1831"/>
      <c r="EKS480" s="1831"/>
      <c r="EKT480" s="1831"/>
      <c r="EKU480" s="1831"/>
      <c r="EKV480" s="1831"/>
      <c r="EKW480" s="1831"/>
      <c r="EKX480" s="1831"/>
      <c r="EKY480" s="1831"/>
      <c r="EKZ480" s="1831"/>
      <c r="ELA480" s="1831"/>
      <c r="ELB480" s="1831"/>
      <c r="ELC480" s="1831"/>
      <c r="ELD480" s="1831"/>
      <c r="ELE480" s="1831"/>
      <c r="ELF480" s="1831"/>
      <c r="ELG480" s="1831"/>
      <c r="ELH480" s="1831"/>
      <c r="ELI480" s="1831"/>
      <c r="ELJ480" s="1831"/>
      <c r="ELK480" s="1831"/>
      <c r="ELL480" s="1831"/>
      <c r="ELM480" s="1831"/>
      <c r="ELN480" s="1831"/>
      <c r="ELO480" s="1831"/>
      <c r="ELP480" s="1831"/>
      <c r="ELQ480" s="1831"/>
      <c r="ELR480" s="1831"/>
      <c r="ELS480" s="1831"/>
      <c r="ELT480" s="1831"/>
      <c r="ELU480" s="1831"/>
      <c r="ELV480" s="1831"/>
      <c r="ELW480" s="1831"/>
      <c r="ELX480" s="1831"/>
      <c r="ELY480" s="1831"/>
      <c r="ELZ480" s="1831"/>
      <c r="EMA480" s="1831"/>
      <c r="EMB480" s="1831"/>
      <c r="EMC480" s="1831"/>
      <c r="EMD480" s="1831"/>
      <c r="EME480" s="1831"/>
      <c r="EMF480" s="1831"/>
      <c r="EMG480" s="1831"/>
      <c r="EMH480" s="1831"/>
      <c r="EMI480" s="1831"/>
      <c r="EMJ480" s="1831"/>
      <c r="EMK480" s="1831"/>
      <c r="EML480" s="1831"/>
      <c r="EMM480" s="1831"/>
      <c r="EMN480" s="1831"/>
      <c r="EMO480" s="1831"/>
      <c r="EMP480" s="1831"/>
      <c r="EMQ480" s="1831"/>
      <c r="EMR480" s="1831"/>
      <c r="EMS480" s="1831"/>
      <c r="EMT480" s="1831"/>
      <c r="EMU480" s="1831"/>
      <c r="EMV480" s="1831"/>
      <c r="EMW480" s="1831"/>
      <c r="EMX480" s="1831"/>
      <c r="EMY480" s="1831"/>
      <c r="EMZ480" s="1831"/>
      <c r="ENA480" s="1831"/>
      <c r="ENB480" s="1831"/>
      <c r="ENC480" s="1831"/>
      <c r="END480" s="1831"/>
      <c r="ENE480" s="1831"/>
      <c r="ENF480" s="1831"/>
      <c r="ENG480" s="1831"/>
      <c r="ENH480" s="1831"/>
      <c r="ENI480" s="1831"/>
      <c r="ENJ480" s="1831"/>
      <c r="ENK480" s="1831"/>
      <c r="ENL480" s="1831"/>
      <c r="ENM480" s="1831"/>
      <c r="ENN480" s="1831"/>
      <c r="ENO480" s="1831"/>
      <c r="ENP480" s="1831"/>
      <c r="ENQ480" s="1831"/>
      <c r="ENR480" s="1831"/>
      <c r="ENS480" s="1831"/>
      <c r="ENT480" s="1831"/>
      <c r="ENU480" s="1831"/>
      <c r="ENV480" s="1831"/>
      <c r="ENW480" s="1831"/>
      <c r="ENX480" s="1831"/>
      <c r="ENY480" s="1831"/>
      <c r="ENZ480" s="1831"/>
      <c r="EOA480" s="1831"/>
      <c r="EOB480" s="1831"/>
      <c r="EOC480" s="1831"/>
      <c r="EOD480" s="1831"/>
      <c r="EOE480" s="1831"/>
      <c r="EOF480" s="1831"/>
      <c r="EOG480" s="1831"/>
      <c r="EOH480" s="1831"/>
      <c r="EOI480" s="1831"/>
      <c r="EOJ480" s="1831"/>
      <c r="EOK480" s="1831"/>
      <c r="EOL480" s="1831"/>
      <c r="EOM480" s="1831"/>
      <c r="EON480" s="1831"/>
      <c r="EOO480" s="1831"/>
      <c r="EOP480" s="1831"/>
      <c r="EOQ480" s="1831"/>
      <c r="EOR480" s="1831"/>
      <c r="EOS480" s="1831"/>
      <c r="EOT480" s="1831"/>
      <c r="EOU480" s="1831"/>
      <c r="EOV480" s="1831"/>
      <c r="EOW480" s="1831"/>
      <c r="EOX480" s="1831"/>
      <c r="EOY480" s="1831"/>
      <c r="EOZ480" s="1831"/>
      <c r="EPA480" s="1831"/>
      <c r="EPB480" s="1831"/>
      <c r="EPC480" s="1831"/>
      <c r="EPD480" s="1831"/>
      <c r="EPE480" s="1831"/>
      <c r="EPF480" s="1831"/>
      <c r="EPG480" s="1831"/>
      <c r="EPH480" s="1831"/>
      <c r="EPI480" s="1831"/>
      <c r="EPJ480" s="1831"/>
      <c r="EPK480" s="1831"/>
      <c r="EPL480" s="1831"/>
      <c r="EPM480" s="1831"/>
      <c r="EPN480" s="1831"/>
      <c r="EPO480" s="1831"/>
      <c r="EPP480" s="1831"/>
      <c r="EPQ480" s="1831"/>
      <c r="EPR480" s="1831"/>
      <c r="EPS480" s="1831"/>
      <c r="EPT480" s="1831"/>
      <c r="EPU480" s="1831"/>
      <c r="EPV480" s="1831"/>
      <c r="EPW480" s="1831"/>
      <c r="EPX480" s="1831"/>
      <c r="EPY480" s="1831"/>
      <c r="EPZ480" s="1831"/>
      <c r="EQA480" s="1831"/>
      <c r="EQB480" s="1831"/>
      <c r="EQC480" s="1831"/>
      <c r="EQD480" s="1831"/>
      <c r="EQE480" s="1831"/>
      <c r="EQF480" s="1831"/>
      <c r="EQG480" s="1831"/>
      <c r="EQH480" s="1831"/>
      <c r="EQI480" s="1831"/>
      <c r="EQJ480" s="1831"/>
      <c r="EQK480" s="1831"/>
      <c r="EQL480" s="1831"/>
      <c r="EQM480" s="1831"/>
      <c r="EQN480" s="1831"/>
      <c r="EQO480" s="1831"/>
      <c r="EQP480" s="1831"/>
      <c r="EQQ480" s="1831"/>
      <c r="EQR480" s="1831"/>
      <c r="EQS480" s="1831"/>
      <c r="EQT480" s="1831"/>
      <c r="EQU480" s="1831"/>
      <c r="EQV480" s="1831"/>
      <c r="EQW480" s="1831"/>
      <c r="EQX480" s="1831"/>
      <c r="EQY480" s="1831"/>
      <c r="EQZ480" s="1831"/>
      <c r="ERA480" s="1831"/>
      <c r="ERB480" s="1831"/>
      <c r="ERC480" s="1831"/>
      <c r="ERD480" s="1831"/>
      <c r="ERE480" s="1831"/>
      <c r="ERF480" s="1831"/>
      <c r="ERG480" s="1831"/>
      <c r="ERH480" s="1831"/>
      <c r="ERI480" s="1831"/>
      <c r="ERJ480" s="1831"/>
      <c r="ERK480" s="1831"/>
      <c r="ERL480" s="1831"/>
      <c r="ERM480" s="1831"/>
      <c r="ERN480" s="1831"/>
      <c r="ERO480" s="1831"/>
      <c r="ERP480" s="1831"/>
      <c r="ERQ480" s="1831"/>
      <c r="ERR480" s="1831"/>
      <c r="ERS480" s="1831"/>
      <c r="ERT480" s="1831"/>
      <c r="ERU480" s="1831"/>
      <c r="ERV480" s="1831"/>
      <c r="ERW480" s="1831"/>
      <c r="ERX480" s="1831"/>
      <c r="ERY480" s="1831"/>
      <c r="ERZ480" s="1831"/>
      <c r="ESA480" s="1831"/>
      <c r="ESB480" s="1831"/>
      <c r="ESC480" s="1831"/>
      <c r="ESD480" s="1831"/>
      <c r="ESE480" s="1831"/>
      <c r="ESF480" s="1831"/>
      <c r="ESG480" s="1831"/>
      <c r="ESH480" s="1831"/>
      <c r="ESI480" s="1831"/>
      <c r="ESJ480" s="1831"/>
      <c r="ESK480" s="1831"/>
      <c r="ESL480" s="1831"/>
      <c r="ESM480" s="1831"/>
      <c r="ESN480" s="1831"/>
      <c r="ESO480" s="1831"/>
      <c r="ESP480" s="1831"/>
      <c r="ESQ480" s="1831"/>
      <c r="ESR480" s="1831"/>
      <c r="ESS480" s="1831"/>
      <c r="EST480" s="1831"/>
      <c r="ESU480" s="1831"/>
      <c r="ESV480" s="1831"/>
      <c r="ESW480" s="1831"/>
      <c r="ESX480" s="1831"/>
      <c r="ESY480" s="1831"/>
      <c r="ESZ480" s="1831"/>
      <c r="ETA480" s="1831"/>
      <c r="ETB480" s="1831"/>
      <c r="ETC480" s="1831"/>
      <c r="ETD480" s="1831"/>
      <c r="ETE480" s="1831"/>
      <c r="ETF480" s="1831"/>
      <c r="ETG480" s="1831"/>
      <c r="ETH480" s="1831"/>
      <c r="ETI480" s="1831"/>
      <c r="ETJ480" s="1831"/>
      <c r="ETK480" s="1831"/>
      <c r="ETL480" s="1831"/>
      <c r="ETM480" s="1831"/>
      <c r="ETN480" s="1831"/>
      <c r="ETO480" s="1831"/>
      <c r="ETP480" s="1831"/>
      <c r="ETQ480" s="1831"/>
      <c r="ETR480" s="1831"/>
      <c r="ETS480" s="1831"/>
      <c r="ETT480" s="1831"/>
      <c r="ETU480" s="1831"/>
      <c r="ETV480" s="1831"/>
      <c r="ETW480" s="1831"/>
      <c r="ETX480" s="1831"/>
      <c r="ETY480" s="1831"/>
      <c r="ETZ480" s="1831"/>
      <c r="EUA480" s="1831"/>
      <c r="EUB480" s="1831"/>
      <c r="EUC480" s="1831"/>
      <c r="EUD480" s="1831"/>
      <c r="EUE480" s="1831"/>
      <c r="EUF480" s="1831"/>
      <c r="EUG480" s="1831"/>
      <c r="EUH480" s="1831"/>
      <c r="EUI480" s="1831"/>
      <c r="EUJ480" s="1831"/>
      <c r="EUK480" s="1831"/>
      <c r="EUL480" s="1831"/>
      <c r="EUM480" s="1831"/>
      <c r="EUN480" s="1831"/>
      <c r="EUO480" s="1831"/>
      <c r="EUP480" s="1831"/>
      <c r="EUQ480" s="1831"/>
      <c r="EUR480" s="1831"/>
      <c r="EUS480" s="1831"/>
      <c r="EUT480" s="1831"/>
      <c r="EUU480" s="1831"/>
      <c r="EUV480" s="1831"/>
      <c r="EUW480" s="1831"/>
      <c r="EUX480" s="1831"/>
      <c r="EUY480" s="1831"/>
      <c r="EUZ480" s="1831"/>
      <c r="EVA480" s="1831"/>
      <c r="EVB480" s="1831"/>
      <c r="EVC480" s="1831"/>
      <c r="EVD480" s="1831"/>
      <c r="EVE480" s="1831"/>
      <c r="EVF480" s="1831"/>
      <c r="EVG480" s="1831"/>
      <c r="EVH480" s="1831"/>
      <c r="EVI480" s="1831"/>
      <c r="EVJ480" s="1831"/>
      <c r="EVK480" s="1831"/>
      <c r="EVL480" s="1831"/>
      <c r="EVM480" s="1831"/>
      <c r="EVN480" s="1831"/>
      <c r="EVO480" s="1831"/>
      <c r="EVP480" s="1831"/>
      <c r="EVQ480" s="1831"/>
      <c r="EVR480" s="1831"/>
      <c r="EVS480" s="1831"/>
      <c r="EVT480" s="1831"/>
      <c r="EVU480" s="1831"/>
      <c r="EVV480" s="1831"/>
      <c r="EVW480" s="1831"/>
      <c r="EVX480" s="1831"/>
      <c r="EVY480" s="1831"/>
      <c r="EVZ480" s="1831"/>
      <c r="EWA480" s="1831"/>
      <c r="EWB480" s="1831"/>
      <c r="EWC480" s="1831"/>
      <c r="EWD480" s="1831"/>
      <c r="EWE480" s="1831"/>
      <c r="EWF480" s="1831"/>
      <c r="EWG480" s="1831"/>
      <c r="EWH480" s="1831"/>
      <c r="EWI480" s="1831"/>
      <c r="EWJ480" s="1831"/>
      <c r="EWK480" s="1831"/>
      <c r="EWL480" s="1831"/>
      <c r="EWM480" s="1831"/>
      <c r="EWN480" s="1831"/>
      <c r="EWO480" s="1831"/>
      <c r="EWP480" s="1831"/>
      <c r="EWQ480" s="1831"/>
      <c r="EWR480" s="1831"/>
      <c r="EWS480" s="1831"/>
      <c r="EWT480" s="1831"/>
      <c r="EWU480" s="1831"/>
      <c r="EWV480" s="1831"/>
      <c r="EWW480" s="1831"/>
      <c r="EWX480" s="1831"/>
      <c r="EWY480" s="1831"/>
      <c r="EWZ480" s="1831"/>
      <c r="EXA480" s="1831"/>
      <c r="EXB480" s="1831"/>
      <c r="EXC480" s="1831"/>
      <c r="EXD480" s="1831"/>
      <c r="EXE480" s="1831"/>
      <c r="EXF480" s="1831"/>
      <c r="EXG480" s="1831"/>
      <c r="EXH480" s="1831"/>
      <c r="EXI480" s="1831"/>
      <c r="EXJ480" s="1831"/>
      <c r="EXK480" s="1831"/>
      <c r="EXL480" s="1831"/>
      <c r="EXM480" s="1831"/>
      <c r="EXN480" s="1831"/>
      <c r="EXO480" s="1831"/>
      <c r="EXP480" s="1831"/>
      <c r="EXQ480" s="1831"/>
      <c r="EXR480" s="1831"/>
      <c r="EXS480" s="1831"/>
      <c r="EXT480" s="1831"/>
      <c r="EXU480" s="1831"/>
      <c r="EXV480" s="1831"/>
      <c r="EXW480" s="1831"/>
      <c r="EXX480" s="1831"/>
      <c r="EXY480" s="1831"/>
      <c r="EXZ480" s="1831"/>
      <c r="EYA480" s="1831"/>
      <c r="EYB480" s="1831"/>
      <c r="EYC480" s="1831"/>
      <c r="EYD480" s="1831"/>
      <c r="EYE480" s="1831"/>
      <c r="EYF480" s="1831"/>
      <c r="EYG480" s="1831"/>
      <c r="EYH480" s="1831"/>
      <c r="EYI480" s="1831"/>
      <c r="EYJ480" s="1831"/>
      <c r="EYK480" s="1831"/>
      <c r="EYL480" s="1831"/>
      <c r="EYM480" s="1831"/>
      <c r="EYN480" s="1831"/>
      <c r="EYO480" s="1831"/>
      <c r="EYP480" s="1831"/>
      <c r="EYQ480" s="1831"/>
      <c r="EYR480" s="1831"/>
      <c r="EYS480" s="1831"/>
      <c r="EYT480" s="1831"/>
      <c r="EYU480" s="1831"/>
      <c r="EYV480" s="1831"/>
      <c r="EYW480" s="1831"/>
      <c r="EYX480" s="1831"/>
      <c r="EYY480" s="1831"/>
      <c r="EYZ480" s="1831"/>
      <c r="EZA480" s="1831"/>
      <c r="EZB480" s="1831"/>
      <c r="EZC480" s="1831"/>
      <c r="EZD480" s="1831"/>
      <c r="EZE480" s="1831"/>
      <c r="EZF480" s="1831"/>
      <c r="EZG480" s="1831"/>
      <c r="EZH480" s="1831"/>
      <c r="EZI480" s="1831"/>
      <c r="EZJ480" s="1831"/>
      <c r="EZK480" s="1831"/>
      <c r="EZL480" s="1831"/>
      <c r="EZM480" s="1831"/>
      <c r="EZN480" s="1831"/>
      <c r="EZO480" s="1831"/>
      <c r="EZP480" s="1831"/>
      <c r="EZQ480" s="1831"/>
      <c r="EZR480" s="1831"/>
      <c r="EZS480" s="1831"/>
      <c r="EZT480" s="1831"/>
      <c r="EZU480" s="1831"/>
      <c r="EZV480" s="1831"/>
      <c r="EZW480" s="1831"/>
      <c r="EZX480" s="1831"/>
      <c r="EZY480" s="1831"/>
      <c r="EZZ480" s="1831"/>
      <c r="FAA480" s="1831"/>
      <c r="FAB480" s="1831"/>
      <c r="FAC480" s="1831"/>
      <c r="FAD480" s="1831"/>
      <c r="FAE480" s="1831"/>
      <c r="FAF480" s="1831"/>
      <c r="FAG480" s="1831"/>
      <c r="FAH480" s="1831"/>
      <c r="FAI480" s="1831"/>
      <c r="FAJ480" s="1831"/>
      <c r="FAK480" s="1831"/>
      <c r="FAL480" s="1831"/>
      <c r="FAM480" s="1831"/>
      <c r="FAN480" s="1831"/>
      <c r="FAO480" s="1831"/>
      <c r="FAP480" s="1831"/>
      <c r="FAQ480" s="1831"/>
      <c r="FAR480" s="1831"/>
      <c r="FAS480" s="1831"/>
      <c r="FAT480" s="1831"/>
      <c r="FAU480" s="1831"/>
      <c r="FAV480" s="1831"/>
      <c r="FAW480" s="1831"/>
      <c r="FAX480" s="1831"/>
      <c r="FAY480" s="1831"/>
      <c r="FAZ480" s="1831"/>
      <c r="FBA480" s="1831"/>
      <c r="FBB480" s="1831"/>
      <c r="FBC480" s="1831"/>
      <c r="FBD480" s="1831"/>
      <c r="FBE480" s="1831"/>
      <c r="FBF480" s="1831"/>
      <c r="FBG480" s="1831"/>
      <c r="FBH480" s="1831"/>
      <c r="FBI480" s="1831"/>
      <c r="FBJ480" s="1831"/>
      <c r="FBK480" s="1831"/>
      <c r="FBL480" s="1831"/>
      <c r="FBM480" s="1831"/>
      <c r="FBN480" s="1831"/>
      <c r="FBO480" s="1831"/>
      <c r="FBP480" s="1831"/>
      <c r="FBQ480" s="1831"/>
      <c r="FBR480" s="1831"/>
      <c r="FBS480" s="1831"/>
      <c r="FBT480" s="1831"/>
      <c r="FBU480" s="1831"/>
      <c r="FBV480" s="1831"/>
      <c r="FBW480" s="1831"/>
      <c r="FBX480" s="1831"/>
      <c r="FBY480" s="1831"/>
      <c r="FBZ480" s="1831"/>
      <c r="FCA480" s="1831"/>
      <c r="FCB480" s="1831"/>
      <c r="FCC480" s="1831"/>
      <c r="FCD480" s="1831"/>
      <c r="FCE480" s="1831"/>
      <c r="FCF480" s="1831"/>
      <c r="FCG480" s="1831"/>
      <c r="FCH480" s="1831"/>
      <c r="FCI480" s="1831"/>
      <c r="FCJ480" s="1831"/>
      <c r="FCK480" s="1831"/>
      <c r="FCL480" s="1831"/>
      <c r="FCM480" s="1831"/>
      <c r="FCN480" s="1831"/>
      <c r="FCO480" s="1831"/>
      <c r="FCP480" s="1831"/>
      <c r="FCQ480" s="1831"/>
      <c r="FCR480" s="1831"/>
      <c r="FCS480" s="1831"/>
      <c r="FCT480" s="1831"/>
      <c r="FCU480" s="1831"/>
      <c r="FCV480" s="1831"/>
      <c r="FCW480" s="1831"/>
      <c r="FCX480" s="1831"/>
      <c r="FCY480" s="1831"/>
      <c r="FCZ480" s="1831"/>
      <c r="FDA480" s="1831"/>
      <c r="FDB480" s="1831"/>
      <c r="FDC480" s="1831"/>
      <c r="FDD480" s="1831"/>
      <c r="FDE480" s="1831"/>
      <c r="FDF480" s="1831"/>
      <c r="FDG480" s="1831"/>
      <c r="FDH480" s="1831"/>
      <c r="FDI480" s="1831"/>
      <c r="FDJ480" s="1831"/>
      <c r="FDK480" s="1831"/>
      <c r="FDL480" s="1831"/>
      <c r="FDM480" s="1831"/>
      <c r="FDN480" s="1831"/>
      <c r="FDO480" s="1831"/>
      <c r="FDP480" s="1831"/>
      <c r="FDQ480" s="1831"/>
      <c r="FDR480" s="1831"/>
      <c r="FDS480" s="1831"/>
      <c r="FDT480" s="1831"/>
      <c r="FDU480" s="1831"/>
      <c r="FDV480" s="1831"/>
      <c r="FDW480" s="1831"/>
      <c r="FDX480" s="1831"/>
      <c r="FDY480" s="1831"/>
      <c r="FDZ480" s="1831"/>
      <c r="FEA480" s="1831"/>
      <c r="FEB480" s="1831"/>
      <c r="FEC480" s="1831"/>
      <c r="FED480" s="1831"/>
      <c r="FEE480" s="1831"/>
      <c r="FEF480" s="1831"/>
      <c r="FEG480" s="1831"/>
      <c r="FEH480" s="1831"/>
      <c r="FEI480" s="1831"/>
      <c r="FEJ480" s="1831"/>
      <c r="FEK480" s="1831"/>
      <c r="FEL480" s="1831"/>
      <c r="FEM480" s="1831"/>
      <c r="FEN480" s="1831"/>
      <c r="FEO480" s="1831"/>
      <c r="FEP480" s="1831"/>
      <c r="FEQ480" s="1831"/>
      <c r="FER480" s="1831"/>
      <c r="FES480" s="1831"/>
      <c r="FET480" s="1831"/>
      <c r="FEU480" s="1831"/>
      <c r="FEV480" s="1831"/>
      <c r="FEW480" s="1831"/>
      <c r="FEX480" s="1831"/>
      <c r="FEY480" s="1831"/>
      <c r="FEZ480" s="1831"/>
      <c r="FFA480" s="1831"/>
      <c r="FFB480" s="1831"/>
      <c r="FFC480" s="1831"/>
      <c r="FFD480" s="1831"/>
      <c r="FFE480" s="1831"/>
      <c r="FFF480" s="1831"/>
      <c r="FFG480" s="1831"/>
      <c r="FFH480" s="1831"/>
      <c r="FFI480" s="1831"/>
      <c r="FFJ480" s="1831"/>
      <c r="FFK480" s="1831"/>
      <c r="FFL480" s="1831"/>
      <c r="FFM480" s="1831"/>
      <c r="FFN480" s="1831"/>
      <c r="FFO480" s="1831"/>
      <c r="FFP480" s="1831"/>
      <c r="FFQ480" s="1831"/>
      <c r="FFR480" s="1831"/>
      <c r="FFS480" s="1831"/>
      <c r="FFT480" s="1831"/>
      <c r="FFU480" s="1831"/>
      <c r="FFV480" s="1831"/>
      <c r="FFW480" s="1831"/>
      <c r="FFX480" s="1831"/>
      <c r="FFY480" s="1831"/>
      <c r="FFZ480" s="1831"/>
      <c r="FGA480" s="1831"/>
      <c r="FGB480" s="1831"/>
      <c r="FGC480" s="1831"/>
      <c r="FGD480" s="1831"/>
      <c r="FGE480" s="1831"/>
      <c r="FGF480" s="1831"/>
      <c r="FGG480" s="1831"/>
      <c r="FGH480" s="1831"/>
      <c r="FGI480" s="1831"/>
      <c r="FGJ480" s="1831"/>
      <c r="FGK480" s="1831"/>
      <c r="FGL480" s="1831"/>
      <c r="FGM480" s="1831"/>
      <c r="FGN480" s="1831"/>
      <c r="FGO480" s="1831"/>
      <c r="FGP480" s="1831"/>
      <c r="FGQ480" s="1831"/>
      <c r="FGR480" s="1831"/>
      <c r="FGS480" s="1831"/>
      <c r="FGT480" s="1831"/>
      <c r="FGU480" s="1831"/>
      <c r="FGV480" s="1831"/>
      <c r="FGW480" s="1831"/>
      <c r="FGX480" s="1831"/>
      <c r="FGY480" s="1831"/>
      <c r="FGZ480" s="1831"/>
      <c r="FHA480" s="1831"/>
      <c r="FHB480" s="1831"/>
      <c r="FHC480" s="1831"/>
      <c r="FHD480" s="1831"/>
      <c r="FHE480" s="1831"/>
      <c r="FHF480" s="1831"/>
      <c r="FHG480" s="1831"/>
      <c r="FHH480" s="1831"/>
      <c r="FHI480" s="1831"/>
      <c r="FHJ480" s="1831"/>
      <c r="FHK480" s="1831"/>
      <c r="FHL480" s="1831"/>
      <c r="FHM480" s="1831"/>
      <c r="FHN480" s="1831"/>
      <c r="FHO480" s="1831"/>
      <c r="FHP480" s="1831"/>
      <c r="FHQ480" s="1831"/>
      <c r="FHR480" s="1831"/>
      <c r="FHS480" s="1831"/>
      <c r="FHT480" s="1831"/>
      <c r="FHU480" s="1831"/>
      <c r="FHV480" s="1831"/>
      <c r="FHW480" s="1831"/>
      <c r="FHX480" s="1831"/>
      <c r="FHY480" s="1831"/>
      <c r="FHZ480" s="1831"/>
      <c r="FIA480" s="1831"/>
      <c r="FIB480" s="1831"/>
      <c r="FIC480" s="1831"/>
      <c r="FID480" s="1831"/>
      <c r="FIE480" s="1831"/>
      <c r="FIF480" s="1831"/>
      <c r="FIG480" s="1831"/>
      <c r="FIH480" s="1831"/>
      <c r="FII480" s="1831"/>
      <c r="FIJ480" s="1831"/>
      <c r="FIK480" s="1831"/>
      <c r="FIL480" s="1831"/>
      <c r="FIM480" s="1831"/>
      <c r="FIN480" s="1831"/>
      <c r="FIO480" s="1831"/>
      <c r="FIP480" s="1831"/>
      <c r="FIQ480" s="1831"/>
      <c r="FIR480" s="1831"/>
      <c r="FIS480" s="1831"/>
      <c r="FIT480" s="1831"/>
      <c r="FIU480" s="1831"/>
      <c r="FIV480" s="1831"/>
      <c r="FIW480" s="1831"/>
      <c r="FIX480" s="1831"/>
      <c r="FIY480" s="1831"/>
      <c r="FIZ480" s="1831"/>
      <c r="FJA480" s="1831"/>
      <c r="FJB480" s="1831"/>
      <c r="FJC480" s="1831"/>
      <c r="FJD480" s="1831"/>
      <c r="FJE480" s="1831"/>
      <c r="FJF480" s="1831"/>
      <c r="FJG480" s="1831"/>
      <c r="FJH480" s="1831"/>
      <c r="FJI480" s="1831"/>
      <c r="FJJ480" s="1831"/>
      <c r="FJK480" s="1831"/>
      <c r="FJL480" s="1831"/>
      <c r="FJM480" s="1831"/>
      <c r="FJN480" s="1831"/>
      <c r="FJO480" s="1831"/>
      <c r="FJP480" s="1831"/>
      <c r="FJQ480" s="1831"/>
      <c r="FJR480" s="1831"/>
      <c r="FJS480" s="1831"/>
      <c r="FJT480" s="1831"/>
      <c r="FJU480" s="1831"/>
      <c r="FJV480" s="1831"/>
      <c r="FJW480" s="1831"/>
      <c r="FJX480" s="1831"/>
      <c r="FJY480" s="1831"/>
      <c r="FJZ480" s="1831"/>
      <c r="FKA480" s="1831"/>
      <c r="FKB480" s="1831"/>
      <c r="FKC480" s="1831"/>
      <c r="FKD480" s="1831"/>
      <c r="FKE480" s="1831"/>
      <c r="FKF480" s="1831"/>
      <c r="FKG480" s="1831"/>
      <c r="FKH480" s="1831"/>
      <c r="FKI480" s="1831"/>
      <c r="FKJ480" s="1831"/>
      <c r="FKK480" s="1831"/>
      <c r="FKL480" s="1831"/>
      <c r="FKM480" s="1831"/>
      <c r="FKN480" s="1831"/>
      <c r="FKO480" s="1831"/>
      <c r="FKP480" s="1831"/>
      <c r="FKQ480" s="1831"/>
      <c r="FKR480" s="1831"/>
      <c r="FKS480" s="1831"/>
      <c r="FKT480" s="1831"/>
      <c r="FKU480" s="1831"/>
      <c r="FKV480" s="1831"/>
      <c r="FKW480" s="1831"/>
      <c r="FKX480" s="1831"/>
      <c r="FKY480" s="1831"/>
      <c r="FKZ480" s="1831"/>
      <c r="FLA480" s="1831"/>
      <c r="FLB480" s="1831"/>
      <c r="FLC480" s="1831"/>
      <c r="FLD480" s="1831"/>
      <c r="FLE480" s="1831"/>
      <c r="FLF480" s="1831"/>
      <c r="FLG480" s="1831"/>
      <c r="FLH480" s="1831"/>
      <c r="FLI480" s="1831"/>
      <c r="FLJ480" s="1831"/>
      <c r="FLK480" s="1831"/>
      <c r="FLL480" s="1831"/>
      <c r="FLM480" s="1831"/>
      <c r="FLN480" s="1831"/>
      <c r="FLO480" s="1831"/>
      <c r="FLP480" s="1831"/>
      <c r="FLQ480" s="1831"/>
      <c r="FLR480" s="1831"/>
      <c r="FLS480" s="1831"/>
      <c r="FLT480" s="1831"/>
      <c r="FLU480" s="1831"/>
      <c r="FLV480" s="1831"/>
      <c r="FLW480" s="1831"/>
      <c r="FLX480" s="1831"/>
      <c r="FLY480" s="1831"/>
      <c r="FLZ480" s="1831"/>
      <c r="FMA480" s="1831"/>
      <c r="FMB480" s="1831"/>
      <c r="FMC480" s="1831"/>
      <c r="FMD480" s="1831"/>
      <c r="FME480" s="1831"/>
      <c r="FMF480" s="1831"/>
      <c r="FMG480" s="1831"/>
      <c r="FMH480" s="1831"/>
      <c r="FMI480" s="1831"/>
      <c r="FMJ480" s="1831"/>
      <c r="FMK480" s="1831"/>
      <c r="FML480" s="1831"/>
      <c r="FMM480" s="1831"/>
      <c r="FMN480" s="1831"/>
      <c r="FMO480" s="1831"/>
      <c r="FMP480" s="1831"/>
      <c r="FMQ480" s="1831"/>
      <c r="FMR480" s="1831"/>
      <c r="FMS480" s="1831"/>
      <c r="FMT480" s="1831"/>
      <c r="FMU480" s="1831"/>
      <c r="FMV480" s="1831"/>
      <c r="FMW480" s="1831"/>
      <c r="FMX480" s="1831"/>
      <c r="FMY480" s="1831"/>
      <c r="FMZ480" s="1831"/>
      <c r="FNA480" s="1831"/>
      <c r="FNB480" s="1831"/>
      <c r="FNC480" s="1831"/>
      <c r="FND480" s="1831"/>
      <c r="FNE480" s="1831"/>
      <c r="FNF480" s="1831"/>
      <c r="FNG480" s="1831"/>
      <c r="FNH480" s="1831"/>
      <c r="FNI480" s="1831"/>
      <c r="FNJ480" s="1831"/>
      <c r="FNK480" s="1831"/>
      <c r="FNL480" s="1831"/>
      <c r="FNM480" s="1831"/>
      <c r="FNN480" s="1831"/>
      <c r="FNO480" s="1831"/>
      <c r="FNP480" s="1831"/>
      <c r="FNQ480" s="1831"/>
      <c r="FNR480" s="1831"/>
      <c r="FNS480" s="1831"/>
      <c r="FNT480" s="1831"/>
      <c r="FNU480" s="1831"/>
      <c r="FNV480" s="1831"/>
      <c r="FNW480" s="1831"/>
      <c r="FNX480" s="1831"/>
      <c r="FNY480" s="1831"/>
      <c r="FNZ480" s="1831"/>
      <c r="FOA480" s="1831"/>
      <c r="FOB480" s="1831"/>
      <c r="FOC480" s="1831"/>
      <c r="FOD480" s="1831"/>
      <c r="FOE480" s="1831"/>
      <c r="FOF480" s="1831"/>
      <c r="FOG480" s="1831"/>
      <c r="FOH480" s="1831"/>
      <c r="FOI480" s="1831"/>
      <c r="FOJ480" s="1831"/>
      <c r="FOK480" s="1831"/>
      <c r="FOL480" s="1831"/>
      <c r="FOM480" s="1831"/>
      <c r="FON480" s="1831"/>
      <c r="FOO480" s="1831"/>
      <c r="FOP480" s="1831"/>
      <c r="FOQ480" s="1831"/>
      <c r="FOR480" s="1831"/>
      <c r="FOS480" s="1831"/>
      <c r="FOT480" s="1831"/>
      <c r="FOU480" s="1831"/>
      <c r="FOV480" s="1831"/>
      <c r="FOW480" s="1831"/>
      <c r="FOX480" s="1831"/>
      <c r="FOY480" s="1831"/>
      <c r="FOZ480" s="1831"/>
      <c r="FPA480" s="1831"/>
      <c r="FPB480" s="1831"/>
      <c r="FPC480" s="1831"/>
      <c r="FPD480" s="1831"/>
      <c r="FPE480" s="1831"/>
      <c r="FPF480" s="1831"/>
      <c r="FPG480" s="1831"/>
      <c r="FPH480" s="1831"/>
      <c r="FPI480" s="1831"/>
      <c r="FPJ480" s="1831"/>
      <c r="FPK480" s="1831"/>
      <c r="FPL480" s="1831"/>
      <c r="FPM480" s="1831"/>
      <c r="FPN480" s="1831"/>
      <c r="FPO480" s="1831"/>
      <c r="FPP480" s="1831"/>
      <c r="FPQ480" s="1831"/>
      <c r="FPR480" s="1831"/>
      <c r="FPS480" s="1831"/>
      <c r="FPT480" s="1831"/>
      <c r="FPU480" s="1831"/>
      <c r="FPV480" s="1831"/>
      <c r="FPW480" s="1831"/>
      <c r="FPX480" s="1831"/>
      <c r="FPY480" s="1831"/>
      <c r="FPZ480" s="1831"/>
      <c r="FQA480" s="1831"/>
      <c r="FQB480" s="1831"/>
      <c r="FQC480" s="1831"/>
      <c r="FQD480" s="1831"/>
      <c r="FQE480" s="1831"/>
      <c r="FQF480" s="1831"/>
      <c r="FQG480" s="1831"/>
      <c r="FQH480" s="1831"/>
      <c r="FQI480" s="1831"/>
      <c r="FQJ480" s="1831"/>
      <c r="FQK480" s="1831"/>
      <c r="FQL480" s="1831"/>
      <c r="FQM480" s="1831"/>
      <c r="FQN480" s="1831"/>
      <c r="FQO480" s="1831"/>
      <c r="FQP480" s="1831"/>
      <c r="FQQ480" s="1831"/>
      <c r="FQR480" s="1831"/>
      <c r="FQS480" s="1831"/>
      <c r="FQT480" s="1831"/>
      <c r="FQU480" s="1831"/>
      <c r="FQV480" s="1831"/>
      <c r="FQW480" s="1831"/>
      <c r="FQX480" s="1831"/>
      <c r="FQY480" s="1831"/>
      <c r="FQZ480" s="1831"/>
      <c r="FRA480" s="1831"/>
      <c r="FRB480" s="1831"/>
      <c r="FRC480" s="1831"/>
      <c r="FRD480" s="1831"/>
      <c r="FRE480" s="1831"/>
      <c r="FRF480" s="1831"/>
      <c r="FRG480" s="1831"/>
      <c r="FRH480" s="1831"/>
      <c r="FRI480" s="1831"/>
      <c r="FRJ480" s="1831"/>
      <c r="FRK480" s="1831"/>
      <c r="FRL480" s="1831"/>
      <c r="FRM480" s="1831"/>
      <c r="FRN480" s="1831"/>
      <c r="FRO480" s="1831"/>
      <c r="FRP480" s="1831"/>
      <c r="FRQ480" s="1831"/>
      <c r="FRR480" s="1831"/>
      <c r="FRS480" s="1831"/>
      <c r="FRT480" s="1831"/>
      <c r="FRU480" s="1831"/>
      <c r="FRV480" s="1831"/>
      <c r="FRW480" s="1831"/>
      <c r="FRX480" s="1831"/>
      <c r="FRY480" s="1831"/>
      <c r="FRZ480" s="1831"/>
      <c r="FSA480" s="1831"/>
      <c r="FSB480" s="1831"/>
      <c r="FSC480" s="1831"/>
      <c r="FSD480" s="1831"/>
      <c r="FSE480" s="1831"/>
      <c r="FSF480" s="1831"/>
      <c r="FSG480" s="1831"/>
      <c r="FSH480" s="1831"/>
      <c r="FSI480" s="1831"/>
      <c r="FSJ480" s="1831"/>
      <c r="FSK480" s="1831"/>
      <c r="FSL480" s="1831"/>
      <c r="FSM480" s="1831"/>
      <c r="FSN480" s="1831"/>
      <c r="FSO480" s="1831"/>
      <c r="FSP480" s="1831"/>
      <c r="FSQ480" s="1831"/>
      <c r="FSR480" s="1831"/>
      <c r="FSS480" s="1831"/>
      <c r="FST480" s="1831"/>
      <c r="FSU480" s="1831"/>
      <c r="FSV480" s="1831"/>
      <c r="FSW480" s="1831"/>
      <c r="FSX480" s="1831"/>
      <c r="FSY480" s="1831"/>
      <c r="FSZ480" s="1831"/>
      <c r="FTA480" s="1831"/>
      <c r="FTB480" s="1831"/>
      <c r="FTC480" s="1831"/>
      <c r="FTD480" s="1831"/>
      <c r="FTE480" s="1831"/>
      <c r="FTF480" s="1831"/>
      <c r="FTG480" s="1831"/>
      <c r="FTH480" s="1831"/>
      <c r="FTI480" s="1831"/>
      <c r="FTJ480" s="1831"/>
      <c r="FTK480" s="1831"/>
      <c r="FTL480" s="1831"/>
      <c r="FTM480" s="1831"/>
      <c r="FTN480" s="1831"/>
      <c r="FTO480" s="1831"/>
      <c r="FTP480" s="1831"/>
      <c r="FTQ480" s="1831"/>
      <c r="FTR480" s="1831"/>
      <c r="FTS480" s="1831"/>
      <c r="FTT480" s="1831"/>
      <c r="FTU480" s="1831"/>
      <c r="FTV480" s="1831"/>
      <c r="FTW480" s="1831"/>
      <c r="FTX480" s="1831"/>
      <c r="FTY480" s="1831"/>
      <c r="FTZ480" s="1831"/>
      <c r="FUA480" s="1831"/>
      <c r="FUB480" s="1831"/>
      <c r="FUC480" s="1831"/>
      <c r="FUD480" s="1831"/>
      <c r="FUE480" s="1831"/>
      <c r="FUF480" s="1831"/>
      <c r="FUG480" s="1831"/>
      <c r="FUH480" s="1831"/>
      <c r="FUI480" s="1831"/>
      <c r="FUJ480" s="1831"/>
      <c r="FUK480" s="1831"/>
      <c r="FUL480" s="1831"/>
      <c r="FUM480" s="1831"/>
      <c r="FUN480" s="1831"/>
      <c r="FUO480" s="1831"/>
      <c r="FUP480" s="1831"/>
      <c r="FUQ480" s="1831"/>
      <c r="FUR480" s="1831"/>
      <c r="FUS480" s="1831"/>
      <c r="FUT480" s="1831"/>
      <c r="FUU480" s="1831"/>
      <c r="FUV480" s="1831"/>
      <c r="FUW480" s="1831"/>
      <c r="FUX480" s="1831"/>
      <c r="FUY480" s="1831"/>
      <c r="FUZ480" s="1831"/>
      <c r="FVA480" s="1831"/>
      <c r="FVB480" s="1831"/>
      <c r="FVC480" s="1831"/>
      <c r="FVD480" s="1831"/>
      <c r="FVE480" s="1831"/>
      <c r="FVF480" s="1831"/>
      <c r="FVG480" s="1831"/>
      <c r="FVH480" s="1831"/>
      <c r="FVI480" s="1831"/>
      <c r="FVJ480" s="1831"/>
      <c r="FVK480" s="1831"/>
      <c r="FVL480" s="1831"/>
      <c r="FVM480" s="1831"/>
      <c r="FVN480" s="1831"/>
      <c r="FVO480" s="1831"/>
      <c r="FVP480" s="1831"/>
      <c r="FVQ480" s="1831"/>
      <c r="FVR480" s="1831"/>
      <c r="FVS480" s="1831"/>
      <c r="FVT480" s="1831"/>
      <c r="FVU480" s="1831"/>
      <c r="FVV480" s="1831"/>
      <c r="FVW480" s="1831"/>
      <c r="FVX480" s="1831"/>
      <c r="FVY480" s="1831"/>
      <c r="FVZ480" s="1831"/>
      <c r="FWA480" s="1831"/>
      <c r="FWB480" s="1831"/>
      <c r="FWC480" s="1831"/>
      <c r="FWD480" s="1831"/>
      <c r="FWE480" s="1831"/>
      <c r="FWF480" s="1831"/>
      <c r="FWG480" s="1831"/>
      <c r="FWH480" s="1831"/>
      <c r="FWI480" s="1831"/>
      <c r="FWJ480" s="1831"/>
      <c r="FWK480" s="1831"/>
      <c r="FWL480" s="1831"/>
      <c r="FWM480" s="1831"/>
      <c r="FWN480" s="1831"/>
      <c r="FWO480" s="1831"/>
      <c r="FWP480" s="1831"/>
      <c r="FWQ480" s="1831"/>
      <c r="FWR480" s="1831"/>
      <c r="FWS480" s="1831"/>
      <c r="FWT480" s="1831"/>
      <c r="FWU480" s="1831"/>
      <c r="FWV480" s="1831"/>
      <c r="FWW480" s="1831"/>
      <c r="FWX480" s="1831"/>
      <c r="FWY480" s="1831"/>
      <c r="FWZ480" s="1831"/>
      <c r="FXA480" s="1831"/>
      <c r="FXB480" s="1831"/>
      <c r="FXC480" s="1831"/>
      <c r="FXD480" s="1831"/>
      <c r="FXE480" s="1831"/>
      <c r="FXF480" s="1831"/>
      <c r="FXG480" s="1831"/>
      <c r="FXH480" s="1831"/>
      <c r="FXI480" s="1831"/>
      <c r="FXJ480" s="1831"/>
      <c r="FXK480" s="1831"/>
      <c r="FXL480" s="1831"/>
      <c r="FXM480" s="1831"/>
      <c r="FXN480" s="1831"/>
      <c r="FXO480" s="1831"/>
      <c r="FXP480" s="1831"/>
      <c r="FXQ480" s="1831"/>
      <c r="FXR480" s="1831"/>
      <c r="FXS480" s="1831"/>
      <c r="FXT480" s="1831"/>
      <c r="FXU480" s="1831"/>
      <c r="FXV480" s="1831"/>
      <c r="FXW480" s="1831"/>
      <c r="FXX480" s="1831"/>
      <c r="FXY480" s="1831"/>
      <c r="FXZ480" s="1831"/>
      <c r="FYA480" s="1831"/>
      <c r="FYB480" s="1831"/>
      <c r="FYC480" s="1831"/>
      <c r="FYD480" s="1831"/>
      <c r="FYE480" s="1831"/>
      <c r="FYF480" s="1831"/>
      <c r="FYG480" s="1831"/>
      <c r="FYH480" s="1831"/>
      <c r="FYI480" s="1831"/>
      <c r="FYJ480" s="1831"/>
      <c r="FYK480" s="1831"/>
      <c r="FYL480" s="1831"/>
      <c r="FYM480" s="1831"/>
      <c r="FYN480" s="1831"/>
      <c r="FYO480" s="1831"/>
      <c r="FYP480" s="1831"/>
      <c r="FYQ480" s="1831"/>
      <c r="FYR480" s="1831"/>
      <c r="FYS480" s="1831"/>
      <c r="FYT480" s="1831"/>
      <c r="FYU480" s="1831"/>
      <c r="FYV480" s="1831"/>
      <c r="FYW480" s="1831"/>
      <c r="FYX480" s="1831"/>
      <c r="FYY480" s="1831"/>
      <c r="FYZ480" s="1831"/>
      <c r="FZA480" s="1831"/>
      <c r="FZB480" s="1831"/>
      <c r="FZC480" s="1831"/>
      <c r="FZD480" s="1831"/>
      <c r="FZE480" s="1831"/>
      <c r="FZF480" s="1831"/>
      <c r="FZG480" s="1831"/>
      <c r="FZH480" s="1831"/>
      <c r="FZI480" s="1831"/>
      <c r="FZJ480" s="1831"/>
      <c r="FZK480" s="1831"/>
      <c r="FZL480" s="1831"/>
      <c r="FZM480" s="1831"/>
      <c r="FZN480" s="1831"/>
      <c r="FZO480" s="1831"/>
      <c r="FZP480" s="1831"/>
      <c r="FZQ480" s="1831"/>
      <c r="FZR480" s="1831"/>
      <c r="FZS480" s="1831"/>
      <c r="FZT480" s="1831"/>
      <c r="FZU480" s="1831"/>
      <c r="FZV480" s="1831"/>
      <c r="FZW480" s="1831"/>
      <c r="FZX480" s="1831"/>
      <c r="FZY480" s="1831"/>
      <c r="FZZ480" s="1831"/>
      <c r="GAA480" s="1831"/>
      <c r="GAB480" s="1831"/>
      <c r="GAC480" s="1831"/>
      <c r="GAD480" s="1831"/>
      <c r="GAE480" s="1831"/>
      <c r="GAF480" s="1831"/>
      <c r="GAG480" s="1831"/>
      <c r="GAH480" s="1831"/>
      <c r="GAI480" s="1831"/>
      <c r="GAJ480" s="1831"/>
      <c r="GAK480" s="1831"/>
      <c r="GAL480" s="1831"/>
      <c r="GAM480" s="1831"/>
      <c r="GAN480" s="1831"/>
      <c r="GAO480" s="1831"/>
      <c r="GAP480" s="1831"/>
      <c r="GAQ480" s="1831"/>
      <c r="GAR480" s="1831"/>
      <c r="GAS480" s="1831"/>
      <c r="GAT480" s="1831"/>
      <c r="GAU480" s="1831"/>
      <c r="GAV480" s="1831"/>
      <c r="GAW480" s="1831"/>
      <c r="GAX480" s="1831"/>
      <c r="GAY480" s="1831"/>
      <c r="GAZ480" s="1831"/>
      <c r="GBA480" s="1831"/>
      <c r="GBB480" s="1831"/>
      <c r="GBC480" s="1831"/>
      <c r="GBD480" s="1831"/>
      <c r="GBE480" s="1831"/>
      <c r="GBF480" s="1831"/>
      <c r="GBG480" s="1831"/>
      <c r="GBH480" s="1831"/>
      <c r="GBI480" s="1831"/>
      <c r="GBJ480" s="1831"/>
      <c r="GBK480" s="1831"/>
      <c r="GBL480" s="1831"/>
      <c r="GBM480" s="1831"/>
      <c r="GBN480" s="1831"/>
      <c r="GBO480" s="1831"/>
      <c r="GBP480" s="1831"/>
      <c r="GBQ480" s="1831"/>
      <c r="GBR480" s="1831"/>
      <c r="GBS480" s="1831"/>
      <c r="GBT480" s="1831"/>
      <c r="GBU480" s="1831"/>
      <c r="GBV480" s="1831"/>
      <c r="GBW480" s="1831"/>
      <c r="GBX480" s="1831"/>
      <c r="GBY480" s="1831"/>
      <c r="GBZ480" s="1831"/>
      <c r="GCA480" s="1831"/>
      <c r="GCB480" s="1831"/>
      <c r="GCC480" s="1831"/>
      <c r="GCD480" s="1831"/>
      <c r="GCE480" s="1831"/>
      <c r="GCF480" s="1831"/>
      <c r="GCG480" s="1831"/>
      <c r="GCH480" s="1831"/>
      <c r="GCI480" s="1831"/>
      <c r="GCJ480" s="1831"/>
      <c r="GCK480" s="1831"/>
      <c r="GCL480" s="1831"/>
      <c r="GCM480" s="1831"/>
      <c r="GCN480" s="1831"/>
      <c r="GCO480" s="1831"/>
      <c r="GCP480" s="1831"/>
      <c r="GCQ480" s="1831"/>
      <c r="GCR480" s="1831"/>
      <c r="GCS480" s="1831"/>
      <c r="GCT480" s="1831"/>
      <c r="GCU480" s="1831"/>
      <c r="GCV480" s="1831"/>
      <c r="GCW480" s="1831"/>
      <c r="GCX480" s="1831"/>
      <c r="GCY480" s="1831"/>
      <c r="GCZ480" s="1831"/>
      <c r="GDA480" s="1831"/>
      <c r="GDB480" s="1831"/>
      <c r="GDC480" s="1831"/>
      <c r="GDD480" s="1831"/>
      <c r="GDE480" s="1831"/>
      <c r="GDF480" s="1831"/>
      <c r="GDG480" s="1831"/>
      <c r="GDH480" s="1831"/>
      <c r="GDI480" s="1831"/>
      <c r="GDJ480" s="1831"/>
      <c r="GDK480" s="1831"/>
      <c r="GDL480" s="1831"/>
      <c r="GDM480" s="1831"/>
      <c r="GDN480" s="1831"/>
      <c r="GDO480" s="1831"/>
      <c r="GDP480" s="1831"/>
      <c r="GDQ480" s="1831"/>
      <c r="GDR480" s="1831"/>
      <c r="GDS480" s="1831"/>
      <c r="GDT480" s="1831"/>
      <c r="GDU480" s="1831"/>
      <c r="GDV480" s="1831"/>
      <c r="GDW480" s="1831"/>
      <c r="GDX480" s="1831"/>
      <c r="GDY480" s="1831"/>
      <c r="GDZ480" s="1831"/>
      <c r="GEA480" s="1831"/>
      <c r="GEB480" s="1831"/>
      <c r="GEC480" s="1831"/>
      <c r="GED480" s="1831"/>
      <c r="GEE480" s="1831"/>
      <c r="GEF480" s="1831"/>
      <c r="GEG480" s="1831"/>
      <c r="GEH480" s="1831"/>
      <c r="GEI480" s="1831"/>
      <c r="GEJ480" s="1831"/>
      <c r="GEK480" s="1831"/>
      <c r="GEL480" s="1831"/>
      <c r="GEM480" s="1831"/>
      <c r="GEN480" s="1831"/>
      <c r="GEO480" s="1831"/>
      <c r="GEP480" s="1831"/>
      <c r="GEQ480" s="1831"/>
      <c r="GER480" s="1831"/>
      <c r="GES480" s="1831"/>
      <c r="GET480" s="1831"/>
      <c r="GEU480" s="1831"/>
      <c r="GEV480" s="1831"/>
      <c r="GEW480" s="1831"/>
      <c r="GEX480" s="1831"/>
      <c r="GEY480" s="1831"/>
      <c r="GEZ480" s="1831"/>
      <c r="GFA480" s="1831"/>
      <c r="GFB480" s="1831"/>
      <c r="GFC480" s="1831"/>
      <c r="GFD480" s="1831"/>
      <c r="GFE480" s="1831"/>
      <c r="GFF480" s="1831"/>
      <c r="GFG480" s="1831"/>
      <c r="GFH480" s="1831"/>
      <c r="GFI480" s="1831"/>
      <c r="GFJ480" s="1831"/>
      <c r="GFK480" s="1831"/>
      <c r="GFL480" s="1831"/>
      <c r="GFM480" s="1831"/>
      <c r="GFN480" s="1831"/>
      <c r="GFO480" s="1831"/>
      <c r="GFP480" s="1831"/>
      <c r="GFQ480" s="1831"/>
      <c r="GFR480" s="1831"/>
      <c r="GFS480" s="1831"/>
      <c r="GFT480" s="1831"/>
      <c r="GFU480" s="1831"/>
      <c r="GFV480" s="1831"/>
      <c r="GFW480" s="1831"/>
      <c r="GFX480" s="1831"/>
      <c r="GFY480" s="1831"/>
      <c r="GFZ480" s="1831"/>
      <c r="GGA480" s="1831"/>
      <c r="GGB480" s="1831"/>
      <c r="GGC480" s="1831"/>
      <c r="GGD480" s="1831"/>
      <c r="GGE480" s="1831"/>
      <c r="GGF480" s="1831"/>
      <c r="GGG480" s="1831"/>
      <c r="GGH480" s="1831"/>
      <c r="GGI480" s="1831"/>
      <c r="GGJ480" s="1831"/>
      <c r="GGK480" s="1831"/>
      <c r="GGL480" s="1831"/>
      <c r="GGM480" s="1831"/>
      <c r="GGN480" s="1831"/>
      <c r="GGO480" s="1831"/>
      <c r="GGP480" s="1831"/>
      <c r="GGQ480" s="1831"/>
      <c r="GGR480" s="1831"/>
      <c r="GGS480" s="1831"/>
      <c r="GGT480" s="1831"/>
      <c r="GGU480" s="1831"/>
      <c r="GGV480" s="1831"/>
      <c r="GGW480" s="1831"/>
      <c r="GGX480" s="1831"/>
      <c r="GGY480" s="1831"/>
      <c r="GGZ480" s="1831"/>
      <c r="GHA480" s="1831"/>
      <c r="GHB480" s="1831"/>
      <c r="GHC480" s="1831"/>
      <c r="GHD480" s="1831"/>
      <c r="GHE480" s="1831"/>
      <c r="GHF480" s="1831"/>
      <c r="GHG480" s="1831"/>
      <c r="GHH480" s="1831"/>
      <c r="GHI480" s="1831"/>
      <c r="GHJ480" s="1831"/>
      <c r="GHK480" s="1831"/>
      <c r="GHL480" s="1831"/>
      <c r="GHM480" s="1831"/>
      <c r="GHN480" s="1831"/>
      <c r="GHO480" s="1831"/>
      <c r="GHP480" s="1831"/>
      <c r="GHQ480" s="1831"/>
      <c r="GHR480" s="1831"/>
      <c r="GHS480" s="1831"/>
      <c r="GHT480" s="1831"/>
      <c r="GHU480" s="1831"/>
      <c r="GHV480" s="1831"/>
      <c r="GHW480" s="1831"/>
      <c r="GHX480" s="1831"/>
      <c r="GHY480" s="1831"/>
      <c r="GHZ480" s="1831"/>
      <c r="GIA480" s="1831"/>
      <c r="GIB480" s="1831"/>
      <c r="GIC480" s="1831"/>
      <c r="GID480" s="1831"/>
      <c r="GIE480" s="1831"/>
      <c r="GIF480" s="1831"/>
      <c r="GIG480" s="1831"/>
      <c r="GIH480" s="1831"/>
      <c r="GII480" s="1831"/>
      <c r="GIJ480" s="1831"/>
      <c r="GIK480" s="1831"/>
      <c r="GIL480" s="1831"/>
      <c r="GIM480" s="1831"/>
      <c r="GIN480" s="1831"/>
      <c r="GIO480" s="1831"/>
      <c r="GIP480" s="1831"/>
      <c r="GIQ480" s="1831"/>
      <c r="GIR480" s="1831"/>
      <c r="GIS480" s="1831"/>
      <c r="GIT480" s="1831"/>
      <c r="GIU480" s="1831"/>
      <c r="GIV480" s="1831"/>
      <c r="GIW480" s="1831"/>
      <c r="GIX480" s="1831"/>
      <c r="GIY480" s="1831"/>
      <c r="GIZ480" s="1831"/>
      <c r="GJA480" s="1831"/>
      <c r="GJB480" s="1831"/>
      <c r="GJC480" s="1831"/>
      <c r="GJD480" s="1831"/>
      <c r="GJE480" s="1831"/>
      <c r="GJF480" s="1831"/>
      <c r="GJG480" s="1831"/>
      <c r="GJH480" s="1831"/>
      <c r="GJI480" s="1831"/>
      <c r="GJJ480" s="1831"/>
      <c r="GJK480" s="1831"/>
      <c r="GJL480" s="1831"/>
      <c r="GJM480" s="1831"/>
      <c r="GJN480" s="1831"/>
      <c r="GJO480" s="1831"/>
      <c r="GJP480" s="1831"/>
      <c r="GJQ480" s="1831"/>
      <c r="GJR480" s="1831"/>
      <c r="GJS480" s="1831"/>
      <c r="GJT480" s="1831"/>
      <c r="GJU480" s="1831"/>
      <c r="GJV480" s="1831"/>
      <c r="GJW480" s="1831"/>
      <c r="GJX480" s="1831"/>
      <c r="GJY480" s="1831"/>
      <c r="GJZ480" s="1831"/>
      <c r="GKA480" s="1831"/>
      <c r="GKB480" s="1831"/>
      <c r="GKC480" s="1831"/>
      <c r="GKD480" s="1831"/>
      <c r="GKE480" s="1831"/>
      <c r="GKF480" s="1831"/>
      <c r="GKG480" s="1831"/>
      <c r="GKH480" s="1831"/>
      <c r="GKI480" s="1831"/>
      <c r="GKJ480" s="1831"/>
      <c r="GKK480" s="1831"/>
      <c r="GKL480" s="1831"/>
      <c r="GKM480" s="1831"/>
      <c r="GKN480" s="1831"/>
      <c r="GKO480" s="1831"/>
      <c r="GKP480" s="1831"/>
      <c r="GKQ480" s="1831"/>
      <c r="GKR480" s="1831"/>
      <c r="GKS480" s="1831"/>
      <c r="GKT480" s="1831"/>
      <c r="GKU480" s="1831"/>
      <c r="GKV480" s="1831"/>
      <c r="GKW480" s="1831"/>
      <c r="GKX480" s="1831"/>
      <c r="GKY480" s="1831"/>
      <c r="GKZ480" s="1831"/>
      <c r="GLA480" s="1831"/>
      <c r="GLB480" s="1831"/>
      <c r="GLC480" s="1831"/>
      <c r="GLD480" s="1831"/>
      <c r="GLE480" s="1831"/>
      <c r="GLF480" s="1831"/>
      <c r="GLG480" s="1831"/>
      <c r="GLH480" s="1831"/>
      <c r="GLI480" s="1831"/>
      <c r="GLJ480" s="1831"/>
      <c r="GLK480" s="1831"/>
      <c r="GLL480" s="1831"/>
      <c r="GLM480" s="1831"/>
      <c r="GLN480" s="1831"/>
      <c r="GLO480" s="1831"/>
      <c r="GLP480" s="1831"/>
      <c r="GLQ480" s="1831"/>
      <c r="GLR480" s="1831"/>
      <c r="GLS480" s="1831"/>
      <c r="GLT480" s="1831"/>
      <c r="GLU480" s="1831"/>
      <c r="GLV480" s="1831"/>
      <c r="GLW480" s="1831"/>
      <c r="GLX480" s="1831"/>
      <c r="GLY480" s="1831"/>
      <c r="GLZ480" s="1831"/>
      <c r="GMA480" s="1831"/>
      <c r="GMB480" s="1831"/>
      <c r="GMC480" s="1831"/>
      <c r="GMD480" s="1831"/>
      <c r="GME480" s="1831"/>
      <c r="GMF480" s="1831"/>
      <c r="GMG480" s="1831"/>
      <c r="GMH480" s="1831"/>
      <c r="GMI480" s="1831"/>
      <c r="GMJ480" s="1831"/>
      <c r="GMK480" s="1831"/>
      <c r="GML480" s="1831"/>
      <c r="GMM480" s="1831"/>
      <c r="GMN480" s="1831"/>
      <c r="GMO480" s="1831"/>
      <c r="GMP480" s="1831"/>
      <c r="GMQ480" s="1831"/>
      <c r="GMR480" s="1831"/>
      <c r="GMS480" s="1831"/>
      <c r="GMT480" s="1831"/>
      <c r="GMU480" s="1831"/>
      <c r="GMV480" s="1831"/>
      <c r="GMW480" s="1831"/>
      <c r="GMX480" s="1831"/>
      <c r="GMY480" s="1831"/>
      <c r="GMZ480" s="1831"/>
      <c r="GNA480" s="1831"/>
      <c r="GNB480" s="1831"/>
      <c r="GNC480" s="1831"/>
      <c r="GND480" s="1831"/>
      <c r="GNE480" s="1831"/>
      <c r="GNF480" s="1831"/>
      <c r="GNG480" s="1831"/>
      <c r="GNH480" s="1831"/>
      <c r="GNI480" s="1831"/>
      <c r="GNJ480" s="1831"/>
      <c r="GNK480" s="1831"/>
      <c r="GNL480" s="1831"/>
      <c r="GNM480" s="1831"/>
      <c r="GNN480" s="1831"/>
      <c r="GNO480" s="1831"/>
      <c r="GNP480" s="1831"/>
      <c r="GNQ480" s="1831"/>
      <c r="GNR480" s="1831"/>
      <c r="GNS480" s="1831"/>
      <c r="GNT480" s="1831"/>
      <c r="GNU480" s="1831"/>
      <c r="GNV480" s="1831"/>
      <c r="GNW480" s="1831"/>
      <c r="GNX480" s="1831"/>
      <c r="GNY480" s="1831"/>
      <c r="GNZ480" s="1831"/>
      <c r="GOA480" s="1831"/>
      <c r="GOB480" s="1831"/>
      <c r="GOC480" s="1831"/>
      <c r="GOD480" s="1831"/>
      <c r="GOE480" s="1831"/>
      <c r="GOF480" s="1831"/>
      <c r="GOG480" s="1831"/>
      <c r="GOH480" s="1831"/>
      <c r="GOI480" s="1831"/>
      <c r="GOJ480" s="1831"/>
      <c r="GOK480" s="1831"/>
      <c r="GOL480" s="1831"/>
      <c r="GOM480" s="1831"/>
      <c r="GON480" s="1831"/>
      <c r="GOO480" s="1831"/>
      <c r="GOP480" s="1831"/>
      <c r="GOQ480" s="1831"/>
      <c r="GOR480" s="1831"/>
      <c r="GOS480" s="1831"/>
      <c r="GOT480" s="1831"/>
      <c r="GOU480" s="1831"/>
      <c r="GOV480" s="1831"/>
      <c r="GOW480" s="1831"/>
      <c r="GOX480" s="1831"/>
      <c r="GOY480" s="1831"/>
      <c r="GOZ480" s="1831"/>
      <c r="GPA480" s="1831"/>
      <c r="GPB480" s="1831"/>
      <c r="GPC480" s="1831"/>
      <c r="GPD480" s="1831"/>
      <c r="GPE480" s="1831"/>
      <c r="GPF480" s="1831"/>
      <c r="GPG480" s="1831"/>
      <c r="GPH480" s="1831"/>
      <c r="GPI480" s="1831"/>
      <c r="GPJ480" s="1831"/>
      <c r="GPK480" s="1831"/>
      <c r="GPL480" s="1831"/>
      <c r="GPM480" s="1831"/>
      <c r="GPN480" s="1831"/>
      <c r="GPO480" s="1831"/>
      <c r="GPP480" s="1831"/>
      <c r="GPQ480" s="1831"/>
      <c r="GPR480" s="1831"/>
      <c r="GPS480" s="1831"/>
      <c r="GPT480" s="1831"/>
      <c r="GPU480" s="1831"/>
      <c r="GPV480" s="1831"/>
      <c r="GPW480" s="1831"/>
      <c r="GPX480" s="1831"/>
      <c r="GPY480" s="1831"/>
      <c r="GPZ480" s="1831"/>
      <c r="GQA480" s="1831"/>
      <c r="GQB480" s="1831"/>
      <c r="GQC480" s="1831"/>
      <c r="GQD480" s="1831"/>
      <c r="GQE480" s="1831"/>
      <c r="GQF480" s="1831"/>
      <c r="GQG480" s="1831"/>
      <c r="GQH480" s="1831"/>
      <c r="GQI480" s="1831"/>
      <c r="GQJ480" s="1831"/>
      <c r="GQK480" s="1831"/>
      <c r="GQL480" s="1831"/>
      <c r="GQM480" s="1831"/>
      <c r="GQN480" s="1831"/>
      <c r="GQO480" s="1831"/>
      <c r="GQP480" s="1831"/>
      <c r="GQQ480" s="1831"/>
      <c r="GQR480" s="1831"/>
      <c r="GQS480" s="1831"/>
      <c r="GQT480" s="1831"/>
      <c r="GQU480" s="1831"/>
      <c r="GQV480" s="1831"/>
      <c r="GQW480" s="1831"/>
      <c r="GQX480" s="1831"/>
      <c r="GQY480" s="1831"/>
      <c r="GQZ480" s="1831"/>
      <c r="GRA480" s="1831"/>
      <c r="GRB480" s="1831"/>
      <c r="GRC480" s="1831"/>
      <c r="GRD480" s="1831"/>
      <c r="GRE480" s="1831"/>
      <c r="GRF480" s="1831"/>
      <c r="GRG480" s="1831"/>
      <c r="GRH480" s="1831"/>
      <c r="GRI480" s="1831"/>
      <c r="GRJ480" s="1831"/>
      <c r="GRK480" s="1831"/>
      <c r="GRL480" s="1831"/>
      <c r="GRM480" s="1831"/>
      <c r="GRN480" s="1831"/>
      <c r="GRO480" s="1831"/>
      <c r="GRP480" s="1831"/>
      <c r="GRQ480" s="1831"/>
      <c r="GRR480" s="1831"/>
      <c r="GRS480" s="1831"/>
      <c r="GRT480" s="1831"/>
      <c r="GRU480" s="1831"/>
      <c r="GRV480" s="1831"/>
      <c r="GRW480" s="1831"/>
      <c r="GRX480" s="1831"/>
      <c r="GRY480" s="1831"/>
      <c r="GRZ480" s="1831"/>
      <c r="GSA480" s="1831"/>
      <c r="GSB480" s="1831"/>
      <c r="GSC480" s="1831"/>
      <c r="GSD480" s="1831"/>
      <c r="GSE480" s="1831"/>
      <c r="GSF480" s="1831"/>
      <c r="GSG480" s="1831"/>
      <c r="GSH480" s="1831"/>
      <c r="GSI480" s="1831"/>
      <c r="GSJ480" s="1831"/>
      <c r="GSK480" s="1831"/>
      <c r="GSL480" s="1831"/>
      <c r="GSM480" s="1831"/>
      <c r="GSN480" s="1831"/>
      <c r="GSO480" s="1831"/>
      <c r="GSP480" s="1831"/>
      <c r="GSQ480" s="1831"/>
      <c r="GSR480" s="1831"/>
      <c r="GSS480" s="1831"/>
      <c r="GST480" s="1831"/>
      <c r="GSU480" s="1831"/>
      <c r="GSV480" s="1831"/>
      <c r="GSW480" s="1831"/>
      <c r="GSX480" s="1831"/>
      <c r="GSY480" s="1831"/>
      <c r="GSZ480" s="1831"/>
      <c r="GTA480" s="1831"/>
      <c r="GTB480" s="1831"/>
      <c r="GTC480" s="1831"/>
      <c r="GTD480" s="1831"/>
      <c r="GTE480" s="1831"/>
      <c r="GTF480" s="1831"/>
      <c r="GTG480" s="1831"/>
      <c r="GTH480" s="1831"/>
      <c r="GTI480" s="1831"/>
      <c r="GTJ480" s="1831"/>
      <c r="GTK480" s="1831"/>
      <c r="GTL480" s="1831"/>
      <c r="GTM480" s="1831"/>
      <c r="GTN480" s="1831"/>
      <c r="GTO480" s="1831"/>
      <c r="GTP480" s="1831"/>
      <c r="GTQ480" s="1831"/>
      <c r="GTR480" s="1831"/>
      <c r="GTS480" s="1831"/>
      <c r="GTT480" s="1831"/>
      <c r="GTU480" s="1831"/>
      <c r="GTV480" s="1831"/>
      <c r="GTW480" s="1831"/>
      <c r="GTX480" s="1831"/>
      <c r="GTY480" s="1831"/>
      <c r="GTZ480" s="1831"/>
      <c r="GUA480" s="1831"/>
      <c r="GUB480" s="1831"/>
      <c r="GUC480" s="1831"/>
      <c r="GUD480" s="1831"/>
      <c r="GUE480" s="1831"/>
      <c r="GUF480" s="1831"/>
      <c r="GUG480" s="1831"/>
      <c r="GUH480" s="1831"/>
      <c r="GUI480" s="1831"/>
      <c r="GUJ480" s="1831"/>
      <c r="GUK480" s="1831"/>
      <c r="GUL480" s="1831"/>
      <c r="GUM480" s="1831"/>
      <c r="GUN480" s="1831"/>
      <c r="GUO480" s="1831"/>
      <c r="GUP480" s="1831"/>
      <c r="GUQ480" s="1831"/>
      <c r="GUR480" s="1831"/>
      <c r="GUS480" s="1831"/>
      <c r="GUT480" s="1831"/>
      <c r="GUU480" s="1831"/>
      <c r="GUV480" s="1831"/>
      <c r="GUW480" s="1831"/>
      <c r="GUX480" s="1831"/>
      <c r="GUY480" s="1831"/>
      <c r="GUZ480" s="1831"/>
      <c r="GVA480" s="1831"/>
      <c r="GVB480" s="1831"/>
      <c r="GVC480" s="1831"/>
      <c r="GVD480" s="1831"/>
      <c r="GVE480" s="1831"/>
      <c r="GVF480" s="1831"/>
      <c r="GVG480" s="1831"/>
      <c r="GVH480" s="1831"/>
      <c r="GVI480" s="1831"/>
      <c r="GVJ480" s="1831"/>
      <c r="GVK480" s="1831"/>
      <c r="GVL480" s="1831"/>
      <c r="GVM480" s="1831"/>
      <c r="GVN480" s="1831"/>
      <c r="GVO480" s="1831"/>
      <c r="GVP480" s="1831"/>
      <c r="GVQ480" s="1831"/>
      <c r="GVR480" s="1831"/>
      <c r="GVS480" s="1831"/>
      <c r="GVT480" s="1831"/>
      <c r="GVU480" s="1831"/>
      <c r="GVV480" s="1831"/>
      <c r="GVW480" s="1831"/>
      <c r="GVX480" s="1831"/>
      <c r="GVY480" s="1831"/>
      <c r="GVZ480" s="1831"/>
      <c r="GWA480" s="1831"/>
      <c r="GWB480" s="1831"/>
      <c r="GWC480" s="1831"/>
      <c r="GWD480" s="1831"/>
      <c r="GWE480" s="1831"/>
      <c r="GWF480" s="1831"/>
      <c r="GWG480" s="1831"/>
      <c r="GWH480" s="1831"/>
      <c r="GWI480" s="1831"/>
      <c r="GWJ480" s="1831"/>
      <c r="GWK480" s="1831"/>
      <c r="GWL480" s="1831"/>
      <c r="GWM480" s="1831"/>
      <c r="GWN480" s="1831"/>
      <c r="GWO480" s="1831"/>
      <c r="GWP480" s="1831"/>
      <c r="GWQ480" s="1831"/>
      <c r="GWR480" s="1831"/>
      <c r="GWS480" s="1831"/>
      <c r="GWT480" s="1831"/>
      <c r="GWU480" s="1831"/>
      <c r="GWV480" s="1831"/>
      <c r="GWW480" s="1831"/>
      <c r="GWX480" s="1831"/>
      <c r="GWY480" s="1831"/>
      <c r="GWZ480" s="1831"/>
      <c r="GXA480" s="1831"/>
      <c r="GXB480" s="1831"/>
      <c r="GXC480" s="1831"/>
      <c r="GXD480" s="1831"/>
      <c r="GXE480" s="1831"/>
      <c r="GXF480" s="1831"/>
      <c r="GXG480" s="1831"/>
      <c r="GXH480" s="1831"/>
      <c r="GXI480" s="1831"/>
      <c r="GXJ480" s="1831"/>
      <c r="GXK480" s="1831"/>
      <c r="GXL480" s="1831"/>
      <c r="GXM480" s="1831"/>
      <c r="GXN480" s="1831"/>
      <c r="GXO480" s="1831"/>
      <c r="GXP480" s="1831"/>
      <c r="GXQ480" s="1831"/>
      <c r="GXR480" s="1831"/>
      <c r="GXS480" s="1831"/>
      <c r="GXT480" s="1831"/>
      <c r="GXU480" s="1831"/>
      <c r="GXV480" s="1831"/>
      <c r="GXW480" s="1831"/>
      <c r="GXX480" s="1831"/>
      <c r="GXY480" s="1831"/>
      <c r="GXZ480" s="1831"/>
      <c r="GYA480" s="1831"/>
      <c r="GYB480" s="1831"/>
      <c r="GYC480" s="1831"/>
      <c r="GYD480" s="1831"/>
      <c r="GYE480" s="1831"/>
      <c r="GYF480" s="1831"/>
      <c r="GYG480" s="1831"/>
      <c r="GYH480" s="1831"/>
      <c r="GYI480" s="1831"/>
      <c r="GYJ480" s="1831"/>
      <c r="GYK480" s="1831"/>
      <c r="GYL480" s="1831"/>
      <c r="GYM480" s="1831"/>
      <c r="GYN480" s="1831"/>
      <c r="GYO480" s="1831"/>
      <c r="GYP480" s="1831"/>
      <c r="GYQ480" s="1831"/>
      <c r="GYR480" s="1831"/>
      <c r="GYS480" s="1831"/>
      <c r="GYT480" s="1831"/>
      <c r="GYU480" s="1831"/>
      <c r="GYV480" s="1831"/>
      <c r="GYW480" s="1831"/>
      <c r="GYX480" s="1831"/>
      <c r="GYY480" s="1831"/>
      <c r="GYZ480" s="1831"/>
      <c r="GZA480" s="1831"/>
      <c r="GZB480" s="1831"/>
      <c r="GZC480" s="1831"/>
      <c r="GZD480" s="1831"/>
      <c r="GZE480" s="1831"/>
      <c r="GZF480" s="1831"/>
      <c r="GZG480" s="1831"/>
      <c r="GZH480" s="1831"/>
      <c r="GZI480" s="1831"/>
      <c r="GZJ480" s="1831"/>
      <c r="GZK480" s="1831"/>
      <c r="GZL480" s="1831"/>
      <c r="GZM480" s="1831"/>
      <c r="GZN480" s="1831"/>
      <c r="GZO480" s="1831"/>
      <c r="GZP480" s="1831"/>
      <c r="GZQ480" s="1831"/>
      <c r="GZR480" s="1831"/>
      <c r="GZS480" s="1831"/>
      <c r="GZT480" s="1831"/>
      <c r="GZU480" s="1831"/>
      <c r="GZV480" s="1831"/>
      <c r="GZW480" s="1831"/>
      <c r="GZX480" s="1831"/>
      <c r="GZY480" s="1831"/>
      <c r="GZZ480" s="1831"/>
      <c r="HAA480" s="1831"/>
      <c r="HAB480" s="1831"/>
      <c r="HAC480" s="1831"/>
      <c r="HAD480" s="1831"/>
      <c r="HAE480" s="1831"/>
      <c r="HAF480" s="1831"/>
      <c r="HAG480" s="1831"/>
      <c r="HAH480" s="1831"/>
      <c r="HAI480" s="1831"/>
      <c r="HAJ480" s="1831"/>
      <c r="HAK480" s="1831"/>
      <c r="HAL480" s="1831"/>
      <c r="HAM480" s="1831"/>
      <c r="HAN480" s="1831"/>
      <c r="HAO480" s="1831"/>
      <c r="HAP480" s="1831"/>
      <c r="HAQ480" s="1831"/>
      <c r="HAR480" s="1831"/>
      <c r="HAS480" s="1831"/>
      <c r="HAT480" s="1831"/>
      <c r="HAU480" s="1831"/>
      <c r="HAV480" s="1831"/>
      <c r="HAW480" s="1831"/>
      <c r="HAX480" s="1831"/>
      <c r="HAY480" s="1831"/>
      <c r="HAZ480" s="1831"/>
      <c r="HBA480" s="1831"/>
      <c r="HBB480" s="1831"/>
      <c r="HBC480" s="1831"/>
      <c r="HBD480" s="1831"/>
      <c r="HBE480" s="1831"/>
      <c r="HBF480" s="1831"/>
      <c r="HBG480" s="1831"/>
      <c r="HBH480" s="1831"/>
      <c r="HBI480" s="1831"/>
      <c r="HBJ480" s="1831"/>
      <c r="HBK480" s="1831"/>
      <c r="HBL480" s="1831"/>
      <c r="HBM480" s="1831"/>
      <c r="HBN480" s="1831"/>
      <c r="HBO480" s="1831"/>
      <c r="HBP480" s="1831"/>
      <c r="HBQ480" s="1831"/>
      <c r="HBR480" s="1831"/>
      <c r="HBS480" s="1831"/>
      <c r="HBT480" s="1831"/>
      <c r="HBU480" s="1831"/>
      <c r="HBV480" s="1831"/>
      <c r="HBW480" s="1831"/>
      <c r="HBX480" s="1831"/>
      <c r="HBY480" s="1831"/>
      <c r="HBZ480" s="1831"/>
      <c r="HCA480" s="1831"/>
      <c r="HCB480" s="1831"/>
      <c r="HCC480" s="1831"/>
      <c r="HCD480" s="1831"/>
      <c r="HCE480" s="1831"/>
      <c r="HCF480" s="1831"/>
      <c r="HCG480" s="1831"/>
      <c r="HCH480" s="1831"/>
      <c r="HCI480" s="1831"/>
      <c r="HCJ480" s="1831"/>
      <c r="HCK480" s="1831"/>
      <c r="HCL480" s="1831"/>
      <c r="HCM480" s="1831"/>
      <c r="HCN480" s="1831"/>
      <c r="HCO480" s="1831"/>
      <c r="HCP480" s="1831"/>
      <c r="HCQ480" s="1831"/>
      <c r="HCR480" s="1831"/>
      <c r="HCS480" s="1831"/>
      <c r="HCT480" s="1831"/>
      <c r="HCU480" s="1831"/>
      <c r="HCV480" s="1831"/>
      <c r="HCW480" s="1831"/>
      <c r="HCX480" s="1831"/>
      <c r="HCY480" s="1831"/>
      <c r="HCZ480" s="1831"/>
      <c r="HDA480" s="1831"/>
      <c r="HDB480" s="1831"/>
      <c r="HDC480" s="1831"/>
      <c r="HDD480" s="1831"/>
      <c r="HDE480" s="1831"/>
      <c r="HDF480" s="1831"/>
      <c r="HDG480" s="1831"/>
      <c r="HDH480" s="1831"/>
      <c r="HDI480" s="1831"/>
      <c r="HDJ480" s="1831"/>
      <c r="HDK480" s="1831"/>
      <c r="HDL480" s="1831"/>
      <c r="HDM480" s="1831"/>
      <c r="HDN480" s="1831"/>
      <c r="HDO480" s="1831"/>
      <c r="HDP480" s="1831"/>
      <c r="HDQ480" s="1831"/>
      <c r="HDR480" s="1831"/>
      <c r="HDS480" s="1831"/>
      <c r="HDT480" s="1831"/>
      <c r="HDU480" s="1831"/>
      <c r="HDV480" s="1831"/>
      <c r="HDW480" s="1831"/>
      <c r="HDX480" s="1831"/>
      <c r="HDY480" s="1831"/>
      <c r="HDZ480" s="1831"/>
      <c r="HEA480" s="1831"/>
      <c r="HEB480" s="1831"/>
      <c r="HEC480" s="1831"/>
      <c r="HED480" s="1831"/>
      <c r="HEE480" s="1831"/>
      <c r="HEF480" s="1831"/>
      <c r="HEG480" s="1831"/>
      <c r="HEH480" s="1831"/>
      <c r="HEI480" s="1831"/>
      <c r="HEJ480" s="1831"/>
      <c r="HEK480" s="1831"/>
      <c r="HEL480" s="1831"/>
      <c r="HEM480" s="1831"/>
      <c r="HEN480" s="1831"/>
      <c r="HEO480" s="1831"/>
      <c r="HEP480" s="1831"/>
      <c r="HEQ480" s="1831"/>
      <c r="HER480" s="1831"/>
      <c r="HES480" s="1831"/>
      <c r="HET480" s="1831"/>
      <c r="HEU480" s="1831"/>
      <c r="HEV480" s="1831"/>
      <c r="HEW480" s="1831"/>
      <c r="HEX480" s="1831"/>
      <c r="HEY480" s="1831"/>
      <c r="HEZ480" s="1831"/>
      <c r="HFA480" s="1831"/>
      <c r="HFB480" s="1831"/>
      <c r="HFC480" s="1831"/>
      <c r="HFD480" s="1831"/>
      <c r="HFE480" s="1831"/>
      <c r="HFF480" s="1831"/>
      <c r="HFG480" s="1831"/>
      <c r="HFH480" s="1831"/>
      <c r="HFI480" s="1831"/>
      <c r="HFJ480" s="1831"/>
      <c r="HFK480" s="1831"/>
      <c r="HFL480" s="1831"/>
      <c r="HFM480" s="1831"/>
      <c r="HFN480" s="1831"/>
      <c r="HFO480" s="1831"/>
      <c r="HFP480" s="1831"/>
      <c r="HFQ480" s="1831"/>
      <c r="HFR480" s="1831"/>
      <c r="HFS480" s="1831"/>
      <c r="HFT480" s="1831"/>
      <c r="HFU480" s="1831"/>
      <c r="HFV480" s="1831"/>
      <c r="HFW480" s="1831"/>
      <c r="HFX480" s="1831"/>
      <c r="HFY480" s="1831"/>
      <c r="HFZ480" s="1831"/>
      <c r="HGA480" s="1831"/>
      <c r="HGB480" s="1831"/>
      <c r="HGC480" s="1831"/>
      <c r="HGD480" s="1831"/>
      <c r="HGE480" s="1831"/>
      <c r="HGF480" s="1831"/>
      <c r="HGG480" s="1831"/>
      <c r="HGH480" s="1831"/>
      <c r="HGI480" s="1831"/>
      <c r="HGJ480" s="1831"/>
      <c r="HGK480" s="1831"/>
      <c r="HGL480" s="1831"/>
      <c r="HGM480" s="1831"/>
      <c r="HGN480" s="1831"/>
      <c r="HGO480" s="1831"/>
      <c r="HGP480" s="1831"/>
      <c r="HGQ480" s="1831"/>
      <c r="HGR480" s="1831"/>
      <c r="HGS480" s="1831"/>
      <c r="HGT480" s="1831"/>
      <c r="HGU480" s="1831"/>
      <c r="HGV480" s="1831"/>
      <c r="HGW480" s="1831"/>
      <c r="HGX480" s="1831"/>
      <c r="HGY480" s="1831"/>
      <c r="HGZ480" s="1831"/>
      <c r="HHA480" s="1831"/>
      <c r="HHB480" s="1831"/>
      <c r="HHC480" s="1831"/>
      <c r="HHD480" s="1831"/>
      <c r="HHE480" s="1831"/>
      <c r="HHF480" s="1831"/>
      <c r="HHG480" s="1831"/>
      <c r="HHH480" s="1831"/>
      <c r="HHI480" s="1831"/>
      <c r="HHJ480" s="1831"/>
      <c r="HHK480" s="1831"/>
      <c r="HHL480" s="1831"/>
      <c r="HHM480" s="1831"/>
      <c r="HHN480" s="1831"/>
      <c r="HHO480" s="1831"/>
      <c r="HHP480" s="1831"/>
      <c r="HHQ480" s="1831"/>
      <c r="HHR480" s="1831"/>
      <c r="HHS480" s="1831"/>
      <c r="HHT480" s="1831"/>
      <c r="HHU480" s="1831"/>
      <c r="HHV480" s="1831"/>
      <c r="HHW480" s="1831"/>
      <c r="HHX480" s="1831"/>
      <c r="HHY480" s="1831"/>
      <c r="HHZ480" s="1831"/>
      <c r="HIA480" s="1831"/>
      <c r="HIB480" s="1831"/>
      <c r="HIC480" s="1831"/>
      <c r="HID480" s="1831"/>
      <c r="HIE480" s="1831"/>
      <c r="HIF480" s="1831"/>
      <c r="HIG480" s="1831"/>
      <c r="HIH480" s="1831"/>
      <c r="HII480" s="1831"/>
      <c r="HIJ480" s="1831"/>
      <c r="HIK480" s="1831"/>
      <c r="HIL480" s="1831"/>
      <c r="HIM480" s="1831"/>
      <c r="HIN480" s="1831"/>
      <c r="HIO480" s="1831"/>
      <c r="HIP480" s="1831"/>
      <c r="HIQ480" s="1831"/>
      <c r="HIR480" s="1831"/>
      <c r="HIS480" s="1831"/>
      <c r="HIT480" s="1831"/>
      <c r="HIU480" s="1831"/>
      <c r="HIV480" s="1831"/>
      <c r="HIW480" s="1831"/>
      <c r="HIX480" s="1831"/>
      <c r="HIY480" s="1831"/>
      <c r="HIZ480" s="1831"/>
      <c r="HJA480" s="1831"/>
      <c r="HJB480" s="1831"/>
      <c r="HJC480" s="1831"/>
      <c r="HJD480" s="1831"/>
      <c r="HJE480" s="1831"/>
      <c r="HJF480" s="1831"/>
      <c r="HJG480" s="1831"/>
      <c r="HJH480" s="1831"/>
      <c r="HJI480" s="1831"/>
      <c r="HJJ480" s="1831"/>
      <c r="HJK480" s="1831"/>
      <c r="HJL480" s="1831"/>
      <c r="HJM480" s="1831"/>
      <c r="HJN480" s="1831"/>
      <c r="HJO480" s="1831"/>
      <c r="HJP480" s="1831"/>
      <c r="HJQ480" s="1831"/>
      <c r="HJR480" s="1831"/>
      <c r="HJS480" s="1831"/>
      <c r="HJT480" s="1831"/>
      <c r="HJU480" s="1831"/>
      <c r="HJV480" s="1831"/>
      <c r="HJW480" s="1831"/>
      <c r="HJX480" s="1831"/>
      <c r="HJY480" s="1831"/>
      <c r="HJZ480" s="1831"/>
      <c r="HKA480" s="1831"/>
      <c r="HKB480" s="1831"/>
      <c r="HKC480" s="1831"/>
      <c r="HKD480" s="1831"/>
      <c r="HKE480" s="1831"/>
      <c r="HKF480" s="1831"/>
      <c r="HKG480" s="1831"/>
      <c r="HKH480" s="1831"/>
      <c r="HKI480" s="1831"/>
      <c r="HKJ480" s="1831"/>
      <c r="HKK480" s="1831"/>
      <c r="HKL480" s="1831"/>
      <c r="HKM480" s="1831"/>
      <c r="HKN480" s="1831"/>
      <c r="HKO480" s="1831"/>
      <c r="HKP480" s="1831"/>
      <c r="HKQ480" s="1831"/>
      <c r="HKR480" s="1831"/>
      <c r="HKS480" s="1831"/>
      <c r="HKT480" s="1831"/>
      <c r="HKU480" s="1831"/>
      <c r="HKV480" s="1831"/>
      <c r="HKW480" s="1831"/>
      <c r="HKX480" s="1831"/>
      <c r="HKY480" s="1831"/>
      <c r="HKZ480" s="1831"/>
      <c r="HLA480" s="1831"/>
      <c r="HLB480" s="1831"/>
      <c r="HLC480" s="1831"/>
      <c r="HLD480" s="1831"/>
      <c r="HLE480" s="1831"/>
      <c r="HLF480" s="1831"/>
      <c r="HLG480" s="1831"/>
      <c r="HLH480" s="1831"/>
      <c r="HLI480" s="1831"/>
      <c r="HLJ480" s="1831"/>
      <c r="HLK480" s="1831"/>
      <c r="HLL480" s="1831"/>
      <c r="HLM480" s="1831"/>
      <c r="HLN480" s="1831"/>
      <c r="HLO480" s="1831"/>
      <c r="HLP480" s="1831"/>
      <c r="HLQ480" s="1831"/>
      <c r="HLR480" s="1831"/>
      <c r="HLS480" s="1831"/>
      <c r="HLT480" s="1831"/>
      <c r="HLU480" s="1831"/>
      <c r="HLV480" s="1831"/>
      <c r="HLW480" s="1831"/>
      <c r="HLX480" s="1831"/>
      <c r="HLY480" s="1831"/>
      <c r="HLZ480" s="1831"/>
      <c r="HMA480" s="1831"/>
      <c r="HMB480" s="1831"/>
      <c r="HMC480" s="1831"/>
      <c r="HMD480" s="1831"/>
      <c r="HME480" s="1831"/>
      <c r="HMF480" s="1831"/>
      <c r="HMG480" s="1831"/>
      <c r="HMH480" s="1831"/>
      <c r="HMI480" s="1831"/>
      <c r="HMJ480" s="1831"/>
      <c r="HMK480" s="1831"/>
      <c r="HML480" s="1831"/>
      <c r="HMM480" s="1831"/>
      <c r="HMN480" s="1831"/>
      <c r="HMO480" s="1831"/>
      <c r="HMP480" s="1831"/>
      <c r="HMQ480" s="1831"/>
      <c r="HMR480" s="1831"/>
      <c r="HMS480" s="1831"/>
      <c r="HMT480" s="1831"/>
      <c r="HMU480" s="1831"/>
      <c r="HMV480" s="1831"/>
      <c r="HMW480" s="1831"/>
      <c r="HMX480" s="1831"/>
      <c r="HMY480" s="1831"/>
      <c r="HMZ480" s="1831"/>
      <c r="HNA480" s="1831"/>
      <c r="HNB480" s="1831"/>
      <c r="HNC480" s="1831"/>
      <c r="HND480" s="1831"/>
      <c r="HNE480" s="1831"/>
      <c r="HNF480" s="1831"/>
      <c r="HNG480" s="1831"/>
      <c r="HNH480" s="1831"/>
      <c r="HNI480" s="1831"/>
      <c r="HNJ480" s="1831"/>
      <c r="HNK480" s="1831"/>
      <c r="HNL480" s="1831"/>
      <c r="HNM480" s="1831"/>
      <c r="HNN480" s="1831"/>
      <c r="HNO480" s="1831"/>
      <c r="HNP480" s="1831"/>
      <c r="HNQ480" s="1831"/>
      <c r="HNR480" s="1831"/>
      <c r="HNS480" s="1831"/>
      <c r="HNT480" s="1831"/>
      <c r="HNU480" s="1831"/>
      <c r="HNV480" s="1831"/>
      <c r="HNW480" s="1831"/>
      <c r="HNX480" s="1831"/>
      <c r="HNY480" s="1831"/>
      <c r="HNZ480" s="1831"/>
      <c r="HOA480" s="1831"/>
      <c r="HOB480" s="1831"/>
      <c r="HOC480" s="1831"/>
      <c r="HOD480" s="1831"/>
      <c r="HOE480" s="1831"/>
      <c r="HOF480" s="1831"/>
      <c r="HOG480" s="1831"/>
      <c r="HOH480" s="1831"/>
      <c r="HOI480" s="1831"/>
      <c r="HOJ480" s="1831"/>
      <c r="HOK480" s="1831"/>
      <c r="HOL480" s="1831"/>
      <c r="HOM480" s="1831"/>
      <c r="HON480" s="1831"/>
      <c r="HOO480" s="1831"/>
      <c r="HOP480" s="1831"/>
      <c r="HOQ480" s="1831"/>
      <c r="HOR480" s="1831"/>
      <c r="HOS480" s="1831"/>
      <c r="HOT480" s="1831"/>
      <c r="HOU480" s="1831"/>
      <c r="HOV480" s="1831"/>
      <c r="HOW480" s="1831"/>
      <c r="HOX480" s="1831"/>
      <c r="HOY480" s="1831"/>
      <c r="HOZ480" s="1831"/>
      <c r="HPA480" s="1831"/>
      <c r="HPB480" s="1831"/>
      <c r="HPC480" s="1831"/>
      <c r="HPD480" s="1831"/>
      <c r="HPE480" s="1831"/>
      <c r="HPF480" s="1831"/>
      <c r="HPG480" s="1831"/>
      <c r="HPH480" s="1831"/>
      <c r="HPI480" s="1831"/>
      <c r="HPJ480" s="1831"/>
      <c r="HPK480" s="1831"/>
      <c r="HPL480" s="1831"/>
      <c r="HPM480" s="1831"/>
      <c r="HPN480" s="1831"/>
      <c r="HPO480" s="1831"/>
      <c r="HPP480" s="1831"/>
      <c r="HPQ480" s="1831"/>
      <c r="HPR480" s="1831"/>
      <c r="HPS480" s="1831"/>
      <c r="HPT480" s="1831"/>
      <c r="HPU480" s="1831"/>
      <c r="HPV480" s="1831"/>
      <c r="HPW480" s="1831"/>
      <c r="HPX480" s="1831"/>
      <c r="HPY480" s="1831"/>
      <c r="HPZ480" s="1831"/>
      <c r="HQA480" s="1831"/>
      <c r="HQB480" s="1831"/>
      <c r="HQC480" s="1831"/>
      <c r="HQD480" s="1831"/>
      <c r="HQE480" s="1831"/>
      <c r="HQF480" s="1831"/>
      <c r="HQG480" s="1831"/>
      <c r="HQH480" s="1831"/>
      <c r="HQI480" s="1831"/>
      <c r="HQJ480" s="1831"/>
      <c r="HQK480" s="1831"/>
      <c r="HQL480" s="1831"/>
      <c r="HQM480" s="1831"/>
      <c r="HQN480" s="1831"/>
      <c r="HQO480" s="1831"/>
      <c r="HQP480" s="1831"/>
      <c r="HQQ480" s="1831"/>
      <c r="HQR480" s="1831"/>
      <c r="HQS480" s="1831"/>
      <c r="HQT480" s="1831"/>
      <c r="HQU480" s="1831"/>
      <c r="HQV480" s="1831"/>
      <c r="HQW480" s="1831"/>
      <c r="HQX480" s="1831"/>
      <c r="HQY480" s="1831"/>
      <c r="HQZ480" s="1831"/>
      <c r="HRA480" s="1831"/>
      <c r="HRB480" s="1831"/>
      <c r="HRC480" s="1831"/>
      <c r="HRD480" s="1831"/>
      <c r="HRE480" s="1831"/>
      <c r="HRF480" s="1831"/>
      <c r="HRG480" s="1831"/>
      <c r="HRH480" s="1831"/>
      <c r="HRI480" s="1831"/>
      <c r="HRJ480" s="1831"/>
      <c r="HRK480" s="1831"/>
      <c r="HRL480" s="1831"/>
      <c r="HRM480" s="1831"/>
      <c r="HRN480" s="1831"/>
      <c r="HRO480" s="1831"/>
      <c r="HRP480" s="1831"/>
      <c r="HRQ480" s="1831"/>
      <c r="HRR480" s="1831"/>
      <c r="HRS480" s="1831"/>
      <c r="HRT480" s="1831"/>
      <c r="HRU480" s="1831"/>
      <c r="HRV480" s="1831"/>
      <c r="HRW480" s="1831"/>
      <c r="HRX480" s="1831"/>
      <c r="HRY480" s="1831"/>
      <c r="HRZ480" s="1831"/>
      <c r="HSA480" s="1831"/>
      <c r="HSB480" s="1831"/>
      <c r="HSC480" s="1831"/>
      <c r="HSD480" s="1831"/>
      <c r="HSE480" s="1831"/>
      <c r="HSF480" s="1831"/>
      <c r="HSG480" s="1831"/>
      <c r="HSH480" s="1831"/>
      <c r="HSI480" s="1831"/>
      <c r="HSJ480" s="1831"/>
      <c r="HSK480" s="1831"/>
      <c r="HSL480" s="1831"/>
      <c r="HSM480" s="1831"/>
      <c r="HSN480" s="1831"/>
      <c r="HSO480" s="1831"/>
      <c r="HSP480" s="1831"/>
      <c r="HSQ480" s="1831"/>
      <c r="HSR480" s="1831"/>
      <c r="HSS480" s="1831"/>
      <c r="HST480" s="1831"/>
      <c r="HSU480" s="1831"/>
      <c r="HSV480" s="1831"/>
      <c r="HSW480" s="1831"/>
      <c r="HSX480" s="1831"/>
      <c r="HSY480" s="1831"/>
      <c r="HSZ480" s="1831"/>
      <c r="HTA480" s="1831"/>
      <c r="HTB480" s="1831"/>
      <c r="HTC480" s="1831"/>
      <c r="HTD480" s="1831"/>
      <c r="HTE480" s="1831"/>
      <c r="HTF480" s="1831"/>
      <c r="HTG480" s="1831"/>
      <c r="HTH480" s="1831"/>
      <c r="HTI480" s="1831"/>
      <c r="HTJ480" s="1831"/>
      <c r="HTK480" s="1831"/>
      <c r="HTL480" s="1831"/>
      <c r="HTM480" s="1831"/>
      <c r="HTN480" s="1831"/>
      <c r="HTO480" s="1831"/>
      <c r="HTP480" s="1831"/>
      <c r="HTQ480" s="1831"/>
      <c r="HTR480" s="1831"/>
      <c r="HTS480" s="1831"/>
      <c r="HTT480" s="1831"/>
      <c r="HTU480" s="1831"/>
      <c r="HTV480" s="1831"/>
      <c r="HTW480" s="1831"/>
      <c r="HTX480" s="1831"/>
      <c r="HTY480" s="1831"/>
      <c r="HTZ480" s="1831"/>
      <c r="HUA480" s="1831"/>
      <c r="HUB480" s="1831"/>
      <c r="HUC480" s="1831"/>
      <c r="HUD480" s="1831"/>
      <c r="HUE480" s="1831"/>
      <c r="HUF480" s="1831"/>
      <c r="HUG480" s="1831"/>
      <c r="HUH480" s="1831"/>
      <c r="HUI480" s="1831"/>
      <c r="HUJ480" s="1831"/>
      <c r="HUK480" s="1831"/>
      <c r="HUL480" s="1831"/>
      <c r="HUM480" s="1831"/>
      <c r="HUN480" s="1831"/>
      <c r="HUO480" s="1831"/>
      <c r="HUP480" s="1831"/>
      <c r="HUQ480" s="1831"/>
      <c r="HUR480" s="1831"/>
      <c r="HUS480" s="1831"/>
      <c r="HUT480" s="1831"/>
      <c r="HUU480" s="1831"/>
      <c r="HUV480" s="1831"/>
      <c r="HUW480" s="1831"/>
      <c r="HUX480" s="1831"/>
      <c r="HUY480" s="1831"/>
      <c r="HUZ480" s="1831"/>
      <c r="HVA480" s="1831"/>
      <c r="HVB480" s="1831"/>
      <c r="HVC480" s="1831"/>
      <c r="HVD480" s="1831"/>
      <c r="HVE480" s="1831"/>
      <c r="HVF480" s="1831"/>
      <c r="HVG480" s="1831"/>
      <c r="HVH480" s="1831"/>
      <c r="HVI480" s="1831"/>
      <c r="HVJ480" s="1831"/>
      <c r="HVK480" s="1831"/>
      <c r="HVL480" s="1831"/>
      <c r="HVM480" s="1831"/>
      <c r="HVN480" s="1831"/>
      <c r="HVO480" s="1831"/>
      <c r="HVP480" s="1831"/>
      <c r="HVQ480" s="1831"/>
      <c r="HVR480" s="1831"/>
      <c r="HVS480" s="1831"/>
      <c r="HVT480" s="1831"/>
      <c r="HVU480" s="1831"/>
      <c r="HVV480" s="1831"/>
      <c r="HVW480" s="1831"/>
      <c r="HVX480" s="1831"/>
      <c r="HVY480" s="1831"/>
      <c r="HVZ480" s="1831"/>
      <c r="HWA480" s="1831"/>
      <c r="HWB480" s="1831"/>
      <c r="HWC480" s="1831"/>
      <c r="HWD480" s="1831"/>
      <c r="HWE480" s="1831"/>
      <c r="HWF480" s="1831"/>
      <c r="HWG480" s="1831"/>
      <c r="HWH480" s="1831"/>
      <c r="HWI480" s="1831"/>
      <c r="HWJ480" s="1831"/>
      <c r="HWK480" s="1831"/>
      <c r="HWL480" s="1831"/>
      <c r="HWM480" s="1831"/>
      <c r="HWN480" s="1831"/>
      <c r="HWO480" s="1831"/>
      <c r="HWP480" s="1831"/>
      <c r="HWQ480" s="1831"/>
      <c r="HWR480" s="1831"/>
      <c r="HWS480" s="1831"/>
      <c r="HWT480" s="1831"/>
      <c r="HWU480" s="1831"/>
      <c r="HWV480" s="1831"/>
      <c r="HWW480" s="1831"/>
      <c r="HWX480" s="1831"/>
      <c r="HWY480" s="1831"/>
      <c r="HWZ480" s="1831"/>
      <c r="HXA480" s="1831"/>
      <c r="HXB480" s="1831"/>
      <c r="HXC480" s="1831"/>
      <c r="HXD480" s="1831"/>
      <c r="HXE480" s="1831"/>
      <c r="HXF480" s="1831"/>
      <c r="HXG480" s="1831"/>
      <c r="HXH480" s="1831"/>
      <c r="HXI480" s="1831"/>
      <c r="HXJ480" s="1831"/>
      <c r="HXK480" s="1831"/>
      <c r="HXL480" s="1831"/>
      <c r="HXM480" s="1831"/>
      <c r="HXN480" s="1831"/>
      <c r="HXO480" s="1831"/>
      <c r="HXP480" s="1831"/>
      <c r="HXQ480" s="1831"/>
      <c r="HXR480" s="1831"/>
      <c r="HXS480" s="1831"/>
      <c r="HXT480" s="1831"/>
      <c r="HXU480" s="1831"/>
      <c r="HXV480" s="1831"/>
      <c r="HXW480" s="1831"/>
      <c r="HXX480" s="1831"/>
      <c r="HXY480" s="1831"/>
      <c r="HXZ480" s="1831"/>
      <c r="HYA480" s="1831"/>
      <c r="HYB480" s="1831"/>
      <c r="HYC480" s="1831"/>
      <c r="HYD480" s="1831"/>
      <c r="HYE480" s="1831"/>
      <c r="HYF480" s="1831"/>
      <c r="HYG480" s="1831"/>
      <c r="HYH480" s="1831"/>
      <c r="HYI480" s="1831"/>
      <c r="HYJ480" s="1831"/>
      <c r="HYK480" s="1831"/>
      <c r="HYL480" s="1831"/>
      <c r="HYM480" s="1831"/>
      <c r="HYN480" s="1831"/>
      <c r="HYO480" s="1831"/>
      <c r="HYP480" s="1831"/>
      <c r="HYQ480" s="1831"/>
      <c r="HYR480" s="1831"/>
      <c r="HYS480" s="1831"/>
      <c r="HYT480" s="1831"/>
      <c r="HYU480" s="1831"/>
      <c r="HYV480" s="1831"/>
      <c r="HYW480" s="1831"/>
      <c r="HYX480" s="1831"/>
      <c r="HYY480" s="1831"/>
      <c r="HYZ480" s="1831"/>
      <c r="HZA480" s="1831"/>
      <c r="HZB480" s="1831"/>
      <c r="HZC480" s="1831"/>
      <c r="HZD480" s="1831"/>
      <c r="HZE480" s="1831"/>
      <c r="HZF480" s="1831"/>
      <c r="HZG480" s="1831"/>
      <c r="HZH480" s="1831"/>
      <c r="HZI480" s="1831"/>
      <c r="HZJ480" s="1831"/>
      <c r="HZK480" s="1831"/>
      <c r="HZL480" s="1831"/>
      <c r="HZM480" s="1831"/>
      <c r="HZN480" s="1831"/>
      <c r="HZO480" s="1831"/>
      <c r="HZP480" s="1831"/>
      <c r="HZQ480" s="1831"/>
      <c r="HZR480" s="1831"/>
      <c r="HZS480" s="1831"/>
      <c r="HZT480" s="1831"/>
      <c r="HZU480" s="1831"/>
      <c r="HZV480" s="1831"/>
      <c r="HZW480" s="1831"/>
      <c r="HZX480" s="1831"/>
      <c r="HZY480" s="1831"/>
      <c r="HZZ480" s="1831"/>
      <c r="IAA480" s="1831"/>
      <c r="IAB480" s="1831"/>
      <c r="IAC480" s="1831"/>
      <c r="IAD480" s="1831"/>
      <c r="IAE480" s="1831"/>
      <c r="IAF480" s="1831"/>
      <c r="IAG480" s="1831"/>
      <c r="IAH480" s="1831"/>
      <c r="IAI480" s="1831"/>
      <c r="IAJ480" s="1831"/>
      <c r="IAK480" s="1831"/>
      <c r="IAL480" s="1831"/>
      <c r="IAM480" s="1831"/>
      <c r="IAN480" s="1831"/>
      <c r="IAO480" s="1831"/>
      <c r="IAP480" s="1831"/>
      <c r="IAQ480" s="1831"/>
      <c r="IAR480" s="1831"/>
      <c r="IAS480" s="1831"/>
      <c r="IAT480" s="1831"/>
      <c r="IAU480" s="1831"/>
      <c r="IAV480" s="1831"/>
      <c r="IAW480" s="1831"/>
      <c r="IAX480" s="1831"/>
      <c r="IAY480" s="1831"/>
      <c r="IAZ480" s="1831"/>
      <c r="IBA480" s="1831"/>
      <c r="IBB480" s="1831"/>
      <c r="IBC480" s="1831"/>
      <c r="IBD480" s="1831"/>
      <c r="IBE480" s="1831"/>
      <c r="IBF480" s="1831"/>
      <c r="IBG480" s="1831"/>
      <c r="IBH480" s="1831"/>
      <c r="IBI480" s="1831"/>
      <c r="IBJ480" s="1831"/>
      <c r="IBK480" s="1831"/>
      <c r="IBL480" s="1831"/>
      <c r="IBM480" s="1831"/>
      <c r="IBN480" s="1831"/>
      <c r="IBO480" s="1831"/>
      <c r="IBP480" s="1831"/>
      <c r="IBQ480" s="1831"/>
      <c r="IBR480" s="1831"/>
      <c r="IBS480" s="1831"/>
      <c r="IBT480" s="1831"/>
      <c r="IBU480" s="1831"/>
      <c r="IBV480" s="1831"/>
      <c r="IBW480" s="1831"/>
      <c r="IBX480" s="1831"/>
      <c r="IBY480" s="1831"/>
      <c r="IBZ480" s="1831"/>
      <c r="ICA480" s="1831"/>
      <c r="ICB480" s="1831"/>
      <c r="ICC480" s="1831"/>
      <c r="ICD480" s="1831"/>
      <c r="ICE480" s="1831"/>
      <c r="ICF480" s="1831"/>
      <c r="ICG480" s="1831"/>
      <c r="ICH480" s="1831"/>
      <c r="ICI480" s="1831"/>
      <c r="ICJ480" s="1831"/>
      <c r="ICK480" s="1831"/>
      <c r="ICL480" s="1831"/>
      <c r="ICM480" s="1831"/>
      <c r="ICN480" s="1831"/>
      <c r="ICO480" s="1831"/>
      <c r="ICP480" s="1831"/>
      <c r="ICQ480" s="1831"/>
      <c r="ICR480" s="1831"/>
      <c r="ICS480" s="1831"/>
      <c r="ICT480" s="1831"/>
      <c r="ICU480" s="1831"/>
      <c r="ICV480" s="1831"/>
      <c r="ICW480" s="1831"/>
      <c r="ICX480" s="1831"/>
      <c r="ICY480" s="1831"/>
      <c r="ICZ480" s="1831"/>
      <c r="IDA480" s="1831"/>
      <c r="IDB480" s="1831"/>
      <c r="IDC480" s="1831"/>
      <c r="IDD480" s="1831"/>
      <c r="IDE480" s="1831"/>
      <c r="IDF480" s="1831"/>
      <c r="IDG480" s="1831"/>
      <c r="IDH480" s="1831"/>
      <c r="IDI480" s="1831"/>
      <c r="IDJ480" s="1831"/>
      <c r="IDK480" s="1831"/>
      <c r="IDL480" s="1831"/>
      <c r="IDM480" s="1831"/>
      <c r="IDN480" s="1831"/>
      <c r="IDO480" s="1831"/>
      <c r="IDP480" s="1831"/>
      <c r="IDQ480" s="1831"/>
      <c r="IDR480" s="1831"/>
      <c r="IDS480" s="1831"/>
      <c r="IDT480" s="1831"/>
      <c r="IDU480" s="1831"/>
      <c r="IDV480" s="1831"/>
      <c r="IDW480" s="1831"/>
      <c r="IDX480" s="1831"/>
      <c r="IDY480" s="1831"/>
      <c r="IDZ480" s="1831"/>
      <c r="IEA480" s="1831"/>
      <c r="IEB480" s="1831"/>
      <c r="IEC480" s="1831"/>
      <c r="IED480" s="1831"/>
      <c r="IEE480" s="1831"/>
      <c r="IEF480" s="1831"/>
      <c r="IEG480" s="1831"/>
      <c r="IEH480" s="1831"/>
      <c r="IEI480" s="1831"/>
      <c r="IEJ480" s="1831"/>
      <c r="IEK480" s="1831"/>
      <c r="IEL480" s="1831"/>
      <c r="IEM480" s="1831"/>
      <c r="IEN480" s="1831"/>
      <c r="IEO480" s="1831"/>
      <c r="IEP480" s="1831"/>
      <c r="IEQ480" s="1831"/>
      <c r="IER480" s="1831"/>
      <c r="IES480" s="1831"/>
      <c r="IET480" s="1831"/>
      <c r="IEU480" s="1831"/>
      <c r="IEV480" s="1831"/>
      <c r="IEW480" s="1831"/>
      <c r="IEX480" s="1831"/>
      <c r="IEY480" s="1831"/>
      <c r="IEZ480" s="1831"/>
      <c r="IFA480" s="1831"/>
      <c r="IFB480" s="1831"/>
      <c r="IFC480" s="1831"/>
      <c r="IFD480" s="1831"/>
      <c r="IFE480" s="1831"/>
      <c r="IFF480" s="1831"/>
      <c r="IFG480" s="1831"/>
      <c r="IFH480" s="1831"/>
      <c r="IFI480" s="1831"/>
      <c r="IFJ480" s="1831"/>
      <c r="IFK480" s="1831"/>
      <c r="IFL480" s="1831"/>
      <c r="IFM480" s="1831"/>
      <c r="IFN480" s="1831"/>
      <c r="IFO480" s="1831"/>
      <c r="IFP480" s="1831"/>
      <c r="IFQ480" s="1831"/>
      <c r="IFR480" s="1831"/>
      <c r="IFS480" s="1831"/>
      <c r="IFT480" s="1831"/>
      <c r="IFU480" s="1831"/>
      <c r="IFV480" s="1831"/>
      <c r="IFW480" s="1831"/>
      <c r="IFX480" s="1831"/>
      <c r="IFY480" s="1831"/>
      <c r="IFZ480" s="1831"/>
      <c r="IGA480" s="1831"/>
      <c r="IGB480" s="1831"/>
      <c r="IGC480" s="1831"/>
      <c r="IGD480" s="1831"/>
      <c r="IGE480" s="1831"/>
      <c r="IGF480" s="1831"/>
      <c r="IGG480" s="1831"/>
      <c r="IGH480" s="1831"/>
      <c r="IGI480" s="1831"/>
      <c r="IGJ480" s="1831"/>
      <c r="IGK480" s="1831"/>
      <c r="IGL480" s="1831"/>
      <c r="IGM480" s="1831"/>
      <c r="IGN480" s="1831"/>
      <c r="IGO480" s="1831"/>
      <c r="IGP480" s="1831"/>
      <c r="IGQ480" s="1831"/>
      <c r="IGR480" s="1831"/>
      <c r="IGS480" s="1831"/>
      <c r="IGT480" s="1831"/>
      <c r="IGU480" s="1831"/>
      <c r="IGV480" s="1831"/>
      <c r="IGW480" s="1831"/>
      <c r="IGX480" s="1831"/>
      <c r="IGY480" s="1831"/>
      <c r="IGZ480" s="1831"/>
      <c r="IHA480" s="1831"/>
      <c r="IHB480" s="1831"/>
      <c r="IHC480" s="1831"/>
      <c r="IHD480" s="1831"/>
      <c r="IHE480" s="1831"/>
      <c r="IHF480" s="1831"/>
      <c r="IHG480" s="1831"/>
      <c r="IHH480" s="1831"/>
      <c r="IHI480" s="1831"/>
      <c r="IHJ480" s="1831"/>
      <c r="IHK480" s="1831"/>
      <c r="IHL480" s="1831"/>
      <c r="IHM480" s="1831"/>
      <c r="IHN480" s="1831"/>
      <c r="IHO480" s="1831"/>
      <c r="IHP480" s="1831"/>
      <c r="IHQ480" s="1831"/>
      <c r="IHR480" s="1831"/>
      <c r="IHS480" s="1831"/>
      <c r="IHT480" s="1831"/>
      <c r="IHU480" s="1831"/>
      <c r="IHV480" s="1831"/>
      <c r="IHW480" s="1831"/>
      <c r="IHX480" s="1831"/>
      <c r="IHY480" s="1831"/>
      <c r="IHZ480" s="1831"/>
      <c r="IIA480" s="1831"/>
      <c r="IIB480" s="1831"/>
      <c r="IIC480" s="1831"/>
      <c r="IID480" s="1831"/>
      <c r="IIE480" s="1831"/>
      <c r="IIF480" s="1831"/>
      <c r="IIG480" s="1831"/>
      <c r="IIH480" s="1831"/>
      <c r="III480" s="1831"/>
      <c r="IIJ480" s="1831"/>
      <c r="IIK480" s="1831"/>
      <c r="IIL480" s="1831"/>
      <c r="IIM480" s="1831"/>
      <c r="IIN480" s="1831"/>
      <c r="IIO480" s="1831"/>
      <c r="IIP480" s="1831"/>
      <c r="IIQ480" s="1831"/>
      <c r="IIR480" s="1831"/>
      <c r="IIS480" s="1831"/>
      <c r="IIT480" s="1831"/>
      <c r="IIU480" s="1831"/>
      <c r="IIV480" s="1831"/>
      <c r="IIW480" s="1831"/>
      <c r="IIX480" s="1831"/>
      <c r="IIY480" s="1831"/>
      <c r="IIZ480" s="1831"/>
      <c r="IJA480" s="1831"/>
      <c r="IJB480" s="1831"/>
      <c r="IJC480" s="1831"/>
      <c r="IJD480" s="1831"/>
      <c r="IJE480" s="1831"/>
      <c r="IJF480" s="1831"/>
      <c r="IJG480" s="1831"/>
      <c r="IJH480" s="1831"/>
      <c r="IJI480" s="1831"/>
      <c r="IJJ480" s="1831"/>
      <c r="IJK480" s="1831"/>
      <c r="IJL480" s="1831"/>
      <c r="IJM480" s="1831"/>
      <c r="IJN480" s="1831"/>
      <c r="IJO480" s="1831"/>
      <c r="IJP480" s="1831"/>
      <c r="IJQ480" s="1831"/>
      <c r="IJR480" s="1831"/>
      <c r="IJS480" s="1831"/>
      <c r="IJT480" s="1831"/>
      <c r="IJU480" s="1831"/>
      <c r="IJV480" s="1831"/>
      <c r="IJW480" s="1831"/>
      <c r="IJX480" s="1831"/>
      <c r="IJY480" s="1831"/>
      <c r="IJZ480" s="1831"/>
      <c r="IKA480" s="1831"/>
      <c r="IKB480" s="1831"/>
      <c r="IKC480" s="1831"/>
      <c r="IKD480" s="1831"/>
      <c r="IKE480" s="1831"/>
      <c r="IKF480" s="1831"/>
      <c r="IKG480" s="1831"/>
      <c r="IKH480" s="1831"/>
      <c r="IKI480" s="1831"/>
      <c r="IKJ480" s="1831"/>
      <c r="IKK480" s="1831"/>
      <c r="IKL480" s="1831"/>
      <c r="IKM480" s="1831"/>
      <c r="IKN480" s="1831"/>
      <c r="IKO480" s="1831"/>
      <c r="IKP480" s="1831"/>
      <c r="IKQ480" s="1831"/>
      <c r="IKR480" s="1831"/>
      <c r="IKS480" s="1831"/>
      <c r="IKT480" s="1831"/>
      <c r="IKU480" s="1831"/>
      <c r="IKV480" s="1831"/>
      <c r="IKW480" s="1831"/>
      <c r="IKX480" s="1831"/>
      <c r="IKY480" s="1831"/>
      <c r="IKZ480" s="1831"/>
      <c r="ILA480" s="1831"/>
      <c r="ILB480" s="1831"/>
      <c r="ILC480" s="1831"/>
      <c r="ILD480" s="1831"/>
      <c r="ILE480" s="1831"/>
      <c r="ILF480" s="1831"/>
      <c r="ILG480" s="1831"/>
      <c r="ILH480" s="1831"/>
      <c r="ILI480" s="1831"/>
      <c r="ILJ480" s="1831"/>
      <c r="ILK480" s="1831"/>
      <c r="ILL480" s="1831"/>
      <c r="ILM480" s="1831"/>
      <c r="ILN480" s="1831"/>
      <c r="ILO480" s="1831"/>
      <c r="ILP480" s="1831"/>
      <c r="ILQ480" s="1831"/>
      <c r="ILR480" s="1831"/>
      <c r="ILS480" s="1831"/>
      <c r="ILT480" s="1831"/>
      <c r="ILU480" s="1831"/>
      <c r="ILV480" s="1831"/>
      <c r="ILW480" s="1831"/>
      <c r="ILX480" s="1831"/>
      <c r="ILY480" s="1831"/>
      <c r="ILZ480" s="1831"/>
      <c r="IMA480" s="1831"/>
      <c r="IMB480" s="1831"/>
      <c r="IMC480" s="1831"/>
      <c r="IMD480" s="1831"/>
      <c r="IME480" s="1831"/>
      <c r="IMF480" s="1831"/>
      <c r="IMG480" s="1831"/>
      <c r="IMH480" s="1831"/>
      <c r="IMI480" s="1831"/>
      <c r="IMJ480" s="1831"/>
      <c r="IMK480" s="1831"/>
      <c r="IML480" s="1831"/>
      <c r="IMM480" s="1831"/>
      <c r="IMN480" s="1831"/>
      <c r="IMO480" s="1831"/>
      <c r="IMP480" s="1831"/>
      <c r="IMQ480" s="1831"/>
      <c r="IMR480" s="1831"/>
      <c r="IMS480" s="1831"/>
      <c r="IMT480" s="1831"/>
      <c r="IMU480" s="1831"/>
      <c r="IMV480" s="1831"/>
      <c r="IMW480" s="1831"/>
      <c r="IMX480" s="1831"/>
      <c r="IMY480" s="1831"/>
      <c r="IMZ480" s="1831"/>
      <c r="INA480" s="1831"/>
      <c r="INB480" s="1831"/>
      <c r="INC480" s="1831"/>
      <c r="IND480" s="1831"/>
      <c r="INE480" s="1831"/>
      <c r="INF480" s="1831"/>
      <c r="ING480" s="1831"/>
      <c r="INH480" s="1831"/>
      <c r="INI480" s="1831"/>
      <c r="INJ480" s="1831"/>
      <c r="INK480" s="1831"/>
      <c r="INL480" s="1831"/>
      <c r="INM480" s="1831"/>
      <c r="INN480" s="1831"/>
      <c r="INO480" s="1831"/>
      <c r="INP480" s="1831"/>
      <c r="INQ480" s="1831"/>
      <c r="INR480" s="1831"/>
      <c r="INS480" s="1831"/>
      <c r="INT480" s="1831"/>
      <c r="INU480" s="1831"/>
      <c r="INV480" s="1831"/>
      <c r="INW480" s="1831"/>
      <c r="INX480" s="1831"/>
      <c r="INY480" s="1831"/>
      <c r="INZ480" s="1831"/>
      <c r="IOA480" s="1831"/>
      <c r="IOB480" s="1831"/>
      <c r="IOC480" s="1831"/>
      <c r="IOD480" s="1831"/>
      <c r="IOE480" s="1831"/>
      <c r="IOF480" s="1831"/>
      <c r="IOG480" s="1831"/>
      <c r="IOH480" s="1831"/>
      <c r="IOI480" s="1831"/>
      <c r="IOJ480" s="1831"/>
      <c r="IOK480" s="1831"/>
      <c r="IOL480" s="1831"/>
      <c r="IOM480" s="1831"/>
      <c r="ION480" s="1831"/>
      <c r="IOO480" s="1831"/>
      <c r="IOP480" s="1831"/>
      <c r="IOQ480" s="1831"/>
      <c r="IOR480" s="1831"/>
      <c r="IOS480" s="1831"/>
      <c r="IOT480" s="1831"/>
      <c r="IOU480" s="1831"/>
      <c r="IOV480" s="1831"/>
      <c r="IOW480" s="1831"/>
      <c r="IOX480" s="1831"/>
      <c r="IOY480" s="1831"/>
      <c r="IOZ480" s="1831"/>
      <c r="IPA480" s="1831"/>
      <c r="IPB480" s="1831"/>
      <c r="IPC480" s="1831"/>
      <c r="IPD480" s="1831"/>
      <c r="IPE480" s="1831"/>
      <c r="IPF480" s="1831"/>
      <c r="IPG480" s="1831"/>
      <c r="IPH480" s="1831"/>
      <c r="IPI480" s="1831"/>
      <c r="IPJ480" s="1831"/>
      <c r="IPK480" s="1831"/>
      <c r="IPL480" s="1831"/>
      <c r="IPM480" s="1831"/>
      <c r="IPN480" s="1831"/>
      <c r="IPO480" s="1831"/>
      <c r="IPP480" s="1831"/>
      <c r="IPQ480" s="1831"/>
      <c r="IPR480" s="1831"/>
      <c r="IPS480" s="1831"/>
      <c r="IPT480" s="1831"/>
      <c r="IPU480" s="1831"/>
      <c r="IPV480" s="1831"/>
      <c r="IPW480" s="1831"/>
      <c r="IPX480" s="1831"/>
      <c r="IPY480" s="1831"/>
      <c r="IPZ480" s="1831"/>
      <c r="IQA480" s="1831"/>
      <c r="IQB480" s="1831"/>
      <c r="IQC480" s="1831"/>
      <c r="IQD480" s="1831"/>
      <c r="IQE480" s="1831"/>
      <c r="IQF480" s="1831"/>
      <c r="IQG480" s="1831"/>
      <c r="IQH480" s="1831"/>
      <c r="IQI480" s="1831"/>
      <c r="IQJ480" s="1831"/>
      <c r="IQK480" s="1831"/>
      <c r="IQL480" s="1831"/>
      <c r="IQM480" s="1831"/>
      <c r="IQN480" s="1831"/>
      <c r="IQO480" s="1831"/>
      <c r="IQP480" s="1831"/>
      <c r="IQQ480" s="1831"/>
      <c r="IQR480" s="1831"/>
      <c r="IQS480" s="1831"/>
      <c r="IQT480" s="1831"/>
      <c r="IQU480" s="1831"/>
      <c r="IQV480" s="1831"/>
      <c r="IQW480" s="1831"/>
      <c r="IQX480" s="1831"/>
      <c r="IQY480" s="1831"/>
      <c r="IQZ480" s="1831"/>
      <c r="IRA480" s="1831"/>
      <c r="IRB480" s="1831"/>
      <c r="IRC480" s="1831"/>
      <c r="IRD480" s="1831"/>
      <c r="IRE480" s="1831"/>
      <c r="IRF480" s="1831"/>
      <c r="IRG480" s="1831"/>
      <c r="IRH480" s="1831"/>
      <c r="IRI480" s="1831"/>
      <c r="IRJ480" s="1831"/>
      <c r="IRK480" s="1831"/>
      <c r="IRL480" s="1831"/>
      <c r="IRM480" s="1831"/>
      <c r="IRN480" s="1831"/>
      <c r="IRO480" s="1831"/>
      <c r="IRP480" s="1831"/>
      <c r="IRQ480" s="1831"/>
      <c r="IRR480" s="1831"/>
      <c r="IRS480" s="1831"/>
      <c r="IRT480" s="1831"/>
      <c r="IRU480" s="1831"/>
      <c r="IRV480" s="1831"/>
      <c r="IRW480" s="1831"/>
      <c r="IRX480" s="1831"/>
      <c r="IRY480" s="1831"/>
      <c r="IRZ480" s="1831"/>
      <c r="ISA480" s="1831"/>
      <c r="ISB480" s="1831"/>
      <c r="ISC480" s="1831"/>
      <c r="ISD480" s="1831"/>
      <c r="ISE480" s="1831"/>
      <c r="ISF480" s="1831"/>
      <c r="ISG480" s="1831"/>
      <c r="ISH480" s="1831"/>
      <c r="ISI480" s="1831"/>
      <c r="ISJ480" s="1831"/>
      <c r="ISK480" s="1831"/>
      <c r="ISL480" s="1831"/>
      <c r="ISM480" s="1831"/>
      <c r="ISN480" s="1831"/>
      <c r="ISO480" s="1831"/>
      <c r="ISP480" s="1831"/>
      <c r="ISQ480" s="1831"/>
      <c r="ISR480" s="1831"/>
      <c r="ISS480" s="1831"/>
      <c r="IST480" s="1831"/>
      <c r="ISU480" s="1831"/>
      <c r="ISV480" s="1831"/>
      <c r="ISW480" s="1831"/>
      <c r="ISX480" s="1831"/>
      <c r="ISY480" s="1831"/>
      <c r="ISZ480" s="1831"/>
      <c r="ITA480" s="1831"/>
      <c r="ITB480" s="1831"/>
      <c r="ITC480" s="1831"/>
      <c r="ITD480" s="1831"/>
      <c r="ITE480" s="1831"/>
      <c r="ITF480" s="1831"/>
      <c r="ITG480" s="1831"/>
      <c r="ITH480" s="1831"/>
      <c r="ITI480" s="1831"/>
      <c r="ITJ480" s="1831"/>
      <c r="ITK480" s="1831"/>
      <c r="ITL480" s="1831"/>
      <c r="ITM480" s="1831"/>
      <c r="ITN480" s="1831"/>
      <c r="ITO480" s="1831"/>
      <c r="ITP480" s="1831"/>
      <c r="ITQ480" s="1831"/>
      <c r="ITR480" s="1831"/>
      <c r="ITS480" s="1831"/>
      <c r="ITT480" s="1831"/>
      <c r="ITU480" s="1831"/>
      <c r="ITV480" s="1831"/>
      <c r="ITW480" s="1831"/>
      <c r="ITX480" s="1831"/>
      <c r="ITY480" s="1831"/>
      <c r="ITZ480" s="1831"/>
      <c r="IUA480" s="1831"/>
      <c r="IUB480" s="1831"/>
      <c r="IUC480" s="1831"/>
      <c r="IUD480" s="1831"/>
      <c r="IUE480" s="1831"/>
      <c r="IUF480" s="1831"/>
      <c r="IUG480" s="1831"/>
      <c r="IUH480" s="1831"/>
      <c r="IUI480" s="1831"/>
      <c r="IUJ480" s="1831"/>
      <c r="IUK480" s="1831"/>
      <c r="IUL480" s="1831"/>
      <c r="IUM480" s="1831"/>
      <c r="IUN480" s="1831"/>
      <c r="IUO480" s="1831"/>
      <c r="IUP480" s="1831"/>
      <c r="IUQ480" s="1831"/>
      <c r="IUR480" s="1831"/>
      <c r="IUS480" s="1831"/>
      <c r="IUT480" s="1831"/>
      <c r="IUU480" s="1831"/>
      <c r="IUV480" s="1831"/>
      <c r="IUW480" s="1831"/>
      <c r="IUX480" s="1831"/>
      <c r="IUY480" s="1831"/>
      <c r="IUZ480" s="1831"/>
      <c r="IVA480" s="1831"/>
      <c r="IVB480" s="1831"/>
      <c r="IVC480" s="1831"/>
      <c r="IVD480" s="1831"/>
      <c r="IVE480" s="1831"/>
      <c r="IVF480" s="1831"/>
      <c r="IVG480" s="1831"/>
      <c r="IVH480" s="1831"/>
      <c r="IVI480" s="1831"/>
      <c r="IVJ480" s="1831"/>
      <c r="IVK480" s="1831"/>
      <c r="IVL480" s="1831"/>
      <c r="IVM480" s="1831"/>
      <c r="IVN480" s="1831"/>
      <c r="IVO480" s="1831"/>
      <c r="IVP480" s="1831"/>
      <c r="IVQ480" s="1831"/>
      <c r="IVR480" s="1831"/>
      <c r="IVS480" s="1831"/>
      <c r="IVT480" s="1831"/>
      <c r="IVU480" s="1831"/>
      <c r="IVV480" s="1831"/>
      <c r="IVW480" s="1831"/>
      <c r="IVX480" s="1831"/>
      <c r="IVY480" s="1831"/>
      <c r="IVZ480" s="1831"/>
      <c r="IWA480" s="1831"/>
      <c r="IWB480" s="1831"/>
      <c r="IWC480" s="1831"/>
      <c r="IWD480" s="1831"/>
      <c r="IWE480" s="1831"/>
      <c r="IWF480" s="1831"/>
      <c r="IWG480" s="1831"/>
      <c r="IWH480" s="1831"/>
      <c r="IWI480" s="1831"/>
      <c r="IWJ480" s="1831"/>
      <c r="IWK480" s="1831"/>
      <c r="IWL480" s="1831"/>
      <c r="IWM480" s="1831"/>
      <c r="IWN480" s="1831"/>
      <c r="IWO480" s="1831"/>
      <c r="IWP480" s="1831"/>
      <c r="IWQ480" s="1831"/>
      <c r="IWR480" s="1831"/>
      <c r="IWS480" s="1831"/>
      <c r="IWT480" s="1831"/>
      <c r="IWU480" s="1831"/>
      <c r="IWV480" s="1831"/>
      <c r="IWW480" s="1831"/>
      <c r="IWX480" s="1831"/>
      <c r="IWY480" s="1831"/>
      <c r="IWZ480" s="1831"/>
      <c r="IXA480" s="1831"/>
      <c r="IXB480" s="1831"/>
      <c r="IXC480" s="1831"/>
      <c r="IXD480" s="1831"/>
      <c r="IXE480" s="1831"/>
      <c r="IXF480" s="1831"/>
      <c r="IXG480" s="1831"/>
      <c r="IXH480" s="1831"/>
      <c r="IXI480" s="1831"/>
      <c r="IXJ480" s="1831"/>
      <c r="IXK480" s="1831"/>
      <c r="IXL480" s="1831"/>
      <c r="IXM480" s="1831"/>
      <c r="IXN480" s="1831"/>
      <c r="IXO480" s="1831"/>
      <c r="IXP480" s="1831"/>
      <c r="IXQ480" s="1831"/>
      <c r="IXR480" s="1831"/>
      <c r="IXS480" s="1831"/>
      <c r="IXT480" s="1831"/>
      <c r="IXU480" s="1831"/>
      <c r="IXV480" s="1831"/>
      <c r="IXW480" s="1831"/>
      <c r="IXX480" s="1831"/>
      <c r="IXY480" s="1831"/>
      <c r="IXZ480" s="1831"/>
      <c r="IYA480" s="1831"/>
      <c r="IYB480" s="1831"/>
      <c r="IYC480" s="1831"/>
      <c r="IYD480" s="1831"/>
      <c r="IYE480" s="1831"/>
      <c r="IYF480" s="1831"/>
      <c r="IYG480" s="1831"/>
      <c r="IYH480" s="1831"/>
      <c r="IYI480" s="1831"/>
      <c r="IYJ480" s="1831"/>
      <c r="IYK480" s="1831"/>
      <c r="IYL480" s="1831"/>
      <c r="IYM480" s="1831"/>
      <c r="IYN480" s="1831"/>
      <c r="IYO480" s="1831"/>
      <c r="IYP480" s="1831"/>
      <c r="IYQ480" s="1831"/>
      <c r="IYR480" s="1831"/>
      <c r="IYS480" s="1831"/>
      <c r="IYT480" s="1831"/>
      <c r="IYU480" s="1831"/>
      <c r="IYV480" s="1831"/>
      <c r="IYW480" s="1831"/>
      <c r="IYX480" s="1831"/>
      <c r="IYY480" s="1831"/>
      <c r="IYZ480" s="1831"/>
      <c r="IZA480" s="1831"/>
      <c r="IZB480" s="1831"/>
      <c r="IZC480" s="1831"/>
      <c r="IZD480" s="1831"/>
      <c r="IZE480" s="1831"/>
      <c r="IZF480" s="1831"/>
      <c r="IZG480" s="1831"/>
      <c r="IZH480" s="1831"/>
      <c r="IZI480" s="1831"/>
      <c r="IZJ480" s="1831"/>
      <c r="IZK480" s="1831"/>
      <c r="IZL480" s="1831"/>
      <c r="IZM480" s="1831"/>
      <c r="IZN480" s="1831"/>
      <c r="IZO480" s="1831"/>
      <c r="IZP480" s="1831"/>
      <c r="IZQ480" s="1831"/>
      <c r="IZR480" s="1831"/>
      <c r="IZS480" s="1831"/>
      <c r="IZT480" s="1831"/>
      <c r="IZU480" s="1831"/>
      <c r="IZV480" s="1831"/>
      <c r="IZW480" s="1831"/>
      <c r="IZX480" s="1831"/>
      <c r="IZY480" s="1831"/>
      <c r="IZZ480" s="1831"/>
      <c r="JAA480" s="1831"/>
      <c r="JAB480" s="1831"/>
      <c r="JAC480" s="1831"/>
      <c r="JAD480" s="1831"/>
      <c r="JAE480" s="1831"/>
      <c r="JAF480" s="1831"/>
      <c r="JAG480" s="1831"/>
      <c r="JAH480" s="1831"/>
      <c r="JAI480" s="1831"/>
      <c r="JAJ480" s="1831"/>
      <c r="JAK480" s="1831"/>
      <c r="JAL480" s="1831"/>
      <c r="JAM480" s="1831"/>
      <c r="JAN480" s="1831"/>
      <c r="JAO480" s="1831"/>
      <c r="JAP480" s="1831"/>
      <c r="JAQ480" s="1831"/>
      <c r="JAR480" s="1831"/>
      <c r="JAS480" s="1831"/>
      <c r="JAT480" s="1831"/>
      <c r="JAU480" s="1831"/>
      <c r="JAV480" s="1831"/>
      <c r="JAW480" s="1831"/>
      <c r="JAX480" s="1831"/>
      <c r="JAY480" s="1831"/>
      <c r="JAZ480" s="1831"/>
      <c r="JBA480" s="1831"/>
      <c r="JBB480" s="1831"/>
      <c r="JBC480" s="1831"/>
      <c r="JBD480" s="1831"/>
      <c r="JBE480" s="1831"/>
      <c r="JBF480" s="1831"/>
      <c r="JBG480" s="1831"/>
      <c r="JBH480" s="1831"/>
      <c r="JBI480" s="1831"/>
      <c r="JBJ480" s="1831"/>
      <c r="JBK480" s="1831"/>
      <c r="JBL480" s="1831"/>
      <c r="JBM480" s="1831"/>
      <c r="JBN480" s="1831"/>
      <c r="JBO480" s="1831"/>
      <c r="JBP480" s="1831"/>
      <c r="JBQ480" s="1831"/>
      <c r="JBR480" s="1831"/>
      <c r="JBS480" s="1831"/>
      <c r="JBT480" s="1831"/>
      <c r="JBU480" s="1831"/>
      <c r="JBV480" s="1831"/>
      <c r="JBW480" s="1831"/>
      <c r="JBX480" s="1831"/>
      <c r="JBY480" s="1831"/>
      <c r="JBZ480" s="1831"/>
      <c r="JCA480" s="1831"/>
      <c r="JCB480" s="1831"/>
      <c r="JCC480" s="1831"/>
      <c r="JCD480" s="1831"/>
      <c r="JCE480" s="1831"/>
      <c r="JCF480" s="1831"/>
      <c r="JCG480" s="1831"/>
      <c r="JCH480" s="1831"/>
      <c r="JCI480" s="1831"/>
      <c r="JCJ480" s="1831"/>
      <c r="JCK480" s="1831"/>
      <c r="JCL480" s="1831"/>
      <c r="JCM480" s="1831"/>
      <c r="JCN480" s="1831"/>
      <c r="JCO480" s="1831"/>
      <c r="JCP480" s="1831"/>
      <c r="JCQ480" s="1831"/>
      <c r="JCR480" s="1831"/>
      <c r="JCS480" s="1831"/>
      <c r="JCT480" s="1831"/>
      <c r="JCU480" s="1831"/>
      <c r="JCV480" s="1831"/>
      <c r="JCW480" s="1831"/>
      <c r="JCX480" s="1831"/>
      <c r="JCY480" s="1831"/>
      <c r="JCZ480" s="1831"/>
      <c r="JDA480" s="1831"/>
      <c r="JDB480" s="1831"/>
      <c r="JDC480" s="1831"/>
      <c r="JDD480" s="1831"/>
      <c r="JDE480" s="1831"/>
      <c r="JDF480" s="1831"/>
      <c r="JDG480" s="1831"/>
      <c r="JDH480" s="1831"/>
      <c r="JDI480" s="1831"/>
      <c r="JDJ480" s="1831"/>
      <c r="JDK480" s="1831"/>
      <c r="JDL480" s="1831"/>
      <c r="JDM480" s="1831"/>
      <c r="JDN480" s="1831"/>
      <c r="JDO480" s="1831"/>
      <c r="JDP480" s="1831"/>
      <c r="JDQ480" s="1831"/>
      <c r="JDR480" s="1831"/>
      <c r="JDS480" s="1831"/>
      <c r="JDT480" s="1831"/>
      <c r="JDU480" s="1831"/>
      <c r="JDV480" s="1831"/>
      <c r="JDW480" s="1831"/>
      <c r="JDX480" s="1831"/>
      <c r="JDY480" s="1831"/>
      <c r="JDZ480" s="1831"/>
      <c r="JEA480" s="1831"/>
      <c r="JEB480" s="1831"/>
      <c r="JEC480" s="1831"/>
      <c r="JED480" s="1831"/>
      <c r="JEE480" s="1831"/>
      <c r="JEF480" s="1831"/>
      <c r="JEG480" s="1831"/>
      <c r="JEH480" s="1831"/>
      <c r="JEI480" s="1831"/>
      <c r="JEJ480" s="1831"/>
      <c r="JEK480" s="1831"/>
      <c r="JEL480" s="1831"/>
      <c r="JEM480" s="1831"/>
      <c r="JEN480" s="1831"/>
      <c r="JEO480" s="1831"/>
      <c r="JEP480" s="1831"/>
      <c r="JEQ480" s="1831"/>
      <c r="JER480" s="1831"/>
      <c r="JES480" s="1831"/>
      <c r="JET480" s="1831"/>
      <c r="JEU480" s="1831"/>
      <c r="JEV480" s="1831"/>
      <c r="JEW480" s="1831"/>
      <c r="JEX480" s="1831"/>
      <c r="JEY480" s="1831"/>
      <c r="JEZ480" s="1831"/>
      <c r="JFA480" s="1831"/>
      <c r="JFB480" s="1831"/>
      <c r="JFC480" s="1831"/>
      <c r="JFD480" s="1831"/>
      <c r="JFE480" s="1831"/>
      <c r="JFF480" s="1831"/>
      <c r="JFG480" s="1831"/>
      <c r="JFH480" s="1831"/>
      <c r="JFI480" s="1831"/>
      <c r="JFJ480" s="1831"/>
      <c r="JFK480" s="1831"/>
      <c r="JFL480" s="1831"/>
      <c r="JFM480" s="1831"/>
      <c r="JFN480" s="1831"/>
      <c r="JFO480" s="1831"/>
      <c r="JFP480" s="1831"/>
      <c r="JFQ480" s="1831"/>
      <c r="JFR480" s="1831"/>
      <c r="JFS480" s="1831"/>
      <c r="JFT480" s="1831"/>
      <c r="JFU480" s="1831"/>
      <c r="JFV480" s="1831"/>
      <c r="JFW480" s="1831"/>
      <c r="JFX480" s="1831"/>
      <c r="JFY480" s="1831"/>
      <c r="JFZ480" s="1831"/>
      <c r="JGA480" s="1831"/>
      <c r="JGB480" s="1831"/>
      <c r="JGC480" s="1831"/>
      <c r="JGD480" s="1831"/>
      <c r="JGE480" s="1831"/>
      <c r="JGF480" s="1831"/>
      <c r="JGG480" s="1831"/>
      <c r="JGH480" s="1831"/>
      <c r="JGI480" s="1831"/>
      <c r="JGJ480" s="1831"/>
      <c r="JGK480" s="1831"/>
      <c r="JGL480" s="1831"/>
      <c r="JGM480" s="1831"/>
      <c r="JGN480" s="1831"/>
      <c r="JGO480" s="1831"/>
      <c r="JGP480" s="1831"/>
      <c r="JGQ480" s="1831"/>
      <c r="JGR480" s="1831"/>
      <c r="JGS480" s="1831"/>
      <c r="JGT480" s="1831"/>
      <c r="JGU480" s="1831"/>
      <c r="JGV480" s="1831"/>
      <c r="JGW480" s="1831"/>
      <c r="JGX480" s="1831"/>
      <c r="JGY480" s="1831"/>
      <c r="JGZ480" s="1831"/>
      <c r="JHA480" s="1831"/>
      <c r="JHB480" s="1831"/>
      <c r="JHC480" s="1831"/>
      <c r="JHD480" s="1831"/>
      <c r="JHE480" s="1831"/>
      <c r="JHF480" s="1831"/>
      <c r="JHG480" s="1831"/>
      <c r="JHH480" s="1831"/>
      <c r="JHI480" s="1831"/>
      <c r="JHJ480" s="1831"/>
      <c r="JHK480" s="1831"/>
      <c r="JHL480" s="1831"/>
      <c r="JHM480" s="1831"/>
      <c r="JHN480" s="1831"/>
      <c r="JHO480" s="1831"/>
      <c r="JHP480" s="1831"/>
      <c r="JHQ480" s="1831"/>
      <c r="JHR480" s="1831"/>
      <c r="JHS480" s="1831"/>
      <c r="JHT480" s="1831"/>
      <c r="JHU480" s="1831"/>
      <c r="JHV480" s="1831"/>
      <c r="JHW480" s="1831"/>
      <c r="JHX480" s="1831"/>
      <c r="JHY480" s="1831"/>
      <c r="JHZ480" s="1831"/>
      <c r="JIA480" s="1831"/>
      <c r="JIB480" s="1831"/>
      <c r="JIC480" s="1831"/>
      <c r="JID480" s="1831"/>
      <c r="JIE480" s="1831"/>
      <c r="JIF480" s="1831"/>
      <c r="JIG480" s="1831"/>
      <c r="JIH480" s="1831"/>
      <c r="JII480" s="1831"/>
      <c r="JIJ480" s="1831"/>
      <c r="JIK480" s="1831"/>
      <c r="JIL480" s="1831"/>
      <c r="JIM480" s="1831"/>
      <c r="JIN480" s="1831"/>
      <c r="JIO480" s="1831"/>
      <c r="JIP480" s="1831"/>
      <c r="JIQ480" s="1831"/>
      <c r="JIR480" s="1831"/>
      <c r="JIS480" s="1831"/>
      <c r="JIT480" s="1831"/>
      <c r="JIU480" s="1831"/>
      <c r="JIV480" s="1831"/>
      <c r="JIW480" s="1831"/>
      <c r="JIX480" s="1831"/>
      <c r="JIY480" s="1831"/>
      <c r="JIZ480" s="1831"/>
      <c r="JJA480" s="1831"/>
      <c r="JJB480" s="1831"/>
      <c r="JJC480" s="1831"/>
      <c r="JJD480" s="1831"/>
      <c r="JJE480" s="1831"/>
      <c r="JJF480" s="1831"/>
      <c r="JJG480" s="1831"/>
      <c r="JJH480" s="1831"/>
      <c r="JJI480" s="1831"/>
      <c r="JJJ480" s="1831"/>
      <c r="JJK480" s="1831"/>
      <c r="JJL480" s="1831"/>
      <c r="JJM480" s="1831"/>
      <c r="JJN480" s="1831"/>
      <c r="JJO480" s="1831"/>
      <c r="JJP480" s="1831"/>
      <c r="JJQ480" s="1831"/>
      <c r="JJR480" s="1831"/>
      <c r="JJS480" s="1831"/>
      <c r="JJT480" s="1831"/>
      <c r="JJU480" s="1831"/>
      <c r="JJV480" s="1831"/>
      <c r="JJW480" s="1831"/>
      <c r="JJX480" s="1831"/>
      <c r="JJY480" s="1831"/>
      <c r="JJZ480" s="1831"/>
      <c r="JKA480" s="1831"/>
      <c r="JKB480" s="1831"/>
      <c r="JKC480" s="1831"/>
      <c r="JKD480" s="1831"/>
      <c r="JKE480" s="1831"/>
      <c r="JKF480" s="1831"/>
      <c r="JKG480" s="1831"/>
      <c r="JKH480" s="1831"/>
      <c r="JKI480" s="1831"/>
      <c r="JKJ480" s="1831"/>
      <c r="JKK480" s="1831"/>
      <c r="JKL480" s="1831"/>
      <c r="JKM480" s="1831"/>
      <c r="JKN480" s="1831"/>
      <c r="JKO480" s="1831"/>
      <c r="JKP480" s="1831"/>
      <c r="JKQ480" s="1831"/>
      <c r="JKR480" s="1831"/>
      <c r="JKS480" s="1831"/>
      <c r="JKT480" s="1831"/>
      <c r="JKU480" s="1831"/>
      <c r="JKV480" s="1831"/>
      <c r="JKW480" s="1831"/>
      <c r="JKX480" s="1831"/>
      <c r="JKY480" s="1831"/>
      <c r="JKZ480" s="1831"/>
      <c r="JLA480" s="1831"/>
      <c r="JLB480" s="1831"/>
      <c r="JLC480" s="1831"/>
      <c r="JLD480" s="1831"/>
      <c r="JLE480" s="1831"/>
      <c r="JLF480" s="1831"/>
      <c r="JLG480" s="1831"/>
      <c r="JLH480" s="1831"/>
      <c r="JLI480" s="1831"/>
      <c r="JLJ480" s="1831"/>
      <c r="JLK480" s="1831"/>
      <c r="JLL480" s="1831"/>
      <c r="JLM480" s="1831"/>
      <c r="JLN480" s="1831"/>
      <c r="JLO480" s="1831"/>
      <c r="JLP480" s="1831"/>
      <c r="JLQ480" s="1831"/>
      <c r="JLR480" s="1831"/>
      <c r="JLS480" s="1831"/>
      <c r="JLT480" s="1831"/>
      <c r="JLU480" s="1831"/>
      <c r="JLV480" s="1831"/>
      <c r="JLW480" s="1831"/>
      <c r="JLX480" s="1831"/>
      <c r="JLY480" s="1831"/>
      <c r="JLZ480" s="1831"/>
      <c r="JMA480" s="1831"/>
      <c r="JMB480" s="1831"/>
      <c r="JMC480" s="1831"/>
      <c r="JMD480" s="1831"/>
      <c r="JME480" s="1831"/>
      <c r="JMF480" s="1831"/>
      <c r="JMG480" s="1831"/>
      <c r="JMH480" s="1831"/>
      <c r="JMI480" s="1831"/>
      <c r="JMJ480" s="1831"/>
      <c r="JMK480" s="1831"/>
      <c r="JML480" s="1831"/>
      <c r="JMM480" s="1831"/>
      <c r="JMN480" s="1831"/>
      <c r="JMO480" s="1831"/>
      <c r="JMP480" s="1831"/>
      <c r="JMQ480" s="1831"/>
      <c r="JMR480" s="1831"/>
      <c r="JMS480" s="1831"/>
      <c r="JMT480" s="1831"/>
      <c r="JMU480" s="1831"/>
      <c r="JMV480" s="1831"/>
      <c r="JMW480" s="1831"/>
      <c r="JMX480" s="1831"/>
      <c r="JMY480" s="1831"/>
      <c r="JMZ480" s="1831"/>
      <c r="JNA480" s="1831"/>
      <c r="JNB480" s="1831"/>
      <c r="JNC480" s="1831"/>
      <c r="JND480" s="1831"/>
      <c r="JNE480" s="1831"/>
      <c r="JNF480" s="1831"/>
      <c r="JNG480" s="1831"/>
      <c r="JNH480" s="1831"/>
      <c r="JNI480" s="1831"/>
      <c r="JNJ480" s="1831"/>
      <c r="JNK480" s="1831"/>
      <c r="JNL480" s="1831"/>
      <c r="JNM480" s="1831"/>
      <c r="JNN480" s="1831"/>
      <c r="JNO480" s="1831"/>
      <c r="JNP480" s="1831"/>
      <c r="JNQ480" s="1831"/>
      <c r="JNR480" s="1831"/>
      <c r="JNS480" s="1831"/>
      <c r="JNT480" s="1831"/>
      <c r="JNU480" s="1831"/>
      <c r="JNV480" s="1831"/>
      <c r="JNW480" s="1831"/>
      <c r="JNX480" s="1831"/>
      <c r="JNY480" s="1831"/>
      <c r="JNZ480" s="1831"/>
      <c r="JOA480" s="1831"/>
      <c r="JOB480" s="1831"/>
      <c r="JOC480" s="1831"/>
      <c r="JOD480" s="1831"/>
      <c r="JOE480" s="1831"/>
      <c r="JOF480" s="1831"/>
      <c r="JOG480" s="1831"/>
      <c r="JOH480" s="1831"/>
      <c r="JOI480" s="1831"/>
      <c r="JOJ480" s="1831"/>
      <c r="JOK480" s="1831"/>
      <c r="JOL480" s="1831"/>
      <c r="JOM480" s="1831"/>
      <c r="JON480" s="1831"/>
      <c r="JOO480" s="1831"/>
      <c r="JOP480" s="1831"/>
      <c r="JOQ480" s="1831"/>
      <c r="JOR480" s="1831"/>
      <c r="JOS480" s="1831"/>
      <c r="JOT480" s="1831"/>
      <c r="JOU480" s="1831"/>
      <c r="JOV480" s="1831"/>
      <c r="JOW480" s="1831"/>
      <c r="JOX480" s="1831"/>
      <c r="JOY480" s="1831"/>
      <c r="JOZ480" s="1831"/>
      <c r="JPA480" s="1831"/>
      <c r="JPB480" s="1831"/>
      <c r="JPC480" s="1831"/>
      <c r="JPD480" s="1831"/>
      <c r="JPE480" s="1831"/>
      <c r="JPF480" s="1831"/>
      <c r="JPG480" s="1831"/>
      <c r="JPH480" s="1831"/>
      <c r="JPI480" s="1831"/>
      <c r="JPJ480" s="1831"/>
      <c r="JPK480" s="1831"/>
      <c r="JPL480" s="1831"/>
      <c r="JPM480" s="1831"/>
      <c r="JPN480" s="1831"/>
      <c r="JPO480" s="1831"/>
      <c r="JPP480" s="1831"/>
      <c r="JPQ480" s="1831"/>
      <c r="JPR480" s="1831"/>
      <c r="JPS480" s="1831"/>
      <c r="JPT480" s="1831"/>
      <c r="JPU480" s="1831"/>
      <c r="JPV480" s="1831"/>
      <c r="JPW480" s="1831"/>
      <c r="JPX480" s="1831"/>
      <c r="JPY480" s="1831"/>
      <c r="JPZ480" s="1831"/>
      <c r="JQA480" s="1831"/>
      <c r="JQB480" s="1831"/>
      <c r="JQC480" s="1831"/>
      <c r="JQD480" s="1831"/>
      <c r="JQE480" s="1831"/>
      <c r="JQF480" s="1831"/>
      <c r="JQG480" s="1831"/>
      <c r="JQH480" s="1831"/>
      <c r="JQI480" s="1831"/>
      <c r="JQJ480" s="1831"/>
      <c r="JQK480" s="1831"/>
      <c r="JQL480" s="1831"/>
      <c r="JQM480" s="1831"/>
      <c r="JQN480" s="1831"/>
      <c r="JQO480" s="1831"/>
      <c r="JQP480" s="1831"/>
      <c r="JQQ480" s="1831"/>
      <c r="JQR480" s="1831"/>
      <c r="JQS480" s="1831"/>
      <c r="JQT480" s="1831"/>
      <c r="JQU480" s="1831"/>
      <c r="JQV480" s="1831"/>
      <c r="JQW480" s="1831"/>
      <c r="JQX480" s="1831"/>
      <c r="JQY480" s="1831"/>
      <c r="JQZ480" s="1831"/>
      <c r="JRA480" s="1831"/>
      <c r="JRB480" s="1831"/>
      <c r="JRC480" s="1831"/>
      <c r="JRD480" s="1831"/>
      <c r="JRE480" s="1831"/>
      <c r="JRF480" s="1831"/>
      <c r="JRG480" s="1831"/>
      <c r="JRH480" s="1831"/>
      <c r="JRI480" s="1831"/>
      <c r="JRJ480" s="1831"/>
      <c r="JRK480" s="1831"/>
      <c r="JRL480" s="1831"/>
      <c r="JRM480" s="1831"/>
      <c r="JRN480" s="1831"/>
      <c r="JRO480" s="1831"/>
      <c r="JRP480" s="1831"/>
      <c r="JRQ480" s="1831"/>
      <c r="JRR480" s="1831"/>
      <c r="JRS480" s="1831"/>
      <c r="JRT480" s="1831"/>
      <c r="JRU480" s="1831"/>
      <c r="JRV480" s="1831"/>
      <c r="JRW480" s="1831"/>
      <c r="JRX480" s="1831"/>
      <c r="JRY480" s="1831"/>
      <c r="JRZ480" s="1831"/>
      <c r="JSA480" s="1831"/>
      <c r="JSB480" s="1831"/>
      <c r="JSC480" s="1831"/>
      <c r="JSD480" s="1831"/>
      <c r="JSE480" s="1831"/>
      <c r="JSF480" s="1831"/>
      <c r="JSG480" s="1831"/>
      <c r="JSH480" s="1831"/>
      <c r="JSI480" s="1831"/>
      <c r="JSJ480" s="1831"/>
      <c r="JSK480" s="1831"/>
      <c r="JSL480" s="1831"/>
      <c r="JSM480" s="1831"/>
      <c r="JSN480" s="1831"/>
      <c r="JSO480" s="1831"/>
      <c r="JSP480" s="1831"/>
      <c r="JSQ480" s="1831"/>
      <c r="JSR480" s="1831"/>
      <c r="JSS480" s="1831"/>
      <c r="JST480" s="1831"/>
      <c r="JSU480" s="1831"/>
      <c r="JSV480" s="1831"/>
      <c r="JSW480" s="1831"/>
      <c r="JSX480" s="1831"/>
      <c r="JSY480" s="1831"/>
      <c r="JSZ480" s="1831"/>
      <c r="JTA480" s="1831"/>
      <c r="JTB480" s="1831"/>
      <c r="JTC480" s="1831"/>
      <c r="JTD480" s="1831"/>
      <c r="JTE480" s="1831"/>
      <c r="JTF480" s="1831"/>
      <c r="JTG480" s="1831"/>
      <c r="JTH480" s="1831"/>
      <c r="JTI480" s="1831"/>
      <c r="JTJ480" s="1831"/>
      <c r="JTK480" s="1831"/>
      <c r="JTL480" s="1831"/>
      <c r="JTM480" s="1831"/>
      <c r="JTN480" s="1831"/>
      <c r="JTO480" s="1831"/>
      <c r="JTP480" s="1831"/>
      <c r="JTQ480" s="1831"/>
      <c r="JTR480" s="1831"/>
      <c r="JTS480" s="1831"/>
      <c r="JTT480" s="1831"/>
      <c r="JTU480" s="1831"/>
      <c r="JTV480" s="1831"/>
      <c r="JTW480" s="1831"/>
      <c r="JTX480" s="1831"/>
      <c r="JTY480" s="1831"/>
      <c r="JTZ480" s="1831"/>
      <c r="JUA480" s="1831"/>
      <c r="JUB480" s="1831"/>
      <c r="JUC480" s="1831"/>
      <c r="JUD480" s="1831"/>
      <c r="JUE480" s="1831"/>
      <c r="JUF480" s="1831"/>
      <c r="JUG480" s="1831"/>
      <c r="JUH480" s="1831"/>
      <c r="JUI480" s="1831"/>
      <c r="JUJ480" s="1831"/>
      <c r="JUK480" s="1831"/>
      <c r="JUL480" s="1831"/>
      <c r="JUM480" s="1831"/>
      <c r="JUN480" s="1831"/>
      <c r="JUO480" s="1831"/>
      <c r="JUP480" s="1831"/>
      <c r="JUQ480" s="1831"/>
      <c r="JUR480" s="1831"/>
      <c r="JUS480" s="1831"/>
      <c r="JUT480" s="1831"/>
      <c r="JUU480" s="1831"/>
      <c r="JUV480" s="1831"/>
      <c r="JUW480" s="1831"/>
      <c r="JUX480" s="1831"/>
      <c r="JUY480" s="1831"/>
      <c r="JUZ480" s="1831"/>
      <c r="JVA480" s="1831"/>
      <c r="JVB480" s="1831"/>
      <c r="JVC480" s="1831"/>
      <c r="JVD480" s="1831"/>
      <c r="JVE480" s="1831"/>
      <c r="JVF480" s="1831"/>
      <c r="JVG480" s="1831"/>
      <c r="JVH480" s="1831"/>
      <c r="JVI480" s="1831"/>
      <c r="JVJ480" s="1831"/>
      <c r="JVK480" s="1831"/>
      <c r="JVL480" s="1831"/>
      <c r="JVM480" s="1831"/>
      <c r="JVN480" s="1831"/>
      <c r="JVO480" s="1831"/>
      <c r="JVP480" s="1831"/>
      <c r="JVQ480" s="1831"/>
      <c r="JVR480" s="1831"/>
      <c r="JVS480" s="1831"/>
      <c r="JVT480" s="1831"/>
      <c r="JVU480" s="1831"/>
      <c r="JVV480" s="1831"/>
      <c r="JVW480" s="1831"/>
      <c r="JVX480" s="1831"/>
      <c r="JVY480" s="1831"/>
      <c r="JVZ480" s="1831"/>
      <c r="JWA480" s="1831"/>
      <c r="JWB480" s="1831"/>
      <c r="JWC480" s="1831"/>
      <c r="JWD480" s="1831"/>
      <c r="JWE480" s="1831"/>
      <c r="JWF480" s="1831"/>
      <c r="JWG480" s="1831"/>
      <c r="JWH480" s="1831"/>
      <c r="JWI480" s="1831"/>
      <c r="JWJ480" s="1831"/>
      <c r="JWK480" s="1831"/>
      <c r="JWL480" s="1831"/>
      <c r="JWM480" s="1831"/>
      <c r="JWN480" s="1831"/>
      <c r="JWO480" s="1831"/>
      <c r="JWP480" s="1831"/>
      <c r="JWQ480" s="1831"/>
      <c r="JWR480" s="1831"/>
      <c r="JWS480" s="1831"/>
      <c r="JWT480" s="1831"/>
      <c r="JWU480" s="1831"/>
      <c r="JWV480" s="1831"/>
      <c r="JWW480" s="1831"/>
      <c r="JWX480" s="1831"/>
      <c r="JWY480" s="1831"/>
      <c r="JWZ480" s="1831"/>
      <c r="JXA480" s="1831"/>
      <c r="JXB480" s="1831"/>
      <c r="JXC480" s="1831"/>
      <c r="JXD480" s="1831"/>
      <c r="JXE480" s="1831"/>
      <c r="JXF480" s="1831"/>
      <c r="JXG480" s="1831"/>
      <c r="JXH480" s="1831"/>
      <c r="JXI480" s="1831"/>
      <c r="JXJ480" s="1831"/>
      <c r="JXK480" s="1831"/>
      <c r="JXL480" s="1831"/>
      <c r="JXM480" s="1831"/>
      <c r="JXN480" s="1831"/>
      <c r="JXO480" s="1831"/>
      <c r="JXP480" s="1831"/>
      <c r="JXQ480" s="1831"/>
      <c r="JXR480" s="1831"/>
      <c r="JXS480" s="1831"/>
      <c r="JXT480" s="1831"/>
      <c r="JXU480" s="1831"/>
      <c r="JXV480" s="1831"/>
      <c r="JXW480" s="1831"/>
      <c r="JXX480" s="1831"/>
      <c r="JXY480" s="1831"/>
      <c r="JXZ480" s="1831"/>
      <c r="JYA480" s="1831"/>
      <c r="JYB480" s="1831"/>
      <c r="JYC480" s="1831"/>
      <c r="JYD480" s="1831"/>
      <c r="JYE480" s="1831"/>
      <c r="JYF480" s="1831"/>
      <c r="JYG480" s="1831"/>
      <c r="JYH480" s="1831"/>
      <c r="JYI480" s="1831"/>
      <c r="JYJ480" s="1831"/>
      <c r="JYK480" s="1831"/>
      <c r="JYL480" s="1831"/>
      <c r="JYM480" s="1831"/>
      <c r="JYN480" s="1831"/>
      <c r="JYO480" s="1831"/>
      <c r="JYP480" s="1831"/>
      <c r="JYQ480" s="1831"/>
      <c r="JYR480" s="1831"/>
      <c r="JYS480" s="1831"/>
      <c r="JYT480" s="1831"/>
      <c r="JYU480" s="1831"/>
      <c r="JYV480" s="1831"/>
      <c r="JYW480" s="1831"/>
      <c r="JYX480" s="1831"/>
      <c r="JYY480" s="1831"/>
      <c r="JYZ480" s="1831"/>
      <c r="JZA480" s="1831"/>
      <c r="JZB480" s="1831"/>
      <c r="JZC480" s="1831"/>
      <c r="JZD480" s="1831"/>
      <c r="JZE480" s="1831"/>
      <c r="JZF480" s="1831"/>
      <c r="JZG480" s="1831"/>
      <c r="JZH480" s="1831"/>
      <c r="JZI480" s="1831"/>
      <c r="JZJ480" s="1831"/>
      <c r="JZK480" s="1831"/>
      <c r="JZL480" s="1831"/>
      <c r="JZM480" s="1831"/>
      <c r="JZN480" s="1831"/>
      <c r="JZO480" s="1831"/>
      <c r="JZP480" s="1831"/>
      <c r="JZQ480" s="1831"/>
      <c r="JZR480" s="1831"/>
      <c r="JZS480" s="1831"/>
      <c r="JZT480" s="1831"/>
      <c r="JZU480" s="1831"/>
      <c r="JZV480" s="1831"/>
      <c r="JZW480" s="1831"/>
      <c r="JZX480" s="1831"/>
      <c r="JZY480" s="1831"/>
      <c r="JZZ480" s="1831"/>
      <c r="KAA480" s="1831"/>
      <c r="KAB480" s="1831"/>
      <c r="KAC480" s="1831"/>
      <c r="KAD480" s="1831"/>
      <c r="KAE480" s="1831"/>
      <c r="KAF480" s="1831"/>
      <c r="KAG480" s="1831"/>
      <c r="KAH480" s="1831"/>
      <c r="KAI480" s="1831"/>
      <c r="KAJ480" s="1831"/>
      <c r="KAK480" s="1831"/>
      <c r="KAL480" s="1831"/>
      <c r="KAM480" s="1831"/>
      <c r="KAN480" s="1831"/>
      <c r="KAO480" s="1831"/>
      <c r="KAP480" s="1831"/>
      <c r="KAQ480" s="1831"/>
      <c r="KAR480" s="1831"/>
      <c r="KAS480" s="1831"/>
      <c r="KAT480" s="1831"/>
      <c r="KAU480" s="1831"/>
      <c r="KAV480" s="1831"/>
      <c r="KAW480" s="1831"/>
      <c r="KAX480" s="1831"/>
      <c r="KAY480" s="1831"/>
      <c r="KAZ480" s="1831"/>
      <c r="KBA480" s="1831"/>
      <c r="KBB480" s="1831"/>
      <c r="KBC480" s="1831"/>
      <c r="KBD480" s="1831"/>
      <c r="KBE480" s="1831"/>
      <c r="KBF480" s="1831"/>
      <c r="KBG480" s="1831"/>
      <c r="KBH480" s="1831"/>
      <c r="KBI480" s="1831"/>
      <c r="KBJ480" s="1831"/>
      <c r="KBK480" s="1831"/>
      <c r="KBL480" s="1831"/>
      <c r="KBM480" s="1831"/>
      <c r="KBN480" s="1831"/>
      <c r="KBO480" s="1831"/>
      <c r="KBP480" s="1831"/>
      <c r="KBQ480" s="1831"/>
      <c r="KBR480" s="1831"/>
      <c r="KBS480" s="1831"/>
      <c r="KBT480" s="1831"/>
      <c r="KBU480" s="1831"/>
      <c r="KBV480" s="1831"/>
      <c r="KBW480" s="1831"/>
      <c r="KBX480" s="1831"/>
      <c r="KBY480" s="1831"/>
      <c r="KBZ480" s="1831"/>
      <c r="KCA480" s="1831"/>
      <c r="KCB480" s="1831"/>
      <c r="KCC480" s="1831"/>
      <c r="KCD480" s="1831"/>
      <c r="KCE480" s="1831"/>
      <c r="KCF480" s="1831"/>
      <c r="KCG480" s="1831"/>
      <c r="KCH480" s="1831"/>
      <c r="KCI480" s="1831"/>
      <c r="KCJ480" s="1831"/>
      <c r="KCK480" s="1831"/>
      <c r="KCL480" s="1831"/>
      <c r="KCM480" s="1831"/>
      <c r="KCN480" s="1831"/>
      <c r="KCO480" s="1831"/>
      <c r="KCP480" s="1831"/>
      <c r="KCQ480" s="1831"/>
      <c r="KCR480" s="1831"/>
      <c r="KCS480" s="1831"/>
      <c r="KCT480" s="1831"/>
      <c r="KCU480" s="1831"/>
      <c r="KCV480" s="1831"/>
      <c r="KCW480" s="1831"/>
      <c r="KCX480" s="1831"/>
      <c r="KCY480" s="1831"/>
      <c r="KCZ480" s="1831"/>
      <c r="KDA480" s="1831"/>
      <c r="KDB480" s="1831"/>
      <c r="KDC480" s="1831"/>
      <c r="KDD480" s="1831"/>
      <c r="KDE480" s="1831"/>
      <c r="KDF480" s="1831"/>
      <c r="KDG480" s="1831"/>
      <c r="KDH480" s="1831"/>
      <c r="KDI480" s="1831"/>
      <c r="KDJ480" s="1831"/>
      <c r="KDK480" s="1831"/>
      <c r="KDL480" s="1831"/>
      <c r="KDM480" s="1831"/>
      <c r="KDN480" s="1831"/>
      <c r="KDO480" s="1831"/>
      <c r="KDP480" s="1831"/>
      <c r="KDQ480" s="1831"/>
      <c r="KDR480" s="1831"/>
      <c r="KDS480" s="1831"/>
      <c r="KDT480" s="1831"/>
      <c r="KDU480" s="1831"/>
      <c r="KDV480" s="1831"/>
      <c r="KDW480" s="1831"/>
      <c r="KDX480" s="1831"/>
      <c r="KDY480" s="1831"/>
      <c r="KDZ480" s="1831"/>
      <c r="KEA480" s="1831"/>
      <c r="KEB480" s="1831"/>
      <c r="KEC480" s="1831"/>
      <c r="KED480" s="1831"/>
      <c r="KEE480" s="1831"/>
      <c r="KEF480" s="1831"/>
      <c r="KEG480" s="1831"/>
      <c r="KEH480" s="1831"/>
      <c r="KEI480" s="1831"/>
      <c r="KEJ480" s="1831"/>
      <c r="KEK480" s="1831"/>
      <c r="KEL480" s="1831"/>
      <c r="KEM480" s="1831"/>
      <c r="KEN480" s="1831"/>
      <c r="KEO480" s="1831"/>
      <c r="KEP480" s="1831"/>
      <c r="KEQ480" s="1831"/>
      <c r="KER480" s="1831"/>
      <c r="KES480" s="1831"/>
      <c r="KET480" s="1831"/>
      <c r="KEU480" s="1831"/>
      <c r="KEV480" s="1831"/>
      <c r="KEW480" s="1831"/>
      <c r="KEX480" s="1831"/>
      <c r="KEY480" s="1831"/>
      <c r="KEZ480" s="1831"/>
      <c r="KFA480" s="1831"/>
      <c r="KFB480" s="1831"/>
      <c r="KFC480" s="1831"/>
      <c r="KFD480" s="1831"/>
      <c r="KFE480" s="1831"/>
      <c r="KFF480" s="1831"/>
      <c r="KFG480" s="1831"/>
      <c r="KFH480" s="1831"/>
      <c r="KFI480" s="1831"/>
      <c r="KFJ480" s="1831"/>
      <c r="KFK480" s="1831"/>
      <c r="KFL480" s="1831"/>
      <c r="KFM480" s="1831"/>
      <c r="KFN480" s="1831"/>
      <c r="KFO480" s="1831"/>
      <c r="KFP480" s="1831"/>
      <c r="KFQ480" s="1831"/>
      <c r="KFR480" s="1831"/>
      <c r="KFS480" s="1831"/>
      <c r="KFT480" s="1831"/>
      <c r="KFU480" s="1831"/>
      <c r="KFV480" s="1831"/>
      <c r="KFW480" s="1831"/>
      <c r="KFX480" s="1831"/>
      <c r="KFY480" s="1831"/>
      <c r="KFZ480" s="1831"/>
      <c r="KGA480" s="1831"/>
      <c r="KGB480" s="1831"/>
      <c r="KGC480" s="1831"/>
      <c r="KGD480" s="1831"/>
      <c r="KGE480" s="1831"/>
      <c r="KGF480" s="1831"/>
      <c r="KGG480" s="1831"/>
      <c r="KGH480" s="1831"/>
      <c r="KGI480" s="1831"/>
      <c r="KGJ480" s="1831"/>
      <c r="KGK480" s="1831"/>
      <c r="KGL480" s="1831"/>
      <c r="KGM480" s="1831"/>
      <c r="KGN480" s="1831"/>
      <c r="KGO480" s="1831"/>
      <c r="KGP480" s="1831"/>
      <c r="KGQ480" s="1831"/>
      <c r="KGR480" s="1831"/>
      <c r="KGS480" s="1831"/>
      <c r="KGT480" s="1831"/>
      <c r="KGU480" s="1831"/>
      <c r="KGV480" s="1831"/>
      <c r="KGW480" s="1831"/>
      <c r="KGX480" s="1831"/>
      <c r="KGY480" s="1831"/>
      <c r="KGZ480" s="1831"/>
      <c r="KHA480" s="1831"/>
      <c r="KHB480" s="1831"/>
      <c r="KHC480" s="1831"/>
      <c r="KHD480" s="1831"/>
      <c r="KHE480" s="1831"/>
      <c r="KHF480" s="1831"/>
      <c r="KHG480" s="1831"/>
      <c r="KHH480" s="1831"/>
      <c r="KHI480" s="1831"/>
      <c r="KHJ480" s="1831"/>
      <c r="KHK480" s="1831"/>
      <c r="KHL480" s="1831"/>
      <c r="KHM480" s="1831"/>
      <c r="KHN480" s="1831"/>
      <c r="KHO480" s="1831"/>
      <c r="KHP480" s="1831"/>
      <c r="KHQ480" s="1831"/>
      <c r="KHR480" s="1831"/>
      <c r="KHS480" s="1831"/>
      <c r="KHT480" s="1831"/>
      <c r="KHU480" s="1831"/>
      <c r="KHV480" s="1831"/>
      <c r="KHW480" s="1831"/>
      <c r="KHX480" s="1831"/>
      <c r="KHY480" s="1831"/>
      <c r="KHZ480" s="1831"/>
      <c r="KIA480" s="1831"/>
      <c r="KIB480" s="1831"/>
      <c r="KIC480" s="1831"/>
      <c r="KID480" s="1831"/>
      <c r="KIE480" s="1831"/>
      <c r="KIF480" s="1831"/>
      <c r="KIG480" s="1831"/>
      <c r="KIH480" s="1831"/>
      <c r="KII480" s="1831"/>
      <c r="KIJ480" s="1831"/>
      <c r="KIK480" s="1831"/>
      <c r="KIL480" s="1831"/>
      <c r="KIM480" s="1831"/>
      <c r="KIN480" s="1831"/>
      <c r="KIO480" s="1831"/>
      <c r="KIP480" s="1831"/>
      <c r="KIQ480" s="1831"/>
      <c r="KIR480" s="1831"/>
      <c r="KIS480" s="1831"/>
      <c r="KIT480" s="1831"/>
      <c r="KIU480" s="1831"/>
      <c r="KIV480" s="1831"/>
      <c r="KIW480" s="1831"/>
      <c r="KIX480" s="1831"/>
      <c r="KIY480" s="1831"/>
      <c r="KIZ480" s="1831"/>
      <c r="KJA480" s="1831"/>
      <c r="KJB480" s="1831"/>
      <c r="KJC480" s="1831"/>
      <c r="KJD480" s="1831"/>
      <c r="KJE480" s="1831"/>
      <c r="KJF480" s="1831"/>
      <c r="KJG480" s="1831"/>
      <c r="KJH480" s="1831"/>
      <c r="KJI480" s="1831"/>
      <c r="KJJ480" s="1831"/>
      <c r="KJK480" s="1831"/>
      <c r="KJL480" s="1831"/>
      <c r="KJM480" s="1831"/>
      <c r="KJN480" s="1831"/>
      <c r="KJO480" s="1831"/>
      <c r="KJP480" s="1831"/>
      <c r="KJQ480" s="1831"/>
      <c r="KJR480" s="1831"/>
      <c r="KJS480" s="1831"/>
      <c r="KJT480" s="1831"/>
      <c r="KJU480" s="1831"/>
      <c r="KJV480" s="1831"/>
      <c r="KJW480" s="1831"/>
      <c r="KJX480" s="1831"/>
      <c r="KJY480" s="1831"/>
      <c r="KJZ480" s="1831"/>
      <c r="KKA480" s="1831"/>
      <c r="KKB480" s="1831"/>
      <c r="KKC480" s="1831"/>
      <c r="KKD480" s="1831"/>
      <c r="KKE480" s="1831"/>
      <c r="KKF480" s="1831"/>
      <c r="KKG480" s="1831"/>
      <c r="KKH480" s="1831"/>
      <c r="KKI480" s="1831"/>
      <c r="KKJ480" s="1831"/>
      <c r="KKK480" s="1831"/>
      <c r="KKL480" s="1831"/>
      <c r="KKM480" s="1831"/>
      <c r="KKN480" s="1831"/>
      <c r="KKO480" s="1831"/>
      <c r="KKP480" s="1831"/>
      <c r="KKQ480" s="1831"/>
      <c r="KKR480" s="1831"/>
      <c r="KKS480" s="1831"/>
      <c r="KKT480" s="1831"/>
      <c r="KKU480" s="1831"/>
      <c r="KKV480" s="1831"/>
      <c r="KKW480" s="1831"/>
      <c r="KKX480" s="1831"/>
      <c r="KKY480" s="1831"/>
      <c r="KKZ480" s="1831"/>
      <c r="KLA480" s="1831"/>
      <c r="KLB480" s="1831"/>
      <c r="KLC480" s="1831"/>
      <c r="KLD480" s="1831"/>
      <c r="KLE480" s="1831"/>
      <c r="KLF480" s="1831"/>
      <c r="KLG480" s="1831"/>
      <c r="KLH480" s="1831"/>
      <c r="KLI480" s="1831"/>
      <c r="KLJ480" s="1831"/>
      <c r="KLK480" s="1831"/>
      <c r="KLL480" s="1831"/>
      <c r="KLM480" s="1831"/>
      <c r="KLN480" s="1831"/>
      <c r="KLO480" s="1831"/>
      <c r="KLP480" s="1831"/>
      <c r="KLQ480" s="1831"/>
      <c r="KLR480" s="1831"/>
      <c r="KLS480" s="1831"/>
      <c r="KLT480" s="1831"/>
      <c r="KLU480" s="1831"/>
      <c r="KLV480" s="1831"/>
      <c r="KLW480" s="1831"/>
      <c r="KLX480" s="1831"/>
      <c r="KLY480" s="1831"/>
      <c r="KLZ480" s="1831"/>
      <c r="KMA480" s="1831"/>
      <c r="KMB480" s="1831"/>
      <c r="KMC480" s="1831"/>
      <c r="KMD480" s="1831"/>
      <c r="KME480" s="1831"/>
      <c r="KMF480" s="1831"/>
      <c r="KMG480" s="1831"/>
      <c r="KMH480" s="1831"/>
      <c r="KMI480" s="1831"/>
      <c r="KMJ480" s="1831"/>
      <c r="KMK480" s="1831"/>
      <c r="KML480" s="1831"/>
      <c r="KMM480" s="1831"/>
      <c r="KMN480" s="1831"/>
      <c r="KMO480" s="1831"/>
      <c r="KMP480" s="1831"/>
      <c r="KMQ480" s="1831"/>
      <c r="KMR480" s="1831"/>
      <c r="KMS480" s="1831"/>
      <c r="KMT480" s="1831"/>
      <c r="KMU480" s="1831"/>
      <c r="KMV480" s="1831"/>
      <c r="KMW480" s="1831"/>
      <c r="KMX480" s="1831"/>
      <c r="KMY480" s="1831"/>
      <c r="KMZ480" s="1831"/>
      <c r="KNA480" s="1831"/>
      <c r="KNB480" s="1831"/>
      <c r="KNC480" s="1831"/>
      <c r="KND480" s="1831"/>
      <c r="KNE480" s="1831"/>
      <c r="KNF480" s="1831"/>
      <c r="KNG480" s="1831"/>
      <c r="KNH480" s="1831"/>
      <c r="KNI480" s="1831"/>
      <c r="KNJ480" s="1831"/>
      <c r="KNK480" s="1831"/>
      <c r="KNL480" s="1831"/>
      <c r="KNM480" s="1831"/>
      <c r="KNN480" s="1831"/>
      <c r="KNO480" s="1831"/>
      <c r="KNP480" s="1831"/>
      <c r="KNQ480" s="1831"/>
      <c r="KNR480" s="1831"/>
      <c r="KNS480" s="1831"/>
      <c r="KNT480" s="1831"/>
      <c r="KNU480" s="1831"/>
      <c r="KNV480" s="1831"/>
      <c r="KNW480" s="1831"/>
      <c r="KNX480" s="1831"/>
      <c r="KNY480" s="1831"/>
      <c r="KNZ480" s="1831"/>
      <c r="KOA480" s="1831"/>
      <c r="KOB480" s="1831"/>
      <c r="KOC480" s="1831"/>
      <c r="KOD480" s="1831"/>
      <c r="KOE480" s="1831"/>
      <c r="KOF480" s="1831"/>
      <c r="KOG480" s="1831"/>
      <c r="KOH480" s="1831"/>
      <c r="KOI480" s="1831"/>
      <c r="KOJ480" s="1831"/>
      <c r="KOK480" s="1831"/>
      <c r="KOL480" s="1831"/>
      <c r="KOM480" s="1831"/>
      <c r="KON480" s="1831"/>
      <c r="KOO480" s="1831"/>
      <c r="KOP480" s="1831"/>
      <c r="KOQ480" s="1831"/>
      <c r="KOR480" s="1831"/>
      <c r="KOS480" s="1831"/>
      <c r="KOT480" s="1831"/>
      <c r="KOU480" s="1831"/>
      <c r="KOV480" s="1831"/>
      <c r="KOW480" s="1831"/>
      <c r="KOX480" s="1831"/>
      <c r="KOY480" s="1831"/>
      <c r="KOZ480" s="1831"/>
      <c r="KPA480" s="1831"/>
      <c r="KPB480" s="1831"/>
      <c r="KPC480" s="1831"/>
      <c r="KPD480" s="1831"/>
      <c r="KPE480" s="1831"/>
      <c r="KPF480" s="1831"/>
      <c r="KPG480" s="1831"/>
      <c r="KPH480" s="1831"/>
      <c r="KPI480" s="1831"/>
      <c r="KPJ480" s="1831"/>
      <c r="KPK480" s="1831"/>
      <c r="KPL480" s="1831"/>
      <c r="KPM480" s="1831"/>
      <c r="KPN480" s="1831"/>
      <c r="KPO480" s="1831"/>
      <c r="KPP480" s="1831"/>
      <c r="KPQ480" s="1831"/>
      <c r="KPR480" s="1831"/>
      <c r="KPS480" s="1831"/>
      <c r="KPT480" s="1831"/>
      <c r="KPU480" s="1831"/>
      <c r="KPV480" s="1831"/>
      <c r="KPW480" s="1831"/>
      <c r="KPX480" s="1831"/>
      <c r="KPY480" s="1831"/>
      <c r="KPZ480" s="1831"/>
      <c r="KQA480" s="1831"/>
      <c r="KQB480" s="1831"/>
      <c r="KQC480" s="1831"/>
      <c r="KQD480" s="1831"/>
      <c r="KQE480" s="1831"/>
      <c r="KQF480" s="1831"/>
      <c r="KQG480" s="1831"/>
      <c r="KQH480" s="1831"/>
      <c r="KQI480" s="1831"/>
      <c r="KQJ480" s="1831"/>
      <c r="KQK480" s="1831"/>
      <c r="KQL480" s="1831"/>
      <c r="KQM480" s="1831"/>
      <c r="KQN480" s="1831"/>
      <c r="KQO480" s="1831"/>
      <c r="KQP480" s="1831"/>
      <c r="KQQ480" s="1831"/>
      <c r="KQR480" s="1831"/>
      <c r="KQS480" s="1831"/>
      <c r="KQT480" s="1831"/>
      <c r="KQU480" s="1831"/>
      <c r="KQV480" s="1831"/>
      <c r="KQW480" s="1831"/>
      <c r="KQX480" s="1831"/>
      <c r="KQY480" s="1831"/>
      <c r="KQZ480" s="1831"/>
      <c r="KRA480" s="1831"/>
      <c r="KRB480" s="1831"/>
      <c r="KRC480" s="1831"/>
      <c r="KRD480" s="1831"/>
      <c r="KRE480" s="1831"/>
      <c r="KRF480" s="1831"/>
      <c r="KRG480" s="1831"/>
      <c r="KRH480" s="1831"/>
      <c r="KRI480" s="1831"/>
      <c r="KRJ480" s="1831"/>
      <c r="KRK480" s="1831"/>
      <c r="KRL480" s="1831"/>
      <c r="KRM480" s="1831"/>
      <c r="KRN480" s="1831"/>
      <c r="KRO480" s="1831"/>
      <c r="KRP480" s="1831"/>
      <c r="KRQ480" s="1831"/>
      <c r="KRR480" s="1831"/>
      <c r="KRS480" s="1831"/>
      <c r="KRT480" s="1831"/>
      <c r="KRU480" s="1831"/>
      <c r="KRV480" s="1831"/>
      <c r="KRW480" s="1831"/>
      <c r="KRX480" s="1831"/>
      <c r="KRY480" s="1831"/>
      <c r="KRZ480" s="1831"/>
      <c r="KSA480" s="1831"/>
      <c r="KSB480" s="1831"/>
      <c r="KSC480" s="1831"/>
      <c r="KSD480" s="1831"/>
      <c r="KSE480" s="1831"/>
      <c r="KSF480" s="1831"/>
      <c r="KSG480" s="1831"/>
      <c r="KSH480" s="1831"/>
      <c r="KSI480" s="1831"/>
      <c r="KSJ480" s="1831"/>
      <c r="KSK480" s="1831"/>
      <c r="KSL480" s="1831"/>
      <c r="KSM480" s="1831"/>
      <c r="KSN480" s="1831"/>
      <c r="KSO480" s="1831"/>
      <c r="KSP480" s="1831"/>
      <c r="KSQ480" s="1831"/>
      <c r="KSR480" s="1831"/>
      <c r="KSS480" s="1831"/>
      <c r="KST480" s="1831"/>
      <c r="KSU480" s="1831"/>
      <c r="KSV480" s="1831"/>
      <c r="KSW480" s="1831"/>
      <c r="KSX480" s="1831"/>
      <c r="KSY480" s="1831"/>
      <c r="KSZ480" s="1831"/>
      <c r="KTA480" s="1831"/>
      <c r="KTB480" s="1831"/>
      <c r="KTC480" s="1831"/>
      <c r="KTD480" s="1831"/>
      <c r="KTE480" s="1831"/>
      <c r="KTF480" s="1831"/>
      <c r="KTG480" s="1831"/>
      <c r="KTH480" s="1831"/>
      <c r="KTI480" s="1831"/>
      <c r="KTJ480" s="1831"/>
      <c r="KTK480" s="1831"/>
      <c r="KTL480" s="1831"/>
      <c r="KTM480" s="1831"/>
      <c r="KTN480" s="1831"/>
      <c r="KTO480" s="1831"/>
      <c r="KTP480" s="1831"/>
      <c r="KTQ480" s="1831"/>
      <c r="KTR480" s="1831"/>
      <c r="KTS480" s="1831"/>
      <c r="KTT480" s="1831"/>
      <c r="KTU480" s="1831"/>
      <c r="KTV480" s="1831"/>
      <c r="KTW480" s="1831"/>
      <c r="KTX480" s="1831"/>
      <c r="KTY480" s="1831"/>
      <c r="KTZ480" s="1831"/>
      <c r="KUA480" s="1831"/>
      <c r="KUB480" s="1831"/>
      <c r="KUC480" s="1831"/>
      <c r="KUD480" s="1831"/>
      <c r="KUE480" s="1831"/>
      <c r="KUF480" s="1831"/>
      <c r="KUG480" s="1831"/>
      <c r="KUH480" s="1831"/>
      <c r="KUI480" s="1831"/>
      <c r="KUJ480" s="1831"/>
      <c r="KUK480" s="1831"/>
      <c r="KUL480" s="1831"/>
      <c r="KUM480" s="1831"/>
      <c r="KUN480" s="1831"/>
      <c r="KUO480" s="1831"/>
      <c r="KUP480" s="1831"/>
      <c r="KUQ480" s="1831"/>
      <c r="KUR480" s="1831"/>
      <c r="KUS480" s="1831"/>
      <c r="KUT480" s="1831"/>
      <c r="KUU480" s="1831"/>
      <c r="KUV480" s="1831"/>
      <c r="KUW480" s="1831"/>
      <c r="KUX480" s="1831"/>
      <c r="KUY480" s="1831"/>
      <c r="KUZ480" s="1831"/>
      <c r="KVA480" s="1831"/>
      <c r="KVB480" s="1831"/>
      <c r="KVC480" s="1831"/>
      <c r="KVD480" s="1831"/>
      <c r="KVE480" s="1831"/>
      <c r="KVF480" s="1831"/>
      <c r="KVG480" s="1831"/>
      <c r="KVH480" s="1831"/>
      <c r="KVI480" s="1831"/>
      <c r="KVJ480" s="1831"/>
      <c r="KVK480" s="1831"/>
      <c r="KVL480" s="1831"/>
      <c r="KVM480" s="1831"/>
      <c r="KVN480" s="1831"/>
      <c r="KVO480" s="1831"/>
      <c r="KVP480" s="1831"/>
      <c r="KVQ480" s="1831"/>
      <c r="KVR480" s="1831"/>
      <c r="KVS480" s="1831"/>
      <c r="KVT480" s="1831"/>
      <c r="KVU480" s="1831"/>
      <c r="KVV480" s="1831"/>
      <c r="KVW480" s="1831"/>
      <c r="KVX480" s="1831"/>
      <c r="KVY480" s="1831"/>
      <c r="KVZ480" s="1831"/>
      <c r="KWA480" s="1831"/>
      <c r="KWB480" s="1831"/>
      <c r="KWC480" s="1831"/>
      <c r="KWD480" s="1831"/>
      <c r="KWE480" s="1831"/>
      <c r="KWF480" s="1831"/>
      <c r="KWG480" s="1831"/>
      <c r="KWH480" s="1831"/>
      <c r="KWI480" s="1831"/>
      <c r="KWJ480" s="1831"/>
      <c r="KWK480" s="1831"/>
      <c r="KWL480" s="1831"/>
      <c r="KWM480" s="1831"/>
      <c r="KWN480" s="1831"/>
      <c r="KWO480" s="1831"/>
      <c r="KWP480" s="1831"/>
      <c r="KWQ480" s="1831"/>
      <c r="KWR480" s="1831"/>
      <c r="KWS480" s="1831"/>
      <c r="KWT480" s="1831"/>
      <c r="KWU480" s="1831"/>
      <c r="KWV480" s="1831"/>
      <c r="KWW480" s="1831"/>
      <c r="KWX480" s="1831"/>
      <c r="KWY480" s="1831"/>
      <c r="KWZ480" s="1831"/>
      <c r="KXA480" s="1831"/>
      <c r="KXB480" s="1831"/>
      <c r="KXC480" s="1831"/>
      <c r="KXD480" s="1831"/>
      <c r="KXE480" s="1831"/>
      <c r="KXF480" s="1831"/>
      <c r="KXG480" s="1831"/>
      <c r="KXH480" s="1831"/>
      <c r="KXI480" s="1831"/>
      <c r="KXJ480" s="1831"/>
      <c r="KXK480" s="1831"/>
      <c r="KXL480" s="1831"/>
      <c r="KXM480" s="1831"/>
      <c r="KXN480" s="1831"/>
      <c r="KXO480" s="1831"/>
      <c r="KXP480" s="1831"/>
      <c r="KXQ480" s="1831"/>
      <c r="KXR480" s="1831"/>
      <c r="KXS480" s="1831"/>
      <c r="KXT480" s="1831"/>
      <c r="KXU480" s="1831"/>
      <c r="KXV480" s="1831"/>
      <c r="KXW480" s="1831"/>
      <c r="KXX480" s="1831"/>
      <c r="KXY480" s="1831"/>
      <c r="KXZ480" s="1831"/>
      <c r="KYA480" s="1831"/>
      <c r="KYB480" s="1831"/>
      <c r="KYC480" s="1831"/>
      <c r="KYD480" s="1831"/>
      <c r="KYE480" s="1831"/>
      <c r="KYF480" s="1831"/>
      <c r="KYG480" s="1831"/>
      <c r="KYH480" s="1831"/>
      <c r="KYI480" s="1831"/>
      <c r="KYJ480" s="1831"/>
      <c r="KYK480" s="1831"/>
      <c r="KYL480" s="1831"/>
      <c r="KYM480" s="1831"/>
      <c r="KYN480" s="1831"/>
      <c r="KYO480" s="1831"/>
      <c r="KYP480" s="1831"/>
      <c r="KYQ480" s="1831"/>
      <c r="KYR480" s="1831"/>
      <c r="KYS480" s="1831"/>
      <c r="KYT480" s="1831"/>
      <c r="KYU480" s="1831"/>
      <c r="KYV480" s="1831"/>
      <c r="KYW480" s="1831"/>
      <c r="KYX480" s="1831"/>
      <c r="KYY480" s="1831"/>
      <c r="KYZ480" s="1831"/>
      <c r="KZA480" s="1831"/>
      <c r="KZB480" s="1831"/>
      <c r="KZC480" s="1831"/>
      <c r="KZD480" s="1831"/>
      <c r="KZE480" s="1831"/>
      <c r="KZF480" s="1831"/>
      <c r="KZG480" s="1831"/>
      <c r="KZH480" s="1831"/>
      <c r="KZI480" s="1831"/>
      <c r="KZJ480" s="1831"/>
      <c r="KZK480" s="1831"/>
      <c r="KZL480" s="1831"/>
      <c r="KZM480" s="1831"/>
      <c r="KZN480" s="1831"/>
      <c r="KZO480" s="1831"/>
      <c r="KZP480" s="1831"/>
      <c r="KZQ480" s="1831"/>
      <c r="KZR480" s="1831"/>
      <c r="KZS480" s="1831"/>
      <c r="KZT480" s="1831"/>
      <c r="KZU480" s="1831"/>
      <c r="KZV480" s="1831"/>
      <c r="KZW480" s="1831"/>
      <c r="KZX480" s="1831"/>
      <c r="KZY480" s="1831"/>
      <c r="KZZ480" s="1831"/>
      <c r="LAA480" s="1831"/>
      <c r="LAB480" s="1831"/>
      <c r="LAC480" s="1831"/>
      <c r="LAD480" s="1831"/>
      <c r="LAE480" s="1831"/>
      <c r="LAF480" s="1831"/>
      <c r="LAG480" s="1831"/>
      <c r="LAH480" s="1831"/>
      <c r="LAI480" s="1831"/>
      <c r="LAJ480" s="1831"/>
      <c r="LAK480" s="1831"/>
      <c r="LAL480" s="1831"/>
      <c r="LAM480" s="1831"/>
      <c r="LAN480" s="1831"/>
      <c r="LAO480" s="1831"/>
      <c r="LAP480" s="1831"/>
      <c r="LAQ480" s="1831"/>
      <c r="LAR480" s="1831"/>
      <c r="LAS480" s="1831"/>
      <c r="LAT480" s="1831"/>
      <c r="LAU480" s="1831"/>
      <c r="LAV480" s="1831"/>
      <c r="LAW480" s="1831"/>
      <c r="LAX480" s="1831"/>
      <c r="LAY480" s="1831"/>
      <c r="LAZ480" s="1831"/>
      <c r="LBA480" s="1831"/>
      <c r="LBB480" s="1831"/>
      <c r="LBC480" s="1831"/>
      <c r="LBD480" s="1831"/>
      <c r="LBE480" s="1831"/>
      <c r="LBF480" s="1831"/>
      <c r="LBG480" s="1831"/>
      <c r="LBH480" s="1831"/>
      <c r="LBI480" s="1831"/>
      <c r="LBJ480" s="1831"/>
      <c r="LBK480" s="1831"/>
      <c r="LBL480" s="1831"/>
      <c r="LBM480" s="1831"/>
      <c r="LBN480" s="1831"/>
      <c r="LBO480" s="1831"/>
      <c r="LBP480" s="1831"/>
      <c r="LBQ480" s="1831"/>
      <c r="LBR480" s="1831"/>
      <c r="LBS480" s="1831"/>
      <c r="LBT480" s="1831"/>
      <c r="LBU480" s="1831"/>
      <c r="LBV480" s="1831"/>
      <c r="LBW480" s="1831"/>
      <c r="LBX480" s="1831"/>
      <c r="LBY480" s="1831"/>
      <c r="LBZ480" s="1831"/>
      <c r="LCA480" s="1831"/>
      <c r="LCB480" s="1831"/>
      <c r="LCC480" s="1831"/>
      <c r="LCD480" s="1831"/>
      <c r="LCE480" s="1831"/>
      <c r="LCF480" s="1831"/>
      <c r="LCG480" s="1831"/>
      <c r="LCH480" s="1831"/>
      <c r="LCI480" s="1831"/>
      <c r="LCJ480" s="1831"/>
      <c r="LCK480" s="1831"/>
      <c r="LCL480" s="1831"/>
      <c r="LCM480" s="1831"/>
      <c r="LCN480" s="1831"/>
      <c r="LCO480" s="1831"/>
      <c r="LCP480" s="1831"/>
      <c r="LCQ480" s="1831"/>
      <c r="LCR480" s="1831"/>
      <c r="LCS480" s="1831"/>
      <c r="LCT480" s="1831"/>
      <c r="LCU480" s="1831"/>
      <c r="LCV480" s="1831"/>
      <c r="LCW480" s="1831"/>
      <c r="LCX480" s="1831"/>
      <c r="LCY480" s="1831"/>
      <c r="LCZ480" s="1831"/>
      <c r="LDA480" s="1831"/>
      <c r="LDB480" s="1831"/>
      <c r="LDC480" s="1831"/>
      <c r="LDD480" s="1831"/>
      <c r="LDE480" s="1831"/>
      <c r="LDF480" s="1831"/>
      <c r="LDG480" s="1831"/>
      <c r="LDH480" s="1831"/>
      <c r="LDI480" s="1831"/>
      <c r="LDJ480" s="1831"/>
      <c r="LDK480" s="1831"/>
      <c r="LDL480" s="1831"/>
      <c r="LDM480" s="1831"/>
      <c r="LDN480" s="1831"/>
      <c r="LDO480" s="1831"/>
      <c r="LDP480" s="1831"/>
      <c r="LDQ480" s="1831"/>
      <c r="LDR480" s="1831"/>
      <c r="LDS480" s="1831"/>
      <c r="LDT480" s="1831"/>
      <c r="LDU480" s="1831"/>
      <c r="LDV480" s="1831"/>
      <c r="LDW480" s="1831"/>
      <c r="LDX480" s="1831"/>
      <c r="LDY480" s="1831"/>
      <c r="LDZ480" s="1831"/>
      <c r="LEA480" s="1831"/>
      <c r="LEB480" s="1831"/>
      <c r="LEC480" s="1831"/>
      <c r="LED480" s="1831"/>
      <c r="LEE480" s="1831"/>
      <c r="LEF480" s="1831"/>
      <c r="LEG480" s="1831"/>
      <c r="LEH480" s="1831"/>
      <c r="LEI480" s="1831"/>
      <c r="LEJ480" s="1831"/>
      <c r="LEK480" s="1831"/>
      <c r="LEL480" s="1831"/>
      <c r="LEM480" s="1831"/>
      <c r="LEN480" s="1831"/>
      <c r="LEO480" s="1831"/>
      <c r="LEP480" s="1831"/>
      <c r="LEQ480" s="1831"/>
      <c r="LER480" s="1831"/>
      <c r="LES480" s="1831"/>
      <c r="LET480" s="1831"/>
      <c r="LEU480" s="1831"/>
      <c r="LEV480" s="1831"/>
      <c r="LEW480" s="1831"/>
      <c r="LEX480" s="1831"/>
      <c r="LEY480" s="1831"/>
      <c r="LEZ480" s="1831"/>
      <c r="LFA480" s="1831"/>
      <c r="LFB480" s="1831"/>
      <c r="LFC480" s="1831"/>
      <c r="LFD480" s="1831"/>
      <c r="LFE480" s="1831"/>
      <c r="LFF480" s="1831"/>
      <c r="LFG480" s="1831"/>
      <c r="LFH480" s="1831"/>
      <c r="LFI480" s="1831"/>
      <c r="LFJ480" s="1831"/>
      <c r="LFK480" s="1831"/>
      <c r="LFL480" s="1831"/>
      <c r="LFM480" s="1831"/>
      <c r="LFN480" s="1831"/>
      <c r="LFO480" s="1831"/>
      <c r="LFP480" s="1831"/>
      <c r="LFQ480" s="1831"/>
      <c r="LFR480" s="1831"/>
      <c r="LFS480" s="1831"/>
      <c r="LFT480" s="1831"/>
      <c r="LFU480" s="1831"/>
      <c r="LFV480" s="1831"/>
      <c r="LFW480" s="1831"/>
      <c r="LFX480" s="1831"/>
      <c r="LFY480" s="1831"/>
      <c r="LFZ480" s="1831"/>
      <c r="LGA480" s="1831"/>
      <c r="LGB480" s="1831"/>
      <c r="LGC480" s="1831"/>
      <c r="LGD480" s="1831"/>
      <c r="LGE480" s="1831"/>
      <c r="LGF480" s="1831"/>
      <c r="LGG480" s="1831"/>
      <c r="LGH480" s="1831"/>
      <c r="LGI480" s="1831"/>
      <c r="LGJ480" s="1831"/>
      <c r="LGK480" s="1831"/>
      <c r="LGL480" s="1831"/>
      <c r="LGM480" s="1831"/>
      <c r="LGN480" s="1831"/>
      <c r="LGO480" s="1831"/>
      <c r="LGP480" s="1831"/>
      <c r="LGQ480" s="1831"/>
      <c r="LGR480" s="1831"/>
      <c r="LGS480" s="1831"/>
      <c r="LGT480" s="1831"/>
      <c r="LGU480" s="1831"/>
      <c r="LGV480" s="1831"/>
      <c r="LGW480" s="1831"/>
      <c r="LGX480" s="1831"/>
      <c r="LGY480" s="1831"/>
      <c r="LGZ480" s="1831"/>
      <c r="LHA480" s="1831"/>
      <c r="LHB480" s="1831"/>
      <c r="LHC480" s="1831"/>
      <c r="LHD480" s="1831"/>
      <c r="LHE480" s="1831"/>
      <c r="LHF480" s="1831"/>
      <c r="LHG480" s="1831"/>
      <c r="LHH480" s="1831"/>
      <c r="LHI480" s="1831"/>
      <c r="LHJ480" s="1831"/>
      <c r="LHK480" s="1831"/>
      <c r="LHL480" s="1831"/>
      <c r="LHM480" s="1831"/>
      <c r="LHN480" s="1831"/>
      <c r="LHO480" s="1831"/>
      <c r="LHP480" s="1831"/>
      <c r="LHQ480" s="1831"/>
      <c r="LHR480" s="1831"/>
      <c r="LHS480" s="1831"/>
      <c r="LHT480" s="1831"/>
      <c r="LHU480" s="1831"/>
      <c r="LHV480" s="1831"/>
      <c r="LHW480" s="1831"/>
      <c r="LHX480" s="1831"/>
      <c r="LHY480" s="1831"/>
      <c r="LHZ480" s="1831"/>
      <c r="LIA480" s="1831"/>
      <c r="LIB480" s="1831"/>
      <c r="LIC480" s="1831"/>
      <c r="LID480" s="1831"/>
      <c r="LIE480" s="1831"/>
      <c r="LIF480" s="1831"/>
      <c r="LIG480" s="1831"/>
      <c r="LIH480" s="1831"/>
      <c r="LII480" s="1831"/>
      <c r="LIJ480" s="1831"/>
      <c r="LIK480" s="1831"/>
      <c r="LIL480" s="1831"/>
      <c r="LIM480" s="1831"/>
      <c r="LIN480" s="1831"/>
      <c r="LIO480" s="1831"/>
      <c r="LIP480" s="1831"/>
      <c r="LIQ480" s="1831"/>
      <c r="LIR480" s="1831"/>
      <c r="LIS480" s="1831"/>
      <c r="LIT480" s="1831"/>
      <c r="LIU480" s="1831"/>
      <c r="LIV480" s="1831"/>
      <c r="LIW480" s="1831"/>
      <c r="LIX480" s="1831"/>
      <c r="LIY480" s="1831"/>
      <c r="LIZ480" s="1831"/>
      <c r="LJA480" s="1831"/>
      <c r="LJB480" s="1831"/>
      <c r="LJC480" s="1831"/>
      <c r="LJD480" s="1831"/>
      <c r="LJE480" s="1831"/>
      <c r="LJF480" s="1831"/>
      <c r="LJG480" s="1831"/>
      <c r="LJH480" s="1831"/>
      <c r="LJI480" s="1831"/>
      <c r="LJJ480" s="1831"/>
      <c r="LJK480" s="1831"/>
      <c r="LJL480" s="1831"/>
      <c r="LJM480" s="1831"/>
      <c r="LJN480" s="1831"/>
      <c r="LJO480" s="1831"/>
      <c r="LJP480" s="1831"/>
      <c r="LJQ480" s="1831"/>
      <c r="LJR480" s="1831"/>
      <c r="LJS480" s="1831"/>
      <c r="LJT480" s="1831"/>
      <c r="LJU480" s="1831"/>
      <c r="LJV480" s="1831"/>
      <c r="LJW480" s="1831"/>
      <c r="LJX480" s="1831"/>
      <c r="LJY480" s="1831"/>
      <c r="LJZ480" s="1831"/>
      <c r="LKA480" s="1831"/>
      <c r="LKB480" s="1831"/>
      <c r="LKC480" s="1831"/>
      <c r="LKD480" s="1831"/>
      <c r="LKE480" s="1831"/>
      <c r="LKF480" s="1831"/>
      <c r="LKG480" s="1831"/>
      <c r="LKH480" s="1831"/>
      <c r="LKI480" s="1831"/>
      <c r="LKJ480" s="1831"/>
      <c r="LKK480" s="1831"/>
      <c r="LKL480" s="1831"/>
      <c r="LKM480" s="1831"/>
      <c r="LKN480" s="1831"/>
      <c r="LKO480" s="1831"/>
      <c r="LKP480" s="1831"/>
      <c r="LKQ480" s="1831"/>
      <c r="LKR480" s="1831"/>
      <c r="LKS480" s="1831"/>
      <c r="LKT480" s="1831"/>
      <c r="LKU480" s="1831"/>
      <c r="LKV480" s="1831"/>
      <c r="LKW480" s="1831"/>
      <c r="LKX480" s="1831"/>
      <c r="LKY480" s="1831"/>
      <c r="LKZ480" s="1831"/>
      <c r="LLA480" s="1831"/>
      <c r="LLB480" s="1831"/>
      <c r="LLC480" s="1831"/>
      <c r="LLD480" s="1831"/>
      <c r="LLE480" s="1831"/>
      <c r="LLF480" s="1831"/>
      <c r="LLG480" s="1831"/>
      <c r="LLH480" s="1831"/>
      <c r="LLI480" s="1831"/>
      <c r="LLJ480" s="1831"/>
      <c r="LLK480" s="1831"/>
      <c r="LLL480" s="1831"/>
      <c r="LLM480" s="1831"/>
      <c r="LLN480" s="1831"/>
      <c r="LLO480" s="1831"/>
      <c r="LLP480" s="1831"/>
      <c r="LLQ480" s="1831"/>
      <c r="LLR480" s="1831"/>
      <c r="LLS480" s="1831"/>
      <c r="LLT480" s="1831"/>
      <c r="LLU480" s="1831"/>
      <c r="LLV480" s="1831"/>
      <c r="LLW480" s="1831"/>
      <c r="LLX480" s="1831"/>
      <c r="LLY480" s="1831"/>
      <c r="LLZ480" s="1831"/>
      <c r="LMA480" s="1831"/>
      <c r="LMB480" s="1831"/>
      <c r="LMC480" s="1831"/>
      <c r="LMD480" s="1831"/>
      <c r="LME480" s="1831"/>
      <c r="LMF480" s="1831"/>
      <c r="LMG480" s="1831"/>
      <c r="LMH480" s="1831"/>
      <c r="LMI480" s="1831"/>
      <c r="LMJ480" s="1831"/>
      <c r="LMK480" s="1831"/>
      <c r="LML480" s="1831"/>
      <c r="LMM480" s="1831"/>
      <c r="LMN480" s="1831"/>
      <c r="LMO480" s="1831"/>
      <c r="LMP480" s="1831"/>
      <c r="LMQ480" s="1831"/>
      <c r="LMR480" s="1831"/>
      <c r="LMS480" s="1831"/>
      <c r="LMT480" s="1831"/>
      <c r="LMU480" s="1831"/>
      <c r="LMV480" s="1831"/>
      <c r="LMW480" s="1831"/>
      <c r="LMX480" s="1831"/>
      <c r="LMY480" s="1831"/>
      <c r="LMZ480" s="1831"/>
      <c r="LNA480" s="1831"/>
      <c r="LNB480" s="1831"/>
      <c r="LNC480" s="1831"/>
      <c r="LND480" s="1831"/>
      <c r="LNE480" s="1831"/>
      <c r="LNF480" s="1831"/>
      <c r="LNG480" s="1831"/>
      <c r="LNH480" s="1831"/>
      <c r="LNI480" s="1831"/>
      <c r="LNJ480" s="1831"/>
      <c r="LNK480" s="1831"/>
      <c r="LNL480" s="1831"/>
      <c r="LNM480" s="1831"/>
      <c r="LNN480" s="1831"/>
      <c r="LNO480" s="1831"/>
      <c r="LNP480" s="1831"/>
      <c r="LNQ480" s="1831"/>
      <c r="LNR480" s="1831"/>
      <c r="LNS480" s="1831"/>
      <c r="LNT480" s="1831"/>
      <c r="LNU480" s="1831"/>
      <c r="LNV480" s="1831"/>
      <c r="LNW480" s="1831"/>
      <c r="LNX480" s="1831"/>
      <c r="LNY480" s="1831"/>
      <c r="LNZ480" s="1831"/>
      <c r="LOA480" s="1831"/>
      <c r="LOB480" s="1831"/>
      <c r="LOC480" s="1831"/>
      <c r="LOD480" s="1831"/>
      <c r="LOE480" s="1831"/>
      <c r="LOF480" s="1831"/>
      <c r="LOG480" s="1831"/>
      <c r="LOH480" s="1831"/>
      <c r="LOI480" s="1831"/>
      <c r="LOJ480" s="1831"/>
      <c r="LOK480" s="1831"/>
      <c r="LOL480" s="1831"/>
      <c r="LOM480" s="1831"/>
      <c r="LON480" s="1831"/>
      <c r="LOO480" s="1831"/>
      <c r="LOP480" s="1831"/>
      <c r="LOQ480" s="1831"/>
      <c r="LOR480" s="1831"/>
      <c r="LOS480" s="1831"/>
      <c r="LOT480" s="1831"/>
      <c r="LOU480" s="1831"/>
      <c r="LOV480" s="1831"/>
      <c r="LOW480" s="1831"/>
      <c r="LOX480" s="1831"/>
      <c r="LOY480" s="1831"/>
      <c r="LOZ480" s="1831"/>
      <c r="LPA480" s="1831"/>
      <c r="LPB480" s="1831"/>
      <c r="LPC480" s="1831"/>
      <c r="LPD480" s="1831"/>
      <c r="LPE480" s="1831"/>
      <c r="LPF480" s="1831"/>
      <c r="LPG480" s="1831"/>
      <c r="LPH480" s="1831"/>
      <c r="LPI480" s="1831"/>
      <c r="LPJ480" s="1831"/>
      <c r="LPK480" s="1831"/>
      <c r="LPL480" s="1831"/>
      <c r="LPM480" s="1831"/>
      <c r="LPN480" s="1831"/>
      <c r="LPO480" s="1831"/>
      <c r="LPP480" s="1831"/>
      <c r="LPQ480" s="1831"/>
      <c r="LPR480" s="1831"/>
      <c r="LPS480" s="1831"/>
      <c r="LPT480" s="1831"/>
      <c r="LPU480" s="1831"/>
      <c r="LPV480" s="1831"/>
      <c r="LPW480" s="1831"/>
      <c r="LPX480" s="1831"/>
      <c r="LPY480" s="1831"/>
      <c r="LPZ480" s="1831"/>
      <c r="LQA480" s="1831"/>
      <c r="LQB480" s="1831"/>
      <c r="LQC480" s="1831"/>
      <c r="LQD480" s="1831"/>
      <c r="LQE480" s="1831"/>
      <c r="LQF480" s="1831"/>
      <c r="LQG480" s="1831"/>
      <c r="LQH480" s="1831"/>
      <c r="LQI480" s="1831"/>
      <c r="LQJ480" s="1831"/>
      <c r="LQK480" s="1831"/>
      <c r="LQL480" s="1831"/>
      <c r="LQM480" s="1831"/>
      <c r="LQN480" s="1831"/>
      <c r="LQO480" s="1831"/>
      <c r="LQP480" s="1831"/>
      <c r="LQQ480" s="1831"/>
      <c r="LQR480" s="1831"/>
      <c r="LQS480" s="1831"/>
      <c r="LQT480" s="1831"/>
      <c r="LQU480" s="1831"/>
      <c r="LQV480" s="1831"/>
      <c r="LQW480" s="1831"/>
      <c r="LQX480" s="1831"/>
      <c r="LQY480" s="1831"/>
      <c r="LQZ480" s="1831"/>
      <c r="LRA480" s="1831"/>
      <c r="LRB480" s="1831"/>
      <c r="LRC480" s="1831"/>
      <c r="LRD480" s="1831"/>
      <c r="LRE480" s="1831"/>
      <c r="LRF480" s="1831"/>
      <c r="LRG480" s="1831"/>
      <c r="LRH480" s="1831"/>
      <c r="LRI480" s="1831"/>
      <c r="LRJ480" s="1831"/>
      <c r="LRK480" s="1831"/>
      <c r="LRL480" s="1831"/>
      <c r="LRM480" s="1831"/>
      <c r="LRN480" s="1831"/>
      <c r="LRO480" s="1831"/>
      <c r="LRP480" s="1831"/>
      <c r="LRQ480" s="1831"/>
      <c r="LRR480" s="1831"/>
      <c r="LRS480" s="1831"/>
      <c r="LRT480" s="1831"/>
      <c r="LRU480" s="1831"/>
      <c r="LRV480" s="1831"/>
      <c r="LRW480" s="1831"/>
      <c r="LRX480" s="1831"/>
      <c r="LRY480" s="1831"/>
      <c r="LRZ480" s="1831"/>
      <c r="LSA480" s="1831"/>
      <c r="LSB480" s="1831"/>
      <c r="LSC480" s="1831"/>
      <c r="LSD480" s="1831"/>
      <c r="LSE480" s="1831"/>
      <c r="LSF480" s="1831"/>
      <c r="LSG480" s="1831"/>
      <c r="LSH480" s="1831"/>
      <c r="LSI480" s="1831"/>
      <c r="LSJ480" s="1831"/>
      <c r="LSK480" s="1831"/>
      <c r="LSL480" s="1831"/>
      <c r="LSM480" s="1831"/>
      <c r="LSN480" s="1831"/>
      <c r="LSO480" s="1831"/>
      <c r="LSP480" s="1831"/>
      <c r="LSQ480" s="1831"/>
      <c r="LSR480" s="1831"/>
      <c r="LSS480" s="1831"/>
      <c r="LST480" s="1831"/>
      <c r="LSU480" s="1831"/>
      <c r="LSV480" s="1831"/>
      <c r="LSW480" s="1831"/>
      <c r="LSX480" s="1831"/>
      <c r="LSY480" s="1831"/>
      <c r="LSZ480" s="1831"/>
      <c r="LTA480" s="1831"/>
      <c r="LTB480" s="1831"/>
      <c r="LTC480" s="1831"/>
      <c r="LTD480" s="1831"/>
      <c r="LTE480" s="1831"/>
      <c r="LTF480" s="1831"/>
      <c r="LTG480" s="1831"/>
      <c r="LTH480" s="1831"/>
      <c r="LTI480" s="1831"/>
      <c r="LTJ480" s="1831"/>
      <c r="LTK480" s="1831"/>
      <c r="LTL480" s="1831"/>
      <c r="LTM480" s="1831"/>
      <c r="LTN480" s="1831"/>
      <c r="LTO480" s="1831"/>
      <c r="LTP480" s="1831"/>
      <c r="LTQ480" s="1831"/>
      <c r="LTR480" s="1831"/>
      <c r="LTS480" s="1831"/>
      <c r="LTT480" s="1831"/>
      <c r="LTU480" s="1831"/>
      <c r="LTV480" s="1831"/>
      <c r="LTW480" s="1831"/>
      <c r="LTX480" s="1831"/>
      <c r="LTY480" s="1831"/>
      <c r="LTZ480" s="1831"/>
      <c r="LUA480" s="1831"/>
      <c r="LUB480" s="1831"/>
      <c r="LUC480" s="1831"/>
      <c r="LUD480" s="1831"/>
      <c r="LUE480" s="1831"/>
      <c r="LUF480" s="1831"/>
      <c r="LUG480" s="1831"/>
      <c r="LUH480" s="1831"/>
      <c r="LUI480" s="1831"/>
      <c r="LUJ480" s="1831"/>
      <c r="LUK480" s="1831"/>
      <c r="LUL480" s="1831"/>
      <c r="LUM480" s="1831"/>
      <c r="LUN480" s="1831"/>
      <c r="LUO480" s="1831"/>
      <c r="LUP480" s="1831"/>
      <c r="LUQ480" s="1831"/>
      <c r="LUR480" s="1831"/>
      <c r="LUS480" s="1831"/>
      <c r="LUT480" s="1831"/>
      <c r="LUU480" s="1831"/>
      <c r="LUV480" s="1831"/>
      <c r="LUW480" s="1831"/>
      <c r="LUX480" s="1831"/>
      <c r="LUY480" s="1831"/>
      <c r="LUZ480" s="1831"/>
      <c r="LVA480" s="1831"/>
      <c r="LVB480" s="1831"/>
      <c r="LVC480" s="1831"/>
      <c r="LVD480" s="1831"/>
      <c r="LVE480" s="1831"/>
      <c r="LVF480" s="1831"/>
      <c r="LVG480" s="1831"/>
      <c r="LVH480" s="1831"/>
      <c r="LVI480" s="1831"/>
      <c r="LVJ480" s="1831"/>
      <c r="LVK480" s="1831"/>
      <c r="LVL480" s="1831"/>
      <c r="LVM480" s="1831"/>
      <c r="LVN480" s="1831"/>
      <c r="LVO480" s="1831"/>
      <c r="LVP480" s="1831"/>
      <c r="LVQ480" s="1831"/>
      <c r="LVR480" s="1831"/>
      <c r="LVS480" s="1831"/>
      <c r="LVT480" s="1831"/>
      <c r="LVU480" s="1831"/>
      <c r="LVV480" s="1831"/>
      <c r="LVW480" s="1831"/>
      <c r="LVX480" s="1831"/>
      <c r="LVY480" s="1831"/>
      <c r="LVZ480" s="1831"/>
      <c r="LWA480" s="1831"/>
      <c r="LWB480" s="1831"/>
      <c r="LWC480" s="1831"/>
      <c r="LWD480" s="1831"/>
      <c r="LWE480" s="1831"/>
      <c r="LWF480" s="1831"/>
      <c r="LWG480" s="1831"/>
      <c r="LWH480" s="1831"/>
      <c r="LWI480" s="1831"/>
      <c r="LWJ480" s="1831"/>
      <c r="LWK480" s="1831"/>
      <c r="LWL480" s="1831"/>
      <c r="LWM480" s="1831"/>
      <c r="LWN480" s="1831"/>
      <c r="LWO480" s="1831"/>
      <c r="LWP480" s="1831"/>
      <c r="LWQ480" s="1831"/>
      <c r="LWR480" s="1831"/>
      <c r="LWS480" s="1831"/>
      <c r="LWT480" s="1831"/>
      <c r="LWU480" s="1831"/>
      <c r="LWV480" s="1831"/>
      <c r="LWW480" s="1831"/>
      <c r="LWX480" s="1831"/>
      <c r="LWY480" s="1831"/>
      <c r="LWZ480" s="1831"/>
      <c r="LXA480" s="1831"/>
      <c r="LXB480" s="1831"/>
      <c r="LXC480" s="1831"/>
      <c r="LXD480" s="1831"/>
      <c r="LXE480" s="1831"/>
      <c r="LXF480" s="1831"/>
      <c r="LXG480" s="1831"/>
      <c r="LXH480" s="1831"/>
      <c r="LXI480" s="1831"/>
      <c r="LXJ480" s="1831"/>
      <c r="LXK480" s="1831"/>
      <c r="LXL480" s="1831"/>
      <c r="LXM480" s="1831"/>
      <c r="LXN480" s="1831"/>
      <c r="LXO480" s="1831"/>
      <c r="LXP480" s="1831"/>
      <c r="LXQ480" s="1831"/>
      <c r="LXR480" s="1831"/>
      <c r="LXS480" s="1831"/>
      <c r="LXT480" s="1831"/>
      <c r="LXU480" s="1831"/>
      <c r="LXV480" s="1831"/>
      <c r="LXW480" s="1831"/>
      <c r="LXX480" s="1831"/>
      <c r="LXY480" s="1831"/>
      <c r="LXZ480" s="1831"/>
      <c r="LYA480" s="1831"/>
      <c r="LYB480" s="1831"/>
      <c r="LYC480" s="1831"/>
      <c r="LYD480" s="1831"/>
      <c r="LYE480" s="1831"/>
      <c r="LYF480" s="1831"/>
      <c r="LYG480" s="1831"/>
      <c r="LYH480" s="1831"/>
      <c r="LYI480" s="1831"/>
      <c r="LYJ480" s="1831"/>
      <c r="LYK480" s="1831"/>
      <c r="LYL480" s="1831"/>
      <c r="LYM480" s="1831"/>
      <c r="LYN480" s="1831"/>
      <c r="LYO480" s="1831"/>
      <c r="LYP480" s="1831"/>
      <c r="LYQ480" s="1831"/>
      <c r="LYR480" s="1831"/>
      <c r="LYS480" s="1831"/>
      <c r="LYT480" s="1831"/>
      <c r="LYU480" s="1831"/>
      <c r="LYV480" s="1831"/>
      <c r="LYW480" s="1831"/>
      <c r="LYX480" s="1831"/>
      <c r="LYY480" s="1831"/>
      <c r="LYZ480" s="1831"/>
      <c r="LZA480" s="1831"/>
      <c r="LZB480" s="1831"/>
      <c r="LZC480" s="1831"/>
      <c r="LZD480" s="1831"/>
      <c r="LZE480" s="1831"/>
      <c r="LZF480" s="1831"/>
      <c r="LZG480" s="1831"/>
      <c r="LZH480" s="1831"/>
      <c r="LZI480" s="1831"/>
      <c r="LZJ480" s="1831"/>
      <c r="LZK480" s="1831"/>
      <c r="LZL480" s="1831"/>
      <c r="LZM480" s="1831"/>
      <c r="LZN480" s="1831"/>
      <c r="LZO480" s="1831"/>
      <c r="LZP480" s="1831"/>
      <c r="LZQ480" s="1831"/>
      <c r="LZR480" s="1831"/>
      <c r="LZS480" s="1831"/>
      <c r="LZT480" s="1831"/>
      <c r="LZU480" s="1831"/>
      <c r="LZV480" s="1831"/>
      <c r="LZW480" s="1831"/>
      <c r="LZX480" s="1831"/>
      <c r="LZY480" s="1831"/>
      <c r="LZZ480" s="1831"/>
      <c r="MAA480" s="1831"/>
      <c r="MAB480" s="1831"/>
      <c r="MAC480" s="1831"/>
      <c r="MAD480" s="1831"/>
      <c r="MAE480" s="1831"/>
      <c r="MAF480" s="1831"/>
      <c r="MAG480" s="1831"/>
      <c r="MAH480" s="1831"/>
      <c r="MAI480" s="1831"/>
      <c r="MAJ480" s="1831"/>
      <c r="MAK480" s="1831"/>
      <c r="MAL480" s="1831"/>
      <c r="MAM480" s="1831"/>
      <c r="MAN480" s="1831"/>
      <c r="MAO480" s="1831"/>
      <c r="MAP480" s="1831"/>
      <c r="MAQ480" s="1831"/>
      <c r="MAR480" s="1831"/>
      <c r="MAS480" s="1831"/>
      <c r="MAT480" s="1831"/>
      <c r="MAU480" s="1831"/>
      <c r="MAV480" s="1831"/>
      <c r="MAW480" s="1831"/>
      <c r="MAX480" s="1831"/>
      <c r="MAY480" s="1831"/>
      <c r="MAZ480" s="1831"/>
      <c r="MBA480" s="1831"/>
      <c r="MBB480" s="1831"/>
      <c r="MBC480" s="1831"/>
      <c r="MBD480" s="1831"/>
      <c r="MBE480" s="1831"/>
      <c r="MBF480" s="1831"/>
      <c r="MBG480" s="1831"/>
      <c r="MBH480" s="1831"/>
      <c r="MBI480" s="1831"/>
      <c r="MBJ480" s="1831"/>
      <c r="MBK480" s="1831"/>
      <c r="MBL480" s="1831"/>
      <c r="MBM480" s="1831"/>
      <c r="MBN480" s="1831"/>
      <c r="MBO480" s="1831"/>
      <c r="MBP480" s="1831"/>
      <c r="MBQ480" s="1831"/>
      <c r="MBR480" s="1831"/>
      <c r="MBS480" s="1831"/>
      <c r="MBT480" s="1831"/>
      <c r="MBU480" s="1831"/>
      <c r="MBV480" s="1831"/>
      <c r="MBW480" s="1831"/>
      <c r="MBX480" s="1831"/>
      <c r="MBY480" s="1831"/>
      <c r="MBZ480" s="1831"/>
      <c r="MCA480" s="1831"/>
      <c r="MCB480" s="1831"/>
      <c r="MCC480" s="1831"/>
      <c r="MCD480" s="1831"/>
      <c r="MCE480" s="1831"/>
      <c r="MCF480" s="1831"/>
      <c r="MCG480" s="1831"/>
      <c r="MCH480" s="1831"/>
      <c r="MCI480" s="1831"/>
      <c r="MCJ480" s="1831"/>
      <c r="MCK480" s="1831"/>
      <c r="MCL480" s="1831"/>
      <c r="MCM480" s="1831"/>
      <c r="MCN480" s="1831"/>
      <c r="MCO480" s="1831"/>
      <c r="MCP480" s="1831"/>
      <c r="MCQ480" s="1831"/>
      <c r="MCR480" s="1831"/>
      <c r="MCS480" s="1831"/>
      <c r="MCT480" s="1831"/>
      <c r="MCU480" s="1831"/>
      <c r="MCV480" s="1831"/>
      <c r="MCW480" s="1831"/>
      <c r="MCX480" s="1831"/>
      <c r="MCY480" s="1831"/>
      <c r="MCZ480" s="1831"/>
      <c r="MDA480" s="1831"/>
      <c r="MDB480" s="1831"/>
      <c r="MDC480" s="1831"/>
      <c r="MDD480" s="1831"/>
      <c r="MDE480" s="1831"/>
      <c r="MDF480" s="1831"/>
      <c r="MDG480" s="1831"/>
      <c r="MDH480" s="1831"/>
      <c r="MDI480" s="1831"/>
      <c r="MDJ480" s="1831"/>
      <c r="MDK480" s="1831"/>
      <c r="MDL480" s="1831"/>
      <c r="MDM480" s="1831"/>
      <c r="MDN480" s="1831"/>
      <c r="MDO480" s="1831"/>
      <c r="MDP480" s="1831"/>
      <c r="MDQ480" s="1831"/>
      <c r="MDR480" s="1831"/>
      <c r="MDS480" s="1831"/>
      <c r="MDT480" s="1831"/>
      <c r="MDU480" s="1831"/>
      <c r="MDV480" s="1831"/>
      <c r="MDW480" s="1831"/>
      <c r="MDX480" s="1831"/>
      <c r="MDY480" s="1831"/>
      <c r="MDZ480" s="1831"/>
      <c r="MEA480" s="1831"/>
      <c r="MEB480" s="1831"/>
      <c r="MEC480" s="1831"/>
      <c r="MED480" s="1831"/>
      <c r="MEE480" s="1831"/>
      <c r="MEF480" s="1831"/>
      <c r="MEG480" s="1831"/>
      <c r="MEH480" s="1831"/>
      <c r="MEI480" s="1831"/>
      <c r="MEJ480" s="1831"/>
      <c r="MEK480" s="1831"/>
      <c r="MEL480" s="1831"/>
      <c r="MEM480" s="1831"/>
      <c r="MEN480" s="1831"/>
      <c r="MEO480" s="1831"/>
      <c r="MEP480" s="1831"/>
      <c r="MEQ480" s="1831"/>
      <c r="MER480" s="1831"/>
      <c r="MES480" s="1831"/>
      <c r="MET480" s="1831"/>
      <c r="MEU480" s="1831"/>
      <c r="MEV480" s="1831"/>
      <c r="MEW480" s="1831"/>
      <c r="MEX480" s="1831"/>
      <c r="MEY480" s="1831"/>
      <c r="MEZ480" s="1831"/>
      <c r="MFA480" s="1831"/>
      <c r="MFB480" s="1831"/>
      <c r="MFC480" s="1831"/>
      <c r="MFD480" s="1831"/>
      <c r="MFE480" s="1831"/>
      <c r="MFF480" s="1831"/>
      <c r="MFG480" s="1831"/>
      <c r="MFH480" s="1831"/>
      <c r="MFI480" s="1831"/>
      <c r="MFJ480" s="1831"/>
      <c r="MFK480" s="1831"/>
      <c r="MFL480" s="1831"/>
      <c r="MFM480" s="1831"/>
      <c r="MFN480" s="1831"/>
      <c r="MFO480" s="1831"/>
      <c r="MFP480" s="1831"/>
      <c r="MFQ480" s="1831"/>
      <c r="MFR480" s="1831"/>
      <c r="MFS480" s="1831"/>
      <c r="MFT480" s="1831"/>
      <c r="MFU480" s="1831"/>
      <c r="MFV480" s="1831"/>
      <c r="MFW480" s="1831"/>
      <c r="MFX480" s="1831"/>
      <c r="MFY480" s="1831"/>
      <c r="MFZ480" s="1831"/>
      <c r="MGA480" s="1831"/>
      <c r="MGB480" s="1831"/>
      <c r="MGC480" s="1831"/>
      <c r="MGD480" s="1831"/>
      <c r="MGE480" s="1831"/>
      <c r="MGF480" s="1831"/>
      <c r="MGG480" s="1831"/>
      <c r="MGH480" s="1831"/>
      <c r="MGI480" s="1831"/>
      <c r="MGJ480" s="1831"/>
      <c r="MGK480" s="1831"/>
      <c r="MGL480" s="1831"/>
      <c r="MGM480" s="1831"/>
      <c r="MGN480" s="1831"/>
      <c r="MGO480" s="1831"/>
      <c r="MGP480" s="1831"/>
      <c r="MGQ480" s="1831"/>
      <c r="MGR480" s="1831"/>
      <c r="MGS480" s="1831"/>
      <c r="MGT480" s="1831"/>
      <c r="MGU480" s="1831"/>
      <c r="MGV480" s="1831"/>
      <c r="MGW480" s="1831"/>
      <c r="MGX480" s="1831"/>
      <c r="MGY480" s="1831"/>
      <c r="MGZ480" s="1831"/>
      <c r="MHA480" s="1831"/>
      <c r="MHB480" s="1831"/>
      <c r="MHC480" s="1831"/>
      <c r="MHD480" s="1831"/>
      <c r="MHE480" s="1831"/>
      <c r="MHF480" s="1831"/>
      <c r="MHG480" s="1831"/>
      <c r="MHH480" s="1831"/>
      <c r="MHI480" s="1831"/>
      <c r="MHJ480" s="1831"/>
      <c r="MHK480" s="1831"/>
      <c r="MHL480" s="1831"/>
      <c r="MHM480" s="1831"/>
      <c r="MHN480" s="1831"/>
      <c r="MHO480" s="1831"/>
      <c r="MHP480" s="1831"/>
      <c r="MHQ480" s="1831"/>
      <c r="MHR480" s="1831"/>
      <c r="MHS480" s="1831"/>
      <c r="MHT480" s="1831"/>
      <c r="MHU480" s="1831"/>
      <c r="MHV480" s="1831"/>
      <c r="MHW480" s="1831"/>
      <c r="MHX480" s="1831"/>
      <c r="MHY480" s="1831"/>
      <c r="MHZ480" s="1831"/>
      <c r="MIA480" s="1831"/>
      <c r="MIB480" s="1831"/>
      <c r="MIC480" s="1831"/>
      <c r="MID480" s="1831"/>
      <c r="MIE480" s="1831"/>
      <c r="MIF480" s="1831"/>
      <c r="MIG480" s="1831"/>
      <c r="MIH480" s="1831"/>
      <c r="MII480" s="1831"/>
      <c r="MIJ480" s="1831"/>
      <c r="MIK480" s="1831"/>
      <c r="MIL480" s="1831"/>
      <c r="MIM480" s="1831"/>
      <c r="MIN480" s="1831"/>
      <c r="MIO480" s="1831"/>
      <c r="MIP480" s="1831"/>
      <c r="MIQ480" s="1831"/>
      <c r="MIR480" s="1831"/>
      <c r="MIS480" s="1831"/>
      <c r="MIT480" s="1831"/>
      <c r="MIU480" s="1831"/>
      <c r="MIV480" s="1831"/>
      <c r="MIW480" s="1831"/>
      <c r="MIX480" s="1831"/>
      <c r="MIY480" s="1831"/>
      <c r="MIZ480" s="1831"/>
      <c r="MJA480" s="1831"/>
      <c r="MJB480" s="1831"/>
      <c r="MJC480" s="1831"/>
      <c r="MJD480" s="1831"/>
      <c r="MJE480" s="1831"/>
      <c r="MJF480" s="1831"/>
      <c r="MJG480" s="1831"/>
      <c r="MJH480" s="1831"/>
      <c r="MJI480" s="1831"/>
      <c r="MJJ480" s="1831"/>
      <c r="MJK480" s="1831"/>
      <c r="MJL480" s="1831"/>
      <c r="MJM480" s="1831"/>
      <c r="MJN480" s="1831"/>
      <c r="MJO480" s="1831"/>
      <c r="MJP480" s="1831"/>
      <c r="MJQ480" s="1831"/>
      <c r="MJR480" s="1831"/>
      <c r="MJS480" s="1831"/>
      <c r="MJT480" s="1831"/>
      <c r="MJU480" s="1831"/>
      <c r="MJV480" s="1831"/>
      <c r="MJW480" s="1831"/>
      <c r="MJX480" s="1831"/>
      <c r="MJY480" s="1831"/>
      <c r="MJZ480" s="1831"/>
      <c r="MKA480" s="1831"/>
      <c r="MKB480" s="1831"/>
      <c r="MKC480" s="1831"/>
      <c r="MKD480" s="1831"/>
      <c r="MKE480" s="1831"/>
      <c r="MKF480" s="1831"/>
      <c r="MKG480" s="1831"/>
      <c r="MKH480" s="1831"/>
      <c r="MKI480" s="1831"/>
      <c r="MKJ480" s="1831"/>
      <c r="MKK480" s="1831"/>
      <c r="MKL480" s="1831"/>
      <c r="MKM480" s="1831"/>
      <c r="MKN480" s="1831"/>
      <c r="MKO480" s="1831"/>
      <c r="MKP480" s="1831"/>
      <c r="MKQ480" s="1831"/>
      <c r="MKR480" s="1831"/>
      <c r="MKS480" s="1831"/>
      <c r="MKT480" s="1831"/>
      <c r="MKU480" s="1831"/>
      <c r="MKV480" s="1831"/>
      <c r="MKW480" s="1831"/>
      <c r="MKX480" s="1831"/>
      <c r="MKY480" s="1831"/>
      <c r="MKZ480" s="1831"/>
      <c r="MLA480" s="1831"/>
      <c r="MLB480" s="1831"/>
      <c r="MLC480" s="1831"/>
      <c r="MLD480" s="1831"/>
      <c r="MLE480" s="1831"/>
      <c r="MLF480" s="1831"/>
      <c r="MLG480" s="1831"/>
      <c r="MLH480" s="1831"/>
      <c r="MLI480" s="1831"/>
      <c r="MLJ480" s="1831"/>
      <c r="MLK480" s="1831"/>
      <c r="MLL480" s="1831"/>
      <c r="MLM480" s="1831"/>
      <c r="MLN480" s="1831"/>
      <c r="MLO480" s="1831"/>
      <c r="MLP480" s="1831"/>
      <c r="MLQ480" s="1831"/>
      <c r="MLR480" s="1831"/>
      <c r="MLS480" s="1831"/>
      <c r="MLT480" s="1831"/>
      <c r="MLU480" s="1831"/>
      <c r="MLV480" s="1831"/>
      <c r="MLW480" s="1831"/>
      <c r="MLX480" s="1831"/>
      <c r="MLY480" s="1831"/>
      <c r="MLZ480" s="1831"/>
      <c r="MMA480" s="1831"/>
      <c r="MMB480" s="1831"/>
      <c r="MMC480" s="1831"/>
      <c r="MMD480" s="1831"/>
      <c r="MME480" s="1831"/>
      <c r="MMF480" s="1831"/>
      <c r="MMG480" s="1831"/>
      <c r="MMH480" s="1831"/>
      <c r="MMI480" s="1831"/>
      <c r="MMJ480" s="1831"/>
      <c r="MMK480" s="1831"/>
      <c r="MML480" s="1831"/>
      <c r="MMM480" s="1831"/>
      <c r="MMN480" s="1831"/>
      <c r="MMO480" s="1831"/>
      <c r="MMP480" s="1831"/>
      <c r="MMQ480" s="1831"/>
      <c r="MMR480" s="1831"/>
      <c r="MMS480" s="1831"/>
      <c r="MMT480" s="1831"/>
      <c r="MMU480" s="1831"/>
      <c r="MMV480" s="1831"/>
      <c r="MMW480" s="1831"/>
      <c r="MMX480" s="1831"/>
      <c r="MMY480" s="1831"/>
      <c r="MMZ480" s="1831"/>
      <c r="MNA480" s="1831"/>
      <c r="MNB480" s="1831"/>
      <c r="MNC480" s="1831"/>
      <c r="MND480" s="1831"/>
      <c r="MNE480" s="1831"/>
      <c r="MNF480" s="1831"/>
      <c r="MNG480" s="1831"/>
      <c r="MNH480" s="1831"/>
      <c r="MNI480" s="1831"/>
      <c r="MNJ480" s="1831"/>
      <c r="MNK480" s="1831"/>
      <c r="MNL480" s="1831"/>
      <c r="MNM480" s="1831"/>
      <c r="MNN480" s="1831"/>
      <c r="MNO480" s="1831"/>
      <c r="MNP480" s="1831"/>
      <c r="MNQ480" s="1831"/>
      <c r="MNR480" s="1831"/>
      <c r="MNS480" s="1831"/>
      <c r="MNT480" s="1831"/>
      <c r="MNU480" s="1831"/>
      <c r="MNV480" s="1831"/>
      <c r="MNW480" s="1831"/>
      <c r="MNX480" s="1831"/>
      <c r="MNY480" s="1831"/>
      <c r="MNZ480" s="1831"/>
      <c r="MOA480" s="1831"/>
      <c r="MOB480" s="1831"/>
      <c r="MOC480" s="1831"/>
      <c r="MOD480" s="1831"/>
      <c r="MOE480" s="1831"/>
      <c r="MOF480" s="1831"/>
      <c r="MOG480" s="1831"/>
      <c r="MOH480" s="1831"/>
      <c r="MOI480" s="1831"/>
      <c r="MOJ480" s="1831"/>
      <c r="MOK480" s="1831"/>
      <c r="MOL480" s="1831"/>
      <c r="MOM480" s="1831"/>
      <c r="MON480" s="1831"/>
      <c r="MOO480" s="1831"/>
      <c r="MOP480" s="1831"/>
      <c r="MOQ480" s="1831"/>
      <c r="MOR480" s="1831"/>
      <c r="MOS480" s="1831"/>
      <c r="MOT480" s="1831"/>
      <c r="MOU480" s="1831"/>
      <c r="MOV480" s="1831"/>
      <c r="MOW480" s="1831"/>
      <c r="MOX480" s="1831"/>
      <c r="MOY480" s="1831"/>
      <c r="MOZ480" s="1831"/>
      <c r="MPA480" s="1831"/>
      <c r="MPB480" s="1831"/>
      <c r="MPC480" s="1831"/>
      <c r="MPD480" s="1831"/>
      <c r="MPE480" s="1831"/>
      <c r="MPF480" s="1831"/>
      <c r="MPG480" s="1831"/>
      <c r="MPH480" s="1831"/>
      <c r="MPI480" s="1831"/>
      <c r="MPJ480" s="1831"/>
      <c r="MPK480" s="1831"/>
      <c r="MPL480" s="1831"/>
      <c r="MPM480" s="1831"/>
      <c r="MPN480" s="1831"/>
      <c r="MPO480" s="1831"/>
      <c r="MPP480" s="1831"/>
      <c r="MPQ480" s="1831"/>
      <c r="MPR480" s="1831"/>
      <c r="MPS480" s="1831"/>
      <c r="MPT480" s="1831"/>
      <c r="MPU480" s="1831"/>
      <c r="MPV480" s="1831"/>
      <c r="MPW480" s="1831"/>
      <c r="MPX480" s="1831"/>
      <c r="MPY480" s="1831"/>
      <c r="MPZ480" s="1831"/>
      <c r="MQA480" s="1831"/>
      <c r="MQB480" s="1831"/>
      <c r="MQC480" s="1831"/>
      <c r="MQD480" s="1831"/>
      <c r="MQE480" s="1831"/>
      <c r="MQF480" s="1831"/>
      <c r="MQG480" s="1831"/>
      <c r="MQH480" s="1831"/>
      <c r="MQI480" s="1831"/>
      <c r="MQJ480" s="1831"/>
      <c r="MQK480" s="1831"/>
      <c r="MQL480" s="1831"/>
      <c r="MQM480" s="1831"/>
      <c r="MQN480" s="1831"/>
      <c r="MQO480" s="1831"/>
      <c r="MQP480" s="1831"/>
      <c r="MQQ480" s="1831"/>
      <c r="MQR480" s="1831"/>
      <c r="MQS480" s="1831"/>
      <c r="MQT480" s="1831"/>
      <c r="MQU480" s="1831"/>
      <c r="MQV480" s="1831"/>
      <c r="MQW480" s="1831"/>
      <c r="MQX480" s="1831"/>
      <c r="MQY480" s="1831"/>
      <c r="MQZ480" s="1831"/>
      <c r="MRA480" s="1831"/>
      <c r="MRB480" s="1831"/>
      <c r="MRC480" s="1831"/>
      <c r="MRD480" s="1831"/>
      <c r="MRE480" s="1831"/>
      <c r="MRF480" s="1831"/>
      <c r="MRG480" s="1831"/>
      <c r="MRH480" s="1831"/>
      <c r="MRI480" s="1831"/>
      <c r="MRJ480" s="1831"/>
      <c r="MRK480" s="1831"/>
      <c r="MRL480" s="1831"/>
      <c r="MRM480" s="1831"/>
      <c r="MRN480" s="1831"/>
      <c r="MRO480" s="1831"/>
      <c r="MRP480" s="1831"/>
      <c r="MRQ480" s="1831"/>
      <c r="MRR480" s="1831"/>
      <c r="MRS480" s="1831"/>
      <c r="MRT480" s="1831"/>
      <c r="MRU480" s="1831"/>
      <c r="MRV480" s="1831"/>
      <c r="MRW480" s="1831"/>
      <c r="MRX480" s="1831"/>
      <c r="MRY480" s="1831"/>
      <c r="MRZ480" s="1831"/>
      <c r="MSA480" s="1831"/>
      <c r="MSB480" s="1831"/>
      <c r="MSC480" s="1831"/>
      <c r="MSD480" s="1831"/>
      <c r="MSE480" s="1831"/>
      <c r="MSF480" s="1831"/>
      <c r="MSG480" s="1831"/>
      <c r="MSH480" s="1831"/>
      <c r="MSI480" s="1831"/>
      <c r="MSJ480" s="1831"/>
      <c r="MSK480" s="1831"/>
      <c r="MSL480" s="1831"/>
      <c r="MSM480" s="1831"/>
      <c r="MSN480" s="1831"/>
      <c r="MSO480" s="1831"/>
      <c r="MSP480" s="1831"/>
      <c r="MSQ480" s="1831"/>
      <c r="MSR480" s="1831"/>
      <c r="MSS480" s="1831"/>
      <c r="MST480" s="1831"/>
      <c r="MSU480" s="1831"/>
      <c r="MSV480" s="1831"/>
      <c r="MSW480" s="1831"/>
      <c r="MSX480" s="1831"/>
      <c r="MSY480" s="1831"/>
      <c r="MSZ480" s="1831"/>
      <c r="MTA480" s="1831"/>
      <c r="MTB480" s="1831"/>
      <c r="MTC480" s="1831"/>
      <c r="MTD480" s="1831"/>
      <c r="MTE480" s="1831"/>
      <c r="MTF480" s="1831"/>
      <c r="MTG480" s="1831"/>
      <c r="MTH480" s="1831"/>
      <c r="MTI480" s="1831"/>
      <c r="MTJ480" s="1831"/>
      <c r="MTK480" s="1831"/>
      <c r="MTL480" s="1831"/>
      <c r="MTM480" s="1831"/>
      <c r="MTN480" s="1831"/>
      <c r="MTO480" s="1831"/>
      <c r="MTP480" s="1831"/>
      <c r="MTQ480" s="1831"/>
      <c r="MTR480" s="1831"/>
      <c r="MTS480" s="1831"/>
      <c r="MTT480" s="1831"/>
      <c r="MTU480" s="1831"/>
      <c r="MTV480" s="1831"/>
      <c r="MTW480" s="1831"/>
      <c r="MTX480" s="1831"/>
      <c r="MTY480" s="1831"/>
      <c r="MTZ480" s="1831"/>
      <c r="MUA480" s="1831"/>
      <c r="MUB480" s="1831"/>
      <c r="MUC480" s="1831"/>
      <c r="MUD480" s="1831"/>
      <c r="MUE480" s="1831"/>
      <c r="MUF480" s="1831"/>
      <c r="MUG480" s="1831"/>
      <c r="MUH480" s="1831"/>
      <c r="MUI480" s="1831"/>
      <c r="MUJ480" s="1831"/>
      <c r="MUK480" s="1831"/>
      <c r="MUL480" s="1831"/>
      <c r="MUM480" s="1831"/>
      <c r="MUN480" s="1831"/>
      <c r="MUO480" s="1831"/>
      <c r="MUP480" s="1831"/>
      <c r="MUQ480" s="1831"/>
      <c r="MUR480" s="1831"/>
      <c r="MUS480" s="1831"/>
      <c r="MUT480" s="1831"/>
      <c r="MUU480" s="1831"/>
      <c r="MUV480" s="1831"/>
      <c r="MUW480" s="1831"/>
      <c r="MUX480" s="1831"/>
      <c r="MUY480" s="1831"/>
      <c r="MUZ480" s="1831"/>
      <c r="MVA480" s="1831"/>
      <c r="MVB480" s="1831"/>
      <c r="MVC480" s="1831"/>
      <c r="MVD480" s="1831"/>
      <c r="MVE480" s="1831"/>
      <c r="MVF480" s="1831"/>
      <c r="MVG480" s="1831"/>
      <c r="MVH480" s="1831"/>
      <c r="MVI480" s="1831"/>
      <c r="MVJ480" s="1831"/>
      <c r="MVK480" s="1831"/>
      <c r="MVL480" s="1831"/>
      <c r="MVM480" s="1831"/>
      <c r="MVN480" s="1831"/>
      <c r="MVO480" s="1831"/>
      <c r="MVP480" s="1831"/>
      <c r="MVQ480" s="1831"/>
      <c r="MVR480" s="1831"/>
      <c r="MVS480" s="1831"/>
      <c r="MVT480" s="1831"/>
      <c r="MVU480" s="1831"/>
      <c r="MVV480" s="1831"/>
      <c r="MVW480" s="1831"/>
      <c r="MVX480" s="1831"/>
      <c r="MVY480" s="1831"/>
      <c r="MVZ480" s="1831"/>
      <c r="MWA480" s="1831"/>
      <c r="MWB480" s="1831"/>
      <c r="MWC480" s="1831"/>
      <c r="MWD480" s="1831"/>
      <c r="MWE480" s="1831"/>
      <c r="MWF480" s="1831"/>
      <c r="MWG480" s="1831"/>
      <c r="MWH480" s="1831"/>
      <c r="MWI480" s="1831"/>
      <c r="MWJ480" s="1831"/>
      <c r="MWK480" s="1831"/>
      <c r="MWL480" s="1831"/>
      <c r="MWM480" s="1831"/>
      <c r="MWN480" s="1831"/>
      <c r="MWO480" s="1831"/>
      <c r="MWP480" s="1831"/>
      <c r="MWQ480" s="1831"/>
      <c r="MWR480" s="1831"/>
      <c r="MWS480" s="1831"/>
      <c r="MWT480" s="1831"/>
      <c r="MWU480" s="1831"/>
      <c r="MWV480" s="1831"/>
      <c r="MWW480" s="1831"/>
      <c r="MWX480" s="1831"/>
      <c r="MWY480" s="1831"/>
      <c r="MWZ480" s="1831"/>
      <c r="MXA480" s="1831"/>
      <c r="MXB480" s="1831"/>
      <c r="MXC480" s="1831"/>
      <c r="MXD480" s="1831"/>
      <c r="MXE480" s="1831"/>
      <c r="MXF480" s="1831"/>
      <c r="MXG480" s="1831"/>
      <c r="MXH480" s="1831"/>
      <c r="MXI480" s="1831"/>
      <c r="MXJ480" s="1831"/>
      <c r="MXK480" s="1831"/>
      <c r="MXL480" s="1831"/>
      <c r="MXM480" s="1831"/>
      <c r="MXN480" s="1831"/>
      <c r="MXO480" s="1831"/>
      <c r="MXP480" s="1831"/>
      <c r="MXQ480" s="1831"/>
      <c r="MXR480" s="1831"/>
      <c r="MXS480" s="1831"/>
      <c r="MXT480" s="1831"/>
      <c r="MXU480" s="1831"/>
      <c r="MXV480" s="1831"/>
      <c r="MXW480" s="1831"/>
      <c r="MXX480" s="1831"/>
      <c r="MXY480" s="1831"/>
      <c r="MXZ480" s="1831"/>
      <c r="MYA480" s="1831"/>
      <c r="MYB480" s="1831"/>
      <c r="MYC480" s="1831"/>
      <c r="MYD480" s="1831"/>
      <c r="MYE480" s="1831"/>
      <c r="MYF480" s="1831"/>
      <c r="MYG480" s="1831"/>
      <c r="MYH480" s="1831"/>
      <c r="MYI480" s="1831"/>
      <c r="MYJ480" s="1831"/>
      <c r="MYK480" s="1831"/>
      <c r="MYL480" s="1831"/>
      <c r="MYM480" s="1831"/>
      <c r="MYN480" s="1831"/>
      <c r="MYO480" s="1831"/>
      <c r="MYP480" s="1831"/>
      <c r="MYQ480" s="1831"/>
      <c r="MYR480" s="1831"/>
      <c r="MYS480" s="1831"/>
      <c r="MYT480" s="1831"/>
      <c r="MYU480" s="1831"/>
      <c r="MYV480" s="1831"/>
      <c r="MYW480" s="1831"/>
      <c r="MYX480" s="1831"/>
      <c r="MYY480" s="1831"/>
      <c r="MYZ480" s="1831"/>
      <c r="MZA480" s="1831"/>
      <c r="MZB480" s="1831"/>
      <c r="MZC480" s="1831"/>
      <c r="MZD480" s="1831"/>
      <c r="MZE480" s="1831"/>
      <c r="MZF480" s="1831"/>
      <c r="MZG480" s="1831"/>
      <c r="MZH480" s="1831"/>
      <c r="MZI480" s="1831"/>
      <c r="MZJ480" s="1831"/>
      <c r="MZK480" s="1831"/>
      <c r="MZL480" s="1831"/>
      <c r="MZM480" s="1831"/>
      <c r="MZN480" s="1831"/>
      <c r="MZO480" s="1831"/>
      <c r="MZP480" s="1831"/>
      <c r="MZQ480" s="1831"/>
      <c r="MZR480" s="1831"/>
      <c r="MZS480" s="1831"/>
      <c r="MZT480" s="1831"/>
      <c r="MZU480" s="1831"/>
      <c r="MZV480" s="1831"/>
      <c r="MZW480" s="1831"/>
      <c r="MZX480" s="1831"/>
      <c r="MZY480" s="1831"/>
      <c r="MZZ480" s="1831"/>
      <c r="NAA480" s="1831"/>
      <c r="NAB480" s="1831"/>
      <c r="NAC480" s="1831"/>
      <c r="NAD480" s="1831"/>
      <c r="NAE480" s="1831"/>
      <c r="NAF480" s="1831"/>
      <c r="NAG480" s="1831"/>
      <c r="NAH480" s="1831"/>
      <c r="NAI480" s="1831"/>
      <c r="NAJ480" s="1831"/>
      <c r="NAK480" s="1831"/>
      <c r="NAL480" s="1831"/>
      <c r="NAM480" s="1831"/>
      <c r="NAN480" s="1831"/>
      <c r="NAO480" s="1831"/>
      <c r="NAP480" s="1831"/>
      <c r="NAQ480" s="1831"/>
      <c r="NAR480" s="1831"/>
      <c r="NAS480" s="1831"/>
      <c r="NAT480" s="1831"/>
      <c r="NAU480" s="1831"/>
      <c r="NAV480" s="1831"/>
      <c r="NAW480" s="1831"/>
      <c r="NAX480" s="1831"/>
      <c r="NAY480" s="1831"/>
      <c r="NAZ480" s="1831"/>
      <c r="NBA480" s="1831"/>
      <c r="NBB480" s="1831"/>
      <c r="NBC480" s="1831"/>
      <c r="NBD480" s="1831"/>
      <c r="NBE480" s="1831"/>
      <c r="NBF480" s="1831"/>
      <c r="NBG480" s="1831"/>
      <c r="NBH480" s="1831"/>
      <c r="NBI480" s="1831"/>
      <c r="NBJ480" s="1831"/>
      <c r="NBK480" s="1831"/>
      <c r="NBL480" s="1831"/>
      <c r="NBM480" s="1831"/>
      <c r="NBN480" s="1831"/>
      <c r="NBO480" s="1831"/>
      <c r="NBP480" s="1831"/>
      <c r="NBQ480" s="1831"/>
      <c r="NBR480" s="1831"/>
      <c r="NBS480" s="1831"/>
      <c r="NBT480" s="1831"/>
      <c r="NBU480" s="1831"/>
      <c r="NBV480" s="1831"/>
      <c r="NBW480" s="1831"/>
      <c r="NBX480" s="1831"/>
      <c r="NBY480" s="1831"/>
      <c r="NBZ480" s="1831"/>
      <c r="NCA480" s="1831"/>
      <c r="NCB480" s="1831"/>
      <c r="NCC480" s="1831"/>
      <c r="NCD480" s="1831"/>
      <c r="NCE480" s="1831"/>
      <c r="NCF480" s="1831"/>
      <c r="NCG480" s="1831"/>
      <c r="NCH480" s="1831"/>
      <c r="NCI480" s="1831"/>
      <c r="NCJ480" s="1831"/>
      <c r="NCK480" s="1831"/>
      <c r="NCL480" s="1831"/>
      <c r="NCM480" s="1831"/>
      <c r="NCN480" s="1831"/>
      <c r="NCO480" s="1831"/>
      <c r="NCP480" s="1831"/>
      <c r="NCQ480" s="1831"/>
      <c r="NCR480" s="1831"/>
      <c r="NCS480" s="1831"/>
      <c r="NCT480" s="1831"/>
      <c r="NCU480" s="1831"/>
      <c r="NCV480" s="1831"/>
      <c r="NCW480" s="1831"/>
      <c r="NCX480" s="1831"/>
      <c r="NCY480" s="1831"/>
      <c r="NCZ480" s="1831"/>
      <c r="NDA480" s="1831"/>
      <c r="NDB480" s="1831"/>
      <c r="NDC480" s="1831"/>
      <c r="NDD480" s="1831"/>
      <c r="NDE480" s="1831"/>
      <c r="NDF480" s="1831"/>
      <c r="NDG480" s="1831"/>
      <c r="NDH480" s="1831"/>
      <c r="NDI480" s="1831"/>
      <c r="NDJ480" s="1831"/>
      <c r="NDK480" s="1831"/>
      <c r="NDL480" s="1831"/>
      <c r="NDM480" s="1831"/>
      <c r="NDN480" s="1831"/>
      <c r="NDO480" s="1831"/>
      <c r="NDP480" s="1831"/>
      <c r="NDQ480" s="1831"/>
      <c r="NDR480" s="1831"/>
      <c r="NDS480" s="1831"/>
      <c r="NDT480" s="1831"/>
      <c r="NDU480" s="1831"/>
      <c r="NDV480" s="1831"/>
      <c r="NDW480" s="1831"/>
      <c r="NDX480" s="1831"/>
      <c r="NDY480" s="1831"/>
      <c r="NDZ480" s="1831"/>
      <c r="NEA480" s="1831"/>
      <c r="NEB480" s="1831"/>
      <c r="NEC480" s="1831"/>
      <c r="NED480" s="1831"/>
      <c r="NEE480" s="1831"/>
      <c r="NEF480" s="1831"/>
      <c r="NEG480" s="1831"/>
      <c r="NEH480" s="1831"/>
      <c r="NEI480" s="1831"/>
      <c r="NEJ480" s="1831"/>
      <c r="NEK480" s="1831"/>
      <c r="NEL480" s="1831"/>
      <c r="NEM480" s="1831"/>
      <c r="NEN480" s="1831"/>
      <c r="NEO480" s="1831"/>
      <c r="NEP480" s="1831"/>
      <c r="NEQ480" s="1831"/>
      <c r="NER480" s="1831"/>
      <c r="NES480" s="1831"/>
      <c r="NET480" s="1831"/>
      <c r="NEU480" s="1831"/>
      <c r="NEV480" s="1831"/>
      <c r="NEW480" s="1831"/>
      <c r="NEX480" s="1831"/>
      <c r="NEY480" s="1831"/>
      <c r="NEZ480" s="1831"/>
      <c r="NFA480" s="1831"/>
      <c r="NFB480" s="1831"/>
      <c r="NFC480" s="1831"/>
      <c r="NFD480" s="1831"/>
      <c r="NFE480" s="1831"/>
      <c r="NFF480" s="1831"/>
      <c r="NFG480" s="1831"/>
      <c r="NFH480" s="1831"/>
      <c r="NFI480" s="1831"/>
      <c r="NFJ480" s="1831"/>
      <c r="NFK480" s="1831"/>
      <c r="NFL480" s="1831"/>
      <c r="NFM480" s="1831"/>
      <c r="NFN480" s="1831"/>
      <c r="NFO480" s="1831"/>
      <c r="NFP480" s="1831"/>
      <c r="NFQ480" s="1831"/>
      <c r="NFR480" s="1831"/>
      <c r="NFS480" s="1831"/>
      <c r="NFT480" s="1831"/>
      <c r="NFU480" s="1831"/>
      <c r="NFV480" s="1831"/>
      <c r="NFW480" s="1831"/>
      <c r="NFX480" s="1831"/>
      <c r="NFY480" s="1831"/>
      <c r="NFZ480" s="1831"/>
      <c r="NGA480" s="1831"/>
      <c r="NGB480" s="1831"/>
      <c r="NGC480" s="1831"/>
      <c r="NGD480" s="1831"/>
      <c r="NGE480" s="1831"/>
      <c r="NGF480" s="1831"/>
      <c r="NGG480" s="1831"/>
      <c r="NGH480" s="1831"/>
      <c r="NGI480" s="1831"/>
      <c r="NGJ480" s="1831"/>
      <c r="NGK480" s="1831"/>
      <c r="NGL480" s="1831"/>
      <c r="NGM480" s="1831"/>
      <c r="NGN480" s="1831"/>
      <c r="NGO480" s="1831"/>
      <c r="NGP480" s="1831"/>
      <c r="NGQ480" s="1831"/>
      <c r="NGR480" s="1831"/>
      <c r="NGS480" s="1831"/>
      <c r="NGT480" s="1831"/>
      <c r="NGU480" s="1831"/>
      <c r="NGV480" s="1831"/>
      <c r="NGW480" s="1831"/>
      <c r="NGX480" s="1831"/>
      <c r="NGY480" s="1831"/>
      <c r="NGZ480" s="1831"/>
      <c r="NHA480" s="1831"/>
      <c r="NHB480" s="1831"/>
      <c r="NHC480" s="1831"/>
      <c r="NHD480" s="1831"/>
      <c r="NHE480" s="1831"/>
      <c r="NHF480" s="1831"/>
      <c r="NHG480" s="1831"/>
      <c r="NHH480" s="1831"/>
      <c r="NHI480" s="1831"/>
      <c r="NHJ480" s="1831"/>
      <c r="NHK480" s="1831"/>
      <c r="NHL480" s="1831"/>
      <c r="NHM480" s="1831"/>
      <c r="NHN480" s="1831"/>
      <c r="NHO480" s="1831"/>
      <c r="NHP480" s="1831"/>
      <c r="NHQ480" s="1831"/>
      <c r="NHR480" s="1831"/>
      <c r="NHS480" s="1831"/>
      <c r="NHT480" s="1831"/>
      <c r="NHU480" s="1831"/>
      <c r="NHV480" s="1831"/>
      <c r="NHW480" s="1831"/>
      <c r="NHX480" s="1831"/>
      <c r="NHY480" s="1831"/>
      <c r="NHZ480" s="1831"/>
      <c r="NIA480" s="1831"/>
      <c r="NIB480" s="1831"/>
      <c r="NIC480" s="1831"/>
      <c r="NID480" s="1831"/>
      <c r="NIE480" s="1831"/>
      <c r="NIF480" s="1831"/>
      <c r="NIG480" s="1831"/>
      <c r="NIH480" s="1831"/>
      <c r="NII480" s="1831"/>
      <c r="NIJ480" s="1831"/>
      <c r="NIK480" s="1831"/>
      <c r="NIL480" s="1831"/>
      <c r="NIM480" s="1831"/>
      <c r="NIN480" s="1831"/>
      <c r="NIO480" s="1831"/>
      <c r="NIP480" s="1831"/>
      <c r="NIQ480" s="1831"/>
      <c r="NIR480" s="1831"/>
      <c r="NIS480" s="1831"/>
      <c r="NIT480" s="1831"/>
      <c r="NIU480" s="1831"/>
      <c r="NIV480" s="1831"/>
      <c r="NIW480" s="1831"/>
      <c r="NIX480" s="1831"/>
      <c r="NIY480" s="1831"/>
      <c r="NIZ480" s="1831"/>
      <c r="NJA480" s="1831"/>
      <c r="NJB480" s="1831"/>
      <c r="NJC480" s="1831"/>
      <c r="NJD480" s="1831"/>
      <c r="NJE480" s="1831"/>
      <c r="NJF480" s="1831"/>
      <c r="NJG480" s="1831"/>
      <c r="NJH480" s="1831"/>
      <c r="NJI480" s="1831"/>
      <c r="NJJ480" s="1831"/>
      <c r="NJK480" s="1831"/>
      <c r="NJL480" s="1831"/>
      <c r="NJM480" s="1831"/>
      <c r="NJN480" s="1831"/>
      <c r="NJO480" s="1831"/>
      <c r="NJP480" s="1831"/>
      <c r="NJQ480" s="1831"/>
      <c r="NJR480" s="1831"/>
      <c r="NJS480" s="1831"/>
      <c r="NJT480" s="1831"/>
      <c r="NJU480" s="1831"/>
      <c r="NJV480" s="1831"/>
      <c r="NJW480" s="1831"/>
      <c r="NJX480" s="1831"/>
      <c r="NJY480" s="1831"/>
      <c r="NJZ480" s="1831"/>
      <c r="NKA480" s="1831"/>
      <c r="NKB480" s="1831"/>
      <c r="NKC480" s="1831"/>
      <c r="NKD480" s="1831"/>
      <c r="NKE480" s="1831"/>
      <c r="NKF480" s="1831"/>
      <c r="NKG480" s="1831"/>
      <c r="NKH480" s="1831"/>
      <c r="NKI480" s="1831"/>
      <c r="NKJ480" s="1831"/>
      <c r="NKK480" s="1831"/>
      <c r="NKL480" s="1831"/>
      <c r="NKM480" s="1831"/>
      <c r="NKN480" s="1831"/>
      <c r="NKO480" s="1831"/>
      <c r="NKP480" s="1831"/>
      <c r="NKQ480" s="1831"/>
      <c r="NKR480" s="1831"/>
      <c r="NKS480" s="1831"/>
      <c r="NKT480" s="1831"/>
      <c r="NKU480" s="1831"/>
      <c r="NKV480" s="1831"/>
      <c r="NKW480" s="1831"/>
      <c r="NKX480" s="1831"/>
      <c r="NKY480" s="1831"/>
      <c r="NKZ480" s="1831"/>
      <c r="NLA480" s="1831"/>
      <c r="NLB480" s="1831"/>
      <c r="NLC480" s="1831"/>
      <c r="NLD480" s="1831"/>
      <c r="NLE480" s="1831"/>
      <c r="NLF480" s="1831"/>
      <c r="NLG480" s="1831"/>
      <c r="NLH480" s="1831"/>
      <c r="NLI480" s="1831"/>
      <c r="NLJ480" s="1831"/>
      <c r="NLK480" s="1831"/>
      <c r="NLL480" s="1831"/>
      <c r="NLM480" s="1831"/>
      <c r="NLN480" s="1831"/>
      <c r="NLO480" s="1831"/>
      <c r="NLP480" s="1831"/>
      <c r="NLQ480" s="1831"/>
      <c r="NLR480" s="1831"/>
      <c r="NLS480" s="1831"/>
      <c r="NLT480" s="1831"/>
      <c r="NLU480" s="1831"/>
      <c r="NLV480" s="1831"/>
      <c r="NLW480" s="1831"/>
      <c r="NLX480" s="1831"/>
      <c r="NLY480" s="1831"/>
      <c r="NLZ480" s="1831"/>
      <c r="NMA480" s="1831"/>
      <c r="NMB480" s="1831"/>
      <c r="NMC480" s="1831"/>
      <c r="NMD480" s="1831"/>
      <c r="NME480" s="1831"/>
      <c r="NMF480" s="1831"/>
      <c r="NMG480" s="1831"/>
      <c r="NMH480" s="1831"/>
      <c r="NMI480" s="1831"/>
      <c r="NMJ480" s="1831"/>
      <c r="NMK480" s="1831"/>
      <c r="NML480" s="1831"/>
      <c r="NMM480" s="1831"/>
      <c r="NMN480" s="1831"/>
      <c r="NMO480" s="1831"/>
      <c r="NMP480" s="1831"/>
      <c r="NMQ480" s="1831"/>
      <c r="NMR480" s="1831"/>
      <c r="NMS480" s="1831"/>
      <c r="NMT480" s="1831"/>
      <c r="NMU480" s="1831"/>
      <c r="NMV480" s="1831"/>
      <c r="NMW480" s="1831"/>
      <c r="NMX480" s="1831"/>
      <c r="NMY480" s="1831"/>
      <c r="NMZ480" s="1831"/>
      <c r="NNA480" s="1831"/>
      <c r="NNB480" s="1831"/>
      <c r="NNC480" s="1831"/>
      <c r="NND480" s="1831"/>
      <c r="NNE480" s="1831"/>
      <c r="NNF480" s="1831"/>
      <c r="NNG480" s="1831"/>
      <c r="NNH480" s="1831"/>
      <c r="NNI480" s="1831"/>
      <c r="NNJ480" s="1831"/>
      <c r="NNK480" s="1831"/>
      <c r="NNL480" s="1831"/>
      <c r="NNM480" s="1831"/>
      <c r="NNN480" s="1831"/>
      <c r="NNO480" s="1831"/>
      <c r="NNP480" s="1831"/>
      <c r="NNQ480" s="1831"/>
      <c r="NNR480" s="1831"/>
      <c r="NNS480" s="1831"/>
      <c r="NNT480" s="1831"/>
      <c r="NNU480" s="1831"/>
      <c r="NNV480" s="1831"/>
      <c r="NNW480" s="1831"/>
      <c r="NNX480" s="1831"/>
      <c r="NNY480" s="1831"/>
      <c r="NNZ480" s="1831"/>
      <c r="NOA480" s="1831"/>
      <c r="NOB480" s="1831"/>
      <c r="NOC480" s="1831"/>
      <c r="NOD480" s="1831"/>
      <c r="NOE480" s="1831"/>
      <c r="NOF480" s="1831"/>
      <c r="NOG480" s="1831"/>
      <c r="NOH480" s="1831"/>
      <c r="NOI480" s="1831"/>
      <c r="NOJ480" s="1831"/>
      <c r="NOK480" s="1831"/>
      <c r="NOL480" s="1831"/>
      <c r="NOM480" s="1831"/>
      <c r="NON480" s="1831"/>
      <c r="NOO480" s="1831"/>
      <c r="NOP480" s="1831"/>
      <c r="NOQ480" s="1831"/>
      <c r="NOR480" s="1831"/>
      <c r="NOS480" s="1831"/>
      <c r="NOT480" s="1831"/>
      <c r="NOU480" s="1831"/>
      <c r="NOV480" s="1831"/>
      <c r="NOW480" s="1831"/>
      <c r="NOX480" s="1831"/>
      <c r="NOY480" s="1831"/>
      <c r="NOZ480" s="1831"/>
      <c r="NPA480" s="1831"/>
      <c r="NPB480" s="1831"/>
      <c r="NPC480" s="1831"/>
      <c r="NPD480" s="1831"/>
      <c r="NPE480" s="1831"/>
      <c r="NPF480" s="1831"/>
      <c r="NPG480" s="1831"/>
      <c r="NPH480" s="1831"/>
      <c r="NPI480" s="1831"/>
      <c r="NPJ480" s="1831"/>
      <c r="NPK480" s="1831"/>
      <c r="NPL480" s="1831"/>
      <c r="NPM480" s="1831"/>
      <c r="NPN480" s="1831"/>
      <c r="NPO480" s="1831"/>
      <c r="NPP480" s="1831"/>
      <c r="NPQ480" s="1831"/>
      <c r="NPR480" s="1831"/>
      <c r="NPS480" s="1831"/>
      <c r="NPT480" s="1831"/>
      <c r="NPU480" s="1831"/>
      <c r="NPV480" s="1831"/>
      <c r="NPW480" s="1831"/>
      <c r="NPX480" s="1831"/>
      <c r="NPY480" s="1831"/>
      <c r="NPZ480" s="1831"/>
      <c r="NQA480" s="1831"/>
      <c r="NQB480" s="1831"/>
      <c r="NQC480" s="1831"/>
      <c r="NQD480" s="1831"/>
      <c r="NQE480" s="1831"/>
      <c r="NQF480" s="1831"/>
      <c r="NQG480" s="1831"/>
      <c r="NQH480" s="1831"/>
      <c r="NQI480" s="1831"/>
      <c r="NQJ480" s="1831"/>
      <c r="NQK480" s="1831"/>
      <c r="NQL480" s="1831"/>
      <c r="NQM480" s="1831"/>
      <c r="NQN480" s="1831"/>
      <c r="NQO480" s="1831"/>
      <c r="NQP480" s="1831"/>
      <c r="NQQ480" s="1831"/>
      <c r="NQR480" s="1831"/>
      <c r="NQS480" s="1831"/>
      <c r="NQT480" s="1831"/>
      <c r="NQU480" s="1831"/>
      <c r="NQV480" s="1831"/>
      <c r="NQW480" s="1831"/>
      <c r="NQX480" s="1831"/>
      <c r="NQY480" s="1831"/>
      <c r="NQZ480" s="1831"/>
      <c r="NRA480" s="1831"/>
      <c r="NRB480" s="1831"/>
      <c r="NRC480" s="1831"/>
      <c r="NRD480" s="1831"/>
      <c r="NRE480" s="1831"/>
      <c r="NRF480" s="1831"/>
      <c r="NRG480" s="1831"/>
      <c r="NRH480" s="1831"/>
      <c r="NRI480" s="1831"/>
      <c r="NRJ480" s="1831"/>
      <c r="NRK480" s="1831"/>
      <c r="NRL480" s="1831"/>
      <c r="NRM480" s="1831"/>
      <c r="NRN480" s="1831"/>
      <c r="NRO480" s="1831"/>
      <c r="NRP480" s="1831"/>
      <c r="NRQ480" s="1831"/>
      <c r="NRR480" s="1831"/>
      <c r="NRS480" s="1831"/>
      <c r="NRT480" s="1831"/>
      <c r="NRU480" s="1831"/>
      <c r="NRV480" s="1831"/>
      <c r="NRW480" s="1831"/>
      <c r="NRX480" s="1831"/>
      <c r="NRY480" s="1831"/>
      <c r="NRZ480" s="1831"/>
      <c r="NSA480" s="1831"/>
      <c r="NSB480" s="1831"/>
      <c r="NSC480" s="1831"/>
      <c r="NSD480" s="1831"/>
      <c r="NSE480" s="1831"/>
      <c r="NSF480" s="1831"/>
      <c r="NSG480" s="1831"/>
      <c r="NSH480" s="1831"/>
      <c r="NSI480" s="1831"/>
      <c r="NSJ480" s="1831"/>
      <c r="NSK480" s="1831"/>
      <c r="NSL480" s="1831"/>
      <c r="NSM480" s="1831"/>
      <c r="NSN480" s="1831"/>
      <c r="NSO480" s="1831"/>
      <c r="NSP480" s="1831"/>
      <c r="NSQ480" s="1831"/>
      <c r="NSR480" s="1831"/>
      <c r="NSS480" s="1831"/>
      <c r="NST480" s="1831"/>
      <c r="NSU480" s="1831"/>
      <c r="NSV480" s="1831"/>
      <c r="NSW480" s="1831"/>
      <c r="NSX480" s="1831"/>
      <c r="NSY480" s="1831"/>
      <c r="NSZ480" s="1831"/>
      <c r="NTA480" s="1831"/>
      <c r="NTB480" s="1831"/>
      <c r="NTC480" s="1831"/>
      <c r="NTD480" s="1831"/>
      <c r="NTE480" s="1831"/>
      <c r="NTF480" s="1831"/>
      <c r="NTG480" s="1831"/>
      <c r="NTH480" s="1831"/>
      <c r="NTI480" s="1831"/>
      <c r="NTJ480" s="1831"/>
      <c r="NTK480" s="1831"/>
      <c r="NTL480" s="1831"/>
      <c r="NTM480" s="1831"/>
      <c r="NTN480" s="1831"/>
      <c r="NTO480" s="1831"/>
      <c r="NTP480" s="1831"/>
      <c r="NTQ480" s="1831"/>
      <c r="NTR480" s="1831"/>
      <c r="NTS480" s="1831"/>
      <c r="NTT480" s="1831"/>
      <c r="NTU480" s="1831"/>
      <c r="NTV480" s="1831"/>
      <c r="NTW480" s="1831"/>
      <c r="NTX480" s="1831"/>
      <c r="NTY480" s="1831"/>
      <c r="NTZ480" s="1831"/>
      <c r="NUA480" s="1831"/>
      <c r="NUB480" s="1831"/>
      <c r="NUC480" s="1831"/>
      <c r="NUD480" s="1831"/>
      <c r="NUE480" s="1831"/>
      <c r="NUF480" s="1831"/>
      <c r="NUG480" s="1831"/>
      <c r="NUH480" s="1831"/>
      <c r="NUI480" s="1831"/>
      <c r="NUJ480" s="1831"/>
      <c r="NUK480" s="1831"/>
      <c r="NUL480" s="1831"/>
      <c r="NUM480" s="1831"/>
      <c r="NUN480" s="1831"/>
      <c r="NUO480" s="1831"/>
      <c r="NUP480" s="1831"/>
      <c r="NUQ480" s="1831"/>
      <c r="NUR480" s="1831"/>
      <c r="NUS480" s="1831"/>
      <c r="NUT480" s="1831"/>
      <c r="NUU480" s="1831"/>
      <c r="NUV480" s="1831"/>
      <c r="NUW480" s="1831"/>
      <c r="NUX480" s="1831"/>
      <c r="NUY480" s="1831"/>
      <c r="NUZ480" s="1831"/>
      <c r="NVA480" s="1831"/>
      <c r="NVB480" s="1831"/>
      <c r="NVC480" s="1831"/>
      <c r="NVD480" s="1831"/>
      <c r="NVE480" s="1831"/>
      <c r="NVF480" s="1831"/>
      <c r="NVG480" s="1831"/>
      <c r="NVH480" s="1831"/>
      <c r="NVI480" s="1831"/>
      <c r="NVJ480" s="1831"/>
      <c r="NVK480" s="1831"/>
      <c r="NVL480" s="1831"/>
      <c r="NVM480" s="1831"/>
      <c r="NVN480" s="1831"/>
      <c r="NVO480" s="1831"/>
      <c r="NVP480" s="1831"/>
      <c r="NVQ480" s="1831"/>
      <c r="NVR480" s="1831"/>
      <c r="NVS480" s="1831"/>
      <c r="NVT480" s="1831"/>
      <c r="NVU480" s="1831"/>
      <c r="NVV480" s="1831"/>
      <c r="NVW480" s="1831"/>
      <c r="NVX480" s="1831"/>
      <c r="NVY480" s="1831"/>
      <c r="NVZ480" s="1831"/>
      <c r="NWA480" s="1831"/>
      <c r="NWB480" s="1831"/>
      <c r="NWC480" s="1831"/>
      <c r="NWD480" s="1831"/>
      <c r="NWE480" s="1831"/>
      <c r="NWF480" s="1831"/>
      <c r="NWG480" s="1831"/>
      <c r="NWH480" s="1831"/>
      <c r="NWI480" s="1831"/>
      <c r="NWJ480" s="1831"/>
      <c r="NWK480" s="1831"/>
      <c r="NWL480" s="1831"/>
      <c r="NWM480" s="1831"/>
      <c r="NWN480" s="1831"/>
      <c r="NWO480" s="1831"/>
      <c r="NWP480" s="1831"/>
      <c r="NWQ480" s="1831"/>
      <c r="NWR480" s="1831"/>
      <c r="NWS480" s="1831"/>
      <c r="NWT480" s="1831"/>
      <c r="NWU480" s="1831"/>
      <c r="NWV480" s="1831"/>
      <c r="NWW480" s="1831"/>
      <c r="NWX480" s="1831"/>
      <c r="NWY480" s="1831"/>
      <c r="NWZ480" s="1831"/>
      <c r="NXA480" s="1831"/>
      <c r="NXB480" s="1831"/>
      <c r="NXC480" s="1831"/>
      <c r="NXD480" s="1831"/>
      <c r="NXE480" s="1831"/>
      <c r="NXF480" s="1831"/>
      <c r="NXG480" s="1831"/>
      <c r="NXH480" s="1831"/>
      <c r="NXI480" s="1831"/>
      <c r="NXJ480" s="1831"/>
      <c r="NXK480" s="1831"/>
      <c r="NXL480" s="1831"/>
      <c r="NXM480" s="1831"/>
      <c r="NXN480" s="1831"/>
      <c r="NXO480" s="1831"/>
      <c r="NXP480" s="1831"/>
      <c r="NXQ480" s="1831"/>
      <c r="NXR480" s="1831"/>
      <c r="NXS480" s="1831"/>
      <c r="NXT480" s="1831"/>
      <c r="NXU480" s="1831"/>
      <c r="NXV480" s="1831"/>
      <c r="NXW480" s="1831"/>
      <c r="NXX480" s="1831"/>
      <c r="NXY480" s="1831"/>
      <c r="NXZ480" s="1831"/>
      <c r="NYA480" s="1831"/>
      <c r="NYB480" s="1831"/>
      <c r="NYC480" s="1831"/>
      <c r="NYD480" s="1831"/>
      <c r="NYE480" s="1831"/>
      <c r="NYF480" s="1831"/>
      <c r="NYG480" s="1831"/>
      <c r="NYH480" s="1831"/>
      <c r="NYI480" s="1831"/>
      <c r="NYJ480" s="1831"/>
      <c r="NYK480" s="1831"/>
      <c r="NYL480" s="1831"/>
      <c r="NYM480" s="1831"/>
      <c r="NYN480" s="1831"/>
      <c r="NYO480" s="1831"/>
      <c r="NYP480" s="1831"/>
      <c r="NYQ480" s="1831"/>
      <c r="NYR480" s="1831"/>
      <c r="NYS480" s="1831"/>
      <c r="NYT480" s="1831"/>
      <c r="NYU480" s="1831"/>
      <c r="NYV480" s="1831"/>
      <c r="NYW480" s="1831"/>
      <c r="NYX480" s="1831"/>
      <c r="NYY480" s="1831"/>
      <c r="NYZ480" s="1831"/>
      <c r="NZA480" s="1831"/>
      <c r="NZB480" s="1831"/>
      <c r="NZC480" s="1831"/>
      <c r="NZD480" s="1831"/>
      <c r="NZE480" s="1831"/>
      <c r="NZF480" s="1831"/>
      <c r="NZG480" s="1831"/>
      <c r="NZH480" s="1831"/>
      <c r="NZI480" s="1831"/>
      <c r="NZJ480" s="1831"/>
      <c r="NZK480" s="1831"/>
      <c r="NZL480" s="1831"/>
      <c r="NZM480" s="1831"/>
      <c r="NZN480" s="1831"/>
      <c r="NZO480" s="1831"/>
      <c r="NZP480" s="1831"/>
      <c r="NZQ480" s="1831"/>
      <c r="NZR480" s="1831"/>
      <c r="NZS480" s="1831"/>
      <c r="NZT480" s="1831"/>
      <c r="NZU480" s="1831"/>
      <c r="NZV480" s="1831"/>
      <c r="NZW480" s="1831"/>
      <c r="NZX480" s="1831"/>
      <c r="NZY480" s="1831"/>
      <c r="NZZ480" s="1831"/>
      <c r="OAA480" s="1831"/>
      <c r="OAB480" s="1831"/>
      <c r="OAC480" s="1831"/>
      <c r="OAD480" s="1831"/>
      <c r="OAE480" s="1831"/>
      <c r="OAF480" s="1831"/>
      <c r="OAG480" s="1831"/>
      <c r="OAH480" s="1831"/>
      <c r="OAI480" s="1831"/>
      <c r="OAJ480" s="1831"/>
      <c r="OAK480" s="1831"/>
      <c r="OAL480" s="1831"/>
      <c r="OAM480" s="1831"/>
      <c r="OAN480" s="1831"/>
      <c r="OAO480" s="1831"/>
      <c r="OAP480" s="1831"/>
      <c r="OAQ480" s="1831"/>
      <c r="OAR480" s="1831"/>
      <c r="OAS480" s="1831"/>
      <c r="OAT480" s="1831"/>
      <c r="OAU480" s="1831"/>
      <c r="OAV480" s="1831"/>
      <c r="OAW480" s="1831"/>
      <c r="OAX480" s="1831"/>
      <c r="OAY480" s="1831"/>
      <c r="OAZ480" s="1831"/>
      <c r="OBA480" s="1831"/>
      <c r="OBB480" s="1831"/>
      <c r="OBC480" s="1831"/>
      <c r="OBD480" s="1831"/>
      <c r="OBE480" s="1831"/>
      <c r="OBF480" s="1831"/>
      <c r="OBG480" s="1831"/>
      <c r="OBH480" s="1831"/>
      <c r="OBI480" s="1831"/>
      <c r="OBJ480" s="1831"/>
      <c r="OBK480" s="1831"/>
      <c r="OBL480" s="1831"/>
      <c r="OBM480" s="1831"/>
      <c r="OBN480" s="1831"/>
      <c r="OBO480" s="1831"/>
      <c r="OBP480" s="1831"/>
      <c r="OBQ480" s="1831"/>
      <c r="OBR480" s="1831"/>
      <c r="OBS480" s="1831"/>
      <c r="OBT480" s="1831"/>
      <c r="OBU480" s="1831"/>
      <c r="OBV480" s="1831"/>
      <c r="OBW480" s="1831"/>
      <c r="OBX480" s="1831"/>
      <c r="OBY480" s="1831"/>
      <c r="OBZ480" s="1831"/>
      <c r="OCA480" s="1831"/>
      <c r="OCB480" s="1831"/>
      <c r="OCC480" s="1831"/>
      <c r="OCD480" s="1831"/>
      <c r="OCE480" s="1831"/>
      <c r="OCF480" s="1831"/>
      <c r="OCG480" s="1831"/>
      <c r="OCH480" s="1831"/>
      <c r="OCI480" s="1831"/>
      <c r="OCJ480" s="1831"/>
      <c r="OCK480" s="1831"/>
      <c r="OCL480" s="1831"/>
      <c r="OCM480" s="1831"/>
      <c r="OCN480" s="1831"/>
      <c r="OCO480" s="1831"/>
      <c r="OCP480" s="1831"/>
      <c r="OCQ480" s="1831"/>
      <c r="OCR480" s="1831"/>
      <c r="OCS480" s="1831"/>
      <c r="OCT480" s="1831"/>
      <c r="OCU480" s="1831"/>
      <c r="OCV480" s="1831"/>
      <c r="OCW480" s="1831"/>
      <c r="OCX480" s="1831"/>
      <c r="OCY480" s="1831"/>
      <c r="OCZ480" s="1831"/>
      <c r="ODA480" s="1831"/>
      <c r="ODB480" s="1831"/>
      <c r="ODC480" s="1831"/>
      <c r="ODD480" s="1831"/>
      <c r="ODE480" s="1831"/>
      <c r="ODF480" s="1831"/>
      <c r="ODG480" s="1831"/>
      <c r="ODH480" s="1831"/>
      <c r="ODI480" s="1831"/>
      <c r="ODJ480" s="1831"/>
      <c r="ODK480" s="1831"/>
      <c r="ODL480" s="1831"/>
      <c r="ODM480" s="1831"/>
      <c r="ODN480" s="1831"/>
      <c r="ODO480" s="1831"/>
      <c r="ODP480" s="1831"/>
      <c r="ODQ480" s="1831"/>
      <c r="ODR480" s="1831"/>
      <c r="ODS480" s="1831"/>
      <c r="ODT480" s="1831"/>
      <c r="ODU480" s="1831"/>
      <c r="ODV480" s="1831"/>
      <c r="ODW480" s="1831"/>
      <c r="ODX480" s="1831"/>
      <c r="ODY480" s="1831"/>
      <c r="ODZ480" s="1831"/>
      <c r="OEA480" s="1831"/>
      <c r="OEB480" s="1831"/>
      <c r="OEC480" s="1831"/>
      <c r="OED480" s="1831"/>
      <c r="OEE480" s="1831"/>
      <c r="OEF480" s="1831"/>
      <c r="OEG480" s="1831"/>
      <c r="OEH480" s="1831"/>
      <c r="OEI480" s="1831"/>
      <c r="OEJ480" s="1831"/>
      <c r="OEK480" s="1831"/>
      <c r="OEL480" s="1831"/>
      <c r="OEM480" s="1831"/>
      <c r="OEN480" s="1831"/>
      <c r="OEO480" s="1831"/>
      <c r="OEP480" s="1831"/>
      <c r="OEQ480" s="1831"/>
      <c r="OER480" s="1831"/>
      <c r="OES480" s="1831"/>
      <c r="OET480" s="1831"/>
      <c r="OEU480" s="1831"/>
      <c r="OEV480" s="1831"/>
      <c r="OEW480" s="1831"/>
      <c r="OEX480" s="1831"/>
      <c r="OEY480" s="1831"/>
      <c r="OEZ480" s="1831"/>
      <c r="OFA480" s="1831"/>
      <c r="OFB480" s="1831"/>
      <c r="OFC480" s="1831"/>
      <c r="OFD480" s="1831"/>
      <c r="OFE480" s="1831"/>
      <c r="OFF480" s="1831"/>
      <c r="OFG480" s="1831"/>
      <c r="OFH480" s="1831"/>
      <c r="OFI480" s="1831"/>
      <c r="OFJ480" s="1831"/>
      <c r="OFK480" s="1831"/>
      <c r="OFL480" s="1831"/>
      <c r="OFM480" s="1831"/>
      <c r="OFN480" s="1831"/>
      <c r="OFO480" s="1831"/>
      <c r="OFP480" s="1831"/>
      <c r="OFQ480" s="1831"/>
      <c r="OFR480" s="1831"/>
      <c r="OFS480" s="1831"/>
      <c r="OFT480" s="1831"/>
      <c r="OFU480" s="1831"/>
      <c r="OFV480" s="1831"/>
      <c r="OFW480" s="1831"/>
      <c r="OFX480" s="1831"/>
      <c r="OFY480" s="1831"/>
      <c r="OFZ480" s="1831"/>
      <c r="OGA480" s="1831"/>
      <c r="OGB480" s="1831"/>
      <c r="OGC480" s="1831"/>
      <c r="OGD480" s="1831"/>
      <c r="OGE480" s="1831"/>
      <c r="OGF480" s="1831"/>
      <c r="OGG480" s="1831"/>
      <c r="OGH480" s="1831"/>
      <c r="OGI480" s="1831"/>
      <c r="OGJ480" s="1831"/>
      <c r="OGK480" s="1831"/>
      <c r="OGL480" s="1831"/>
      <c r="OGM480" s="1831"/>
      <c r="OGN480" s="1831"/>
      <c r="OGO480" s="1831"/>
      <c r="OGP480" s="1831"/>
      <c r="OGQ480" s="1831"/>
      <c r="OGR480" s="1831"/>
      <c r="OGS480" s="1831"/>
      <c r="OGT480" s="1831"/>
      <c r="OGU480" s="1831"/>
      <c r="OGV480" s="1831"/>
      <c r="OGW480" s="1831"/>
      <c r="OGX480" s="1831"/>
      <c r="OGY480" s="1831"/>
      <c r="OGZ480" s="1831"/>
      <c r="OHA480" s="1831"/>
      <c r="OHB480" s="1831"/>
      <c r="OHC480" s="1831"/>
      <c r="OHD480" s="1831"/>
      <c r="OHE480" s="1831"/>
      <c r="OHF480" s="1831"/>
      <c r="OHG480" s="1831"/>
      <c r="OHH480" s="1831"/>
      <c r="OHI480" s="1831"/>
      <c r="OHJ480" s="1831"/>
      <c r="OHK480" s="1831"/>
      <c r="OHL480" s="1831"/>
      <c r="OHM480" s="1831"/>
      <c r="OHN480" s="1831"/>
      <c r="OHO480" s="1831"/>
      <c r="OHP480" s="1831"/>
      <c r="OHQ480" s="1831"/>
      <c r="OHR480" s="1831"/>
      <c r="OHS480" s="1831"/>
      <c r="OHT480" s="1831"/>
      <c r="OHU480" s="1831"/>
      <c r="OHV480" s="1831"/>
      <c r="OHW480" s="1831"/>
      <c r="OHX480" s="1831"/>
      <c r="OHY480" s="1831"/>
      <c r="OHZ480" s="1831"/>
      <c r="OIA480" s="1831"/>
      <c r="OIB480" s="1831"/>
      <c r="OIC480" s="1831"/>
      <c r="OID480" s="1831"/>
      <c r="OIE480" s="1831"/>
      <c r="OIF480" s="1831"/>
      <c r="OIG480" s="1831"/>
      <c r="OIH480" s="1831"/>
      <c r="OII480" s="1831"/>
      <c r="OIJ480" s="1831"/>
      <c r="OIK480" s="1831"/>
      <c r="OIL480" s="1831"/>
      <c r="OIM480" s="1831"/>
      <c r="OIN480" s="1831"/>
      <c r="OIO480" s="1831"/>
      <c r="OIP480" s="1831"/>
      <c r="OIQ480" s="1831"/>
      <c r="OIR480" s="1831"/>
      <c r="OIS480" s="1831"/>
      <c r="OIT480" s="1831"/>
      <c r="OIU480" s="1831"/>
      <c r="OIV480" s="1831"/>
      <c r="OIW480" s="1831"/>
      <c r="OIX480" s="1831"/>
      <c r="OIY480" s="1831"/>
      <c r="OIZ480" s="1831"/>
      <c r="OJA480" s="1831"/>
      <c r="OJB480" s="1831"/>
      <c r="OJC480" s="1831"/>
      <c r="OJD480" s="1831"/>
      <c r="OJE480" s="1831"/>
      <c r="OJF480" s="1831"/>
      <c r="OJG480" s="1831"/>
      <c r="OJH480" s="1831"/>
      <c r="OJI480" s="1831"/>
      <c r="OJJ480" s="1831"/>
      <c r="OJK480" s="1831"/>
      <c r="OJL480" s="1831"/>
      <c r="OJM480" s="1831"/>
      <c r="OJN480" s="1831"/>
      <c r="OJO480" s="1831"/>
      <c r="OJP480" s="1831"/>
      <c r="OJQ480" s="1831"/>
      <c r="OJR480" s="1831"/>
      <c r="OJS480" s="1831"/>
      <c r="OJT480" s="1831"/>
      <c r="OJU480" s="1831"/>
      <c r="OJV480" s="1831"/>
      <c r="OJW480" s="1831"/>
      <c r="OJX480" s="1831"/>
      <c r="OJY480" s="1831"/>
      <c r="OJZ480" s="1831"/>
      <c r="OKA480" s="1831"/>
      <c r="OKB480" s="1831"/>
      <c r="OKC480" s="1831"/>
      <c r="OKD480" s="1831"/>
      <c r="OKE480" s="1831"/>
      <c r="OKF480" s="1831"/>
      <c r="OKG480" s="1831"/>
      <c r="OKH480" s="1831"/>
      <c r="OKI480" s="1831"/>
      <c r="OKJ480" s="1831"/>
      <c r="OKK480" s="1831"/>
      <c r="OKL480" s="1831"/>
      <c r="OKM480" s="1831"/>
      <c r="OKN480" s="1831"/>
      <c r="OKO480" s="1831"/>
      <c r="OKP480" s="1831"/>
      <c r="OKQ480" s="1831"/>
      <c r="OKR480" s="1831"/>
      <c r="OKS480" s="1831"/>
      <c r="OKT480" s="1831"/>
      <c r="OKU480" s="1831"/>
      <c r="OKV480" s="1831"/>
      <c r="OKW480" s="1831"/>
      <c r="OKX480" s="1831"/>
      <c r="OKY480" s="1831"/>
      <c r="OKZ480" s="1831"/>
      <c r="OLA480" s="1831"/>
      <c r="OLB480" s="1831"/>
      <c r="OLC480" s="1831"/>
      <c r="OLD480" s="1831"/>
      <c r="OLE480" s="1831"/>
      <c r="OLF480" s="1831"/>
      <c r="OLG480" s="1831"/>
      <c r="OLH480" s="1831"/>
      <c r="OLI480" s="1831"/>
      <c r="OLJ480" s="1831"/>
      <c r="OLK480" s="1831"/>
      <c r="OLL480" s="1831"/>
      <c r="OLM480" s="1831"/>
      <c r="OLN480" s="1831"/>
      <c r="OLO480" s="1831"/>
      <c r="OLP480" s="1831"/>
      <c r="OLQ480" s="1831"/>
      <c r="OLR480" s="1831"/>
      <c r="OLS480" s="1831"/>
      <c r="OLT480" s="1831"/>
      <c r="OLU480" s="1831"/>
      <c r="OLV480" s="1831"/>
      <c r="OLW480" s="1831"/>
      <c r="OLX480" s="1831"/>
      <c r="OLY480" s="1831"/>
      <c r="OLZ480" s="1831"/>
      <c r="OMA480" s="1831"/>
      <c r="OMB480" s="1831"/>
      <c r="OMC480" s="1831"/>
      <c r="OMD480" s="1831"/>
      <c r="OME480" s="1831"/>
      <c r="OMF480" s="1831"/>
      <c r="OMG480" s="1831"/>
      <c r="OMH480" s="1831"/>
      <c r="OMI480" s="1831"/>
      <c r="OMJ480" s="1831"/>
      <c r="OMK480" s="1831"/>
      <c r="OML480" s="1831"/>
      <c r="OMM480" s="1831"/>
      <c r="OMN480" s="1831"/>
      <c r="OMO480" s="1831"/>
      <c r="OMP480" s="1831"/>
      <c r="OMQ480" s="1831"/>
      <c r="OMR480" s="1831"/>
      <c r="OMS480" s="1831"/>
      <c r="OMT480" s="1831"/>
      <c r="OMU480" s="1831"/>
      <c r="OMV480" s="1831"/>
      <c r="OMW480" s="1831"/>
      <c r="OMX480" s="1831"/>
      <c r="OMY480" s="1831"/>
      <c r="OMZ480" s="1831"/>
      <c r="ONA480" s="1831"/>
      <c r="ONB480" s="1831"/>
      <c r="ONC480" s="1831"/>
      <c r="OND480" s="1831"/>
      <c r="ONE480" s="1831"/>
      <c r="ONF480" s="1831"/>
      <c r="ONG480" s="1831"/>
      <c r="ONH480" s="1831"/>
      <c r="ONI480" s="1831"/>
      <c r="ONJ480" s="1831"/>
      <c r="ONK480" s="1831"/>
      <c r="ONL480" s="1831"/>
      <c r="ONM480" s="1831"/>
      <c r="ONN480" s="1831"/>
      <c r="ONO480" s="1831"/>
      <c r="ONP480" s="1831"/>
      <c r="ONQ480" s="1831"/>
      <c r="ONR480" s="1831"/>
      <c r="ONS480" s="1831"/>
      <c r="ONT480" s="1831"/>
      <c r="ONU480" s="1831"/>
      <c r="ONV480" s="1831"/>
      <c r="ONW480" s="1831"/>
      <c r="ONX480" s="1831"/>
      <c r="ONY480" s="1831"/>
      <c r="ONZ480" s="1831"/>
      <c r="OOA480" s="1831"/>
      <c r="OOB480" s="1831"/>
      <c r="OOC480" s="1831"/>
      <c r="OOD480" s="1831"/>
      <c r="OOE480" s="1831"/>
      <c r="OOF480" s="1831"/>
      <c r="OOG480" s="1831"/>
      <c r="OOH480" s="1831"/>
      <c r="OOI480" s="1831"/>
      <c r="OOJ480" s="1831"/>
      <c r="OOK480" s="1831"/>
      <c r="OOL480" s="1831"/>
      <c r="OOM480" s="1831"/>
      <c r="OON480" s="1831"/>
      <c r="OOO480" s="1831"/>
      <c r="OOP480" s="1831"/>
      <c r="OOQ480" s="1831"/>
      <c r="OOR480" s="1831"/>
      <c r="OOS480" s="1831"/>
      <c r="OOT480" s="1831"/>
      <c r="OOU480" s="1831"/>
      <c r="OOV480" s="1831"/>
      <c r="OOW480" s="1831"/>
      <c r="OOX480" s="1831"/>
      <c r="OOY480" s="1831"/>
      <c r="OOZ480" s="1831"/>
      <c r="OPA480" s="1831"/>
      <c r="OPB480" s="1831"/>
      <c r="OPC480" s="1831"/>
      <c r="OPD480" s="1831"/>
      <c r="OPE480" s="1831"/>
      <c r="OPF480" s="1831"/>
      <c r="OPG480" s="1831"/>
      <c r="OPH480" s="1831"/>
      <c r="OPI480" s="1831"/>
      <c r="OPJ480" s="1831"/>
      <c r="OPK480" s="1831"/>
      <c r="OPL480" s="1831"/>
      <c r="OPM480" s="1831"/>
      <c r="OPN480" s="1831"/>
      <c r="OPO480" s="1831"/>
      <c r="OPP480" s="1831"/>
      <c r="OPQ480" s="1831"/>
      <c r="OPR480" s="1831"/>
      <c r="OPS480" s="1831"/>
      <c r="OPT480" s="1831"/>
      <c r="OPU480" s="1831"/>
      <c r="OPV480" s="1831"/>
      <c r="OPW480" s="1831"/>
      <c r="OPX480" s="1831"/>
      <c r="OPY480" s="1831"/>
      <c r="OPZ480" s="1831"/>
      <c r="OQA480" s="1831"/>
      <c r="OQB480" s="1831"/>
      <c r="OQC480" s="1831"/>
      <c r="OQD480" s="1831"/>
      <c r="OQE480" s="1831"/>
      <c r="OQF480" s="1831"/>
      <c r="OQG480" s="1831"/>
      <c r="OQH480" s="1831"/>
      <c r="OQI480" s="1831"/>
      <c r="OQJ480" s="1831"/>
      <c r="OQK480" s="1831"/>
      <c r="OQL480" s="1831"/>
      <c r="OQM480" s="1831"/>
      <c r="OQN480" s="1831"/>
      <c r="OQO480" s="1831"/>
      <c r="OQP480" s="1831"/>
      <c r="OQQ480" s="1831"/>
      <c r="OQR480" s="1831"/>
      <c r="OQS480" s="1831"/>
      <c r="OQT480" s="1831"/>
      <c r="OQU480" s="1831"/>
      <c r="OQV480" s="1831"/>
      <c r="OQW480" s="1831"/>
      <c r="OQX480" s="1831"/>
      <c r="OQY480" s="1831"/>
      <c r="OQZ480" s="1831"/>
      <c r="ORA480" s="1831"/>
      <c r="ORB480" s="1831"/>
      <c r="ORC480" s="1831"/>
      <c r="ORD480" s="1831"/>
      <c r="ORE480" s="1831"/>
      <c r="ORF480" s="1831"/>
      <c r="ORG480" s="1831"/>
      <c r="ORH480" s="1831"/>
      <c r="ORI480" s="1831"/>
      <c r="ORJ480" s="1831"/>
      <c r="ORK480" s="1831"/>
      <c r="ORL480" s="1831"/>
      <c r="ORM480" s="1831"/>
      <c r="ORN480" s="1831"/>
      <c r="ORO480" s="1831"/>
      <c r="ORP480" s="1831"/>
      <c r="ORQ480" s="1831"/>
      <c r="ORR480" s="1831"/>
      <c r="ORS480" s="1831"/>
      <c r="ORT480" s="1831"/>
      <c r="ORU480" s="1831"/>
      <c r="ORV480" s="1831"/>
      <c r="ORW480" s="1831"/>
      <c r="ORX480" s="1831"/>
      <c r="ORY480" s="1831"/>
      <c r="ORZ480" s="1831"/>
      <c r="OSA480" s="1831"/>
      <c r="OSB480" s="1831"/>
      <c r="OSC480" s="1831"/>
      <c r="OSD480" s="1831"/>
      <c r="OSE480" s="1831"/>
      <c r="OSF480" s="1831"/>
      <c r="OSG480" s="1831"/>
      <c r="OSH480" s="1831"/>
      <c r="OSI480" s="1831"/>
      <c r="OSJ480" s="1831"/>
      <c r="OSK480" s="1831"/>
      <c r="OSL480" s="1831"/>
      <c r="OSM480" s="1831"/>
      <c r="OSN480" s="1831"/>
      <c r="OSO480" s="1831"/>
      <c r="OSP480" s="1831"/>
      <c r="OSQ480" s="1831"/>
      <c r="OSR480" s="1831"/>
      <c r="OSS480" s="1831"/>
      <c r="OST480" s="1831"/>
      <c r="OSU480" s="1831"/>
      <c r="OSV480" s="1831"/>
      <c r="OSW480" s="1831"/>
      <c r="OSX480" s="1831"/>
      <c r="OSY480" s="1831"/>
      <c r="OSZ480" s="1831"/>
      <c r="OTA480" s="1831"/>
      <c r="OTB480" s="1831"/>
      <c r="OTC480" s="1831"/>
      <c r="OTD480" s="1831"/>
      <c r="OTE480" s="1831"/>
      <c r="OTF480" s="1831"/>
      <c r="OTG480" s="1831"/>
      <c r="OTH480" s="1831"/>
      <c r="OTI480" s="1831"/>
      <c r="OTJ480" s="1831"/>
      <c r="OTK480" s="1831"/>
      <c r="OTL480" s="1831"/>
      <c r="OTM480" s="1831"/>
      <c r="OTN480" s="1831"/>
      <c r="OTO480" s="1831"/>
      <c r="OTP480" s="1831"/>
      <c r="OTQ480" s="1831"/>
      <c r="OTR480" s="1831"/>
      <c r="OTS480" s="1831"/>
      <c r="OTT480" s="1831"/>
      <c r="OTU480" s="1831"/>
      <c r="OTV480" s="1831"/>
      <c r="OTW480" s="1831"/>
      <c r="OTX480" s="1831"/>
      <c r="OTY480" s="1831"/>
      <c r="OTZ480" s="1831"/>
      <c r="OUA480" s="1831"/>
      <c r="OUB480" s="1831"/>
      <c r="OUC480" s="1831"/>
      <c r="OUD480" s="1831"/>
      <c r="OUE480" s="1831"/>
      <c r="OUF480" s="1831"/>
      <c r="OUG480" s="1831"/>
      <c r="OUH480" s="1831"/>
      <c r="OUI480" s="1831"/>
      <c r="OUJ480" s="1831"/>
      <c r="OUK480" s="1831"/>
      <c r="OUL480" s="1831"/>
      <c r="OUM480" s="1831"/>
      <c r="OUN480" s="1831"/>
      <c r="OUO480" s="1831"/>
      <c r="OUP480" s="1831"/>
      <c r="OUQ480" s="1831"/>
      <c r="OUR480" s="1831"/>
      <c r="OUS480" s="1831"/>
      <c r="OUT480" s="1831"/>
      <c r="OUU480" s="1831"/>
      <c r="OUV480" s="1831"/>
      <c r="OUW480" s="1831"/>
      <c r="OUX480" s="1831"/>
      <c r="OUY480" s="1831"/>
      <c r="OUZ480" s="1831"/>
      <c r="OVA480" s="1831"/>
      <c r="OVB480" s="1831"/>
      <c r="OVC480" s="1831"/>
      <c r="OVD480" s="1831"/>
      <c r="OVE480" s="1831"/>
      <c r="OVF480" s="1831"/>
      <c r="OVG480" s="1831"/>
      <c r="OVH480" s="1831"/>
      <c r="OVI480" s="1831"/>
      <c r="OVJ480" s="1831"/>
      <c r="OVK480" s="1831"/>
      <c r="OVL480" s="1831"/>
      <c r="OVM480" s="1831"/>
      <c r="OVN480" s="1831"/>
      <c r="OVO480" s="1831"/>
      <c r="OVP480" s="1831"/>
      <c r="OVQ480" s="1831"/>
      <c r="OVR480" s="1831"/>
      <c r="OVS480" s="1831"/>
      <c r="OVT480" s="1831"/>
      <c r="OVU480" s="1831"/>
      <c r="OVV480" s="1831"/>
      <c r="OVW480" s="1831"/>
      <c r="OVX480" s="1831"/>
      <c r="OVY480" s="1831"/>
      <c r="OVZ480" s="1831"/>
      <c r="OWA480" s="1831"/>
      <c r="OWB480" s="1831"/>
      <c r="OWC480" s="1831"/>
      <c r="OWD480" s="1831"/>
      <c r="OWE480" s="1831"/>
      <c r="OWF480" s="1831"/>
      <c r="OWG480" s="1831"/>
      <c r="OWH480" s="1831"/>
      <c r="OWI480" s="1831"/>
      <c r="OWJ480" s="1831"/>
      <c r="OWK480" s="1831"/>
      <c r="OWL480" s="1831"/>
      <c r="OWM480" s="1831"/>
      <c r="OWN480" s="1831"/>
      <c r="OWO480" s="1831"/>
      <c r="OWP480" s="1831"/>
      <c r="OWQ480" s="1831"/>
      <c r="OWR480" s="1831"/>
      <c r="OWS480" s="1831"/>
      <c r="OWT480" s="1831"/>
      <c r="OWU480" s="1831"/>
      <c r="OWV480" s="1831"/>
      <c r="OWW480" s="1831"/>
      <c r="OWX480" s="1831"/>
      <c r="OWY480" s="1831"/>
      <c r="OWZ480" s="1831"/>
      <c r="OXA480" s="1831"/>
      <c r="OXB480" s="1831"/>
      <c r="OXC480" s="1831"/>
      <c r="OXD480" s="1831"/>
      <c r="OXE480" s="1831"/>
      <c r="OXF480" s="1831"/>
      <c r="OXG480" s="1831"/>
      <c r="OXH480" s="1831"/>
      <c r="OXI480" s="1831"/>
      <c r="OXJ480" s="1831"/>
      <c r="OXK480" s="1831"/>
      <c r="OXL480" s="1831"/>
      <c r="OXM480" s="1831"/>
      <c r="OXN480" s="1831"/>
      <c r="OXO480" s="1831"/>
      <c r="OXP480" s="1831"/>
      <c r="OXQ480" s="1831"/>
      <c r="OXR480" s="1831"/>
      <c r="OXS480" s="1831"/>
      <c r="OXT480" s="1831"/>
      <c r="OXU480" s="1831"/>
      <c r="OXV480" s="1831"/>
      <c r="OXW480" s="1831"/>
      <c r="OXX480" s="1831"/>
      <c r="OXY480" s="1831"/>
      <c r="OXZ480" s="1831"/>
      <c r="OYA480" s="1831"/>
      <c r="OYB480" s="1831"/>
      <c r="OYC480" s="1831"/>
      <c r="OYD480" s="1831"/>
      <c r="OYE480" s="1831"/>
      <c r="OYF480" s="1831"/>
      <c r="OYG480" s="1831"/>
      <c r="OYH480" s="1831"/>
      <c r="OYI480" s="1831"/>
      <c r="OYJ480" s="1831"/>
      <c r="OYK480" s="1831"/>
      <c r="OYL480" s="1831"/>
      <c r="OYM480" s="1831"/>
      <c r="OYN480" s="1831"/>
      <c r="OYO480" s="1831"/>
      <c r="OYP480" s="1831"/>
      <c r="OYQ480" s="1831"/>
      <c r="OYR480" s="1831"/>
      <c r="OYS480" s="1831"/>
      <c r="OYT480" s="1831"/>
      <c r="OYU480" s="1831"/>
      <c r="OYV480" s="1831"/>
      <c r="OYW480" s="1831"/>
      <c r="OYX480" s="1831"/>
      <c r="OYY480" s="1831"/>
      <c r="OYZ480" s="1831"/>
      <c r="OZA480" s="1831"/>
      <c r="OZB480" s="1831"/>
      <c r="OZC480" s="1831"/>
      <c r="OZD480" s="1831"/>
      <c r="OZE480" s="1831"/>
      <c r="OZF480" s="1831"/>
      <c r="OZG480" s="1831"/>
      <c r="OZH480" s="1831"/>
      <c r="OZI480" s="1831"/>
      <c r="OZJ480" s="1831"/>
      <c r="OZK480" s="1831"/>
      <c r="OZL480" s="1831"/>
      <c r="OZM480" s="1831"/>
      <c r="OZN480" s="1831"/>
      <c r="OZO480" s="1831"/>
      <c r="OZP480" s="1831"/>
      <c r="OZQ480" s="1831"/>
      <c r="OZR480" s="1831"/>
      <c r="OZS480" s="1831"/>
      <c r="OZT480" s="1831"/>
      <c r="OZU480" s="1831"/>
      <c r="OZV480" s="1831"/>
      <c r="OZW480" s="1831"/>
      <c r="OZX480" s="1831"/>
      <c r="OZY480" s="1831"/>
      <c r="OZZ480" s="1831"/>
      <c r="PAA480" s="1831"/>
      <c r="PAB480" s="1831"/>
      <c r="PAC480" s="1831"/>
      <c r="PAD480" s="1831"/>
      <c r="PAE480" s="1831"/>
      <c r="PAF480" s="1831"/>
      <c r="PAG480" s="1831"/>
      <c r="PAH480" s="1831"/>
      <c r="PAI480" s="1831"/>
      <c r="PAJ480" s="1831"/>
      <c r="PAK480" s="1831"/>
      <c r="PAL480" s="1831"/>
      <c r="PAM480" s="1831"/>
      <c r="PAN480" s="1831"/>
      <c r="PAO480" s="1831"/>
      <c r="PAP480" s="1831"/>
      <c r="PAQ480" s="1831"/>
      <c r="PAR480" s="1831"/>
      <c r="PAS480" s="1831"/>
      <c r="PAT480" s="1831"/>
      <c r="PAU480" s="1831"/>
      <c r="PAV480" s="1831"/>
      <c r="PAW480" s="1831"/>
      <c r="PAX480" s="1831"/>
      <c r="PAY480" s="1831"/>
      <c r="PAZ480" s="1831"/>
      <c r="PBA480" s="1831"/>
      <c r="PBB480" s="1831"/>
      <c r="PBC480" s="1831"/>
      <c r="PBD480" s="1831"/>
      <c r="PBE480" s="1831"/>
      <c r="PBF480" s="1831"/>
      <c r="PBG480" s="1831"/>
      <c r="PBH480" s="1831"/>
      <c r="PBI480" s="1831"/>
      <c r="PBJ480" s="1831"/>
      <c r="PBK480" s="1831"/>
      <c r="PBL480" s="1831"/>
      <c r="PBM480" s="1831"/>
      <c r="PBN480" s="1831"/>
      <c r="PBO480" s="1831"/>
      <c r="PBP480" s="1831"/>
      <c r="PBQ480" s="1831"/>
      <c r="PBR480" s="1831"/>
      <c r="PBS480" s="1831"/>
      <c r="PBT480" s="1831"/>
      <c r="PBU480" s="1831"/>
      <c r="PBV480" s="1831"/>
      <c r="PBW480" s="1831"/>
      <c r="PBX480" s="1831"/>
      <c r="PBY480" s="1831"/>
      <c r="PBZ480" s="1831"/>
      <c r="PCA480" s="1831"/>
      <c r="PCB480" s="1831"/>
      <c r="PCC480" s="1831"/>
      <c r="PCD480" s="1831"/>
      <c r="PCE480" s="1831"/>
      <c r="PCF480" s="1831"/>
      <c r="PCG480" s="1831"/>
      <c r="PCH480" s="1831"/>
      <c r="PCI480" s="1831"/>
      <c r="PCJ480" s="1831"/>
      <c r="PCK480" s="1831"/>
      <c r="PCL480" s="1831"/>
      <c r="PCM480" s="1831"/>
      <c r="PCN480" s="1831"/>
      <c r="PCO480" s="1831"/>
      <c r="PCP480" s="1831"/>
      <c r="PCQ480" s="1831"/>
      <c r="PCR480" s="1831"/>
      <c r="PCS480" s="1831"/>
      <c r="PCT480" s="1831"/>
      <c r="PCU480" s="1831"/>
      <c r="PCV480" s="1831"/>
      <c r="PCW480" s="1831"/>
      <c r="PCX480" s="1831"/>
      <c r="PCY480" s="1831"/>
      <c r="PCZ480" s="1831"/>
      <c r="PDA480" s="1831"/>
      <c r="PDB480" s="1831"/>
      <c r="PDC480" s="1831"/>
      <c r="PDD480" s="1831"/>
      <c r="PDE480" s="1831"/>
      <c r="PDF480" s="1831"/>
      <c r="PDG480" s="1831"/>
      <c r="PDH480" s="1831"/>
      <c r="PDI480" s="1831"/>
      <c r="PDJ480" s="1831"/>
      <c r="PDK480" s="1831"/>
      <c r="PDL480" s="1831"/>
      <c r="PDM480" s="1831"/>
      <c r="PDN480" s="1831"/>
      <c r="PDO480" s="1831"/>
      <c r="PDP480" s="1831"/>
      <c r="PDQ480" s="1831"/>
      <c r="PDR480" s="1831"/>
      <c r="PDS480" s="1831"/>
      <c r="PDT480" s="1831"/>
      <c r="PDU480" s="1831"/>
      <c r="PDV480" s="1831"/>
      <c r="PDW480" s="1831"/>
      <c r="PDX480" s="1831"/>
      <c r="PDY480" s="1831"/>
      <c r="PDZ480" s="1831"/>
      <c r="PEA480" s="1831"/>
      <c r="PEB480" s="1831"/>
      <c r="PEC480" s="1831"/>
      <c r="PED480" s="1831"/>
      <c r="PEE480" s="1831"/>
      <c r="PEF480" s="1831"/>
      <c r="PEG480" s="1831"/>
      <c r="PEH480" s="1831"/>
      <c r="PEI480" s="1831"/>
      <c r="PEJ480" s="1831"/>
      <c r="PEK480" s="1831"/>
      <c r="PEL480" s="1831"/>
      <c r="PEM480" s="1831"/>
      <c r="PEN480" s="1831"/>
      <c r="PEO480" s="1831"/>
      <c r="PEP480" s="1831"/>
      <c r="PEQ480" s="1831"/>
      <c r="PER480" s="1831"/>
      <c r="PES480" s="1831"/>
      <c r="PET480" s="1831"/>
      <c r="PEU480" s="1831"/>
      <c r="PEV480" s="1831"/>
      <c r="PEW480" s="1831"/>
      <c r="PEX480" s="1831"/>
      <c r="PEY480" s="1831"/>
      <c r="PEZ480" s="1831"/>
      <c r="PFA480" s="1831"/>
      <c r="PFB480" s="1831"/>
      <c r="PFC480" s="1831"/>
      <c r="PFD480" s="1831"/>
      <c r="PFE480" s="1831"/>
      <c r="PFF480" s="1831"/>
      <c r="PFG480" s="1831"/>
      <c r="PFH480" s="1831"/>
      <c r="PFI480" s="1831"/>
      <c r="PFJ480" s="1831"/>
      <c r="PFK480" s="1831"/>
      <c r="PFL480" s="1831"/>
      <c r="PFM480" s="1831"/>
      <c r="PFN480" s="1831"/>
      <c r="PFO480" s="1831"/>
      <c r="PFP480" s="1831"/>
      <c r="PFQ480" s="1831"/>
      <c r="PFR480" s="1831"/>
      <c r="PFS480" s="1831"/>
      <c r="PFT480" s="1831"/>
      <c r="PFU480" s="1831"/>
      <c r="PFV480" s="1831"/>
      <c r="PFW480" s="1831"/>
      <c r="PFX480" s="1831"/>
      <c r="PFY480" s="1831"/>
      <c r="PFZ480" s="1831"/>
      <c r="PGA480" s="1831"/>
      <c r="PGB480" s="1831"/>
      <c r="PGC480" s="1831"/>
      <c r="PGD480" s="1831"/>
      <c r="PGE480" s="1831"/>
      <c r="PGF480" s="1831"/>
      <c r="PGG480" s="1831"/>
      <c r="PGH480" s="1831"/>
      <c r="PGI480" s="1831"/>
      <c r="PGJ480" s="1831"/>
      <c r="PGK480" s="1831"/>
      <c r="PGL480" s="1831"/>
      <c r="PGM480" s="1831"/>
      <c r="PGN480" s="1831"/>
      <c r="PGO480" s="1831"/>
      <c r="PGP480" s="1831"/>
      <c r="PGQ480" s="1831"/>
      <c r="PGR480" s="1831"/>
      <c r="PGS480" s="1831"/>
      <c r="PGT480" s="1831"/>
      <c r="PGU480" s="1831"/>
      <c r="PGV480" s="1831"/>
      <c r="PGW480" s="1831"/>
      <c r="PGX480" s="1831"/>
      <c r="PGY480" s="1831"/>
      <c r="PGZ480" s="1831"/>
      <c r="PHA480" s="1831"/>
      <c r="PHB480" s="1831"/>
      <c r="PHC480" s="1831"/>
      <c r="PHD480" s="1831"/>
      <c r="PHE480" s="1831"/>
      <c r="PHF480" s="1831"/>
      <c r="PHG480" s="1831"/>
      <c r="PHH480" s="1831"/>
      <c r="PHI480" s="1831"/>
      <c r="PHJ480" s="1831"/>
      <c r="PHK480" s="1831"/>
      <c r="PHL480" s="1831"/>
      <c r="PHM480" s="1831"/>
      <c r="PHN480" s="1831"/>
      <c r="PHO480" s="1831"/>
      <c r="PHP480" s="1831"/>
      <c r="PHQ480" s="1831"/>
      <c r="PHR480" s="1831"/>
      <c r="PHS480" s="1831"/>
      <c r="PHT480" s="1831"/>
      <c r="PHU480" s="1831"/>
      <c r="PHV480" s="1831"/>
      <c r="PHW480" s="1831"/>
      <c r="PHX480" s="1831"/>
      <c r="PHY480" s="1831"/>
      <c r="PHZ480" s="1831"/>
      <c r="PIA480" s="1831"/>
      <c r="PIB480" s="1831"/>
      <c r="PIC480" s="1831"/>
      <c r="PID480" s="1831"/>
      <c r="PIE480" s="1831"/>
      <c r="PIF480" s="1831"/>
      <c r="PIG480" s="1831"/>
      <c r="PIH480" s="1831"/>
      <c r="PII480" s="1831"/>
      <c r="PIJ480" s="1831"/>
      <c r="PIK480" s="1831"/>
      <c r="PIL480" s="1831"/>
      <c r="PIM480" s="1831"/>
      <c r="PIN480" s="1831"/>
      <c r="PIO480" s="1831"/>
      <c r="PIP480" s="1831"/>
      <c r="PIQ480" s="1831"/>
      <c r="PIR480" s="1831"/>
      <c r="PIS480" s="1831"/>
      <c r="PIT480" s="1831"/>
      <c r="PIU480" s="1831"/>
      <c r="PIV480" s="1831"/>
      <c r="PIW480" s="1831"/>
      <c r="PIX480" s="1831"/>
      <c r="PIY480" s="1831"/>
      <c r="PIZ480" s="1831"/>
      <c r="PJA480" s="1831"/>
      <c r="PJB480" s="1831"/>
      <c r="PJC480" s="1831"/>
      <c r="PJD480" s="1831"/>
      <c r="PJE480" s="1831"/>
      <c r="PJF480" s="1831"/>
      <c r="PJG480" s="1831"/>
      <c r="PJH480" s="1831"/>
      <c r="PJI480" s="1831"/>
      <c r="PJJ480" s="1831"/>
      <c r="PJK480" s="1831"/>
      <c r="PJL480" s="1831"/>
      <c r="PJM480" s="1831"/>
      <c r="PJN480" s="1831"/>
      <c r="PJO480" s="1831"/>
      <c r="PJP480" s="1831"/>
      <c r="PJQ480" s="1831"/>
      <c r="PJR480" s="1831"/>
      <c r="PJS480" s="1831"/>
      <c r="PJT480" s="1831"/>
      <c r="PJU480" s="1831"/>
      <c r="PJV480" s="1831"/>
      <c r="PJW480" s="1831"/>
      <c r="PJX480" s="1831"/>
      <c r="PJY480" s="1831"/>
      <c r="PJZ480" s="1831"/>
      <c r="PKA480" s="1831"/>
      <c r="PKB480" s="1831"/>
      <c r="PKC480" s="1831"/>
      <c r="PKD480" s="1831"/>
      <c r="PKE480" s="1831"/>
      <c r="PKF480" s="1831"/>
      <c r="PKG480" s="1831"/>
      <c r="PKH480" s="1831"/>
      <c r="PKI480" s="1831"/>
      <c r="PKJ480" s="1831"/>
      <c r="PKK480" s="1831"/>
      <c r="PKL480" s="1831"/>
      <c r="PKM480" s="1831"/>
      <c r="PKN480" s="1831"/>
      <c r="PKO480" s="1831"/>
      <c r="PKP480" s="1831"/>
      <c r="PKQ480" s="1831"/>
      <c r="PKR480" s="1831"/>
      <c r="PKS480" s="1831"/>
      <c r="PKT480" s="1831"/>
      <c r="PKU480" s="1831"/>
      <c r="PKV480" s="1831"/>
      <c r="PKW480" s="1831"/>
      <c r="PKX480" s="1831"/>
      <c r="PKY480" s="1831"/>
      <c r="PKZ480" s="1831"/>
      <c r="PLA480" s="1831"/>
      <c r="PLB480" s="1831"/>
      <c r="PLC480" s="1831"/>
      <c r="PLD480" s="1831"/>
      <c r="PLE480" s="1831"/>
      <c r="PLF480" s="1831"/>
      <c r="PLG480" s="1831"/>
      <c r="PLH480" s="1831"/>
      <c r="PLI480" s="1831"/>
      <c r="PLJ480" s="1831"/>
      <c r="PLK480" s="1831"/>
      <c r="PLL480" s="1831"/>
      <c r="PLM480" s="1831"/>
      <c r="PLN480" s="1831"/>
      <c r="PLO480" s="1831"/>
      <c r="PLP480" s="1831"/>
      <c r="PLQ480" s="1831"/>
      <c r="PLR480" s="1831"/>
      <c r="PLS480" s="1831"/>
      <c r="PLT480" s="1831"/>
      <c r="PLU480" s="1831"/>
      <c r="PLV480" s="1831"/>
      <c r="PLW480" s="1831"/>
      <c r="PLX480" s="1831"/>
      <c r="PLY480" s="1831"/>
      <c r="PLZ480" s="1831"/>
      <c r="PMA480" s="1831"/>
      <c r="PMB480" s="1831"/>
      <c r="PMC480" s="1831"/>
      <c r="PMD480" s="1831"/>
      <c r="PME480" s="1831"/>
      <c r="PMF480" s="1831"/>
      <c r="PMG480" s="1831"/>
      <c r="PMH480" s="1831"/>
      <c r="PMI480" s="1831"/>
      <c r="PMJ480" s="1831"/>
      <c r="PMK480" s="1831"/>
      <c r="PML480" s="1831"/>
      <c r="PMM480" s="1831"/>
      <c r="PMN480" s="1831"/>
      <c r="PMO480" s="1831"/>
      <c r="PMP480" s="1831"/>
      <c r="PMQ480" s="1831"/>
      <c r="PMR480" s="1831"/>
      <c r="PMS480" s="1831"/>
      <c r="PMT480" s="1831"/>
      <c r="PMU480" s="1831"/>
      <c r="PMV480" s="1831"/>
      <c r="PMW480" s="1831"/>
      <c r="PMX480" s="1831"/>
      <c r="PMY480" s="1831"/>
      <c r="PMZ480" s="1831"/>
      <c r="PNA480" s="1831"/>
      <c r="PNB480" s="1831"/>
      <c r="PNC480" s="1831"/>
      <c r="PND480" s="1831"/>
      <c r="PNE480" s="1831"/>
      <c r="PNF480" s="1831"/>
      <c r="PNG480" s="1831"/>
      <c r="PNH480" s="1831"/>
      <c r="PNI480" s="1831"/>
      <c r="PNJ480" s="1831"/>
      <c r="PNK480" s="1831"/>
      <c r="PNL480" s="1831"/>
      <c r="PNM480" s="1831"/>
      <c r="PNN480" s="1831"/>
      <c r="PNO480" s="1831"/>
      <c r="PNP480" s="1831"/>
      <c r="PNQ480" s="1831"/>
      <c r="PNR480" s="1831"/>
      <c r="PNS480" s="1831"/>
      <c r="PNT480" s="1831"/>
      <c r="PNU480" s="1831"/>
      <c r="PNV480" s="1831"/>
      <c r="PNW480" s="1831"/>
      <c r="PNX480" s="1831"/>
      <c r="PNY480" s="1831"/>
      <c r="PNZ480" s="1831"/>
      <c r="POA480" s="1831"/>
      <c r="POB480" s="1831"/>
      <c r="POC480" s="1831"/>
      <c r="POD480" s="1831"/>
      <c r="POE480" s="1831"/>
      <c r="POF480" s="1831"/>
      <c r="POG480" s="1831"/>
      <c r="POH480" s="1831"/>
      <c r="POI480" s="1831"/>
      <c r="POJ480" s="1831"/>
      <c r="POK480" s="1831"/>
      <c r="POL480" s="1831"/>
      <c r="POM480" s="1831"/>
      <c r="PON480" s="1831"/>
      <c r="POO480" s="1831"/>
      <c r="POP480" s="1831"/>
      <c r="POQ480" s="1831"/>
      <c r="POR480" s="1831"/>
      <c r="POS480" s="1831"/>
      <c r="POT480" s="1831"/>
      <c r="POU480" s="1831"/>
      <c r="POV480" s="1831"/>
      <c r="POW480" s="1831"/>
      <c r="POX480" s="1831"/>
      <c r="POY480" s="1831"/>
      <c r="POZ480" s="1831"/>
      <c r="PPA480" s="1831"/>
      <c r="PPB480" s="1831"/>
      <c r="PPC480" s="1831"/>
      <c r="PPD480" s="1831"/>
      <c r="PPE480" s="1831"/>
      <c r="PPF480" s="1831"/>
      <c r="PPG480" s="1831"/>
      <c r="PPH480" s="1831"/>
      <c r="PPI480" s="1831"/>
      <c r="PPJ480" s="1831"/>
      <c r="PPK480" s="1831"/>
      <c r="PPL480" s="1831"/>
      <c r="PPM480" s="1831"/>
      <c r="PPN480" s="1831"/>
      <c r="PPO480" s="1831"/>
      <c r="PPP480" s="1831"/>
      <c r="PPQ480" s="1831"/>
      <c r="PPR480" s="1831"/>
      <c r="PPS480" s="1831"/>
      <c r="PPT480" s="1831"/>
      <c r="PPU480" s="1831"/>
      <c r="PPV480" s="1831"/>
      <c r="PPW480" s="1831"/>
      <c r="PPX480" s="1831"/>
      <c r="PPY480" s="1831"/>
      <c r="PPZ480" s="1831"/>
      <c r="PQA480" s="1831"/>
      <c r="PQB480" s="1831"/>
      <c r="PQC480" s="1831"/>
      <c r="PQD480" s="1831"/>
      <c r="PQE480" s="1831"/>
      <c r="PQF480" s="1831"/>
      <c r="PQG480" s="1831"/>
      <c r="PQH480" s="1831"/>
      <c r="PQI480" s="1831"/>
      <c r="PQJ480" s="1831"/>
      <c r="PQK480" s="1831"/>
      <c r="PQL480" s="1831"/>
      <c r="PQM480" s="1831"/>
      <c r="PQN480" s="1831"/>
      <c r="PQO480" s="1831"/>
      <c r="PQP480" s="1831"/>
      <c r="PQQ480" s="1831"/>
      <c r="PQR480" s="1831"/>
      <c r="PQS480" s="1831"/>
      <c r="PQT480" s="1831"/>
      <c r="PQU480" s="1831"/>
      <c r="PQV480" s="1831"/>
      <c r="PQW480" s="1831"/>
      <c r="PQX480" s="1831"/>
      <c r="PQY480" s="1831"/>
      <c r="PQZ480" s="1831"/>
      <c r="PRA480" s="1831"/>
      <c r="PRB480" s="1831"/>
      <c r="PRC480" s="1831"/>
      <c r="PRD480" s="1831"/>
      <c r="PRE480" s="1831"/>
      <c r="PRF480" s="1831"/>
      <c r="PRG480" s="1831"/>
      <c r="PRH480" s="1831"/>
      <c r="PRI480" s="1831"/>
      <c r="PRJ480" s="1831"/>
      <c r="PRK480" s="1831"/>
      <c r="PRL480" s="1831"/>
      <c r="PRM480" s="1831"/>
      <c r="PRN480" s="1831"/>
      <c r="PRO480" s="1831"/>
      <c r="PRP480" s="1831"/>
      <c r="PRQ480" s="1831"/>
      <c r="PRR480" s="1831"/>
      <c r="PRS480" s="1831"/>
      <c r="PRT480" s="1831"/>
      <c r="PRU480" s="1831"/>
      <c r="PRV480" s="1831"/>
      <c r="PRW480" s="1831"/>
      <c r="PRX480" s="1831"/>
      <c r="PRY480" s="1831"/>
      <c r="PRZ480" s="1831"/>
      <c r="PSA480" s="1831"/>
      <c r="PSB480" s="1831"/>
      <c r="PSC480" s="1831"/>
      <c r="PSD480" s="1831"/>
      <c r="PSE480" s="1831"/>
      <c r="PSF480" s="1831"/>
      <c r="PSG480" s="1831"/>
      <c r="PSH480" s="1831"/>
      <c r="PSI480" s="1831"/>
      <c r="PSJ480" s="1831"/>
      <c r="PSK480" s="1831"/>
      <c r="PSL480" s="1831"/>
      <c r="PSM480" s="1831"/>
      <c r="PSN480" s="1831"/>
      <c r="PSO480" s="1831"/>
      <c r="PSP480" s="1831"/>
      <c r="PSQ480" s="1831"/>
      <c r="PSR480" s="1831"/>
      <c r="PSS480" s="1831"/>
      <c r="PST480" s="1831"/>
      <c r="PSU480" s="1831"/>
      <c r="PSV480" s="1831"/>
      <c r="PSW480" s="1831"/>
      <c r="PSX480" s="1831"/>
      <c r="PSY480" s="1831"/>
      <c r="PSZ480" s="1831"/>
      <c r="PTA480" s="1831"/>
      <c r="PTB480" s="1831"/>
      <c r="PTC480" s="1831"/>
      <c r="PTD480" s="1831"/>
      <c r="PTE480" s="1831"/>
      <c r="PTF480" s="1831"/>
      <c r="PTG480" s="1831"/>
      <c r="PTH480" s="1831"/>
      <c r="PTI480" s="1831"/>
      <c r="PTJ480" s="1831"/>
      <c r="PTK480" s="1831"/>
      <c r="PTL480" s="1831"/>
      <c r="PTM480" s="1831"/>
      <c r="PTN480" s="1831"/>
      <c r="PTO480" s="1831"/>
      <c r="PTP480" s="1831"/>
      <c r="PTQ480" s="1831"/>
      <c r="PTR480" s="1831"/>
      <c r="PTS480" s="1831"/>
      <c r="PTT480" s="1831"/>
      <c r="PTU480" s="1831"/>
      <c r="PTV480" s="1831"/>
      <c r="PTW480" s="1831"/>
      <c r="PTX480" s="1831"/>
      <c r="PTY480" s="1831"/>
      <c r="PTZ480" s="1831"/>
      <c r="PUA480" s="1831"/>
      <c r="PUB480" s="1831"/>
      <c r="PUC480" s="1831"/>
      <c r="PUD480" s="1831"/>
      <c r="PUE480" s="1831"/>
      <c r="PUF480" s="1831"/>
      <c r="PUG480" s="1831"/>
      <c r="PUH480" s="1831"/>
      <c r="PUI480" s="1831"/>
      <c r="PUJ480" s="1831"/>
      <c r="PUK480" s="1831"/>
      <c r="PUL480" s="1831"/>
      <c r="PUM480" s="1831"/>
      <c r="PUN480" s="1831"/>
      <c r="PUO480" s="1831"/>
      <c r="PUP480" s="1831"/>
      <c r="PUQ480" s="1831"/>
      <c r="PUR480" s="1831"/>
      <c r="PUS480" s="1831"/>
      <c r="PUT480" s="1831"/>
      <c r="PUU480" s="1831"/>
      <c r="PUV480" s="1831"/>
      <c r="PUW480" s="1831"/>
      <c r="PUX480" s="1831"/>
      <c r="PUY480" s="1831"/>
      <c r="PUZ480" s="1831"/>
      <c r="PVA480" s="1831"/>
      <c r="PVB480" s="1831"/>
      <c r="PVC480" s="1831"/>
      <c r="PVD480" s="1831"/>
      <c r="PVE480" s="1831"/>
      <c r="PVF480" s="1831"/>
      <c r="PVG480" s="1831"/>
      <c r="PVH480" s="1831"/>
      <c r="PVI480" s="1831"/>
      <c r="PVJ480" s="1831"/>
      <c r="PVK480" s="1831"/>
      <c r="PVL480" s="1831"/>
      <c r="PVM480" s="1831"/>
      <c r="PVN480" s="1831"/>
      <c r="PVO480" s="1831"/>
      <c r="PVP480" s="1831"/>
      <c r="PVQ480" s="1831"/>
      <c r="PVR480" s="1831"/>
      <c r="PVS480" s="1831"/>
      <c r="PVT480" s="1831"/>
      <c r="PVU480" s="1831"/>
      <c r="PVV480" s="1831"/>
      <c r="PVW480" s="1831"/>
      <c r="PVX480" s="1831"/>
      <c r="PVY480" s="1831"/>
      <c r="PVZ480" s="1831"/>
      <c r="PWA480" s="1831"/>
      <c r="PWB480" s="1831"/>
      <c r="PWC480" s="1831"/>
      <c r="PWD480" s="1831"/>
      <c r="PWE480" s="1831"/>
      <c r="PWF480" s="1831"/>
      <c r="PWG480" s="1831"/>
      <c r="PWH480" s="1831"/>
      <c r="PWI480" s="1831"/>
      <c r="PWJ480" s="1831"/>
      <c r="PWK480" s="1831"/>
      <c r="PWL480" s="1831"/>
      <c r="PWM480" s="1831"/>
      <c r="PWN480" s="1831"/>
      <c r="PWO480" s="1831"/>
      <c r="PWP480" s="1831"/>
      <c r="PWQ480" s="1831"/>
      <c r="PWR480" s="1831"/>
      <c r="PWS480" s="1831"/>
      <c r="PWT480" s="1831"/>
      <c r="PWU480" s="1831"/>
      <c r="PWV480" s="1831"/>
      <c r="PWW480" s="1831"/>
      <c r="PWX480" s="1831"/>
      <c r="PWY480" s="1831"/>
      <c r="PWZ480" s="1831"/>
      <c r="PXA480" s="1831"/>
      <c r="PXB480" s="1831"/>
      <c r="PXC480" s="1831"/>
      <c r="PXD480" s="1831"/>
      <c r="PXE480" s="1831"/>
      <c r="PXF480" s="1831"/>
      <c r="PXG480" s="1831"/>
      <c r="PXH480" s="1831"/>
      <c r="PXI480" s="1831"/>
      <c r="PXJ480" s="1831"/>
      <c r="PXK480" s="1831"/>
      <c r="PXL480" s="1831"/>
      <c r="PXM480" s="1831"/>
      <c r="PXN480" s="1831"/>
      <c r="PXO480" s="1831"/>
      <c r="PXP480" s="1831"/>
      <c r="PXQ480" s="1831"/>
      <c r="PXR480" s="1831"/>
      <c r="PXS480" s="1831"/>
      <c r="PXT480" s="1831"/>
      <c r="PXU480" s="1831"/>
      <c r="PXV480" s="1831"/>
      <c r="PXW480" s="1831"/>
      <c r="PXX480" s="1831"/>
      <c r="PXY480" s="1831"/>
      <c r="PXZ480" s="1831"/>
      <c r="PYA480" s="1831"/>
      <c r="PYB480" s="1831"/>
      <c r="PYC480" s="1831"/>
      <c r="PYD480" s="1831"/>
      <c r="PYE480" s="1831"/>
      <c r="PYF480" s="1831"/>
      <c r="PYG480" s="1831"/>
      <c r="PYH480" s="1831"/>
      <c r="PYI480" s="1831"/>
      <c r="PYJ480" s="1831"/>
      <c r="PYK480" s="1831"/>
      <c r="PYL480" s="1831"/>
      <c r="PYM480" s="1831"/>
      <c r="PYN480" s="1831"/>
      <c r="PYO480" s="1831"/>
      <c r="PYP480" s="1831"/>
      <c r="PYQ480" s="1831"/>
      <c r="PYR480" s="1831"/>
      <c r="PYS480" s="1831"/>
      <c r="PYT480" s="1831"/>
      <c r="PYU480" s="1831"/>
      <c r="PYV480" s="1831"/>
      <c r="PYW480" s="1831"/>
      <c r="PYX480" s="1831"/>
      <c r="PYY480" s="1831"/>
      <c r="PYZ480" s="1831"/>
      <c r="PZA480" s="1831"/>
      <c r="PZB480" s="1831"/>
      <c r="PZC480" s="1831"/>
      <c r="PZD480" s="1831"/>
      <c r="PZE480" s="1831"/>
      <c r="PZF480" s="1831"/>
      <c r="PZG480" s="1831"/>
      <c r="PZH480" s="1831"/>
      <c r="PZI480" s="1831"/>
      <c r="PZJ480" s="1831"/>
      <c r="PZK480" s="1831"/>
      <c r="PZL480" s="1831"/>
      <c r="PZM480" s="1831"/>
      <c r="PZN480" s="1831"/>
      <c r="PZO480" s="1831"/>
      <c r="PZP480" s="1831"/>
      <c r="PZQ480" s="1831"/>
      <c r="PZR480" s="1831"/>
      <c r="PZS480" s="1831"/>
      <c r="PZT480" s="1831"/>
      <c r="PZU480" s="1831"/>
      <c r="PZV480" s="1831"/>
      <c r="PZW480" s="1831"/>
      <c r="PZX480" s="1831"/>
      <c r="PZY480" s="1831"/>
      <c r="PZZ480" s="1831"/>
      <c r="QAA480" s="1831"/>
      <c r="QAB480" s="1831"/>
      <c r="QAC480" s="1831"/>
      <c r="QAD480" s="1831"/>
      <c r="QAE480" s="1831"/>
      <c r="QAF480" s="1831"/>
      <c r="QAG480" s="1831"/>
      <c r="QAH480" s="1831"/>
      <c r="QAI480" s="1831"/>
      <c r="QAJ480" s="1831"/>
      <c r="QAK480" s="1831"/>
      <c r="QAL480" s="1831"/>
      <c r="QAM480" s="1831"/>
      <c r="QAN480" s="1831"/>
      <c r="QAO480" s="1831"/>
      <c r="QAP480" s="1831"/>
      <c r="QAQ480" s="1831"/>
      <c r="QAR480" s="1831"/>
      <c r="QAS480" s="1831"/>
      <c r="QAT480" s="1831"/>
      <c r="QAU480" s="1831"/>
      <c r="QAV480" s="1831"/>
      <c r="QAW480" s="1831"/>
      <c r="QAX480" s="1831"/>
      <c r="QAY480" s="1831"/>
      <c r="QAZ480" s="1831"/>
      <c r="QBA480" s="1831"/>
      <c r="QBB480" s="1831"/>
      <c r="QBC480" s="1831"/>
      <c r="QBD480" s="1831"/>
      <c r="QBE480" s="1831"/>
      <c r="QBF480" s="1831"/>
      <c r="QBG480" s="1831"/>
      <c r="QBH480" s="1831"/>
      <c r="QBI480" s="1831"/>
      <c r="QBJ480" s="1831"/>
      <c r="QBK480" s="1831"/>
      <c r="QBL480" s="1831"/>
      <c r="QBM480" s="1831"/>
      <c r="QBN480" s="1831"/>
      <c r="QBO480" s="1831"/>
      <c r="QBP480" s="1831"/>
      <c r="QBQ480" s="1831"/>
      <c r="QBR480" s="1831"/>
      <c r="QBS480" s="1831"/>
      <c r="QBT480" s="1831"/>
      <c r="QBU480" s="1831"/>
      <c r="QBV480" s="1831"/>
      <c r="QBW480" s="1831"/>
      <c r="QBX480" s="1831"/>
      <c r="QBY480" s="1831"/>
      <c r="QBZ480" s="1831"/>
      <c r="QCA480" s="1831"/>
      <c r="QCB480" s="1831"/>
      <c r="QCC480" s="1831"/>
      <c r="QCD480" s="1831"/>
      <c r="QCE480" s="1831"/>
      <c r="QCF480" s="1831"/>
      <c r="QCG480" s="1831"/>
      <c r="QCH480" s="1831"/>
      <c r="QCI480" s="1831"/>
      <c r="QCJ480" s="1831"/>
      <c r="QCK480" s="1831"/>
      <c r="QCL480" s="1831"/>
      <c r="QCM480" s="1831"/>
      <c r="QCN480" s="1831"/>
      <c r="QCO480" s="1831"/>
      <c r="QCP480" s="1831"/>
      <c r="QCQ480" s="1831"/>
      <c r="QCR480" s="1831"/>
      <c r="QCS480" s="1831"/>
      <c r="QCT480" s="1831"/>
      <c r="QCU480" s="1831"/>
      <c r="QCV480" s="1831"/>
      <c r="QCW480" s="1831"/>
      <c r="QCX480" s="1831"/>
      <c r="QCY480" s="1831"/>
      <c r="QCZ480" s="1831"/>
      <c r="QDA480" s="1831"/>
      <c r="QDB480" s="1831"/>
      <c r="QDC480" s="1831"/>
      <c r="QDD480" s="1831"/>
      <c r="QDE480" s="1831"/>
      <c r="QDF480" s="1831"/>
      <c r="QDG480" s="1831"/>
      <c r="QDH480" s="1831"/>
      <c r="QDI480" s="1831"/>
      <c r="QDJ480" s="1831"/>
      <c r="QDK480" s="1831"/>
      <c r="QDL480" s="1831"/>
      <c r="QDM480" s="1831"/>
      <c r="QDN480" s="1831"/>
      <c r="QDO480" s="1831"/>
      <c r="QDP480" s="1831"/>
      <c r="QDQ480" s="1831"/>
      <c r="QDR480" s="1831"/>
      <c r="QDS480" s="1831"/>
      <c r="QDT480" s="1831"/>
      <c r="QDU480" s="1831"/>
      <c r="QDV480" s="1831"/>
      <c r="QDW480" s="1831"/>
      <c r="QDX480" s="1831"/>
      <c r="QDY480" s="1831"/>
      <c r="QDZ480" s="1831"/>
      <c r="QEA480" s="1831"/>
      <c r="QEB480" s="1831"/>
      <c r="QEC480" s="1831"/>
      <c r="QED480" s="1831"/>
      <c r="QEE480" s="1831"/>
      <c r="QEF480" s="1831"/>
      <c r="QEG480" s="1831"/>
      <c r="QEH480" s="1831"/>
      <c r="QEI480" s="1831"/>
      <c r="QEJ480" s="1831"/>
      <c r="QEK480" s="1831"/>
      <c r="QEL480" s="1831"/>
      <c r="QEM480" s="1831"/>
      <c r="QEN480" s="1831"/>
      <c r="QEO480" s="1831"/>
      <c r="QEP480" s="1831"/>
      <c r="QEQ480" s="1831"/>
      <c r="QER480" s="1831"/>
      <c r="QES480" s="1831"/>
      <c r="QET480" s="1831"/>
      <c r="QEU480" s="1831"/>
      <c r="QEV480" s="1831"/>
      <c r="QEW480" s="1831"/>
      <c r="QEX480" s="1831"/>
      <c r="QEY480" s="1831"/>
      <c r="QEZ480" s="1831"/>
      <c r="QFA480" s="1831"/>
      <c r="QFB480" s="1831"/>
      <c r="QFC480" s="1831"/>
      <c r="QFD480" s="1831"/>
      <c r="QFE480" s="1831"/>
      <c r="QFF480" s="1831"/>
      <c r="QFG480" s="1831"/>
      <c r="QFH480" s="1831"/>
      <c r="QFI480" s="1831"/>
      <c r="QFJ480" s="1831"/>
      <c r="QFK480" s="1831"/>
      <c r="QFL480" s="1831"/>
      <c r="QFM480" s="1831"/>
      <c r="QFN480" s="1831"/>
      <c r="QFO480" s="1831"/>
      <c r="QFP480" s="1831"/>
      <c r="QFQ480" s="1831"/>
      <c r="QFR480" s="1831"/>
      <c r="QFS480" s="1831"/>
      <c r="QFT480" s="1831"/>
      <c r="QFU480" s="1831"/>
      <c r="QFV480" s="1831"/>
      <c r="QFW480" s="1831"/>
      <c r="QFX480" s="1831"/>
      <c r="QFY480" s="1831"/>
      <c r="QFZ480" s="1831"/>
      <c r="QGA480" s="1831"/>
      <c r="QGB480" s="1831"/>
      <c r="QGC480" s="1831"/>
      <c r="QGD480" s="1831"/>
      <c r="QGE480" s="1831"/>
      <c r="QGF480" s="1831"/>
      <c r="QGG480" s="1831"/>
      <c r="QGH480" s="1831"/>
      <c r="QGI480" s="1831"/>
      <c r="QGJ480" s="1831"/>
      <c r="QGK480" s="1831"/>
      <c r="QGL480" s="1831"/>
      <c r="QGM480" s="1831"/>
      <c r="QGN480" s="1831"/>
      <c r="QGO480" s="1831"/>
      <c r="QGP480" s="1831"/>
      <c r="QGQ480" s="1831"/>
      <c r="QGR480" s="1831"/>
      <c r="QGS480" s="1831"/>
      <c r="QGT480" s="1831"/>
      <c r="QGU480" s="1831"/>
      <c r="QGV480" s="1831"/>
      <c r="QGW480" s="1831"/>
      <c r="QGX480" s="1831"/>
      <c r="QGY480" s="1831"/>
      <c r="QGZ480" s="1831"/>
      <c r="QHA480" s="1831"/>
      <c r="QHB480" s="1831"/>
      <c r="QHC480" s="1831"/>
      <c r="QHD480" s="1831"/>
      <c r="QHE480" s="1831"/>
      <c r="QHF480" s="1831"/>
      <c r="QHG480" s="1831"/>
      <c r="QHH480" s="1831"/>
      <c r="QHI480" s="1831"/>
      <c r="QHJ480" s="1831"/>
      <c r="QHK480" s="1831"/>
      <c r="QHL480" s="1831"/>
      <c r="QHM480" s="1831"/>
      <c r="QHN480" s="1831"/>
      <c r="QHO480" s="1831"/>
      <c r="QHP480" s="1831"/>
      <c r="QHQ480" s="1831"/>
      <c r="QHR480" s="1831"/>
      <c r="QHS480" s="1831"/>
      <c r="QHT480" s="1831"/>
      <c r="QHU480" s="1831"/>
      <c r="QHV480" s="1831"/>
      <c r="QHW480" s="1831"/>
      <c r="QHX480" s="1831"/>
      <c r="QHY480" s="1831"/>
      <c r="QHZ480" s="1831"/>
      <c r="QIA480" s="1831"/>
      <c r="QIB480" s="1831"/>
      <c r="QIC480" s="1831"/>
      <c r="QID480" s="1831"/>
      <c r="QIE480" s="1831"/>
      <c r="QIF480" s="1831"/>
      <c r="QIG480" s="1831"/>
      <c r="QIH480" s="1831"/>
      <c r="QII480" s="1831"/>
      <c r="QIJ480" s="1831"/>
      <c r="QIK480" s="1831"/>
      <c r="QIL480" s="1831"/>
      <c r="QIM480" s="1831"/>
      <c r="QIN480" s="1831"/>
      <c r="QIO480" s="1831"/>
      <c r="QIP480" s="1831"/>
      <c r="QIQ480" s="1831"/>
      <c r="QIR480" s="1831"/>
      <c r="QIS480" s="1831"/>
      <c r="QIT480" s="1831"/>
      <c r="QIU480" s="1831"/>
      <c r="QIV480" s="1831"/>
      <c r="QIW480" s="1831"/>
      <c r="QIX480" s="1831"/>
      <c r="QIY480" s="1831"/>
      <c r="QIZ480" s="1831"/>
      <c r="QJA480" s="1831"/>
      <c r="QJB480" s="1831"/>
      <c r="QJC480" s="1831"/>
      <c r="QJD480" s="1831"/>
      <c r="QJE480" s="1831"/>
      <c r="QJF480" s="1831"/>
      <c r="QJG480" s="1831"/>
      <c r="QJH480" s="1831"/>
      <c r="QJI480" s="1831"/>
      <c r="QJJ480" s="1831"/>
      <c r="QJK480" s="1831"/>
      <c r="QJL480" s="1831"/>
      <c r="QJM480" s="1831"/>
      <c r="QJN480" s="1831"/>
      <c r="QJO480" s="1831"/>
      <c r="QJP480" s="1831"/>
      <c r="QJQ480" s="1831"/>
      <c r="QJR480" s="1831"/>
      <c r="QJS480" s="1831"/>
      <c r="QJT480" s="1831"/>
      <c r="QJU480" s="1831"/>
      <c r="QJV480" s="1831"/>
      <c r="QJW480" s="1831"/>
      <c r="QJX480" s="1831"/>
      <c r="QJY480" s="1831"/>
      <c r="QJZ480" s="1831"/>
      <c r="QKA480" s="1831"/>
      <c r="QKB480" s="1831"/>
      <c r="QKC480" s="1831"/>
      <c r="QKD480" s="1831"/>
      <c r="QKE480" s="1831"/>
      <c r="QKF480" s="1831"/>
      <c r="QKG480" s="1831"/>
      <c r="QKH480" s="1831"/>
      <c r="QKI480" s="1831"/>
      <c r="QKJ480" s="1831"/>
      <c r="QKK480" s="1831"/>
      <c r="QKL480" s="1831"/>
      <c r="QKM480" s="1831"/>
      <c r="QKN480" s="1831"/>
      <c r="QKO480" s="1831"/>
      <c r="QKP480" s="1831"/>
      <c r="QKQ480" s="1831"/>
      <c r="QKR480" s="1831"/>
      <c r="QKS480" s="1831"/>
      <c r="QKT480" s="1831"/>
      <c r="QKU480" s="1831"/>
      <c r="QKV480" s="1831"/>
      <c r="QKW480" s="1831"/>
      <c r="QKX480" s="1831"/>
      <c r="QKY480" s="1831"/>
      <c r="QKZ480" s="1831"/>
      <c r="QLA480" s="1831"/>
      <c r="QLB480" s="1831"/>
      <c r="QLC480" s="1831"/>
      <c r="QLD480" s="1831"/>
      <c r="QLE480" s="1831"/>
      <c r="QLF480" s="1831"/>
      <c r="QLG480" s="1831"/>
      <c r="QLH480" s="1831"/>
      <c r="QLI480" s="1831"/>
      <c r="QLJ480" s="1831"/>
      <c r="QLK480" s="1831"/>
      <c r="QLL480" s="1831"/>
      <c r="QLM480" s="1831"/>
      <c r="QLN480" s="1831"/>
      <c r="QLO480" s="1831"/>
      <c r="QLP480" s="1831"/>
      <c r="QLQ480" s="1831"/>
      <c r="QLR480" s="1831"/>
      <c r="QLS480" s="1831"/>
      <c r="QLT480" s="1831"/>
      <c r="QLU480" s="1831"/>
      <c r="QLV480" s="1831"/>
      <c r="QLW480" s="1831"/>
      <c r="QLX480" s="1831"/>
      <c r="QLY480" s="1831"/>
      <c r="QLZ480" s="1831"/>
      <c r="QMA480" s="1831"/>
      <c r="QMB480" s="1831"/>
      <c r="QMC480" s="1831"/>
      <c r="QMD480" s="1831"/>
      <c r="QME480" s="1831"/>
      <c r="QMF480" s="1831"/>
      <c r="QMG480" s="1831"/>
      <c r="QMH480" s="1831"/>
      <c r="QMI480" s="1831"/>
      <c r="QMJ480" s="1831"/>
      <c r="QMK480" s="1831"/>
      <c r="QML480" s="1831"/>
      <c r="QMM480" s="1831"/>
      <c r="QMN480" s="1831"/>
      <c r="QMO480" s="1831"/>
      <c r="QMP480" s="1831"/>
      <c r="QMQ480" s="1831"/>
      <c r="QMR480" s="1831"/>
      <c r="QMS480" s="1831"/>
      <c r="QMT480" s="1831"/>
      <c r="QMU480" s="1831"/>
      <c r="QMV480" s="1831"/>
      <c r="QMW480" s="1831"/>
      <c r="QMX480" s="1831"/>
      <c r="QMY480" s="1831"/>
      <c r="QMZ480" s="1831"/>
      <c r="QNA480" s="1831"/>
      <c r="QNB480" s="1831"/>
      <c r="QNC480" s="1831"/>
      <c r="QND480" s="1831"/>
      <c r="QNE480" s="1831"/>
      <c r="QNF480" s="1831"/>
      <c r="QNG480" s="1831"/>
      <c r="QNH480" s="1831"/>
      <c r="QNI480" s="1831"/>
      <c r="QNJ480" s="1831"/>
      <c r="QNK480" s="1831"/>
      <c r="QNL480" s="1831"/>
      <c r="QNM480" s="1831"/>
      <c r="QNN480" s="1831"/>
      <c r="QNO480" s="1831"/>
      <c r="QNP480" s="1831"/>
      <c r="QNQ480" s="1831"/>
      <c r="QNR480" s="1831"/>
      <c r="QNS480" s="1831"/>
      <c r="QNT480" s="1831"/>
      <c r="QNU480" s="1831"/>
      <c r="QNV480" s="1831"/>
      <c r="QNW480" s="1831"/>
      <c r="QNX480" s="1831"/>
      <c r="QNY480" s="1831"/>
      <c r="QNZ480" s="1831"/>
      <c r="QOA480" s="1831"/>
      <c r="QOB480" s="1831"/>
      <c r="QOC480" s="1831"/>
      <c r="QOD480" s="1831"/>
      <c r="QOE480" s="1831"/>
      <c r="QOF480" s="1831"/>
      <c r="QOG480" s="1831"/>
      <c r="QOH480" s="1831"/>
      <c r="QOI480" s="1831"/>
      <c r="QOJ480" s="1831"/>
      <c r="QOK480" s="1831"/>
      <c r="QOL480" s="1831"/>
      <c r="QOM480" s="1831"/>
      <c r="QON480" s="1831"/>
      <c r="QOO480" s="1831"/>
      <c r="QOP480" s="1831"/>
      <c r="QOQ480" s="1831"/>
      <c r="QOR480" s="1831"/>
      <c r="QOS480" s="1831"/>
      <c r="QOT480" s="1831"/>
      <c r="QOU480" s="1831"/>
      <c r="QOV480" s="1831"/>
      <c r="QOW480" s="1831"/>
      <c r="QOX480" s="1831"/>
      <c r="QOY480" s="1831"/>
      <c r="QOZ480" s="1831"/>
      <c r="QPA480" s="1831"/>
      <c r="QPB480" s="1831"/>
      <c r="QPC480" s="1831"/>
      <c r="QPD480" s="1831"/>
      <c r="QPE480" s="1831"/>
      <c r="QPF480" s="1831"/>
      <c r="QPG480" s="1831"/>
      <c r="QPH480" s="1831"/>
      <c r="QPI480" s="1831"/>
      <c r="QPJ480" s="1831"/>
      <c r="QPK480" s="1831"/>
      <c r="QPL480" s="1831"/>
      <c r="QPM480" s="1831"/>
      <c r="QPN480" s="1831"/>
      <c r="QPO480" s="1831"/>
      <c r="QPP480" s="1831"/>
      <c r="QPQ480" s="1831"/>
      <c r="QPR480" s="1831"/>
      <c r="QPS480" s="1831"/>
      <c r="QPT480" s="1831"/>
      <c r="QPU480" s="1831"/>
      <c r="QPV480" s="1831"/>
      <c r="QPW480" s="1831"/>
      <c r="QPX480" s="1831"/>
      <c r="QPY480" s="1831"/>
      <c r="QPZ480" s="1831"/>
      <c r="QQA480" s="1831"/>
      <c r="QQB480" s="1831"/>
      <c r="QQC480" s="1831"/>
      <c r="QQD480" s="1831"/>
      <c r="QQE480" s="1831"/>
      <c r="QQF480" s="1831"/>
      <c r="QQG480" s="1831"/>
      <c r="QQH480" s="1831"/>
      <c r="QQI480" s="1831"/>
      <c r="QQJ480" s="1831"/>
      <c r="QQK480" s="1831"/>
      <c r="QQL480" s="1831"/>
      <c r="QQM480" s="1831"/>
      <c r="QQN480" s="1831"/>
      <c r="QQO480" s="1831"/>
      <c r="QQP480" s="1831"/>
      <c r="QQQ480" s="1831"/>
      <c r="QQR480" s="1831"/>
      <c r="QQS480" s="1831"/>
      <c r="QQT480" s="1831"/>
      <c r="QQU480" s="1831"/>
      <c r="QQV480" s="1831"/>
      <c r="QQW480" s="1831"/>
      <c r="QQX480" s="1831"/>
      <c r="QQY480" s="1831"/>
      <c r="QQZ480" s="1831"/>
      <c r="QRA480" s="1831"/>
      <c r="QRB480" s="1831"/>
      <c r="QRC480" s="1831"/>
      <c r="QRD480" s="1831"/>
      <c r="QRE480" s="1831"/>
      <c r="QRF480" s="1831"/>
      <c r="QRG480" s="1831"/>
      <c r="QRH480" s="1831"/>
      <c r="QRI480" s="1831"/>
      <c r="QRJ480" s="1831"/>
      <c r="QRK480" s="1831"/>
      <c r="QRL480" s="1831"/>
      <c r="QRM480" s="1831"/>
      <c r="QRN480" s="1831"/>
      <c r="QRO480" s="1831"/>
      <c r="QRP480" s="1831"/>
      <c r="QRQ480" s="1831"/>
      <c r="QRR480" s="1831"/>
      <c r="QRS480" s="1831"/>
      <c r="QRT480" s="1831"/>
      <c r="QRU480" s="1831"/>
      <c r="QRV480" s="1831"/>
      <c r="QRW480" s="1831"/>
      <c r="QRX480" s="1831"/>
      <c r="QRY480" s="1831"/>
      <c r="QRZ480" s="1831"/>
      <c r="QSA480" s="1831"/>
      <c r="QSB480" s="1831"/>
      <c r="QSC480" s="1831"/>
      <c r="QSD480" s="1831"/>
      <c r="QSE480" s="1831"/>
      <c r="QSF480" s="1831"/>
      <c r="QSG480" s="1831"/>
      <c r="QSH480" s="1831"/>
      <c r="QSI480" s="1831"/>
      <c r="QSJ480" s="1831"/>
      <c r="QSK480" s="1831"/>
      <c r="QSL480" s="1831"/>
      <c r="QSM480" s="1831"/>
      <c r="QSN480" s="1831"/>
      <c r="QSO480" s="1831"/>
      <c r="QSP480" s="1831"/>
      <c r="QSQ480" s="1831"/>
      <c r="QSR480" s="1831"/>
      <c r="QSS480" s="1831"/>
      <c r="QST480" s="1831"/>
      <c r="QSU480" s="1831"/>
      <c r="QSV480" s="1831"/>
      <c r="QSW480" s="1831"/>
      <c r="QSX480" s="1831"/>
      <c r="QSY480" s="1831"/>
      <c r="QSZ480" s="1831"/>
      <c r="QTA480" s="1831"/>
      <c r="QTB480" s="1831"/>
      <c r="QTC480" s="1831"/>
      <c r="QTD480" s="1831"/>
      <c r="QTE480" s="1831"/>
      <c r="QTF480" s="1831"/>
      <c r="QTG480" s="1831"/>
      <c r="QTH480" s="1831"/>
      <c r="QTI480" s="1831"/>
      <c r="QTJ480" s="1831"/>
      <c r="QTK480" s="1831"/>
      <c r="QTL480" s="1831"/>
      <c r="QTM480" s="1831"/>
      <c r="QTN480" s="1831"/>
      <c r="QTO480" s="1831"/>
      <c r="QTP480" s="1831"/>
      <c r="QTQ480" s="1831"/>
      <c r="QTR480" s="1831"/>
      <c r="QTS480" s="1831"/>
      <c r="QTT480" s="1831"/>
      <c r="QTU480" s="1831"/>
      <c r="QTV480" s="1831"/>
      <c r="QTW480" s="1831"/>
      <c r="QTX480" s="1831"/>
      <c r="QTY480" s="1831"/>
      <c r="QTZ480" s="1831"/>
      <c r="QUA480" s="1831"/>
      <c r="QUB480" s="1831"/>
      <c r="QUC480" s="1831"/>
      <c r="QUD480" s="1831"/>
      <c r="QUE480" s="1831"/>
      <c r="QUF480" s="1831"/>
      <c r="QUG480" s="1831"/>
      <c r="QUH480" s="1831"/>
      <c r="QUI480" s="1831"/>
      <c r="QUJ480" s="1831"/>
      <c r="QUK480" s="1831"/>
      <c r="QUL480" s="1831"/>
      <c r="QUM480" s="1831"/>
      <c r="QUN480" s="1831"/>
      <c r="QUO480" s="1831"/>
      <c r="QUP480" s="1831"/>
      <c r="QUQ480" s="1831"/>
      <c r="QUR480" s="1831"/>
      <c r="QUS480" s="1831"/>
      <c r="QUT480" s="1831"/>
      <c r="QUU480" s="1831"/>
      <c r="QUV480" s="1831"/>
      <c r="QUW480" s="1831"/>
      <c r="QUX480" s="1831"/>
      <c r="QUY480" s="1831"/>
      <c r="QUZ480" s="1831"/>
      <c r="QVA480" s="1831"/>
      <c r="QVB480" s="1831"/>
      <c r="QVC480" s="1831"/>
      <c r="QVD480" s="1831"/>
      <c r="QVE480" s="1831"/>
      <c r="QVF480" s="1831"/>
      <c r="QVG480" s="1831"/>
      <c r="QVH480" s="1831"/>
      <c r="QVI480" s="1831"/>
      <c r="QVJ480" s="1831"/>
      <c r="QVK480" s="1831"/>
      <c r="QVL480" s="1831"/>
      <c r="QVM480" s="1831"/>
      <c r="QVN480" s="1831"/>
      <c r="QVO480" s="1831"/>
      <c r="QVP480" s="1831"/>
      <c r="QVQ480" s="1831"/>
      <c r="QVR480" s="1831"/>
      <c r="QVS480" s="1831"/>
      <c r="QVT480" s="1831"/>
      <c r="QVU480" s="1831"/>
      <c r="QVV480" s="1831"/>
      <c r="QVW480" s="1831"/>
      <c r="QVX480" s="1831"/>
      <c r="QVY480" s="1831"/>
      <c r="QVZ480" s="1831"/>
      <c r="QWA480" s="1831"/>
      <c r="QWB480" s="1831"/>
      <c r="QWC480" s="1831"/>
      <c r="QWD480" s="1831"/>
      <c r="QWE480" s="1831"/>
      <c r="QWF480" s="1831"/>
      <c r="QWG480" s="1831"/>
      <c r="QWH480" s="1831"/>
      <c r="QWI480" s="1831"/>
      <c r="QWJ480" s="1831"/>
      <c r="QWK480" s="1831"/>
      <c r="QWL480" s="1831"/>
      <c r="QWM480" s="1831"/>
      <c r="QWN480" s="1831"/>
      <c r="QWO480" s="1831"/>
      <c r="QWP480" s="1831"/>
      <c r="QWQ480" s="1831"/>
      <c r="QWR480" s="1831"/>
      <c r="QWS480" s="1831"/>
      <c r="QWT480" s="1831"/>
      <c r="QWU480" s="1831"/>
      <c r="QWV480" s="1831"/>
      <c r="QWW480" s="1831"/>
      <c r="QWX480" s="1831"/>
      <c r="QWY480" s="1831"/>
      <c r="QWZ480" s="1831"/>
      <c r="QXA480" s="1831"/>
      <c r="QXB480" s="1831"/>
      <c r="QXC480" s="1831"/>
      <c r="QXD480" s="1831"/>
      <c r="QXE480" s="1831"/>
      <c r="QXF480" s="1831"/>
      <c r="QXG480" s="1831"/>
      <c r="QXH480" s="1831"/>
      <c r="QXI480" s="1831"/>
      <c r="QXJ480" s="1831"/>
      <c r="QXK480" s="1831"/>
      <c r="QXL480" s="1831"/>
      <c r="QXM480" s="1831"/>
      <c r="QXN480" s="1831"/>
      <c r="QXO480" s="1831"/>
      <c r="QXP480" s="1831"/>
      <c r="QXQ480" s="1831"/>
      <c r="QXR480" s="1831"/>
      <c r="QXS480" s="1831"/>
      <c r="QXT480" s="1831"/>
      <c r="QXU480" s="1831"/>
      <c r="QXV480" s="1831"/>
      <c r="QXW480" s="1831"/>
      <c r="QXX480" s="1831"/>
      <c r="QXY480" s="1831"/>
      <c r="QXZ480" s="1831"/>
      <c r="QYA480" s="1831"/>
      <c r="QYB480" s="1831"/>
      <c r="QYC480" s="1831"/>
      <c r="QYD480" s="1831"/>
      <c r="QYE480" s="1831"/>
      <c r="QYF480" s="1831"/>
      <c r="QYG480" s="1831"/>
      <c r="QYH480" s="1831"/>
      <c r="QYI480" s="1831"/>
      <c r="QYJ480" s="1831"/>
      <c r="QYK480" s="1831"/>
      <c r="QYL480" s="1831"/>
      <c r="QYM480" s="1831"/>
      <c r="QYN480" s="1831"/>
      <c r="QYO480" s="1831"/>
      <c r="QYP480" s="1831"/>
      <c r="QYQ480" s="1831"/>
      <c r="QYR480" s="1831"/>
      <c r="QYS480" s="1831"/>
      <c r="QYT480" s="1831"/>
      <c r="QYU480" s="1831"/>
      <c r="QYV480" s="1831"/>
      <c r="QYW480" s="1831"/>
      <c r="QYX480" s="1831"/>
      <c r="QYY480" s="1831"/>
      <c r="QYZ480" s="1831"/>
      <c r="QZA480" s="1831"/>
      <c r="QZB480" s="1831"/>
      <c r="QZC480" s="1831"/>
      <c r="QZD480" s="1831"/>
      <c r="QZE480" s="1831"/>
      <c r="QZF480" s="1831"/>
      <c r="QZG480" s="1831"/>
      <c r="QZH480" s="1831"/>
      <c r="QZI480" s="1831"/>
      <c r="QZJ480" s="1831"/>
      <c r="QZK480" s="1831"/>
      <c r="QZL480" s="1831"/>
      <c r="QZM480" s="1831"/>
      <c r="QZN480" s="1831"/>
      <c r="QZO480" s="1831"/>
      <c r="QZP480" s="1831"/>
      <c r="QZQ480" s="1831"/>
      <c r="QZR480" s="1831"/>
      <c r="QZS480" s="1831"/>
      <c r="QZT480" s="1831"/>
      <c r="QZU480" s="1831"/>
      <c r="QZV480" s="1831"/>
      <c r="QZW480" s="1831"/>
      <c r="QZX480" s="1831"/>
      <c r="QZY480" s="1831"/>
      <c r="QZZ480" s="1831"/>
      <c r="RAA480" s="1831"/>
      <c r="RAB480" s="1831"/>
      <c r="RAC480" s="1831"/>
      <c r="RAD480" s="1831"/>
      <c r="RAE480" s="1831"/>
      <c r="RAF480" s="1831"/>
      <c r="RAG480" s="1831"/>
      <c r="RAH480" s="1831"/>
      <c r="RAI480" s="1831"/>
      <c r="RAJ480" s="1831"/>
      <c r="RAK480" s="1831"/>
      <c r="RAL480" s="1831"/>
      <c r="RAM480" s="1831"/>
      <c r="RAN480" s="1831"/>
      <c r="RAO480" s="1831"/>
      <c r="RAP480" s="1831"/>
      <c r="RAQ480" s="1831"/>
      <c r="RAR480" s="1831"/>
      <c r="RAS480" s="1831"/>
      <c r="RAT480" s="1831"/>
      <c r="RAU480" s="1831"/>
      <c r="RAV480" s="1831"/>
      <c r="RAW480" s="1831"/>
      <c r="RAX480" s="1831"/>
      <c r="RAY480" s="1831"/>
      <c r="RAZ480" s="1831"/>
      <c r="RBA480" s="1831"/>
      <c r="RBB480" s="1831"/>
      <c r="RBC480" s="1831"/>
      <c r="RBD480" s="1831"/>
      <c r="RBE480" s="1831"/>
      <c r="RBF480" s="1831"/>
      <c r="RBG480" s="1831"/>
      <c r="RBH480" s="1831"/>
      <c r="RBI480" s="1831"/>
      <c r="RBJ480" s="1831"/>
      <c r="RBK480" s="1831"/>
      <c r="RBL480" s="1831"/>
      <c r="RBM480" s="1831"/>
      <c r="RBN480" s="1831"/>
      <c r="RBO480" s="1831"/>
      <c r="RBP480" s="1831"/>
      <c r="RBQ480" s="1831"/>
      <c r="RBR480" s="1831"/>
      <c r="RBS480" s="1831"/>
      <c r="RBT480" s="1831"/>
      <c r="RBU480" s="1831"/>
      <c r="RBV480" s="1831"/>
      <c r="RBW480" s="1831"/>
      <c r="RBX480" s="1831"/>
      <c r="RBY480" s="1831"/>
      <c r="RBZ480" s="1831"/>
      <c r="RCA480" s="1831"/>
      <c r="RCB480" s="1831"/>
      <c r="RCC480" s="1831"/>
      <c r="RCD480" s="1831"/>
      <c r="RCE480" s="1831"/>
      <c r="RCF480" s="1831"/>
      <c r="RCG480" s="1831"/>
      <c r="RCH480" s="1831"/>
      <c r="RCI480" s="1831"/>
      <c r="RCJ480" s="1831"/>
      <c r="RCK480" s="1831"/>
      <c r="RCL480" s="1831"/>
      <c r="RCM480" s="1831"/>
      <c r="RCN480" s="1831"/>
      <c r="RCO480" s="1831"/>
      <c r="RCP480" s="1831"/>
      <c r="RCQ480" s="1831"/>
      <c r="RCR480" s="1831"/>
      <c r="RCS480" s="1831"/>
      <c r="RCT480" s="1831"/>
      <c r="RCU480" s="1831"/>
      <c r="RCV480" s="1831"/>
      <c r="RCW480" s="1831"/>
      <c r="RCX480" s="1831"/>
      <c r="RCY480" s="1831"/>
      <c r="RCZ480" s="1831"/>
      <c r="RDA480" s="1831"/>
      <c r="RDB480" s="1831"/>
      <c r="RDC480" s="1831"/>
      <c r="RDD480" s="1831"/>
      <c r="RDE480" s="1831"/>
      <c r="RDF480" s="1831"/>
      <c r="RDG480" s="1831"/>
      <c r="RDH480" s="1831"/>
      <c r="RDI480" s="1831"/>
      <c r="RDJ480" s="1831"/>
      <c r="RDK480" s="1831"/>
      <c r="RDL480" s="1831"/>
      <c r="RDM480" s="1831"/>
      <c r="RDN480" s="1831"/>
      <c r="RDO480" s="1831"/>
      <c r="RDP480" s="1831"/>
      <c r="RDQ480" s="1831"/>
      <c r="RDR480" s="1831"/>
      <c r="RDS480" s="1831"/>
      <c r="RDT480" s="1831"/>
      <c r="RDU480" s="1831"/>
      <c r="RDV480" s="1831"/>
      <c r="RDW480" s="1831"/>
      <c r="RDX480" s="1831"/>
      <c r="RDY480" s="1831"/>
      <c r="RDZ480" s="1831"/>
      <c r="REA480" s="1831"/>
      <c r="REB480" s="1831"/>
      <c r="REC480" s="1831"/>
      <c r="RED480" s="1831"/>
      <c r="REE480" s="1831"/>
      <c r="REF480" s="1831"/>
      <c r="REG480" s="1831"/>
      <c r="REH480" s="1831"/>
      <c r="REI480" s="1831"/>
      <c r="REJ480" s="1831"/>
      <c r="REK480" s="1831"/>
      <c r="REL480" s="1831"/>
      <c r="REM480" s="1831"/>
      <c r="REN480" s="1831"/>
      <c r="REO480" s="1831"/>
      <c r="REP480" s="1831"/>
      <c r="REQ480" s="1831"/>
      <c r="RER480" s="1831"/>
      <c r="RES480" s="1831"/>
      <c r="RET480" s="1831"/>
      <c r="REU480" s="1831"/>
      <c r="REV480" s="1831"/>
      <c r="REW480" s="1831"/>
      <c r="REX480" s="1831"/>
      <c r="REY480" s="1831"/>
      <c r="REZ480" s="1831"/>
      <c r="RFA480" s="1831"/>
      <c r="RFB480" s="1831"/>
      <c r="RFC480" s="1831"/>
      <c r="RFD480" s="1831"/>
      <c r="RFE480" s="1831"/>
      <c r="RFF480" s="1831"/>
      <c r="RFG480" s="1831"/>
      <c r="RFH480" s="1831"/>
      <c r="RFI480" s="1831"/>
      <c r="RFJ480" s="1831"/>
      <c r="RFK480" s="1831"/>
      <c r="RFL480" s="1831"/>
      <c r="RFM480" s="1831"/>
      <c r="RFN480" s="1831"/>
      <c r="RFO480" s="1831"/>
      <c r="RFP480" s="1831"/>
      <c r="RFQ480" s="1831"/>
      <c r="RFR480" s="1831"/>
      <c r="RFS480" s="1831"/>
      <c r="RFT480" s="1831"/>
      <c r="RFU480" s="1831"/>
      <c r="RFV480" s="1831"/>
      <c r="RFW480" s="1831"/>
      <c r="RFX480" s="1831"/>
      <c r="RFY480" s="1831"/>
      <c r="RFZ480" s="1831"/>
      <c r="RGA480" s="1831"/>
      <c r="RGB480" s="1831"/>
      <c r="RGC480" s="1831"/>
      <c r="RGD480" s="1831"/>
      <c r="RGE480" s="1831"/>
      <c r="RGF480" s="1831"/>
      <c r="RGG480" s="1831"/>
      <c r="RGH480" s="1831"/>
      <c r="RGI480" s="1831"/>
      <c r="RGJ480" s="1831"/>
      <c r="RGK480" s="1831"/>
      <c r="RGL480" s="1831"/>
      <c r="RGM480" s="1831"/>
      <c r="RGN480" s="1831"/>
      <c r="RGO480" s="1831"/>
      <c r="RGP480" s="1831"/>
      <c r="RGQ480" s="1831"/>
      <c r="RGR480" s="1831"/>
      <c r="RGS480" s="1831"/>
      <c r="RGT480" s="1831"/>
      <c r="RGU480" s="1831"/>
      <c r="RGV480" s="1831"/>
      <c r="RGW480" s="1831"/>
      <c r="RGX480" s="1831"/>
      <c r="RGY480" s="1831"/>
      <c r="RGZ480" s="1831"/>
      <c r="RHA480" s="1831"/>
      <c r="RHB480" s="1831"/>
      <c r="RHC480" s="1831"/>
      <c r="RHD480" s="1831"/>
      <c r="RHE480" s="1831"/>
      <c r="RHF480" s="1831"/>
      <c r="RHG480" s="1831"/>
      <c r="RHH480" s="1831"/>
      <c r="RHI480" s="1831"/>
      <c r="RHJ480" s="1831"/>
      <c r="RHK480" s="1831"/>
      <c r="RHL480" s="1831"/>
      <c r="RHM480" s="1831"/>
      <c r="RHN480" s="1831"/>
      <c r="RHO480" s="1831"/>
      <c r="RHP480" s="1831"/>
      <c r="RHQ480" s="1831"/>
      <c r="RHR480" s="1831"/>
      <c r="RHS480" s="1831"/>
      <c r="RHT480" s="1831"/>
      <c r="RHU480" s="1831"/>
      <c r="RHV480" s="1831"/>
      <c r="RHW480" s="1831"/>
      <c r="RHX480" s="1831"/>
      <c r="RHY480" s="1831"/>
      <c r="RHZ480" s="1831"/>
      <c r="RIA480" s="1831"/>
      <c r="RIB480" s="1831"/>
      <c r="RIC480" s="1831"/>
      <c r="RID480" s="1831"/>
      <c r="RIE480" s="1831"/>
      <c r="RIF480" s="1831"/>
      <c r="RIG480" s="1831"/>
      <c r="RIH480" s="1831"/>
      <c r="RII480" s="1831"/>
      <c r="RIJ480" s="1831"/>
      <c r="RIK480" s="1831"/>
      <c r="RIL480" s="1831"/>
      <c r="RIM480" s="1831"/>
      <c r="RIN480" s="1831"/>
      <c r="RIO480" s="1831"/>
      <c r="RIP480" s="1831"/>
      <c r="RIQ480" s="1831"/>
      <c r="RIR480" s="1831"/>
      <c r="RIS480" s="1831"/>
      <c r="RIT480" s="1831"/>
      <c r="RIU480" s="1831"/>
      <c r="RIV480" s="1831"/>
      <c r="RIW480" s="1831"/>
      <c r="RIX480" s="1831"/>
      <c r="RIY480" s="1831"/>
      <c r="RIZ480" s="1831"/>
      <c r="RJA480" s="1831"/>
      <c r="RJB480" s="1831"/>
      <c r="RJC480" s="1831"/>
      <c r="RJD480" s="1831"/>
      <c r="RJE480" s="1831"/>
      <c r="RJF480" s="1831"/>
      <c r="RJG480" s="1831"/>
      <c r="RJH480" s="1831"/>
      <c r="RJI480" s="1831"/>
      <c r="RJJ480" s="1831"/>
      <c r="RJK480" s="1831"/>
      <c r="RJL480" s="1831"/>
      <c r="RJM480" s="1831"/>
      <c r="RJN480" s="1831"/>
      <c r="RJO480" s="1831"/>
      <c r="RJP480" s="1831"/>
      <c r="RJQ480" s="1831"/>
      <c r="RJR480" s="1831"/>
      <c r="RJS480" s="1831"/>
      <c r="RJT480" s="1831"/>
      <c r="RJU480" s="1831"/>
      <c r="RJV480" s="1831"/>
      <c r="RJW480" s="1831"/>
      <c r="RJX480" s="1831"/>
      <c r="RJY480" s="1831"/>
      <c r="RJZ480" s="1831"/>
      <c r="RKA480" s="1831"/>
      <c r="RKB480" s="1831"/>
      <c r="RKC480" s="1831"/>
      <c r="RKD480" s="1831"/>
      <c r="RKE480" s="1831"/>
      <c r="RKF480" s="1831"/>
      <c r="RKG480" s="1831"/>
      <c r="RKH480" s="1831"/>
      <c r="RKI480" s="1831"/>
      <c r="RKJ480" s="1831"/>
      <c r="RKK480" s="1831"/>
      <c r="RKL480" s="1831"/>
      <c r="RKM480" s="1831"/>
      <c r="RKN480" s="1831"/>
      <c r="RKO480" s="1831"/>
      <c r="RKP480" s="1831"/>
      <c r="RKQ480" s="1831"/>
      <c r="RKR480" s="1831"/>
      <c r="RKS480" s="1831"/>
      <c r="RKT480" s="1831"/>
      <c r="RKU480" s="1831"/>
      <c r="RKV480" s="1831"/>
      <c r="RKW480" s="1831"/>
      <c r="RKX480" s="1831"/>
      <c r="RKY480" s="1831"/>
      <c r="RKZ480" s="1831"/>
      <c r="RLA480" s="1831"/>
      <c r="RLB480" s="1831"/>
      <c r="RLC480" s="1831"/>
      <c r="RLD480" s="1831"/>
      <c r="RLE480" s="1831"/>
      <c r="RLF480" s="1831"/>
      <c r="RLG480" s="1831"/>
      <c r="RLH480" s="1831"/>
      <c r="RLI480" s="1831"/>
      <c r="RLJ480" s="1831"/>
      <c r="RLK480" s="1831"/>
      <c r="RLL480" s="1831"/>
      <c r="RLM480" s="1831"/>
      <c r="RLN480" s="1831"/>
      <c r="RLO480" s="1831"/>
      <c r="RLP480" s="1831"/>
      <c r="RLQ480" s="1831"/>
      <c r="RLR480" s="1831"/>
      <c r="RLS480" s="1831"/>
      <c r="RLT480" s="1831"/>
      <c r="RLU480" s="1831"/>
      <c r="RLV480" s="1831"/>
      <c r="RLW480" s="1831"/>
      <c r="RLX480" s="1831"/>
      <c r="RLY480" s="1831"/>
      <c r="RLZ480" s="1831"/>
      <c r="RMA480" s="1831"/>
      <c r="RMB480" s="1831"/>
      <c r="RMC480" s="1831"/>
      <c r="RMD480" s="1831"/>
      <c r="RME480" s="1831"/>
      <c r="RMF480" s="1831"/>
      <c r="RMG480" s="1831"/>
      <c r="RMH480" s="1831"/>
      <c r="RMI480" s="1831"/>
      <c r="RMJ480" s="1831"/>
      <c r="RMK480" s="1831"/>
      <c r="RML480" s="1831"/>
      <c r="RMM480" s="1831"/>
      <c r="RMN480" s="1831"/>
      <c r="RMO480" s="1831"/>
      <c r="RMP480" s="1831"/>
      <c r="RMQ480" s="1831"/>
      <c r="RMR480" s="1831"/>
      <c r="RMS480" s="1831"/>
      <c r="RMT480" s="1831"/>
      <c r="RMU480" s="1831"/>
      <c r="RMV480" s="1831"/>
      <c r="RMW480" s="1831"/>
      <c r="RMX480" s="1831"/>
      <c r="RMY480" s="1831"/>
      <c r="RMZ480" s="1831"/>
      <c r="RNA480" s="1831"/>
      <c r="RNB480" s="1831"/>
      <c r="RNC480" s="1831"/>
      <c r="RND480" s="1831"/>
      <c r="RNE480" s="1831"/>
      <c r="RNF480" s="1831"/>
      <c r="RNG480" s="1831"/>
      <c r="RNH480" s="1831"/>
      <c r="RNI480" s="1831"/>
      <c r="RNJ480" s="1831"/>
      <c r="RNK480" s="1831"/>
      <c r="RNL480" s="1831"/>
      <c r="RNM480" s="1831"/>
      <c r="RNN480" s="1831"/>
      <c r="RNO480" s="1831"/>
      <c r="RNP480" s="1831"/>
      <c r="RNQ480" s="1831"/>
      <c r="RNR480" s="1831"/>
      <c r="RNS480" s="1831"/>
      <c r="RNT480" s="1831"/>
      <c r="RNU480" s="1831"/>
      <c r="RNV480" s="1831"/>
      <c r="RNW480" s="1831"/>
      <c r="RNX480" s="1831"/>
      <c r="RNY480" s="1831"/>
      <c r="RNZ480" s="1831"/>
      <c r="ROA480" s="1831"/>
      <c r="ROB480" s="1831"/>
      <c r="ROC480" s="1831"/>
      <c r="ROD480" s="1831"/>
      <c r="ROE480" s="1831"/>
      <c r="ROF480" s="1831"/>
      <c r="ROG480" s="1831"/>
      <c r="ROH480" s="1831"/>
      <c r="ROI480" s="1831"/>
      <c r="ROJ480" s="1831"/>
      <c r="ROK480" s="1831"/>
      <c r="ROL480" s="1831"/>
      <c r="ROM480" s="1831"/>
      <c r="RON480" s="1831"/>
      <c r="ROO480" s="1831"/>
      <c r="ROP480" s="1831"/>
      <c r="ROQ480" s="1831"/>
      <c r="ROR480" s="1831"/>
      <c r="ROS480" s="1831"/>
      <c r="ROT480" s="1831"/>
      <c r="ROU480" s="1831"/>
      <c r="ROV480" s="1831"/>
      <c r="ROW480" s="1831"/>
      <c r="ROX480" s="1831"/>
      <c r="ROY480" s="1831"/>
      <c r="ROZ480" s="1831"/>
      <c r="RPA480" s="1831"/>
      <c r="RPB480" s="1831"/>
      <c r="RPC480" s="1831"/>
      <c r="RPD480" s="1831"/>
      <c r="RPE480" s="1831"/>
      <c r="RPF480" s="1831"/>
      <c r="RPG480" s="1831"/>
      <c r="RPH480" s="1831"/>
      <c r="RPI480" s="1831"/>
      <c r="RPJ480" s="1831"/>
      <c r="RPK480" s="1831"/>
      <c r="RPL480" s="1831"/>
      <c r="RPM480" s="1831"/>
      <c r="RPN480" s="1831"/>
      <c r="RPO480" s="1831"/>
      <c r="RPP480" s="1831"/>
      <c r="RPQ480" s="1831"/>
      <c r="RPR480" s="1831"/>
      <c r="RPS480" s="1831"/>
      <c r="RPT480" s="1831"/>
      <c r="RPU480" s="1831"/>
      <c r="RPV480" s="1831"/>
      <c r="RPW480" s="1831"/>
      <c r="RPX480" s="1831"/>
      <c r="RPY480" s="1831"/>
      <c r="RPZ480" s="1831"/>
      <c r="RQA480" s="1831"/>
      <c r="RQB480" s="1831"/>
      <c r="RQC480" s="1831"/>
      <c r="RQD480" s="1831"/>
      <c r="RQE480" s="1831"/>
      <c r="RQF480" s="1831"/>
      <c r="RQG480" s="1831"/>
      <c r="RQH480" s="1831"/>
      <c r="RQI480" s="1831"/>
      <c r="RQJ480" s="1831"/>
      <c r="RQK480" s="1831"/>
      <c r="RQL480" s="1831"/>
      <c r="RQM480" s="1831"/>
      <c r="RQN480" s="1831"/>
      <c r="RQO480" s="1831"/>
      <c r="RQP480" s="1831"/>
      <c r="RQQ480" s="1831"/>
      <c r="RQR480" s="1831"/>
      <c r="RQS480" s="1831"/>
      <c r="RQT480" s="1831"/>
      <c r="RQU480" s="1831"/>
      <c r="RQV480" s="1831"/>
      <c r="RQW480" s="1831"/>
      <c r="RQX480" s="1831"/>
      <c r="RQY480" s="1831"/>
      <c r="RQZ480" s="1831"/>
      <c r="RRA480" s="1831"/>
      <c r="RRB480" s="1831"/>
      <c r="RRC480" s="1831"/>
      <c r="RRD480" s="1831"/>
      <c r="RRE480" s="1831"/>
      <c r="RRF480" s="1831"/>
      <c r="RRG480" s="1831"/>
      <c r="RRH480" s="1831"/>
      <c r="RRI480" s="1831"/>
      <c r="RRJ480" s="1831"/>
      <c r="RRK480" s="1831"/>
      <c r="RRL480" s="1831"/>
      <c r="RRM480" s="1831"/>
      <c r="RRN480" s="1831"/>
      <c r="RRO480" s="1831"/>
      <c r="RRP480" s="1831"/>
      <c r="RRQ480" s="1831"/>
      <c r="RRR480" s="1831"/>
      <c r="RRS480" s="1831"/>
      <c r="RRT480" s="1831"/>
      <c r="RRU480" s="1831"/>
      <c r="RRV480" s="1831"/>
      <c r="RRW480" s="1831"/>
      <c r="RRX480" s="1831"/>
      <c r="RRY480" s="1831"/>
      <c r="RRZ480" s="1831"/>
      <c r="RSA480" s="1831"/>
      <c r="RSB480" s="1831"/>
      <c r="RSC480" s="1831"/>
      <c r="RSD480" s="1831"/>
      <c r="RSE480" s="1831"/>
      <c r="RSF480" s="1831"/>
      <c r="RSG480" s="1831"/>
      <c r="RSH480" s="1831"/>
      <c r="RSI480" s="1831"/>
      <c r="RSJ480" s="1831"/>
      <c r="RSK480" s="1831"/>
      <c r="RSL480" s="1831"/>
      <c r="RSM480" s="1831"/>
      <c r="RSN480" s="1831"/>
      <c r="RSO480" s="1831"/>
      <c r="RSP480" s="1831"/>
      <c r="RSQ480" s="1831"/>
      <c r="RSR480" s="1831"/>
      <c r="RSS480" s="1831"/>
      <c r="RST480" s="1831"/>
      <c r="RSU480" s="1831"/>
      <c r="RSV480" s="1831"/>
      <c r="RSW480" s="1831"/>
      <c r="RSX480" s="1831"/>
      <c r="RSY480" s="1831"/>
      <c r="RSZ480" s="1831"/>
      <c r="RTA480" s="1831"/>
      <c r="RTB480" s="1831"/>
      <c r="RTC480" s="1831"/>
      <c r="RTD480" s="1831"/>
      <c r="RTE480" s="1831"/>
      <c r="RTF480" s="1831"/>
      <c r="RTG480" s="1831"/>
      <c r="RTH480" s="1831"/>
      <c r="RTI480" s="1831"/>
      <c r="RTJ480" s="1831"/>
      <c r="RTK480" s="1831"/>
      <c r="RTL480" s="1831"/>
      <c r="RTM480" s="1831"/>
      <c r="RTN480" s="1831"/>
      <c r="RTO480" s="1831"/>
      <c r="RTP480" s="1831"/>
      <c r="RTQ480" s="1831"/>
      <c r="RTR480" s="1831"/>
      <c r="RTS480" s="1831"/>
      <c r="RTT480" s="1831"/>
      <c r="RTU480" s="1831"/>
      <c r="RTV480" s="1831"/>
      <c r="RTW480" s="1831"/>
      <c r="RTX480" s="1831"/>
      <c r="RTY480" s="1831"/>
      <c r="RTZ480" s="1831"/>
      <c r="RUA480" s="1831"/>
      <c r="RUB480" s="1831"/>
      <c r="RUC480" s="1831"/>
      <c r="RUD480" s="1831"/>
      <c r="RUE480" s="1831"/>
      <c r="RUF480" s="1831"/>
      <c r="RUG480" s="1831"/>
      <c r="RUH480" s="1831"/>
      <c r="RUI480" s="1831"/>
      <c r="RUJ480" s="1831"/>
      <c r="RUK480" s="1831"/>
      <c r="RUL480" s="1831"/>
      <c r="RUM480" s="1831"/>
      <c r="RUN480" s="1831"/>
      <c r="RUO480" s="1831"/>
      <c r="RUP480" s="1831"/>
      <c r="RUQ480" s="1831"/>
      <c r="RUR480" s="1831"/>
      <c r="RUS480" s="1831"/>
      <c r="RUT480" s="1831"/>
      <c r="RUU480" s="1831"/>
      <c r="RUV480" s="1831"/>
      <c r="RUW480" s="1831"/>
      <c r="RUX480" s="1831"/>
      <c r="RUY480" s="1831"/>
      <c r="RUZ480" s="1831"/>
      <c r="RVA480" s="1831"/>
      <c r="RVB480" s="1831"/>
      <c r="RVC480" s="1831"/>
      <c r="RVD480" s="1831"/>
      <c r="RVE480" s="1831"/>
      <c r="RVF480" s="1831"/>
      <c r="RVG480" s="1831"/>
      <c r="RVH480" s="1831"/>
      <c r="RVI480" s="1831"/>
      <c r="RVJ480" s="1831"/>
      <c r="RVK480" s="1831"/>
      <c r="RVL480" s="1831"/>
      <c r="RVM480" s="1831"/>
      <c r="RVN480" s="1831"/>
      <c r="RVO480" s="1831"/>
      <c r="RVP480" s="1831"/>
      <c r="RVQ480" s="1831"/>
      <c r="RVR480" s="1831"/>
      <c r="RVS480" s="1831"/>
      <c r="RVT480" s="1831"/>
      <c r="RVU480" s="1831"/>
      <c r="RVV480" s="1831"/>
      <c r="RVW480" s="1831"/>
      <c r="RVX480" s="1831"/>
      <c r="RVY480" s="1831"/>
      <c r="RVZ480" s="1831"/>
      <c r="RWA480" s="1831"/>
      <c r="RWB480" s="1831"/>
      <c r="RWC480" s="1831"/>
      <c r="RWD480" s="1831"/>
      <c r="RWE480" s="1831"/>
      <c r="RWF480" s="1831"/>
      <c r="RWG480" s="1831"/>
      <c r="RWH480" s="1831"/>
      <c r="RWI480" s="1831"/>
      <c r="RWJ480" s="1831"/>
      <c r="RWK480" s="1831"/>
      <c r="RWL480" s="1831"/>
      <c r="RWM480" s="1831"/>
      <c r="RWN480" s="1831"/>
      <c r="RWO480" s="1831"/>
      <c r="RWP480" s="1831"/>
      <c r="RWQ480" s="1831"/>
      <c r="RWR480" s="1831"/>
      <c r="RWS480" s="1831"/>
      <c r="RWT480" s="1831"/>
      <c r="RWU480" s="1831"/>
      <c r="RWV480" s="1831"/>
      <c r="RWW480" s="1831"/>
      <c r="RWX480" s="1831"/>
      <c r="RWY480" s="1831"/>
      <c r="RWZ480" s="1831"/>
      <c r="RXA480" s="1831"/>
      <c r="RXB480" s="1831"/>
      <c r="RXC480" s="1831"/>
      <c r="RXD480" s="1831"/>
      <c r="RXE480" s="1831"/>
      <c r="RXF480" s="1831"/>
      <c r="RXG480" s="1831"/>
      <c r="RXH480" s="1831"/>
      <c r="RXI480" s="1831"/>
      <c r="RXJ480" s="1831"/>
      <c r="RXK480" s="1831"/>
      <c r="RXL480" s="1831"/>
      <c r="RXM480" s="1831"/>
      <c r="RXN480" s="1831"/>
      <c r="RXO480" s="1831"/>
      <c r="RXP480" s="1831"/>
      <c r="RXQ480" s="1831"/>
      <c r="RXR480" s="1831"/>
      <c r="RXS480" s="1831"/>
      <c r="RXT480" s="1831"/>
      <c r="RXU480" s="1831"/>
      <c r="RXV480" s="1831"/>
      <c r="RXW480" s="1831"/>
      <c r="RXX480" s="1831"/>
      <c r="RXY480" s="1831"/>
      <c r="RXZ480" s="1831"/>
      <c r="RYA480" s="1831"/>
      <c r="RYB480" s="1831"/>
      <c r="RYC480" s="1831"/>
      <c r="RYD480" s="1831"/>
      <c r="RYE480" s="1831"/>
      <c r="RYF480" s="1831"/>
      <c r="RYG480" s="1831"/>
      <c r="RYH480" s="1831"/>
      <c r="RYI480" s="1831"/>
      <c r="RYJ480" s="1831"/>
      <c r="RYK480" s="1831"/>
      <c r="RYL480" s="1831"/>
      <c r="RYM480" s="1831"/>
      <c r="RYN480" s="1831"/>
      <c r="RYO480" s="1831"/>
      <c r="RYP480" s="1831"/>
      <c r="RYQ480" s="1831"/>
      <c r="RYR480" s="1831"/>
      <c r="RYS480" s="1831"/>
      <c r="RYT480" s="1831"/>
      <c r="RYU480" s="1831"/>
      <c r="RYV480" s="1831"/>
      <c r="RYW480" s="1831"/>
      <c r="RYX480" s="1831"/>
      <c r="RYY480" s="1831"/>
      <c r="RYZ480" s="1831"/>
      <c r="RZA480" s="1831"/>
      <c r="RZB480" s="1831"/>
      <c r="RZC480" s="1831"/>
      <c r="RZD480" s="1831"/>
      <c r="RZE480" s="1831"/>
      <c r="RZF480" s="1831"/>
      <c r="RZG480" s="1831"/>
      <c r="RZH480" s="1831"/>
      <c r="RZI480" s="1831"/>
      <c r="RZJ480" s="1831"/>
      <c r="RZK480" s="1831"/>
      <c r="RZL480" s="1831"/>
      <c r="RZM480" s="1831"/>
      <c r="RZN480" s="1831"/>
      <c r="RZO480" s="1831"/>
      <c r="RZP480" s="1831"/>
      <c r="RZQ480" s="1831"/>
      <c r="RZR480" s="1831"/>
      <c r="RZS480" s="1831"/>
      <c r="RZT480" s="1831"/>
      <c r="RZU480" s="1831"/>
      <c r="RZV480" s="1831"/>
      <c r="RZW480" s="1831"/>
      <c r="RZX480" s="1831"/>
      <c r="RZY480" s="1831"/>
      <c r="RZZ480" s="1831"/>
      <c r="SAA480" s="1831"/>
      <c r="SAB480" s="1831"/>
      <c r="SAC480" s="1831"/>
      <c r="SAD480" s="1831"/>
      <c r="SAE480" s="1831"/>
      <c r="SAF480" s="1831"/>
      <c r="SAG480" s="1831"/>
      <c r="SAH480" s="1831"/>
      <c r="SAI480" s="1831"/>
      <c r="SAJ480" s="1831"/>
      <c r="SAK480" s="1831"/>
      <c r="SAL480" s="1831"/>
      <c r="SAM480" s="1831"/>
      <c r="SAN480" s="1831"/>
      <c r="SAO480" s="1831"/>
      <c r="SAP480" s="1831"/>
      <c r="SAQ480" s="1831"/>
      <c r="SAR480" s="1831"/>
      <c r="SAS480" s="1831"/>
      <c r="SAT480" s="1831"/>
      <c r="SAU480" s="1831"/>
      <c r="SAV480" s="1831"/>
      <c r="SAW480" s="1831"/>
      <c r="SAX480" s="1831"/>
      <c r="SAY480" s="1831"/>
      <c r="SAZ480" s="1831"/>
      <c r="SBA480" s="1831"/>
      <c r="SBB480" s="1831"/>
      <c r="SBC480" s="1831"/>
      <c r="SBD480" s="1831"/>
      <c r="SBE480" s="1831"/>
      <c r="SBF480" s="1831"/>
      <c r="SBG480" s="1831"/>
      <c r="SBH480" s="1831"/>
      <c r="SBI480" s="1831"/>
      <c r="SBJ480" s="1831"/>
      <c r="SBK480" s="1831"/>
      <c r="SBL480" s="1831"/>
      <c r="SBM480" s="1831"/>
      <c r="SBN480" s="1831"/>
      <c r="SBO480" s="1831"/>
      <c r="SBP480" s="1831"/>
      <c r="SBQ480" s="1831"/>
      <c r="SBR480" s="1831"/>
      <c r="SBS480" s="1831"/>
      <c r="SBT480" s="1831"/>
      <c r="SBU480" s="1831"/>
      <c r="SBV480" s="1831"/>
      <c r="SBW480" s="1831"/>
      <c r="SBX480" s="1831"/>
      <c r="SBY480" s="1831"/>
      <c r="SBZ480" s="1831"/>
      <c r="SCA480" s="1831"/>
      <c r="SCB480" s="1831"/>
      <c r="SCC480" s="1831"/>
      <c r="SCD480" s="1831"/>
      <c r="SCE480" s="1831"/>
      <c r="SCF480" s="1831"/>
      <c r="SCG480" s="1831"/>
      <c r="SCH480" s="1831"/>
      <c r="SCI480" s="1831"/>
      <c r="SCJ480" s="1831"/>
      <c r="SCK480" s="1831"/>
      <c r="SCL480" s="1831"/>
      <c r="SCM480" s="1831"/>
      <c r="SCN480" s="1831"/>
      <c r="SCO480" s="1831"/>
      <c r="SCP480" s="1831"/>
      <c r="SCQ480" s="1831"/>
      <c r="SCR480" s="1831"/>
      <c r="SCS480" s="1831"/>
      <c r="SCT480" s="1831"/>
      <c r="SCU480" s="1831"/>
      <c r="SCV480" s="1831"/>
      <c r="SCW480" s="1831"/>
      <c r="SCX480" s="1831"/>
      <c r="SCY480" s="1831"/>
      <c r="SCZ480" s="1831"/>
      <c r="SDA480" s="1831"/>
      <c r="SDB480" s="1831"/>
      <c r="SDC480" s="1831"/>
      <c r="SDD480" s="1831"/>
      <c r="SDE480" s="1831"/>
      <c r="SDF480" s="1831"/>
      <c r="SDG480" s="1831"/>
      <c r="SDH480" s="1831"/>
      <c r="SDI480" s="1831"/>
      <c r="SDJ480" s="1831"/>
      <c r="SDK480" s="1831"/>
      <c r="SDL480" s="1831"/>
      <c r="SDM480" s="1831"/>
      <c r="SDN480" s="1831"/>
      <c r="SDO480" s="1831"/>
      <c r="SDP480" s="1831"/>
      <c r="SDQ480" s="1831"/>
      <c r="SDR480" s="1831"/>
      <c r="SDS480" s="1831"/>
      <c r="SDT480" s="1831"/>
      <c r="SDU480" s="1831"/>
      <c r="SDV480" s="1831"/>
      <c r="SDW480" s="1831"/>
      <c r="SDX480" s="1831"/>
      <c r="SDY480" s="1831"/>
      <c r="SDZ480" s="1831"/>
      <c r="SEA480" s="1831"/>
      <c r="SEB480" s="1831"/>
      <c r="SEC480" s="1831"/>
      <c r="SED480" s="1831"/>
      <c r="SEE480" s="1831"/>
      <c r="SEF480" s="1831"/>
      <c r="SEG480" s="1831"/>
      <c r="SEH480" s="1831"/>
      <c r="SEI480" s="1831"/>
      <c r="SEJ480" s="1831"/>
      <c r="SEK480" s="1831"/>
      <c r="SEL480" s="1831"/>
      <c r="SEM480" s="1831"/>
      <c r="SEN480" s="1831"/>
      <c r="SEO480" s="1831"/>
      <c r="SEP480" s="1831"/>
      <c r="SEQ480" s="1831"/>
      <c r="SER480" s="1831"/>
      <c r="SES480" s="1831"/>
      <c r="SET480" s="1831"/>
      <c r="SEU480" s="1831"/>
      <c r="SEV480" s="1831"/>
      <c r="SEW480" s="1831"/>
      <c r="SEX480" s="1831"/>
      <c r="SEY480" s="1831"/>
      <c r="SEZ480" s="1831"/>
      <c r="SFA480" s="1831"/>
      <c r="SFB480" s="1831"/>
      <c r="SFC480" s="1831"/>
      <c r="SFD480" s="1831"/>
      <c r="SFE480" s="1831"/>
      <c r="SFF480" s="1831"/>
      <c r="SFG480" s="1831"/>
      <c r="SFH480" s="1831"/>
      <c r="SFI480" s="1831"/>
      <c r="SFJ480" s="1831"/>
      <c r="SFK480" s="1831"/>
      <c r="SFL480" s="1831"/>
      <c r="SFM480" s="1831"/>
      <c r="SFN480" s="1831"/>
      <c r="SFO480" s="1831"/>
      <c r="SFP480" s="1831"/>
      <c r="SFQ480" s="1831"/>
      <c r="SFR480" s="1831"/>
      <c r="SFS480" s="1831"/>
      <c r="SFT480" s="1831"/>
      <c r="SFU480" s="1831"/>
      <c r="SFV480" s="1831"/>
      <c r="SFW480" s="1831"/>
      <c r="SFX480" s="1831"/>
      <c r="SFY480" s="1831"/>
      <c r="SFZ480" s="1831"/>
      <c r="SGA480" s="1831"/>
      <c r="SGB480" s="1831"/>
      <c r="SGC480" s="1831"/>
      <c r="SGD480" s="1831"/>
      <c r="SGE480" s="1831"/>
      <c r="SGF480" s="1831"/>
      <c r="SGG480" s="1831"/>
      <c r="SGH480" s="1831"/>
      <c r="SGI480" s="1831"/>
      <c r="SGJ480" s="1831"/>
      <c r="SGK480" s="1831"/>
      <c r="SGL480" s="1831"/>
      <c r="SGM480" s="1831"/>
      <c r="SGN480" s="1831"/>
      <c r="SGO480" s="1831"/>
      <c r="SGP480" s="1831"/>
      <c r="SGQ480" s="1831"/>
      <c r="SGR480" s="1831"/>
      <c r="SGS480" s="1831"/>
      <c r="SGT480" s="1831"/>
      <c r="SGU480" s="1831"/>
      <c r="SGV480" s="1831"/>
      <c r="SGW480" s="1831"/>
      <c r="SGX480" s="1831"/>
      <c r="SGY480" s="1831"/>
      <c r="SGZ480" s="1831"/>
      <c r="SHA480" s="1831"/>
      <c r="SHB480" s="1831"/>
      <c r="SHC480" s="1831"/>
      <c r="SHD480" s="1831"/>
      <c r="SHE480" s="1831"/>
      <c r="SHF480" s="1831"/>
      <c r="SHG480" s="1831"/>
      <c r="SHH480" s="1831"/>
      <c r="SHI480" s="1831"/>
      <c r="SHJ480" s="1831"/>
      <c r="SHK480" s="1831"/>
      <c r="SHL480" s="1831"/>
      <c r="SHM480" s="1831"/>
      <c r="SHN480" s="1831"/>
      <c r="SHO480" s="1831"/>
      <c r="SHP480" s="1831"/>
      <c r="SHQ480" s="1831"/>
      <c r="SHR480" s="1831"/>
      <c r="SHS480" s="1831"/>
      <c r="SHT480" s="1831"/>
      <c r="SHU480" s="1831"/>
      <c r="SHV480" s="1831"/>
      <c r="SHW480" s="1831"/>
      <c r="SHX480" s="1831"/>
      <c r="SHY480" s="1831"/>
      <c r="SHZ480" s="1831"/>
      <c r="SIA480" s="1831"/>
      <c r="SIB480" s="1831"/>
      <c r="SIC480" s="1831"/>
      <c r="SID480" s="1831"/>
      <c r="SIE480" s="1831"/>
      <c r="SIF480" s="1831"/>
      <c r="SIG480" s="1831"/>
      <c r="SIH480" s="1831"/>
      <c r="SII480" s="1831"/>
      <c r="SIJ480" s="1831"/>
      <c r="SIK480" s="1831"/>
      <c r="SIL480" s="1831"/>
      <c r="SIM480" s="1831"/>
      <c r="SIN480" s="1831"/>
      <c r="SIO480" s="1831"/>
      <c r="SIP480" s="1831"/>
      <c r="SIQ480" s="1831"/>
      <c r="SIR480" s="1831"/>
      <c r="SIS480" s="1831"/>
      <c r="SIT480" s="1831"/>
      <c r="SIU480" s="1831"/>
      <c r="SIV480" s="1831"/>
      <c r="SIW480" s="1831"/>
      <c r="SIX480" s="1831"/>
      <c r="SIY480" s="1831"/>
      <c r="SIZ480" s="1831"/>
      <c r="SJA480" s="1831"/>
      <c r="SJB480" s="1831"/>
      <c r="SJC480" s="1831"/>
      <c r="SJD480" s="1831"/>
      <c r="SJE480" s="1831"/>
      <c r="SJF480" s="1831"/>
      <c r="SJG480" s="1831"/>
      <c r="SJH480" s="1831"/>
      <c r="SJI480" s="1831"/>
      <c r="SJJ480" s="1831"/>
      <c r="SJK480" s="1831"/>
      <c r="SJL480" s="1831"/>
      <c r="SJM480" s="1831"/>
      <c r="SJN480" s="1831"/>
      <c r="SJO480" s="1831"/>
      <c r="SJP480" s="1831"/>
      <c r="SJQ480" s="1831"/>
      <c r="SJR480" s="1831"/>
      <c r="SJS480" s="1831"/>
      <c r="SJT480" s="1831"/>
      <c r="SJU480" s="1831"/>
      <c r="SJV480" s="1831"/>
      <c r="SJW480" s="1831"/>
      <c r="SJX480" s="1831"/>
      <c r="SJY480" s="1831"/>
      <c r="SJZ480" s="1831"/>
      <c r="SKA480" s="1831"/>
      <c r="SKB480" s="1831"/>
      <c r="SKC480" s="1831"/>
      <c r="SKD480" s="1831"/>
      <c r="SKE480" s="1831"/>
      <c r="SKF480" s="1831"/>
      <c r="SKG480" s="1831"/>
      <c r="SKH480" s="1831"/>
      <c r="SKI480" s="1831"/>
      <c r="SKJ480" s="1831"/>
      <c r="SKK480" s="1831"/>
      <c r="SKL480" s="1831"/>
      <c r="SKM480" s="1831"/>
      <c r="SKN480" s="1831"/>
      <c r="SKO480" s="1831"/>
      <c r="SKP480" s="1831"/>
      <c r="SKQ480" s="1831"/>
      <c r="SKR480" s="1831"/>
      <c r="SKS480" s="1831"/>
      <c r="SKT480" s="1831"/>
      <c r="SKU480" s="1831"/>
      <c r="SKV480" s="1831"/>
      <c r="SKW480" s="1831"/>
      <c r="SKX480" s="1831"/>
      <c r="SKY480" s="1831"/>
      <c r="SKZ480" s="1831"/>
      <c r="SLA480" s="1831"/>
      <c r="SLB480" s="1831"/>
      <c r="SLC480" s="1831"/>
      <c r="SLD480" s="1831"/>
      <c r="SLE480" s="1831"/>
      <c r="SLF480" s="1831"/>
      <c r="SLG480" s="1831"/>
      <c r="SLH480" s="1831"/>
      <c r="SLI480" s="1831"/>
      <c r="SLJ480" s="1831"/>
      <c r="SLK480" s="1831"/>
      <c r="SLL480" s="1831"/>
      <c r="SLM480" s="1831"/>
      <c r="SLN480" s="1831"/>
      <c r="SLO480" s="1831"/>
      <c r="SLP480" s="1831"/>
      <c r="SLQ480" s="1831"/>
      <c r="SLR480" s="1831"/>
      <c r="SLS480" s="1831"/>
      <c r="SLT480" s="1831"/>
      <c r="SLU480" s="1831"/>
      <c r="SLV480" s="1831"/>
      <c r="SLW480" s="1831"/>
      <c r="SLX480" s="1831"/>
      <c r="SLY480" s="1831"/>
      <c r="SLZ480" s="1831"/>
      <c r="SMA480" s="1831"/>
      <c r="SMB480" s="1831"/>
      <c r="SMC480" s="1831"/>
      <c r="SMD480" s="1831"/>
      <c r="SME480" s="1831"/>
      <c r="SMF480" s="1831"/>
      <c r="SMG480" s="1831"/>
      <c r="SMH480" s="1831"/>
      <c r="SMI480" s="1831"/>
      <c r="SMJ480" s="1831"/>
      <c r="SMK480" s="1831"/>
      <c r="SML480" s="1831"/>
      <c r="SMM480" s="1831"/>
      <c r="SMN480" s="1831"/>
      <c r="SMO480" s="1831"/>
      <c r="SMP480" s="1831"/>
      <c r="SMQ480" s="1831"/>
      <c r="SMR480" s="1831"/>
      <c r="SMS480" s="1831"/>
      <c r="SMT480" s="1831"/>
      <c r="SMU480" s="1831"/>
      <c r="SMV480" s="1831"/>
      <c r="SMW480" s="1831"/>
      <c r="SMX480" s="1831"/>
      <c r="SMY480" s="1831"/>
      <c r="SMZ480" s="1831"/>
      <c r="SNA480" s="1831"/>
      <c r="SNB480" s="1831"/>
      <c r="SNC480" s="1831"/>
      <c r="SND480" s="1831"/>
      <c r="SNE480" s="1831"/>
      <c r="SNF480" s="1831"/>
      <c r="SNG480" s="1831"/>
      <c r="SNH480" s="1831"/>
      <c r="SNI480" s="1831"/>
      <c r="SNJ480" s="1831"/>
      <c r="SNK480" s="1831"/>
      <c r="SNL480" s="1831"/>
      <c r="SNM480" s="1831"/>
      <c r="SNN480" s="1831"/>
      <c r="SNO480" s="1831"/>
      <c r="SNP480" s="1831"/>
      <c r="SNQ480" s="1831"/>
      <c r="SNR480" s="1831"/>
      <c r="SNS480" s="1831"/>
      <c r="SNT480" s="1831"/>
      <c r="SNU480" s="1831"/>
      <c r="SNV480" s="1831"/>
      <c r="SNW480" s="1831"/>
      <c r="SNX480" s="1831"/>
      <c r="SNY480" s="1831"/>
      <c r="SNZ480" s="1831"/>
      <c r="SOA480" s="1831"/>
      <c r="SOB480" s="1831"/>
      <c r="SOC480" s="1831"/>
      <c r="SOD480" s="1831"/>
      <c r="SOE480" s="1831"/>
      <c r="SOF480" s="1831"/>
      <c r="SOG480" s="1831"/>
      <c r="SOH480" s="1831"/>
      <c r="SOI480" s="1831"/>
      <c r="SOJ480" s="1831"/>
      <c r="SOK480" s="1831"/>
      <c r="SOL480" s="1831"/>
      <c r="SOM480" s="1831"/>
      <c r="SON480" s="1831"/>
      <c r="SOO480" s="1831"/>
      <c r="SOP480" s="1831"/>
      <c r="SOQ480" s="1831"/>
      <c r="SOR480" s="1831"/>
      <c r="SOS480" s="1831"/>
      <c r="SOT480" s="1831"/>
      <c r="SOU480" s="1831"/>
      <c r="SOV480" s="1831"/>
      <c r="SOW480" s="1831"/>
      <c r="SOX480" s="1831"/>
      <c r="SOY480" s="1831"/>
      <c r="SOZ480" s="1831"/>
      <c r="SPA480" s="1831"/>
      <c r="SPB480" s="1831"/>
      <c r="SPC480" s="1831"/>
      <c r="SPD480" s="1831"/>
      <c r="SPE480" s="1831"/>
      <c r="SPF480" s="1831"/>
      <c r="SPG480" s="1831"/>
      <c r="SPH480" s="1831"/>
      <c r="SPI480" s="1831"/>
      <c r="SPJ480" s="1831"/>
      <c r="SPK480" s="1831"/>
      <c r="SPL480" s="1831"/>
      <c r="SPM480" s="1831"/>
      <c r="SPN480" s="1831"/>
      <c r="SPO480" s="1831"/>
      <c r="SPP480" s="1831"/>
      <c r="SPQ480" s="1831"/>
      <c r="SPR480" s="1831"/>
      <c r="SPS480" s="1831"/>
      <c r="SPT480" s="1831"/>
      <c r="SPU480" s="1831"/>
      <c r="SPV480" s="1831"/>
      <c r="SPW480" s="1831"/>
      <c r="SPX480" s="1831"/>
      <c r="SPY480" s="1831"/>
      <c r="SPZ480" s="1831"/>
      <c r="SQA480" s="1831"/>
      <c r="SQB480" s="1831"/>
      <c r="SQC480" s="1831"/>
      <c r="SQD480" s="1831"/>
      <c r="SQE480" s="1831"/>
      <c r="SQF480" s="1831"/>
      <c r="SQG480" s="1831"/>
      <c r="SQH480" s="1831"/>
      <c r="SQI480" s="1831"/>
      <c r="SQJ480" s="1831"/>
      <c r="SQK480" s="1831"/>
      <c r="SQL480" s="1831"/>
      <c r="SQM480" s="1831"/>
      <c r="SQN480" s="1831"/>
      <c r="SQO480" s="1831"/>
      <c r="SQP480" s="1831"/>
      <c r="SQQ480" s="1831"/>
      <c r="SQR480" s="1831"/>
      <c r="SQS480" s="1831"/>
      <c r="SQT480" s="1831"/>
      <c r="SQU480" s="1831"/>
      <c r="SQV480" s="1831"/>
      <c r="SQW480" s="1831"/>
      <c r="SQX480" s="1831"/>
      <c r="SQY480" s="1831"/>
      <c r="SQZ480" s="1831"/>
      <c r="SRA480" s="1831"/>
      <c r="SRB480" s="1831"/>
      <c r="SRC480" s="1831"/>
      <c r="SRD480" s="1831"/>
      <c r="SRE480" s="1831"/>
      <c r="SRF480" s="1831"/>
      <c r="SRG480" s="1831"/>
      <c r="SRH480" s="1831"/>
      <c r="SRI480" s="1831"/>
      <c r="SRJ480" s="1831"/>
      <c r="SRK480" s="1831"/>
      <c r="SRL480" s="1831"/>
      <c r="SRM480" s="1831"/>
      <c r="SRN480" s="1831"/>
      <c r="SRO480" s="1831"/>
      <c r="SRP480" s="1831"/>
      <c r="SRQ480" s="1831"/>
      <c r="SRR480" s="1831"/>
      <c r="SRS480" s="1831"/>
      <c r="SRT480" s="1831"/>
      <c r="SRU480" s="1831"/>
      <c r="SRV480" s="1831"/>
      <c r="SRW480" s="1831"/>
      <c r="SRX480" s="1831"/>
      <c r="SRY480" s="1831"/>
      <c r="SRZ480" s="1831"/>
      <c r="SSA480" s="1831"/>
      <c r="SSB480" s="1831"/>
      <c r="SSC480" s="1831"/>
      <c r="SSD480" s="1831"/>
      <c r="SSE480" s="1831"/>
      <c r="SSF480" s="1831"/>
      <c r="SSG480" s="1831"/>
      <c r="SSH480" s="1831"/>
      <c r="SSI480" s="1831"/>
      <c r="SSJ480" s="1831"/>
      <c r="SSK480" s="1831"/>
      <c r="SSL480" s="1831"/>
      <c r="SSM480" s="1831"/>
      <c r="SSN480" s="1831"/>
      <c r="SSO480" s="1831"/>
      <c r="SSP480" s="1831"/>
      <c r="SSQ480" s="1831"/>
      <c r="SSR480" s="1831"/>
      <c r="SSS480" s="1831"/>
      <c r="SST480" s="1831"/>
      <c r="SSU480" s="1831"/>
      <c r="SSV480" s="1831"/>
      <c r="SSW480" s="1831"/>
      <c r="SSX480" s="1831"/>
      <c r="SSY480" s="1831"/>
      <c r="SSZ480" s="1831"/>
      <c r="STA480" s="1831"/>
      <c r="STB480" s="1831"/>
      <c r="STC480" s="1831"/>
      <c r="STD480" s="1831"/>
      <c r="STE480" s="1831"/>
      <c r="STF480" s="1831"/>
      <c r="STG480" s="1831"/>
      <c r="STH480" s="1831"/>
      <c r="STI480" s="1831"/>
      <c r="STJ480" s="1831"/>
      <c r="STK480" s="1831"/>
      <c r="STL480" s="1831"/>
      <c r="STM480" s="1831"/>
      <c r="STN480" s="1831"/>
      <c r="STO480" s="1831"/>
      <c r="STP480" s="1831"/>
      <c r="STQ480" s="1831"/>
      <c r="STR480" s="1831"/>
      <c r="STS480" s="1831"/>
      <c r="STT480" s="1831"/>
      <c r="STU480" s="1831"/>
      <c r="STV480" s="1831"/>
      <c r="STW480" s="1831"/>
      <c r="STX480" s="1831"/>
      <c r="STY480" s="1831"/>
      <c r="STZ480" s="1831"/>
      <c r="SUA480" s="1831"/>
      <c r="SUB480" s="1831"/>
      <c r="SUC480" s="1831"/>
      <c r="SUD480" s="1831"/>
      <c r="SUE480" s="1831"/>
      <c r="SUF480" s="1831"/>
      <c r="SUG480" s="1831"/>
      <c r="SUH480" s="1831"/>
      <c r="SUI480" s="1831"/>
      <c r="SUJ480" s="1831"/>
      <c r="SUK480" s="1831"/>
      <c r="SUL480" s="1831"/>
      <c r="SUM480" s="1831"/>
      <c r="SUN480" s="1831"/>
      <c r="SUO480" s="1831"/>
      <c r="SUP480" s="1831"/>
      <c r="SUQ480" s="1831"/>
      <c r="SUR480" s="1831"/>
      <c r="SUS480" s="1831"/>
      <c r="SUT480" s="1831"/>
      <c r="SUU480" s="1831"/>
      <c r="SUV480" s="1831"/>
      <c r="SUW480" s="1831"/>
      <c r="SUX480" s="1831"/>
      <c r="SUY480" s="1831"/>
      <c r="SUZ480" s="1831"/>
      <c r="SVA480" s="1831"/>
      <c r="SVB480" s="1831"/>
      <c r="SVC480" s="1831"/>
      <c r="SVD480" s="1831"/>
      <c r="SVE480" s="1831"/>
      <c r="SVF480" s="1831"/>
      <c r="SVG480" s="1831"/>
      <c r="SVH480" s="1831"/>
      <c r="SVI480" s="1831"/>
      <c r="SVJ480" s="1831"/>
      <c r="SVK480" s="1831"/>
      <c r="SVL480" s="1831"/>
      <c r="SVM480" s="1831"/>
      <c r="SVN480" s="1831"/>
      <c r="SVO480" s="1831"/>
      <c r="SVP480" s="1831"/>
      <c r="SVQ480" s="1831"/>
      <c r="SVR480" s="1831"/>
      <c r="SVS480" s="1831"/>
      <c r="SVT480" s="1831"/>
      <c r="SVU480" s="1831"/>
      <c r="SVV480" s="1831"/>
      <c r="SVW480" s="1831"/>
      <c r="SVX480" s="1831"/>
      <c r="SVY480" s="1831"/>
      <c r="SVZ480" s="1831"/>
      <c r="SWA480" s="1831"/>
      <c r="SWB480" s="1831"/>
      <c r="SWC480" s="1831"/>
      <c r="SWD480" s="1831"/>
      <c r="SWE480" s="1831"/>
      <c r="SWF480" s="1831"/>
      <c r="SWG480" s="1831"/>
      <c r="SWH480" s="1831"/>
      <c r="SWI480" s="1831"/>
      <c r="SWJ480" s="1831"/>
      <c r="SWK480" s="1831"/>
      <c r="SWL480" s="1831"/>
      <c r="SWM480" s="1831"/>
      <c r="SWN480" s="1831"/>
      <c r="SWO480" s="1831"/>
      <c r="SWP480" s="1831"/>
      <c r="SWQ480" s="1831"/>
      <c r="SWR480" s="1831"/>
      <c r="SWS480" s="1831"/>
      <c r="SWT480" s="1831"/>
      <c r="SWU480" s="1831"/>
      <c r="SWV480" s="1831"/>
      <c r="SWW480" s="1831"/>
      <c r="SWX480" s="1831"/>
      <c r="SWY480" s="1831"/>
      <c r="SWZ480" s="1831"/>
      <c r="SXA480" s="1831"/>
      <c r="SXB480" s="1831"/>
      <c r="SXC480" s="1831"/>
      <c r="SXD480" s="1831"/>
      <c r="SXE480" s="1831"/>
      <c r="SXF480" s="1831"/>
      <c r="SXG480" s="1831"/>
      <c r="SXH480" s="1831"/>
      <c r="SXI480" s="1831"/>
      <c r="SXJ480" s="1831"/>
      <c r="SXK480" s="1831"/>
      <c r="SXL480" s="1831"/>
      <c r="SXM480" s="1831"/>
      <c r="SXN480" s="1831"/>
      <c r="SXO480" s="1831"/>
      <c r="SXP480" s="1831"/>
      <c r="SXQ480" s="1831"/>
      <c r="SXR480" s="1831"/>
      <c r="SXS480" s="1831"/>
      <c r="SXT480" s="1831"/>
      <c r="SXU480" s="1831"/>
      <c r="SXV480" s="1831"/>
      <c r="SXW480" s="1831"/>
      <c r="SXX480" s="1831"/>
      <c r="SXY480" s="1831"/>
      <c r="SXZ480" s="1831"/>
      <c r="SYA480" s="1831"/>
      <c r="SYB480" s="1831"/>
      <c r="SYC480" s="1831"/>
      <c r="SYD480" s="1831"/>
      <c r="SYE480" s="1831"/>
      <c r="SYF480" s="1831"/>
      <c r="SYG480" s="1831"/>
      <c r="SYH480" s="1831"/>
      <c r="SYI480" s="1831"/>
      <c r="SYJ480" s="1831"/>
      <c r="SYK480" s="1831"/>
      <c r="SYL480" s="1831"/>
      <c r="SYM480" s="1831"/>
      <c r="SYN480" s="1831"/>
      <c r="SYO480" s="1831"/>
      <c r="SYP480" s="1831"/>
      <c r="SYQ480" s="1831"/>
      <c r="SYR480" s="1831"/>
      <c r="SYS480" s="1831"/>
      <c r="SYT480" s="1831"/>
      <c r="SYU480" s="1831"/>
      <c r="SYV480" s="1831"/>
      <c r="SYW480" s="1831"/>
      <c r="SYX480" s="1831"/>
      <c r="SYY480" s="1831"/>
      <c r="SYZ480" s="1831"/>
      <c r="SZA480" s="1831"/>
      <c r="SZB480" s="1831"/>
      <c r="SZC480" s="1831"/>
      <c r="SZD480" s="1831"/>
      <c r="SZE480" s="1831"/>
      <c r="SZF480" s="1831"/>
      <c r="SZG480" s="1831"/>
      <c r="SZH480" s="1831"/>
      <c r="SZI480" s="1831"/>
      <c r="SZJ480" s="1831"/>
      <c r="SZK480" s="1831"/>
      <c r="SZL480" s="1831"/>
      <c r="SZM480" s="1831"/>
      <c r="SZN480" s="1831"/>
      <c r="SZO480" s="1831"/>
      <c r="SZP480" s="1831"/>
      <c r="SZQ480" s="1831"/>
      <c r="SZR480" s="1831"/>
      <c r="SZS480" s="1831"/>
      <c r="SZT480" s="1831"/>
      <c r="SZU480" s="1831"/>
      <c r="SZV480" s="1831"/>
      <c r="SZW480" s="1831"/>
      <c r="SZX480" s="1831"/>
      <c r="SZY480" s="1831"/>
      <c r="SZZ480" s="1831"/>
      <c r="TAA480" s="1831"/>
      <c r="TAB480" s="1831"/>
      <c r="TAC480" s="1831"/>
      <c r="TAD480" s="1831"/>
      <c r="TAE480" s="1831"/>
      <c r="TAF480" s="1831"/>
      <c r="TAG480" s="1831"/>
      <c r="TAH480" s="1831"/>
      <c r="TAI480" s="1831"/>
      <c r="TAJ480" s="1831"/>
      <c r="TAK480" s="1831"/>
      <c r="TAL480" s="1831"/>
      <c r="TAM480" s="1831"/>
      <c r="TAN480" s="1831"/>
      <c r="TAO480" s="1831"/>
      <c r="TAP480" s="1831"/>
      <c r="TAQ480" s="1831"/>
      <c r="TAR480" s="1831"/>
      <c r="TAS480" s="1831"/>
      <c r="TAT480" s="1831"/>
      <c r="TAU480" s="1831"/>
      <c r="TAV480" s="1831"/>
      <c r="TAW480" s="1831"/>
      <c r="TAX480" s="1831"/>
      <c r="TAY480" s="1831"/>
      <c r="TAZ480" s="1831"/>
      <c r="TBA480" s="1831"/>
      <c r="TBB480" s="1831"/>
      <c r="TBC480" s="1831"/>
      <c r="TBD480" s="1831"/>
      <c r="TBE480" s="1831"/>
      <c r="TBF480" s="1831"/>
      <c r="TBG480" s="1831"/>
      <c r="TBH480" s="1831"/>
      <c r="TBI480" s="1831"/>
      <c r="TBJ480" s="1831"/>
      <c r="TBK480" s="1831"/>
      <c r="TBL480" s="1831"/>
      <c r="TBM480" s="1831"/>
      <c r="TBN480" s="1831"/>
      <c r="TBO480" s="1831"/>
      <c r="TBP480" s="1831"/>
      <c r="TBQ480" s="1831"/>
      <c r="TBR480" s="1831"/>
      <c r="TBS480" s="1831"/>
      <c r="TBT480" s="1831"/>
      <c r="TBU480" s="1831"/>
      <c r="TBV480" s="1831"/>
      <c r="TBW480" s="1831"/>
      <c r="TBX480" s="1831"/>
      <c r="TBY480" s="1831"/>
      <c r="TBZ480" s="1831"/>
      <c r="TCA480" s="1831"/>
      <c r="TCB480" s="1831"/>
      <c r="TCC480" s="1831"/>
      <c r="TCD480" s="1831"/>
      <c r="TCE480" s="1831"/>
      <c r="TCF480" s="1831"/>
      <c r="TCG480" s="1831"/>
      <c r="TCH480" s="1831"/>
      <c r="TCI480" s="1831"/>
      <c r="TCJ480" s="1831"/>
      <c r="TCK480" s="1831"/>
      <c r="TCL480" s="1831"/>
      <c r="TCM480" s="1831"/>
      <c r="TCN480" s="1831"/>
      <c r="TCO480" s="1831"/>
      <c r="TCP480" s="1831"/>
      <c r="TCQ480" s="1831"/>
      <c r="TCR480" s="1831"/>
      <c r="TCS480" s="1831"/>
      <c r="TCT480" s="1831"/>
      <c r="TCU480" s="1831"/>
      <c r="TCV480" s="1831"/>
      <c r="TCW480" s="1831"/>
      <c r="TCX480" s="1831"/>
      <c r="TCY480" s="1831"/>
      <c r="TCZ480" s="1831"/>
      <c r="TDA480" s="1831"/>
      <c r="TDB480" s="1831"/>
      <c r="TDC480" s="1831"/>
      <c r="TDD480" s="1831"/>
      <c r="TDE480" s="1831"/>
      <c r="TDF480" s="1831"/>
      <c r="TDG480" s="1831"/>
      <c r="TDH480" s="1831"/>
      <c r="TDI480" s="1831"/>
      <c r="TDJ480" s="1831"/>
      <c r="TDK480" s="1831"/>
      <c r="TDL480" s="1831"/>
      <c r="TDM480" s="1831"/>
      <c r="TDN480" s="1831"/>
      <c r="TDO480" s="1831"/>
      <c r="TDP480" s="1831"/>
      <c r="TDQ480" s="1831"/>
      <c r="TDR480" s="1831"/>
      <c r="TDS480" s="1831"/>
      <c r="TDT480" s="1831"/>
      <c r="TDU480" s="1831"/>
      <c r="TDV480" s="1831"/>
      <c r="TDW480" s="1831"/>
      <c r="TDX480" s="1831"/>
      <c r="TDY480" s="1831"/>
      <c r="TDZ480" s="1831"/>
      <c r="TEA480" s="1831"/>
      <c r="TEB480" s="1831"/>
      <c r="TEC480" s="1831"/>
      <c r="TED480" s="1831"/>
      <c r="TEE480" s="1831"/>
      <c r="TEF480" s="1831"/>
      <c r="TEG480" s="1831"/>
      <c r="TEH480" s="1831"/>
      <c r="TEI480" s="1831"/>
      <c r="TEJ480" s="1831"/>
      <c r="TEK480" s="1831"/>
      <c r="TEL480" s="1831"/>
      <c r="TEM480" s="1831"/>
      <c r="TEN480" s="1831"/>
      <c r="TEO480" s="1831"/>
      <c r="TEP480" s="1831"/>
      <c r="TEQ480" s="1831"/>
      <c r="TER480" s="1831"/>
      <c r="TES480" s="1831"/>
      <c r="TET480" s="1831"/>
      <c r="TEU480" s="1831"/>
      <c r="TEV480" s="1831"/>
      <c r="TEW480" s="1831"/>
      <c r="TEX480" s="1831"/>
      <c r="TEY480" s="1831"/>
      <c r="TEZ480" s="1831"/>
      <c r="TFA480" s="1831"/>
      <c r="TFB480" s="1831"/>
      <c r="TFC480" s="1831"/>
      <c r="TFD480" s="1831"/>
      <c r="TFE480" s="1831"/>
      <c r="TFF480" s="1831"/>
      <c r="TFG480" s="1831"/>
      <c r="TFH480" s="1831"/>
      <c r="TFI480" s="1831"/>
      <c r="TFJ480" s="1831"/>
      <c r="TFK480" s="1831"/>
      <c r="TFL480" s="1831"/>
      <c r="TFM480" s="1831"/>
      <c r="TFN480" s="1831"/>
      <c r="TFO480" s="1831"/>
      <c r="TFP480" s="1831"/>
      <c r="TFQ480" s="1831"/>
      <c r="TFR480" s="1831"/>
      <c r="TFS480" s="1831"/>
      <c r="TFT480" s="1831"/>
      <c r="TFU480" s="1831"/>
      <c r="TFV480" s="1831"/>
      <c r="TFW480" s="1831"/>
      <c r="TFX480" s="1831"/>
      <c r="TFY480" s="1831"/>
      <c r="TFZ480" s="1831"/>
      <c r="TGA480" s="1831"/>
      <c r="TGB480" s="1831"/>
      <c r="TGC480" s="1831"/>
      <c r="TGD480" s="1831"/>
      <c r="TGE480" s="1831"/>
      <c r="TGF480" s="1831"/>
      <c r="TGG480" s="1831"/>
      <c r="TGH480" s="1831"/>
      <c r="TGI480" s="1831"/>
      <c r="TGJ480" s="1831"/>
      <c r="TGK480" s="1831"/>
      <c r="TGL480" s="1831"/>
      <c r="TGM480" s="1831"/>
      <c r="TGN480" s="1831"/>
      <c r="TGO480" s="1831"/>
      <c r="TGP480" s="1831"/>
      <c r="TGQ480" s="1831"/>
      <c r="TGR480" s="1831"/>
      <c r="TGS480" s="1831"/>
      <c r="TGT480" s="1831"/>
      <c r="TGU480" s="1831"/>
      <c r="TGV480" s="1831"/>
      <c r="TGW480" s="1831"/>
      <c r="TGX480" s="1831"/>
      <c r="TGY480" s="1831"/>
      <c r="TGZ480" s="1831"/>
      <c r="THA480" s="1831"/>
      <c r="THB480" s="1831"/>
      <c r="THC480" s="1831"/>
      <c r="THD480" s="1831"/>
      <c r="THE480" s="1831"/>
      <c r="THF480" s="1831"/>
      <c r="THG480" s="1831"/>
      <c r="THH480" s="1831"/>
      <c r="THI480" s="1831"/>
      <c r="THJ480" s="1831"/>
      <c r="THK480" s="1831"/>
      <c r="THL480" s="1831"/>
      <c r="THM480" s="1831"/>
      <c r="THN480" s="1831"/>
      <c r="THO480" s="1831"/>
      <c r="THP480" s="1831"/>
      <c r="THQ480" s="1831"/>
      <c r="THR480" s="1831"/>
      <c r="THS480" s="1831"/>
      <c r="THT480" s="1831"/>
      <c r="THU480" s="1831"/>
      <c r="THV480" s="1831"/>
      <c r="THW480" s="1831"/>
      <c r="THX480" s="1831"/>
      <c r="THY480" s="1831"/>
      <c r="THZ480" s="1831"/>
      <c r="TIA480" s="1831"/>
      <c r="TIB480" s="1831"/>
      <c r="TIC480" s="1831"/>
      <c r="TID480" s="1831"/>
      <c r="TIE480" s="1831"/>
      <c r="TIF480" s="1831"/>
      <c r="TIG480" s="1831"/>
      <c r="TIH480" s="1831"/>
      <c r="TII480" s="1831"/>
      <c r="TIJ480" s="1831"/>
      <c r="TIK480" s="1831"/>
      <c r="TIL480" s="1831"/>
      <c r="TIM480" s="1831"/>
      <c r="TIN480" s="1831"/>
      <c r="TIO480" s="1831"/>
      <c r="TIP480" s="1831"/>
      <c r="TIQ480" s="1831"/>
      <c r="TIR480" s="1831"/>
      <c r="TIS480" s="1831"/>
      <c r="TIT480" s="1831"/>
      <c r="TIU480" s="1831"/>
      <c r="TIV480" s="1831"/>
      <c r="TIW480" s="1831"/>
      <c r="TIX480" s="1831"/>
      <c r="TIY480" s="1831"/>
      <c r="TIZ480" s="1831"/>
      <c r="TJA480" s="1831"/>
      <c r="TJB480" s="1831"/>
      <c r="TJC480" s="1831"/>
      <c r="TJD480" s="1831"/>
      <c r="TJE480" s="1831"/>
      <c r="TJF480" s="1831"/>
      <c r="TJG480" s="1831"/>
      <c r="TJH480" s="1831"/>
      <c r="TJI480" s="1831"/>
      <c r="TJJ480" s="1831"/>
      <c r="TJK480" s="1831"/>
      <c r="TJL480" s="1831"/>
      <c r="TJM480" s="1831"/>
      <c r="TJN480" s="1831"/>
      <c r="TJO480" s="1831"/>
      <c r="TJP480" s="1831"/>
      <c r="TJQ480" s="1831"/>
      <c r="TJR480" s="1831"/>
      <c r="TJS480" s="1831"/>
      <c r="TJT480" s="1831"/>
      <c r="TJU480" s="1831"/>
      <c r="TJV480" s="1831"/>
      <c r="TJW480" s="1831"/>
      <c r="TJX480" s="1831"/>
      <c r="TJY480" s="1831"/>
      <c r="TJZ480" s="1831"/>
      <c r="TKA480" s="1831"/>
      <c r="TKB480" s="1831"/>
      <c r="TKC480" s="1831"/>
      <c r="TKD480" s="1831"/>
      <c r="TKE480" s="1831"/>
      <c r="TKF480" s="1831"/>
      <c r="TKG480" s="1831"/>
      <c r="TKH480" s="1831"/>
      <c r="TKI480" s="1831"/>
      <c r="TKJ480" s="1831"/>
      <c r="TKK480" s="1831"/>
      <c r="TKL480" s="1831"/>
      <c r="TKM480" s="1831"/>
      <c r="TKN480" s="1831"/>
      <c r="TKO480" s="1831"/>
      <c r="TKP480" s="1831"/>
      <c r="TKQ480" s="1831"/>
      <c r="TKR480" s="1831"/>
      <c r="TKS480" s="1831"/>
      <c r="TKT480" s="1831"/>
      <c r="TKU480" s="1831"/>
      <c r="TKV480" s="1831"/>
      <c r="TKW480" s="1831"/>
      <c r="TKX480" s="1831"/>
      <c r="TKY480" s="1831"/>
      <c r="TKZ480" s="1831"/>
      <c r="TLA480" s="1831"/>
      <c r="TLB480" s="1831"/>
      <c r="TLC480" s="1831"/>
      <c r="TLD480" s="1831"/>
      <c r="TLE480" s="1831"/>
      <c r="TLF480" s="1831"/>
      <c r="TLG480" s="1831"/>
      <c r="TLH480" s="1831"/>
      <c r="TLI480" s="1831"/>
      <c r="TLJ480" s="1831"/>
      <c r="TLK480" s="1831"/>
      <c r="TLL480" s="1831"/>
      <c r="TLM480" s="1831"/>
      <c r="TLN480" s="1831"/>
      <c r="TLO480" s="1831"/>
      <c r="TLP480" s="1831"/>
      <c r="TLQ480" s="1831"/>
      <c r="TLR480" s="1831"/>
      <c r="TLS480" s="1831"/>
      <c r="TLT480" s="1831"/>
      <c r="TLU480" s="1831"/>
      <c r="TLV480" s="1831"/>
      <c r="TLW480" s="1831"/>
      <c r="TLX480" s="1831"/>
      <c r="TLY480" s="1831"/>
      <c r="TLZ480" s="1831"/>
      <c r="TMA480" s="1831"/>
      <c r="TMB480" s="1831"/>
      <c r="TMC480" s="1831"/>
      <c r="TMD480" s="1831"/>
      <c r="TME480" s="1831"/>
      <c r="TMF480" s="1831"/>
      <c r="TMG480" s="1831"/>
      <c r="TMH480" s="1831"/>
      <c r="TMI480" s="1831"/>
      <c r="TMJ480" s="1831"/>
      <c r="TMK480" s="1831"/>
      <c r="TML480" s="1831"/>
      <c r="TMM480" s="1831"/>
      <c r="TMN480" s="1831"/>
      <c r="TMO480" s="1831"/>
      <c r="TMP480" s="1831"/>
      <c r="TMQ480" s="1831"/>
      <c r="TMR480" s="1831"/>
      <c r="TMS480" s="1831"/>
      <c r="TMT480" s="1831"/>
      <c r="TMU480" s="1831"/>
      <c r="TMV480" s="1831"/>
      <c r="TMW480" s="1831"/>
      <c r="TMX480" s="1831"/>
      <c r="TMY480" s="1831"/>
      <c r="TMZ480" s="1831"/>
      <c r="TNA480" s="1831"/>
      <c r="TNB480" s="1831"/>
      <c r="TNC480" s="1831"/>
      <c r="TND480" s="1831"/>
      <c r="TNE480" s="1831"/>
      <c r="TNF480" s="1831"/>
      <c r="TNG480" s="1831"/>
      <c r="TNH480" s="1831"/>
      <c r="TNI480" s="1831"/>
      <c r="TNJ480" s="1831"/>
      <c r="TNK480" s="1831"/>
      <c r="TNL480" s="1831"/>
      <c r="TNM480" s="1831"/>
      <c r="TNN480" s="1831"/>
      <c r="TNO480" s="1831"/>
      <c r="TNP480" s="1831"/>
      <c r="TNQ480" s="1831"/>
      <c r="TNR480" s="1831"/>
      <c r="TNS480" s="1831"/>
      <c r="TNT480" s="1831"/>
      <c r="TNU480" s="1831"/>
      <c r="TNV480" s="1831"/>
      <c r="TNW480" s="1831"/>
      <c r="TNX480" s="1831"/>
      <c r="TNY480" s="1831"/>
      <c r="TNZ480" s="1831"/>
      <c r="TOA480" s="1831"/>
      <c r="TOB480" s="1831"/>
      <c r="TOC480" s="1831"/>
      <c r="TOD480" s="1831"/>
      <c r="TOE480" s="1831"/>
      <c r="TOF480" s="1831"/>
      <c r="TOG480" s="1831"/>
      <c r="TOH480" s="1831"/>
      <c r="TOI480" s="1831"/>
      <c r="TOJ480" s="1831"/>
      <c r="TOK480" s="1831"/>
      <c r="TOL480" s="1831"/>
      <c r="TOM480" s="1831"/>
      <c r="TON480" s="1831"/>
      <c r="TOO480" s="1831"/>
      <c r="TOP480" s="1831"/>
      <c r="TOQ480" s="1831"/>
      <c r="TOR480" s="1831"/>
      <c r="TOS480" s="1831"/>
      <c r="TOT480" s="1831"/>
      <c r="TOU480" s="1831"/>
      <c r="TOV480" s="1831"/>
      <c r="TOW480" s="1831"/>
      <c r="TOX480" s="1831"/>
      <c r="TOY480" s="1831"/>
      <c r="TOZ480" s="1831"/>
      <c r="TPA480" s="1831"/>
      <c r="TPB480" s="1831"/>
      <c r="TPC480" s="1831"/>
      <c r="TPD480" s="1831"/>
      <c r="TPE480" s="1831"/>
      <c r="TPF480" s="1831"/>
      <c r="TPG480" s="1831"/>
      <c r="TPH480" s="1831"/>
      <c r="TPI480" s="1831"/>
      <c r="TPJ480" s="1831"/>
      <c r="TPK480" s="1831"/>
      <c r="TPL480" s="1831"/>
      <c r="TPM480" s="1831"/>
      <c r="TPN480" s="1831"/>
      <c r="TPO480" s="1831"/>
      <c r="TPP480" s="1831"/>
      <c r="TPQ480" s="1831"/>
      <c r="TPR480" s="1831"/>
      <c r="TPS480" s="1831"/>
      <c r="TPT480" s="1831"/>
      <c r="TPU480" s="1831"/>
      <c r="TPV480" s="1831"/>
      <c r="TPW480" s="1831"/>
      <c r="TPX480" s="1831"/>
      <c r="TPY480" s="1831"/>
      <c r="TPZ480" s="1831"/>
      <c r="TQA480" s="1831"/>
      <c r="TQB480" s="1831"/>
      <c r="TQC480" s="1831"/>
      <c r="TQD480" s="1831"/>
      <c r="TQE480" s="1831"/>
      <c r="TQF480" s="1831"/>
      <c r="TQG480" s="1831"/>
      <c r="TQH480" s="1831"/>
      <c r="TQI480" s="1831"/>
      <c r="TQJ480" s="1831"/>
      <c r="TQK480" s="1831"/>
      <c r="TQL480" s="1831"/>
      <c r="TQM480" s="1831"/>
      <c r="TQN480" s="1831"/>
      <c r="TQO480" s="1831"/>
      <c r="TQP480" s="1831"/>
      <c r="TQQ480" s="1831"/>
      <c r="TQR480" s="1831"/>
      <c r="TQS480" s="1831"/>
      <c r="TQT480" s="1831"/>
      <c r="TQU480" s="1831"/>
      <c r="TQV480" s="1831"/>
      <c r="TQW480" s="1831"/>
      <c r="TQX480" s="1831"/>
      <c r="TQY480" s="1831"/>
      <c r="TQZ480" s="1831"/>
      <c r="TRA480" s="1831"/>
      <c r="TRB480" s="1831"/>
      <c r="TRC480" s="1831"/>
      <c r="TRD480" s="1831"/>
      <c r="TRE480" s="1831"/>
      <c r="TRF480" s="1831"/>
      <c r="TRG480" s="1831"/>
      <c r="TRH480" s="1831"/>
      <c r="TRI480" s="1831"/>
      <c r="TRJ480" s="1831"/>
      <c r="TRK480" s="1831"/>
      <c r="TRL480" s="1831"/>
      <c r="TRM480" s="1831"/>
      <c r="TRN480" s="1831"/>
      <c r="TRO480" s="1831"/>
      <c r="TRP480" s="1831"/>
      <c r="TRQ480" s="1831"/>
      <c r="TRR480" s="1831"/>
      <c r="TRS480" s="1831"/>
      <c r="TRT480" s="1831"/>
      <c r="TRU480" s="1831"/>
      <c r="TRV480" s="1831"/>
      <c r="TRW480" s="1831"/>
      <c r="TRX480" s="1831"/>
      <c r="TRY480" s="1831"/>
      <c r="TRZ480" s="1831"/>
      <c r="TSA480" s="1831"/>
      <c r="TSB480" s="1831"/>
      <c r="TSC480" s="1831"/>
      <c r="TSD480" s="1831"/>
      <c r="TSE480" s="1831"/>
      <c r="TSF480" s="1831"/>
      <c r="TSG480" s="1831"/>
      <c r="TSH480" s="1831"/>
      <c r="TSI480" s="1831"/>
      <c r="TSJ480" s="1831"/>
      <c r="TSK480" s="1831"/>
      <c r="TSL480" s="1831"/>
      <c r="TSM480" s="1831"/>
      <c r="TSN480" s="1831"/>
      <c r="TSO480" s="1831"/>
      <c r="TSP480" s="1831"/>
      <c r="TSQ480" s="1831"/>
      <c r="TSR480" s="1831"/>
      <c r="TSS480" s="1831"/>
      <c r="TST480" s="1831"/>
      <c r="TSU480" s="1831"/>
      <c r="TSV480" s="1831"/>
      <c r="TSW480" s="1831"/>
      <c r="TSX480" s="1831"/>
      <c r="TSY480" s="1831"/>
      <c r="TSZ480" s="1831"/>
      <c r="TTA480" s="1831"/>
      <c r="TTB480" s="1831"/>
      <c r="TTC480" s="1831"/>
      <c r="TTD480" s="1831"/>
      <c r="TTE480" s="1831"/>
      <c r="TTF480" s="1831"/>
      <c r="TTG480" s="1831"/>
      <c r="TTH480" s="1831"/>
      <c r="TTI480" s="1831"/>
      <c r="TTJ480" s="1831"/>
      <c r="TTK480" s="1831"/>
      <c r="TTL480" s="1831"/>
      <c r="TTM480" s="1831"/>
      <c r="TTN480" s="1831"/>
      <c r="TTO480" s="1831"/>
      <c r="TTP480" s="1831"/>
      <c r="TTQ480" s="1831"/>
      <c r="TTR480" s="1831"/>
      <c r="TTS480" s="1831"/>
      <c r="TTT480" s="1831"/>
      <c r="TTU480" s="1831"/>
      <c r="TTV480" s="1831"/>
      <c r="TTW480" s="1831"/>
      <c r="TTX480" s="1831"/>
      <c r="TTY480" s="1831"/>
      <c r="TTZ480" s="1831"/>
      <c r="TUA480" s="1831"/>
      <c r="TUB480" s="1831"/>
      <c r="TUC480" s="1831"/>
      <c r="TUD480" s="1831"/>
      <c r="TUE480" s="1831"/>
      <c r="TUF480" s="1831"/>
      <c r="TUG480" s="1831"/>
      <c r="TUH480" s="1831"/>
      <c r="TUI480" s="1831"/>
      <c r="TUJ480" s="1831"/>
      <c r="TUK480" s="1831"/>
      <c r="TUL480" s="1831"/>
      <c r="TUM480" s="1831"/>
      <c r="TUN480" s="1831"/>
      <c r="TUO480" s="1831"/>
      <c r="TUP480" s="1831"/>
      <c r="TUQ480" s="1831"/>
      <c r="TUR480" s="1831"/>
      <c r="TUS480" s="1831"/>
      <c r="TUT480" s="1831"/>
      <c r="TUU480" s="1831"/>
      <c r="TUV480" s="1831"/>
      <c r="TUW480" s="1831"/>
      <c r="TUX480" s="1831"/>
      <c r="TUY480" s="1831"/>
      <c r="TUZ480" s="1831"/>
      <c r="TVA480" s="1831"/>
      <c r="TVB480" s="1831"/>
      <c r="TVC480" s="1831"/>
      <c r="TVD480" s="1831"/>
      <c r="TVE480" s="1831"/>
      <c r="TVF480" s="1831"/>
      <c r="TVG480" s="1831"/>
      <c r="TVH480" s="1831"/>
      <c r="TVI480" s="1831"/>
      <c r="TVJ480" s="1831"/>
      <c r="TVK480" s="1831"/>
      <c r="TVL480" s="1831"/>
      <c r="TVM480" s="1831"/>
      <c r="TVN480" s="1831"/>
      <c r="TVO480" s="1831"/>
      <c r="TVP480" s="1831"/>
      <c r="TVQ480" s="1831"/>
      <c r="TVR480" s="1831"/>
      <c r="TVS480" s="1831"/>
      <c r="TVT480" s="1831"/>
      <c r="TVU480" s="1831"/>
      <c r="TVV480" s="1831"/>
      <c r="TVW480" s="1831"/>
      <c r="TVX480" s="1831"/>
      <c r="TVY480" s="1831"/>
      <c r="TVZ480" s="1831"/>
      <c r="TWA480" s="1831"/>
      <c r="TWB480" s="1831"/>
      <c r="TWC480" s="1831"/>
      <c r="TWD480" s="1831"/>
      <c r="TWE480" s="1831"/>
      <c r="TWF480" s="1831"/>
      <c r="TWG480" s="1831"/>
      <c r="TWH480" s="1831"/>
      <c r="TWI480" s="1831"/>
      <c r="TWJ480" s="1831"/>
      <c r="TWK480" s="1831"/>
      <c r="TWL480" s="1831"/>
      <c r="TWM480" s="1831"/>
      <c r="TWN480" s="1831"/>
      <c r="TWO480" s="1831"/>
      <c r="TWP480" s="1831"/>
      <c r="TWQ480" s="1831"/>
      <c r="TWR480" s="1831"/>
      <c r="TWS480" s="1831"/>
      <c r="TWT480" s="1831"/>
      <c r="TWU480" s="1831"/>
      <c r="TWV480" s="1831"/>
      <c r="TWW480" s="1831"/>
      <c r="TWX480" s="1831"/>
      <c r="TWY480" s="1831"/>
      <c r="TWZ480" s="1831"/>
      <c r="TXA480" s="1831"/>
      <c r="TXB480" s="1831"/>
      <c r="TXC480" s="1831"/>
      <c r="TXD480" s="1831"/>
      <c r="TXE480" s="1831"/>
      <c r="TXF480" s="1831"/>
      <c r="TXG480" s="1831"/>
      <c r="TXH480" s="1831"/>
      <c r="TXI480" s="1831"/>
      <c r="TXJ480" s="1831"/>
      <c r="TXK480" s="1831"/>
      <c r="TXL480" s="1831"/>
      <c r="TXM480" s="1831"/>
      <c r="TXN480" s="1831"/>
      <c r="TXO480" s="1831"/>
      <c r="TXP480" s="1831"/>
      <c r="TXQ480" s="1831"/>
      <c r="TXR480" s="1831"/>
      <c r="TXS480" s="1831"/>
      <c r="TXT480" s="1831"/>
      <c r="TXU480" s="1831"/>
      <c r="TXV480" s="1831"/>
      <c r="TXW480" s="1831"/>
      <c r="TXX480" s="1831"/>
      <c r="TXY480" s="1831"/>
      <c r="TXZ480" s="1831"/>
      <c r="TYA480" s="1831"/>
      <c r="TYB480" s="1831"/>
      <c r="TYC480" s="1831"/>
      <c r="TYD480" s="1831"/>
      <c r="TYE480" s="1831"/>
      <c r="TYF480" s="1831"/>
      <c r="TYG480" s="1831"/>
      <c r="TYH480" s="1831"/>
      <c r="TYI480" s="1831"/>
      <c r="TYJ480" s="1831"/>
      <c r="TYK480" s="1831"/>
      <c r="TYL480" s="1831"/>
      <c r="TYM480" s="1831"/>
      <c r="TYN480" s="1831"/>
      <c r="TYO480" s="1831"/>
      <c r="TYP480" s="1831"/>
      <c r="TYQ480" s="1831"/>
      <c r="TYR480" s="1831"/>
      <c r="TYS480" s="1831"/>
      <c r="TYT480" s="1831"/>
      <c r="TYU480" s="1831"/>
      <c r="TYV480" s="1831"/>
      <c r="TYW480" s="1831"/>
      <c r="TYX480" s="1831"/>
      <c r="TYY480" s="1831"/>
      <c r="TYZ480" s="1831"/>
      <c r="TZA480" s="1831"/>
      <c r="TZB480" s="1831"/>
      <c r="TZC480" s="1831"/>
      <c r="TZD480" s="1831"/>
      <c r="TZE480" s="1831"/>
      <c r="TZF480" s="1831"/>
      <c r="TZG480" s="1831"/>
      <c r="TZH480" s="1831"/>
      <c r="TZI480" s="1831"/>
      <c r="TZJ480" s="1831"/>
      <c r="TZK480" s="1831"/>
      <c r="TZL480" s="1831"/>
      <c r="TZM480" s="1831"/>
      <c r="TZN480" s="1831"/>
      <c r="TZO480" s="1831"/>
      <c r="TZP480" s="1831"/>
      <c r="TZQ480" s="1831"/>
      <c r="TZR480" s="1831"/>
      <c r="TZS480" s="1831"/>
      <c r="TZT480" s="1831"/>
      <c r="TZU480" s="1831"/>
      <c r="TZV480" s="1831"/>
      <c r="TZW480" s="1831"/>
      <c r="TZX480" s="1831"/>
      <c r="TZY480" s="1831"/>
      <c r="TZZ480" s="1831"/>
      <c r="UAA480" s="1831"/>
      <c r="UAB480" s="1831"/>
      <c r="UAC480" s="1831"/>
      <c r="UAD480" s="1831"/>
      <c r="UAE480" s="1831"/>
      <c r="UAF480" s="1831"/>
      <c r="UAG480" s="1831"/>
      <c r="UAH480" s="1831"/>
      <c r="UAI480" s="1831"/>
      <c r="UAJ480" s="1831"/>
      <c r="UAK480" s="1831"/>
      <c r="UAL480" s="1831"/>
      <c r="UAM480" s="1831"/>
      <c r="UAN480" s="1831"/>
      <c r="UAO480" s="1831"/>
      <c r="UAP480" s="1831"/>
      <c r="UAQ480" s="1831"/>
      <c r="UAR480" s="1831"/>
      <c r="UAS480" s="1831"/>
      <c r="UAT480" s="1831"/>
      <c r="UAU480" s="1831"/>
      <c r="UAV480" s="1831"/>
      <c r="UAW480" s="1831"/>
      <c r="UAX480" s="1831"/>
      <c r="UAY480" s="1831"/>
      <c r="UAZ480" s="1831"/>
      <c r="UBA480" s="1831"/>
      <c r="UBB480" s="1831"/>
      <c r="UBC480" s="1831"/>
      <c r="UBD480" s="1831"/>
      <c r="UBE480" s="1831"/>
      <c r="UBF480" s="1831"/>
      <c r="UBG480" s="1831"/>
      <c r="UBH480" s="1831"/>
      <c r="UBI480" s="1831"/>
      <c r="UBJ480" s="1831"/>
      <c r="UBK480" s="1831"/>
      <c r="UBL480" s="1831"/>
      <c r="UBM480" s="1831"/>
      <c r="UBN480" s="1831"/>
      <c r="UBO480" s="1831"/>
      <c r="UBP480" s="1831"/>
      <c r="UBQ480" s="1831"/>
      <c r="UBR480" s="1831"/>
      <c r="UBS480" s="1831"/>
      <c r="UBT480" s="1831"/>
      <c r="UBU480" s="1831"/>
      <c r="UBV480" s="1831"/>
      <c r="UBW480" s="1831"/>
      <c r="UBX480" s="1831"/>
      <c r="UBY480" s="1831"/>
      <c r="UBZ480" s="1831"/>
      <c r="UCA480" s="1831"/>
      <c r="UCB480" s="1831"/>
      <c r="UCC480" s="1831"/>
      <c r="UCD480" s="1831"/>
      <c r="UCE480" s="1831"/>
      <c r="UCF480" s="1831"/>
      <c r="UCG480" s="1831"/>
      <c r="UCH480" s="1831"/>
      <c r="UCI480" s="1831"/>
      <c r="UCJ480" s="1831"/>
      <c r="UCK480" s="1831"/>
      <c r="UCL480" s="1831"/>
      <c r="UCM480" s="1831"/>
      <c r="UCN480" s="1831"/>
      <c r="UCO480" s="1831"/>
      <c r="UCP480" s="1831"/>
      <c r="UCQ480" s="1831"/>
      <c r="UCR480" s="1831"/>
      <c r="UCS480" s="1831"/>
      <c r="UCT480" s="1831"/>
      <c r="UCU480" s="1831"/>
      <c r="UCV480" s="1831"/>
      <c r="UCW480" s="1831"/>
      <c r="UCX480" s="1831"/>
      <c r="UCY480" s="1831"/>
      <c r="UCZ480" s="1831"/>
      <c r="UDA480" s="1831"/>
      <c r="UDB480" s="1831"/>
      <c r="UDC480" s="1831"/>
      <c r="UDD480" s="1831"/>
      <c r="UDE480" s="1831"/>
      <c r="UDF480" s="1831"/>
      <c r="UDG480" s="1831"/>
      <c r="UDH480" s="1831"/>
      <c r="UDI480" s="1831"/>
      <c r="UDJ480" s="1831"/>
      <c r="UDK480" s="1831"/>
      <c r="UDL480" s="1831"/>
      <c r="UDM480" s="1831"/>
      <c r="UDN480" s="1831"/>
      <c r="UDO480" s="1831"/>
      <c r="UDP480" s="1831"/>
      <c r="UDQ480" s="1831"/>
      <c r="UDR480" s="1831"/>
      <c r="UDS480" s="1831"/>
      <c r="UDT480" s="1831"/>
      <c r="UDU480" s="1831"/>
      <c r="UDV480" s="1831"/>
      <c r="UDW480" s="1831"/>
      <c r="UDX480" s="1831"/>
      <c r="UDY480" s="1831"/>
      <c r="UDZ480" s="1831"/>
      <c r="UEA480" s="1831"/>
      <c r="UEB480" s="1831"/>
      <c r="UEC480" s="1831"/>
      <c r="UED480" s="1831"/>
      <c r="UEE480" s="1831"/>
      <c r="UEF480" s="1831"/>
      <c r="UEG480" s="1831"/>
      <c r="UEH480" s="1831"/>
      <c r="UEI480" s="1831"/>
      <c r="UEJ480" s="1831"/>
      <c r="UEK480" s="1831"/>
      <c r="UEL480" s="1831"/>
      <c r="UEM480" s="1831"/>
      <c r="UEN480" s="1831"/>
      <c r="UEO480" s="1831"/>
      <c r="UEP480" s="1831"/>
      <c r="UEQ480" s="1831"/>
      <c r="UER480" s="1831"/>
      <c r="UES480" s="1831"/>
      <c r="UET480" s="1831"/>
      <c r="UEU480" s="1831"/>
      <c r="UEV480" s="1831"/>
      <c r="UEW480" s="1831"/>
      <c r="UEX480" s="1831"/>
      <c r="UEY480" s="1831"/>
      <c r="UEZ480" s="1831"/>
      <c r="UFA480" s="1831"/>
      <c r="UFB480" s="1831"/>
      <c r="UFC480" s="1831"/>
      <c r="UFD480" s="1831"/>
      <c r="UFE480" s="1831"/>
      <c r="UFF480" s="1831"/>
      <c r="UFG480" s="1831"/>
      <c r="UFH480" s="1831"/>
      <c r="UFI480" s="1831"/>
      <c r="UFJ480" s="1831"/>
      <c r="UFK480" s="1831"/>
      <c r="UFL480" s="1831"/>
      <c r="UFM480" s="1831"/>
      <c r="UFN480" s="1831"/>
      <c r="UFO480" s="1831"/>
      <c r="UFP480" s="1831"/>
      <c r="UFQ480" s="1831"/>
      <c r="UFR480" s="1831"/>
      <c r="UFS480" s="1831"/>
      <c r="UFT480" s="1831"/>
      <c r="UFU480" s="1831"/>
      <c r="UFV480" s="1831"/>
      <c r="UFW480" s="1831"/>
      <c r="UFX480" s="1831"/>
      <c r="UFY480" s="1831"/>
      <c r="UFZ480" s="1831"/>
      <c r="UGA480" s="1831"/>
      <c r="UGB480" s="1831"/>
      <c r="UGC480" s="1831"/>
      <c r="UGD480" s="1831"/>
      <c r="UGE480" s="1831"/>
      <c r="UGF480" s="1831"/>
      <c r="UGG480" s="1831"/>
      <c r="UGH480" s="1831"/>
      <c r="UGI480" s="1831"/>
      <c r="UGJ480" s="1831"/>
      <c r="UGK480" s="1831"/>
      <c r="UGL480" s="1831"/>
      <c r="UGM480" s="1831"/>
      <c r="UGN480" s="1831"/>
      <c r="UGO480" s="1831"/>
      <c r="UGP480" s="1831"/>
      <c r="UGQ480" s="1831"/>
      <c r="UGR480" s="1831"/>
      <c r="UGS480" s="1831"/>
      <c r="UGT480" s="1831"/>
      <c r="UGU480" s="1831"/>
      <c r="UGV480" s="1831"/>
      <c r="UGW480" s="1831"/>
      <c r="UGX480" s="1831"/>
      <c r="UGY480" s="1831"/>
      <c r="UGZ480" s="1831"/>
      <c r="UHA480" s="1831"/>
      <c r="UHB480" s="1831"/>
      <c r="UHC480" s="1831"/>
      <c r="UHD480" s="1831"/>
      <c r="UHE480" s="1831"/>
      <c r="UHF480" s="1831"/>
      <c r="UHG480" s="1831"/>
      <c r="UHH480" s="1831"/>
      <c r="UHI480" s="1831"/>
      <c r="UHJ480" s="1831"/>
      <c r="UHK480" s="1831"/>
      <c r="UHL480" s="1831"/>
      <c r="UHM480" s="1831"/>
      <c r="UHN480" s="1831"/>
      <c r="UHO480" s="1831"/>
      <c r="UHP480" s="1831"/>
      <c r="UHQ480" s="1831"/>
      <c r="UHR480" s="1831"/>
      <c r="UHS480" s="1831"/>
      <c r="UHT480" s="1831"/>
      <c r="UHU480" s="1831"/>
      <c r="UHV480" s="1831"/>
      <c r="UHW480" s="1831"/>
      <c r="UHX480" s="1831"/>
      <c r="UHY480" s="1831"/>
      <c r="UHZ480" s="1831"/>
      <c r="UIA480" s="1831"/>
      <c r="UIB480" s="1831"/>
      <c r="UIC480" s="1831"/>
      <c r="UID480" s="1831"/>
      <c r="UIE480" s="1831"/>
      <c r="UIF480" s="1831"/>
      <c r="UIG480" s="1831"/>
      <c r="UIH480" s="1831"/>
      <c r="UII480" s="1831"/>
      <c r="UIJ480" s="1831"/>
      <c r="UIK480" s="1831"/>
      <c r="UIL480" s="1831"/>
      <c r="UIM480" s="1831"/>
      <c r="UIN480" s="1831"/>
      <c r="UIO480" s="1831"/>
      <c r="UIP480" s="1831"/>
      <c r="UIQ480" s="1831"/>
      <c r="UIR480" s="1831"/>
      <c r="UIS480" s="1831"/>
      <c r="UIT480" s="1831"/>
      <c r="UIU480" s="1831"/>
      <c r="UIV480" s="1831"/>
      <c r="UIW480" s="1831"/>
      <c r="UIX480" s="1831"/>
      <c r="UIY480" s="1831"/>
      <c r="UIZ480" s="1831"/>
      <c r="UJA480" s="1831"/>
      <c r="UJB480" s="1831"/>
      <c r="UJC480" s="1831"/>
      <c r="UJD480" s="1831"/>
      <c r="UJE480" s="1831"/>
      <c r="UJF480" s="1831"/>
      <c r="UJG480" s="1831"/>
      <c r="UJH480" s="1831"/>
      <c r="UJI480" s="1831"/>
      <c r="UJJ480" s="1831"/>
      <c r="UJK480" s="1831"/>
      <c r="UJL480" s="1831"/>
      <c r="UJM480" s="1831"/>
      <c r="UJN480" s="1831"/>
      <c r="UJO480" s="1831"/>
      <c r="UJP480" s="1831"/>
      <c r="UJQ480" s="1831"/>
      <c r="UJR480" s="1831"/>
      <c r="UJS480" s="1831"/>
      <c r="UJT480" s="1831"/>
      <c r="UJU480" s="1831"/>
      <c r="UJV480" s="1831"/>
      <c r="UJW480" s="1831"/>
      <c r="UJX480" s="1831"/>
      <c r="UJY480" s="1831"/>
      <c r="UJZ480" s="1831"/>
      <c r="UKA480" s="1831"/>
      <c r="UKB480" s="1831"/>
      <c r="UKC480" s="1831"/>
      <c r="UKD480" s="1831"/>
      <c r="UKE480" s="1831"/>
      <c r="UKF480" s="1831"/>
      <c r="UKG480" s="1831"/>
      <c r="UKH480" s="1831"/>
      <c r="UKI480" s="1831"/>
      <c r="UKJ480" s="1831"/>
      <c r="UKK480" s="1831"/>
      <c r="UKL480" s="1831"/>
      <c r="UKM480" s="1831"/>
      <c r="UKN480" s="1831"/>
      <c r="UKO480" s="1831"/>
      <c r="UKP480" s="1831"/>
      <c r="UKQ480" s="1831"/>
      <c r="UKR480" s="1831"/>
      <c r="UKS480" s="1831"/>
      <c r="UKT480" s="1831"/>
      <c r="UKU480" s="1831"/>
      <c r="UKV480" s="1831"/>
      <c r="UKW480" s="1831"/>
      <c r="UKX480" s="1831"/>
      <c r="UKY480" s="1831"/>
      <c r="UKZ480" s="1831"/>
      <c r="ULA480" s="1831"/>
      <c r="ULB480" s="1831"/>
      <c r="ULC480" s="1831"/>
      <c r="ULD480" s="1831"/>
      <c r="ULE480" s="1831"/>
      <c r="ULF480" s="1831"/>
      <c r="ULG480" s="1831"/>
      <c r="ULH480" s="1831"/>
      <c r="ULI480" s="1831"/>
      <c r="ULJ480" s="1831"/>
      <c r="ULK480" s="1831"/>
      <c r="ULL480" s="1831"/>
      <c r="ULM480" s="1831"/>
      <c r="ULN480" s="1831"/>
      <c r="ULO480" s="1831"/>
      <c r="ULP480" s="1831"/>
      <c r="ULQ480" s="1831"/>
      <c r="ULR480" s="1831"/>
      <c r="ULS480" s="1831"/>
      <c r="ULT480" s="1831"/>
      <c r="ULU480" s="1831"/>
      <c r="ULV480" s="1831"/>
      <c r="ULW480" s="1831"/>
      <c r="ULX480" s="1831"/>
      <c r="ULY480" s="1831"/>
      <c r="ULZ480" s="1831"/>
      <c r="UMA480" s="1831"/>
      <c r="UMB480" s="1831"/>
      <c r="UMC480" s="1831"/>
      <c r="UMD480" s="1831"/>
      <c r="UME480" s="1831"/>
      <c r="UMF480" s="1831"/>
      <c r="UMG480" s="1831"/>
      <c r="UMH480" s="1831"/>
      <c r="UMI480" s="1831"/>
      <c r="UMJ480" s="1831"/>
      <c r="UMK480" s="1831"/>
      <c r="UML480" s="1831"/>
      <c r="UMM480" s="1831"/>
      <c r="UMN480" s="1831"/>
      <c r="UMO480" s="1831"/>
      <c r="UMP480" s="1831"/>
      <c r="UMQ480" s="1831"/>
      <c r="UMR480" s="1831"/>
      <c r="UMS480" s="1831"/>
      <c r="UMT480" s="1831"/>
      <c r="UMU480" s="1831"/>
      <c r="UMV480" s="1831"/>
      <c r="UMW480" s="1831"/>
      <c r="UMX480" s="1831"/>
      <c r="UMY480" s="1831"/>
      <c r="UMZ480" s="1831"/>
      <c r="UNA480" s="1831"/>
      <c r="UNB480" s="1831"/>
      <c r="UNC480" s="1831"/>
      <c r="UND480" s="1831"/>
      <c r="UNE480" s="1831"/>
      <c r="UNF480" s="1831"/>
      <c r="UNG480" s="1831"/>
      <c r="UNH480" s="1831"/>
      <c r="UNI480" s="1831"/>
      <c r="UNJ480" s="1831"/>
      <c r="UNK480" s="1831"/>
      <c r="UNL480" s="1831"/>
      <c r="UNM480" s="1831"/>
      <c r="UNN480" s="1831"/>
      <c r="UNO480" s="1831"/>
      <c r="UNP480" s="1831"/>
      <c r="UNQ480" s="1831"/>
      <c r="UNR480" s="1831"/>
      <c r="UNS480" s="1831"/>
      <c r="UNT480" s="1831"/>
      <c r="UNU480" s="1831"/>
      <c r="UNV480" s="1831"/>
      <c r="UNW480" s="1831"/>
      <c r="UNX480" s="1831"/>
      <c r="UNY480" s="1831"/>
      <c r="UNZ480" s="1831"/>
      <c r="UOA480" s="1831"/>
      <c r="UOB480" s="1831"/>
      <c r="UOC480" s="1831"/>
      <c r="UOD480" s="1831"/>
      <c r="UOE480" s="1831"/>
      <c r="UOF480" s="1831"/>
      <c r="UOG480" s="1831"/>
      <c r="UOH480" s="1831"/>
      <c r="UOI480" s="1831"/>
      <c r="UOJ480" s="1831"/>
      <c r="UOK480" s="1831"/>
      <c r="UOL480" s="1831"/>
      <c r="UOM480" s="1831"/>
      <c r="UON480" s="1831"/>
      <c r="UOO480" s="1831"/>
      <c r="UOP480" s="1831"/>
      <c r="UOQ480" s="1831"/>
      <c r="UOR480" s="1831"/>
      <c r="UOS480" s="1831"/>
      <c r="UOT480" s="1831"/>
      <c r="UOU480" s="1831"/>
      <c r="UOV480" s="1831"/>
      <c r="UOW480" s="1831"/>
      <c r="UOX480" s="1831"/>
      <c r="UOY480" s="1831"/>
      <c r="UOZ480" s="1831"/>
      <c r="UPA480" s="1831"/>
      <c r="UPB480" s="1831"/>
      <c r="UPC480" s="1831"/>
      <c r="UPD480" s="1831"/>
      <c r="UPE480" s="1831"/>
      <c r="UPF480" s="1831"/>
      <c r="UPG480" s="1831"/>
      <c r="UPH480" s="1831"/>
      <c r="UPI480" s="1831"/>
      <c r="UPJ480" s="1831"/>
      <c r="UPK480" s="1831"/>
      <c r="UPL480" s="1831"/>
      <c r="UPM480" s="1831"/>
      <c r="UPN480" s="1831"/>
      <c r="UPO480" s="1831"/>
      <c r="UPP480" s="1831"/>
      <c r="UPQ480" s="1831"/>
      <c r="UPR480" s="1831"/>
      <c r="UPS480" s="1831"/>
      <c r="UPT480" s="1831"/>
      <c r="UPU480" s="1831"/>
      <c r="UPV480" s="1831"/>
      <c r="UPW480" s="1831"/>
      <c r="UPX480" s="1831"/>
      <c r="UPY480" s="1831"/>
      <c r="UPZ480" s="1831"/>
      <c r="UQA480" s="1831"/>
      <c r="UQB480" s="1831"/>
      <c r="UQC480" s="1831"/>
      <c r="UQD480" s="1831"/>
      <c r="UQE480" s="1831"/>
      <c r="UQF480" s="1831"/>
      <c r="UQG480" s="1831"/>
      <c r="UQH480" s="1831"/>
      <c r="UQI480" s="1831"/>
      <c r="UQJ480" s="1831"/>
      <c r="UQK480" s="1831"/>
      <c r="UQL480" s="1831"/>
      <c r="UQM480" s="1831"/>
      <c r="UQN480" s="1831"/>
      <c r="UQO480" s="1831"/>
      <c r="UQP480" s="1831"/>
      <c r="UQQ480" s="1831"/>
      <c r="UQR480" s="1831"/>
      <c r="UQS480" s="1831"/>
      <c r="UQT480" s="1831"/>
      <c r="UQU480" s="1831"/>
      <c r="UQV480" s="1831"/>
      <c r="UQW480" s="1831"/>
      <c r="UQX480" s="1831"/>
      <c r="UQY480" s="1831"/>
      <c r="UQZ480" s="1831"/>
      <c r="URA480" s="1831"/>
      <c r="URB480" s="1831"/>
      <c r="URC480" s="1831"/>
      <c r="URD480" s="1831"/>
      <c r="URE480" s="1831"/>
      <c r="URF480" s="1831"/>
      <c r="URG480" s="1831"/>
      <c r="URH480" s="1831"/>
      <c r="URI480" s="1831"/>
      <c r="URJ480" s="1831"/>
      <c r="URK480" s="1831"/>
      <c r="URL480" s="1831"/>
      <c r="URM480" s="1831"/>
      <c r="URN480" s="1831"/>
      <c r="URO480" s="1831"/>
      <c r="URP480" s="1831"/>
      <c r="URQ480" s="1831"/>
      <c r="URR480" s="1831"/>
      <c r="URS480" s="1831"/>
      <c r="URT480" s="1831"/>
      <c r="URU480" s="1831"/>
      <c r="URV480" s="1831"/>
      <c r="URW480" s="1831"/>
      <c r="URX480" s="1831"/>
      <c r="URY480" s="1831"/>
      <c r="URZ480" s="1831"/>
      <c r="USA480" s="1831"/>
      <c r="USB480" s="1831"/>
      <c r="USC480" s="1831"/>
      <c r="USD480" s="1831"/>
      <c r="USE480" s="1831"/>
      <c r="USF480" s="1831"/>
      <c r="USG480" s="1831"/>
      <c r="USH480" s="1831"/>
      <c r="USI480" s="1831"/>
      <c r="USJ480" s="1831"/>
      <c r="USK480" s="1831"/>
      <c r="USL480" s="1831"/>
      <c r="USM480" s="1831"/>
      <c r="USN480" s="1831"/>
      <c r="USO480" s="1831"/>
      <c r="USP480" s="1831"/>
      <c r="USQ480" s="1831"/>
      <c r="USR480" s="1831"/>
      <c r="USS480" s="1831"/>
      <c r="UST480" s="1831"/>
      <c r="USU480" s="1831"/>
      <c r="USV480" s="1831"/>
      <c r="USW480" s="1831"/>
      <c r="USX480" s="1831"/>
      <c r="USY480" s="1831"/>
      <c r="USZ480" s="1831"/>
      <c r="UTA480" s="1831"/>
      <c r="UTB480" s="1831"/>
      <c r="UTC480" s="1831"/>
      <c r="UTD480" s="1831"/>
      <c r="UTE480" s="1831"/>
      <c r="UTF480" s="1831"/>
      <c r="UTG480" s="1831"/>
      <c r="UTH480" s="1831"/>
      <c r="UTI480" s="1831"/>
      <c r="UTJ480" s="1831"/>
      <c r="UTK480" s="1831"/>
      <c r="UTL480" s="1831"/>
      <c r="UTM480" s="1831"/>
      <c r="UTN480" s="1831"/>
      <c r="UTO480" s="1831"/>
      <c r="UTP480" s="1831"/>
      <c r="UTQ480" s="1831"/>
      <c r="UTR480" s="1831"/>
      <c r="UTS480" s="1831"/>
      <c r="UTT480" s="1831"/>
      <c r="UTU480" s="1831"/>
      <c r="UTV480" s="1831"/>
      <c r="UTW480" s="1831"/>
      <c r="UTX480" s="1831"/>
      <c r="UTY480" s="1831"/>
      <c r="UTZ480" s="1831"/>
      <c r="UUA480" s="1831"/>
      <c r="UUB480" s="1831"/>
      <c r="UUC480" s="1831"/>
      <c r="UUD480" s="1831"/>
      <c r="UUE480" s="1831"/>
      <c r="UUF480" s="1831"/>
      <c r="UUG480" s="1831"/>
      <c r="UUH480" s="1831"/>
      <c r="UUI480" s="1831"/>
      <c r="UUJ480" s="1831"/>
      <c r="UUK480" s="1831"/>
      <c r="UUL480" s="1831"/>
      <c r="UUM480" s="1831"/>
      <c r="UUN480" s="1831"/>
      <c r="UUO480" s="1831"/>
      <c r="UUP480" s="1831"/>
      <c r="UUQ480" s="1831"/>
      <c r="UUR480" s="1831"/>
      <c r="UUS480" s="1831"/>
      <c r="UUT480" s="1831"/>
      <c r="UUU480" s="1831"/>
      <c r="UUV480" s="1831"/>
      <c r="UUW480" s="1831"/>
      <c r="UUX480" s="1831"/>
      <c r="UUY480" s="1831"/>
      <c r="UUZ480" s="1831"/>
      <c r="UVA480" s="1831"/>
      <c r="UVB480" s="1831"/>
      <c r="UVC480" s="1831"/>
      <c r="UVD480" s="1831"/>
      <c r="UVE480" s="1831"/>
      <c r="UVF480" s="1831"/>
      <c r="UVG480" s="1831"/>
      <c r="UVH480" s="1831"/>
      <c r="UVI480" s="1831"/>
      <c r="UVJ480" s="1831"/>
      <c r="UVK480" s="1831"/>
      <c r="UVL480" s="1831"/>
      <c r="UVM480" s="1831"/>
      <c r="UVN480" s="1831"/>
      <c r="UVO480" s="1831"/>
      <c r="UVP480" s="1831"/>
      <c r="UVQ480" s="1831"/>
      <c r="UVR480" s="1831"/>
      <c r="UVS480" s="1831"/>
      <c r="UVT480" s="1831"/>
      <c r="UVU480" s="1831"/>
      <c r="UVV480" s="1831"/>
      <c r="UVW480" s="1831"/>
      <c r="UVX480" s="1831"/>
      <c r="UVY480" s="1831"/>
      <c r="UVZ480" s="1831"/>
      <c r="UWA480" s="1831"/>
      <c r="UWB480" s="1831"/>
      <c r="UWC480" s="1831"/>
      <c r="UWD480" s="1831"/>
      <c r="UWE480" s="1831"/>
      <c r="UWF480" s="1831"/>
      <c r="UWG480" s="1831"/>
      <c r="UWH480" s="1831"/>
      <c r="UWI480" s="1831"/>
      <c r="UWJ480" s="1831"/>
      <c r="UWK480" s="1831"/>
      <c r="UWL480" s="1831"/>
      <c r="UWM480" s="1831"/>
      <c r="UWN480" s="1831"/>
      <c r="UWO480" s="1831"/>
      <c r="UWP480" s="1831"/>
      <c r="UWQ480" s="1831"/>
      <c r="UWR480" s="1831"/>
      <c r="UWS480" s="1831"/>
      <c r="UWT480" s="1831"/>
      <c r="UWU480" s="1831"/>
      <c r="UWV480" s="1831"/>
      <c r="UWW480" s="1831"/>
      <c r="UWX480" s="1831"/>
      <c r="UWY480" s="1831"/>
      <c r="UWZ480" s="1831"/>
      <c r="UXA480" s="1831"/>
      <c r="UXB480" s="1831"/>
      <c r="UXC480" s="1831"/>
      <c r="UXD480" s="1831"/>
      <c r="UXE480" s="1831"/>
      <c r="UXF480" s="1831"/>
      <c r="UXG480" s="1831"/>
      <c r="UXH480" s="1831"/>
      <c r="UXI480" s="1831"/>
      <c r="UXJ480" s="1831"/>
      <c r="UXK480" s="1831"/>
      <c r="UXL480" s="1831"/>
      <c r="UXM480" s="1831"/>
      <c r="UXN480" s="1831"/>
      <c r="UXO480" s="1831"/>
      <c r="UXP480" s="1831"/>
      <c r="UXQ480" s="1831"/>
      <c r="UXR480" s="1831"/>
      <c r="UXS480" s="1831"/>
      <c r="UXT480" s="1831"/>
      <c r="UXU480" s="1831"/>
      <c r="UXV480" s="1831"/>
      <c r="UXW480" s="1831"/>
      <c r="UXX480" s="1831"/>
      <c r="UXY480" s="1831"/>
      <c r="UXZ480" s="1831"/>
      <c r="UYA480" s="1831"/>
      <c r="UYB480" s="1831"/>
      <c r="UYC480" s="1831"/>
      <c r="UYD480" s="1831"/>
      <c r="UYE480" s="1831"/>
      <c r="UYF480" s="1831"/>
      <c r="UYG480" s="1831"/>
      <c r="UYH480" s="1831"/>
      <c r="UYI480" s="1831"/>
      <c r="UYJ480" s="1831"/>
      <c r="UYK480" s="1831"/>
      <c r="UYL480" s="1831"/>
      <c r="UYM480" s="1831"/>
      <c r="UYN480" s="1831"/>
      <c r="UYO480" s="1831"/>
      <c r="UYP480" s="1831"/>
      <c r="UYQ480" s="1831"/>
      <c r="UYR480" s="1831"/>
      <c r="UYS480" s="1831"/>
      <c r="UYT480" s="1831"/>
      <c r="UYU480" s="1831"/>
      <c r="UYV480" s="1831"/>
      <c r="UYW480" s="1831"/>
      <c r="UYX480" s="1831"/>
      <c r="UYY480" s="1831"/>
      <c r="UYZ480" s="1831"/>
      <c r="UZA480" s="1831"/>
      <c r="UZB480" s="1831"/>
      <c r="UZC480" s="1831"/>
      <c r="UZD480" s="1831"/>
      <c r="UZE480" s="1831"/>
      <c r="UZF480" s="1831"/>
      <c r="UZG480" s="1831"/>
      <c r="UZH480" s="1831"/>
      <c r="UZI480" s="1831"/>
      <c r="UZJ480" s="1831"/>
      <c r="UZK480" s="1831"/>
      <c r="UZL480" s="1831"/>
      <c r="UZM480" s="1831"/>
      <c r="UZN480" s="1831"/>
      <c r="UZO480" s="1831"/>
      <c r="UZP480" s="1831"/>
      <c r="UZQ480" s="1831"/>
      <c r="UZR480" s="1831"/>
      <c r="UZS480" s="1831"/>
      <c r="UZT480" s="1831"/>
      <c r="UZU480" s="1831"/>
      <c r="UZV480" s="1831"/>
      <c r="UZW480" s="1831"/>
      <c r="UZX480" s="1831"/>
      <c r="UZY480" s="1831"/>
      <c r="UZZ480" s="1831"/>
      <c r="VAA480" s="1831"/>
      <c r="VAB480" s="1831"/>
      <c r="VAC480" s="1831"/>
      <c r="VAD480" s="1831"/>
      <c r="VAE480" s="1831"/>
      <c r="VAF480" s="1831"/>
      <c r="VAG480" s="1831"/>
      <c r="VAH480" s="1831"/>
      <c r="VAI480" s="1831"/>
      <c r="VAJ480" s="1831"/>
      <c r="VAK480" s="1831"/>
      <c r="VAL480" s="1831"/>
      <c r="VAM480" s="1831"/>
      <c r="VAN480" s="1831"/>
      <c r="VAO480" s="1831"/>
      <c r="VAP480" s="1831"/>
      <c r="VAQ480" s="1831"/>
      <c r="VAR480" s="1831"/>
      <c r="VAS480" s="1831"/>
      <c r="VAT480" s="1831"/>
      <c r="VAU480" s="1831"/>
      <c r="VAV480" s="1831"/>
      <c r="VAW480" s="1831"/>
      <c r="VAX480" s="1831"/>
      <c r="VAY480" s="1831"/>
      <c r="VAZ480" s="1831"/>
      <c r="VBA480" s="1831"/>
      <c r="VBB480" s="1831"/>
      <c r="VBC480" s="1831"/>
      <c r="VBD480" s="1831"/>
      <c r="VBE480" s="1831"/>
      <c r="VBF480" s="1831"/>
      <c r="VBG480" s="1831"/>
      <c r="VBH480" s="1831"/>
      <c r="VBI480" s="1831"/>
      <c r="VBJ480" s="1831"/>
      <c r="VBK480" s="1831"/>
      <c r="VBL480" s="1831"/>
      <c r="VBM480" s="1831"/>
      <c r="VBN480" s="1831"/>
      <c r="VBO480" s="1831"/>
      <c r="VBP480" s="1831"/>
      <c r="VBQ480" s="1831"/>
      <c r="VBR480" s="1831"/>
      <c r="VBS480" s="1831"/>
      <c r="VBT480" s="1831"/>
      <c r="VBU480" s="1831"/>
      <c r="VBV480" s="1831"/>
      <c r="VBW480" s="1831"/>
      <c r="VBX480" s="1831"/>
      <c r="VBY480" s="1831"/>
      <c r="VBZ480" s="1831"/>
      <c r="VCA480" s="1831"/>
      <c r="VCB480" s="1831"/>
      <c r="VCC480" s="1831"/>
      <c r="VCD480" s="1831"/>
      <c r="VCE480" s="1831"/>
      <c r="VCF480" s="1831"/>
      <c r="VCG480" s="1831"/>
      <c r="VCH480" s="1831"/>
      <c r="VCI480" s="1831"/>
      <c r="VCJ480" s="1831"/>
      <c r="VCK480" s="1831"/>
      <c r="VCL480" s="1831"/>
      <c r="VCM480" s="1831"/>
      <c r="VCN480" s="1831"/>
      <c r="VCO480" s="1831"/>
      <c r="VCP480" s="1831"/>
      <c r="VCQ480" s="1831"/>
      <c r="VCR480" s="1831"/>
      <c r="VCS480" s="1831"/>
      <c r="VCT480" s="1831"/>
      <c r="VCU480" s="1831"/>
      <c r="VCV480" s="1831"/>
      <c r="VCW480" s="1831"/>
      <c r="VCX480" s="1831"/>
      <c r="VCY480" s="1831"/>
      <c r="VCZ480" s="1831"/>
      <c r="VDA480" s="1831"/>
      <c r="VDB480" s="1831"/>
      <c r="VDC480" s="1831"/>
      <c r="VDD480" s="1831"/>
      <c r="VDE480" s="1831"/>
      <c r="VDF480" s="1831"/>
      <c r="VDG480" s="1831"/>
      <c r="VDH480" s="1831"/>
      <c r="VDI480" s="1831"/>
      <c r="VDJ480" s="1831"/>
      <c r="VDK480" s="1831"/>
      <c r="VDL480" s="1831"/>
      <c r="VDM480" s="1831"/>
      <c r="VDN480" s="1831"/>
      <c r="VDO480" s="1831"/>
      <c r="VDP480" s="1831"/>
      <c r="VDQ480" s="1831"/>
      <c r="VDR480" s="1831"/>
      <c r="VDS480" s="1831"/>
      <c r="VDT480" s="1831"/>
      <c r="VDU480" s="1831"/>
      <c r="VDV480" s="1831"/>
      <c r="VDW480" s="1831"/>
      <c r="VDX480" s="1831"/>
      <c r="VDY480" s="1831"/>
      <c r="VDZ480" s="1831"/>
      <c r="VEA480" s="1831"/>
      <c r="VEB480" s="1831"/>
      <c r="VEC480" s="1831"/>
      <c r="VED480" s="1831"/>
      <c r="VEE480" s="1831"/>
      <c r="VEF480" s="1831"/>
      <c r="VEG480" s="1831"/>
      <c r="VEH480" s="1831"/>
      <c r="VEI480" s="1831"/>
      <c r="VEJ480" s="1831"/>
      <c r="VEK480" s="1831"/>
      <c r="VEL480" s="1831"/>
      <c r="VEM480" s="1831"/>
      <c r="VEN480" s="1831"/>
      <c r="VEO480" s="1831"/>
      <c r="VEP480" s="1831"/>
      <c r="VEQ480" s="1831"/>
      <c r="VER480" s="1831"/>
      <c r="VES480" s="1831"/>
      <c r="VET480" s="1831"/>
      <c r="VEU480" s="1831"/>
      <c r="VEV480" s="1831"/>
      <c r="VEW480" s="1831"/>
      <c r="VEX480" s="1831"/>
      <c r="VEY480" s="1831"/>
      <c r="VEZ480" s="1831"/>
      <c r="VFA480" s="1831"/>
      <c r="VFB480" s="1831"/>
      <c r="VFC480" s="1831"/>
      <c r="VFD480" s="1831"/>
      <c r="VFE480" s="1831"/>
      <c r="VFF480" s="1831"/>
      <c r="VFG480" s="1831"/>
      <c r="VFH480" s="1831"/>
      <c r="VFI480" s="1831"/>
      <c r="VFJ480" s="1831"/>
      <c r="VFK480" s="1831"/>
      <c r="VFL480" s="1831"/>
      <c r="VFM480" s="1831"/>
      <c r="VFN480" s="1831"/>
      <c r="VFO480" s="1831"/>
      <c r="VFP480" s="1831"/>
      <c r="VFQ480" s="1831"/>
      <c r="VFR480" s="1831"/>
      <c r="VFS480" s="1831"/>
      <c r="VFT480" s="1831"/>
      <c r="VFU480" s="1831"/>
      <c r="VFV480" s="1831"/>
      <c r="VFW480" s="1831"/>
      <c r="VFX480" s="1831"/>
      <c r="VFY480" s="1831"/>
      <c r="VFZ480" s="1831"/>
      <c r="VGA480" s="1831"/>
      <c r="VGB480" s="1831"/>
      <c r="VGC480" s="1831"/>
      <c r="VGD480" s="1831"/>
      <c r="VGE480" s="1831"/>
      <c r="VGF480" s="1831"/>
      <c r="VGG480" s="1831"/>
      <c r="VGH480" s="1831"/>
      <c r="VGI480" s="1831"/>
      <c r="VGJ480" s="1831"/>
      <c r="VGK480" s="1831"/>
      <c r="VGL480" s="1831"/>
      <c r="VGM480" s="1831"/>
      <c r="VGN480" s="1831"/>
      <c r="VGO480" s="1831"/>
      <c r="VGP480" s="1831"/>
      <c r="VGQ480" s="1831"/>
      <c r="VGR480" s="1831"/>
      <c r="VGS480" s="1831"/>
      <c r="VGT480" s="1831"/>
      <c r="VGU480" s="1831"/>
      <c r="VGV480" s="1831"/>
      <c r="VGW480" s="1831"/>
      <c r="VGX480" s="1831"/>
      <c r="VGY480" s="1831"/>
      <c r="VGZ480" s="1831"/>
      <c r="VHA480" s="1831"/>
      <c r="VHB480" s="1831"/>
      <c r="VHC480" s="1831"/>
      <c r="VHD480" s="1831"/>
      <c r="VHE480" s="1831"/>
      <c r="VHF480" s="1831"/>
      <c r="VHG480" s="1831"/>
      <c r="VHH480" s="1831"/>
      <c r="VHI480" s="1831"/>
      <c r="VHJ480" s="1831"/>
      <c r="VHK480" s="1831"/>
      <c r="VHL480" s="1831"/>
      <c r="VHM480" s="1831"/>
      <c r="VHN480" s="1831"/>
      <c r="VHO480" s="1831"/>
      <c r="VHP480" s="1831"/>
      <c r="VHQ480" s="1831"/>
      <c r="VHR480" s="1831"/>
      <c r="VHS480" s="1831"/>
      <c r="VHT480" s="1831"/>
      <c r="VHU480" s="1831"/>
      <c r="VHV480" s="1831"/>
      <c r="VHW480" s="1831"/>
      <c r="VHX480" s="1831"/>
      <c r="VHY480" s="1831"/>
      <c r="VHZ480" s="1831"/>
      <c r="VIA480" s="1831"/>
      <c r="VIB480" s="1831"/>
      <c r="VIC480" s="1831"/>
      <c r="VID480" s="1831"/>
      <c r="VIE480" s="1831"/>
      <c r="VIF480" s="1831"/>
      <c r="VIG480" s="1831"/>
      <c r="VIH480" s="1831"/>
      <c r="VII480" s="1831"/>
      <c r="VIJ480" s="1831"/>
      <c r="VIK480" s="1831"/>
      <c r="VIL480" s="1831"/>
      <c r="VIM480" s="1831"/>
      <c r="VIN480" s="1831"/>
      <c r="VIO480" s="1831"/>
      <c r="VIP480" s="1831"/>
      <c r="VIQ480" s="1831"/>
      <c r="VIR480" s="1831"/>
      <c r="VIS480" s="1831"/>
      <c r="VIT480" s="1831"/>
      <c r="VIU480" s="1831"/>
      <c r="VIV480" s="1831"/>
      <c r="VIW480" s="1831"/>
      <c r="VIX480" s="1831"/>
      <c r="VIY480" s="1831"/>
      <c r="VIZ480" s="1831"/>
      <c r="VJA480" s="1831"/>
      <c r="VJB480" s="1831"/>
      <c r="VJC480" s="1831"/>
      <c r="VJD480" s="1831"/>
      <c r="VJE480" s="1831"/>
      <c r="VJF480" s="1831"/>
      <c r="VJG480" s="1831"/>
      <c r="VJH480" s="1831"/>
      <c r="VJI480" s="1831"/>
      <c r="VJJ480" s="1831"/>
      <c r="VJK480" s="1831"/>
      <c r="VJL480" s="1831"/>
      <c r="VJM480" s="1831"/>
      <c r="VJN480" s="1831"/>
      <c r="VJO480" s="1831"/>
      <c r="VJP480" s="1831"/>
      <c r="VJQ480" s="1831"/>
      <c r="VJR480" s="1831"/>
      <c r="VJS480" s="1831"/>
      <c r="VJT480" s="1831"/>
      <c r="VJU480" s="1831"/>
      <c r="VJV480" s="1831"/>
      <c r="VJW480" s="1831"/>
      <c r="VJX480" s="1831"/>
      <c r="VJY480" s="1831"/>
      <c r="VJZ480" s="1831"/>
      <c r="VKA480" s="1831"/>
      <c r="VKB480" s="1831"/>
      <c r="VKC480" s="1831"/>
      <c r="VKD480" s="1831"/>
      <c r="VKE480" s="1831"/>
      <c r="VKF480" s="1831"/>
      <c r="VKG480" s="1831"/>
      <c r="VKH480" s="1831"/>
      <c r="VKI480" s="1831"/>
      <c r="VKJ480" s="1831"/>
      <c r="VKK480" s="1831"/>
      <c r="VKL480" s="1831"/>
      <c r="VKM480" s="1831"/>
      <c r="VKN480" s="1831"/>
      <c r="VKO480" s="1831"/>
      <c r="VKP480" s="1831"/>
      <c r="VKQ480" s="1831"/>
      <c r="VKR480" s="1831"/>
      <c r="VKS480" s="1831"/>
      <c r="VKT480" s="1831"/>
      <c r="VKU480" s="1831"/>
      <c r="VKV480" s="1831"/>
      <c r="VKW480" s="1831"/>
      <c r="VKX480" s="1831"/>
      <c r="VKY480" s="1831"/>
      <c r="VKZ480" s="1831"/>
      <c r="VLA480" s="1831"/>
      <c r="VLB480" s="1831"/>
      <c r="VLC480" s="1831"/>
      <c r="VLD480" s="1831"/>
      <c r="VLE480" s="1831"/>
      <c r="VLF480" s="1831"/>
      <c r="VLG480" s="1831"/>
      <c r="VLH480" s="1831"/>
      <c r="VLI480" s="1831"/>
      <c r="VLJ480" s="1831"/>
      <c r="VLK480" s="1831"/>
      <c r="VLL480" s="1831"/>
      <c r="VLM480" s="1831"/>
      <c r="VLN480" s="1831"/>
      <c r="VLO480" s="1831"/>
      <c r="VLP480" s="1831"/>
      <c r="VLQ480" s="1831"/>
      <c r="VLR480" s="1831"/>
      <c r="VLS480" s="1831"/>
      <c r="VLT480" s="1831"/>
      <c r="VLU480" s="1831"/>
      <c r="VLV480" s="1831"/>
      <c r="VLW480" s="1831"/>
      <c r="VLX480" s="1831"/>
      <c r="VLY480" s="1831"/>
      <c r="VLZ480" s="1831"/>
      <c r="VMA480" s="1831"/>
      <c r="VMB480" s="1831"/>
      <c r="VMC480" s="1831"/>
      <c r="VMD480" s="1831"/>
      <c r="VME480" s="1831"/>
      <c r="VMF480" s="1831"/>
      <c r="VMG480" s="1831"/>
      <c r="VMH480" s="1831"/>
      <c r="VMI480" s="1831"/>
      <c r="VMJ480" s="1831"/>
      <c r="VMK480" s="1831"/>
      <c r="VML480" s="1831"/>
      <c r="VMM480" s="1831"/>
      <c r="VMN480" s="1831"/>
      <c r="VMO480" s="1831"/>
      <c r="VMP480" s="1831"/>
      <c r="VMQ480" s="1831"/>
      <c r="VMR480" s="1831"/>
      <c r="VMS480" s="1831"/>
      <c r="VMT480" s="1831"/>
      <c r="VMU480" s="1831"/>
      <c r="VMV480" s="1831"/>
      <c r="VMW480" s="1831"/>
      <c r="VMX480" s="1831"/>
      <c r="VMY480" s="1831"/>
      <c r="VMZ480" s="1831"/>
      <c r="VNA480" s="1831"/>
      <c r="VNB480" s="1831"/>
      <c r="VNC480" s="1831"/>
      <c r="VND480" s="1831"/>
      <c r="VNE480" s="1831"/>
      <c r="VNF480" s="1831"/>
      <c r="VNG480" s="1831"/>
      <c r="VNH480" s="1831"/>
      <c r="VNI480" s="1831"/>
      <c r="VNJ480" s="1831"/>
      <c r="VNK480" s="1831"/>
      <c r="VNL480" s="1831"/>
      <c r="VNM480" s="1831"/>
      <c r="VNN480" s="1831"/>
      <c r="VNO480" s="1831"/>
      <c r="VNP480" s="1831"/>
      <c r="VNQ480" s="1831"/>
      <c r="VNR480" s="1831"/>
      <c r="VNS480" s="1831"/>
      <c r="VNT480" s="1831"/>
      <c r="VNU480" s="1831"/>
      <c r="VNV480" s="1831"/>
      <c r="VNW480" s="1831"/>
      <c r="VNX480" s="1831"/>
      <c r="VNY480" s="1831"/>
      <c r="VNZ480" s="1831"/>
      <c r="VOA480" s="1831"/>
      <c r="VOB480" s="1831"/>
      <c r="VOC480" s="1831"/>
      <c r="VOD480" s="1831"/>
      <c r="VOE480" s="1831"/>
      <c r="VOF480" s="1831"/>
      <c r="VOG480" s="1831"/>
      <c r="VOH480" s="1831"/>
      <c r="VOI480" s="1831"/>
      <c r="VOJ480" s="1831"/>
      <c r="VOK480" s="1831"/>
      <c r="VOL480" s="1831"/>
      <c r="VOM480" s="1831"/>
      <c r="VON480" s="1831"/>
      <c r="VOO480" s="1831"/>
      <c r="VOP480" s="1831"/>
      <c r="VOQ480" s="1831"/>
      <c r="VOR480" s="1831"/>
      <c r="VOS480" s="1831"/>
      <c r="VOT480" s="1831"/>
      <c r="VOU480" s="1831"/>
      <c r="VOV480" s="1831"/>
      <c r="VOW480" s="1831"/>
      <c r="VOX480" s="1831"/>
      <c r="VOY480" s="1831"/>
      <c r="VOZ480" s="1831"/>
      <c r="VPA480" s="1831"/>
      <c r="VPB480" s="1831"/>
      <c r="VPC480" s="1831"/>
      <c r="VPD480" s="1831"/>
      <c r="VPE480" s="1831"/>
      <c r="VPF480" s="1831"/>
      <c r="VPG480" s="1831"/>
      <c r="VPH480" s="1831"/>
      <c r="VPI480" s="1831"/>
      <c r="VPJ480" s="1831"/>
      <c r="VPK480" s="1831"/>
      <c r="VPL480" s="1831"/>
      <c r="VPM480" s="1831"/>
      <c r="VPN480" s="1831"/>
      <c r="VPO480" s="1831"/>
      <c r="VPP480" s="1831"/>
      <c r="VPQ480" s="1831"/>
      <c r="VPR480" s="1831"/>
      <c r="VPS480" s="1831"/>
      <c r="VPT480" s="1831"/>
      <c r="VPU480" s="1831"/>
      <c r="VPV480" s="1831"/>
      <c r="VPW480" s="1831"/>
      <c r="VPX480" s="1831"/>
      <c r="VPY480" s="1831"/>
      <c r="VPZ480" s="1831"/>
      <c r="VQA480" s="1831"/>
      <c r="VQB480" s="1831"/>
      <c r="VQC480" s="1831"/>
      <c r="VQD480" s="1831"/>
      <c r="VQE480" s="1831"/>
      <c r="VQF480" s="1831"/>
      <c r="VQG480" s="1831"/>
      <c r="VQH480" s="1831"/>
      <c r="VQI480" s="1831"/>
      <c r="VQJ480" s="1831"/>
      <c r="VQK480" s="1831"/>
      <c r="VQL480" s="1831"/>
      <c r="VQM480" s="1831"/>
      <c r="VQN480" s="1831"/>
      <c r="VQO480" s="1831"/>
      <c r="VQP480" s="1831"/>
      <c r="VQQ480" s="1831"/>
      <c r="VQR480" s="1831"/>
      <c r="VQS480" s="1831"/>
      <c r="VQT480" s="1831"/>
      <c r="VQU480" s="1831"/>
      <c r="VQV480" s="1831"/>
      <c r="VQW480" s="1831"/>
      <c r="VQX480" s="1831"/>
      <c r="VQY480" s="1831"/>
      <c r="VQZ480" s="1831"/>
      <c r="VRA480" s="1831"/>
      <c r="VRB480" s="1831"/>
      <c r="VRC480" s="1831"/>
      <c r="VRD480" s="1831"/>
      <c r="VRE480" s="1831"/>
      <c r="VRF480" s="1831"/>
      <c r="VRG480" s="1831"/>
      <c r="VRH480" s="1831"/>
      <c r="VRI480" s="1831"/>
      <c r="VRJ480" s="1831"/>
      <c r="VRK480" s="1831"/>
      <c r="VRL480" s="1831"/>
      <c r="VRM480" s="1831"/>
      <c r="VRN480" s="1831"/>
      <c r="VRO480" s="1831"/>
      <c r="VRP480" s="1831"/>
      <c r="VRQ480" s="1831"/>
      <c r="VRR480" s="1831"/>
      <c r="VRS480" s="1831"/>
      <c r="VRT480" s="1831"/>
      <c r="VRU480" s="1831"/>
      <c r="VRV480" s="1831"/>
      <c r="VRW480" s="1831"/>
      <c r="VRX480" s="1831"/>
      <c r="VRY480" s="1831"/>
      <c r="VRZ480" s="1831"/>
      <c r="VSA480" s="1831"/>
      <c r="VSB480" s="1831"/>
      <c r="VSC480" s="1831"/>
      <c r="VSD480" s="1831"/>
      <c r="VSE480" s="1831"/>
      <c r="VSF480" s="1831"/>
      <c r="VSG480" s="1831"/>
      <c r="VSH480" s="1831"/>
      <c r="VSI480" s="1831"/>
      <c r="VSJ480" s="1831"/>
      <c r="VSK480" s="1831"/>
      <c r="VSL480" s="1831"/>
      <c r="VSM480" s="1831"/>
      <c r="VSN480" s="1831"/>
      <c r="VSO480" s="1831"/>
      <c r="VSP480" s="1831"/>
      <c r="VSQ480" s="1831"/>
      <c r="VSR480" s="1831"/>
      <c r="VSS480" s="1831"/>
      <c r="VST480" s="1831"/>
      <c r="VSU480" s="1831"/>
      <c r="VSV480" s="1831"/>
      <c r="VSW480" s="1831"/>
      <c r="VSX480" s="1831"/>
      <c r="VSY480" s="1831"/>
      <c r="VSZ480" s="1831"/>
      <c r="VTA480" s="1831"/>
      <c r="VTB480" s="1831"/>
      <c r="VTC480" s="1831"/>
      <c r="VTD480" s="1831"/>
      <c r="VTE480" s="1831"/>
      <c r="VTF480" s="1831"/>
      <c r="VTG480" s="1831"/>
      <c r="VTH480" s="1831"/>
      <c r="VTI480" s="1831"/>
      <c r="VTJ480" s="1831"/>
      <c r="VTK480" s="1831"/>
      <c r="VTL480" s="1831"/>
      <c r="VTM480" s="1831"/>
      <c r="VTN480" s="1831"/>
      <c r="VTO480" s="1831"/>
      <c r="VTP480" s="1831"/>
      <c r="VTQ480" s="1831"/>
      <c r="VTR480" s="1831"/>
      <c r="VTS480" s="1831"/>
      <c r="VTT480" s="1831"/>
      <c r="VTU480" s="1831"/>
      <c r="VTV480" s="1831"/>
      <c r="VTW480" s="1831"/>
      <c r="VTX480" s="1831"/>
      <c r="VTY480" s="1831"/>
      <c r="VTZ480" s="1831"/>
      <c r="VUA480" s="1831"/>
      <c r="VUB480" s="1831"/>
      <c r="VUC480" s="1831"/>
      <c r="VUD480" s="1831"/>
      <c r="VUE480" s="1831"/>
      <c r="VUF480" s="1831"/>
      <c r="VUG480" s="1831"/>
      <c r="VUH480" s="1831"/>
      <c r="VUI480" s="1831"/>
      <c r="VUJ480" s="1831"/>
      <c r="VUK480" s="1831"/>
      <c r="VUL480" s="1831"/>
      <c r="VUM480" s="1831"/>
      <c r="VUN480" s="1831"/>
      <c r="VUO480" s="1831"/>
      <c r="VUP480" s="1831"/>
      <c r="VUQ480" s="1831"/>
      <c r="VUR480" s="1831"/>
      <c r="VUS480" s="1831"/>
      <c r="VUT480" s="1831"/>
      <c r="VUU480" s="1831"/>
      <c r="VUV480" s="1831"/>
      <c r="VUW480" s="1831"/>
      <c r="VUX480" s="1831"/>
      <c r="VUY480" s="1831"/>
      <c r="VUZ480" s="1831"/>
      <c r="VVA480" s="1831"/>
      <c r="VVB480" s="1831"/>
      <c r="VVC480" s="1831"/>
      <c r="VVD480" s="1831"/>
      <c r="VVE480" s="1831"/>
      <c r="VVF480" s="1831"/>
      <c r="VVG480" s="1831"/>
      <c r="VVH480" s="1831"/>
      <c r="VVI480" s="1831"/>
      <c r="VVJ480" s="1831"/>
      <c r="VVK480" s="1831"/>
      <c r="VVL480" s="1831"/>
      <c r="VVM480" s="1831"/>
      <c r="VVN480" s="1831"/>
      <c r="VVO480" s="1831"/>
      <c r="VVP480" s="1831"/>
      <c r="VVQ480" s="1831"/>
      <c r="VVR480" s="1831"/>
      <c r="VVS480" s="1831"/>
      <c r="VVT480" s="1831"/>
      <c r="VVU480" s="1831"/>
      <c r="VVV480" s="1831"/>
      <c r="VVW480" s="1831"/>
      <c r="VVX480" s="1831"/>
      <c r="VVY480" s="1831"/>
      <c r="VVZ480" s="1831"/>
      <c r="VWA480" s="1831"/>
      <c r="VWB480" s="1831"/>
      <c r="VWC480" s="1831"/>
      <c r="VWD480" s="1831"/>
      <c r="VWE480" s="1831"/>
      <c r="VWF480" s="1831"/>
      <c r="VWG480" s="1831"/>
      <c r="VWH480" s="1831"/>
      <c r="VWI480" s="1831"/>
      <c r="VWJ480" s="1831"/>
      <c r="VWK480" s="1831"/>
      <c r="VWL480" s="1831"/>
      <c r="VWM480" s="1831"/>
      <c r="VWN480" s="1831"/>
      <c r="VWO480" s="1831"/>
      <c r="VWP480" s="1831"/>
      <c r="VWQ480" s="1831"/>
      <c r="VWR480" s="1831"/>
      <c r="VWS480" s="1831"/>
      <c r="VWT480" s="1831"/>
      <c r="VWU480" s="1831"/>
      <c r="VWV480" s="1831"/>
      <c r="VWW480" s="1831"/>
      <c r="VWX480" s="1831"/>
      <c r="VWY480" s="1831"/>
      <c r="VWZ480" s="1831"/>
      <c r="VXA480" s="1831"/>
      <c r="VXB480" s="1831"/>
      <c r="VXC480" s="1831"/>
      <c r="VXD480" s="1831"/>
      <c r="VXE480" s="1831"/>
      <c r="VXF480" s="1831"/>
      <c r="VXG480" s="1831"/>
      <c r="VXH480" s="1831"/>
      <c r="VXI480" s="1831"/>
      <c r="VXJ480" s="1831"/>
      <c r="VXK480" s="1831"/>
      <c r="VXL480" s="1831"/>
      <c r="VXM480" s="1831"/>
      <c r="VXN480" s="1831"/>
      <c r="VXO480" s="1831"/>
      <c r="VXP480" s="1831"/>
      <c r="VXQ480" s="1831"/>
      <c r="VXR480" s="1831"/>
      <c r="VXS480" s="1831"/>
      <c r="VXT480" s="1831"/>
      <c r="VXU480" s="1831"/>
      <c r="VXV480" s="1831"/>
      <c r="VXW480" s="1831"/>
      <c r="VXX480" s="1831"/>
      <c r="VXY480" s="1831"/>
      <c r="VXZ480" s="1831"/>
      <c r="VYA480" s="1831"/>
      <c r="VYB480" s="1831"/>
      <c r="VYC480" s="1831"/>
      <c r="VYD480" s="1831"/>
      <c r="VYE480" s="1831"/>
      <c r="VYF480" s="1831"/>
      <c r="VYG480" s="1831"/>
      <c r="VYH480" s="1831"/>
      <c r="VYI480" s="1831"/>
      <c r="VYJ480" s="1831"/>
      <c r="VYK480" s="1831"/>
      <c r="VYL480" s="1831"/>
      <c r="VYM480" s="1831"/>
      <c r="VYN480" s="1831"/>
      <c r="VYO480" s="1831"/>
      <c r="VYP480" s="1831"/>
      <c r="VYQ480" s="1831"/>
      <c r="VYR480" s="1831"/>
      <c r="VYS480" s="1831"/>
      <c r="VYT480" s="1831"/>
      <c r="VYU480" s="1831"/>
      <c r="VYV480" s="1831"/>
      <c r="VYW480" s="1831"/>
      <c r="VYX480" s="1831"/>
      <c r="VYY480" s="1831"/>
      <c r="VYZ480" s="1831"/>
      <c r="VZA480" s="1831"/>
      <c r="VZB480" s="1831"/>
      <c r="VZC480" s="1831"/>
      <c r="VZD480" s="1831"/>
      <c r="VZE480" s="1831"/>
      <c r="VZF480" s="1831"/>
      <c r="VZG480" s="1831"/>
      <c r="VZH480" s="1831"/>
      <c r="VZI480" s="1831"/>
      <c r="VZJ480" s="1831"/>
      <c r="VZK480" s="1831"/>
      <c r="VZL480" s="1831"/>
      <c r="VZM480" s="1831"/>
      <c r="VZN480" s="1831"/>
      <c r="VZO480" s="1831"/>
      <c r="VZP480" s="1831"/>
      <c r="VZQ480" s="1831"/>
      <c r="VZR480" s="1831"/>
      <c r="VZS480" s="1831"/>
      <c r="VZT480" s="1831"/>
      <c r="VZU480" s="1831"/>
      <c r="VZV480" s="1831"/>
      <c r="VZW480" s="1831"/>
      <c r="VZX480" s="1831"/>
      <c r="VZY480" s="1831"/>
      <c r="VZZ480" s="1831"/>
      <c r="WAA480" s="1831"/>
      <c r="WAB480" s="1831"/>
      <c r="WAC480" s="1831"/>
      <c r="WAD480" s="1831"/>
      <c r="WAE480" s="1831"/>
      <c r="WAF480" s="1831"/>
      <c r="WAG480" s="1831"/>
      <c r="WAH480" s="1831"/>
      <c r="WAI480" s="1831"/>
      <c r="WAJ480" s="1831"/>
      <c r="WAK480" s="1831"/>
      <c r="WAL480" s="1831"/>
      <c r="WAM480" s="1831"/>
      <c r="WAN480" s="1831"/>
      <c r="WAO480" s="1831"/>
      <c r="WAP480" s="1831"/>
      <c r="WAQ480" s="1831"/>
      <c r="WAR480" s="1831"/>
      <c r="WAS480" s="1831"/>
      <c r="WAT480" s="1831"/>
      <c r="WAU480" s="1831"/>
      <c r="WAV480" s="1831"/>
      <c r="WAW480" s="1831"/>
      <c r="WAX480" s="1831"/>
      <c r="WAY480" s="1831"/>
      <c r="WAZ480" s="1831"/>
      <c r="WBA480" s="1831"/>
      <c r="WBB480" s="1831"/>
      <c r="WBC480" s="1831"/>
      <c r="WBD480" s="1831"/>
      <c r="WBE480" s="1831"/>
      <c r="WBF480" s="1831"/>
      <c r="WBG480" s="1831"/>
      <c r="WBH480" s="1831"/>
      <c r="WBI480" s="1831"/>
      <c r="WBJ480" s="1831"/>
      <c r="WBK480" s="1831"/>
      <c r="WBL480" s="1831"/>
      <c r="WBM480" s="1831"/>
      <c r="WBN480" s="1831"/>
      <c r="WBO480" s="1831"/>
      <c r="WBP480" s="1831"/>
      <c r="WBQ480" s="1831"/>
      <c r="WBR480" s="1831"/>
      <c r="WBS480" s="1831"/>
      <c r="WBT480" s="1831"/>
      <c r="WBU480" s="1831"/>
      <c r="WBV480" s="1831"/>
      <c r="WBW480" s="1831"/>
      <c r="WBX480" s="1831"/>
      <c r="WBY480" s="1831"/>
      <c r="WBZ480" s="1831"/>
      <c r="WCA480" s="1831"/>
      <c r="WCB480" s="1831"/>
      <c r="WCC480" s="1831"/>
      <c r="WCD480" s="1831"/>
      <c r="WCE480" s="1831"/>
      <c r="WCF480" s="1831"/>
      <c r="WCG480" s="1831"/>
      <c r="WCH480" s="1831"/>
      <c r="WCI480" s="1831"/>
      <c r="WCJ480" s="1831"/>
      <c r="WCK480" s="1831"/>
      <c r="WCL480" s="1831"/>
      <c r="WCM480" s="1831"/>
      <c r="WCN480" s="1831"/>
      <c r="WCO480" s="1831"/>
      <c r="WCP480" s="1831"/>
      <c r="WCQ480" s="1831"/>
      <c r="WCR480" s="1831"/>
      <c r="WCS480" s="1831"/>
      <c r="WCT480" s="1831"/>
      <c r="WCU480" s="1831"/>
      <c r="WCV480" s="1831"/>
      <c r="WCW480" s="1831"/>
      <c r="WCX480" s="1831"/>
      <c r="WCY480" s="1831"/>
      <c r="WCZ480" s="1831"/>
      <c r="WDA480" s="1831"/>
      <c r="WDB480" s="1831"/>
      <c r="WDC480" s="1831"/>
      <c r="WDD480" s="1831"/>
      <c r="WDE480" s="1831"/>
      <c r="WDF480" s="1831"/>
      <c r="WDG480" s="1831"/>
      <c r="WDH480" s="1831"/>
      <c r="WDI480" s="1831"/>
      <c r="WDJ480" s="1831"/>
      <c r="WDK480" s="1831"/>
      <c r="WDL480" s="1831"/>
      <c r="WDM480" s="1831"/>
      <c r="WDN480" s="1831"/>
      <c r="WDO480" s="1831"/>
      <c r="WDP480" s="1831"/>
      <c r="WDQ480" s="1831"/>
      <c r="WDR480" s="1831"/>
      <c r="WDS480" s="1831"/>
      <c r="WDT480" s="1831"/>
      <c r="WDU480" s="1831"/>
      <c r="WDV480" s="1831"/>
      <c r="WDW480" s="1831"/>
      <c r="WDX480" s="1831"/>
      <c r="WDY480" s="1831"/>
      <c r="WDZ480" s="1831"/>
      <c r="WEA480" s="1831"/>
      <c r="WEB480" s="1831"/>
      <c r="WEC480" s="1831"/>
      <c r="WED480" s="1831"/>
      <c r="WEE480" s="1831"/>
      <c r="WEF480" s="1831"/>
      <c r="WEG480" s="1831"/>
      <c r="WEH480" s="1831"/>
      <c r="WEI480" s="1831"/>
      <c r="WEJ480" s="1831"/>
      <c r="WEK480" s="1831"/>
      <c r="WEL480" s="1831"/>
      <c r="WEM480" s="1831"/>
      <c r="WEN480" s="1831"/>
      <c r="WEO480" s="1831"/>
      <c r="WEP480" s="1831"/>
      <c r="WEQ480" s="1831"/>
      <c r="WER480" s="1831"/>
      <c r="WES480" s="1831"/>
      <c r="WET480" s="1831"/>
      <c r="WEU480" s="1831"/>
      <c r="WEV480" s="1831"/>
      <c r="WEW480" s="1831"/>
      <c r="WEX480" s="1831"/>
      <c r="WEY480" s="1831"/>
      <c r="WEZ480" s="1831"/>
      <c r="WFA480" s="1831"/>
      <c r="WFB480" s="1831"/>
      <c r="WFC480" s="1831"/>
      <c r="WFD480" s="1831"/>
      <c r="WFE480" s="1831"/>
      <c r="WFF480" s="1831"/>
      <c r="WFG480" s="1831"/>
      <c r="WFH480" s="1831"/>
      <c r="WFI480" s="1831"/>
      <c r="WFJ480" s="1831"/>
      <c r="WFK480" s="1831"/>
      <c r="WFL480" s="1831"/>
      <c r="WFM480" s="1831"/>
      <c r="WFN480" s="1831"/>
      <c r="WFO480" s="1831"/>
      <c r="WFP480" s="1831"/>
      <c r="WFQ480" s="1831"/>
      <c r="WFR480" s="1831"/>
      <c r="WFS480" s="1831"/>
      <c r="WFT480" s="1831"/>
      <c r="WFU480" s="1831"/>
      <c r="WFV480" s="1831"/>
      <c r="WFW480" s="1831"/>
      <c r="WFX480" s="1831"/>
      <c r="WFY480" s="1831"/>
      <c r="WFZ480" s="1831"/>
      <c r="WGA480" s="1831"/>
      <c r="WGB480" s="1831"/>
      <c r="WGC480" s="1831"/>
      <c r="WGD480" s="1831"/>
      <c r="WGE480" s="1831"/>
      <c r="WGF480" s="1831"/>
      <c r="WGG480" s="1831"/>
      <c r="WGH480" s="1831"/>
      <c r="WGI480" s="1831"/>
      <c r="WGJ480" s="1831"/>
      <c r="WGK480" s="1831"/>
      <c r="WGL480" s="1831"/>
      <c r="WGM480" s="1831"/>
      <c r="WGN480" s="1831"/>
      <c r="WGO480" s="1831"/>
      <c r="WGP480" s="1831"/>
      <c r="WGQ480" s="1831"/>
      <c r="WGR480" s="1831"/>
      <c r="WGS480" s="1831"/>
      <c r="WGT480" s="1831"/>
      <c r="WGU480" s="1831"/>
      <c r="WGV480" s="1831"/>
      <c r="WGW480" s="1831"/>
      <c r="WGX480" s="1831"/>
      <c r="WGY480" s="1831"/>
      <c r="WGZ480" s="1831"/>
      <c r="WHA480" s="1831"/>
      <c r="WHB480" s="1831"/>
      <c r="WHC480" s="1831"/>
      <c r="WHD480" s="1831"/>
      <c r="WHE480" s="1831"/>
      <c r="WHF480" s="1831"/>
      <c r="WHG480" s="1831"/>
      <c r="WHH480" s="1831"/>
      <c r="WHI480" s="1831"/>
      <c r="WHJ480" s="1831"/>
      <c r="WHK480" s="1831"/>
      <c r="WHL480" s="1831"/>
      <c r="WHM480" s="1831"/>
      <c r="WHN480" s="1831"/>
      <c r="WHO480" s="1831"/>
      <c r="WHP480" s="1831"/>
      <c r="WHQ480" s="1831"/>
      <c r="WHR480" s="1831"/>
      <c r="WHS480" s="1831"/>
      <c r="WHT480" s="1831"/>
      <c r="WHU480" s="1831"/>
      <c r="WHV480" s="1831"/>
      <c r="WHW480" s="1831"/>
      <c r="WHX480" s="1831"/>
      <c r="WHY480" s="1831"/>
      <c r="WHZ480" s="1831"/>
      <c r="WIA480" s="1831"/>
      <c r="WIB480" s="1831"/>
      <c r="WIC480" s="1831"/>
      <c r="WID480" s="1831"/>
      <c r="WIE480" s="1831"/>
      <c r="WIF480" s="1831"/>
      <c r="WIG480" s="1831"/>
      <c r="WIH480" s="1831"/>
      <c r="WII480" s="1831"/>
      <c r="WIJ480" s="1831"/>
      <c r="WIK480" s="1831"/>
      <c r="WIL480" s="1831"/>
      <c r="WIM480" s="1831"/>
      <c r="WIN480" s="1831"/>
      <c r="WIO480" s="1831"/>
      <c r="WIP480" s="1831"/>
      <c r="WIQ480" s="1831"/>
      <c r="WIR480" s="1831"/>
      <c r="WIS480" s="1831"/>
      <c r="WIT480" s="1831"/>
      <c r="WIU480" s="1831"/>
      <c r="WIV480" s="1831"/>
      <c r="WIW480" s="1831"/>
      <c r="WIX480" s="1831"/>
      <c r="WIY480" s="1831"/>
      <c r="WIZ480" s="1831"/>
      <c r="WJA480" s="1831"/>
      <c r="WJB480" s="1831"/>
      <c r="WJC480" s="1831"/>
      <c r="WJD480" s="1831"/>
      <c r="WJE480" s="1831"/>
      <c r="WJF480" s="1831"/>
      <c r="WJG480" s="1831"/>
      <c r="WJH480" s="1831"/>
      <c r="WJI480" s="1831"/>
      <c r="WJJ480" s="1831"/>
      <c r="WJK480" s="1831"/>
      <c r="WJL480" s="1831"/>
      <c r="WJM480" s="1831"/>
      <c r="WJN480" s="1831"/>
      <c r="WJO480" s="1831"/>
      <c r="WJP480" s="1831"/>
      <c r="WJQ480" s="1831"/>
      <c r="WJR480" s="1831"/>
      <c r="WJS480" s="1831"/>
      <c r="WJT480" s="1831"/>
      <c r="WJU480" s="1831"/>
      <c r="WJV480" s="1831"/>
      <c r="WJW480" s="1831"/>
      <c r="WJX480" s="1831"/>
      <c r="WJY480" s="1831"/>
      <c r="WJZ480" s="1831"/>
      <c r="WKA480" s="1831"/>
      <c r="WKB480" s="1831"/>
      <c r="WKC480" s="1831"/>
      <c r="WKD480" s="1831"/>
      <c r="WKE480" s="1831"/>
      <c r="WKF480" s="1831"/>
      <c r="WKG480" s="1831"/>
      <c r="WKH480" s="1831"/>
      <c r="WKI480" s="1831"/>
      <c r="WKJ480" s="1831"/>
      <c r="WKK480" s="1831"/>
      <c r="WKL480" s="1831"/>
      <c r="WKM480" s="1831"/>
      <c r="WKN480" s="1831"/>
      <c r="WKO480" s="1831"/>
      <c r="WKP480" s="1831"/>
      <c r="WKQ480" s="1831"/>
      <c r="WKR480" s="1831"/>
      <c r="WKS480" s="1831"/>
      <c r="WKT480" s="1831"/>
      <c r="WKU480" s="1831"/>
      <c r="WKV480" s="1831"/>
      <c r="WKW480" s="1831"/>
      <c r="WKX480" s="1831"/>
      <c r="WKY480" s="1831"/>
      <c r="WKZ480" s="1831"/>
      <c r="WLA480" s="1831"/>
      <c r="WLB480" s="1831"/>
      <c r="WLC480" s="1831"/>
      <c r="WLD480" s="1831"/>
      <c r="WLE480" s="1831"/>
      <c r="WLF480" s="1831"/>
      <c r="WLG480" s="1831"/>
      <c r="WLH480" s="1831"/>
      <c r="WLI480" s="1831"/>
      <c r="WLJ480" s="1831"/>
      <c r="WLK480" s="1831"/>
      <c r="WLL480" s="1831"/>
      <c r="WLM480" s="1831"/>
      <c r="WLN480" s="1831"/>
      <c r="WLO480" s="1831"/>
      <c r="WLP480" s="1831"/>
      <c r="WLQ480" s="1831"/>
      <c r="WLR480" s="1831"/>
      <c r="WLS480" s="1831"/>
      <c r="WLT480" s="1831"/>
      <c r="WLU480" s="1831"/>
      <c r="WLV480" s="1831"/>
      <c r="WLW480" s="1831"/>
      <c r="WLX480" s="1831"/>
      <c r="WLY480" s="1831"/>
      <c r="WLZ480" s="1831"/>
      <c r="WMA480" s="1831"/>
      <c r="WMB480" s="1831"/>
      <c r="WMC480" s="1831"/>
      <c r="WMD480" s="1831"/>
      <c r="WME480" s="1831"/>
      <c r="WMF480" s="1831"/>
      <c r="WMG480" s="1831"/>
      <c r="WMH480" s="1831"/>
      <c r="WMI480" s="1831"/>
      <c r="WMJ480" s="1831"/>
      <c r="WMK480" s="1831"/>
      <c r="WML480" s="1831"/>
      <c r="WMM480" s="1831"/>
      <c r="WMN480" s="1831"/>
      <c r="WMO480" s="1831"/>
      <c r="WMP480" s="1831"/>
      <c r="WMQ480" s="1831"/>
      <c r="WMR480" s="1831"/>
      <c r="WMS480" s="1831"/>
      <c r="WMT480" s="1831"/>
      <c r="WMU480" s="1831"/>
      <c r="WMV480" s="1831"/>
      <c r="WMW480" s="1831"/>
      <c r="WMX480" s="1831"/>
      <c r="WMY480" s="1831"/>
      <c r="WMZ480" s="1831"/>
      <c r="WNA480" s="1831"/>
      <c r="WNB480" s="1831"/>
      <c r="WNC480" s="1831"/>
      <c r="WND480" s="1831"/>
      <c r="WNE480" s="1831"/>
      <c r="WNF480" s="1831"/>
      <c r="WNG480" s="1831"/>
      <c r="WNH480" s="1831"/>
      <c r="WNI480" s="1831"/>
      <c r="WNJ480" s="1831"/>
      <c r="WNK480" s="1831"/>
      <c r="WNL480" s="1831"/>
      <c r="WNM480" s="1831"/>
      <c r="WNN480" s="1831"/>
      <c r="WNO480" s="1831"/>
      <c r="WNP480" s="1831"/>
      <c r="WNQ480" s="1831"/>
      <c r="WNR480" s="1831"/>
      <c r="WNS480" s="1831"/>
      <c r="WNT480" s="1831"/>
      <c r="WNU480" s="1831"/>
      <c r="WNV480" s="1831"/>
      <c r="WNW480" s="1831"/>
      <c r="WNX480" s="1831"/>
      <c r="WNY480" s="1831"/>
      <c r="WNZ480" s="1831"/>
      <c r="WOA480" s="1831"/>
      <c r="WOB480" s="1831"/>
      <c r="WOC480" s="1831"/>
      <c r="WOD480" s="1831"/>
      <c r="WOE480" s="1831"/>
      <c r="WOF480" s="1831"/>
      <c r="WOG480" s="1831"/>
      <c r="WOH480" s="1831"/>
      <c r="WOI480" s="1831"/>
      <c r="WOJ480" s="1831"/>
      <c r="WOK480" s="1831"/>
      <c r="WOL480" s="1831"/>
      <c r="WOM480" s="1831"/>
      <c r="WON480" s="1831"/>
      <c r="WOO480" s="1831"/>
      <c r="WOP480" s="1831"/>
      <c r="WOQ480" s="1831"/>
      <c r="WOR480" s="1831"/>
      <c r="WOS480" s="1831"/>
      <c r="WOT480" s="1831"/>
      <c r="WOU480" s="1831"/>
      <c r="WOV480" s="1831"/>
      <c r="WOW480" s="1831"/>
      <c r="WOX480" s="1831"/>
      <c r="WOY480" s="1831"/>
      <c r="WOZ480" s="1831"/>
      <c r="WPA480" s="1831"/>
      <c r="WPB480" s="1831"/>
      <c r="WPC480" s="1831"/>
      <c r="WPD480" s="1831"/>
      <c r="WPE480" s="1831"/>
      <c r="WPF480" s="1831"/>
      <c r="WPG480" s="1831"/>
      <c r="WPH480" s="1831"/>
      <c r="WPI480" s="1831"/>
      <c r="WPJ480" s="1831"/>
      <c r="WPK480" s="1831"/>
      <c r="WPL480" s="1831"/>
      <c r="WPM480" s="1831"/>
      <c r="WPN480" s="1831"/>
      <c r="WPO480" s="1831"/>
      <c r="WPP480" s="1831"/>
      <c r="WPQ480" s="1831"/>
      <c r="WPR480" s="1831"/>
      <c r="WPS480" s="1831"/>
      <c r="WPT480" s="1831"/>
      <c r="WPU480" s="1831"/>
      <c r="WPV480" s="1831"/>
      <c r="WPW480" s="1831"/>
      <c r="WPX480" s="1831"/>
      <c r="WPY480" s="1831"/>
      <c r="WPZ480" s="1831"/>
      <c r="WQA480" s="1831"/>
      <c r="WQB480" s="1831"/>
      <c r="WQC480" s="1831"/>
      <c r="WQD480" s="1831"/>
      <c r="WQE480" s="1831"/>
      <c r="WQF480" s="1831"/>
      <c r="WQG480" s="1831"/>
      <c r="WQH480" s="1831"/>
      <c r="WQI480" s="1831"/>
      <c r="WQJ480" s="1831"/>
      <c r="WQK480" s="1831"/>
      <c r="WQL480" s="1831"/>
      <c r="WQM480" s="1831"/>
      <c r="WQN480" s="1831"/>
      <c r="WQO480" s="1831"/>
      <c r="WQP480" s="1831"/>
      <c r="WQQ480" s="1831"/>
      <c r="WQR480" s="1831"/>
      <c r="WQS480" s="1831"/>
      <c r="WQT480" s="1831"/>
      <c r="WQU480" s="1831"/>
      <c r="WQV480" s="1831"/>
      <c r="WQW480" s="1831"/>
      <c r="WQX480" s="1831"/>
      <c r="WQY480" s="1831"/>
      <c r="WQZ480" s="1831"/>
      <c r="WRA480" s="1831"/>
      <c r="WRB480" s="1831"/>
      <c r="WRC480" s="1831"/>
      <c r="WRD480" s="1831"/>
      <c r="WRE480" s="1831"/>
      <c r="WRF480" s="1831"/>
      <c r="WRG480" s="1831"/>
      <c r="WRH480" s="1831"/>
      <c r="WRI480" s="1831"/>
      <c r="WRJ480" s="1831"/>
      <c r="WRK480" s="1831"/>
      <c r="WRL480" s="1831"/>
      <c r="WRM480" s="1831"/>
      <c r="WRN480" s="1831"/>
      <c r="WRO480" s="1831"/>
      <c r="WRP480" s="1831"/>
      <c r="WRQ480" s="1831"/>
      <c r="WRR480" s="1831"/>
      <c r="WRS480" s="1831"/>
      <c r="WRT480" s="1831"/>
      <c r="WRU480" s="1831"/>
      <c r="WRV480" s="1831"/>
      <c r="WRW480" s="1831"/>
      <c r="WRX480" s="1831"/>
      <c r="WRY480" s="1831"/>
      <c r="WRZ480" s="1831"/>
      <c r="WSA480" s="1831"/>
      <c r="WSB480" s="1831"/>
      <c r="WSC480" s="1831"/>
      <c r="WSD480" s="1831"/>
      <c r="WSE480" s="1831"/>
      <c r="WSF480" s="1831"/>
      <c r="WSG480" s="1831"/>
      <c r="WSH480" s="1831"/>
      <c r="WSI480" s="1831"/>
      <c r="WSJ480" s="1831"/>
      <c r="WSK480" s="1831"/>
      <c r="WSL480" s="1831"/>
      <c r="WSM480" s="1831"/>
      <c r="WSN480" s="1831"/>
      <c r="WSO480" s="1831"/>
      <c r="WSP480" s="1831"/>
      <c r="WSQ480" s="1831"/>
      <c r="WSR480" s="1831"/>
      <c r="WSS480" s="1831"/>
      <c r="WST480" s="1831"/>
      <c r="WSU480" s="1831"/>
      <c r="WSV480" s="1831"/>
      <c r="WSW480" s="1831"/>
      <c r="WSX480" s="1831"/>
      <c r="WSY480" s="1831"/>
      <c r="WSZ480" s="1831"/>
      <c r="WTA480" s="1831"/>
      <c r="WTB480" s="1831"/>
      <c r="WTC480" s="1831"/>
      <c r="WTD480" s="1831"/>
      <c r="WTE480" s="1831"/>
      <c r="WTF480" s="1831"/>
      <c r="WTG480" s="1831"/>
      <c r="WTH480" s="1831"/>
      <c r="WTI480" s="1831"/>
      <c r="WTJ480" s="1831"/>
      <c r="WTK480" s="1831"/>
      <c r="WTL480" s="1831"/>
      <c r="WTM480" s="1831"/>
      <c r="WTN480" s="1831"/>
      <c r="WTO480" s="1831"/>
      <c r="WTP480" s="1831"/>
      <c r="WTQ480" s="1831"/>
      <c r="WTR480" s="1831"/>
      <c r="WTS480" s="1831"/>
      <c r="WTT480" s="1831"/>
      <c r="WTU480" s="1831"/>
      <c r="WTV480" s="1831"/>
      <c r="WTW480" s="1831"/>
      <c r="WTX480" s="1831"/>
      <c r="WTY480" s="1831"/>
      <c r="WTZ480" s="1831"/>
      <c r="WUA480" s="1831"/>
      <c r="WUB480" s="1831"/>
      <c r="WUC480" s="1831"/>
      <c r="WUD480" s="1831"/>
      <c r="WUE480" s="1831"/>
      <c r="WUF480" s="1831"/>
      <c r="WUG480" s="1831"/>
      <c r="WUH480" s="1831"/>
      <c r="WUI480" s="1831"/>
      <c r="WUJ480" s="1831"/>
      <c r="WUK480" s="1831"/>
      <c r="WUL480" s="1831"/>
      <c r="WUM480" s="1831"/>
      <c r="WUN480" s="1831"/>
      <c r="WUO480" s="1831"/>
      <c r="WUP480" s="1831"/>
      <c r="WUQ480" s="1831"/>
      <c r="WUR480" s="1831"/>
      <c r="WUS480" s="1831"/>
      <c r="WUT480" s="1831"/>
      <c r="WUU480" s="1831"/>
      <c r="WUV480" s="1831"/>
      <c r="WUW480" s="1831"/>
      <c r="WUX480" s="1831"/>
      <c r="WUY480" s="1831"/>
      <c r="WUZ480" s="1831"/>
      <c r="WVA480" s="1831"/>
      <c r="WVB480" s="1831"/>
      <c r="WVC480" s="1831"/>
      <c r="WVD480" s="1831"/>
      <c r="WVE480" s="1831"/>
      <c r="WVF480" s="1831"/>
      <c r="WVG480" s="1831"/>
      <c r="WVH480" s="1831"/>
      <c r="WVI480" s="1831"/>
      <c r="WVJ480" s="1831"/>
      <c r="WVK480" s="1831"/>
      <c r="WVL480" s="1831"/>
      <c r="WVM480" s="1831"/>
      <c r="WVN480" s="1831"/>
      <c r="WVO480" s="1831"/>
      <c r="WVP480" s="1831"/>
      <c r="WVQ480" s="1831"/>
      <c r="WVR480" s="1831"/>
      <c r="WVS480" s="1831"/>
      <c r="WVT480" s="1831"/>
      <c r="WVU480" s="1831"/>
      <c r="WVV480" s="1831"/>
      <c r="WVW480" s="1831"/>
      <c r="WVX480" s="1831"/>
      <c r="WVY480" s="1831"/>
      <c r="WVZ480" s="1831"/>
      <c r="WWA480" s="1831"/>
      <c r="WWB480" s="1831"/>
      <c r="WWC480" s="1831"/>
      <c r="WWD480" s="1831"/>
      <c r="WWE480" s="1831"/>
      <c r="WWF480" s="1831"/>
      <c r="WWG480" s="1831"/>
      <c r="WWH480" s="1831"/>
      <c r="WWI480" s="1831"/>
      <c r="WWJ480" s="1831"/>
      <c r="WWK480" s="1831"/>
      <c r="WWL480" s="1831"/>
      <c r="WWM480" s="1831"/>
      <c r="WWN480" s="1831"/>
      <c r="WWO480" s="1831"/>
      <c r="WWP480" s="1831"/>
      <c r="WWQ480" s="1831"/>
      <c r="WWR480" s="1831"/>
      <c r="WWS480" s="1831"/>
      <c r="WWT480" s="1831"/>
      <c r="WWU480" s="1831"/>
      <c r="WWV480" s="1831"/>
      <c r="WWW480" s="1831"/>
      <c r="WWX480" s="1831"/>
      <c r="WWY480" s="1831"/>
      <c r="WWZ480" s="1831"/>
      <c r="WXA480" s="1831"/>
      <c r="WXB480" s="1831"/>
      <c r="WXC480" s="1831"/>
      <c r="WXD480" s="1831"/>
      <c r="WXE480" s="1831"/>
      <c r="WXF480" s="1831"/>
      <c r="WXG480" s="1831"/>
      <c r="WXH480" s="1831"/>
      <c r="WXI480" s="1831"/>
      <c r="WXJ480" s="1831"/>
      <c r="WXK480" s="1831"/>
      <c r="WXL480" s="1831"/>
      <c r="WXM480" s="1831"/>
      <c r="WXN480" s="1831"/>
      <c r="WXO480" s="1831"/>
      <c r="WXP480" s="1831"/>
      <c r="WXQ480" s="1831"/>
      <c r="WXR480" s="1831"/>
      <c r="WXS480" s="1831"/>
      <c r="WXT480" s="1831"/>
      <c r="WXU480" s="1831"/>
      <c r="WXV480" s="1831"/>
      <c r="WXW480" s="1831"/>
      <c r="WXX480" s="1831"/>
      <c r="WXY480" s="1831"/>
      <c r="WXZ480" s="1831"/>
      <c r="WYA480" s="1831"/>
      <c r="WYB480" s="1831"/>
      <c r="WYC480" s="1831"/>
      <c r="WYD480" s="1831"/>
      <c r="WYE480" s="1831"/>
      <c r="WYF480" s="1831"/>
      <c r="WYG480" s="1831"/>
      <c r="WYH480" s="1831"/>
      <c r="WYI480" s="1831"/>
      <c r="WYJ480" s="1831"/>
      <c r="WYK480" s="1831"/>
      <c r="WYL480" s="1831"/>
      <c r="WYM480" s="1831"/>
      <c r="WYN480" s="1831"/>
      <c r="WYO480" s="1831"/>
      <c r="WYP480" s="1831"/>
      <c r="WYQ480" s="1831"/>
      <c r="WYR480" s="1831"/>
      <c r="WYS480" s="1831"/>
      <c r="WYT480" s="1831"/>
      <c r="WYU480" s="1831"/>
      <c r="WYV480" s="1831"/>
      <c r="WYW480" s="1831"/>
      <c r="WYX480" s="1831"/>
      <c r="WYY480" s="1831"/>
      <c r="WYZ480" s="1831"/>
      <c r="WZA480" s="1831"/>
      <c r="WZB480" s="1831"/>
      <c r="WZC480" s="1831"/>
      <c r="WZD480" s="1831"/>
      <c r="WZE480" s="1831"/>
      <c r="WZF480" s="1831"/>
      <c r="WZG480" s="1831"/>
      <c r="WZH480" s="1831"/>
      <c r="WZI480" s="1831"/>
      <c r="WZJ480" s="1831"/>
      <c r="WZK480" s="1831"/>
      <c r="WZL480" s="1831"/>
      <c r="WZM480" s="1831"/>
      <c r="WZN480" s="1831"/>
      <c r="WZO480" s="1831"/>
      <c r="WZP480" s="1831"/>
      <c r="WZQ480" s="1831"/>
      <c r="WZR480" s="1831"/>
      <c r="WZS480" s="1831"/>
      <c r="WZT480" s="1831"/>
      <c r="WZU480" s="1831"/>
      <c r="WZV480" s="1831"/>
      <c r="WZW480" s="1831"/>
      <c r="WZX480" s="1831"/>
      <c r="WZY480" s="1831"/>
      <c r="WZZ480" s="1831"/>
      <c r="XAA480" s="1831"/>
      <c r="XAB480" s="1831"/>
      <c r="XAC480" s="1831"/>
      <c r="XAD480" s="1831"/>
      <c r="XAE480" s="1831"/>
      <c r="XAF480" s="1831"/>
      <c r="XAG480" s="1831"/>
      <c r="XAH480" s="1831"/>
      <c r="XAI480" s="1831"/>
      <c r="XAJ480" s="1831"/>
      <c r="XAK480" s="1831"/>
      <c r="XAL480" s="1831"/>
      <c r="XAM480" s="1831"/>
      <c r="XAN480" s="1831"/>
      <c r="XAO480" s="1831"/>
      <c r="XAP480" s="1831"/>
      <c r="XAQ480" s="1831"/>
      <c r="XAR480" s="1831"/>
      <c r="XAS480" s="1831"/>
      <c r="XAT480" s="1831"/>
      <c r="XAU480" s="1831"/>
      <c r="XAV480" s="1831"/>
      <c r="XAW480" s="1831"/>
      <c r="XAX480" s="1831"/>
      <c r="XAY480" s="1831"/>
      <c r="XAZ480" s="1831"/>
      <c r="XBA480" s="1831"/>
      <c r="XBB480" s="1831"/>
      <c r="XBC480" s="1831"/>
      <c r="XBD480" s="1831"/>
      <c r="XBE480" s="1831"/>
      <c r="XBF480" s="1831"/>
      <c r="XBG480" s="1831"/>
      <c r="XBH480" s="1831"/>
      <c r="XBI480" s="1831"/>
      <c r="XBJ480" s="1831"/>
      <c r="XBK480" s="1831"/>
      <c r="XBL480" s="1831"/>
      <c r="XBM480" s="1831"/>
      <c r="XBN480" s="1831"/>
      <c r="XBO480" s="1831"/>
      <c r="XBP480" s="1831"/>
      <c r="XBQ480" s="1831"/>
      <c r="XBR480" s="1831"/>
      <c r="XBS480" s="1831"/>
      <c r="XBT480" s="1831"/>
      <c r="XBU480" s="1831"/>
      <c r="XBV480" s="1831"/>
      <c r="XBW480" s="1831"/>
      <c r="XBX480" s="1831"/>
      <c r="XBY480" s="1831"/>
      <c r="XBZ480" s="1831"/>
      <c r="XCA480" s="1831"/>
      <c r="XCB480" s="1831"/>
      <c r="XCC480" s="1831"/>
      <c r="XCD480" s="1831"/>
      <c r="XCE480" s="1831"/>
      <c r="XCF480" s="1831"/>
      <c r="XCG480" s="1831"/>
      <c r="XCH480" s="1831"/>
      <c r="XCI480" s="1831"/>
      <c r="XCJ480" s="1831"/>
      <c r="XCK480" s="1831"/>
      <c r="XCL480" s="1831"/>
      <c r="XCM480" s="1831"/>
      <c r="XCN480" s="1831"/>
      <c r="XCO480" s="1831"/>
      <c r="XCP480" s="1831"/>
      <c r="XCQ480" s="1831"/>
      <c r="XCR480" s="1831"/>
      <c r="XCS480" s="1831"/>
      <c r="XCT480" s="1831"/>
      <c r="XCU480" s="1831"/>
      <c r="XCV480" s="1831"/>
      <c r="XCW480" s="1831"/>
      <c r="XCX480" s="1831"/>
      <c r="XCY480" s="1831"/>
      <c r="XCZ480" s="1831"/>
      <c r="XDA480" s="1831"/>
      <c r="XDB480" s="1831"/>
      <c r="XDC480" s="1831"/>
      <c r="XDD480" s="1831"/>
      <c r="XDE480" s="1831"/>
      <c r="XDF480" s="1831"/>
      <c r="XDG480" s="1831"/>
      <c r="XDH480" s="1831"/>
      <c r="XDI480" s="1831"/>
      <c r="XDJ480" s="1831"/>
      <c r="XDK480" s="1831"/>
      <c r="XDL480" s="1831"/>
      <c r="XDM480" s="1831"/>
      <c r="XDN480" s="1831"/>
      <c r="XDO480" s="1831"/>
      <c r="XDP480" s="1831"/>
      <c r="XDQ480" s="1831"/>
      <c r="XDR480" s="1831"/>
      <c r="XDS480" s="1831"/>
      <c r="XDT480" s="1831"/>
      <c r="XDU480" s="1831"/>
      <c r="XDV480" s="1831"/>
      <c r="XDW480" s="1831"/>
      <c r="XDX480" s="1831"/>
      <c r="XDY480" s="1831"/>
      <c r="XDZ480" s="1831"/>
      <c r="XEA480" s="1831"/>
      <c r="XEB480" s="1831"/>
      <c r="XEC480" s="1831"/>
      <c r="XED480" s="1831"/>
      <c r="XEE480" s="1831"/>
      <c r="XEF480" s="1831"/>
      <c r="XEG480" s="1831"/>
      <c r="XEH480" s="1831"/>
      <c r="XEI480" s="1831"/>
      <c r="XEJ480" s="1831"/>
      <c r="XEK480" s="1831"/>
      <c r="XEL480" s="1831"/>
      <c r="XEM480" s="1831"/>
      <c r="XEN480" s="1831"/>
      <c r="XEO480" s="1831"/>
      <c r="XEP480" s="1831"/>
      <c r="XEQ480" s="1831"/>
      <c r="XER480" s="1831"/>
      <c r="XES480" s="1831"/>
      <c r="XET480" s="1831"/>
      <c r="XEU480" s="1831"/>
      <c r="XEV480" s="1831"/>
      <c r="XEW480" s="1831"/>
      <c r="XEX480" s="1831"/>
    </row>
    <row r="481" spans="1:40" hidden="1" outlineLevel="1" x14ac:dyDescent="0.3">
      <c r="A481" s="1070"/>
      <c r="B481" s="1070"/>
      <c r="C481" s="1070"/>
      <c r="D481" s="1070"/>
      <c r="E481" s="1070"/>
      <c r="F481" s="1070"/>
      <c r="G481" s="1070"/>
      <c r="H481" s="1070"/>
      <c r="I481" s="1070"/>
      <c r="J481" s="1070"/>
      <c r="K481" s="1070"/>
      <c r="L481" s="1070"/>
      <c r="M481" s="1070"/>
      <c r="N481" s="1070"/>
      <c r="O481" s="1070"/>
      <c r="P481" s="1070"/>
      <c r="Q481" s="1070"/>
      <c r="R481" s="1070"/>
      <c r="S481" s="1070"/>
      <c r="T481" s="1070"/>
      <c r="U481" s="1070"/>
      <c r="V481" s="1070"/>
      <c r="W481" s="1070"/>
      <c r="X481" s="1070"/>
      <c r="Y481" s="1070"/>
      <c r="Z481" s="1070"/>
      <c r="AA481" s="1070"/>
      <c r="AB481" s="1070"/>
      <c r="AC481" s="1070"/>
      <c r="AD481" s="1070"/>
      <c r="AE481" s="1070"/>
      <c r="AF481" s="1070"/>
      <c r="AG481" s="1070"/>
      <c r="AH481" s="1070"/>
      <c r="AI481" s="1070"/>
      <c r="AJ481" s="1070"/>
      <c r="AK481" s="1070"/>
      <c r="AL481" s="1070"/>
      <c r="AM481" s="1070"/>
      <c r="AN481" s="1070"/>
    </row>
    <row r="482" spans="1:40" hidden="1" outlineLevel="1" x14ac:dyDescent="0.3">
      <c r="A482" s="1070"/>
      <c r="B482" s="1734" t="str">
        <f>B526</f>
        <v>Definition Exit Rebaseline 1 (RB1)</v>
      </c>
      <c r="C482" s="1070"/>
      <c r="D482" s="1070"/>
      <c r="E482" s="1070"/>
      <c r="F482" s="1070"/>
      <c r="G482" s="2057" t="s">
        <v>1518</v>
      </c>
      <c r="H482" s="1070"/>
      <c r="I482" s="1070"/>
      <c r="J482" s="1070"/>
      <c r="K482" s="1070"/>
      <c r="L482" s="1070"/>
      <c r="M482" s="1070"/>
      <c r="N482" s="1070"/>
      <c r="O482" s="1070"/>
      <c r="P482" s="1070"/>
      <c r="Q482" s="1070"/>
      <c r="R482" s="1070"/>
      <c r="S482" s="1070"/>
      <c r="T482" s="1070"/>
      <c r="U482" s="1070"/>
      <c r="V482" s="1070"/>
      <c r="W482" s="1070"/>
      <c r="X482" s="1070"/>
      <c r="Y482" s="1070"/>
      <c r="Z482" s="1070"/>
      <c r="AA482" s="1070"/>
      <c r="AB482" s="1070"/>
      <c r="AC482" s="1070"/>
      <c r="AD482" s="1070"/>
      <c r="AE482" s="1070"/>
      <c r="AF482" s="1070"/>
      <c r="AG482" s="1070"/>
      <c r="AH482" s="1070"/>
      <c r="AI482" s="1070"/>
      <c r="AJ482" s="1070"/>
      <c r="AK482" s="1070"/>
      <c r="AL482" s="1070"/>
      <c r="AM482" s="1070"/>
      <c r="AN482" s="1070"/>
    </row>
    <row r="483" spans="1:40" hidden="1" outlineLevel="1" x14ac:dyDescent="0.3">
      <c r="A483" s="1082"/>
      <c r="B483" s="1237"/>
      <c r="C483" s="1082"/>
      <c r="D483" s="1082"/>
      <c r="E483" s="1082"/>
      <c r="F483" s="1070"/>
      <c r="G483" s="1070"/>
      <c r="H483" s="1070"/>
      <c r="I483" s="1070"/>
      <c r="J483" s="1070"/>
      <c r="K483" s="1070"/>
      <c r="L483" s="1070"/>
      <c r="M483" s="1070"/>
      <c r="N483" s="1070"/>
      <c r="O483" s="1070"/>
      <c r="P483" s="1070"/>
      <c r="Q483" s="1070"/>
      <c r="R483" s="1070"/>
      <c r="S483" s="1070"/>
      <c r="T483" s="1070"/>
      <c r="U483" s="1070"/>
      <c r="V483" s="1070"/>
      <c r="W483" s="1070"/>
      <c r="X483" s="1070"/>
      <c r="Y483" s="1070"/>
      <c r="Z483" s="1070"/>
      <c r="AA483" s="1070"/>
      <c r="AB483" s="1070"/>
      <c r="AC483" s="1070"/>
      <c r="AD483" s="1070"/>
      <c r="AE483" s="1070"/>
      <c r="AF483" s="1070"/>
      <c r="AG483" s="1070"/>
      <c r="AH483" s="1070"/>
      <c r="AI483" s="1070"/>
      <c r="AJ483" s="1070"/>
      <c r="AK483" s="1070"/>
      <c r="AL483" s="1070"/>
      <c r="AM483" s="1070"/>
      <c r="AN483" s="1070"/>
    </row>
    <row r="484" spans="1:40" hidden="1" outlineLevel="1" x14ac:dyDescent="0.3">
      <c r="A484" s="1082"/>
      <c r="B484" s="1734" t="s">
        <v>1442</v>
      </c>
      <c r="C484" s="1070"/>
      <c r="D484" s="1070"/>
      <c r="E484" s="1070"/>
      <c r="F484" s="1070"/>
      <c r="G484" s="1070"/>
      <c r="H484" s="1070"/>
      <c r="I484" s="1070"/>
      <c r="J484" s="1070"/>
      <c r="K484" s="1070"/>
      <c r="L484" s="1070"/>
      <c r="M484" s="1070"/>
      <c r="N484" s="1070"/>
      <c r="O484" s="1070"/>
      <c r="P484" s="1070"/>
      <c r="Q484" s="1070"/>
      <c r="R484" s="1070"/>
      <c r="S484" s="1070"/>
      <c r="T484" s="1070"/>
      <c r="U484" s="1070"/>
      <c r="V484" s="1070"/>
      <c r="W484" s="1070"/>
      <c r="X484" s="1070"/>
      <c r="Y484" s="1070"/>
      <c r="Z484" s="1070"/>
      <c r="AA484" s="1070"/>
      <c r="AB484" s="1070"/>
      <c r="AC484" s="1070"/>
      <c r="AD484" s="1070"/>
      <c r="AE484" s="1070"/>
      <c r="AF484" s="1070"/>
      <c r="AG484" s="1070"/>
      <c r="AH484" s="1070"/>
      <c r="AI484" s="1070"/>
      <c r="AJ484" s="1070"/>
      <c r="AK484" s="1070"/>
      <c r="AL484" s="1070"/>
      <c r="AM484" s="1070"/>
      <c r="AN484" s="1070"/>
    </row>
    <row r="485" spans="1:40" hidden="1" outlineLevel="1" x14ac:dyDescent="0.3">
      <c r="A485" s="1082"/>
      <c r="B485" s="1070"/>
      <c r="C485" s="1070"/>
      <c r="D485" s="1739" t="s">
        <v>1432</v>
      </c>
      <c r="E485" s="1740" t="s">
        <v>682</v>
      </c>
      <c r="F485" s="1070"/>
      <c r="G485" s="1070"/>
      <c r="H485" s="1070"/>
      <c r="I485" s="1070"/>
      <c r="J485" s="1070"/>
      <c r="K485" s="1070"/>
      <c r="L485" s="1070"/>
      <c r="M485" s="1070"/>
      <c r="N485" s="1070"/>
      <c r="O485" s="1070"/>
      <c r="P485" s="1070"/>
      <c r="Q485" s="1070"/>
      <c r="R485" s="1070"/>
      <c r="S485" s="1070"/>
      <c r="T485" s="1070"/>
      <c r="U485" s="1070"/>
      <c r="V485" s="1070"/>
      <c r="W485" s="1070"/>
      <c r="X485" s="1070"/>
      <c r="Y485" s="1070"/>
      <c r="Z485" s="1070"/>
      <c r="AA485" s="1070"/>
      <c r="AB485" s="1070"/>
      <c r="AC485" s="1070"/>
      <c r="AD485" s="1070"/>
      <c r="AE485" s="1070"/>
      <c r="AF485" s="1070"/>
      <c r="AG485" s="1070"/>
      <c r="AH485" s="1070"/>
      <c r="AI485" s="1070"/>
      <c r="AJ485" s="1070"/>
      <c r="AK485" s="1070"/>
      <c r="AL485" s="1070"/>
      <c r="AM485" s="1070"/>
      <c r="AN485" s="1070"/>
    </row>
    <row r="486" spans="1:40" hidden="1" outlineLevel="1" x14ac:dyDescent="0.3">
      <c r="A486" s="1082"/>
      <c r="B486" s="1164" t="s">
        <v>1519</v>
      </c>
      <c r="C486" s="1146"/>
      <c r="D486" s="1743" t="s">
        <v>1445</v>
      </c>
      <c r="E486" s="1744" t="s">
        <v>1445</v>
      </c>
      <c r="F486" s="1070"/>
      <c r="G486" s="1153" t="s">
        <v>1520</v>
      </c>
      <c r="H486" s="1070"/>
      <c r="I486" s="1070"/>
      <c r="J486" s="1070"/>
      <c r="K486" s="1070"/>
      <c r="L486" s="1070"/>
      <c r="M486" s="1070"/>
      <c r="N486" s="1070"/>
      <c r="O486" s="1070"/>
      <c r="P486" s="1070"/>
      <c r="Q486" s="1070"/>
      <c r="R486" s="1070"/>
      <c r="S486" s="1070"/>
      <c r="T486" s="1070"/>
      <c r="U486" s="1070"/>
      <c r="V486" s="1070"/>
      <c r="W486" s="1070"/>
      <c r="X486" s="1070"/>
      <c r="Y486" s="1070"/>
      <c r="Z486" s="1070"/>
      <c r="AA486" s="1070"/>
      <c r="AB486" s="1070"/>
      <c r="AC486" s="1070"/>
      <c r="AD486" s="1070"/>
      <c r="AE486" s="1070"/>
      <c r="AF486" s="1070"/>
      <c r="AG486" s="1070"/>
      <c r="AH486" s="1070"/>
      <c r="AI486" s="1070"/>
      <c r="AJ486" s="1070"/>
      <c r="AK486" s="1070"/>
      <c r="AL486" s="1070"/>
      <c r="AM486" s="1070"/>
      <c r="AN486" s="1070"/>
    </row>
    <row r="487" spans="1:40" hidden="1" outlineLevel="1" x14ac:dyDescent="0.3">
      <c r="A487" s="1082"/>
      <c r="B487" s="1070"/>
      <c r="C487" s="1070"/>
      <c r="D487" s="1070"/>
      <c r="E487" s="1070"/>
      <c r="F487" s="1070"/>
      <c r="G487" s="1070"/>
      <c r="H487" s="1070"/>
      <c r="I487" s="1070"/>
      <c r="J487" s="1070"/>
      <c r="K487" s="1070"/>
      <c r="L487" s="1070"/>
      <c r="M487" s="1070"/>
      <c r="N487" s="1070"/>
      <c r="O487" s="1070"/>
      <c r="P487" s="1070"/>
      <c r="Q487" s="1070"/>
      <c r="R487" s="1070"/>
      <c r="S487" s="1070"/>
      <c r="T487" s="1070"/>
      <c r="U487" s="1070"/>
      <c r="V487" s="1070"/>
      <c r="W487" s="1070"/>
      <c r="X487" s="1070"/>
      <c r="Y487" s="1070"/>
      <c r="Z487" s="1070"/>
      <c r="AA487" s="1070"/>
      <c r="AB487" s="1070"/>
      <c r="AC487" s="1070"/>
      <c r="AD487" s="1070"/>
      <c r="AE487" s="1070"/>
      <c r="AF487" s="1070"/>
      <c r="AG487" s="1070"/>
      <c r="AH487" s="1070"/>
      <c r="AI487" s="1070"/>
      <c r="AJ487" s="1070"/>
      <c r="AK487" s="1070"/>
      <c r="AL487" s="1070"/>
      <c r="AM487" s="1070"/>
      <c r="AN487" s="1070"/>
    </row>
    <row r="488" spans="1:40" hidden="1" outlineLevel="1" x14ac:dyDescent="0.3">
      <c r="A488" s="1082"/>
      <c r="B488" s="1070"/>
      <c r="C488" s="1070"/>
      <c r="D488" s="1070"/>
      <c r="E488" s="1070"/>
      <c r="F488" s="1070"/>
      <c r="G488" s="1070"/>
      <c r="H488" s="1070"/>
      <c r="I488" s="1070"/>
      <c r="J488" s="1070"/>
      <c r="K488" s="1070"/>
      <c r="L488" s="1070"/>
      <c r="M488" s="1070"/>
      <c r="N488" s="1070"/>
      <c r="O488" s="1070"/>
      <c r="P488" s="1070"/>
      <c r="Q488" s="1070"/>
      <c r="R488" s="1070"/>
      <c r="S488" s="1070"/>
      <c r="T488" s="1070"/>
      <c r="U488" s="1070"/>
      <c r="V488" s="1070"/>
      <c r="W488" s="1070"/>
      <c r="X488" s="1070"/>
      <c r="Y488" s="1070"/>
      <c r="Z488" s="1070"/>
      <c r="AA488" s="1070"/>
      <c r="AB488" s="1070"/>
      <c r="AC488" s="1070"/>
      <c r="AD488" s="1070"/>
      <c r="AE488" s="1070"/>
      <c r="AF488" s="1070"/>
      <c r="AG488" s="1070"/>
      <c r="AH488" s="1070"/>
      <c r="AI488" s="1070"/>
      <c r="AJ488" s="1070"/>
      <c r="AK488" s="1070"/>
      <c r="AL488" s="1070"/>
      <c r="AM488" s="1070"/>
      <c r="AN488" s="1070"/>
    </row>
    <row r="489" spans="1:40" ht="17.25" hidden="1" customHeight="1" outlineLevel="1" x14ac:dyDescent="0.3">
      <c r="A489" s="1082"/>
      <c r="B489" s="1240"/>
      <c r="C489" s="1241"/>
      <c r="D489" s="1241"/>
      <c r="E489" s="1241"/>
      <c r="F489" s="1746" t="s">
        <v>739</v>
      </c>
      <c r="G489" s="1746" t="s">
        <v>1461</v>
      </c>
      <c r="H489" s="1746" t="s">
        <v>1461</v>
      </c>
      <c r="I489" s="1746" t="s">
        <v>1461</v>
      </c>
      <c r="J489" s="1746" t="s">
        <v>1461</v>
      </c>
      <c r="K489" s="1747" t="s">
        <v>1461</v>
      </c>
      <c r="L489" s="1747" t="s">
        <v>1461</v>
      </c>
      <c r="M489" s="1747" t="s">
        <v>1461</v>
      </c>
      <c r="N489" s="1747" t="s">
        <v>1461</v>
      </c>
      <c r="O489" s="1747" t="s">
        <v>1461</v>
      </c>
      <c r="P489" s="1747" t="s">
        <v>1461</v>
      </c>
      <c r="Q489" s="1747" t="s">
        <v>1461</v>
      </c>
      <c r="R489" s="1747" t="s">
        <v>1461</v>
      </c>
      <c r="S489" s="1747" t="s">
        <v>1461</v>
      </c>
      <c r="T489" s="1747" t="s">
        <v>1461</v>
      </c>
      <c r="U489" s="1747" t="s">
        <v>1461</v>
      </c>
      <c r="V489" s="1747" t="s">
        <v>1461</v>
      </c>
      <c r="W489" s="1747" t="s">
        <v>1461</v>
      </c>
      <c r="X489" s="1747" t="s">
        <v>1461</v>
      </c>
      <c r="Y489" s="1747" t="s">
        <v>1461</v>
      </c>
      <c r="Z489" s="1747" t="s">
        <v>1461</v>
      </c>
      <c r="AA489" s="1747" t="s">
        <v>1461</v>
      </c>
      <c r="AB489" s="1747" t="s">
        <v>1461</v>
      </c>
      <c r="AC489" s="1747" t="s">
        <v>1461</v>
      </c>
      <c r="AD489" s="1747" t="s">
        <v>1461</v>
      </c>
      <c r="AE489" s="1747" t="s">
        <v>1461</v>
      </c>
      <c r="AF489" s="1747" t="s">
        <v>1461</v>
      </c>
      <c r="AG489" s="1747" t="s">
        <v>1461</v>
      </c>
      <c r="AH489" s="1747" t="s">
        <v>1461</v>
      </c>
      <c r="AI489" s="1747" t="s">
        <v>1461</v>
      </c>
      <c r="AJ489" s="1748" t="s">
        <v>1316</v>
      </c>
      <c r="AK489" s="1749" t="s">
        <v>1315</v>
      </c>
      <c r="AL489" s="1750"/>
      <c r="AM489" s="1746" t="s">
        <v>1316</v>
      </c>
      <c r="AN489" s="1070"/>
    </row>
    <row r="490" spans="1:40" hidden="1" outlineLevel="1" x14ac:dyDescent="0.3">
      <c r="A490" s="1082"/>
      <c r="B490" s="1149"/>
      <c r="C490" s="1142"/>
      <c r="D490" s="1142"/>
      <c r="E490" s="1142"/>
      <c r="F490" s="1753"/>
      <c r="G490" s="1754"/>
      <c r="H490" s="1754"/>
      <c r="I490" s="1754"/>
      <c r="J490" s="1754"/>
      <c r="K490" s="1754"/>
      <c r="L490" s="1754"/>
      <c r="M490" s="1754"/>
      <c r="N490" s="1755"/>
      <c r="O490" s="1756"/>
      <c r="P490" s="1756"/>
      <c r="Q490" s="1756"/>
      <c r="R490" s="1756"/>
      <c r="S490" s="1756"/>
      <c r="T490" s="1756"/>
      <c r="U490" s="1756"/>
      <c r="V490" s="1756"/>
      <c r="W490" s="1756"/>
      <c r="X490" s="1756"/>
      <c r="Y490" s="1756"/>
      <c r="Z490" s="1756"/>
      <c r="AA490" s="1756"/>
      <c r="AB490" s="1756"/>
      <c r="AC490" s="1756"/>
      <c r="AD490" s="1756"/>
      <c r="AE490" s="1756"/>
      <c r="AF490" s="1756"/>
      <c r="AG490" s="1756"/>
      <c r="AH490" s="1756"/>
      <c r="AI490" s="1756"/>
      <c r="AJ490" s="1251"/>
      <c r="AK490" s="1252"/>
      <c r="AL490" s="1757"/>
      <c r="AN490" s="1070"/>
    </row>
    <row r="491" spans="1:40" ht="18" hidden="1" outlineLevel="1" x14ac:dyDescent="0.3">
      <c r="A491" s="1082"/>
      <c r="B491" s="1253" t="s">
        <v>784</v>
      </c>
      <c r="C491" s="1254"/>
      <c r="D491" s="1254"/>
      <c r="E491" s="1255"/>
      <c r="F491" s="1261">
        <v>0</v>
      </c>
      <c r="G491" s="1263">
        <v>0</v>
      </c>
      <c r="H491" s="1262">
        <v>0</v>
      </c>
      <c r="I491" s="1262">
        <v>0</v>
      </c>
      <c r="J491" s="1262">
        <v>0</v>
      </c>
      <c r="K491" s="1262">
        <v>0</v>
      </c>
      <c r="L491" s="1262">
        <v>0</v>
      </c>
      <c r="M491" s="1262">
        <v>0</v>
      </c>
      <c r="N491" s="1262">
        <v>0</v>
      </c>
      <c r="O491" s="1262">
        <v>0</v>
      </c>
      <c r="P491" s="1262">
        <v>0</v>
      </c>
      <c r="Q491" s="1262">
        <v>0</v>
      </c>
      <c r="R491" s="1262">
        <v>0</v>
      </c>
      <c r="S491" s="1262">
        <v>0</v>
      </c>
      <c r="T491" s="1262">
        <v>0</v>
      </c>
      <c r="U491" s="1262">
        <v>0</v>
      </c>
      <c r="V491" s="1262">
        <v>0</v>
      </c>
      <c r="W491" s="1262">
        <v>0</v>
      </c>
      <c r="X491" s="1262">
        <v>0</v>
      </c>
      <c r="Y491" s="1262">
        <v>0</v>
      </c>
      <c r="Z491" s="1262">
        <v>0</v>
      </c>
      <c r="AA491" s="1262">
        <v>0</v>
      </c>
      <c r="AB491" s="1262">
        <v>0</v>
      </c>
      <c r="AC491" s="1262">
        <v>0</v>
      </c>
      <c r="AD491" s="1262">
        <v>0</v>
      </c>
      <c r="AE491" s="1262">
        <v>0</v>
      </c>
      <c r="AF491" s="1262">
        <v>0</v>
      </c>
      <c r="AG491" s="1262">
        <v>0</v>
      </c>
      <c r="AH491" s="1262">
        <v>0</v>
      </c>
      <c r="AI491" s="1262">
        <v>0</v>
      </c>
      <c r="AJ491" s="1263">
        <v>0</v>
      </c>
      <c r="AK491" s="1264"/>
      <c r="AL491" s="1761"/>
      <c r="AM491" s="1261">
        <v>0</v>
      </c>
      <c r="AN491" s="1070"/>
    </row>
    <row r="492" spans="1:40" hidden="1" outlineLevel="1" x14ac:dyDescent="0.3">
      <c r="A492" s="1082"/>
      <c r="B492" s="1266" t="s">
        <v>1317</v>
      </c>
      <c r="C492" s="1267"/>
      <c r="D492" s="1267"/>
      <c r="E492" s="1267"/>
      <c r="F492" s="1274"/>
      <c r="G492" s="1276">
        <v>0</v>
      </c>
      <c r="H492" s="1275">
        <v>0</v>
      </c>
      <c r="I492" s="1275">
        <v>0</v>
      </c>
      <c r="J492" s="1275">
        <v>0</v>
      </c>
      <c r="K492" s="1275">
        <v>0</v>
      </c>
      <c r="L492" s="1275">
        <v>0</v>
      </c>
      <c r="M492" s="1275">
        <v>0</v>
      </c>
      <c r="N492" s="1275">
        <v>0</v>
      </c>
      <c r="O492" s="1275">
        <v>0</v>
      </c>
      <c r="P492" s="1275">
        <v>0</v>
      </c>
      <c r="Q492" s="1275">
        <v>0</v>
      </c>
      <c r="R492" s="1275">
        <v>0</v>
      </c>
      <c r="S492" s="1275">
        <v>0</v>
      </c>
      <c r="T492" s="1275">
        <v>0</v>
      </c>
      <c r="U492" s="1275">
        <v>0</v>
      </c>
      <c r="V492" s="1275">
        <v>0</v>
      </c>
      <c r="W492" s="1275">
        <v>0</v>
      </c>
      <c r="X492" s="1275">
        <v>0</v>
      </c>
      <c r="Y492" s="1275">
        <v>0</v>
      </c>
      <c r="Z492" s="1275">
        <v>0</v>
      </c>
      <c r="AA492" s="1275">
        <v>0</v>
      </c>
      <c r="AB492" s="1275">
        <v>0</v>
      </c>
      <c r="AC492" s="1275">
        <v>0</v>
      </c>
      <c r="AD492" s="1275">
        <v>0</v>
      </c>
      <c r="AE492" s="1275">
        <v>0</v>
      </c>
      <c r="AF492" s="1275">
        <v>0</v>
      </c>
      <c r="AG492" s="1275">
        <v>0</v>
      </c>
      <c r="AH492" s="1275">
        <v>0</v>
      </c>
      <c r="AI492" s="1275">
        <v>0</v>
      </c>
      <c r="AJ492" s="1276">
        <v>0</v>
      </c>
      <c r="AK492" s="1277" t="s">
        <v>1318</v>
      </c>
      <c r="AL492" s="1762"/>
      <c r="AM492" s="1279"/>
      <c r="AN492" s="1070"/>
    </row>
    <row r="493" spans="1:40" hidden="1" outlineLevel="1" x14ac:dyDescent="0.3">
      <c r="A493" s="1082"/>
      <c r="B493" s="1266" t="s">
        <v>1319</v>
      </c>
      <c r="C493" s="1766" t="s">
        <v>1449</v>
      </c>
      <c r="D493" s="1767"/>
      <c r="E493" s="1267"/>
      <c r="F493" s="1274"/>
      <c r="G493" s="1276">
        <v>0</v>
      </c>
      <c r="H493" s="1275">
        <v>0</v>
      </c>
      <c r="I493" s="1275">
        <v>0</v>
      </c>
      <c r="J493" s="1275">
        <v>0</v>
      </c>
      <c r="K493" s="1275">
        <v>0</v>
      </c>
      <c r="L493" s="1275">
        <v>0</v>
      </c>
      <c r="M493" s="1275">
        <v>0</v>
      </c>
      <c r="N493" s="1275">
        <v>0</v>
      </c>
      <c r="O493" s="1275">
        <v>0</v>
      </c>
      <c r="P493" s="1275">
        <v>0</v>
      </c>
      <c r="Q493" s="1275">
        <v>0</v>
      </c>
      <c r="R493" s="1275">
        <v>0</v>
      </c>
      <c r="S493" s="1275">
        <v>0</v>
      </c>
      <c r="T493" s="1275">
        <v>0</v>
      </c>
      <c r="U493" s="1275">
        <v>0</v>
      </c>
      <c r="V493" s="1275">
        <v>0</v>
      </c>
      <c r="W493" s="1275">
        <v>0</v>
      </c>
      <c r="X493" s="1275">
        <v>0</v>
      </c>
      <c r="Y493" s="1275">
        <v>0</v>
      </c>
      <c r="Z493" s="1275">
        <v>0</v>
      </c>
      <c r="AA493" s="1275">
        <v>0</v>
      </c>
      <c r="AB493" s="1275">
        <v>0</v>
      </c>
      <c r="AC493" s="1275">
        <v>0</v>
      </c>
      <c r="AD493" s="1275">
        <v>0</v>
      </c>
      <c r="AE493" s="1275">
        <v>0</v>
      </c>
      <c r="AF493" s="1275">
        <v>0</v>
      </c>
      <c r="AG493" s="1275">
        <v>0</v>
      </c>
      <c r="AH493" s="1275">
        <v>0</v>
      </c>
      <c r="AI493" s="1275">
        <v>0</v>
      </c>
      <c r="AJ493" s="1276">
        <v>0</v>
      </c>
      <c r="AK493" s="1277"/>
      <c r="AL493" s="1762"/>
      <c r="AM493" s="1279"/>
      <c r="AN493" s="1070"/>
    </row>
    <row r="494" spans="1:40" ht="18" hidden="1" outlineLevel="1" x14ac:dyDescent="0.3">
      <c r="A494" s="1082"/>
      <c r="B494" s="1283" t="s">
        <v>1320</v>
      </c>
      <c r="C494" s="1284"/>
      <c r="D494" s="1284"/>
      <c r="E494" s="1286"/>
      <c r="F494" s="1292"/>
      <c r="G494" s="1768">
        <v>0</v>
      </c>
      <c r="H494" s="1769">
        <v>0</v>
      </c>
      <c r="I494" s="1769">
        <v>0</v>
      </c>
      <c r="J494" s="1769">
        <v>0</v>
      </c>
      <c r="K494" s="1769">
        <v>0</v>
      </c>
      <c r="L494" s="1769">
        <v>0</v>
      </c>
      <c r="M494" s="1769">
        <v>0</v>
      </c>
      <c r="N494" s="1769">
        <v>0</v>
      </c>
      <c r="O494" s="1769">
        <v>0</v>
      </c>
      <c r="P494" s="1769">
        <v>0</v>
      </c>
      <c r="Q494" s="1769">
        <v>0</v>
      </c>
      <c r="R494" s="1769">
        <v>0</v>
      </c>
      <c r="S494" s="1769">
        <v>0</v>
      </c>
      <c r="T494" s="1769">
        <v>0</v>
      </c>
      <c r="U494" s="1769">
        <v>0</v>
      </c>
      <c r="V494" s="1769">
        <v>0</v>
      </c>
      <c r="W494" s="1769">
        <v>0</v>
      </c>
      <c r="X494" s="1769">
        <v>0</v>
      </c>
      <c r="Y494" s="1769">
        <v>0</v>
      </c>
      <c r="Z494" s="1769">
        <v>0</v>
      </c>
      <c r="AA494" s="1769">
        <v>0</v>
      </c>
      <c r="AB494" s="1769">
        <v>0</v>
      </c>
      <c r="AC494" s="1769">
        <v>0</v>
      </c>
      <c r="AD494" s="1769">
        <v>0</v>
      </c>
      <c r="AE494" s="1769">
        <v>0</v>
      </c>
      <c r="AF494" s="1769">
        <v>0</v>
      </c>
      <c r="AG494" s="1769">
        <v>0</v>
      </c>
      <c r="AH494" s="1769">
        <v>0</v>
      </c>
      <c r="AI494" s="1769">
        <v>0</v>
      </c>
      <c r="AJ494" s="1768">
        <v>0</v>
      </c>
      <c r="AK494" s="1295"/>
      <c r="AL494" s="1761"/>
      <c r="AM494" s="1296">
        <v>0</v>
      </c>
      <c r="AN494" s="1070"/>
    </row>
    <row r="495" spans="1:40" ht="18" hidden="1" outlineLevel="1" x14ac:dyDescent="0.3">
      <c r="A495" s="1082"/>
      <c r="B495" s="1297" t="s">
        <v>1321</v>
      </c>
      <c r="C495" s="1298"/>
      <c r="D495" s="1298"/>
      <c r="E495" s="1298"/>
      <c r="F495" s="1304">
        <v>0</v>
      </c>
      <c r="G495" s="1306">
        <v>0</v>
      </c>
      <c r="H495" s="1305">
        <v>0</v>
      </c>
      <c r="I495" s="1305">
        <v>0</v>
      </c>
      <c r="J495" s="1305">
        <v>0</v>
      </c>
      <c r="K495" s="1305">
        <v>0</v>
      </c>
      <c r="L495" s="1305">
        <v>0</v>
      </c>
      <c r="M495" s="1305">
        <v>0</v>
      </c>
      <c r="N495" s="1305">
        <v>0</v>
      </c>
      <c r="O495" s="1305">
        <v>0</v>
      </c>
      <c r="P495" s="1305">
        <v>0</v>
      </c>
      <c r="Q495" s="1305">
        <v>0</v>
      </c>
      <c r="R495" s="1305">
        <v>0</v>
      </c>
      <c r="S495" s="1305">
        <v>0</v>
      </c>
      <c r="T495" s="1305">
        <v>0</v>
      </c>
      <c r="U495" s="1305">
        <v>0</v>
      </c>
      <c r="V495" s="1305">
        <v>0</v>
      </c>
      <c r="W495" s="1305">
        <v>0</v>
      </c>
      <c r="X495" s="1305">
        <v>0</v>
      </c>
      <c r="Y495" s="1305">
        <v>0</v>
      </c>
      <c r="Z495" s="1305">
        <v>0</v>
      </c>
      <c r="AA495" s="1305">
        <v>0</v>
      </c>
      <c r="AB495" s="1305">
        <v>0</v>
      </c>
      <c r="AC495" s="1305">
        <v>0</v>
      </c>
      <c r="AD495" s="1305">
        <v>0</v>
      </c>
      <c r="AE495" s="1305">
        <v>0</v>
      </c>
      <c r="AF495" s="1305">
        <v>0</v>
      </c>
      <c r="AG495" s="1305">
        <v>0</v>
      </c>
      <c r="AH495" s="1305">
        <v>0</v>
      </c>
      <c r="AI495" s="1305">
        <v>0</v>
      </c>
      <c r="AJ495" s="1306">
        <v>0</v>
      </c>
      <c r="AK495" s="1307">
        <v>0</v>
      </c>
      <c r="AL495" s="1770"/>
      <c r="AM495" s="1304">
        <v>0</v>
      </c>
      <c r="AN495" s="1070"/>
    </row>
    <row r="496" spans="1:40" ht="18" hidden="1" outlineLevel="1" x14ac:dyDescent="0.3">
      <c r="A496" s="1082"/>
      <c r="B496" s="1297" t="s">
        <v>1322</v>
      </c>
      <c r="C496" s="1298"/>
      <c r="D496" s="1298"/>
      <c r="E496" s="1298"/>
      <c r="F496" s="1304">
        <v>0</v>
      </c>
      <c r="G496" s="1306">
        <v>0</v>
      </c>
      <c r="H496" s="1305">
        <v>0</v>
      </c>
      <c r="I496" s="1305">
        <v>0</v>
      </c>
      <c r="J496" s="1305">
        <v>0</v>
      </c>
      <c r="K496" s="1305">
        <v>0</v>
      </c>
      <c r="L496" s="1305">
        <v>0</v>
      </c>
      <c r="M496" s="1305">
        <v>0</v>
      </c>
      <c r="N496" s="1305">
        <v>0</v>
      </c>
      <c r="O496" s="1305">
        <v>0</v>
      </c>
      <c r="P496" s="1305">
        <v>0</v>
      </c>
      <c r="Q496" s="1305">
        <v>0</v>
      </c>
      <c r="R496" s="1305">
        <v>0</v>
      </c>
      <c r="S496" s="1305">
        <v>0</v>
      </c>
      <c r="T496" s="1305">
        <v>0</v>
      </c>
      <c r="U496" s="1305">
        <v>0</v>
      </c>
      <c r="V496" s="1305">
        <v>0</v>
      </c>
      <c r="W496" s="1305">
        <v>0</v>
      </c>
      <c r="X496" s="1305">
        <v>0</v>
      </c>
      <c r="Y496" s="1305">
        <v>0</v>
      </c>
      <c r="Z496" s="1305">
        <v>0</v>
      </c>
      <c r="AA496" s="1305">
        <v>0</v>
      </c>
      <c r="AB496" s="1305">
        <v>0</v>
      </c>
      <c r="AC496" s="1305">
        <v>0</v>
      </c>
      <c r="AD496" s="1305">
        <v>0</v>
      </c>
      <c r="AE496" s="1305">
        <v>0</v>
      </c>
      <c r="AF496" s="1305">
        <v>0</v>
      </c>
      <c r="AG496" s="1305">
        <v>0</v>
      </c>
      <c r="AH496" s="1305">
        <v>0</v>
      </c>
      <c r="AI496" s="1305">
        <v>0</v>
      </c>
      <c r="AJ496" s="1306">
        <v>0</v>
      </c>
      <c r="AK496" s="1307">
        <v>0</v>
      </c>
      <c r="AL496" s="1770"/>
      <c r="AM496" s="1304">
        <v>0</v>
      </c>
      <c r="AN496" s="1070"/>
    </row>
    <row r="497" spans="1:40" ht="18" hidden="1" outlineLevel="1" x14ac:dyDescent="0.3">
      <c r="A497" s="1082"/>
      <c r="B497" s="1308" t="s">
        <v>286</v>
      </c>
      <c r="C497" s="1309"/>
      <c r="D497" s="1309"/>
      <c r="E497" s="1309"/>
      <c r="F497" s="1315">
        <v>0</v>
      </c>
      <c r="G497" s="1317">
        <v>0</v>
      </c>
      <c r="H497" s="1316">
        <v>0</v>
      </c>
      <c r="I497" s="1316">
        <v>0</v>
      </c>
      <c r="J497" s="1316">
        <v>0</v>
      </c>
      <c r="K497" s="1316">
        <v>0</v>
      </c>
      <c r="L497" s="1316">
        <v>0</v>
      </c>
      <c r="M497" s="1316">
        <v>0</v>
      </c>
      <c r="N497" s="1316">
        <v>0</v>
      </c>
      <c r="O497" s="1316">
        <v>0</v>
      </c>
      <c r="P497" s="1316">
        <v>0</v>
      </c>
      <c r="Q497" s="1316">
        <v>0</v>
      </c>
      <c r="R497" s="1316">
        <v>0</v>
      </c>
      <c r="S497" s="1316">
        <v>0</v>
      </c>
      <c r="T497" s="1316">
        <v>0</v>
      </c>
      <c r="U497" s="1316">
        <v>0</v>
      </c>
      <c r="V497" s="1316">
        <v>0</v>
      </c>
      <c r="W497" s="1316">
        <v>0</v>
      </c>
      <c r="X497" s="1316">
        <v>0</v>
      </c>
      <c r="Y497" s="1316">
        <v>0</v>
      </c>
      <c r="Z497" s="1316">
        <v>0</v>
      </c>
      <c r="AA497" s="1316">
        <v>0</v>
      </c>
      <c r="AB497" s="1316">
        <v>0</v>
      </c>
      <c r="AC497" s="1316">
        <v>0</v>
      </c>
      <c r="AD497" s="1316">
        <v>0</v>
      </c>
      <c r="AE497" s="1316">
        <v>0</v>
      </c>
      <c r="AF497" s="1316">
        <v>0</v>
      </c>
      <c r="AG497" s="1316">
        <v>0</v>
      </c>
      <c r="AH497" s="1316">
        <v>0</v>
      </c>
      <c r="AI497" s="1316">
        <v>0</v>
      </c>
      <c r="AJ497" s="1317">
        <v>0</v>
      </c>
      <c r="AK497" s="1318"/>
      <c r="AL497" s="1761"/>
      <c r="AM497" s="1315">
        <v>0</v>
      </c>
      <c r="AN497" s="1070"/>
    </row>
    <row r="498" spans="1:40" hidden="1" outlineLevel="1" x14ac:dyDescent="0.3">
      <c r="A498" s="1082"/>
      <c r="B498" s="1320"/>
      <c r="C498" s="1321" t="s">
        <v>1323</v>
      </c>
      <c r="D498" s="1321"/>
      <c r="E498" s="1323"/>
      <c r="F498" s="1330"/>
      <c r="G498" s="1332">
        <v>0</v>
      </c>
      <c r="H498" s="1331">
        <v>0</v>
      </c>
      <c r="I498" s="1331">
        <v>0</v>
      </c>
      <c r="J498" s="1331">
        <v>0</v>
      </c>
      <c r="K498" s="1331">
        <v>0</v>
      </c>
      <c r="L498" s="1331">
        <v>0</v>
      </c>
      <c r="M498" s="1331">
        <v>0</v>
      </c>
      <c r="N498" s="1331">
        <v>0</v>
      </c>
      <c r="O498" s="1331">
        <v>0</v>
      </c>
      <c r="P498" s="1331">
        <v>0</v>
      </c>
      <c r="Q498" s="1331">
        <v>0</v>
      </c>
      <c r="R498" s="1331">
        <v>0</v>
      </c>
      <c r="S498" s="1331">
        <v>0</v>
      </c>
      <c r="T498" s="1331">
        <v>0</v>
      </c>
      <c r="U498" s="1331">
        <v>0</v>
      </c>
      <c r="V498" s="1331">
        <v>0</v>
      </c>
      <c r="W498" s="1331">
        <v>0</v>
      </c>
      <c r="X498" s="1331">
        <v>0</v>
      </c>
      <c r="Y498" s="1331">
        <v>0</v>
      </c>
      <c r="Z498" s="1331">
        <v>0</v>
      </c>
      <c r="AA498" s="1331">
        <v>0</v>
      </c>
      <c r="AB498" s="1331">
        <v>0</v>
      </c>
      <c r="AC498" s="1331">
        <v>0</v>
      </c>
      <c r="AD498" s="1331">
        <v>0</v>
      </c>
      <c r="AE498" s="1331">
        <v>0</v>
      </c>
      <c r="AF498" s="1331">
        <v>0</v>
      </c>
      <c r="AG498" s="1331">
        <v>0</v>
      </c>
      <c r="AH498" s="1331">
        <v>0</v>
      </c>
      <c r="AI498" s="1331">
        <v>0</v>
      </c>
      <c r="AJ498" s="1332">
        <v>0</v>
      </c>
      <c r="AK498" s="1333"/>
      <c r="AL498" s="1771"/>
      <c r="AM498" s="1335"/>
      <c r="AN498" s="1070"/>
    </row>
    <row r="499" spans="1:40" ht="18" hidden="1" outlineLevel="1" x14ac:dyDescent="0.3">
      <c r="A499" s="1082"/>
      <c r="B499" s="1336" t="s">
        <v>1324</v>
      </c>
      <c r="C499" s="1337"/>
      <c r="D499" s="1337"/>
      <c r="E499" s="1337"/>
      <c r="F499" s="1304">
        <v>0</v>
      </c>
      <c r="G499" s="1306">
        <v>0</v>
      </c>
      <c r="H499" s="1305">
        <v>0</v>
      </c>
      <c r="I499" s="1305">
        <v>0</v>
      </c>
      <c r="J499" s="1305">
        <v>0</v>
      </c>
      <c r="K499" s="1305">
        <v>0</v>
      </c>
      <c r="L499" s="1305">
        <v>0</v>
      </c>
      <c r="M499" s="1305">
        <v>0</v>
      </c>
      <c r="N499" s="1305">
        <v>0</v>
      </c>
      <c r="O499" s="1305">
        <v>0</v>
      </c>
      <c r="P499" s="1305">
        <v>0</v>
      </c>
      <c r="Q499" s="1305">
        <v>0</v>
      </c>
      <c r="R499" s="1305">
        <v>0</v>
      </c>
      <c r="S499" s="1305">
        <v>0</v>
      </c>
      <c r="T499" s="1305">
        <v>0</v>
      </c>
      <c r="U499" s="1305">
        <v>0</v>
      </c>
      <c r="V499" s="1305">
        <v>0</v>
      </c>
      <c r="W499" s="1305">
        <v>0</v>
      </c>
      <c r="X499" s="1305">
        <v>0</v>
      </c>
      <c r="Y499" s="1305">
        <v>0</v>
      </c>
      <c r="Z499" s="1305">
        <v>0</v>
      </c>
      <c r="AA499" s="1305">
        <v>0</v>
      </c>
      <c r="AB499" s="1305">
        <v>0</v>
      </c>
      <c r="AC499" s="1305">
        <v>0</v>
      </c>
      <c r="AD499" s="1305">
        <v>0</v>
      </c>
      <c r="AE499" s="1305">
        <v>0</v>
      </c>
      <c r="AF499" s="1305">
        <v>0</v>
      </c>
      <c r="AG499" s="1305">
        <v>0</v>
      </c>
      <c r="AH499" s="1305">
        <v>0</v>
      </c>
      <c r="AI499" s="1305">
        <v>0</v>
      </c>
      <c r="AJ499" s="1306">
        <v>0</v>
      </c>
      <c r="AK499" s="1307">
        <v>0</v>
      </c>
      <c r="AL499" s="1770"/>
      <c r="AM499" s="1304">
        <v>0</v>
      </c>
      <c r="AN499" s="1070"/>
    </row>
    <row r="500" spans="1:40" ht="18" hidden="1" outlineLevel="1" x14ac:dyDescent="0.3">
      <c r="A500" s="1082"/>
      <c r="B500" s="1336" t="s">
        <v>1325</v>
      </c>
      <c r="C500" s="1337"/>
      <c r="D500" s="1337"/>
      <c r="E500" s="1337"/>
      <c r="F500" s="1304">
        <v>0</v>
      </c>
      <c r="G500" s="1306">
        <v>0</v>
      </c>
      <c r="H500" s="1305">
        <v>0</v>
      </c>
      <c r="I500" s="1305">
        <v>0</v>
      </c>
      <c r="J500" s="1305">
        <v>0</v>
      </c>
      <c r="K500" s="1305">
        <v>0</v>
      </c>
      <c r="L500" s="1305">
        <v>0</v>
      </c>
      <c r="M500" s="1305">
        <v>0</v>
      </c>
      <c r="N500" s="1305">
        <v>0</v>
      </c>
      <c r="O500" s="1305">
        <v>0</v>
      </c>
      <c r="P500" s="1305">
        <v>0</v>
      </c>
      <c r="Q500" s="1305">
        <v>0</v>
      </c>
      <c r="R500" s="1305">
        <v>0</v>
      </c>
      <c r="S500" s="1305">
        <v>0</v>
      </c>
      <c r="T500" s="1305">
        <v>0</v>
      </c>
      <c r="U500" s="1305">
        <v>0</v>
      </c>
      <c r="V500" s="1305">
        <v>0</v>
      </c>
      <c r="W500" s="1305">
        <v>0</v>
      </c>
      <c r="X500" s="1305">
        <v>0</v>
      </c>
      <c r="Y500" s="1305">
        <v>0</v>
      </c>
      <c r="Z500" s="1305">
        <v>0</v>
      </c>
      <c r="AA500" s="1305">
        <v>0</v>
      </c>
      <c r="AB500" s="1305">
        <v>0</v>
      </c>
      <c r="AC500" s="1305">
        <v>0</v>
      </c>
      <c r="AD500" s="1305">
        <v>0</v>
      </c>
      <c r="AE500" s="1305">
        <v>0</v>
      </c>
      <c r="AF500" s="1305">
        <v>0</v>
      </c>
      <c r="AG500" s="1305">
        <v>0</v>
      </c>
      <c r="AH500" s="1305">
        <v>0</v>
      </c>
      <c r="AI500" s="1305">
        <v>0</v>
      </c>
      <c r="AJ500" s="1306">
        <v>0</v>
      </c>
      <c r="AK500" s="1307">
        <v>0</v>
      </c>
      <c r="AL500" s="1770"/>
      <c r="AM500" s="1304">
        <v>0</v>
      </c>
      <c r="AN500" s="1070"/>
    </row>
    <row r="501" spans="1:40" ht="18.600000000000001" hidden="1" outlineLevel="1" thickBot="1" x14ac:dyDescent="0.35">
      <c r="A501" s="1082"/>
      <c r="B501" s="1338" t="s">
        <v>660</v>
      </c>
      <c r="C501" s="1339"/>
      <c r="D501" s="1339"/>
      <c r="E501" s="1339"/>
      <c r="F501" s="1345">
        <v>0</v>
      </c>
      <c r="G501" s="1347">
        <v>0</v>
      </c>
      <c r="H501" s="1346">
        <v>0</v>
      </c>
      <c r="I501" s="1346">
        <v>0</v>
      </c>
      <c r="J501" s="1346">
        <v>0</v>
      </c>
      <c r="K501" s="1346">
        <v>0</v>
      </c>
      <c r="L501" s="1346">
        <v>0</v>
      </c>
      <c r="M501" s="1346">
        <v>0</v>
      </c>
      <c r="N501" s="1346">
        <v>0</v>
      </c>
      <c r="O501" s="1346">
        <v>0</v>
      </c>
      <c r="P501" s="1346">
        <v>0</v>
      </c>
      <c r="Q501" s="1346">
        <v>0</v>
      </c>
      <c r="R501" s="1346">
        <v>0</v>
      </c>
      <c r="S501" s="1346">
        <v>0</v>
      </c>
      <c r="T501" s="1346">
        <v>0</v>
      </c>
      <c r="U501" s="1346">
        <v>0</v>
      </c>
      <c r="V501" s="1346">
        <v>0</v>
      </c>
      <c r="W501" s="1346">
        <v>0</v>
      </c>
      <c r="X501" s="1346">
        <v>0</v>
      </c>
      <c r="Y501" s="1346">
        <v>0</v>
      </c>
      <c r="Z501" s="1346">
        <v>0</v>
      </c>
      <c r="AA501" s="1346">
        <v>0</v>
      </c>
      <c r="AB501" s="1346">
        <v>0</v>
      </c>
      <c r="AC501" s="1346">
        <v>0</v>
      </c>
      <c r="AD501" s="1346">
        <v>0</v>
      </c>
      <c r="AE501" s="1346">
        <v>0</v>
      </c>
      <c r="AF501" s="1346">
        <v>0</v>
      </c>
      <c r="AG501" s="1346">
        <v>0</v>
      </c>
      <c r="AH501" s="1346">
        <v>0</v>
      </c>
      <c r="AI501" s="1346">
        <v>0</v>
      </c>
      <c r="AJ501" s="1347">
        <v>0</v>
      </c>
      <c r="AK501" s="1348"/>
      <c r="AL501" s="1761"/>
      <c r="AM501" s="1345">
        <v>0</v>
      </c>
      <c r="AN501" s="1070"/>
    </row>
    <row r="502" spans="1:40" hidden="1" outlineLevel="1" x14ac:dyDescent="0.3">
      <c r="A502" s="1082"/>
      <c r="B502" s="1350"/>
      <c r="C502" s="1351" t="s">
        <v>1323</v>
      </c>
      <c r="D502" s="1351"/>
      <c r="E502" s="1353"/>
      <c r="F502" s="1357"/>
      <c r="G502" s="1276">
        <v>0</v>
      </c>
      <c r="H502" s="1275">
        <v>0</v>
      </c>
      <c r="I502" s="1275">
        <v>0</v>
      </c>
      <c r="J502" s="1275">
        <v>0</v>
      </c>
      <c r="K502" s="1275">
        <v>0</v>
      </c>
      <c r="L502" s="1275">
        <v>0</v>
      </c>
      <c r="M502" s="1275">
        <v>0</v>
      </c>
      <c r="N502" s="1275">
        <v>0</v>
      </c>
      <c r="O502" s="1275">
        <v>0</v>
      </c>
      <c r="P502" s="1275">
        <v>0</v>
      </c>
      <c r="Q502" s="1275">
        <v>0</v>
      </c>
      <c r="R502" s="1275">
        <v>0</v>
      </c>
      <c r="S502" s="1275">
        <v>0</v>
      </c>
      <c r="T502" s="1275">
        <v>0</v>
      </c>
      <c r="U502" s="1275">
        <v>0</v>
      </c>
      <c r="V502" s="1275">
        <v>0</v>
      </c>
      <c r="W502" s="1275">
        <v>0</v>
      </c>
      <c r="X502" s="1275">
        <v>0</v>
      </c>
      <c r="Y502" s="1275">
        <v>0</v>
      </c>
      <c r="Z502" s="1275">
        <v>0</v>
      </c>
      <c r="AA502" s="1275">
        <v>0</v>
      </c>
      <c r="AB502" s="1275">
        <v>0</v>
      </c>
      <c r="AC502" s="1275">
        <v>0</v>
      </c>
      <c r="AD502" s="1275">
        <v>0</v>
      </c>
      <c r="AE502" s="1275">
        <v>0</v>
      </c>
      <c r="AF502" s="1275">
        <v>0</v>
      </c>
      <c r="AG502" s="1275">
        <v>0</v>
      </c>
      <c r="AH502" s="1275">
        <v>0</v>
      </c>
      <c r="AI502" s="1275">
        <v>0</v>
      </c>
      <c r="AJ502" s="1276">
        <v>0</v>
      </c>
      <c r="AK502" s="1358"/>
      <c r="AL502" s="1771"/>
      <c r="AM502" s="1279"/>
      <c r="AN502" s="1070"/>
    </row>
    <row r="503" spans="1:40" ht="18" hidden="1" outlineLevel="1" x14ac:dyDescent="0.3">
      <c r="A503" s="1082"/>
      <c r="B503" s="1336" t="s">
        <v>1326</v>
      </c>
      <c r="C503" s="1351"/>
      <c r="D503" s="1351"/>
      <c r="E503" s="1353"/>
      <c r="F503" s="1304">
        <v>0</v>
      </c>
      <c r="G503" s="1306">
        <v>0</v>
      </c>
      <c r="H503" s="1305">
        <v>0</v>
      </c>
      <c r="I503" s="1305">
        <v>0</v>
      </c>
      <c r="J503" s="1305">
        <v>0</v>
      </c>
      <c r="K503" s="1305">
        <v>0</v>
      </c>
      <c r="L503" s="1305">
        <v>0</v>
      </c>
      <c r="M503" s="1305">
        <v>0</v>
      </c>
      <c r="N503" s="1305">
        <v>0</v>
      </c>
      <c r="O503" s="1305">
        <v>0</v>
      </c>
      <c r="P503" s="1305">
        <v>0</v>
      </c>
      <c r="Q503" s="1305">
        <v>0</v>
      </c>
      <c r="R503" s="1305">
        <v>0</v>
      </c>
      <c r="S503" s="1305">
        <v>0</v>
      </c>
      <c r="T503" s="1305">
        <v>0</v>
      </c>
      <c r="U503" s="1305">
        <v>0</v>
      </c>
      <c r="V503" s="1305">
        <v>0</v>
      </c>
      <c r="W503" s="1305">
        <v>0</v>
      </c>
      <c r="X503" s="1305">
        <v>0</v>
      </c>
      <c r="Y503" s="1305">
        <v>0</v>
      </c>
      <c r="Z503" s="1305">
        <v>0</v>
      </c>
      <c r="AA503" s="1305">
        <v>0</v>
      </c>
      <c r="AB503" s="1305">
        <v>0</v>
      </c>
      <c r="AC503" s="1305">
        <v>0</v>
      </c>
      <c r="AD503" s="1305">
        <v>0</v>
      </c>
      <c r="AE503" s="1305">
        <v>0</v>
      </c>
      <c r="AF503" s="1305">
        <v>0</v>
      </c>
      <c r="AG503" s="1305">
        <v>0</v>
      </c>
      <c r="AH503" s="1305">
        <v>0</v>
      </c>
      <c r="AI503" s="1305">
        <v>0</v>
      </c>
      <c r="AJ503" s="1306">
        <v>0</v>
      </c>
      <c r="AK503" s="1358" t="s">
        <v>3</v>
      </c>
      <c r="AL503" s="1771"/>
      <c r="AM503" s="1304">
        <v>0</v>
      </c>
      <c r="AN503" s="1070"/>
    </row>
    <row r="504" spans="1:40" ht="18" hidden="1" outlineLevel="1" x14ac:dyDescent="0.3">
      <c r="A504" s="1082"/>
      <c r="B504" s="1336" t="s">
        <v>1327</v>
      </c>
      <c r="C504" s="1360"/>
      <c r="D504" s="1360"/>
      <c r="E504" s="1360"/>
      <c r="F504" s="1304">
        <v>0</v>
      </c>
      <c r="G504" s="1306">
        <v>0</v>
      </c>
      <c r="H504" s="1305">
        <v>0</v>
      </c>
      <c r="I504" s="1305">
        <v>0</v>
      </c>
      <c r="J504" s="1305">
        <v>0</v>
      </c>
      <c r="K504" s="1305">
        <v>0</v>
      </c>
      <c r="L504" s="1305">
        <v>0</v>
      </c>
      <c r="M504" s="1305">
        <v>0</v>
      </c>
      <c r="N504" s="1305">
        <v>0</v>
      </c>
      <c r="O504" s="1305">
        <v>0</v>
      </c>
      <c r="P504" s="1305">
        <v>0</v>
      </c>
      <c r="Q504" s="1305">
        <v>0</v>
      </c>
      <c r="R504" s="1305">
        <v>0</v>
      </c>
      <c r="S504" s="1305">
        <v>0</v>
      </c>
      <c r="T504" s="1305">
        <v>0</v>
      </c>
      <c r="U504" s="1305">
        <v>0</v>
      </c>
      <c r="V504" s="1305">
        <v>0</v>
      </c>
      <c r="W504" s="1305">
        <v>0</v>
      </c>
      <c r="X504" s="1305">
        <v>0</v>
      </c>
      <c r="Y504" s="1305">
        <v>0</v>
      </c>
      <c r="Z504" s="1305">
        <v>0</v>
      </c>
      <c r="AA504" s="1305">
        <v>0</v>
      </c>
      <c r="AB504" s="1305">
        <v>0</v>
      </c>
      <c r="AC504" s="1305">
        <v>0</v>
      </c>
      <c r="AD504" s="1305">
        <v>0</v>
      </c>
      <c r="AE504" s="1305">
        <v>0</v>
      </c>
      <c r="AF504" s="1305">
        <v>0</v>
      </c>
      <c r="AG504" s="1305">
        <v>0</v>
      </c>
      <c r="AH504" s="1305">
        <v>0</v>
      </c>
      <c r="AI504" s="1305">
        <v>0</v>
      </c>
      <c r="AJ504" s="1306">
        <v>0</v>
      </c>
      <c r="AK504" s="1307">
        <v>0</v>
      </c>
      <c r="AL504" s="1770"/>
      <c r="AM504" s="1304">
        <v>0</v>
      </c>
      <c r="AN504" s="1070"/>
    </row>
    <row r="505" spans="1:40" ht="18" hidden="1" outlineLevel="1" x14ac:dyDescent="0.3">
      <c r="A505" s="1082"/>
      <c r="B505" s="1308" t="s">
        <v>674</v>
      </c>
      <c r="C505" s="1362"/>
      <c r="D505" s="1362"/>
      <c r="E505" s="1362"/>
      <c r="F505" s="1315">
        <v>0</v>
      </c>
      <c r="G505" s="1317">
        <v>0</v>
      </c>
      <c r="H505" s="1316">
        <v>0</v>
      </c>
      <c r="I505" s="1316">
        <v>0</v>
      </c>
      <c r="J505" s="1316">
        <v>0</v>
      </c>
      <c r="K505" s="1316">
        <v>0</v>
      </c>
      <c r="L505" s="1316">
        <v>0</v>
      </c>
      <c r="M505" s="1316">
        <v>0</v>
      </c>
      <c r="N505" s="1316">
        <v>0</v>
      </c>
      <c r="O505" s="1316">
        <v>0</v>
      </c>
      <c r="P505" s="1316">
        <v>0</v>
      </c>
      <c r="Q505" s="1316">
        <v>0</v>
      </c>
      <c r="R505" s="1316">
        <v>0</v>
      </c>
      <c r="S505" s="1316">
        <v>0</v>
      </c>
      <c r="T505" s="1316">
        <v>0</v>
      </c>
      <c r="U505" s="1316">
        <v>0</v>
      </c>
      <c r="V505" s="1316">
        <v>0</v>
      </c>
      <c r="W505" s="1316">
        <v>0</v>
      </c>
      <c r="X505" s="1316">
        <v>0</v>
      </c>
      <c r="Y505" s="1316">
        <v>0</v>
      </c>
      <c r="Z505" s="1316">
        <v>0</v>
      </c>
      <c r="AA505" s="1316">
        <v>0</v>
      </c>
      <c r="AB505" s="1316">
        <v>0</v>
      </c>
      <c r="AC505" s="1316">
        <v>0</v>
      </c>
      <c r="AD505" s="1316">
        <v>0</v>
      </c>
      <c r="AE505" s="1316">
        <v>0</v>
      </c>
      <c r="AF505" s="1316">
        <v>0</v>
      </c>
      <c r="AG505" s="1316">
        <v>0</v>
      </c>
      <c r="AH505" s="1316">
        <v>0</v>
      </c>
      <c r="AI505" s="1316">
        <v>0</v>
      </c>
      <c r="AJ505" s="1317">
        <v>0</v>
      </c>
      <c r="AK505" s="1318"/>
      <c r="AL505" s="1761"/>
      <c r="AM505" s="1315">
        <v>0</v>
      </c>
      <c r="AN505" s="1070"/>
    </row>
    <row r="506" spans="1:40" hidden="1" outlineLevel="1" x14ac:dyDescent="0.3">
      <c r="A506" s="1082"/>
      <c r="B506" s="1363"/>
      <c r="C506" s="1321" t="s">
        <v>1323</v>
      </c>
      <c r="D506" s="1321"/>
      <c r="E506" s="1364"/>
      <c r="F506" s="1367"/>
      <c r="G506" s="1332">
        <v>0</v>
      </c>
      <c r="H506" s="1331">
        <v>0</v>
      </c>
      <c r="I506" s="1331">
        <v>0</v>
      </c>
      <c r="J506" s="1331">
        <v>0</v>
      </c>
      <c r="K506" s="1331">
        <v>0</v>
      </c>
      <c r="L506" s="1331">
        <v>0</v>
      </c>
      <c r="M506" s="1331">
        <v>0</v>
      </c>
      <c r="N506" s="1331">
        <v>0</v>
      </c>
      <c r="O506" s="1331">
        <v>0</v>
      </c>
      <c r="P506" s="1331">
        <v>0</v>
      </c>
      <c r="Q506" s="1331">
        <v>0</v>
      </c>
      <c r="R506" s="1331">
        <v>0</v>
      </c>
      <c r="S506" s="1331">
        <v>0</v>
      </c>
      <c r="T506" s="1331">
        <v>0</v>
      </c>
      <c r="U506" s="1331">
        <v>0</v>
      </c>
      <c r="V506" s="1331">
        <v>0</v>
      </c>
      <c r="W506" s="1331">
        <v>0</v>
      </c>
      <c r="X506" s="1331">
        <v>0</v>
      </c>
      <c r="Y506" s="1331">
        <v>0</v>
      </c>
      <c r="Z506" s="1331">
        <v>0</v>
      </c>
      <c r="AA506" s="1331">
        <v>0</v>
      </c>
      <c r="AB506" s="1331">
        <v>0</v>
      </c>
      <c r="AC506" s="1331">
        <v>0</v>
      </c>
      <c r="AD506" s="1331">
        <v>0</v>
      </c>
      <c r="AE506" s="1331">
        <v>0</v>
      </c>
      <c r="AF506" s="1331">
        <v>0</v>
      </c>
      <c r="AG506" s="1331">
        <v>0</v>
      </c>
      <c r="AH506" s="1331">
        <v>0</v>
      </c>
      <c r="AI506" s="1331">
        <v>0</v>
      </c>
      <c r="AJ506" s="1332">
        <v>0</v>
      </c>
      <c r="AK506" s="1368"/>
      <c r="AL506" s="1776"/>
      <c r="AM506" s="1335"/>
      <c r="AN506" s="1070"/>
    </row>
    <row r="507" spans="1:40" ht="18" hidden="1" outlineLevel="1" x14ac:dyDescent="0.3">
      <c r="A507" s="1082"/>
      <c r="B507" s="1336" t="s">
        <v>1328</v>
      </c>
      <c r="C507" s="1337"/>
      <c r="D507" s="1337"/>
      <c r="E507" s="1337"/>
      <c r="F507" s="1304">
        <v>0</v>
      </c>
      <c r="G507" s="1306">
        <v>0</v>
      </c>
      <c r="H507" s="1305">
        <v>0</v>
      </c>
      <c r="I507" s="1305">
        <v>0</v>
      </c>
      <c r="J507" s="1305">
        <v>0</v>
      </c>
      <c r="K507" s="1305">
        <v>0</v>
      </c>
      <c r="L507" s="1305">
        <v>0</v>
      </c>
      <c r="M507" s="1305">
        <v>0</v>
      </c>
      <c r="N507" s="1305">
        <v>0</v>
      </c>
      <c r="O507" s="1305">
        <v>0</v>
      </c>
      <c r="P507" s="1305">
        <v>0</v>
      </c>
      <c r="Q507" s="1305">
        <v>0</v>
      </c>
      <c r="R507" s="1305">
        <v>0</v>
      </c>
      <c r="S507" s="1305">
        <v>0</v>
      </c>
      <c r="T507" s="1305">
        <v>0</v>
      </c>
      <c r="U507" s="1305">
        <v>0</v>
      </c>
      <c r="V507" s="1305">
        <v>0</v>
      </c>
      <c r="W507" s="1305">
        <v>0</v>
      </c>
      <c r="X507" s="1305">
        <v>0</v>
      </c>
      <c r="Y507" s="1305">
        <v>0</v>
      </c>
      <c r="Z507" s="1305">
        <v>0</v>
      </c>
      <c r="AA507" s="1305">
        <v>0</v>
      </c>
      <c r="AB507" s="1305">
        <v>0</v>
      </c>
      <c r="AC507" s="1305">
        <v>0</v>
      </c>
      <c r="AD507" s="1305">
        <v>0</v>
      </c>
      <c r="AE507" s="1305">
        <v>0</v>
      </c>
      <c r="AF507" s="1305">
        <v>0</v>
      </c>
      <c r="AG507" s="1305">
        <v>0</v>
      </c>
      <c r="AH507" s="1305">
        <v>0</v>
      </c>
      <c r="AI507" s="1305">
        <v>0</v>
      </c>
      <c r="AJ507" s="1306">
        <v>0</v>
      </c>
      <c r="AK507" s="1307">
        <v>0</v>
      </c>
      <c r="AL507" s="1770"/>
      <c r="AM507" s="1304">
        <v>0</v>
      </c>
      <c r="AN507" s="1070"/>
    </row>
    <row r="508" spans="1:40" ht="18" hidden="1" outlineLevel="1" x14ac:dyDescent="0.3">
      <c r="A508" s="1082"/>
      <c r="B508" s="1336" t="s">
        <v>1329</v>
      </c>
      <c r="C508" s="1337"/>
      <c r="D508" s="1337"/>
      <c r="E508" s="1337"/>
      <c r="F508" s="1304">
        <v>0</v>
      </c>
      <c r="G508" s="1306">
        <v>0</v>
      </c>
      <c r="H508" s="1305">
        <v>0</v>
      </c>
      <c r="I508" s="1305">
        <v>0</v>
      </c>
      <c r="J508" s="1305">
        <v>0</v>
      </c>
      <c r="K508" s="1305">
        <v>0</v>
      </c>
      <c r="L508" s="1305">
        <v>0</v>
      </c>
      <c r="M508" s="1305">
        <v>0</v>
      </c>
      <c r="N508" s="1305">
        <v>0</v>
      </c>
      <c r="O508" s="1305">
        <v>0</v>
      </c>
      <c r="P508" s="1305">
        <v>0</v>
      </c>
      <c r="Q508" s="1305">
        <v>0</v>
      </c>
      <c r="R508" s="1305">
        <v>0</v>
      </c>
      <c r="S508" s="1305">
        <v>0</v>
      </c>
      <c r="T508" s="1305">
        <v>0</v>
      </c>
      <c r="U508" s="1305">
        <v>0</v>
      </c>
      <c r="V508" s="1305">
        <v>0</v>
      </c>
      <c r="W508" s="1305">
        <v>0</v>
      </c>
      <c r="X508" s="1305">
        <v>0</v>
      </c>
      <c r="Y508" s="1305">
        <v>0</v>
      </c>
      <c r="Z508" s="1305">
        <v>0</v>
      </c>
      <c r="AA508" s="1305">
        <v>0</v>
      </c>
      <c r="AB508" s="1305">
        <v>0</v>
      </c>
      <c r="AC508" s="1305">
        <v>0</v>
      </c>
      <c r="AD508" s="1305">
        <v>0</v>
      </c>
      <c r="AE508" s="1305">
        <v>0</v>
      </c>
      <c r="AF508" s="1305">
        <v>0</v>
      </c>
      <c r="AG508" s="1305">
        <v>0</v>
      </c>
      <c r="AH508" s="1305">
        <v>0</v>
      </c>
      <c r="AI508" s="1777">
        <v>0</v>
      </c>
      <c r="AJ508" s="1306">
        <v>0</v>
      </c>
      <c r="AK508" s="1307">
        <v>0</v>
      </c>
      <c r="AL508" s="1770"/>
      <c r="AM508" s="1304">
        <v>0</v>
      </c>
      <c r="AN508" s="1070"/>
    </row>
    <row r="509" spans="1:40" ht="18" hidden="1" outlineLevel="1" x14ac:dyDescent="0.3">
      <c r="A509" s="1082"/>
      <c r="B509" s="1369" t="s">
        <v>1450</v>
      </c>
      <c r="C509" s="1298"/>
      <c r="D509" s="1298"/>
      <c r="E509" s="1298"/>
      <c r="F509" s="1374">
        <v>0</v>
      </c>
      <c r="G509" s="1376">
        <v>0</v>
      </c>
      <c r="H509" s="1375">
        <v>0</v>
      </c>
      <c r="I509" s="1375">
        <v>0</v>
      </c>
      <c r="J509" s="1375">
        <v>0</v>
      </c>
      <c r="K509" s="1375">
        <v>0</v>
      </c>
      <c r="L509" s="1375">
        <v>0</v>
      </c>
      <c r="M509" s="1375">
        <v>0</v>
      </c>
      <c r="N509" s="1375">
        <v>0</v>
      </c>
      <c r="O509" s="1375">
        <v>0</v>
      </c>
      <c r="P509" s="1375">
        <v>0</v>
      </c>
      <c r="Q509" s="1375">
        <v>0</v>
      </c>
      <c r="R509" s="1375">
        <v>0</v>
      </c>
      <c r="S509" s="1375">
        <v>0</v>
      </c>
      <c r="T509" s="1375">
        <v>0</v>
      </c>
      <c r="U509" s="1375">
        <v>0</v>
      </c>
      <c r="V509" s="1375">
        <v>0</v>
      </c>
      <c r="W509" s="1375">
        <v>0</v>
      </c>
      <c r="X509" s="1375">
        <v>0</v>
      </c>
      <c r="Y509" s="1375">
        <v>0</v>
      </c>
      <c r="Z509" s="1375">
        <v>0</v>
      </c>
      <c r="AA509" s="1375">
        <v>0</v>
      </c>
      <c r="AB509" s="1375">
        <v>0</v>
      </c>
      <c r="AC509" s="1375">
        <v>0</v>
      </c>
      <c r="AD509" s="1375">
        <v>0</v>
      </c>
      <c r="AE509" s="1375">
        <v>0</v>
      </c>
      <c r="AF509" s="1375">
        <v>0</v>
      </c>
      <c r="AG509" s="1375">
        <v>0</v>
      </c>
      <c r="AH509" s="1375">
        <v>0</v>
      </c>
      <c r="AI509" s="1375">
        <v>0</v>
      </c>
      <c r="AJ509" s="1376">
        <v>0</v>
      </c>
      <c r="AK509" s="1377"/>
      <c r="AL509" s="1761"/>
      <c r="AM509" s="1374">
        <v>0</v>
      </c>
      <c r="AN509" s="1070"/>
    </row>
    <row r="510" spans="1:40" ht="18" hidden="1" outlineLevel="1" x14ac:dyDescent="0.3">
      <c r="A510" s="1082"/>
      <c r="B510" s="1369"/>
      <c r="C510" s="1351" t="s">
        <v>1323</v>
      </c>
      <c r="D510" s="1351"/>
      <c r="E510" s="1351"/>
      <c r="F510" s="1381"/>
      <c r="G510" s="1276">
        <v>0</v>
      </c>
      <c r="H510" s="1275">
        <v>0</v>
      </c>
      <c r="I510" s="1275">
        <v>0</v>
      </c>
      <c r="J510" s="1275">
        <v>0</v>
      </c>
      <c r="K510" s="1275">
        <v>0</v>
      </c>
      <c r="L510" s="1275">
        <v>0</v>
      </c>
      <c r="M510" s="1275">
        <v>0</v>
      </c>
      <c r="N510" s="1275">
        <v>0</v>
      </c>
      <c r="O510" s="1275">
        <v>0</v>
      </c>
      <c r="P510" s="1275">
        <v>0</v>
      </c>
      <c r="Q510" s="1275">
        <v>0</v>
      </c>
      <c r="R510" s="1275">
        <v>0</v>
      </c>
      <c r="S510" s="1275">
        <v>0</v>
      </c>
      <c r="T510" s="1275">
        <v>0</v>
      </c>
      <c r="U510" s="1275">
        <v>0</v>
      </c>
      <c r="V510" s="1275">
        <v>0</v>
      </c>
      <c r="W510" s="1275">
        <v>0</v>
      </c>
      <c r="X510" s="1275">
        <v>0</v>
      </c>
      <c r="Y510" s="1275">
        <v>0</v>
      </c>
      <c r="Z510" s="1275">
        <v>0</v>
      </c>
      <c r="AA510" s="1275">
        <v>0</v>
      </c>
      <c r="AB510" s="1275">
        <v>0</v>
      </c>
      <c r="AC510" s="1275">
        <v>0</v>
      </c>
      <c r="AD510" s="1275">
        <v>0</v>
      </c>
      <c r="AE510" s="1275">
        <v>0</v>
      </c>
      <c r="AF510" s="1275">
        <v>0</v>
      </c>
      <c r="AG510" s="1275">
        <v>0</v>
      </c>
      <c r="AH510" s="1275">
        <v>0</v>
      </c>
      <c r="AI510" s="1275">
        <v>0</v>
      </c>
      <c r="AJ510" s="1276">
        <v>0</v>
      </c>
      <c r="AK510" s="1377"/>
      <c r="AL510" s="1761"/>
      <c r="AM510" s="1279"/>
      <c r="AN510" s="1070"/>
    </row>
    <row r="511" spans="1:40" ht="18.600000000000001" hidden="1" outlineLevel="1" thickBot="1" x14ac:dyDescent="0.35">
      <c r="A511" s="1082"/>
      <c r="B511" s="1778"/>
      <c r="C511" s="1779"/>
      <c r="D511" s="1779"/>
      <c r="E511" s="1779"/>
      <c r="F511" s="1780"/>
      <c r="G511" s="1781"/>
      <c r="H511" s="1781"/>
      <c r="I511" s="1781"/>
      <c r="J511" s="1781"/>
      <c r="K511" s="1781"/>
      <c r="L511" s="1781"/>
      <c r="M511" s="1781"/>
      <c r="N511" s="1781"/>
      <c r="O511" s="1781"/>
      <c r="P511" s="1781"/>
      <c r="Q511" s="1781"/>
      <c r="R511" s="1781"/>
      <c r="S511" s="1781"/>
      <c r="T511" s="1781"/>
      <c r="U511" s="1781"/>
      <c r="V511" s="1781"/>
      <c r="W511" s="1781"/>
      <c r="X511" s="1781"/>
      <c r="Y511" s="1781"/>
      <c r="Z511" s="1781"/>
      <c r="AA511" s="1781"/>
      <c r="AB511" s="1781"/>
      <c r="AC511" s="1781"/>
      <c r="AD511" s="1781"/>
      <c r="AE511" s="1781"/>
      <c r="AF511" s="1781"/>
      <c r="AG511" s="1781"/>
      <c r="AH511" s="1781"/>
      <c r="AI511" s="1781"/>
      <c r="AJ511" s="1782"/>
      <c r="AK511" s="1783"/>
      <c r="AL511" s="1784"/>
      <c r="AM511" s="1785"/>
      <c r="AN511" s="1070"/>
    </row>
    <row r="512" spans="1:40" ht="18" hidden="1" outlineLevel="1" x14ac:dyDescent="0.3">
      <c r="A512" s="1070"/>
      <c r="B512" s="1082"/>
      <c r="C512" s="1082"/>
      <c r="D512" s="1082"/>
      <c r="E512" s="1082"/>
      <c r="F512" s="1371"/>
      <c r="G512" s="1300"/>
      <c r="H512" s="1300"/>
      <c r="I512" s="1300"/>
      <c r="J512" s="1300"/>
      <c r="K512" s="1300"/>
      <c r="L512" s="1300"/>
      <c r="M512" s="1300"/>
      <c r="N512" s="1300"/>
      <c r="O512" s="1300"/>
      <c r="P512" s="1300"/>
      <c r="Q512" s="1300"/>
      <c r="R512" s="1300"/>
      <c r="S512" s="1300"/>
      <c r="T512" s="1300"/>
      <c r="U512" s="1300"/>
      <c r="V512" s="1300"/>
      <c r="W512" s="1300"/>
      <c r="X512" s="1300"/>
      <c r="Y512" s="1300"/>
      <c r="Z512" s="1300"/>
      <c r="AA512" s="1300"/>
      <c r="AB512" s="1300"/>
      <c r="AC512" s="1300"/>
      <c r="AD512" s="1300"/>
      <c r="AE512" s="1300"/>
      <c r="AF512" s="1300"/>
      <c r="AG512" s="1300"/>
      <c r="AH512" s="1300"/>
      <c r="AI512" s="1300"/>
      <c r="AJ512" s="1300"/>
      <c r="AK512" s="1791"/>
      <c r="AL512" s="1791"/>
      <c r="AM512" s="1300"/>
      <c r="AN512" s="1070"/>
    </row>
    <row r="513" spans="1:16378" s="1236" customFormat="1" ht="18" hidden="1" outlineLevel="1" x14ac:dyDescent="0.3">
      <c r="A513" s="1082"/>
      <c r="B513" s="1082"/>
      <c r="C513" s="1082"/>
      <c r="D513" s="1082"/>
      <c r="E513" s="1082"/>
      <c r="F513" s="1371"/>
      <c r="G513" s="1300"/>
      <c r="H513" s="1300"/>
      <c r="I513" s="1300"/>
      <c r="J513" s="1300"/>
      <c r="K513" s="1300"/>
      <c r="L513" s="1300"/>
      <c r="M513" s="1300"/>
      <c r="N513" s="1300"/>
      <c r="O513" s="1300"/>
      <c r="P513" s="1300"/>
      <c r="Q513" s="1300"/>
      <c r="R513" s="1300"/>
      <c r="S513" s="1300"/>
      <c r="T513" s="1300"/>
      <c r="U513" s="1300"/>
      <c r="V513" s="1300"/>
      <c r="W513" s="1300"/>
      <c r="X513" s="1300"/>
      <c r="Y513" s="1300"/>
      <c r="Z513" s="1300"/>
      <c r="AA513" s="1795"/>
      <c r="AB513" s="1795"/>
      <c r="AC513" s="1795"/>
      <c r="AD513" s="1795"/>
      <c r="AE513" s="1795"/>
      <c r="AF513" s="1795"/>
      <c r="AG513" s="1795"/>
      <c r="AH513" s="1795"/>
      <c r="AI513" s="1795"/>
      <c r="AJ513" s="1795"/>
      <c r="AK513" s="1796"/>
      <c r="AL513" s="1796"/>
      <c r="AM513" s="1795"/>
    </row>
    <row r="514" spans="1:16378" ht="15" hidden="1" customHeight="1" outlineLevel="1" x14ac:dyDescent="0.3">
      <c r="A514" s="1070"/>
      <c r="B514" s="1070"/>
      <c r="C514" s="1070"/>
      <c r="D514" s="1070"/>
      <c r="E514" s="1070"/>
      <c r="F514" s="1070"/>
      <c r="G514" s="1070"/>
      <c r="H514" s="3144" t="s">
        <v>1521</v>
      </c>
      <c r="I514" s="3145"/>
      <c r="J514" s="3145"/>
      <c r="K514" s="3145"/>
      <c r="L514" s="3146"/>
      <c r="M514" s="1070"/>
      <c r="N514" s="1070"/>
      <c r="O514" s="3274" t="s">
        <v>1522</v>
      </c>
      <c r="P514" s="3275"/>
      <c r="Q514" s="3275"/>
      <c r="R514" s="3276"/>
      <c r="T514" s="1079"/>
      <c r="U514" s="1082"/>
      <c r="V514" s="3277" t="s">
        <v>1523</v>
      </c>
      <c r="W514" s="3278"/>
      <c r="X514" s="3278"/>
      <c r="Y514" s="3279"/>
      <c r="Z514" s="1082"/>
    </row>
    <row r="515" spans="1:16378" hidden="1" outlineLevel="1" x14ac:dyDescent="0.3">
      <c r="A515" s="1070"/>
      <c r="B515" s="1070"/>
      <c r="C515" s="1070"/>
      <c r="D515" s="1070"/>
      <c r="E515" s="1070"/>
      <c r="F515" s="1070"/>
      <c r="G515" s="1070"/>
      <c r="H515" s="1217" t="s">
        <v>1299</v>
      </c>
      <c r="I515" s="1218"/>
      <c r="J515" s="1218"/>
      <c r="K515" s="1218"/>
      <c r="L515" s="1412"/>
      <c r="M515" s="1070"/>
      <c r="N515" s="1070"/>
      <c r="O515" s="1797"/>
      <c r="P515" s="1798"/>
      <c r="Q515" s="1799" t="s">
        <v>1313</v>
      </c>
      <c r="R515" s="1799" t="s">
        <v>1314</v>
      </c>
      <c r="T515" s="1079"/>
      <c r="U515" s="1082"/>
      <c r="V515" s="3280"/>
      <c r="W515" s="3281"/>
      <c r="X515" s="3281"/>
      <c r="Y515" s="3282"/>
      <c r="Z515" s="1082"/>
    </row>
    <row r="516" spans="1:16378" hidden="1" outlineLevel="1" x14ac:dyDescent="0.3">
      <c r="A516" s="1070"/>
      <c r="B516" s="1070"/>
      <c r="C516" s="1070"/>
      <c r="D516" s="1070"/>
      <c r="E516" s="1070"/>
      <c r="F516" s="1070"/>
      <c r="G516" s="1070"/>
      <c r="H516" s="1800" t="s">
        <v>1301</v>
      </c>
      <c r="I516" s="1801"/>
      <c r="J516" s="1801"/>
      <c r="K516" s="1802" t="s">
        <v>1432</v>
      </c>
      <c r="L516" s="1803" t="s">
        <v>682</v>
      </c>
      <c r="M516" s="1070"/>
      <c r="N516" s="1070"/>
      <c r="O516" s="1804"/>
      <c r="P516" s="1805"/>
      <c r="Q516" s="1806" t="s">
        <v>1465</v>
      </c>
      <c r="R516" s="1806" t="s">
        <v>1465</v>
      </c>
      <c r="T516" s="1079"/>
      <c r="U516" s="1082"/>
      <c r="V516" s="1807" t="s">
        <v>1454</v>
      </c>
      <c r="W516" s="1143"/>
      <c r="X516" s="1414" t="s">
        <v>1432</v>
      </c>
      <c r="Y516" s="1415" t="s">
        <v>682</v>
      </c>
      <c r="Z516" s="1082"/>
    </row>
    <row r="517" spans="1:16378" hidden="1" outlineLevel="1" x14ac:dyDescent="0.3">
      <c r="A517" s="1070"/>
      <c r="B517" s="1070"/>
      <c r="C517" s="1070"/>
      <c r="D517" s="1070"/>
      <c r="E517" s="1070"/>
      <c r="F517" s="1070"/>
      <c r="G517" s="1070"/>
      <c r="H517" s="1440" t="s">
        <v>1456</v>
      </c>
      <c r="I517" s="1441"/>
      <c r="J517" s="1441"/>
      <c r="K517" s="1809" t="s">
        <v>1445</v>
      </c>
      <c r="L517" s="1443" t="s">
        <v>1445</v>
      </c>
      <c r="M517" s="1070"/>
      <c r="N517" s="1070"/>
      <c r="O517" s="1422" t="s">
        <v>794</v>
      </c>
      <c r="P517" s="1412"/>
      <c r="Q517" s="1832"/>
      <c r="R517" s="1833"/>
      <c r="T517" s="1079"/>
      <c r="U517" s="1082"/>
      <c r="V517" s="1147" t="s">
        <v>756</v>
      </c>
      <c r="W517" s="1186"/>
      <c r="X517" s="1811" t="s">
        <v>1445</v>
      </c>
      <c r="Y517" s="1812" t="s">
        <v>1445</v>
      </c>
      <c r="Z517" s="1082"/>
    </row>
    <row r="518" spans="1:16378" hidden="1" outlineLevel="1" x14ac:dyDescent="0.3">
      <c r="A518" s="1070"/>
      <c r="B518" s="1070"/>
      <c r="C518" s="1070"/>
      <c r="D518" s="1070"/>
      <c r="E518" s="1070"/>
      <c r="F518" s="1070"/>
      <c r="G518" s="1070"/>
      <c r="H518" s="1800" t="s">
        <v>730</v>
      </c>
      <c r="I518" s="1801"/>
      <c r="J518" s="1801"/>
      <c r="K518" s="1813"/>
      <c r="L518" s="1814"/>
      <c r="M518" s="1070"/>
      <c r="N518" s="1070"/>
      <c r="O518" s="1434" t="s">
        <v>725</v>
      </c>
      <c r="P518" s="1435"/>
      <c r="Q518" s="1834"/>
      <c r="R518" s="1835"/>
      <c r="T518" s="1079"/>
      <c r="U518" s="1082"/>
      <c r="V518" s="1149" t="s">
        <v>757</v>
      </c>
      <c r="W518" s="1437"/>
      <c r="X518" s="1816" t="s">
        <v>1445</v>
      </c>
      <c r="Y518" s="1817" t="s">
        <v>1445</v>
      </c>
      <c r="Z518" s="1082"/>
    </row>
    <row r="519" spans="1:16378" hidden="1" outlineLevel="1" x14ac:dyDescent="0.3">
      <c r="A519" s="1070"/>
      <c r="B519" s="1070"/>
      <c r="C519" s="1070"/>
      <c r="D519" s="1070"/>
      <c r="E519" s="1070"/>
      <c r="F519" s="1070"/>
      <c r="G519" s="1070"/>
      <c r="H519" s="1440" t="s">
        <v>1456</v>
      </c>
      <c r="I519" s="1441"/>
      <c r="J519" s="1441"/>
      <c r="K519" s="1809" t="s">
        <v>1445</v>
      </c>
      <c r="L519" s="1443" t="s">
        <v>1445</v>
      </c>
      <c r="M519" s="1070"/>
      <c r="N519" s="1070"/>
      <c r="O519" s="1422" t="s">
        <v>1348</v>
      </c>
      <c r="P519" s="1412"/>
      <c r="Q519" s="1836"/>
      <c r="R519" s="1079"/>
      <c r="T519" s="1079"/>
      <c r="U519" s="1082"/>
      <c r="V519" s="1149"/>
      <c r="W519" s="1437"/>
      <c r="X519" s="3182" t="s">
        <v>1457</v>
      </c>
      <c r="Y519" s="3183"/>
      <c r="Z519" s="1082"/>
    </row>
    <row r="520" spans="1:16378" hidden="1" outlineLevel="1" x14ac:dyDescent="0.3">
      <c r="A520" s="1070"/>
      <c r="B520" s="1070"/>
      <c r="C520" s="1070"/>
      <c r="D520" s="1070"/>
      <c r="E520" s="1070"/>
      <c r="F520" s="1070"/>
      <c r="G520" s="1070"/>
      <c r="H520" s="1800" t="s">
        <v>446</v>
      </c>
      <c r="I520" s="1801"/>
      <c r="J520" s="1801"/>
      <c r="K520" s="1813"/>
      <c r="L520" s="1814"/>
      <c r="M520" s="1070"/>
      <c r="N520" s="1070"/>
      <c r="O520" s="1434" t="s">
        <v>1349</v>
      </c>
      <c r="P520" s="1435"/>
      <c r="Q520" s="1837"/>
      <c r="R520" s="1079"/>
      <c r="T520" s="1079"/>
      <c r="U520" s="1082"/>
      <c r="V520" s="1149" t="s">
        <v>758</v>
      </c>
      <c r="W520" s="1437"/>
      <c r="X520" s="1811" t="s">
        <v>1445</v>
      </c>
      <c r="Y520" s="1812" t="s">
        <v>1445</v>
      </c>
      <c r="Z520" s="1082"/>
    </row>
    <row r="521" spans="1:16378" hidden="1" outlineLevel="1" x14ac:dyDescent="0.3">
      <c r="A521" s="1070"/>
      <c r="B521" s="1070"/>
      <c r="C521" s="1070"/>
      <c r="D521" s="1070"/>
      <c r="E521" s="1070"/>
      <c r="F521" s="1070"/>
      <c r="G521" s="1070"/>
      <c r="H521" s="1440" t="s">
        <v>1456</v>
      </c>
      <c r="I521" s="1441"/>
      <c r="J521" s="1441"/>
      <c r="K521" s="1809" t="s">
        <v>1445</v>
      </c>
      <c r="L521" s="1443" t="s">
        <v>1445</v>
      </c>
      <c r="M521" s="1070"/>
      <c r="N521" s="1070"/>
      <c r="O521" s="1070"/>
      <c r="P521" s="1070"/>
      <c r="Q521" s="1070"/>
      <c r="R521" s="1070"/>
      <c r="T521" s="1070"/>
      <c r="U521" s="1082"/>
      <c r="V521" s="1149" t="s">
        <v>759</v>
      </c>
      <c r="W521" s="1437"/>
      <c r="X521" s="1811" t="s">
        <v>1445</v>
      </c>
      <c r="Y521" s="1812" t="s">
        <v>1445</v>
      </c>
      <c r="Z521" s="1082"/>
    </row>
    <row r="522" spans="1:16378" hidden="1" outlineLevel="1" x14ac:dyDescent="0.3">
      <c r="A522" s="1070"/>
      <c r="B522" s="1070"/>
      <c r="C522" s="1070"/>
      <c r="D522" s="1070"/>
      <c r="E522" s="1070"/>
      <c r="F522" s="1070"/>
      <c r="G522" s="1070"/>
      <c r="H522" s="1800" t="s">
        <v>1305</v>
      </c>
      <c r="I522" s="1801"/>
      <c r="J522" s="1801"/>
      <c r="K522" s="1813"/>
      <c r="L522" s="1814"/>
      <c r="M522" s="1070"/>
      <c r="N522" s="1070"/>
      <c r="O522" s="1422" t="s">
        <v>3</v>
      </c>
      <c r="P522" s="1186"/>
      <c r="Q522" s="1848"/>
      <c r="R522" s="1070"/>
      <c r="T522" s="1070"/>
      <c r="U522" s="1082"/>
      <c r="V522" s="1184" t="s">
        <v>1268</v>
      </c>
      <c r="W522" s="1459"/>
      <c r="X522" s="1816" t="s">
        <v>1445</v>
      </c>
      <c r="Y522" s="1817" t="s">
        <v>1445</v>
      </c>
      <c r="Z522" s="1082"/>
    </row>
    <row r="523" spans="1:16378" hidden="1" outlineLevel="1" x14ac:dyDescent="0.3">
      <c r="A523" s="1070"/>
      <c r="B523" s="1070"/>
      <c r="C523" s="1070"/>
      <c r="D523" s="1070"/>
      <c r="E523" s="1070"/>
      <c r="F523" s="1070"/>
      <c r="G523" s="1070"/>
      <c r="H523" s="1465" t="s">
        <v>1456</v>
      </c>
      <c r="I523" s="1466"/>
      <c r="J523" s="1466"/>
      <c r="K523" s="1822" t="s">
        <v>1445</v>
      </c>
      <c r="L523" s="1448" t="s">
        <v>1445</v>
      </c>
      <c r="M523" s="1070"/>
      <c r="N523" s="1070"/>
      <c r="O523" s="1434" t="s">
        <v>1458</v>
      </c>
      <c r="P523" s="1459"/>
      <c r="Q523" s="1849"/>
      <c r="R523" s="1070"/>
      <c r="T523" s="1070"/>
      <c r="U523" s="1082"/>
      <c r="V523" s="1082"/>
      <c r="W523" s="1082"/>
      <c r="X523" s="1082"/>
      <c r="Y523" s="1082"/>
      <c r="Z523" s="1082"/>
    </row>
    <row r="524" spans="1:16378" s="1236" customFormat="1" hidden="1" outlineLevel="1" x14ac:dyDescent="0.3">
      <c r="A524" s="1082"/>
      <c r="B524" s="1082"/>
      <c r="C524" s="1082"/>
      <c r="D524" s="1082"/>
      <c r="E524" s="1082"/>
      <c r="F524" s="1082"/>
      <c r="G524" s="1116"/>
      <c r="H524" s="1116"/>
      <c r="I524" s="1116"/>
      <c r="J524" s="1116"/>
      <c r="K524" s="1116"/>
      <c r="L524" s="1116"/>
      <c r="M524" s="1116"/>
      <c r="N524" s="1116"/>
      <c r="O524" s="1070"/>
      <c r="P524" s="1070"/>
      <c r="Q524" s="1070"/>
      <c r="R524" s="1070"/>
      <c r="S524" s="1116"/>
      <c r="T524" s="1082"/>
      <c r="U524" s="1082"/>
      <c r="V524" s="1082"/>
      <c r="W524" s="1082"/>
      <c r="X524" s="1082"/>
      <c r="Y524" s="1082"/>
      <c r="Z524" s="1082"/>
    </row>
    <row r="525" spans="1:16378" s="1236" customFormat="1" hidden="1" outlineLevel="1" x14ac:dyDescent="0.3">
      <c r="A525" s="1082"/>
      <c r="B525" s="1082"/>
      <c r="C525" s="1082"/>
      <c r="D525" s="1082"/>
      <c r="E525" s="1082"/>
      <c r="F525" s="1082"/>
      <c r="G525" s="1116"/>
      <c r="H525" s="1116"/>
      <c r="I525" s="1116"/>
      <c r="J525" s="1116"/>
      <c r="K525" s="1116"/>
      <c r="L525" s="1116"/>
      <c r="M525" s="1116"/>
      <c r="N525" s="1116"/>
      <c r="R525" s="1070"/>
      <c r="S525" s="1116"/>
      <c r="T525" s="1082"/>
      <c r="U525" s="1082"/>
      <c r="V525" s="1082"/>
      <c r="W525" s="1082"/>
      <c r="X525" s="1082"/>
      <c r="Y525" s="1082"/>
      <c r="Z525" s="1082"/>
    </row>
    <row r="526" spans="1:16378" collapsed="1" x14ac:dyDescent="0.3">
      <c r="A526" s="1070"/>
      <c r="B526" s="1734" t="s">
        <v>1524</v>
      </c>
      <c r="C526" s="1070"/>
      <c r="D526" s="1070"/>
      <c r="E526" s="1070"/>
      <c r="F526" s="1070"/>
      <c r="G526" s="1070"/>
      <c r="H526" s="1070"/>
      <c r="I526" s="1070"/>
      <c r="J526" s="1070"/>
      <c r="K526" s="1070"/>
      <c r="L526" s="1070"/>
      <c r="M526" s="1070"/>
      <c r="N526" s="1070"/>
      <c r="R526" s="1070"/>
      <c r="S526" s="1070"/>
      <c r="T526" s="1070"/>
      <c r="U526" s="1070"/>
      <c r="V526" s="1070"/>
      <c r="W526" s="1070"/>
      <c r="X526" s="1070"/>
      <c r="Y526" s="1070"/>
      <c r="Z526" s="1070"/>
    </row>
    <row r="527" spans="1:16378" ht="9.9" customHeight="1" x14ac:dyDescent="0.3">
      <c r="A527" s="1824"/>
      <c r="B527" s="1824"/>
      <c r="C527" s="1824"/>
      <c r="D527" s="1824"/>
      <c r="E527" s="1824"/>
      <c r="F527" s="1824"/>
      <c r="G527" s="1824"/>
      <c r="H527" s="1824"/>
      <c r="I527" s="1824"/>
      <c r="J527" s="1824"/>
      <c r="K527" s="1824"/>
      <c r="L527" s="1824"/>
      <c r="M527" s="1824"/>
      <c r="N527" s="1824"/>
      <c r="O527" s="1824"/>
      <c r="P527" s="1824"/>
      <c r="Q527" s="1824"/>
      <c r="R527" s="1824"/>
      <c r="S527" s="1824"/>
      <c r="T527" s="1824"/>
      <c r="U527" s="1824"/>
      <c r="V527" s="1824"/>
      <c r="W527" s="1824"/>
      <c r="X527" s="1824"/>
      <c r="Y527" s="1824"/>
      <c r="Z527" s="1824"/>
      <c r="AA527" s="1831"/>
      <c r="AB527" s="1831"/>
      <c r="AC527" s="1831"/>
      <c r="AD527" s="1831"/>
      <c r="AE527" s="1831"/>
      <c r="AF527" s="1831"/>
      <c r="AG527" s="1831"/>
      <c r="AH527" s="1831"/>
      <c r="AI527" s="1831"/>
      <c r="AJ527" s="1831"/>
      <c r="AK527" s="1831"/>
      <c r="AL527" s="1831"/>
      <c r="AM527" s="1831"/>
      <c r="AN527" s="1831"/>
      <c r="AO527" s="1831"/>
      <c r="AP527" s="1831"/>
      <c r="AQ527" s="1831"/>
      <c r="AR527" s="1831"/>
      <c r="AS527" s="1831"/>
      <c r="AT527" s="1831"/>
      <c r="AU527" s="1831"/>
      <c r="AV527" s="1831"/>
      <c r="AW527" s="1831"/>
      <c r="AX527" s="1831"/>
      <c r="AY527" s="1831"/>
      <c r="AZ527" s="1831"/>
      <c r="BA527" s="1831"/>
      <c r="BB527" s="1831"/>
      <c r="BC527" s="1831"/>
      <c r="BD527" s="1831"/>
      <c r="BE527" s="1831"/>
      <c r="BF527" s="1831"/>
      <c r="BG527" s="1831"/>
      <c r="BH527" s="1831"/>
      <c r="BI527" s="1831"/>
      <c r="BJ527" s="1831"/>
      <c r="BK527" s="1831"/>
      <c r="BL527" s="1831"/>
      <c r="BM527" s="1831"/>
      <c r="BN527" s="1831"/>
      <c r="BO527" s="1831"/>
      <c r="BP527" s="1831"/>
      <c r="BQ527" s="1831"/>
      <c r="BR527" s="1831"/>
      <c r="BS527" s="1831"/>
      <c r="BT527" s="1831"/>
      <c r="BU527" s="1831"/>
      <c r="BV527" s="1831"/>
      <c r="BW527" s="1831"/>
      <c r="BX527" s="1831"/>
      <c r="BY527" s="1831"/>
      <c r="BZ527" s="1831"/>
      <c r="CA527" s="1831"/>
      <c r="CB527" s="1831"/>
      <c r="CC527" s="1831"/>
      <c r="CD527" s="1831"/>
      <c r="CE527" s="1831"/>
      <c r="CF527" s="1831"/>
      <c r="CG527" s="1831"/>
      <c r="CH527" s="1831"/>
      <c r="CI527" s="1831"/>
      <c r="CJ527" s="1831"/>
      <c r="CK527" s="1831"/>
      <c r="CL527" s="1831"/>
      <c r="CM527" s="1831"/>
      <c r="CN527" s="1831"/>
      <c r="CO527" s="1831"/>
      <c r="CP527" s="1831"/>
      <c r="CQ527" s="1831"/>
      <c r="CR527" s="1831"/>
      <c r="CS527" s="1831"/>
      <c r="CT527" s="1831"/>
      <c r="CU527" s="1831"/>
      <c r="CV527" s="1831"/>
      <c r="CW527" s="1831"/>
      <c r="CX527" s="1831"/>
      <c r="CY527" s="1831"/>
      <c r="CZ527" s="1831"/>
      <c r="DA527" s="1831"/>
      <c r="DB527" s="1831"/>
      <c r="DC527" s="1831"/>
      <c r="DD527" s="1831"/>
      <c r="DE527" s="1831"/>
      <c r="DF527" s="1831"/>
      <c r="DG527" s="1831"/>
      <c r="DH527" s="1831"/>
      <c r="DI527" s="1831"/>
      <c r="DJ527" s="1831"/>
      <c r="DK527" s="1831"/>
      <c r="DL527" s="1831"/>
      <c r="DM527" s="1831"/>
      <c r="DN527" s="1831"/>
      <c r="DO527" s="1831"/>
      <c r="DP527" s="1831"/>
      <c r="DQ527" s="1831"/>
      <c r="DR527" s="1831"/>
      <c r="DS527" s="1831"/>
      <c r="DT527" s="1831"/>
      <c r="DU527" s="1831"/>
      <c r="DV527" s="1831"/>
      <c r="DW527" s="1831"/>
      <c r="DX527" s="1831"/>
      <c r="DY527" s="1831"/>
      <c r="DZ527" s="1831"/>
      <c r="EA527" s="1831"/>
      <c r="EB527" s="1831"/>
      <c r="EC527" s="1831"/>
      <c r="ED527" s="1831"/>
      <c r="EE527" s="1831"/>
      <c r="EF527" s="1831"/>
      <c r="EG527" s="1831"/>
      <c r="EH527" s="1831"/>
      <c r="EI527" s="1831"/>
      <c r="EJ527" s="1831"/>
      <c r="EK527" s="1831"/>
      <c r="EL527" s="1831"/>
      <c r="EM527" s="1831"/>
      <c r="EN527" s="1831"/>
      <c r="EO527" s="1831"/>
      <c r="EP527" s="1831"/>
      <c r="EQ527" s="1831"/>
      <c r="ER527" s="1831"/>
      <c r="ES527" s="1831"/>
      <c r="ET527" s="1831"/>
      <c r="EU527" s="1831"/>
      <c r="EV527" s="1831"/>
      <c r="EW527" s="1831"/>
      <c r="EX527" s="1831"/>
      <c r="EY527" s="1831"/>
      <c r="EZ527" s="1831"/>
      <c r="FA527" s="1831"/>
      <c r="FB527" s="1831"/>
      <c r="FC527" s="1831"/>
      <c r="FD527" s="1831"/>
      <c r="FE527" s="1831"/>
      <c r="FF527" s="1831"/>
      <c r="FG527" s="1831"/>
      <c r="FH527" s="1831"/>
      <c r="FI527" s="1831"/>
      <c r="FJ527" s="1831"/>
      <c r="FK527" s="1831"/>
      <c r="FL527" s="1831"/>
      <c r="FM527" s="1831"/>
      <c r="FN527" s="1831"/>
      <c r="FO527" s="1831"/>
      <c r="FP527" s="1831"/>
      <c r="FQ527" s="1831"/>
      <c r="FR527" s="1831"/>
      <c r="FS527" s="1831"/>
      <c r="FT527" s="1831"/>
      <c r="FU527" s="1831"/>
      <c r="FV527" s="1831"/>
      <c r="FW527" s="1831"/>
      <c r="FX527" s="1831"/>
      <c r="FY527" s="1831"/>
      <c r="FZ527" s="1831"/>
      <c r="GA527" s="1831"/>
      <c r="GB527" s="1831"/>
      <c r="GC527" s="1831"/>
      <c r="GD527" s="1831"/>
      <c r="GE527" s="1831"/>
      <c r="GF527" s="1831"/>
      <c r="GG527" s="1831"/>
      <c r="GH527" s="1831"/>
      <c r="GI527" s="1831"/>
      <c r="GJ527" s="1831"/>
      <c r="GK527" s="1831"/>
      <c r="GL527" s="1831"/>
      <c r="GM527" s="1831"/>
      <c r="GN527" s="1831"/>
      <c r="GO527" s="1831"/>
      <c r="GP527" s="1831"/>
      <c r="GQ527" s="1831"/>
      <c r="GR527" s="1831"/>
      <c r="GS527" s="1831"/>
      <c r="GT527" s="1831"/>
      <c r="GU527" s="1831"/>
      <c r="GV527" s="1831"/>
      <c r="GW527" s="1831"/>
      <c r="GX527" s="1831"/>
      <c r="GY527" s="1831"/>
      <c r="GZ527" s="1831"/>
      <c r="HA527" s="1831"/>
      <c r="HB527" s="1831"/>
      <c r="HC527" s="1831"/>
      <c r="HD527" s="1831"/>
      <c r="HE527" s="1831"/>
      <c r="HF527" s="1831"/>
      <c r="HG527" s="1831"/>
      <c r="HH527" s="1831"/>
      <c r="HI527" s="1831"/>
      <c r="HJ527" s="1831"/>
      <c r="HK527" s="1831"/>
      <c r="HL527" s="1831"/>
      <c r="HM527" s="1831"/>
      <c r="HN527" s="1831"/>
      <c r="HO527" s="1831"/>
      <c r="HP527" s="1831"/>
      <c r="HQ527" s="1831"/>
      <c r="HR527" s="1831"/>
      <c r="HS527" s="1831"/>
      <c r="HT527" s="1831"/>
      <c r="HU527" s="1831"/>
      <c r="HV527" s="1831"/>
      <c r="HW527" s="1831"/>
      <c r="HX527" s="1831"/>
      <c r="HY527" s="1831"/>
      <c r="HZ527" s="1831"/>
      <c r="IA527" s="1831"/>
      <c r="IB527" s="1831"/>
      <c r="IC527" s="1831"/>
      <c r="ID527" s="1831"/>
      <c r="IE527" s="1831"/>
      <c r="IF527" s="1831"/>
      <c r="IG527" s="1831"/>
      <c r="IH527" s="1831"/>
      <c r="II527" s="1831"/>
      <c r="IJ527" s="1831"/>
      <c r="IK527" s="1831"/>
      <c r="IL527" s="1831"/>
      <c r="IM527" s="1831"/>
      <c r="IN527" s="1831"/>
      <c r="IO527" s="1831"/>
      <c r="IP527" s="1831"/>
      <c r="IQ527" s="1831"/>
      <c r="IR527" s="1831"/>
      <c r="IS527" s="1831"/>
      <c r="IT527" s="1831"/>
      <c r="IU527" s="1831"/>
      <c r="IV527" s="1831"/>
      <c r="IW527" s="1831"/>
      <c r="IX527" s="1831"/>
      <c r="IY527" s="1831"/>
      <c r="IZ527" s="1831"/>
      <c r="JA527" s="1831"/>
      <c r="JB527" s="1831"/>
      <c r="JC527" s="1831"/>
      <c r="JD527" s="1831"/>
      <c r="JE527" s="1831"/>
      <c r="JF527" s="1831"/>
      <c r="JG527" s="1831"/>
      <c r="JH527" s="1831"/>
      <c r="JI527" s="1831"/>
      <c r="JJ527" s="1831"/>
      <c r="JK527" s="1831"/>
      <c r="JL527" s="1831"/>
      <c r="JM527" s="1831"/>
      <c r="JN527" s="1831"/>
      <c r="JO527" s="1831"/>
      <c r="JP527" s="1831"/>
      <c r="JQ527" s="1831"/>
      <c r="JR527" s="1831"/>
      <c r="JS527" s="1831"/>
      <c r="JT527" s="1831"/>
      <c r="JU527" s="1831"/>
      <c r="JV527" s="1831"/>
      <c r="JW527" s="1831"/>
      <c r="JX527" s="1831"/>
      <c r="JY527" s="1831"/>
      <c r="JZ527" s="1831"/>
      <c r="KA527" s="1831"/>
      <c r="KB527" s="1831"/>
      <c r="KC527" s="1831"/>
      <c r="KD527" s="1831"/>
      <c r="KE527" s="1831"/>
      <c r="KF527" s="1831"/>
      <c r="KG527" s="1831"/>
      <c r="KH527" s="1831"/>
      <c r="KI527" s="1831"/>
      <c r="KJ527" s="1831"/>
      <c r="KK527" s="1831"/>
      <c r="KL527" s="1831"/>
      <c r="KM527" s="1831"/>
      <c r="KN527" s="1831"/>
      <c r="KO527" s="1831"/>
      <c r="KP527" s="1831"/>
      <c r="KQ527" s="1831"/>
      <c r="KR527" s="1831"/>
      <c r="KS527" s="1831"/>
      <c r="KT527" s="1831"/>
      <c r="KU527" s="1831"/>
      <c r="KV527" s="1831"/>
      <c r="KW527" s="1831"/>
      <c r="KX527" s="1831"/>
      <c r="KY527" s="1831"/>
      <c r="KZ527" s="1831"/>
      <c r="LA527" s="1831"/>
      <c r="LB527" s="1831"/>
      <c r="LC527" s="1831"/>
      <c r="LD527" s="1831"/>
      <c r="LE527" s="1831"/>
      <c r="LF527" s="1831"/>
      <c r="LG527" s="1831"/>
      <c r="LH527" s="1831"/>
      <c r="LI527" s="1831"/>
      <c r="LJ527" s="1831"/>
      <c r="LK527" s="1831"/>
      <c r="LL527" s="1831"/>
      <c r="LM527" s="1831"/>
      <c r="LN527" s="1831"/>
      <c r="LO527" s="1831"/>
      <c r="LP527" s="1831"/>
      <c r="LQ527" s="1831"/>
      <c r="LR527" s="1831"/>
      <c r="LS527" s="1831"/>
      <c r="LT527" s="1831"/>
      <c r="LU527" s="1831"/>
      <c r="LV527" s="1831"/>
      <c r="LW527" s="1831"/>
      <c r="LX527" s="1831"/>
      <c r="LY527" s="1831"/>
      <c r="LZ527" s="1831"/>
      <c r="MA527" s="1831"/>
      <c r="MB527" s="1831"/>
      <c r="MC527" s="1831"/>
      <c r="MD527" s="1831"/>
      <c r="ME527" s="1831"/>
      <c r="MF527" s="1831"/>
      <c r="MG527" s="1831"/>
      <c r="MH527" s="1831"/>
      <c r="MI527" s="1831"/>
      <c r="MJ527" s="1831"/>
      <c r="MK527" s="1831"/>
      <c r="ML527" s="1831"/>
      <c r="MM527" s="1831"/>
      <c r="MN527" s="1831"/>
      <c r="MO527" s="1831"/>
      <c r="MP527" s="1831"/>
      <c r="MQ527" s="1831"/>
      <c r="MR527" s="1831"/>
      <c r="MS527" s="1831"/>
      <c r="MT527" s="1831"/>
      <c r="MU527" s="1831"/>
      <c r="MV527" s="1831"/>
      <c r="MW527" s="1831"/>
      <c r="MX527" s="1831"/>
      <c r="MY527" s="1831"/>
      <c r="MZ527" s="1831"/>
      <c r="NA527" s="1831"/>
      <c r="NB527" s="1831"/>
      <c r="NC527" s="1831"/>
      <c r="ND527" s="1831"/>
      <c r="NE527" s="1831"/>
      <c r="NF527" s="1831"/>
      <c r="NG527" s="1831"/>
      <c r="NH527" s="1831"/>
      <c r="NI527" s="1831"/>
      <c r="NJ527" s="1831"/>
      <c r="NK527" s="1831"/>
      <c r="NL527" s="1831"/>
      <c r="NM527" s="1831"/>
      <c r="NN527" s="1831"/>
      <c r="NO527" s="1831"/>
      <c r="NP527" s="1831"/>
      <c r="NQ527" s="1831"/>
      <c r="NR527" s="1831"/>
      <c r="NS527" s="1831"/>
      <c r="NT527" s="1831"/>
      <c r="NU527" s="1831"/>
      <c r="NV527" s="1831"/>
      <c r="NW527" s="1831"/>
      <c r="NX527" s="1831"/>
      <c r="NY527" s="1831"/>
      <c r="NZ527" s="1831"/>
      <c r="OA527" s="1831"/>
      <c r="OB527" s="1831"/>
      <c r="OC527" s="1831"/>
      <c r="OD527" s="1831"/>
      <c r="OE527" s="1831"/>
      <c r="OF527" s="1831"/>
      <c r="OG527" s="1831"/>
      <c r="OH527" s="1831"/>
      <c r="OI527" s="1831"/>
      <c r="OJ527" s="1831"/>
      <c r="OK527" s="1831"/>
      <c r="OL527" s="1831"/>
      <c r="OM527" s="1831"/>
      <c r="ON527" s="1831"/>
      <c r="OO527" s="1831"/>
      <c r="OP527" s="1831"/>
      <c r="OQ527" s="1831"/>
      <c r="OR527" s="1831"/>
      <c r="OS527" s="1831"/>
      <c r="OT527" s="1831"/>
      <c r="OU527" s="1831"/>
      <c r="OV527" s="1831"/>
      <c r="OW527" s="1831"/>
      <c r="OX527" s="1831"/>
      <c r="OY527" s="1831"/>
      <c r="OZ527" s="1831"/>
      <c r="PA527" s="1831"/>
      <c r="PB527" s="1831"/>
      <c r="PC527" s="1831"/>
      <c r="PD527" s="1831"/>
      <c r="PE527" s="1831"/>
      <c r="PF527" s="1831"/>
      <c r="PG527" s="1831"/>
      <c r="PH527" s="1831"/>
      <c r="PI527" s="1831"/>
      <c r="PJ527" s="1831"/>
      <c r="PK527" s="1831"/>
      <c r="PL527" s="1831"/>
      <c r="PM527" s="1831"/>
      <c r="PN527" s="1831"/>
      <c r="PO527" s="1831"/>
      <c r="PP527" s="1831"/>
      <c r="PQ527" s="1831"/>
      <c r="PR527" s="1831"/>
      <c r="PS527" s="1831"/>
      <c r="PT527" s="1831"/>
      <c r="PU527" s="1831"/>
      <c r="PV527" s="1831"/>
      <c r="PW527" s="1831"/>
      <c r="PX527" s="1831"/>
      <c r="PY527" s="1831"/>
      <c r="PZ527" s="1831"/>
      <c r="QA527" s="1831"/>
      <c r="QB527" s="1831"/>
      <c r="QC527" s="1831"/>
      <c r="QD527" s="1831"/>
      <c r="QE527" s="1831"/>
      <c r="QF527" s="1831"/>
      <c r="QG527" s="1831"/>
      <c r="QH527" s="1831"/>
      <c r="QI527" s="1831"/>
      <c r="QJ527" s="1831"/>
      <c r="QK527" s="1831"/>
      <c r="QL527" s="1831"/>
      <c r="QM527" s="1831"/>
      <c r="QN527" s="1831"/>
      <c r="QO527" s="1831"/>
      <c r="QP527" s="1831"/>
      <c r="QQ527" s="1831"/>
      <c r="QR527" s="1831"/>
      <c r="QS527" s="1831"/>
      <c r="QT527" s="1831"/>
      <c r="QU527" s="1831"/>
      <c r="QV527" s="1831"/>
      <c r="QW527" s="1831"/>
      <c r="QX527" s="1831"/>
      <c r="QY527" s="1831"/>
      <c r="QZ527" s="1831"/>
      <c r="RA527" s="1831"/>
      <c r="RB527" s="1831"/>
      <c r="RC527" s="1831"/>
      <c r="RD527" s="1831"/>
      <c r="RE527" s="1831"/>
      <c r="RF527" s="1831"/>
      <c r="RG527" s="1831"/>
      <c r="RH527" s="1831"/>
      <c r="RI527" s="1831"/>
      <c r="RJ527" s="1831"/>
      <c r="RK527" s="1831"/>
      <c r="RL527" s="1831"/>
      <c r="RM527" s="1831"/>
      <c r="RN527" s="1831"/>
      <c r="RO527" s="1831"/>
      <c r="RP527" s="1831"/>
      <c r="RQ527" s="1831"/>
      <c r="RR527" s="1831"/>
      <c r="RS527" s="1831"/>
      <c r="RT527" s="1831"/>
      <c r="RU527" s="1831"/>
      <c r="RV527" s="1831"/>
      <c r="RW527" s="1831"/>
      <c r="RX527" s="1831"/>
      <c r="RY527" s="1831"/>
      <c r="RZ527" s="1831"/>
      <c r="SA527" s="1831"/>
      <c r="SB527" s="1831"/>
      <c r="SC527" s="1831"/>
      <c r="SD527" s="1831"/>
      <c r="SE527" s="1831"/>
      <c r="SF527" s="1831"/>
      <c r="SG527" s="1831"/>
      <c r="SH527" s="1831"/>
      <c r="SI527" s="1831"/>
      <c r="SJ527" s="1831"/>
      <c r="SK527" s="1831"/>
      <c r="SL527" s="1831"/>
      <c r="SM527" s="1831"/>
      <c r="SN527" s="1831"/>
      <c r="SO527" s="1831"/>
      <c r="SP527" s="1831"/>
      <c r="SQ527" s="1831"/>
      <c r="SR527" s="1831"/>
      <c r="SS527" s="1831"/>
      <c r="ST527" s="1831"/>
      <c r="SU527" s="1831"/>
      <c r="SV527" s="1831"/>
      <c r="SW527" s="1831"/>
      <c r="SX527" s="1831"/>
      <c r="SY527" s="1831"/>
      <c r="SZ527" s="1831"/>
      <c r="TA527" s="1831"/>
      <c r="TB527" s="1831"/>
      <c r="TC527" s="1831"/>
      <c r="TD527" s="1831"/>
      <c r="TE527" s="1831"/>
      <c r="TF527" s="1831"/>
      <c r="TG527" s="1831"/>
      <c r="TH527" s="1831"/>
      <c r="TI527" s="1831"/>
      <c r="TJ527" s="1831"/>
      <c r="TK527" s="1831"/>
      <c r="TL527" s="1831"/>
      <c r="TM527" s="1831"/>
      <c r="TN527" s="1831"/>
      <c r="TO527" s="1831"/>
      <c r="TP527" s="1831"/>
      <c r="TQ527" s="1831"/>
      <c r="TR527" s="1831"/>
      <c r="TS527" s="1831"/>
      <c r="TT527" s="1831"/>
      <c r="TU527" s="1831"/>
      <c r="TV527" s="1831"/>
      <c r="TW527" s="1831"/>
      <c r="TX527" s="1831"/>
      <c r="TY527" s="1831"/>
      <c r="TZ527" s="1831"/>
      <c r="UA527" s="1831"/>
      <c r="UB527" s="1831"/>
      <c r="UC527" s="1831"/>
      <c r="UD527" s="1831"/>
      <c r="UE527" s="1831"/>
      <c r="UF527" s="1831"/>
      <c r="UG527" s="1831"/>
      <c r="UH527" s="1831"/>
      <c r="UI527" s="1831"/>
      <c r="UJ527" s="1831"/>
      <c r="UK527" s="1831"/>
      <c r="UL527" s="1831"/>
      <c r="UM527" s="1831"/>
      <c r="UN527" s="1831"/>
      <c r="UO527" s="1831"/>
      <c r="UP527" s="1831"/>
      <c r="UQ527" s="1831"/>
      <c r="UR527" s="1831"/>
      <c r="US527" s="1831"/>
      <c r="UT527" s="1831"/>
      <c r="UU527" s="1831"/>
      <c r="UV527" s="1831"/>
      <c r="UW527" s="1831"/>
      <c r="UX527" s="1831"/>
      <c r="UY527" s="1831"/>
      <c r="UZ527" s="1831"/>
      <c r="VA527" s="1831"/>
      <c r="VB527" s="1831"/>
      <c r="VC527" s="1831"/>
      <c r="VD527" s="1831"/>
      <c r="VE527" s="1831"/>
      <c r="VF527" s="1831"/>
      <c r="VG527" s="1831"/>
      <c r="VH527" s="1831"/>
      <c r="VI527" s="1831"/>
      <c r="VJ527" s="1831"/>
      <c r="VK527" s="1831"/>
      <c r="VL527" s="1831"/>
      <c r="VM527" s="1831"/>
      <c r="VN527" s="1831"/>
      <c r="VO527" s="1831"/>
      <c r="VP527" s="1831"/>
      <c r="VQ527" s="1831"/>
      <c r="VR527" s="1831"/>
      <c r="VS527" s="1831"/>
      <c r="VT527" s="1831"/>
      <c r="VU527" s="1831"/>
      <c r="VV527" s="1831"/>
      <c r="VW527" s="1831"/>
      <c r="VX527" s="1831"/>
      <c r="VY527" s="1831"/>
      <c r="VZ527" s="1831"/>
      <c r="WA527" s="1831"/>
      <c r="WB527" s="1831"/>
      <c r="WC527" s="1831"/>
      <c r="WD527" s="1831"/>
      <c r="WE527" s="1831"/>
      <c r="WF527" s="1831"/>
      <c r="WG527" s="1831"/>
      <c r="WH527" s="1831"/>
      <c r="WI527" s="1831"/>
      <c r="WJ527" s="1831"/>
      <c r="WK527" s="1831"/>
      <c r="WL527" s="1831"/>
      <c r="WM527" s="1831"/>
      <c r="WN527" s="1831"/>
      <c r="WO527" s="1831"/>
      <c r="WP527" s="1831"/>
      <c r="WQ527" s="1831"/>
      <c r="WR527" s="1831"/>
      <c r="WS527" s="1831"/>
      <c r="WT527" s="1831"/>
      <c r="WU527" s="1831"/>
      <c r="WV527" s="1831"/>
      <c r="WW527" s="1831"/>
      <c r="WX527" s="1831"/>
      <c r="WY527" s="1831"/>
      <c r="WZ527" s="1831"/>
      <c r="XA527" s="1831"/>
      <c r="XB527" s="1831"/>
      <c r="XC527" s="1831"/>
      <c r="XD527" s="1831"/>
      <c r="XE527" s="1831"/>
      <c r="XF527" s="1831"/>
      <c r="XG527" s="1831"/>
      <c r="XH527" s="1831"/>
      <c r="XI527" s="1831"/>
      <c r="XJ527" s="1831"/>
      <c r="XK527" s="1831"/>
      <c r="XL527" s="1831"/>
      <c r="XM527" s="1831"/>
      <c r="XN527" s="1831"/>
      <c r="XO527" s="1831"/>
      <c r="XP527" s="1831"/>
      <c r="XQ527" s="1831"/>
      <c r="XR527" s="1831"/>
      <c r="XS527" s="1831"/>
      <c r="XT527" s="1831"/>
      <c r="XU527" s="1831"/>
      <c r="XV527" s="1831"/>
      <c r="XW527" s="1831"/>
      <c r="XX527" s="1831"/>
      <c r="XY527" s="1831"/>
      <c r="XZ527" s="1831"/>
      <c r="YA527" s="1831"/>
      <c r="YB527" s="1831"/>
      <c r="YC527" s="1831"/>
      <c r="YD527" s="1831"/>
      <c r="YE527" s="1831"/>
      <c r="YF527" s="1831"/>
      <c r="YG527" s="1831"/>
      <c r="YH527" s="1831"/>
      <c r="YI527" s="1831"/>
      <c r="YJ527" s="1831"/>
      <c r="YK527" s="1831"/>
      <c r="YL527" s="1831"/>
      <c r="YM527" s="1831"/>
      <c r="YN527" s="1831"/>
      <c r="YO527" s="1831"/>
      <c r="YP527" s="1831"/>
      <c r="YQ527" s="1831"/>
      <c r="YR527" s="1831"/>
      <c r="YS527" s="1831"/>
      <c r="YT527" s="1831"/>
      <c r="YU527" s="1831"/>
      <c r="YV527" s="1831"/>
      <c r="YW527" s="1831"/>
      <c r="YX527" s="1831"/>
      <c r="YY527" s="1831"/>
      <c r="YZ527" s="1831"/>
      <c r="ZA527" s="1831"/>
      <c r="ZB527" s="1831"/>
      <c r="ZC527" s="1831"/>
      <c r="ZD527" s="1831"/>
      <c r="ZE527" s="1831"/>
      <c r="ZF527" s="1831"/>
      <c r="ZG527" s="1831"/>
      <c r="ZH527" s="1831"/>
      <c r="ZI527" s="1831"/>
      <c r="ZJ527" s="1831"/>
      <c r="ZK527" s="1831"/>
      <c r="ZL527" s="1831"/>
      <c r="ZM527" s="1831"/>
      <c r="ZN527" s="1831"/>
      <c r="ZO527" s="1831"/>
      <c r="ZP527" s="1831"/>
      <c r="ZQ527" s="1831"/>
      <c r="ZR527" s="1831"/>
      <c r="ZS527" s="1831"/>
      <c r="ZT527" s="1831"/>
      <c r="ZU527" s="1831"/>
      <c r="ZV527" s="1831"/>
      <c r="ZW527" s="1831"/>
      <c r="ZX527" s="1831"/>
      <c r="ZY527" s="1831"/>
      <c r="ZZ527" s="1831"/>
      <c r="AAA527" s="1831"/>
      <c r="AAB527" s="1831"/>
      <c r="AAC527" s="1831"/>
      <c r="AAD527" s="1831"/>
      <c r="AAE527" s="1831"/>
      <c r="AAF527" s="1831"/>
      <c r="AAG527" s="1831"/>
      <c r="AAH527" s="1831"/>
      <c r="AAI527" s="1831"/>
      <c r="AAJ527" s="1831"/>
      <c r="AAK527" s="1831"/>
      <c r="AAL527" s="1831"/>
      <c r="AAM527" s="1831"/>
      <c r="AAN527" s="1831"/>
      <c r="AAO527" s="1831"/>
      <c r="AAP527" s="1831"/>
      <c r="AAQ527" s="1831"/>
      <c r="AAR527" s="1831"/>
      <c r="AAS527" s="1831"/>
      <c r="AAT527" s="1831"/>
      <c r="AAU527" s="1831"/>
      <c r="AAV527" s="1831"/>
      <c r="AAW527" s="1831"/>
      <c r="AAX527" s="1831"/>
      <c r="AAY527" s="1831"/>
      <c r="AAZ527" s="1831"/>
      <c r="ABA527" s="1831"/>
      <c r="ABB527" s="1831"/>
      <c r="ABC527" s="1831"/>
      <c r="ABD527" s="1831"/>
      <c r="ABE527" s="1831"/>
      <c r="ABF527" s="1831"/>
      <c r="ABG527" s="1831"/>
      <c r="ABH527" s="1831"/>
      <c r="ABI527" s="1831"/>
      <c r="ABJ527" s="1831"/>
      <c r="ABK527" s="1831"/>
      <c r="ABL527" s="1831"/>
      <c r="ABM527" s="1831"/>
      <c r="ABN527" s="1831"/>
      <c r="ABO527" s="1831"/>
      <c r="ABP527" s="1831"/>
      <c r="ABQ527" s="1831"/>
      <c r="ABR527" s="1831"/>
      <c r="ABS527" s="1831"/>
      <c r="ABT527" s="1831"/>
      <c r="ABU527" s="1831"/>
      <c r="ABV527" s="1831"/>
      <c r="ABW527" s="1831"/>
      <c r="ABX527" s="1831"/>
      <c r="ABY527" s="1831"/>
      <c r="ABZ527" s="1831"/>
      <c r="ACA527" s="1831"/>
      <c r="ACB527" s="1831"/>
      <c r="ACC527" s="1831"/>
      <c r="ACD527" s="1831"/>
      <c r="ACE527" s="1831"/>
      <c r="ACF527" s="1831"/>
      <c r="ACG527" s="1831"/>
      <c r="ACH527" s="1831"/>
      <c r="ACI527" s="1831"/>
      <c r="ACJ527" s="1831"/>
      <c r="ACK527" s="1831"/>
      <c r="ACL527" s="1831"/>
      <c r="ACM527" s="1831"/>
      <c r="ACN527" s="1831"/>
      <c r="ACO527" s="1831"/>
      <c r="ACP527" s="1831"/>
      <c r="ACQ527" s="1831"/>
      <c r="ACR527" s="1831"/>
      <c r="ACS527" s="1831"/>
      <c r="ACT527" s="1831"/>
      <c r="ACU527" s="1831"/>
      <c r="ACV527" s="1831"/>
      <c r="ACW527" s="1831"/>
      <c r="ACX527" s="1831"/>
      <c r="ACY527" s="1831"/>
      <c r="ACZ527" s="1831"/>
      <c r="ADA527" s="1831"/>
      <c r="ADB527" s="1831"/>
      <c r="ADC527" s="1831"/>
      <c r="ADD527" s="1831"/>
      <c r="ADE527" s="1831"/>
      <c r="ADF527" s="1831"/>
      <c r="ADG527" s="1831"/>
      <c r="ADH527" s="1831"/>
      <c r="ADI527" s="1831"/>
      <c r="ADJ527" s="1831"/>
      <c r="ADK527" s="1831"/>
      <c r="ADL527" s="1831"/>
      <c r="ADM527" s="1831"/>
      <c r="ADN527" s="1831"/>
      <c r="ADO527" s="1831"/>
      <c r="ADP527" s="1831"/>
      <c r="ADQ527" s="1831"/>
      <c r="ADR527" s="1831"/>
      <c r="ADS527" s="1831"/>
      <c r="ADT527" s="1831"/>
      <c r="ADU527" s="1831"/>
      <c r="ADV527" s="1831"/>
      <c r="ADW527" s="1831"/>
      <c r="ADX527" s="1831"/>
      <c r="ADY527" s="1831"/>
      <c r="ADZ527" s="1831"/>
      <c r="AEA527" s="1831"/>
      <c r="AEB527" s="1831"/>
      <c r="AEC527" s="1831"/>
      <c r="AED527" s="1831"/>
      <c r="AEE527" s="1831"/>
      <c r="AEF527" s="1831"/>
      <c r="AEG527" s="1831"/>
      <c r="AEH527" s="1831"/>
      <c r="AEI527" s="1831"/>
      <c r="AEJ527" s="1831"/>
      <c r="AEK527" s="1831"/>
      <c r="AEL527" s="1831"/>
      <c r="AEM527" s="1831"/>
      <c r="AEN527" s="1831"/>
      <c r="AEO527" s="1831"/>
      <c r="AEP527" s="1831"/>
      <c r="AEQ527" s="1831"/>
      <c r="AER527" s="1831"/>
      <c r="AES527" s="1831"/>
      <c r="AET527" s="1831"/>
      <c r="AEU527" s="1831"/>
      <c r="AEV527" s="1831"/>
      <c r="AEW527" s="1831"/>
      <c r="AEX527" s="1831"/>
      <c r="AEY527" s="1831"/>
      <c r="AEZ527" s="1831"/>
      <c r="AFA527" s="1831"/>
      <c r="AFB527" s="1831"/>
      <c r="AFC527" s="1831"/>
      <c r="AFD527" s="1831"/>
      <c r="AFE527" s="1831"/>
      <c r="AFF527" s="1831"/>
      <c r="AFG527" s="1831"/>
      <c r="AFH527" s="1831"/>
      <c r="AFI527" s="1831"/>
      <c r="AFJ527" s="1831"/>
      <c r="AFK527" s="1831"/>
      <c r="AFL527" s="1831"/>
      <c r="AFM527" s="1831"/>
      <c r="AFN527" s="1831"/>
      <c r="AFO527" s="1831"/>
      <c r="AFP527" s="1831"/>
      <c r="AFQ527" s="1831"/>
      <c r="AFR527" s="1831"/>
      <c r="AFS527" s="1831"/>
      <c r="AFT527" s="1831"/>
      <c r="AFU527" s="1831"/>
      <c r="AFV527" s="1831"/>
      <c r="AFW527" s="1831"/>
      <c r="AFX527" s="1831"/>
      <c r="AFY527" s="1831"/>
      <c r="AFZ527" s="1831"/>
      <c r="AGA527" s="1831"/>
      <c r="AGB527" s="1831"/>
      <c r="AGC527" s="1831"/>
      <c r="AGD527" s="1831"/>
      <c r="AGE527" s="1831"/>
      <c r="AGF527" s="1831"/>
      <c r="AGG527" s="1831"/>
      <c r="AGH527" s="1831"/>
      <c r="AGI527" s="1831"/>
      <c r="AGJ527" s="1831"/>
      <c r="AGK527" s="1831"/>
      <c r="AGL527" s="1831"/>
      <c r="AGM527" s="1831"/>
      <c r="AGN527" s="1831"/>
      <c r="AGO527" s="1831"/>
      <c r="AGP527" s="1831"/>
      <c r="AGQ527" s="1831"/>
      <c r="AGR527" s="1831"/>
      <c r="AGS527" s="1831"/>
      <c r="AGT527" s="1831"/>
      <c r="AGU527" s="1831"/>
      <c r="AGV527" s="1831"/>
      <c r="AGW527" s="1831"/>
      <c r="AGX527" s="1831"/>
      <c r="AGY527" s="1831"/>
      <c r="AGZ527" s="1831"/>
      <c r="AHA527" s="1831"/>
      <c r="AHB527" s="1831"/>
      <c r="AHC527" s="1831"/>
      <c r="AHD527" s="1831"/>
      <c r="AHE527" s="1831"/>
      <c r="AHF527" s="1831"/>
      <c r="AHG527" s="1831"/>
      <c r="AHH527" s="1831"/>
      <c r="AHI527" s="1831"/>
      <c r="AHJ527" s="1831"/>
      <c r="AHK527" s="1831"/>
      <c r="AHL527" s="1831"/>
      <c r="AHM527" s="1831"/>
      <c r="AHN527" s="1831"/>
      <c r="AHO527" s="1831"/>
      <c r="AHP527" s="1831"/>
      <c r="AHQ527" s="1831"/>
      <c r="AHR527" s="1831"/>
      <c r="AHS527" s="1831"/>
      <c r="AHT527" s="1831"/>
      <c r="AHU527" s="1831"/>
      <c r="AHV527" s="1831"/>
      <c r="AHW527" s="1831"/>
      <c r="AHX527" s="1831"/>
      <c r="AHY527" s="1831"/>
      <c r="AHZ527" s="1831"/>
      <c r="AIA527" s="1831"/>
      <c r="AIB527" s="1831"/>
      <c r="AIC527" s="1831"/>
      <c r="AID527" s="1831"/>
      <c r="AIE527" s="1831"/>
      <c r="AIF527" s="1831"/>
      <c r="AIG527" s="1831"/>
      <c r="AIH527" s="1831"/>
      <c r="AII527" s="1831"/>
      <c r="AIJ527" s="1831"/>
      <c r="AIK527" s="1831"/>
      <c r="AIL527" s="1831"/>
      <c r="AIM527" s="1831"/>
      <c r="AIN527" s="1831"/>
      <c r="AIO527" s="1831"/>
      <c r="AIP527" s="1831"/>
      <c r="AIQ527" s="1831"/>
      <c r="AIR527" s="1831"/>
      <c r="AIS527" s="1831"/>
      <c r="AIT527" s="1831"/>
      <c r="AIU527" s="1831"/>
      <c r="AIV527" s="1831"/>
      <c r="AIW527" s="1831"/>
      <c r="AIX527" s="1831"/>
      <c r="AIY527" s="1831"/>
      <c r="AIZ527" s="1831"/>
      <c r="AJA527" s="1831"/>
      <c r="AJB527" s="1831"/>
      <c r="AJC527" s="1831"/>
      <c r="AJD527" s="1831"/>
      <c r="AJE527" s="1831"/>
      <c r="AJF527" s="1831"/>
      <c r="AJG527" s="1831"/>
      <c r="AJH527" s="1831"/>
      <c r="AJI527" s="1831"/>
      <c r="AJJ527" s="1831"/>
      <c r="AJK527" s="1831"/>
      <c r="AJL527" s="1831"/>
      <c r="AJM527" s="1831"/>
      <c r="AJN527" s="1831"/>
      <c r="AJO527" s="1831"/>
      <c r="AJP527" s="1831"/>
      <c r="AJQ527" s="1831"/>
      <c r="AJR527" s="1831"/>
      <c r="AJS527" s="1831"/>
      <c r="AJT527" s="1831"/>
      <c r="AJU527" s="1831"/>
      <c r="AJV527" s="1831"/>
      <c r="AJW527" s="1831"/>
      <c r="AJX527" s="1831"/>
      <c r="AJY527" s="1831"/>
      <c r="AJZ527" s="1831"/>
      <c r="AKA527" s="1831"/>
      <c r="AKB527" s="1831"/>
      <c r="AKC527" s="1831"/>
      <c r="AKD527" s="1831"/>
      <c r="AKE527" s="1831"/>
      <c r="AKF527" s="1831"/>
      <c r="AKG527" s="1831"/>
      <c r="AKH527" s="1831"/>
      <c r="AKI527" s="1831"/>
      <c r="AKJ527" s="1831"/>
      <c r="AKK527" s="1831"/>
      <c r="AKL527" s="1831"/>
      <c r="AKM527" s="1831"/>
      <c r="AKN527" s="1831"/>
      <c r="AKO527" s="1831"/>
      <c r="AKP527" s="1831"/>
      <c r="AKQ527" s="1831"/>
      <c r="AKR527" s="1831"/>
      <c r="AKS527" s="1831"/>
      <c r="AKT527" s="1831"/>
      <c r="AKU527" s="1831"/>
      <c r="AKV527" s="1831"/>
      <c r="AKW527" s="1831"/>
      <c r="AKX527" s="1831"/>
      <c r="AKY527" s="1831"/>
      <c r="AKZ527" s="1831"/>
      <c r="ALA527" s="1831"/>
      <c r="ALB527" s="1831"/>
      <c r="ALC527" s="1831"/>
      <c r="ALD527" s="1831"/>
      <c r="ALE527" s="1831"/>
      <c r="ALF527" s="1831"/>
      <c r="ALG527" s="1831"/>
      <c r="ALH527" s="1831"/>
      <c r="ALI527" s="1831"/>
      <c r="ALJ527" s="1831"/>
      <c r="ALK527" s="1831"/>
      <c r="ALL527" s="1831"/>
      <c r="ALM527" s="1831"/>
      <c r="ALN527" s="1831"/>
      <c r="ALO527" s="1831"/>
      <c r="ALP527" s="1831"/>
      <c r="ALQ527" s="1831"/>
      <c r="ALR527" s="1831"/>
      <c r="ALS527" s="1831"/>
      <c r="ALT527" s="1831"/>
      <c r="ALU527" s="1831"/>
      <c r="ALV527" s="1831"/>
      <c r="ALW527" s="1831"/>
      <c r="ALX527" s="1831"/>
      <c r="ALY527" s="1831"/>
      <c r="ALZ527" s="1831"/>
      <c r="AMA527" s="1831"/>
      <c r="AMB527" s="1831"/>
      <c r="AMC527" s="1831"/>
      <c r="AMD527" s="1831"/>
      <c r="AME527" s="1831"/>
      <c r="AMF527" s="1831"/>
      <c r="AMG527" s="1831"/>
      <c r="AMH527" s="1831"/>
      <c r="AMI527" s="1831"/>
      <c r="AMJ527" s="1831"/>
      <c r="AMK527" s="1831"/>
      <c r="AML527" s="1831"/>
      <c r="AMM527" s="1831"/>
      <c r="AMN527" s="1831"/>
      <c r="AMO527" s="1831"/>
      <c r="AMP527" s="1831"/>
      <c r="AMQ527" s="1831"/>
      <c r="AMR527" s="1831"/>
      <c r="AMS527" s="1831"/>
      <c r="AMT527" s="1831"/>
      <c r="AMU527" s="1831"/>
      <c r="AMV527" s="1831"/>
      <c r="AMW527" s="1831"/>
      <c r="AMX527" s="1831"/>
      <c r="AMY527" s="1831"/>
      <c r="AMZ527" s="1831"/>
      <c r="ANA527" s="1831"/>
      <c r="ANB527" s="1831"/>
      <c r="ANC527" s="1831"/>
      <c r="AND527" s="1831"/>
      <c r="ANE527" s="1831"/>
      <c r="ANF527" s="1831"/>
      <c r="ANG527" s="1831"/>
      <c r="ANH527" s="1831"/>
      <c r="ANI527" s="1831"/>
      <c r="ANJ527" s="1831"/>
      <c r="ANK527" s="1831"/>
      <c r="ANL527" s="1831"/>
      <c r="ANM527" s="1831"/>
      <c r="ANN527" s="1831"/>
      <c r="ANO527" s="1831"/>
      <c r="ANP527" s="1831"/>
      <c r="ANQ527" s="1831"/>
      <c r="ANR527" s="1831"/>
      <c r="ANS527" s="1831"/>
      <c r="ANT527" s="1831"/>
      <c r="ANU527" s="1831"/>
      <c r="ANV527" s="1831"/>
      <c r="ANW527" s="1831"/>
      <c r="ANX527" s="1831"/>
      <c r="ANY527" s="1831"/>
      <c r="ANZ527" s="1831"/>
      <c r="AOA527" s="1831"/>
      <c r="AOB527" s="1831"/>
      <c r="AOC527" s="1831"/>
      <c r="AOD527" s="1831"/>
      <c r="AOE527" s="1831"/>
      <c r="AOF527" s="1831"/>
      <c r="AOG527" s="1831"/>
      <c r="AOH527" s="1831"/>
      <c r="AOI527" s="1831"/>
      <c r="AOJ527" s="1831"/>
      <c r="AOK527" s="1831"/>
      <c r="AOL527" s="1831"/>
      <c r="AOM527" s="1831"/>
      <c r="AON527" s="1831"/>
      <c r="AOO527" s="1831"/>
      <c r="AOP527" s="1831"/>
      <c r="AOQ527" s="1831"/>
      <c r="AOR527" s="1831"/>
      <c r="AOS527" s="1831"/>
      <c r="AOT527" s="1831"/>
      <c r="AOU527" s="1831"/>
      <c r="AOV527" s="1831"/>
      <c r="AOW527" s="1831"/>
      <c r="AOX527" s="1831"/>
      <c r="AOY527" s="1831"/>
      <c r="AOZ527" s="1831"/>
      <c r="APA527" s="1831"/>
      <c r="APB527" s="1831"/>
      <c r="APC527" s="1831"/>
      <c r="APD527" s="1831"/>
      <c r="APE527" s="1831"/>
      <c r="APF527" s="1831"/>
      <c r="APG527" s="1831"/>
      <c r="APH527" s="1831"/>
      <c r="API527" s="1831"/>
      <c r="APJ527" s="1831"/>
      <c r="APK527" s="1831"/>
      <c r="APL527" s="1831"/>
      <c r="APM527" s="1831"/>
      <c r="APN527" s="1831"/>
      <c r="APO527" s="1831"/>
      <c r="APP527" s="1831"/>
      <c r="APQ527" s="1831"/>
      <c r="APR527" s="1831"/>
      <c r="APS527" s="1831"/>
      <c r="APT527" s="1831"/>
      <c r="APU527" s="1831"/>
      <c r="APV527" s="1831"/>
      <c r="APW527" s="1831"/>
      <c r="APX527" s="1831"/>
      <c r="APY527" s="1831"/>
      <c r="APZ527" s="1831"/>
      <c r="AQA527" s="1831"/>
      <c r="AQB527" s="1831"/>
      <c r="AQC527" s="1831"/>
      <c r="AQD527" s="1831"/>
      <c r="AQE527" s="1831"/>
      <c r="AQF527" s="1831"/>
      <c r="AQG527" s="1831"/>
      <c r="AQH527" s="1831"/>
      <c r="AQI527" s="1831"/>
      <c r="AQJ527" s="1831"/>
      <c r="AQK527" s="1831"/>
      <c r="AQL527" s="1831"/>
      <c r="AQM527" s="1831"/>
      <c r="AQN527" s="1831"/>
      <c r="AQO527" s="1831"/>
      <c r="AQP527" s="1831"/>
      <c r="AQQ527" s="1831"/>
      <c r="AQR527" s="1831"/>
      <c r="AQS527" s="1831"/>
      <c r="AQT527" s="1831"/>
      <c r="AQU527" s="1831"/>
      <c r="AQV527" s="1831"/>
      <c r="AQW527" s="1831"/>
      <c r="AQX527" s="1831"/>
      <c r="AQY527" s="1831"/>
      <c r="AQZ527" s="1831"/>
      <c r="ARA527" s="1831"/>
      <c r="ARB527" s="1831"/>
      <c r="ARC527" s="1831"/>
      <c r="ARD527" s="1831"/>
      <c r="ARE527" s="1831"/>
      <c r="ARF527" s="1831"/>
      <c r="ARG527" s="1831"/>
      <c r="ARH527" s="1831"/>
      <c r="ARI527" s="1831"/>
      <c r="ARJ527" s="1831"/>
      <c r="ARK527" s="1831"/>
      <c r="ARL527" s="1831"/>
      <c r="ARM527" s="1831"/>
      <c r="ARN527" s="1831"/>
      <c r="ARO527" s="1831"/>
      <c r="ARP527" s="1831"/>
      <c r="ARQ527" s="1831"/>
      <c r="ARR527" s="1831"/>
      <c r="ARS527" s="1831"/>
      <c r="ART527" s="1831"/>
      <c r="ARU527" s="1831"/>
      <c r="ARV527" s="1831"/>
      <c r="ARW527" s="1831"/>
      <c r="ARX527" s="1831"/>
      <c r="ARY527" s="1831"/>
      <c r="ARZ527" s="1831"/>
      <c r="ASA527" s="1831"/>
      <c r="ASB527" s="1831"/>
      <c r="ASC527" s="1831"/>
      <c r="ASD527" s="1831"/>
      <c r="ASE527" s="1831"/>
      <c r="ASF527" s="1831"/>
      <c r="ASG527" s="1831"/>
      <c r="ASH527" s="1831"/>
      <c r="ASI527" s="1831"/>
      <c r="ASJ527" s="1831"/>
      <c r="ASK527" s="1831"/>
      <c r="ASL527" s="1831"/>
      <c r="ASM527" s="1831"/>
      <c r="ASN527" s="1831"/>
      <c r="ASO527" s="1831"/>
      <c r="ASP527" s="1831"/>
      <c r="ASQ527" s="1831"/>
      <c r="ASR527" s="1831"/>
      <c r="ASS527" s="1831"/>
      <c r="AST527" s="1831"/>
      <c r="ASU527" s="1831"/>
      <c r="ASV527" s="1831"/>
      <c r="ASW527" s="1831"/>
      <c r="ASX527" s="1831"/>
      <c r="ASY527" s="1831"/>
      <c r="ASZ527" s="1831"/>
      <c r="ATA527" s="1831"/>
      <c r="ATB527" s="1831"/>
      <c r="ATC527" s="1831"/>
      <c r="ATD527" s="1831"/>
      <c r="ATE527" s="1831"/>
      <c r="ATF527" s="1831"/>
      <c r="ATG527" s="1831"/>
      <c r="ATH527" s="1831"/>
      <c r="ATI527" s="1831"/>
      <c r="ATJ527" s="1831"/>
      <c r="ATK527" s="1831"/>
      <c r="ATL527" s="1831"/>
      <c r="ATM527" s="1831"/>
      <c r="ATN527" s="1831"/>
      <c r="ATO527" s="1831"/>
      <c r="ATP527" s="1831"/>
      <c r="ATQ527" s="1831"/>
      <c r="ATR527" s="1831"/>
      <c r="ATS527" s="1831"/>
      <c r="ATT527" s="1831"/>
      <c r="ATU527" s="1831"/>
      <c r="ATV527" s="1831"/>
      <c r="ATW527" s="1831"/>
      <c r="ATX527" s="1831"/>
      <c r="ATY527" s="1831"/>
      <c r="ATZ527" s="1831"/>
      <c r="AUA527" s="1831"/>
      <c r="AUB527" s="1831"/>
      <c r="AUC527" s="1831"/>
      <c r="AUD527" s="1831"/>
      <c r="AUE527" s="1831"/>
      <c r="AUF527" s="1831"/>
      <c r="AUG527" s="1831"/>
      <c r="AUH527" s="1831"/>
      <c r="AUI527" s="1831"/>
      <c r="AUJ527" s="1831"/>
      <c r="AUK527" s="1831"/>
      <c r="AUL527" s="1831"/>
      <c r="AUM527" s="1831"/>
      <c r="AUN527" s="1831"/>
      <c r="AUO527" s="1831"/>
      <c r="AUP527" s="1831"/>
      <c r="AUQ527" s="1831"/>
      <c r="AUR527" s="1831"/>
      <c r="AUS527" s="1831"/>
      <c r="AUT527" s="1831"/>
      <c r="AUU527" s="1831"/>
      <c r="AUV527" s="1831"/>
      <c r="AUW527" s="1831"/>
      <c r="AUX527" s="1831"/>
      <c r="AUY527" s="1831"/>
      <c r="AUZ527" s="1831"/>
      <c r="AVA527" s="1831"/>
      <c r="AVB527" s="1831"/>
      <c r="AVC527" s="1831"/>
      <c r="AVD527" s="1831"/>
      <c r="AVE527" s="1831"/>
      <c r="AVF527" s="1831"/>
      <c r="AVG527" s="1831"/>
      <c r="AVH527" s="1831"/>
      <c r="AVI527" s="1831"/>
      <c r="AVJ527" s="1831"/>
      <c r="AVK527" s="1831"/>
      <c r="AVL527" s="1831"/>
      <c r="AVM527" s="1831"/>
      <c r="AVN527" s="1831"/>
      <c r="AVO527" s="1831"/>
      <c r="AVP527" s="1831"/>
      <c r="AVQ527" s="1831"/>
      <c r="AVR527" s="1831"/>
      <c r="AVS527" s="1831"/>
      <c r="AVT527" s="1831"/>
      <c r="AVU527" s="1831"/>
      <c r="AVV527" s="1831"/>
      <c r="AVW527" s="1831"/>
      <c r="AVX527" s="1831"/>
      <c r="AVY527" s="1831"/>
      <c r="AVZ527" s="1831"/>
      <c r="AWA527" s="1831"/>
      <c r="AWB527" s="1831"/>
      <c r="AWC527" s="1831"/>
      <c r="AWD527" s="1831"/>
      <c r="AWE527" s="1831"/>
      <c r="AWF527" s="1831"/>
      <c r="AWG527" s="1831"/>
      <c r="AWH527" s="1831"/>
      <c r="AWI527" s="1831"/>
      <c r="AWJ527" s="1831"/>
      <c r="AWK527" s="1831"/>
      <c r="AWL527" s="1831"/>
      <c r="AWM527" s="1831"/>
      <c r="AWN527" s="1831"/>
      <c r="AWO527" s="1831"/>
      <c r="AWP527" s="1831"/>
      <c r="AWQ527" s="1831"/>
      <c r="AWR527" s="1831"/>
      <c r="AWS527" s="1831"/>
      <c r="AWT527" s="1831"/>
      <c r="AWU527" s="1831"/>
      <c r="AWV527" s="1831"/>
      <c r="AWW527" s="1831"/>
      <c r="AWX527" s="1831"/>
      <c r="AWY527" s="1831"/>
      <c r="AWZ527" s="1831"/>
      <c r="AXA527" s="1831"/>
      <c r="AXB527" s="1831"/>
      <c r="AXC527" s="1831"/>
      <c r="AXD527" s="1831"/>
      <c r="AXE527" s="1831"/>
      <c r="AXF527" s="1831"/>
      <c r="AXG527" s="1831"/>
      <c r="AXH527" s="1831"/>
      <c r="AXI527" s="1831"/>
      <c r="AXJ527" s="1831"/>
      <c r="AXK527" s="1831"/>
      <c r="AXL527" s="1831"/>
      <c r="AXM527" s="1831"/>
      <c r="AXN527" s="1831"/>
      <c r="AXO527" s="1831"/>
      <c r="AXP527" s="1831"/>
      <c r="AXQ527" s="1831"/>
      <c r="AXR527" s="1831"/>
      <c r="AXS527" s="1831"/>
      <c r="AXT527" s="1831"/>
      <c r="AXU527" s="1831"/>
      <c r="AXV527" s="1831"/>
      <c r="AXW527" s="1831"/>
      <c r="AXX527" s="1831"/>
      <c r="AXY527" s="1831"/>
      <c r="AXZ527" s="1831"/>
      <c r="AYA527" s="1831"/>
      <c r="AYB527" s="1831"/>
      <c r="AYC527" s="1831"/>
      <c r="AYD527" s="1831"/>
      <c r="AYE527" s="1831"/>
      <c r="AYF527" s="1831"/>
      <c r="AYG527" s="1831"/>
      <c r="AYH527" s="1831"/>
      <c r="AYI527" s="1831"/>
      <c r="AYJ527" s="1831"/>
      <c r="AYK527" s="1831"/>
      <c r="AYL527" s="1831"/>
      <c r="AYM527" s="1831"/>
      <c r="AYN527" s="1831"/>
      <c r="AYO527" s="1831"/>
      <c r="AYP527" s="1831"/>
      <c r="AYQ527" s="1831"/>
      <c r="AYR527" s="1831"/>
      <c r="AYS527" s="1831"/>
      <c r="AYT527" s="1831"/>
      <c r="AYU527" s="1831"/>
      <c r="AYV527" s="1831"/>
      <c r="AYW527" s="1831"/>
      <c r="AYX527" s="1831"/>
      <c r="AYY527" s="1831"/>
      <c r="AYZ527" s="1831"/>
      <c r="AZA527" s="1831"/>
      <c r="AZB527" s="1831"/>
      <c r="AZC527" s="1831"/>
      <c r="AZD527" s="1831"/>
      <c r="AZE527" s="1831"/>
      <c r="AZF527" s="1831"/>
      <c r="AZG527" s="1831"/>
      <c r="AZH527" s="1831"/>
      <c r="AZI527" s="1831"/>
      <c r="AZJ527" s="1831"/>
      <c r="AZK527" s="1831"/>
      <c r="AZL527" s="1831"/>
      <c r="AZM527" s="1831"/>
      <c r="AZN527" s="1831"/>
      <c r="AZO527" s="1831"/>
      <c r="AZP527" s="1831"/>
      <c r="AZQ527" s="1831"/>
      <c r="AZR527" s="1831"/>
      <c r="AZS527" s="1831"/>
      <c r="AZT527" s="1831"/>
      <c r="AZU527" s="1831"/>
      <c r="AZV527" s="1831"/>
      <c r="AZW527" s="1831"/>
      <c r="AZX527" s="1831"/>
      <c r="AZY527" s="1831"/>
      <c r="AZZ527" s="1831"/>
      <c r="BAA527" s="1831"/>
      <c r="BAB527" s="1831"/>
      <c r="BAC527" s="1831"/>
      <c r="BAD527" s="1831"/>
      <c r="BAE527" s="1831"/>
      <c r="BAF527" s="1831"/>
      <c r="BAG527" s="1831"/>
      <c r="BAH527" s="1831"/>
      <c r="BAI527" s="1831"/>
      <c r="BAJ527" s="1831"/>
      <c r="BAK527" s="1831"/>
      <c r="BAL527" s="1831"/>
      <c r="BAM527" s="1831"/>
      <c r="BAN527" s="1831"/>
      <c r="BAO527" s="1831"/>
      <c r="BAP527" s="1831"/>
      <c r="BAQ527" s="1831"/>
      <c r="BAR527" s="1831"/>
      <c r="BAS527" s="1831"/>
      <c r="BAT527" s="1831"/>
      <c r="BAU527" s="1831"/>
      <c r="BAV527" s="1831"/>
      <c r="BAW527" s="1831"/>
      <c r="BAX527" s="1831"/>
      <c r="BAY527" s="1831"/>
      <c r="BAZ527" s="1831"/>
      <c r="BBA527" s="1831"/>
      <c r="BBB527" s="1831"/>
      <c r="BBC527" s="1831"/>
      <c r="BBD527" s="1831"/>
      <c r="BBE527" s="1831"/>
      <c r="BBF527" s="1831"/>
      <c r="BBG527" s="1831"/>
      <c r="BBH527" s="1831"/>
      <c r="BBI527" s="1831"/>
      <c r="BBJ527" s="1831"/>
      <c r="BBK527" s="1831"/>
      <c r="BBL527" s="1831"/>
      <c r="BBM527" s="1831"/>
      <c r="BBN527" s="1831"/>
      <c r="BBO527" s="1831"/>
      <c r="BBP527" s="1831"/>
      <c r="BBQ527" s="1831"/>
      <c r="BBR527" s="1831"/>
      <c r="BBS527" s="1831"/>
      <c r="BBT527" s="1831"/>
      <c r="BBU527" s="1831"/>
      <c r="BBV527" s="1831"/>
      <c r="BBW527" s="1831"/>
      <c r="BBX527" s="1831"/>
      <c r="BBY527" s="1831"/>
      <c r="BBZ527" s="1831"/>
      <c r="BCA527" s="1831"/>
      <c r="BCB527" s="1831"/>
      <c r="BCC527" s="1831"/>
      <c r="BCD527" s="1831"/>
      <c r="BCE527" s="1831"/>
      <c r="BCF527" s="1831"/>
      <c r="BCG527" s="1831"/>
      <c r="BCH527" s="1831"/>
      <c r="BCI527" s="1831"/>
      <c r="BCJ527" s="1831"/>
      <c r="BCK527" s="1831"/>
      <c r="BCL527" s="1831"/>
      <c r="BCM527" s="1831"/>
      <c r="BCN527" s="1831"/>
      <c r="BCO527" s="1831"/>
      <c r="BCP527" s="1831"/>
      <c r="BCQ527" s="1831"/>
      <c r="BCR527" s="1831"/>
      <c r="BCS527" s="1831"/>
      <c r="BCT527" s="1831"/>
      <c r="BCU527" s="1831"/>
      <c r="BCV527" s="1831"/>
      <c r="BCW527" s="1831"/>
      <c r="BCX527" s="1831"/>
      <c r="BCY527" s="1831"/>
      <c r="BCZ527" s="1831"/>
      <c r="BDA527" s="1831"/>
      <c r="BDB527" s="1831"/>
      <c r="BDC527" s="1831"/>
      <c r="BDD527" s="1831"/>
      <c r="BDE527" s="1831"/>
      <c r="BDF527" s="1831"/>
      <c r="BDG527" s="1831"/>
      <c r="BDH527" s="1831"/>
      <c r="BDI527" s="1831"/>
      <c r="BDJ527" s="1831"/>
      <c r="BDK527" s="1831"/>
      <c r="BDL527" s="1831"/>
      <c r="BDM527" s="1831"/>
      <c r="BDN527" s="1831"/>
      <c r="BDO527" s="1831"/>
      <c r="BDP527" s="1831"/>
      <c r="BDQ527" s="1831"/>
      <c r="BDR527" s="1831"/>
      <c r="BDS527" s="1831"/>
      <c r="BDT527" s="1831"/>
      <c r="BDU527" s="1831"/>
      <c r="BDV527" s="1831"/>
      <c r="BDW527" s="1831"/>
      <c r="BDX527" s="1831"/>
      <c r="BDY527" s="1831"/>
      <c r="BDZ527" s="1831"/>
      <c r="BEA527" s="1831"/>
      <c r="BEB527" s="1831"/>
      <c r="BEC527" s="1831"/>
      <c r="BED527" s="1831"/>
      <c r="BEE527" s="1831"/>
      <c r="BEF527" s="1831"/>
      <c r="BEG527" s="1831"/>
      <c r="BEH527" s="1831"/>
      <c r="BEI527" s="1831"/>
      <c r="BEJ527" s="1831"/>
      <c r="BEK527" s="1831"/>
      <c r="BEL527" s="1831"/>
      <c r="BEM527" s="1831"/>
      <c r="BEN527" s="1831"/>
      <c r="BEO527" s="1831"/>
      <c r="BEP527" s="1831"/>
      <c r="BEQ527" s="1831"/>
      <c r="BER527" s="1831"/>
      <c r="BES527" s="1831"/>
      <c r="BET527" s="1831"/>
      <c r="BEU527" s="1831"/>
      <c r="BEV527" s="1831"/>
      <c r="BEW527" s="1831"/>
      <c r="BEX527" s="1831"/>
      <c r="BEY527" s="1831"/>
      <c r="BEZ527" s="1831"/>
      <c r="BFA527" s="1831"/>
      <c r="BFB527" s="1831"/>
      <c r="BFC527" s="1831"/>
      <c r="BFD527" s="1831"/>
      <c r="BFE527" s="1831"/>
      <c r="BFF527" s="1831"/>
      <c r="BFG527" s="1831"/>
      <c r="BFH527" s="1831"/>
      <c r="BFI527" s="1831"/>
      <c r="BFJ527" s="1831"/>
      <c r="BFK527" s="1831"/>
      <c r="BFL527" s="1831"/>
      <c r="BFM527" s="1831"/>
      <c r="BFN527" s="1831"/>
      <c r="BFO527" s="1831"/>
      <c r="BFP527" s="1831"/>
      <c r="BFQ527" s="1831"/>
      <c r="BFR527" s="1831"/>
      <c r="BFS527" s="1831"/>
      <c r="BFT527" s="1831"/>
      <c r="BFU527" s="1831"/>
      <c r="BFV527" s="1831"/>
      <c r="BFW527" s="1831"/>
      <c r="BFX527" s="1831"/>
      <c r="BFY527" s="1831"/>
      <c r="BFZ527" s="1831"/>
      <c r="BGA527" s="1831"/>
      <c r="BGB527" s="1831"/>
      <c r="BGC527" s="1831"/>
      <c r="BGD527" s="1831"/>
      <c r="BGE527" s="1831"/>
      <c r="BGF527" s="1831"/>
      <c r="BGG527" s="1831"/>
      <c r="BGH527" s="1831"/>
      <c r="BGI527" s="1831"/>
      <c r="BGJ527" s="1831"/>
      <c r="BGK527" s="1831"/>
      <c r="BGL527" s="1831"/>
      <c r="BGM527" s="1831"/>
      <c r="BGN527" s="1831"/>
      <c r="BGO527" s="1831"/>
      <c r="BGP527" s="1831"/>
      <c r="BGQ527" s="1831"/>
      <c r="BGR527" s="1831"/>
      <c r="BGS527" s="1831"/>
      <c r="BGT527" s="1831"/>
      <c r="BGU527" s="1831"/>
      <c r="BGV527" s="1831"/>
      <c r="BGW527" s="1831"/>
      <c r="BGX527" s="1831"/>
      <c r="BGY527" s="1831"/>
      <c r="BGZ527" s="1831"/>
      <c r="BHA527" s="1831"/>
      <c r="BHB527" s="1831"/>
      <c r="BHC527" s="1831"/>
      <c r="BHD527" s="1831"/>
      <c r="BHE527" s="1831"/>
      <c r="BHF527" s="1831"/>
      <c r="BHG527" s="1831"/>
      <c r="BHH527" s="1831"/>
      <c r="BHI527" s="1831"/>
      <c r="BHJ527" s="1831"/>
      <c r="BHK527" s="1831"/>
      <c r="BHL527" s="1831"/>
      <c r="BHM527" s="1831"/>
      <c r="BHN527" s="1831"/>
      <c r="BHO527" s="1831"/>
      <c r="BHP527" s="1831"/>
      <c r="BHQ527" s="1831"/>
      <c r="BHR527" s="1831"/>
      <c r="BHS527" s="1831"/>
      <c r="BHT527" s="1831"/>
      <c r="BHU527" s="1831"/>
      <c r="BHV527" s="1831"/>
      <c r="BHW527" s="1831"/>
      <c r="BHX527" s="1831"/>
      <c r="BHY527" s="1831"/>
      <c r="BHZ527" s="1831"/>
      <c r="BIA527" s="1831"/>
      <c r="BIB527" s="1831"/>
      <c r="BIC527" s="1831"/>
      <c r="BID527" s="1831"/>
      <c r="BIE527" s="1831"/>
      <c r="BIF527" s="1831"/>
      <c r="BIG527" s="1831"/>
      <c r="BIH527" s="1831"/>
      <c r="BII527" s="1831"/>
      <c r="BIJ527" s="1831"/>
      <c r="BIK527" s="1831"/>
      <c r="BIL527" s="1831"/>
      <c r="BIM527" s="1831"/>
      <c r="BIN527" s="1831"/>
      <c r="BIO527" s="1831"/>
      <c r="BIP527" s="1831"/>
      <c r="BIQ527" s="1831"/>
      <c r="BIR527" s="1831"/>
      <c r="BIS527" s="1831"/>
      <c r="BIT527" s="1831"/>
      <c r="BIU527" s="1831"/>
      <c r="BIV527" s="1831"/>
      <c r="BIW527" s="1831"/>
      <c r="BIX527" s="1831"/>
      <c r="BIY527" s="1831"/>
      <c r="BIZ527" s="1831"/>
      <c r="BJA527" s="1831"/>
      <c r="BJB527" s="1831"/>
      <c r="BJC527" s="1831"/>
      <c r="BJD527" s="1831"/>
      <c r="BJE527" s="1831"/>
      <c r="BJF527" s="1831"/>
      <c r="BJG527" s="1831"/>
      <c r="BJH527" s="1831"/>
      <c r="BJI527" s="1831"/>
      <c r="BJJ527" s="1831"/>
      <c r="BJK527" s="1831"/>
      <c r="BJL527" s="1831"/>
      <c r="BJM527" s="1831"/>
      <c r="BJN527" s="1831"/>
      <c r="BJO527" s="1831"/>
      <c r="BJP527" s="1831"/>
      <c r="BJQ527" s="1831"/>
      <c r="BJR527" s="1831"/>
      <c r="BJS527" s="1831"/>
      <c r="BJT527" s="1831"/>
      <c r="BJU527" s="1831"/>
      <c r="BJV527" s="1831"/>
      <c r="BJW527" s="1831"/>
      <c r="BJX527" s="1831"/>
      <c r="BJY527" s="1831"/>
      <c r="BJZ527" s="1831"/>
      <c r="BKA527" s="1831"/>
      <c r="BKB527" s="1831"/>
      <c r="BKC527" s="1831"/>
      <c r="BKD527" s="1831"/>
      <c r="BKE527" s="1831"/>
      <c r="BKF527" s="1831"/>
      <c r="BKG527" s="1831"/>
      <c r="BKH527" s="1831"/>
      <c r="BKI527" s="1831"/>
      <c r="BKJ527" s="1831"/>
      <c r="BKK527" s="1831"/>
      <c r="BKL527" s="1831"/>
      <c r="BKM527" s="1831"/>
      <c r="BKN527" s="1831"/>
      <c r="BKO527" s="1831"/>
      <c r="BKP527" s="1831"/>
      <c r="BKQ527" s="1831"/>
      <c r="BKR527" s="1831"/>
      <c r="BKS527" s="1831"/>
      <c r="BKT527" s="1831"/>
      <c r="BKU527" s="1831"/>
      <c r="BKV527" s="1831"/>
      <c r="BKW527" s="1831"/>
      <c r="BKX527" s="1831"/>
      <c r="BKY527" s="1831"/>
      <c r="BKZ527" s="1831"/>
      <c r="BLA527" s="1831"/>
      <c r="BLB527" s="1831"/>
      <c r="BLC527" s="1831"/>
      <c r="BLD527" s="1831"/>
      <c r="BLE527" s="1831"/>
      <c r="BLF527" s="1831"/>
      <c r="BLG527" s="1831"/>
      <c r="BLH527" s="1831"/>
      <c r="BLI527" s="1831"/>
      <c r="BLJ527" s="1831"/>
      <c r="BLK527" s="1831"/>
      <c r="BLL527" s="1831"/>
      <c r="BLM527" s="1831"/>
      <c r="BLN527" s="1831"/>
      <c r="BLO527" s="1831"/>
      <c r="BLP527" s="1831"/>
      <c r="BLQ527" s="1831"/>
      <c r="BLR527" s="1831"/>
      <c r="BLS527" s="1831"/>
      <c r="BLT527" s="1831"/>
      <c r="BLU527" s="1831"/>
      <c r="BLV527" s="1831"/>
      <c r="BLW527" s="1831"/>
      <c r="BLX527" s="1831"/>
      <c r="BLY527" s="1831"/>
      <c r="BLZ527" s="1831"/>
      <c r="BMA527" s="1831"/>
      <c r="BMB527" s="1831"/>
      <c r="BMC527" s="1831"/>
      <c r="BMD527" s="1831"/>
      <c r="BME527" s="1831"/>
      <c r="BMF527" s="1831"/>
      <c r="BMG527" s="1831"/>
      <c r="BMH527" s="1831"/>
      <c r="BMI527" s="1831"/>
      <c r="BMJ527" s="1831"/>
      <c r="BMK527" s="1831"/>
      <c r="BML527" s="1831"/>
      <c r="BMM527" s="1831"/>
      <c r="BMN527" s="1831"/>
      <c r="BMO527" s="1831"/>
      <c r="BMP527" s="1831"/>
      <c r="BMQ527" s="1831"/>
      <c r="BMR527" s="1831"/>
      <c r="BMS527" s="1831"/>
      <c r="BMT527" s="1831"/>
      <c r="BMU527" s="1831"/>
      <c r="BMV527" s="1831"/>
      <c r="BMW527" s="1831"/>
      <c r="BMX527" s="1831"/>
      <c r="BMY527" s="1831"/>
      <c r="BMZ527" s="1831"/>
      <c r="BNA527" s="1831"/>
      <c r="BNB527" s="1831"/>
      <c r="BNC527" s="1831"/>
      <c r="BND527" s="1831"/>
      <c r="BNE527" s="1831"/>
      <c r="BNF527" s="1831"/>
      <c r="BNG527" s="1831"/>
      <c r="BNH527" s="1831"/>
      <c r="BNI527" s="1831"/>
      <c r="BNJ527" s="1831"/>
      <c r="BNK527" s="1831"/>
      <c r="BNL527" s="1831"/>
      <c r="BNM527" s="1831"/>
      <c r="BNN527" s="1831"/>
      <c r="BNO527" s="1831"/>
      <c r="BNP527" s="1831"/>
      <c r="BNQ527" s="1831"/>
      <c r="BNR527" s="1831"/>
      <c r="BNS527" s="1831"/>
      <c r="BNT527" s="1831"/>
      <c r="BNU527" s="1831"/>
      <c r="BNV527" s="1831"/>
      <c r="BNW527" s="1831"/>
      <c r="BNX527" s="1831"/>
      <c r="BNY527" s="1831"/>
      <c r="BNZ527" s="1831"/>
      <c r="BOA527" s="1831"/>
      <c r="BOB527" s="1831"/>
      <c r="BOC527" s="1831"/>
      <c r="BOD527" s="1831"/>
      <c r="BOE527" s="1831"/>
      <c r="BOF527" s="1831"/>
      <c r="BOG527" s="1831"/>
      <c r="BOH527" s="1831"/>
      <c r="BOI527" s="1831"/>
      <c r="BOJ527" s="1831"/>
      <c r="BOK527" s="1831"/>
      <c r="BOL527" s="1831"/>
      <c r="BOM527" s="1831"/>
      <c r="BON527" s="1831"/>
      <c r="BOO527" s="1831"/>
      <c r="BOP527" s="1831"/>
      <c r="BOQ527" s="1831"/>
      <c r="BOR527" s="1831"/>
      <c r="BOS527" s="1831"/>
      <c r="BOT527" s="1831"/>
      <c r="BOU527" s="1831"/>
      <c r="BOV527" s="1831"/>
      <c r="BOW527" s="1831"/>
      <c r="BOX527" s="1831"/>
      <c r="BOY527" s="1831"/>
      <c r="BOZ527" s="1831"/>
      <c r="BPA527" s="1831"/>
      <c r="BPB527" s="1831"/>
      <c r="BPC527" s="1831"/>
      <c r="BPD527" s="1831"/>
      <c r="BPE527" s="1831"/>
      <c r="BPF527" s="1831"/>
      <c r="BPG527" s="1831"/>
      <c r="BPH527" s="1831"/>
      <c r="BPI527" s="1831"/>
      <c r="BPJ527" s="1831"/>
      <c r="BPK527" s="1831"/>
      <c r="BPL527" s="1831"/>
      <c r="BPM527" s="1831"/>
      <c r="BPN527" s="1831"/>
      <c r="BPO527" s="1831"/>
      <c r="BPP527" s="1831"/>
      <c r="BPQ527" s="1831"/>
      <c r="BPR527" s="1831"/>
      <c r="BPS527" s="1831"/>
      <c r="BPT527" s="1831"/>
      <c r="BPU527" s="1831"/>
      <c r="BPV527" s="1831"/>
      <c r="BPW527" s="1831"/>
      <c r="BPX527" s="1831"/>
      <c r="BPY527" s="1831"/>
      <c r="BPZ527" s="1831"/>
      <c r="BQA527" s="1831"/>
      <c r="BQB527" s="1831"/>
      <c r="BQC527" s="1831"/>
      <c r="BQD527" s="1831"/>
      <c r="BQE527" s="1831"/>
      <c r="BQF527" s="1831"/>
      <c r="BQG527" s="1831"/>
      <c r="BQH527" s="1831"/>
      <c r="BQI527" s="1831"/>
      <c r="BQJ527" s="1831"/>
      <c r="BQK527" s="1831"/>
      <c r="BQL527" s="1831"/>
      <c r="BQM527" s="1831"/>
      <c r="BQN527" s="1831"/>
      <c r="BQO527" s="1831"/>
      <c r="BQP527" s="1831"/>
      <c r="BQQ527" s="1831"/>
      <c r="BQR527" s="1831"/>
      <c r="BQS527" s="1831"/>
      <c r="BQT527" s="1831"/>
      <c r="BQU527" s="1831"/>
      <c r="BQV527" s="1831"/>
      <c r="BQW527" s="1831"/>
      <c r="BQX527" s="1831"/>
      <c r="BQY527" s="1831"/>
      <c r="BQZ527" s="1831"/>
      <c r="BRA527" s="1831"/>
      <c r="BRB527" s="1831"/>
      <c r="BRC527" s="1831"/>
      <c r="BRD527" s="1831"/>
      <c r="BRE527" s="1831"/>
      <c r="BRF527" s="1831"/>
      <c r="BRG527" s="1831"/>
      <c r="BRH527" s="1831"/>
      <c r="BRI527" s="1831"/>
      <c r="BRJ527" s="1831"/>
      <c r="BRK527" s="1831"/>
      <c r="BRL527" s="1831"/>
      <c r="BRM527" s="1831"/>
      <c r="BRN527" s="1831"/>
      <c r="BRO527" s="1831"/>
      <c r="BRP527" s="1831"/>
      <c r="BRQ527" s="1831"/>
      <c r="BRR527" s="1831"/>
      <c r="BRS527" s="1831"/>
      <c r="BRT527" s="1831"/>
      <c r="BRU527" s="1831"/>
      <c r="BRV527" s="1831"/>
      <c r="BRW527" s="1831"/>
      <c r="BRX527" s="1831"/>
      <c r="BRY527" s="1831"/>
      <c r="BRZ527" s="1831"/>
      <c r="BSA527" s="1831"/>
      <c r="BSB527" s="1831"/>
      <c r="BSC527" s="1831"/>
      <c r="BSD527" s="1831"/>
      <c r="BSE527" s="1831"/>
      <c r="BSF527" s="1831"/>
      <c r="BSG527" s="1831"/>
      <c r="BSH527" s="1831"/>
      <c r="BSI527" s="1831"/>
      <c r="BSJ527" s="1831"/>
      <c r="BSK527" s="1831"/>
      <c r="BSL527" s="1831"/>
      <c r="BSM527" s="1831"/>
      <c r="BSN527" s="1831"/>
      <c r="BSO527" s="1831"/>
      <c r="BSP527" s="1831"/>
      <c r="BSQ527" s="1831"/>
      <c r="BSR527" s="1831"/>
      <c r="BSS527" s="1831"/>
      <c r="BST527" s="1831"/>
      <c r="BSU527" s="1831"/>
      <c r="BSV527" s="1831"/>
      <c r="BSW527" s="1831"/>
      <c r="BSX527" s="1831"/>
      <c r="BSY527" s="1831"/>
      <c r="BSZ527" s="1831"/>
      <c r="BTA527" s="1831"/>
      <c r="BTB527" s="1831"/>
      <c r="BTC527" s="1831"/>
      <c r="BTD527" s="1831"/>
      <c r="BTE527" s="1831"/>
      <c r="BTF527" s="1831"/>
      <c r="BTG527" s="1831"/>
      <c r="BTH527" s="1831"/>
      <c r="BTI527" s="1831"/>
      <c r="BTJ527" s="1831"/>
      <c r="BTK527" s="1831"/>
      <c r="BTL527" s="1831"/>
      <c r="BTM527" s="1831"/>
      <c r="BTN527" s="1831"/>
      <c r="BTO527" s="1831"/>
      <c r="BTP527" s="1831"/>
      <c r="BTQ527" s="1831"/>
      <c r="BTR527" s="1831"/>
      <c r="BTS527" s="1831"/>
      <c r="BTT527" s="1831"/>
      <c r="BTU527" s="1831"/>
      <c r="BTV527" s="1831"/>
      <c r="BTW527" s="1831"/>
      <c r="BTX527" s="1831"/>
      <c r="BTY527" s="1831"/>
      <c r="BTZ527" s="1831"/>
      <c r="BUA527" s="1831"/>
      <c r="BUB527" s="1831"/>
      <c r="BUC527" s="1831"/>
      <c r="BUD527" s="1831"/>
      <c r="BUE527" s="1831"/>
      <c r="BUF527" s="1831"/>
      <c r="BUG527" s="1831"/>
      <c r="BUH527" s="1831"/>
      <c r="BUI527" s="1831"/>
      <c r="BUJ527" s="1831"/>
      <c r="BUK527" s="1831"/>
      <c r="BUL527" s="1831"/>
      <c r="BUM527" s="1831"/>
      <c r="BUN527" s="1831"/>
      <c r="BUO527" s="1831"/>
      <c r="BUP527" s="1831"/>
      <c r="BUQ527" s="1831"/>
      <c r="BUR527" s="1831"/>
      <c r="BUS527" s="1831"/>
      <c r="BUT527" s="1831"/>
      <c r="BUU527" s="1831"/>
      <c r="BUV527" s="1831"/>
      <c r="BUW527" s="1831"/>
      <c r="BUX527" s="1831"/>
      <c r="BUY527" s="1831"/>
      <c r="BUZ527" s="1831"/>
      <c r="BVA527" s="1831"/>
      <c r="BVB527" s="1831"/>
      <c r="BVC527" s="1831"/>
      <c r="BVD527" s="1831"/>
      <c r="BVE527" s="1831"/>
      <c r="BVF527" s="1831"/>
      <c r="BVG527" s="1831"/>
      <c r="BVH527" s="1831"/>
      <c r="BVI527" s="1831"/>
      <c r="BVJ527" s="1831"/>
      <c r="BVK527" s="1831"/>
      <c r="BVL527" s="1831"/>
      <c r="BVM527" s="1831"/>
      <c r="BVN527" s="1831"/>
      <c r="BVO527" s="1831"/>
      <c r="BVP527" s="1831"/>
      <c r="BVQ527" s="1831"/>
      <c r="BVR527" s="1831"/>
      <c r="BVS527" s="1831"/>
      <c r="BVT527" s="1831"/>
      <c r="BVU527" s="1831"/>
      <c r="BVV527" s="1831"/>
      <c r="BVW527" s="1831"/>
      <c r="BVX527" s="1831"/>
      <c r="BVY527" s="1831"/>
      <c r="BVZ527" s="1831"/>
      <c r="BWA527" s="1831"/>
      <c r="BWB527" s="1831"/>
      <c r="BWC527" s="1831"/>
      <c r="BWD527" s="1831"/>
      <c r="BWE527" s="1831"/>
      <c r="BWF527" s="1831"/>
      <c r="BWG527" s="1831"/>
      <c r="BWH527" s="1831"/>
      <c r="BWI527" s="1831"/>
      <c r="BWJ527" s="1831"/>
      <c r="BWK527" s="1831"/>
      <c r="BWL527" s="1831"/>
      <c r="BWM527" s="1831"/>
      <c r="BWN527" s="1831"/>
      <c r="BWO527" s="1831"/>
      <c r="BWP527" s="1831"/>
      <c r="BWQ527" s="1831"/>
      <c r="BWR527" s="1831"/>
      <c r="BWS527" s="1831"/>
      <c r="BWT527" s="1831"/>
      <c r="BWU527" s="1831"/>
      <c r="BWV527" s="1831"/>
      <c r="BWW527" s="1831"/>
      <c r="BWX527" s="1831"/>
      <c r="BWY527" s="1831"/>
      <c r="BWZ527" s="1831"/>
      <c r="BXA527" s="1831"/>
      <c r="BXB527" s="1831"/>
      <c r="BXC527" s="1831"/>
      <c r="BXD527" s="1831"/>
      <c r="BXE527" s="1831"/>
      <c r="BXF527" s="1831"/>
      <c r="BXG527" s="1831"/>
      <c r="BXH527" s="1831"/>
      <c r="BXI527" s="1831"/>
      <c r="BXJ527" s="1831"/>
      <c r="BXK527" s="1831"/>
      <c r="BXL527" s="1831"/>
      <c r="BXM527" s="1831"/>
      <c r="BXN527" s="1831"/>
      <c r="BXO527" s="1831"/>
      <c r="BXP527" s="1831"/>
      <c r="BXQ527" s="1831"/>
      <c r="BXR527" s="1831"/>
      <c r="BXS527" s="1831"/>
      <c r="BXT527" s="1831"/>
      <c r="BXU527" s="1831"/>
      <c r="BXV527" s="1831"/>
      <c r="BXW527" s="1831"/>
      <c r="BXX527" s="1831"/>
      <c r="BXY527" s="1831"/>
      <c r="BXZ527" s="1831"/>
      <c r="BYA527" s="1831"/>
      <c r="BYB527" s="1831"/>
      <c r="BYC527" s="1831"/>
      <c r="BYD527" s="1831"/>
      <c r="BYE527" s="1831"/>
      <c r="BYF527" s="1831"/>
      <c r="BYG527" s="1831"/>
      <c r="BYH527" s="1831"/>
      <c r="BYI527" s="1831"/>
      <c r="BYJ527" s="1831"/>
      <c r="BYK527" s="1831"/>
      <c r="BYL527" s="1831"/>
      <c r="BYM527" s="1831"/>
      <c r="BYN527" s="1831"/>
      <c r="BYO527" s="1831"/>
      <c r="BYP527" s="1831"/>
      <c r="BYQ527" s="1831"/>
      <c r="BYR527" s="1831"/>
      <c r="BYS527" s="1831"/>
      <c r="BYT527" s="1831"/>
      <c r="BYU527" s="1831"/>
      <c r="BYV527" s="1831"/>
      <c r="BYW527" s="1831"/>
      <c r="BYX527" s="1831"/>
      <c r="BYY527" s="1831"/>
      <c r="BYZ527" s="1831"/>
      <c r="BZA527" s="1831"/>
      <c r="BZB527" s="1831"/>
      <c r="BZC527" s="1831"/>
      <c r="BZD527" s="1831"/>
      <c r="BZE527" s="1831"/>
      <c r="BZF527" s="1831"/>
      <c r="BZG527" s="1831"/>
      <c r="BZH527" s="1831"/>
      <c r="BZI527" s="1831"/>
      <c r="BZJ527" s="1831"/>
      <c r="BZK527" s="1831"/>
      <c r="BZL527" s="1831"/>
      <c r="BZM527" s="1831"/>
      <c r="BZN527" s="1831"/>
      <c r="BZO527" s="1831"/>
      <c r="BZP527" s="1831"/>
      <c r="BZQ527" s="1831"/>
      <c r="BZR527" s="1831"/>
      <c r="BZS527" s="1831"/>
      <c r="BZT527" s="1831"/>
      <c r="BZU527" s="1831"/>
      <c r="BZV527" s="1831"/>
      <c r="BZW527" s="1831"/>
      <c r="BZX527" s="1831"/>
      <c r="BZY527" s="1831"/>
      <c r="BZZ527" s="1831"/>
      <c r="CAA527" s="1831"/>
      <c r="CAB527" s="1831"/>
      <c r="CAC527" s="1831"/>
      <c r="CAD527" s="1831"/>
      <c r="CAE527" s="1831"/>
      <c r="CAF527" s="1831"/>
      <c r="CAG527" s="1831"/>
      <c r="CAH527" s="1831"/>
      <c r="CAI527" s="1831"/>
      <c r="CAJ527" s="1831"/>
      <c r="CAK527" s="1831"/>
      <c r="CAL527" s="1831"/>
      <c r="CAM527" s="1831"/>
      <c r="CAN527" s="1831"/>
      <c r="CAO527" s="1831"/>
      <c r="CAP527" s="1831"/>
      <c r="CAQ527" s="1831"/>
      <c r="CAR527" s="1831"/>
      <c r="CAS527" s="1831"/>
      <c r="CAT527" s="1831"/>
      <c r="CAU527" s="1831"/>
      <c r="CAV527" s="1831"/>
      <c r="CAW527" s="1831"/>
      <c r="CAX527" s="1831"/>
      <c r="CAY527" s="1831"/>
      <c r="CAZ527" s="1831"/>
      <c r="CBA527" s="1831"/>
      <c r="CBB527" s="1831"/>
      <c r="CBC527" s="1831"/>
      <c r="CBD527" s="1831"/>
      <c r="CBE527" s="1831"/>
      <c r="CBF527" s="1831"/>
      <c r="CBG527" s="1831"/>
      <c r="CBH527" s="1831"/>
      <c r="CBI527" s="1831"/>
      <c r="CBJ527" s="1831"/>
      <c r="CBK527" s="1831"/>
      <c r="CBL527" s="1831"/>
      <c r="CBM527" s="1831"/>
      <c r="CBN527" s="1831"/>
      <c r="CBO527" s="1831"/>
      <c r="CBP527" s="1831"/>
      <c r="CBQ527" s="1831"/>
      <c r="CBR527" s="1831"/>
      <c r="CBS527" s="1831"/>
      <c r="CBT527" s="1831"/>
      <c r="CBU527" s="1831"/>
      <c r="CBV527" s="1831"/>
      <c r="CBW527" s="1831"/>
      <c r="CBX527" s="1831"/>
      <c r="CBY527" s="1831"/>
      <c r="CBZ527" s="1831"/>
      <c r="CCA527" s="1831"/>
      <c r="CCB527" s="1831"/>
      <c r="CCC527" s="1831"/>
      <c r="CCD527" s="1831"/>
      <c r="CCE527" s="1831"/>
      <c r="CCF527" s="1831"/>
      <c r="CCG527" s="1831"/>
      <c r="CCH527" s="1831"/>
      <c r="CCI527" s="1831"/>
      <c r="CCJ527" s="1831"/>
      <c r="CCK527" s="1831"/>
      <c r="CCL527" s="1831"/>
      <c r="CCM527" s="1831"/>
      <c r="CCN527" s="1831"/>
      <c r="CCO527" s="1831"/>
      <c r="CCP527" s="1831"/>
      <c r="CCQ527" s="1831"/>
      <c r="CCR527" s="1831"/>
      <c r="CCS527" s="1831"/>
      <c r="CCT527" s="1831"/>
      <c r="CCU527" s="1831"/>
      <c r="CCV527" s="1831"/>
      <c r="CCW527" s="1831"/>
      <c r="CCX527" s="1831"/>
      <c r="CCY527" s="1831"/>
      <c r="CCZ527" s="1831"/>
      <c r="CDA527" s="1831"/>
      <c r="CDB527" s="1831"/>
      <c r="CDC527" s="1831"/>
      <c r="CDD527" s="1831"/>
      <c r="CDE527" s="1831"/>
      <c r="CDF527" s="1831"/>
      <c r="CDG527" s="1831"/>
      <c r="CDH527" s="1831"/>
      <c r="CDI527" s="1831"/>
      <c r="CDJ527" s="1831"/>
      <c r="CDK527" s="1831"/>
      <c r="CDL527" s="1831"/>
      <c r="CDM527" s="1831"/>
      <c r="CDN527" s="1831"/>
      <c r="CDO527" s="1831"/>
      <c r="CDP527" s="1831"/>
      <c r="CDQ527" s="1831"/>
      <c r="CDR527" s="1831"/>
      <c r="CDS527" s="1831"/>
      <c r="CDT527" s="1831"/>
      <c r="CDU527" s="1831"/>
      <c r="CDV527" s="1831"/>
      <c r="CDW527" s="1831"/>
      <c r="CDX527" s="1831"/>
      <c r="CDY527" s="1831"/>
      <c r="CDZ527" s="1831"/>
      <c r="CEA527" s="1831"/>
      <c r="CEB527" s="1831"/>
      <c r="CEC527" s="1831"/>
      <c r="CED527" s="1831"/>
      <c r="CEE527" s="1831"/>
      <c r="CEF527" s="1831"/>
      <c r="CEG527" s="1831"/>
      <c r="CEH527" s="1831"/>
      <c r="CEI527" s="1831"/>
      <c r="CEJ527" s="1831"/>
      <c r="CEK527" s="1831"/>
      <c r="CEL527" s="1831"/>
      <c r="CEM527" s="1831"/>
      <c r="CEN527" s="1831"/>
      <c r="CEO527" s="1831"/>
      <c r="CEP527" s="1831"/>
      <c r="CEQ527" s="1831"/>
      <c r="CER527" s="1831"/>
      <c r="CES527" s="1831"/>
      <c r="CET527" s="1831"/>
      <c r="CEU527" s="1831"/>
      <c r="CEV527" s="1831"/>
      <c r="CEW527" s="1831"/>
      <c r="CEX527" s="1831"/>
      <c r="CEY527" s="1831"/>
      <c r="CEZ527" s="1831"/>
      <c r="CFA527" s="1831"/>
      <c r="CFB527" s="1831"/>
      <c r="CFC527" s="1831"/>
      <c r="CFD527" s="1831"/>
      <c r="CFE527" s="1831"/>
      <c r="CFF527" s="1831"/>
      <c r="CFG527" s="1831"/>
      <c r="CFH527" s="1831"/>
      <c r="CFI527" s="1831"/>
      <c r="CFJ527" s="1831"/>
      <c r="CFK527" s="1831"/>
      <c r="CFL527" s="1831"/>
      <c r="CFM527" s="1831"/>
      <c r="CFN527" s="1831"/>
      <c r="CFO527" s="1831"/>
      <c r="CFP527" s="1831"/>
      <c r="CFQ527" s="1831"/>
      <c r="CFR527" s="1831"/>
      <c r="CFS527" s="1831"/>
      <c r="CFT527" s="1831"/>
      <c r="CFU527" s="1831"/>
      <c r="CFV527" s="1831"/>
      <c r="CFW527" s="1831"/>
      <c r="CFX527" s="1831"/>
      <c r="CFY527" s="1831"/>
      <c r="CFZ527" s="1831"/>
      <c r="CGA527" s="1831"/>
      <c r="CGB527" s="1831"/>
      <c r="CGC527" s="1831"/>
      <c r="CGD527" s="1831"/>
      <c r="CGE527" s="1831"/>
      <c r="CGF527" s="1831"/>
      <c r="CGG527" s="1831"/>
      <c r="CGH527" s="1831"/>
      <c r="CGI527" s="1831"/>
      <c r="CGJ527" s="1831"/>
      <c r="CGK527" s="1831"/>
      <c r="CGL527" s="1831"/>
      <c r="CGM527" s="1831"/>
      <c r="CGN527" s="1831"/>
      <c r="CGO527" s="1831"/>
      <c r="CGP527" s="1831"/>
      <c r="CGQ527" s="1831"/>
      <c r="CGR527" s="1831"/>
      <c r="CGS527" s="1831"/>
      <c r="CGT527" s="1831"/>
      <c r="CGU527" s="1831"/>
      <c r="CGV527" s="1831"/>
      <c r="CGW527" s="1831"/>
      <c r="CGX527" s="1831"/>
      <c r="CGY527" s="1831"/>
      <c r="CGZ527" s="1831"/>
      <c r="CHA527" s="1831"/>
      <c r="CHB527" s="1831"/>
      <c r="CHC527" s="1831"/>
      <c r="CHD527" s="1831"/>
      <c r="CHE527" s="1831"/>
      <c r="CHF527" s="1831"/>
      <c r="CHG527" s="1831"/>
      <c r="CHH527" s="1831"/>
      <c r="CHI527" s="1831"/>
      <c r="CHJ527" s="1831"/>
      <c r="CHK527" s="1831"/>
      <c r="CHL527" s="1831"/>
      <c r="CHM527" s="1831"/>
      <c r="CHN527" s="1831"/>
      <c r="CHO527" s="1831"/>
      <c r="CHP527" s="1831"/>
      <c r="CHQ527" s="1831"/>
      <c r="CHR527" s="1831"/>
      <c r="CHS527" s="1831"/>
      <c r="CHT527" s="1831"/>
      <c r="CHU527" s="1831"/>
      <c r="CHV527" s="1831"/>
      <c r="CHW527" s="1831"/>
      <c r="CHX527" s="1831"/>
      <c r="CHY527" s="1831"/>
      <c r="CHZ527" s="1831"/>
      <c r="CIA527" s="1831"/>
      <c r="CIB527" s="1831"/>
      <c r="CIC527" s="1831"/>
      <c r="CID527" s="1831"/>
      <c r="CIE527" s="1831"/>
      <c r="CIF527" s="1831"/>
      <c r="CIG527" s="1831"/>
      <c r="CIH527" s="1831"/>
      <c r="CII527" s="1831"/>
      <c r="CIJ527" s="1831"/>
      <c r="CIK527" s="1831"/>
      <c r="CIL527" s="1831"/>
      <c r="CIM527" s="1831"/>
      <c r="CIN527" s="1831"/>
      <c r="CIO527" s="1831"/>
      <c r="CIP527" s="1831"/>
      <c r="CIQ527" s="1831"/>
      <c r="CIR527" s="1831"/>
      <c r="CIS527" s="1831"/>
      <c r="CIT527" s="1831"/>
      <c r="CIU527" s="1831"/>
      <c r="CIV527" s="1831"/>
      <c r="CIW527" s="1831"/>
      <c r="CIX527" s="1831"/>
      <c r="CIY527" s="1831"/>
      <c r="CIZ527" s="1831"/>
      <c r="CJA527" s="1831"/>
      <c r="CJB527" s="1831"/>
      <c r="CJC527" s="1831"/>
      <c r="CJD527" s="1831"/>
      <c r="CJE527" s="1831"/>
      <c r="CJF527" s="1831"/>
      <c r="CJG527" s="1831"/>
      <c r="CJH527" s="1831"/>
      <c r="CJI527" s="1831"/>
      <c r="CJJ527" s="1831"/>
      <c r="CJK527" s="1831"/>
      <c r="CJL527" s="1831"/>
      <c r="CJM527" s="1831"/>
      <c r="CJN527" s="1831"/>
      <c r="CJO527" s="1831"/>
      <c r="CJP527" s="1831"/>
      <c r="CJQ527" s="1831"/>
      <c r="CJR527" s="1831"/>
      <c r="CJS527" s="1831"/>
      <c r="CJT527" s="1831"/>
      <c r="CJU527" s="1831"/>
      <c r="CJV527" s="1831"/>
      <c r="CJW527" s="1831"/>
      <c r="CJX527" s="1831"/>
      <c r="CJY527" s="1831"/>
      <c r="CJZ527" s="1831"/>
      <c r="CKA527" s="1831"/>
      <c r="CKB527" s="1831"/>
      <c r="CKC527" s="1831"/>
      <c r="CKD527" s="1831"/>
      <c r="CKE527" s="1831"/>
      <c r="CKF527" s="1831"/>
      <c r="CKG527" s="1831"/>
      <c r="CKH527" s="1831"/>
      <c r="CKI527" s="1831"/>
      <c r="CKJ527" s="1831"/>
      <c r="CKK527" s="1831"/>
      <c r="CKL527" s="1831"/>
      <c r="CKM527" s="1831"/>
      <c r="CKN527" s="1831"/>
      <c r="CKO527" s="1831"/>
      <c r="CKP527" s="1831"/>
      <c r="CKQ527" s="1831"/>
      <c r="CKR527" s="1831"/>
      <c r="CKS527" s="1831"/>
      <c r="CKT527" s="1831"/>
      <c r="CKU527" s="1831"/>
      <c r="CKV527" s="1831"/>
      <c r="CKW527" s="1831"/>
      <c r="CKX527" s="1831"/>
      <c r="CKY527" s="1831"/>
      <c r="CKZ527" s="1831"/>
      <c r="CLA527" s="1831"/>
      <c r="CLB527" s="1831"/>
      <c r="CLC527" s="1831"/>
      <c r="CLD527" s="1831"/>
      <c r="CLE527" s="1831"/>
      <c r="CLF527" s="1831"/>
      <c r="CLG527" s="1831"/>
      <c r="CLH527" s="1831"/>
      <c r="CLI527" s="1831"/>
      <c r="CLJ527" s="1831"/>
      <c r="CLK527" s="1831"/>
      <c r="CLL527" s="1831"/>
      <c r="CLM527" s="1831"/>
      <c r="CLN527" s="1831"/>
      <c r="CLO527" s="1831"/>
      <c r="CLP527" s="1831"/>
      <c r="CLQ527" s="1831"/>
      <c r="CLR527" s="1831"/>
      <c r="CLS527" s="1831"/>
      <c r="CLT527" s="1831"/>
      <c r="CLU527" s="1831"/>
      <c r="CLV527" s="1831"/>
      <c r="CLW527" s="1831"/>
      <c r="CLX527" s="1831"/>
      <c r="CLY527" s="1831"/>
      <c r="CLZ527" s="1831"/>
      <c r="CMA527" s="1831"/>
      <c r="CMB527" s="1831"/>
      <c r="CMC527" s="1831"/>
      <c r="CMD527" s="1831"/>
      <c r="CME527" s="1831"/>
      <c r="CMF527" s="1831"/>
      <c r="CMG527" s="1831"/>
      <c r="CMH527" s="1831"/>
      <c r="CMI527" s="1831"/>
      <c r="CMJ527" s="1831"/>
      <c r="CMK527" s="1831"/>
      <c r="CML527" s="1831"/>
      <c r="CMM527" s="1831"/>
      <c r="CMN527" s="1831"/>
      <c r="CMO527" s="1831"/>
      <c r="CMP527" s="1831"/>
      <c r="CMQ527" s="1831"/>
      <c r="CMR527" s="1831"/>
      <c r="CMS527" s="1831"/>
      <c r="CMT527" s="1831"/>
      <c r="CMU527" s="1831"/>
      <c r="CMV527" s="1831"/>
      <c r="CMW527" s="1831"/>
      <c r="CMX527" s="1831"/>
      <c r="CMY527" s="1831"/>
      <c r="CMZ527" s="1831"/>
      <c r="CNA527" s="1831"/>
      <c r="CNB527" s="1831"/>
      <c r="CNC527" s="1831"/>
      <c r="CND527" s="1831"/>
      <c r="CNE527" s="1831"/>
      <c r="CNF527" s="1831"/>
      <c r="CNG527" s="1831"/>
      <c r="CNH527" s="1831"/>
      <c r="CNI527" s="1831"/>
      <c r="CNJ527" s="1831"/>
      <c r="CNK527" s="1831"/>
      <c r="CNL527" s="1831"/>
      <c r="CNM527" s="1831"/>
      <c r="CNN527" s="1831"/>
      <c r="CNO527" s="1831"/>
      <c r="CNP527" s="1831"/>
      <c r="CNQ527" s="1831"/>
      <c r="CNR527" s="1831"/>
      <c r="CNS527" s="1831"/>
      <c r="CNT527" s="1831"/>
      <c r="CNU527" s="1831"/>
      <c r="CNV527" s="1831"/>
      <c r="CNW527" s="1831"/>
      <c r="CNX527" s="1831"/>
      <c r="CNY527" s="1831"/>
      <c r="CNZ527" s="1831"/>
      <c r="COA527" s="1831"/>
      <c r="COB527" s="1831"/>
      <c r="COC527" s="1831"/>
      <c r="COD527" s="1831"/>
      <c r="COE527" s="1831"/>
      <c r="COF527" s="1831"/>
      <c r="COG527" s="1831"/>
      <c r="COH527" s="1831"/>
      <c r="COI527" s="1831"/>
      <c r="COJ527" s="1831"/>
      <c r="COK527" s="1831"/>
      <c r="COL527" s="1831"/>
      <c r="COM527" s="1831"/>
      <c r="CON527" s="1831"/>
      <c r="COO527" s="1831"/>
      <c r="COP527" s="1831"/>
      <c r="COQ527" s="1831"/>
      <c r="COR527" s="1831"/>
      <c r="COS527" s="1831"/>
      <c r="COT527" s="1831"/>
      <c r="COU527" s="1831"/>
      <c r="COV527" s="1831"/>
      <c r="COW527" s="1831"/>
      <c r="COX527" s="1831"/>
      <c r="COY527" s="1831"/>
      <c r="COZ527" s="1831"/>
      <c r="CPA527" s="1831"/>
      <c r="CPB527" s="1831"/>
      <c r="CPC527" s="1831"/>
      <c r="CPD527" s="1831"/>
      <c r="CPE527" s="1831"/>
      <c r="CPF527" s="1831"/>
      <c r="CPG527" s="1831"/>
      <c r="CPH527" s="1831"/>
      <c r="CPI527" s="1831"/>
      <c r="CPJ527" s="1831"/>
      <c r="CPK527" s="1831"/>
      <c r="CPL527" s="1831"/>
      <c r="CPM527" s="1831"/>
      <c r="CPN527" s="1831"/>
      <c r="CPO527" s="1831"/>
      <c r="CPP527" s="1831"/>
      <c r="CPQ527" s="1831"/>
      <c r="CPR527" s="1831"/>
      <c r="CPS527" s="1831"/>
      <c r="CPT527" s="1831"/>
      <c r="CPU527" s="1831"/>
      <c r="CPV527" s="1831"/>
      <c r="CPW527" s="1831"/>
      <c r="CPX527" s="1831"/>
      <c r="CPY527" s="1831"/>
      <c r="CPZ527" s="1831"/>
      <c r="CQA527" s="1831"/>
      <c r="CQB527" s="1831"/>
      <c r="CQC527" s="1831"/>
      <c r="CQD527" s="1831"/>
      <c r="CQE527" s="1831"/>
      <c r="CQF527" s="1831"/>
      <c r="CQG527" s="1831"/>
      <c r="CQH527" s="1831"/>
      <c r="CQI527" s="1831"/>
      <c r="CQJ527" s="1831"/>
      <c r="CQK527" s="1831"/>
      <c r="CQL527" s="1831"/>
      <c r="CQM527" s="1831"/>
      <c r="CQN527" s="1831"/>
      <c r="CQO527" s="1831"/>
      <c r="CQP527" s="1831"/>
      <c r="CQQ527" s="1831"/>
      <c r="CQR527" s="1831"/>
      <c r="CQS527" s="1831"/>
      <c r="CQT527" s="1831"/>
      <c r="CQU527" s="1831"/>
      <c r="CQV527" s="1831"/>
      <c r="CQW527" s="1831"/>
      <c r="CQX527" s="1831"/>
      <c r="CQY527" s="1831"/>
      <c r="CQZ527" s="1831"/>
      <c r="CRA527" s="1831"/>
      <c r="CRB527" s="1831"/>
      <c r="CRC527" s="1831"/>
      <c r="CRD527" s="1831"/>
      <c r="CRE527" s="1831"/>
      <c r="CRF527" s="1831"/>
      <c r="CRG527" s="1831"/>
      <c r="CRH527" s="1831"/>
      <c r="CRI527" s="1831"/>
      <c r="CRJ527" s="1831"/>
      <c r="CRK527" s="1831"/>
      <c r="CRL527" s="1831"/>
      <c r="CRM527" s="1831"/>
      <c r="CRN527" s="1831"/>
      <c r="CRO527" s="1831"/>
      <c r="CRP527" s="1831"/>
      <c r="CRQ527" s="1831"/>
      <c r="CRR527" s="1831"/>
      <c r="CRS527" s="1831"/>
      <c r="CRT527" s="1831"/>
      <c r="CRU527" s="1831"/>
      <c r="CRV527" s="1831"/>
      <c r="CRW527" s="1831"/>
      <c r="CRX527" s="1831"/>
      <c r="CRY527" s="1831"/>
      <c r="CRZ527" s="1831"/>
      <c r="CSA527" s="1831"/>
      <c r="CSB527" s="1831"/>
      <c r="CSC527" s="1831"/>
      <c r="CSD527" s="1831"/>
      <c r="CSE527" s="1831"/>
      <c r="CSF527" s="1831"/>
      <c r="CSG527" s="1831"/>
      <c r="CSH527" s="1831"/>
      <c r="CSI527" s="1831"/>
      <c r="CSJ527" s="1831"/>
      <c r="CSK527" s="1831"/>
      <c r="CSL527" s="1831"/>
      <c r="CSM527" s="1831"/>
      <c r="CSN527" s="1831"/>
      <c r="CSO527" s="1831"/>
      <c r="CSP527" s="1831"/>
      <c r="CSQ527" s="1831"/>
      <c r="CSR527" s="1831"/>
      <c r="CSS527" s="1831"/>
      <c r="CST527" s="1831"/>
      <c r="CSU527" s="1831"/>
      <c r="CSV527" s="1831"/>
      <c r="CSW527" s="1831"/>
      <c r="CSX527" s="1831"/>
      <c r="CSY527" s="1831"/>
      <c r="CSZ527" s="1831"/>
      <c r="CTA527" s="1831"/>
      <c r="CTB527" s="1831"/>
      <c r="CTC527" s="1831"/>
      <c r="CTD527" s="1831"/>
      <c r="CTE527" s="1831"/>
      <c r="CTF527" s="1831"/>
      <c r="CTG527" s="1831"/>
      <c r="CTH527" s="1831"/>
      <c r="CTI527" s="1831"/>
      <c r="CTJ527" s="1831"/>
      <c r="CTK527" s="1831"/>
      <c r="CTL527" s="1831"/>
      <c r="CTM527" s="1831"/>
      <c r="CTN527" s="1831"/>
      <c r="CTO527" s="1831"/>
      <c r="CTP527" s="1831"/>
      <c r="CTQ527" s="1831"/>
      <c r="CTR527" s="1831"/>
      <c r="CTS527" s="1831"/>
      <c r="CTT527" s="1831"/>
      <c r="CTU527" s="1831"/>
      <c r="CTV527" s="1831"/>
      <c r="CTW527" s="1831"/>
      <c r="CTX527" s="1831"/>
      <c r="CTY527" s="1831"/>
      <c r="CTZ527" s="1831"/>
      <c r="CUA527" s="1831"/>
      <c r="CUB527" s="1831"/>
      <c r="CUC527" s="1831"/>
      <c r="CUD527" s="1831"/>
      <c r="CUE527" s="1831"/>
      <c r="CUF527" s="1831"/>
      <c r="CUG527" s="1831"/>
      <c r="CUH527" s="1831"/>
      <c r="CUI527" s="1831"/>
      <c r="CUJ527" s="1831"/>
      <c r="CUK527" s="1831"/>
      <c r="CUL527" s="1831"/>
      <c r="CUM527" s="1831"/>
      <c r="CUN527" s="1831"/>
      <c r="CUO527" s="1831"/>
      <c r="CUP527" s="1831"/>
      <c r="CUQ527" s="1831"/>
      <c r="CUR527" s="1831"/>
      <c r="CUS527" s="1831"/>
      <c r="CUT527" s="1831"/>
      <c r="CUU527" s="1831"/>
      <c r="CUV527" s="1831"/>
      <c r="CUW527" s="1831"/>
      <c r="CUX527" s="1831"/>
      <c r="CUY527" s="1831"/>
      <c r="CUZ527" s="1831"/>
      <c r="CVA527" s="1831"/>
      <c r="CVB527" s="1831"/>
      <c r="CVC527" s="1831"/>
      <c r="CVD527" s="1831"/>
      <c r="CVE527" s="1831"/>
      <c r="CVF527" s="1831"/>
      <c r="CVG527" s="1831"/>
      <c r="CVH527" s="1831"/>
      <c r="CVI527" s="1831"/>
      <c r="CVJ527" s="1831"/>
      <c r="CVK527" s="1831"/>
      <c r="CVL527" s="1831"/>
      <c r="CVM527" s="1831"/>
      <c r="CVN527" s="1831"/>
      <c r="CVO527" s="1831"/>
      <c r="CVP527" s="1831"/>
      <c r="CVQ527" s="1831"/>
      <c r="CVR527" s="1831"/>
      <c r="CVS527" s="1831"/>
      <c r="CVT527" s="1831"/>
      <c r="CVU527" s="1831"/>
      <c r="CVV527" s="1831"/>
      <c r="CVW527" s="1831"/>
      <c r="CVX527" s="1831"/>
      <c r="CVY527" s="1831"/>
      <c r="CVZ527" s="1831"/>
      <c r="CWA527" s="1831"/>
      <c r="CWB527" s="1831"/>
      <c r="CWC527" s="1831"/>
      <c r="CWD527" s="1831"/>
      <c r="CWE527" s="1831"/>
      <c r="CWF527" s="1831"/>
      <c r="CWG527" s="1831"/>
      <c r="CWH527" s="1831"/>
      <c r="CWI527" s="1831"/>
      <c r="CWJ527" s="1831"/>
      <c r="CWK527" s="1831"/>
      <c r="CWL527" s="1831"/>
      <c r="CWM527" s="1831"/>
      <c r="CWN527" s="1831"/>
      <c r="CWO527" s="1831"/>
      <c r="CWP527" s="1831"/>
      <c r="CWQ527" s="1831"/>
      <c r="CWR527" s="1831"/>
      <c r="CWS527" s="1831"/>
      <c r="CWT527" s="1831"/>
      <c r="CWU527" s="1831"/>
      <c r="CWV527" s="1831"/>
      <c r="CWW527" s="1831"/>
      <c r="CWX527" s="1831"/>
      <c r="CWY527" s="1831"/>
      <c r="CWZ527" s="1831"/>
      <c r="CXA527" s="1831"/>
      <c r="CXB527" s="1831"/>
      <c r="CXC527" s="1831"/>
      <c r="CXD527" s="1831"/>
      <c r="CXE527" s="1831"/>
      <c r="CXF527" s="1831"/>
      <c r="CXG527" s="1831"/>
      <c r="CXH527" s="1831"/>
      <c r="CXI527" s="1831"/>
      <c r="CXJ527" s="1831"/>
      <c r="CXK527" s="1831"/>
      <c r="CXL527" s="1831"/>
      <c r="CXM527" s="1831"/>
      <c r="CXN527" s="1831"/>
      <c r="CXO527" s="1831"/>
      <c r="CXP527" s="1831"/>
      <c r="CXQ527" s="1831"/>
      <c r="CXR527" s="1831"/>
      <c r="CXS527" s="1831"/>
      <c r="CXT527" s="1831"/>
      <c r="CXU527" s="1831"/>
      <c r="CXV527" s="1831"/>
      <c r="CXW527" s="1831"/>
      <c r="CXX527" s="1831"/>
      <c r="CXY527" s="1831"/>
      <c r="CXZ527" s="1831"/>
      <c r="CYA527" s="1831"/>
      <c r="CYB527" s="1831"/>
      <c r="CYC527" s="1831"/>
      <c r="CYD527" s="1831"/>
      <c r="CYE527" s="1831"/>
      <c r="CYF527" s="1831"/>
      <c r="CYG527" s="1831"/>
      <c r="CYH527" s="1831"/>
      <c r="CYI527" s="1831"/>
      <c r="CYJ527" s="1831"/>
      <c r="CYK527" s="1831"/>
      <c r="CYL527" s="1831"/>
      <c r="CYM527" s="1831"/>
      <c r="CYN527" s="1831"/>
      <c r="CYO527" s="1831"/>
      <c r="CYP527" s="1831"/>
      <c r="CYQ527" s="1831"/>
      <c r="CYR527" s="1831"/>
      <c r="CYS527" s="1831"/>
      <c r="CYT527" s="1831"/>
      <c r="CYU527" s="1831"/>
      <c r="CYV527" s="1831"/>
      <c r="CYW527" s="1831"/>
      <c r="CYX527" s="1831"/>
      <c r="CYY527" s="1831"/>
      <c r="CYZ527" s="1831"/>
      <c r="CZA527" s="1831"/>
      <c r="CZB527" s="1831"/>
      <c r="CZC527" s="1831"/>
      <c r="CZD527" s="1831"/>
      <c r="CZE527" s="1831"/>
      <c r="CZF527" s="1831"/>
      <c r="CZG527" s="1831"/>
      <c r="CZH527" s="1831"/>
      <c r="CZI527" s="1831"/>
      <c r="CZJ527" s="1831"/>
      <c r="CZK527" s="1831"/>
      <c r="CZL527" s="1831"/>
      <c r="CZM527" s="1831"/>
      <c r="CZN527" s="1831"/>
      <c r="CZO527" s="1831"/>
      <c r="CZP527" s="1831"/>
      <c r="CZQ527" s="1831"/>
      <c r="CZR527" s="1831"/>
      <c r="CZS527" s="1831"/>
      <c r="CZT527" s="1831"/>
      <c r="CZU527" s="1831"/>
      <c r="CZV527" s="1831"/>
      <c r="CZW527" s="1831"/>
      <c r="CZX527" s="1831"/>
      <c r="CZY527" s="1831"/>
      <c r="CZZ527" s="1831"/>
      <c r="DAA527" s="1831"/>
      <c r="DAB527" s="1831"/>
      <c r="DAC527" s="1831"/>
      <c r="DAD527" s="1831"/>
      <c r="DAE527" s="1831"/>
      <c r="DAF527" s="1831"/>
      <c r="DAG527" s="1831"/>
      <c r="DAH527" s="1831"/>
      <c r="DAI527" s="1831"/>
      <c r="DAJ527" s="1831"/>
      <c r="DAK527" s="1831"/>
      <c r="DAL527" s="1831"/>
      <c r="DAM527" s="1831"/>
      <c r="DAN527" s="1831"/>
      <c r="DAO527" s="1831"/>
      <c r="DAP527" s="1831"/>
      <c r="DAQ527" s="1831"/>
      <c r="DAR527" s="1831"/>
      <c r="DAS527" s="1831"/>
      <c r="DAT527" s="1831"/>
      <c r="DAU527" s="1831"/>
      <c r="DAV527" s="1831"/>
      <c r="DAW527" s="1831"/>
      <c r="DAX527" s="1831"/>
      <c r="DAY527" s="1831"/>
      <c r="DAZ527" s="1831"/>
      <c r="DBA527" s="1831"/>
      <c r="DBB527" s="1831"/>
      <c r="DBC527" s="1831"/>
      <c r="DBD527" s="1831"/>
      <c r="DBE527" s="1831"/>
      <c r="DBF527" s="1831"/>
      <c r="DBG527" s="1831"/>
      <c r="DBH527" s="1831"/>
      <c r="DBI527" s="1831"/>
      <c r="DBJ527" s="1831"/>
      <c r="DBK527" s="1831"/>
      <c r="DBL527" s="1831"/>
      <c r="DBM527" s="1831"/>
      <c r="DBN527" s="1831"/>
      <c r="DBO527" s="1831"/>
      <c r="DBP527" s="1831"/>
      <c r="DBQ527" s="1831"/>
      <c r="DBR527" s="1831"/>
      <c r="DBS527" s="1831"/>
      <c r="DBT527" s="1831"/>
      <c r="DBU527" s="1831"/>
      <c r="DBV527" s="1831"/>
      <c r="DBW527" s="1831"/>
      <c r="DBX527" s="1831"/>
      <c r="DBY527" s="1831"/>
      <c r="DBZ527" s="1831"/>
      <c r="DCA527" s="1831"/>
      <c r="DCB527" s="1831"/>
      <c r="DCC527" s="1831"/>
      <c r="DCD527" s="1831"/>
      <c r="DCE527" s="1831"/>
      <c r="DCF527" s="1831"/>
      <c r="DCG527" s="1831"/>
      <c r="DCH527" s="1831"/>
      <c r="DCI527" s="1831"/>
      <c r="DCJ527" s="1831"/>
      <c r="DCK527" s="1831"/>
      <c r="DCL527" s="1831"/>
      <c r="DCM527" s="1831"/>
      <c r="DCN527" s="1831"/>
      <c r="DCO527" s="1831"/>
      <c r="DCP527" s="1831"/>
      <c r="DCQ527" s="1831"/>
      <c r="DCR527" s="1831"/>
      <c r="DCS527" s="1831"/>
      <c r="DCT527" s="1831"/>
      <c r="DCU527" s="1831"/>
      <c r="DCV527" s="1831"/>
      <c r="DCW527" s="1831"/>
      <c r="DCX527" s="1831"/>
      <c r="DCY527" s="1831"/>
      <c r="DCZ527" s="1831"/>
      <c r="DDA527" s="1831"/>
      <c r="DDB527" s="1831"/>
      <c r="DDC527" s="1831"/>
      <c r="DDD527" s="1831"/>
      <c r="DDE527" s="1831"/>
      <c r="DDF527" s="1831"/>
      <c r="DDG527" s="1831"/>
      <c r="DDH527" s="1831"/>
      <c r="DDI527" s="1831"/>
      <c r="DDJ527" s="1831"/>
      <c r="DDK527" s="1831"/>
      <c r="DDL527" s="1831"/>
      <c r="DDM527" s="1831"/>
      <c r="DDN527" s="1831"/>
      <c r="DDO527" s="1831"/>
      <c r="DDP527" s="1831"/>
      <c r="DDQ527" s="1831"/>
      <c r="DDR527" s="1831"/>
      <c r="DDS527" s="1831"/>
      <c r="DDT527" s="1831"/>
      <c r="DDU527" s="1831"/>
      <c r="DDV527" s="1831"/>
      <c r="DDW527" s="1831"/>
      <c r="DDX527" s="1831"/>
      <c r="DDY527" s="1831"/>
      <c r="DDZ527" s="1831"/>
      <c r="DEA527" s="1831"/>
      <c r="DEB527" s="1831"/>
      <c r="DEC527" s="1831"/>
      <c r="DED527" s="1831"/>
      <c r="DEE527" s="1831"/>
      <c r="DEF527" s="1831"/>
      <c r="DEG527" s="1831"/>
      <c r="DEH527" s="1831"/>
      <c r="DEI527" s="1831"/>
      <c r="DEJ527" s="1831"/>
      <c r="DEK527" s="1831"/>
      <c r="DEL527" s="1831"/>
      <c r="DEM527" s="1831"/>
      <c r="DEN527" s="1831"/>
      <c r="DEO527" s="1831"/>
      <c r="DEP527" s="1831"/>
      <c r="DEQ527" s="1831"/>
      <c r="DER527" s="1831"/>
      <c r="DES527" s="1831"/>
      <c r="DET527" s="1831"/>
      <c r="DEU527" s="1831"/>
      <c r="DEV527" s="1831"/>
      <c r="DEW527" s="1831"/>
      <c r="DEX527" s="1831"/>
      <c r="DEY527" s="1831"/>
      <c r="DEZ527" s="1831"/>
      <c r="DFA527" s="1831"/>
      <c r="DFB527" s="1831"/>
      <c r="DFC527" s="1831"/>
      <c r="DFD527" s="1831"/>
      <c r="DFE527" s="1831"/>
      <c r="DFF527" s="1831"/>
      <c r="DFG527" s="1831"/>
      <c r="DFH527" s="1831"/>
      <c r="DFI527" s="1831"/>
      <c r="DFJ527" s="1831"/>
      <c r="DFK527" s="1831"/>
      <c r="DFL527" s="1831"/>
      <c r="DFM527" s="1831"/>
      <c r="DFN527" s="1831"/>
      <c r="DFO527" s="1831"/>
      <c r="DFP527" s="1831"/>
      <c r="DFQ527" s="1831"/>
      <c r="DFR527" s="1831"/>
      <c r="DFS527" s="1831"/>
      <c r="DFT527" s="1831"/>
      <c r="DFU527" s="1831"/>
      <c r="DFV527" s="1831"/>
      <c r="DFW527" s="1831"/>
      <c r="DFX527" s="1831"/>
      <c r="DFY527" s="1831"/>
      <c r="DFZ527" s="1831"/>
      <c r="DGA527" s="1831"/>
      <c r="DGB527" s="1831"/>
      <c r="DGC527" s="1831"/>
      <c r="DGD527" s="1831"/>
      <c r="DGE527" s="1831"/>
      <c r="DGF527" s="1831"/>
      <c r="DGG527" s="1831"/>
      <c r="DGH527" s="1831"/>
      <c r="DGI527" s="1831"/>
      <c r="DGJ527" s="1831"/>
      <c r="DGK527" s="1831"/>
      <c r="DGL527" s="1831"/>
      <c r="DGM527" s="1831"/>
      <c r="DGN527" s="1831"/>
      <c r="DGO527" s="1831"/>
      <c r="DGP527" s="1831"/>
      <c r="DGQ527" s="1831"/>
      <c r="DGR527" s="1831"/>
      <c r="DGS527" s="1831"/>
      <c r="DGT527" s="1831"/>
      <c r="DGU527" s="1831"/>
      <c r="DGV527" s="1831"/>
      <c r="DGW527" s="1831"/>
      <c r="DGX527" s="1831"/>
      <c r="DGY527" s="1831"/>
      <c r="DGZ527" s="1831"/>
      <c r="DHA527" s="1831"/>
      <c r="DHB527" s="1831"/>
      <c r="DHC527" s="1831"/>
      <c r="DHD527" s="1831"/>
      <c r="DHE527" s="1831"/>
      <c r="DHF527" s="1831"/>
      <c r="DHG527" s="1831"/>
      <c r="DHH527" s="1831"/>
      <c r="DHI527" s="1831"/>
      <c r="DHJ527" s="1831"/>
      <c r="DHK527" s="1831"/>
      <c r="DHL527" s="1831"/>
      <c r="DHM527" s="1831"/>
      <c r="DHN527" s="1831"/>
      <c r="DHO527" s="1831"/>
      <c r="DHP527" s="1831"/>
      <c r="DHQ527" s="1831"/>
      <c r="DHR527" s="1831"/>
      <c r="DHS527" s="1831"/>
      <c r="DHT527" s="1831"/>
      <c r="DHU527" s="1831"/>
      <c r="DHV527" s="1831"/>
      <c r="DHW527" s="1831"/>
      <c r="DHX527" s="1831"/>
      <c r="DHY527" s="1831"/>
      <c r="DHZ527" s="1831"/>
      <c r="DIA527" s="1831"/>
      <c r="DIB527" s="1831"/>
      <c r="DIC527" s="1831"/>
      <c r="DID527" s="1831"/>
      <c r="DIE527" s="1831"/>
      <c r="DIF527" s="1831"/>
      <c r="DIG527" s="1831"/>
      <c r="DIH527" s="1831"/>
      <c r="DII527" s="1831"/>
      <c r="DIJ527" s="1831"/>
      <c r="DIK527" s="1831"/>
      <c r="DIL527" s="1831"/>
      <c r="DIM527" s="1831"/>
      <c r="DIN527" s="1831"/>
      <c r="DIO527" s="1831"/>
      <c r="DIP527" s="1831"/>
      <c r="DIQ527" s="1831"/>
      <c r="DIR527" s="1831"/>
      <c r="DIS527" s="1831"/>
      <c r="DIT527" s="1831"/>
      <c r="DIU527" s="1831"/>
      <c r="DIV527" s="1831"/>
      <c r="DIW527" s="1831"/>
      <c r="DIX527" s="1831"/>
      <c r="DIY527" s="1831"/>
      <c r="DIZ527" s="1831"/>
      <c r="DJA527" s="1831"/>
      <c r="DJB527" s="1831"/>
      <c r="DJC527" s="1831"/>
      <c r="DJD527" s="1831"/>
      <c r="DJE527" s="1831"/>
      <c r="DJF527" s="1831"/>
      <c r="DJG527" s="1831"/>
      <c r="DJH527" s="1831"/>
      <c r="DJI527" s="1831"/>
      <c r="DJJ527" s="1831"/>
      <c r="DJK527" s="1831"/>
      <c r="DJL527" s="1831"/>
      <c r="DJM527" s="1831"/>
      <c r="DJN527" s="1831"/>
      <c r="DJO527" s="1831"/>
      <c r="DJP527" s="1831"/>
      <c r="DJQ527" s="1831"/>
      <c r="DJR527" s="1831"/>
      <c r="DJS527" s="1831"/>
      <c r="DJT527" s="1831"/>
      <c r="DJU527" s="1831"/>
      <c r="DJV527" s="1831"/>
      <c r="DJW527" s="1831"/>
      <c r="DJX527" s="1831"/>
      <c r="DJY527" s="1831"/>
      <c r="DJZ527" s="1831"/>
      <c r="DKA527" s="1831"/>
      <c r="DKB527" s="1831"/>
      <c r="DKC527" s="1831"/>
      <c r="DKD527" s="1831"/>
      <c r="DKE527" s="1831"/>
      <c r="DKF527" s="1831"/>
      <c r="DKG527" s="1831"/>
      <c r="DKH527" s="1831"/>
      <c r="DKI527" s="1831"/>
      <c r="DKJ527" s="1831"/>
      <c r="DKK527" s="1831"/>
      <c r="DKL527" s="1831"/>
      <c r="DKM527" s="1831"/>
      <c r="DKN527" s="1831"/>
      <c r="DKO527" s="1831"/>
      <c r="DKP527" s="1831"/>
      <c r="DKQ527" s="1831"/>
      <c r="DKR527" s="1831"/>
      <c r="DKS527" s="1831"/>
      <c r="DKT527" s="1831"/>
      <c r="DKU527" s="1831"/>
      <c r="DKV527" s="1831"/>
      <c r="DKW527" s="1831"/>
      <c r="DKX527" s="1831"/>
      <c r="DKY527" s="1831"/>
      <c r="DKZ527" s="1831"/>
      <c r="DLA527" s="1831"/>
      <c r="DLB527" s="1831"/>
      <c r="DLC527" s="1831"/>
      <c r="DLD527" s="1831"/>
      <c r="DLE527" s="1831"/>
      <c r="DLF527" s="1831"/>
      <c r="DLG527" s="1831"/>
      <c r="DLH527" s="1831"/>
      <c r="DLI527" s="1831"/>
      <c r="DLJ527" s="1831"/>
      <c r="DLK527" s="1831"/>
      <c r="DLL527" s="1831"/>
      <c r="DLM527" s="1831"/>
      <c r="DLN527" s="1831"/>
      <c r="DLO527" s="1831"/>
      <c r="DLP527" s="1831"/>
      <c r="DLQ527" s="1831"/>
      <c r="DLR527" s="1831"/>
      <c r="DLS527" s="1831"/>
      <c r="DLT527" s="1831"/>
      <c r="DLU527" s="1831"/>
      <c r="DLV527" s="1831"/>
      <c r="DLW527" s="1831"/>
      <c r="DLX527" s="1831"/>
      <c r="DLY527" s="1831"/>
      <c r="DLZ527" s="1831"/>
      <c r="DMA527" s="1831"/>
      <c r="DMB527" s="1831"/>
      <c r="DMC527" s="1831"/>
      <c r="DMD527" s="1831"/>
      <c r="DME527" s="1831"/>
      <c r="DMF527" s="1831"/>
      <c r="DMG527" s="1831"/>
      <c r="DMH527" s="1831"/>
      <c r="DMI527" s="1831"/>
      <c r="DMJ527" s="1831"/>
      <c r="DMK527" s="1831"/>
      <c r="DML527" s="1831"/>
      <c r="DMM527" s="1831"/>
      <c r="DMN527" s="1831"/>
      <c r="DMO527" s="1831"/>
      <c r="DMP527" s="1831"/>
      <c r="DMQ527" s="1831"/>
      <c r="DMR527" s="1831"/>
      <c r="DMS527" s="1831"/>
      <c r="DMT527" s="1831"/>
      <c r="DMU527" s="1831"/>
      <c r="DMV527" s="1831"/>
      <c r="DMW527" s="1831"/>
      <c r="DMX527" s="1831"/>
      <c r="DMY527" s="1831"/>
      <c r="DMZ527" s="1831"/>
      <c r="DNA527" s="1831"/>
      <c r="DNB527" s="1831"/>
      <c r="DNC527" s="1831"/>
      <c r="DND527" s="1831"/>
      <c r="DNE527" s="1831"/>
      <c r="DNF527" s="1831"/>
      <c r="DNG527" s="1831"/>
      <c r="DNH527" s="1831"/>
      <c r="DNI527" s="1831"/>
      <c r="DNJ527" s="1831"/>
      <c r="DNK527" s="1831"/>
      <c r="DNL527" s="1831"/>
      <c r="DNM527" s="1831"/>
      <c r="DNN527" s="1831"/>
      <c r="DNO527" s="1831"/>
      <c r="DNP527" s="1831"/>
      <c r="DNQ527" s="1831"/>
      <c r="DNR527" s="1831"/>
      <c r="DNS527" s="1831"/>
      <c r="DNT527" s="1831"/>
      <c r="DNU527" s="1831"/>
      <c r="DNV527" s="1831"/>
      <c r="DNW527" s="1831"/>
      <c r="DNX527" s="1831"/>
      <c r="DNY527" s="1831"/>
      <c r="DNZ527" s="1831"/>
      <c r="DOA527" s="1831"/>
      <c r="DOB527" s="1831"/>
      <c r="DOC527" s="1831"/>
      <c r="DOD527" s="1831"/>
      <c r="DOE527" s="1831"/>
      <c r="DOF527" s="1831"/>
      <c r="DOG527" s="1831"/>
      <c r="DOH527" s="1831"/>
      <c r="DOI527" s="1831"/>
      <c r="DOJ527" s="1831"/>
      <c r="DOK527" s="1831"/>
      <c r="DOL527" s="1831"/>
      <c r="DOM527" s="1831"/>
      <c r="DON527" s="1831"/>
      <c r="DOO527" s="1831"/>
      <c r="DOP527" s="1831"/>
      <c r="DOQ527" s="1831"/>
      <c r="DOR527" s="1831"/>
      <c r="DOS527" s="1831"/>
      <c r="DOT527" s="1831"/>
      <c r="DOU527" s="1831"/>
      <c r="DOV527" s="1831"/>
      <c r="DOW527" s="1831"/>
      <c r="DOX527" s="1831"/>
      <c r="DOY527" s="1831"/>
      <c r="DOZ527" s="1831"/>
      <c r="DPA527" s="1831"/>
      <c r="DPB527" s="1831"/>
      <c r="DPC527" s="1831"/>
      <c r="DPD527" s="1831"/>
      <c r="DPE527" s="1831"/>
      <c r="DPF527" s="1831"/>
      <c r="DPG527" s="1831"/>
      <c r="DPH527" s="1831"/>
      <c r="DPI527" s="1831"/>
      <c r="DPJ527" s="1831"/>
      <c r="DPK527" s="1831"/>
      <c r="DPL527" s="1831"/>
      <c r="DPM527" s="1831"/>
      <c r="DPN527" s="1831"/>
      <c r="DPO527" s="1831"/>
      <c r="DPP527" s="1831"/>
      <c r="DPQ527" s="1831"/>
      <c r="DPR527" s="1831"/>
      <c r="DPS527" s="1831"/>
      <c r="DPT527" s="1831"/>
      <c r="DPU527" s="1831"/>
      <c r="DPV527" s="1831"/>
      <c r="DPW527" s="1831"/>
      <c r="DPX527" s="1831"/>
      <c r="DPY527" s="1831"/>
      <c r="DPZ527" s="1831"/>
      <c r="DQA527" s="1831"/>
      <c r="DQB527" s="1831"/>
      <c r="DQC527" s="1831"/>
      <c r="DQD527" s="1831"/>
      <c r="DQE527" s="1831"/>
      <c r="DQF527" s="1831"/>
      <c r="DQG527" s="1831"/>
      <c r="DQH527" s="1831"/>
      <c r="DQI527" s="1831"/>
      <c r="DQJ527" s="1831"/>
      <c r="DQK527" s="1831"/>
      <c r="DQL527" s="1831"/>
      <c r="DQM527" s="1831"/>
      <c r="DQN527" s="1831"/>
      <c r="DQO527" s="1831"/>
      <c r="DQP527" s="1831"/>
      <c r="DQQ527" s="1831"/>
      <c r="DQR527" s="1831"/>
      <c r="DQS527" s="1831"/>
      <c r="DQT527" s="1831"/>
      <c r="DQU527" s="1831"/>
      <c r="DQV527" s="1831"/>
      <c r="DQW527" s="1831"/>
      <c r="DQX527" s="1831"/>
      <c r="DQY527" s="1831"/>
      <c r="DQZ527" s="1831"/>
      <c r="DRA527" s="1831"/>
      <c r="DRB527" s="1831"/>
      <c r="DRC527" s="1831"/>
      <c r="DRD527" s="1831"/>
      <c r="DRE527" s="1831"/>
      <c r="DRF527" s="1831"/>
      <c r="DRG527" s="1831"/>
      <c r="DRH527" s="1831"/>
      <c r="DRI527" s="1831"/>
      <c r="DRJ527" s="1831"/>
      <c r="DRK527" s="1831"/>
      <c r="DRL527" s="1831"/>
      <c r="DRM527" s="1831"/>
      <c r="DRN527" s="1831"/>
      <c r="DRO527" s="1831"/>
      <c r="DRP527" s="1831"/>
      <c r="DRQ527" s="1831"/>
      <c r="DRR527" s="1831"/>
      <c r="DRS527" s="1831"/>
      <c r="DRT527" s="1831"/>
      <c r="DRU527" s="1831"/>
      <c r="DRV527" s="1831"/>
      <c r="DRW527" s="1831"/>
      <c r="DRX527" s="1831"/>
      <c r="DRY527" s="1831"/>
      <c r="DRZ527" s="1831"/>
      <c r="DSA527" s="1831"/>
      <c r="DSB527" s="1831"/>
      <c r="DSC527" s="1831"/>
      <c r="DSD527" s="1831"/>
      <c r="DSE527" s="1831"/>
      <c r="DSF527" s="1831"/>
      <c r="DSG527" s="1831"/>
      <c r="DSH527" s="1831"/>
      <c r="DSI527" s="1831"/>
      <c r="DSJ527" s="1831"/>
      <c r="DSK527" s="1831"/>
      <c r="DSL527" s="1831"/>
      <c r="DSM527" s="1831"/>
      <c r="DSN527" s="1831"/>
      <c r="DSO527" s="1831"/>
      <c r="DSP527" s="1831"/>
      <c r="DSQ527" s="1831"/>
      <c r="DSR527" s="1831"/>
      <c r="DSS527" s="1831"/>
      <c r="DST527" s="1831"/>
      <c r="DSU527" s="1831"/>
      <c r="DSV527" s="1831"/>
      <c r="DSW527" s="1831"/>
      <c r="DSX527" s="1831"/>
      <c r="DSY527" s="1831"/>
      <c r="DSZ527" s="1831"/>
      <c r="DTA527" s="1831"/>
      <c r="DTB527" s="1831"/>
      <c r="DTC527" s="1831"/>
      <c r="DTD527" s="1831"/>
      <c r="DTE527" s="1831"/>
      <c r="DTF527" s="1831"/>
      <c r="DTG527" s="1831"/>
      <c r="DTH527" s="1831"/>
      <c r="DTI527" s="1831"/>
      <c r="DTJ527" s="1831"/>
      <c r="DTK527" s="1831"/>
      <c r="DTL527" s="1831"/>
      <c r="DTM527" s="1831"/>
      <c r="DTN527" s="1831"/>
      <c r="DTO527" s="1831"/>
      <c r="DTP527" s="1831"/>
      <c r="DTQ527" s="1831"/>
      <c r="DTR527" s="1831"/>
      <c r="DTS527" s="1831"/>
      <c r="DTT527" s="1831"/>
      <c r="DTU527" s="1831"/>
      <c r="DTV527" s="1831"/>
      <c r="DTW527" s="1831"/>
      <c r="DTX527" s="1831"/>
      <c r="DTY527" s="1831"/>
      <c r="DTZ527" s="1831"/>
      <c r="DUA527" s="1831"/>
      <c r="DUB527" s="1831"/>
      <c r="DUC527" s="1831"/>
      <c r="DUD527" s="1831"/>
      <c r="DUE527" s="1831"/>
      <c r="DUF527" s="1831"/>
      <c r="DUG527" s="1831"/>
      <c r="DUH527" s="1831"/>
      <c r="DUI527" s="1831"/>
      <c r="DUJ527" s="1831"/>
      <c r="DUK527" s="1831"/>
      <c r="DUL527" s="1831"/>
      <c r="DUM527" s="1831"/>
      <c r="DUN527" s="1831"/>
      <c r="DUO527" s="1831"/>
      <c r="DUP527" s="1831"/>
      <c r="DUQ527" s="1831"/>
      <c r="DUR527" s="1831"/>
      <c r="DUS527" s="1831"/>
      <c r="DUT527" s="1831"/>
      <c r="DUU527" s="1831"/>
      <c r="DUV527" s="1831"/>
      <c r="DUW527" s="1831"/>
      <c r="DUX527" s="1831"/>
      <c r="DUY527" s="1831"/>
      <c r="DUZ527" s="1831"/>
      <c r="DVA527" s="1831"/>
      <c r="DVB527" s="1831"/>
      <c r="DVC527" s="1831"/>
      <c r="DVD527" s="1831"/>
      <c r="DVE527" s="1831"/>
      <c r="DVF527" s="1831"/>
      <c r="DVG527" s="1831"/>
      <c r="DVH527" s="1831"/>
      <c r="DVI527" s="1831"/>
      <c r="DVJ527" s="1831"/>
      <c r="DVK527" s="1831"/>
      <c r="DVL527" s="1831"/>
      <c r="DVM527" s="1831"/>
      <c r="DVN527" s="1831"/>
      <c r="DVO527" s="1831"/>
      <c r="DVP527" s="1831"/>
      <c r="DVQ527" s="1831"/>
      <c r="DVR527" s="1831"/>
      <c r="DVS527" s="1831"/>
      <c r="DVT527" s="1831"/>
      <c r="DVU527" s="1831"/>
      <c r="DVV527" s="1831"/>
      <c r="DVW527" s="1831"/>
      <c r="DVX527" s="1831"/>
      <c r="DVY527" s="1831"/>
      <c r="DVZ527" s="1831"/>
      <c r="DWA527" s="1831"/>
      <c r="DWB527" s="1831"/>
      <c r="DWC527" s="1831"/>
      <c r="DWD527" s="1831"/>
      <c r="DWE527" s="1831"/>
      <c r="DWF527" s="1831"/>
      <c r="DWG527" s="1831"/>
      <c r="DWH527" s="1831"/>
      <c r="DWI527" s="1831"/>
      <c r="DWJ527" s="1831"/>
      <c r="DWK527" s="1831"/>
      <c r="DWL527" s="1831"/>
      <c r="DWM527" s="1831"/>
      <c r="DWN527" s="1831"/>
      <c r="DWO527" s="1831"/>
      <c r="DWP527" s="1831"/>
      <c r="DWQ527" s="1831"/>
      <c r="DWR527" s="1831"/>
      <c r="DWS527" s="1831"/>
      <c r="DWT527" s="1831"/>
      <c r="DWU527" s="1831"/>
      <c r="DWV527" s="1831"/>
      <c r="DWW527" s="1831"/>
      <c r="DWX527" s="1831"/>
      <c r="DWY527" s="1831"/>
      <c r="DWZ527" s="1831"/>
      <c r="DXA527" s="1831"/>
      <c r="DXB527" s="1831"/>
      <c r="DXC527" s="1831"/>
      <c r="DXD527" s="1831"/>
      <c r="DXE527" s="1831"/>
      <c r="DXF527" s="1831"/>
      <c r="DXG527" s="1831"/>
      <c r="DXH527" s="1831"/>
      <c r="DXI527" s="1831"/>
      <c r="DXJ527" s="1831"/>
      <c r="DXK527" s="1831"/>
      <c r="DXL527" s="1831"/>
      <c r="DXM527" s="1831"/>
      <c r="DXN527" s="1831"/>
      <c r="DXO527" s="1831"/>
      <c r="DXP527" s="1831"/>
      <c r="DXQ527" s="1831"/>
      <c r="DXR527" s="1831"/>
      <c r="DXS527" s="1831"/>
      <c r="DXT527" s="1831"/>
      <c r="DXU527" s="1831"/>
      <c r="DXV527" s="1831"/>
      <c r="DXW527" s="1831"/>
      <c r="DXX527" s="1831"/>
      <c r="DXY527" s="1831"/>
      <c r="DXZ527" s="1831"/>
      <c r="DYA527" s="1831"/>
      <c r="DYB527" s="1831"/>
      <c r="DYC527" s="1831"/>
      <c r="DYD527" s="1831"/>
      <c r="DYE527" s="1831"/>
      <c r="DYF527" s="1831"/>
      <c r="DYG527" s="1831"/>
      <c r="DYH527" s="1831"/>
      <c r="DYI527" s="1831"/>
      <c r="DYJ527" s="1831"/>
      <c r="DYK527" s="1831"/>
      <c r="DYL527" s="1831"/>
      <c r="DYM527" s="1831"/>
      <c r="DYN527" s="1831"/>
      <c r="DYO527" s="1831"/>
      <c r="DYP527" s="1831"/>
      <c r="DYQ527" s="1831"/>
      <c r="DYR527" s="1831"/>
      <c r="DYS527" s="1831"/>
      <c r="DYT527" s="1831"/>
      <c r="DYU527" s="1831"/>
      <c r="DYV527" s="1831"/>
      <c r="DYW527" s="1831"/>
      <c r="DYX527" s="1831"/>
      <c r="DYY527" s="1831"/>
      <c r="DYZ527" s="1831"/>
      <c r="DZA527" s="1831"/>
      <c r="DZB527" s="1831"/>
      <c r="DZC527" s="1831"/>
      <c r="DZD527" s="1831"/>
      <c r="DZE527" s="1831"/>
      <c r="DZF527" s="1831"/>
      <c r="DZG527" s="1831"/>
      <c r="DZH527" s="1831"/>
      <c r="DZI527" s="1831"/>
      <c r="DZJ527" s="1831"/>
      <c r="DZK527" s="1831"/>
      <c r="DZL527" s="1831"/>
      <c r="DZM527" s="1831"/>
      <c r="DZN527" s="1831"/>
      <c r="DZO527" s="1831"/>
      <c r="DZP527" s="1831"/>
      <c r="DZQ527" s="1831"/>
      <c r="DZR527" s="1831"/>
      <c r="DZS527" s="1831"/>
      <c r="DZT527" s="1831"/>
      <c r="DZU527" s="1831"/>
      <c r="DZV527" s="1831"/>
      <c r="DZW527" s="1831"/>
      <c r="DZX527" s="1831"/>
      <c r="DZY527" s="1831"/>
      <c r="DZZ527" s="1831"/>
      <c r="EAA527" s="1831"/>
      <c r="EAB527" s="1831"/>
      <c r="EAC527" s="1831"/>
      <c r="EAD527" s="1831"/>
      <c r="EAE527" s="1831"/>
      <c r="EAF527" s="1831"/>
      <c r="EAG527" s="1831"/>
      <c r="EAH527" s="1831"/>
      <c r="EAI527" s="1831"/>
      <c r="EAJ527" s="1831"/>
      <c r="EAK527" s="1831"/>
      <c r="EAL527" s="1831"/>
      <c r="EAM527" s="1831"/>
      <c r="EAN527" s="1831"/>
      <c r="EAO527" s="1831"/>
      <c r="EAP527" s="1831"/>
      <c r="EAQ527" s="1831"/>
      <c r="EAR527" s="1831"/>
      <c r="EAS527" s="1831"/>
      <c r="EAT527" s="1831"/>
      <c r="EAU527" s="1831"/>
      <c r="EAV527" s="1831"/>
      <c r="EAW527" s="1831"/>
      <c r="EAX527" s="1831"/>
      <c r="EAY527" s="1831"/>
      <c r="EAZ527" s="1831"/>
      <c r="EBA527" s="1831"/>
      <c r="EBB527" s="1831"/>
      <c r="EBC527" s="1831"/>
      <c r="EBD527" s="1831"/>
      <c r="EBE527" s="1831"/>
      <c r="EBF527" s="1831"/>
      <c r="EBG527" s="1831"/>
      <c r="EBH527" s="1831"/>
      <c r="EBI527" s="1831"/>
      <c r="EBJ527" s="1831"/>
      <c r="EBK527" s="1831"/>
      <c r="EBL527" s="1831"/>
      <c r="EBM527" s="1831"/>
      <c r="EBN527" s="1831"/>
      <c r="EBO527" s="1831"/>
      <c r="EBP527" s="1831"/>
      <c r="EBQ527" s="1831"/>
      <c r="EBR527" s="1831"/>
      <c r="EBS527" s="1831"/>
      <c r="EBT527" s="1831"/>
      <c r="EBU527" s="1831"/>
      <c r="EBV527" s="1831"/>
      <c r="EBW527" s="1831"/>
      <c r="EBX527" s="1831"/>
      <c r="EBY527" s="1831"/>
      <c r="EBZ527" s="1831"/>
      <c r="ECA527" s="1831"/>
      <c r="ECB527" s="1831"/>
      <c r="ECC527" s="1831"/>
      <c r="ECD527" s="1831"/>
      <c r="ECE527" s="1831"/>
      <c r="ECF527" s="1831"/>
      <c r="ECG527" s="1831"/>
      <c r="ECH527" s="1831"/>
      <c r="ECI527" s="1831"/>
      <c r="ECJ527" s="1831"/>
      <c r="ECK527" s="1831"/>
      <c r="ECL527" s="1831"/>
      <c r="ECM527" s="1831"/>
      <c r="ECN527" s="1831"/>
      <c r="ECO527" s="1831"/>
      <c r="ECP527" s="1831"/>
      <c r="ECQ527" s="1831"/>
      <c r="ECR527" s="1831"/>
      <c r="ECS527" s="1831"/>
      <c r="ECT527" s="1831"/>
      <c r="ECU527" s="1831"/>
      <c r="ECV527" s="1831"/>
      <c r="ECW527" s="1831"/>
      <c r="ECX527" s="1831"/>
      <c r="ECY527" s="1831"/>
      <c r="ECZ527" s="1831"/>
      <c r="EDA527" s="1831"/>
      <c r="EDB527" s="1831"/>
      <c r="EDC527" s="1831"/>
      <c r="EDD527" s="1831"/>
      <c r="EDE527" s="1831"/>
      <c r="EDF527" s="1831"/>
      <c r="EDG527" s="1831"/>
      <c r="EDH527" s="1831"/>
      <c r="EDI527" s="1831"/>
      <c r="EDJ527" s="1831"/>
      <c r="EDK527" s="1831"/>
      <c r="EDL527" s="1831"/>
      <c r="EDM527" s="1831"/>
      <c r="EDN527" s="1831"/>
      <c r="EDO527" s="1831"/>
      <c r="EDP527" s="1831"/>
      <c r="EDQ527" s="1831"/>
      <c r="EDR527" s="1831"/>
      <c r="EDS527" s="1831"/>
      <c r="EDT527" s="1831"/>
      <c r="EDU527" s="1831"/>
      <c r="EDV527" s="1831"/>
      <c r="EDW527" s="1831"/>
      <c r="EDX527" s="1831"/>
      <c r="EDY527" s="1831"/>
      <c r="EDZ527" s="1831"/>
      <c r="EEA527" s="1831"/>
      <c r="EEB527" s="1831"/>
      <c r="EEC527" s="1831"/>
      <c r="EED527" s="1831"/>
      <c r="EEE527" s="1831"/>
      <c r="EEF527" s="1831"/>
      <c r="EEG527" s="1831"/>
      <c r="EEH527" s="1831"/>
      <c r="EEI527" s="1831"/>
      <c r="EEJ527" s="1831"/>
      <c r="EEK527" s="1831"/>
      <c r="EEL527" s="1831"/>
      <c r="EEM527" s="1831"/>
      <c r="EEN527" s="1831"/>
      <c r="EEO527" s="1831"/>
      <c r="EEP527" s="1831"/>
      <c r="EEQ527" s="1831"/>
      <c r="EER527" s="1831"/>
      <c r="EES527" s="1831"/>
      <c r="EET527" s="1831"/>
      <c r="EEU527" s="1831"/>
      <c r="EEV527" s="1831"/>
      <c r="EEW527" s="1831"/>
      <c r="EEX527" s="1831"/>
      <c r="EEY527" s="1831"/>
      <c r="EEZ527" s="1831"/>
      <c r="EFA527" s="1831"/>
      <c r="EFB527" s="1831"/>
      <c r="EFC527" s="1831"/>
      <c r="EFD527" s="1831"/>
      <c r="EFE527" s="1831"/>
      <c r="EFF527" s="1831"/>
      <c r="EFG527" s="1831"/>
      <c r="EFH527" s="1831"/>
      <c r="EFI527" s="1831"/>
      <c r="EFJ527" s="1831"/>
      <c r="EFK527" s="1831"/>
      <c r="EFL527" s="1831"/>
      <c r="EFM527" s="1831"/>
      <c r="EFN527" s="1831"/>
      <c r="EFO527" s="1831"/>
      <c r="EFP527" s="1831"/>
      <c r="EFQ527" s="1831"/>
      <c r="EFR527" s="1831"/>
      <c r="EFS527" s="1831"/>
      <c r="EFT527" s="1831"/>
      <c r="EFU527" s="1831"/>
      <c r="EFV527" s="1831"/>
      <c r="EFW527" s="1831"/>
      <c r="EFX527" s="1831"/>
      <c r="EFY527" s="1831"/>
      <c r="EFZ527" s="1831"/>
      <c r="EGA527" s="1831"/>
      <c r="EGB527" s="1831"/>
      <c r="EGC527" s="1831"/>
      <c r="EGD527" s="1831"/>
      <c r="EGE527" s="1831"/>
      <c r="EGF527" s="1831"/>
      <c r="EGG527" s="1831"/>
      <c r="EGH527" s="1831"/>
      <c r="EGI527" s="1831"/>
      <c r="EGJ527" s="1831"/>
      <c r="EGK527" s="1831"/>
      <c r="EGL527" s="1831"/>
      <c r="EGM527" s="1831"/>
      <c r="EGN527" s="1831"/>
      <c r="EGO527" s="1831"/>
      <c r="EGP527" s="1831"/>
      <c r="EGQ527" s="1831"/>
      <c r="EGR527" s="1831"/>
      <c r="EGS527" s="1831"/>
      <c r="EGT527" s="1831"/>
      <c r="EGU527" s="1831"/>
      <c r="EGV527" s="1831"/>
      <c r="EGW527" s="1831"/>
      <c r="EGX527" s="1831"/>
      <c r="EGY527" s="1831"/>
      <c r="EGZ527" s="1831"/>
      <c r="EHA527" s="1831"/>
      <c r="EHB527" s="1831"/>
      <c r="EHC527" s="1831"/>
      <c r="EHD527" s="1831"/>
      <c r="EHE527" s="1831"/>
      <c r="EHF527" s="1831"/>
      <c r="EHG527" s="1831"/>
      <c r="EHH527" s="1831"/>
      <c r="EHI527" s="1831"/>
      <c r="EHJ527" s="1831"/>
      <c r="EHK527" s="1831"/>
      <c r="EHL527" s="1831"/>
      <c r="EHM527" s="1831"/>
      <c r="EHN527" s="1831"/>
      <c r="EHO527" s="1831"/>
      <c r="EHP527" s="1831"/>
      <c r="EHQ527" s="1831"/>
      <c r="EHR527" s="1831"/>
      <c r="EHS527" s="1831"/>
      <c r="EHT527" s="1831"/>
      <c r="EHU527" s="1831"/>
      <c r="EHV527" s="1831"/>
      <c r="EHW527" s="1831"/>
      <c r="EHX527" s="1831"/>
      <c r="EHY527" s="1831"/>
      <c r="EHZ527" s="1831"/>
      <c r="EIA527" s="1831"/>
      <c r="EIB527" s="1831"/>
      <c r="EIC527" s="1831"/>
      <c r="EID527" s="1831"/>
      <c r="EIE527" s="1831"/>
      <c r="EIF527" s="1831"/>
      <c r="EIG527" s="1831"/>
      <c r="EIH527" s="1831"/>
      <c r="EII527" s="1831"/>
      <c r="EIJ527" s="1831"/>
      <c r="EIK527" s="1831"/>
      <c r="EIL527" s="1831"/>
      <c r="EIM527" s="1831"/>
      <c r="EIN527" s="1831"/>
      <c r="EIO527" s="1831"/>
      <c r="EIP527" s="1831"/>
      <c r="EIQ527" s="1831"/>
      <c r="EIR527" s="1831"/>
      <c r="EIS527" s="1831"/>
      <c r="EIT527" s="1831"/>
      <c r="EIU527" s="1831"/>
      <c r="EIV527" s="1831"/>
      <c r="EIW527" s="1831"/>
      <c r="EIX527" s="1831"/>
      <c r="EIY527" s="1831"/>
      <c r="EIZ527" s="1831"/>
      <c r="EJA527" s="1831"/>
      <c r="EJB527" s="1831"/>
      <c r="EJC527" s="1831"/>
      <c r="EJD527" s="1831"/>
      <c r="EJE527" s="1831"/>
      <c r="EJF527" s="1831"/>
      <c r="EJG527" s="1831"/>
      <c r="EJH527" s="1831"/>
      <c r="EJI527" s="1831"/>
      <c r="EJJ527" s="1831"/>
      <c r="EJK527" s="1831"/>
      <c r="EJL527" s="1831"/>
      <c r="EJM527" s="1831"/>
      <c r="EJN527" s="1831"/>
      <c r="EJO527" s="1831"/>
      <c r="EJP527" s="1831"/>
      <c r="EJQ527" s="1831"/>
      <c r="EJR527" s="1831"/>
      <c r="EJS527" s="1831"/>
      <c r="EJT527" s="1831"/>
      <c r="EJU527" s="1831"/>
      <c r="EJV527" s="1831"/>
      <c r="EJW527" s="1831"/>
      <c r="EJX527" s="1831"/>
      <c r="EJY527" s="1831"/>
      <c r="EJZ527" s="1831"/>
      <c r="EKA527" s="1831"/>
      <c r="EKB527" s="1831"/>
      <c r="EKC527" s="1831"/>
      <c r="EKD527" s="1831"/>
      <c r="EKE527" s="1831"/>
      <c r="EKF527" s="1831"/>
      <c r="EKG527" s="1831"/>
      <c r="EKH527" s="1831"/>
      <c r="EKI527" s="1831"/>
      <c r="EKJ527" s="1831"/>
      <c r="EKK527" s="1831"/>
      <c r="EKL527" s="1831"/>
      <c r="EKM527" s="1831"/>
      <c r="EKN527" s="1831"/>
      <c r="EKO527" s="1831"/>
      <c r="EKP527" s="1831"/>
      <c r="EKQ527" s="1831"/>
      <c r="EKR527" s="1831"/>
      <c r="EKS527" s="1831"/>
      <c r="EKT527" s="1831"/>
      <c r="EKU527" s="1831"/>
      <c r="EKV527" s="1831"/>
      <c r="EKW527" s="1831"/>
      <c r="EKX527" s="1831"/>
      <c r="EKY527" s="1831"/>
      <c r="EKZ527" s="1831"/>
      <c r="ELA527" s="1831"/>
      <c r="ELB527" s="1831"/>
      <c r="ELC527" s="1831"/>
      <c r="ELD527" s="1831"/>
      <c r="ELE527" s="1831"/>
      <c r="ELF527" s="1831"/>
      <c r="ELG527" s="1831"/>
      <c r="ELH527" s="1831"/>
      <c r="ELI527" s="1831"/>
      <c r="ELJ527" s="1831"/>
      <c r="ELK527" s="1831"/>
      <c r="ELL527" s="1831"/>
      <c r="ELM527" s="1831"/>
      <c r="ELN527" s="1831"/>
      <c r="ELO527" s="1831"/>
      <c r="ELP527" s="1831"/>
      <c r="ELQ527" s="1831"/>
      <c r="ELR527" s="1831"/>
      <c r="ELS527" s="1831"/>
      <c r="ELT527" s="1831"/>
      <c r="ELU527" s="1831"/>
      <c r="ELV527" s="1831"/>
      <c r="ELW527" s="1831"/>
      <c r="ELX527" s="1831"/>
      <c r="ELY527" s="1831"/>
      <c r="ELZ527" s="1831"/>
      <c r="EMA527" s="1831"/>
      <c r="EMB527" s="1831"/>
      <c r="EMC527" s="1831"/>
      <c r="EMD527" s="1831"/>
      <c r="EME527" s="1831"/>
      <c r="EMF527" s="1831"/>
      <c r="EMG527" s="1831"/>
      <c r="EMH527" s="1831"/>
      <c r="EMI527" s="1831"/>
      <c r="EMJ527" s="1831"/>
      <c r="EMK527" s="1831"/>
      <c r="EML527" s="1831"/>
      <c r="EMM527" s="1831"/>
      <c r="EMN527" s="1831"/>
      <c r="EMO527" s="1831"/>
      <c r="EMP527" s="1831"/>
      <c r="EMQ527" s="1831"/>
      <c r="EMR527" s="1831"/>
      <c r="EMS527" s="1831"/>
      <c r="EMT527" s="1831"/>
      <c r="EMU527" s="1831"/>
      <c r="EMV527" s="1831"/>
      <c r="EMW527" s="1831"/>
      <c r="EMX527" s="1831"/>
      <c r="EMY527" s="1831"/>
      <c r="EMZ527" s="1831"/>
      <c r="ENA527" s="1831"/>
      <c r="ENB527" s="1831"/>
      <c r="ENC527" s="1831"/>
      <c r="END527" s="1831"/>
      <c r="ENE527" s="1831"/>
      <c r="ENF527" s="1831"/>
      <c r="ENG527" s="1831"/>
      <c r="ENH527" s="1831"/>
      <c r="ENI527" s="1831"/>
      <c r="ENJ527" s="1831"/>
      <c r="ENK527" s="1831"/>
      <c r="ENL527" s="1831"/>
      <c r="ENM527" s="1831"/>
      <c r="ENN527" s="1831"/>
      <c r="ENO527" s="1831"/>
      <c r="ENP527" s="1831"/>
      <c r="ENQ527" s="1831"/>
      <c r="ENR527" s="1831"/>
      <c r="ENS527" s="1831"/>
      <c r="ENT527" s="1831"/>
      <c r="ENU527" s="1831"/>
      <c r="ENV527" s="1831"/>
      <c r="ENW527" s="1831"/>
      <c r="ENX527" s="1831"/>
      <c r="ENY527" s="1831"/>
      <c r="ENZ527" s="1831"/>
      <c r="EOA527" s="1831"/>
      <c r="EOB527" s="1831"/>
      <c r="EOC527" s="1831"/>
      <c r="EOD527" s="1831"/>
      <c r="EOE527" s="1831"/>
      <c r="EOF527" s="1831"/>
      <c r="EOG527" s="1831"/>
      <c r="EOH527" s="1831"/>
      <c r="EOI527" s="1831"/>
      <c r="EOJ527" s="1831"/>
      <c r="EOK527" s="1831"/>
      <c r="EOL527" s="1831"/>
      <c r="EOM527" s="1831"/>
      <c r="EON527" s="1831"/>
      <c r="EOO527" s="1831"/>
      <c r="EOP527" s="1831"/>
      <c r="EOQ527" s="1831"/>
      <c r="EOR527" s="1831"/>
      <c r="EOS527" s="1831"/>
      <c r="EOT527" s="1831"/>
      <c r="EOU527" s="1831"/>
      <c r="EOV527" s="1831"/>
      <c r="EOW527" s="1831"/>
      <c r="EOX527" s="1831"/>
      <c r="EOY527" s="1831"/>
      <c r="EOZ527" s="1831"/>
      <c r="EPA527" s="1831"/>
      <c r="EPB527" s="1831"/>
      <c r="EPC527" s="1831"/>
      <c r="EPD527" s="1831"/>
      <c r="EPE527" s="1831"/>
      <c r="EPF527" s="1831"/>
      <c r="EPG527" s="1831"/>
      <c r="EPH527" s="1831"/>
      <c r="EPI527" s="1831"/>
      <c r="EPJ527" s="1831"/>
      <c r="EPK527" s="1831"/>
      <c r="EPL527" s="1831"/>
      <c r="EPM527" s="1831"/>
      <c r="EPN527" s="1831"/>
      <c r="EPO527" s="1831"/>
      <c r="EPP527" s="1831"/>
      <c r="EPQ527" s="1831"/>
      <c r="EPR527" s="1831"/>
      <c r="EPS527" s="1831"/>
      <c r="EPT527" s="1831"/>
      <c r="EPU527" s="1831"/>
      <c r="EPV527" s="1831"/>
      <c r="EPW527" s="1831"/>
      <c r="EPX527" s="1831"/>
      <c r="EPY527" s="1831"/>
      <c r="EPZ527" s="1831"/>
      <c r="EQA527" s="1831"/>
      <c r="EQB527" s="1831"/>
      <c r="EQC527" s="1831"/>
      <c r="EQD527" s="1831"/>
      <c r="EQE527" s="1831"/>
      <c r="EQF527" s="1831"/>
      <c r="EQG527" s="1831"/>
      <c r="EQH527" s="1831"/>
      <c r="EQI527" s="1831"/>
      <c r="EQJ527" s="1831"/>
      <c r="EQK527" s="1831"/>
      <c r="EQL527" s="1831"/>
      <c r="EQM527" s="1831"/>
      <c r="EQN527" s="1831"/>
      <c r="EQO527" s="1831"/>
      <c r="EQP527" s="1831"/>
      <c r="EQQ527" s="1831"/>
      <c r="EQR527" s="1831"/>
      <c r="EQS527" s="1831"/>
      <c r="EQT527" s="1831"/>
      <c r="EQU527" s="1831"/>
      <c r="EQV527" s="1831"/>
      <c r="EQW527" s="1831"/>
      <c r="EQX527" s="1831"/>
      <c r="EQY527" s="1831"/>
      <c r="EQZ527" s="1831"/>
      <c r="ERA527" s="1831"/>
      <c r="ERB527" s="1831"/>
      <c r="ERC527" s="1831"/>
      <c r="ERD527" s="1831"/>
      <c r="ERE527" s="1831"/>
      <c r="ERF527" s="1831"/>
      <c r="ERG527" s="1831"/>
      <c r="ERH527" s="1831"/>
      <c r="ERI527" s="1831"/>
      <c r="ERJ527" s="1831"/>
      <c r="ERK527" s="1831"/>
      <c r="ERL527" s="1831"/>
      <c r="ERM527" s="1831"/>
      <c r="ERN527" s="1831"/>
      <c r="ERO527" s="1831"/>
      <c r="ERP527" s="1831"/>
      <c r="ERQ527" s="1831"/>
      <c r="ERR527" s="1831"/>
      <c r="ERS527" s="1831"/>
      <c r="ERT527" s="1831"/>
      <c r="ERU527" s="1831"/>
      <c r="ERV527" s="1831"/>
      <c r="ERW527" s="1831"/>
      <c r="ERX527" s="1831"/>
      <c r="ERY527" s="1831"/>
      <c r="ERZ527" s="1831"/>
      <c r="ESA527" s="1831"/>
      <c r="ESB527" s="1831"/>
      <c r="ESC527" s="1831"/>
      <c r="ESD527" s="1831"/>
      <c r="ESE527" s="1831"/>
      <c r="ESF527" s="1831"/>
      <c r="ESG527" s="1831"/>
      <c r="ESH527" s="1831"/>
      <c r="ESI527" s="1831"/>
      <c r="ESJ527" s="1831"/>
      <c r="ESK527" s="1831"/>
      <c r="ESL527" s="1831"/>
      <c r="ESM527" s="1831"/>
      <c r="ESN527" s="1831"/>
      <c r="ESO527" s="1831"/>
      <c r="ESP527" s="1831"/>
      <c r="ESQ527" s="1831"/>
      <c r="ESR527" s="1831"/>
      <c r="ESS527" s="1831"/>
      <c r="EST527" s="1831"/>
      <c r="ESU527" s="1831"/>
      <c r="ESV527" s="1831"/>
      <c r="ESW527" s="1831"/>
      <c r="ESX527" s="1831"/>
      <c r="ESY527" s="1831"/>
      <c r="ESZ527" s="1831"/>
      <c r="ETA527" s="1831"/>
      <c r="ETB527" s="1831"/>
      <c r="ETC527" s="1831"/>
      <c r="ETD527" s="1831"/>
      <c r="ETE527" s="1831"/>
      <c r="ETF527" s="1831"/>
      <c r="ETG527" s="1831"/>
      <c r="ETH527" s="1831"/>
      <c r="ETI527" s="1831"/>
      <c r="ETJ527" s="1831"/>
      <c r="ETK527" s="1831"/>
      <c r="ETL527" s="1831"/>
      <c r="ETM527" s="1831"/>
      <c r="ETN527" s="1831"/>
      <c r="ETO527" s="1831"/>
      <c r="ETP527" s="1831"/>
      <c r="ETQ527" s="1831"/>
      <c r="ETR527" s="1831"/>
      <c r="ETS527" s="1831"/>
      <c r="ETT527" s="1831"/>
      <c r="ETU527" s="1831"/>
      <c r="ETV527" s="1831"/>
      <c r="ETW527" s="1831"/>
      <c r="ETX527" s="1831"/>
      <c r="ETY527" s="1831"/>
      <c r="ETZ527" s="1831"/>
      <c r="EUA527" s="1831"/>
      <c r="EUB527" s="1831"/>
      <c r="EUC527" s="1831"/>
      <c r="EUD527" s="1831"/>
      <c r="EUE527" s="1831"/>
      <c r="EUF527" s="1831"/>
      <c r="EUG527" s="1831"/>
      <c r="EUH527" s="1831"/>
      <c r="EUI527" s="1831"/>
      <c r="EUJ527" s="1831"/>
      <c r="EUK527" s="1831"/>
      <c r="EUL527" s="1831"/>
      <c r="EUM527" s="1831"/>
      <c r="EUN527" s="1831"/>
      <c r="EUO527" s="1831"/>
      <c r="EUP527" s="1831"/>
      <c r="EUQ527" s="1831"/>
      <c r="EUR527" s="1831"/>
      <c r="EUS527" s="1831"/>
      <c r="EUT527" s="1831"/>
      <c r="EUU527" s="1831"/>
      <c r="EUV527" s="1831"/>
      <c r="EUW527" s="1831"/>
      <c r="EUX527" s="1831"/>
      <c r="EUY527" s="1831"/>
      <c r="EUZ527" s="1831"/>
      <c r="EVA527" s="1831"/>
      <c r="EVB527" s="1831"/>
      <c r="EVC527" s="1831"/>
      <c r="EVD527" s="1831"/>
      <c r="EVE527" s="1831"/>
      <c r="EVF527" s="1831"/>
      <c r="EVG527" s="1831"/>
      <c r="EVH527" s="1831"/>
      <c r="EVI527" s="1831"/>
      <c r="EVJ527" s="1831"/>
      <c r="EVK527" s="1831"/>
      <c r="EVL527" s="1831"/>
      <c r="EVM527" s="1831"/>
      <c r="EVN527" s="1831"/>
      <c r="EVO527" s="1831"/>
      <c r="EVP527" s="1831"/>
      <c r="EVQ527" s="1831"/>
      <c r="EVR527" s="1831"/>
      <c r="EVS527" s="1831"/>
      <c r="EVT527" s="1831"/>
      <c r="EVU527" s="1831"/>
      <c r="EVV527" s="1831"/>
      <c r="EVW527" s="1831"/>
      <c r="EVX527" s="1831"/>
      <c r="EVY527" s="1831"/>
      <c r="EVZ527" s="1831"/>
      <c r="EWA527" s="1831"/>
      <c r="EWB527" s="1831"/>
      <c r="EWC527" s="1831"/>
      <c r="EWD527" s="1831"/>
      <c r="EWE527" s="1831"/>
      <c r="EWF527" s="1831"/>
      <c r="EWG527" s="1831"/>
      <c r="EWH527" s="1831"/>
      <c r="EWI527" s="1831"/>
      <c r="EWJ527" s="1831"/>
      <c r="EWK527" s="1831"/>
      <c r="EWL527" s="1831"/>
      <c r="EWM527" s="1831"/>
      <c r="EWN527" s="1831"/>
      <c r="EWO527" s="1831"/>
      <c r="EWP527" s="1831"/>
      <c r="EWQ527" s="1831"/>
      <c r="EWR527" s="1831"/>
      <c r="EWS527" s="1831"/>
      <c r="EWT527" s="1831"/>
      <c r="EWU527" s="1831"/>
      <c r="EWV527" s="1831"/>
      <c r="EWW527" s="1831"/>
      <c r="EWX527" s="1831"/>
      <c r="EWY527" s="1831"/>
      <c r="EWZ527" s="1831"/>
      <c r="EXA527" s="1831"/>
      <c r="EXB527" s="1831"/>
      <c r="EXC527" s="1831"/>
      <c r="EXD527" s="1831"/>
      <c r="EXE527" s="1831"/>
      <c r="EXF527" s="1831"/>
      <c r="EXG527" s="1831"/>
      <c r="EXH527" s="1831"/>
      <c r="EXI527" s="1831"/>
      <c r="EXJ527" s="1831"/>
      <c r="EXK527" s="1831"/>
      <c r="EXL527" s="1831"/>
      <c r="EXM527" s="1831"/>
      <c r="EXN527" s="1831"/>
      <c r="EXO527" s="1831"/>
      <c r="EXP527" s="1831"/>
      <c r="EXQ527" s="1831"/>
      <c r="EXR527" s="1831"/>
      <c r="EXS527" s="1831"/>
      <c r="EXT527" s="1831"/>
      <c r="EXU527" s="1831"/>
      <c r="EXV527" s="1831"/>
      <c r="EXW527" s="1831"/>
      <c r="EXX527" s="1831"/>
      <c r="EXY527" s="1831"/>
      <c r="EXZ527" s="1831"/>
      <c r="EYA527" s="1831"/>
      <c r="EYB527" s="1831"/>
      <c r="EYC527" s="1831"/>
      <c r="EYD527" s="1831"/>
      <c r="EYE527" s="1831"/>
      <c r="EYF527" s="1831"/>
      <c r="EYG527" s="1831"/>
      <c r="EYH527" s="1831"/>
      <c r="EYI527" s="1831"/>
      <c r="EYJ527" s="1831"/>
      <c r="EYK527" s="1831"/>
      <c r="EYL527" s="1831"/>
      <c r="EYM527" s="1831"/>
      <c r="EYN527" s="1831"/>
      <c r="EYO527" s="1831"/>
      <c r="EYP527" s="1831"/>
      <c r="EYQ527" s="1831"/>
      <c r="EYR527" s="1831"/>
      <c r="EYS527" s="1831"/>
      <c r="EYT527" s="1831"/>
      <c r="EYU527" s="1831"/>
      <c r="EYV527" s="1831"/>
      <c r="EYW527" s="1831"/>
      <c r="EYX527" s="1831"/>
      <c r="EYY527" s="1831"/>
      <c r="EYZ527" s="1831"/>
      <c r="EZA527" s="1831"/>
      <c r="EZB527" s="1831"/>
      <c r="EZC527" s="1831"/>
      <c r="EZD527" s="1831"/>
      <c r="EZE527" s="1831"/>
      <c r="EZF527" s="1831"/>
      <c r="EZG527" s="1831"/>
      <c r="EZH527" s="1831"/>
      <c r="EZI527" s="1831"/>
      <c r="EZJ527" s="1831"/>
      <c r="EZK527" s="1831"/>
      <c r="EZL527" s="1831"/>
      <c r="EZM527" s="1831"/>
      <c r="EZN527" s="1831"/>
      <c r="EZO527" s="1831"/>
      <c r="EZP527" s="1831"/>
      <c r="EZQ527" s="1831"/>
      <c r="EZR527" s="1831"/>
      <c r="EZS527" s="1831"/>
      <c r="EZT527" s="1831"/>
      <c r="EZU527" s="1831"/>
      <c r="EZV527" s="1831"/>
      <c r="EZW527" s="1831"/>
      <c r="EZX527" s="1831"/>
      <c r="EZY527" s="1831"/>
      <c r="EZZ527" s="1831"/>
      <c r="FAA527" s="1831"/>
      <c r="FAB527" s="1831"/>
      <c r="FAC527" s="1831"/>
      <c r="FAD527" s="1831"/>
      <c r="FAE527" s="1831"/>
      <c r="FAF527" s="1831"/>
      <c r="FAG527" s="1831"/>
      <c r="FAH527" s="1831"/>
      <c r="FAI527" s="1831"/>
      <c r="FAJ527" s="1831"/>
      <c r="FAK527" s="1831"/>
      <c r="FAL527" s="1831"/>
      <c r="FAM527" s="1831"/>
      <c r="FAN527" s="1831"/>
      <c r="FAO527" s="1831"/>
      <c r="FAP527" s="1831"/>
      <c r="FAQ527" s="1831"/>
      <c r="FAR527" s="1831"/>
      <c r="FAS527" s="1831"/>
      <c r="FAT527" s="1831"/>
      <c r="FAU527" s="1831"/>
      <c r="FAV527" s="1831"/>
      <c r="FAW527" s="1831"/>
      <c r="FAX527" s="1831"/>
      <c r="FAY527" s="1831"/>
      <c r="FAZ527" s="1831"/>
      <c r="FBA527" s="1831"/>
      <c r="FBB527" s="1831"/>
      <c r="FBC527" s="1831"/>
      <c r="FBD527" s="1831"/>
      <c r="FBE527" s="1831"/>
      <c r="FBF527" s="1831"/>
      <c r="FBG527" s="1831"/>
      <c r="FBH527" s="1831"/>
      <c r="FBI527" s="1831"/>
      <c r="FBJ527" s="1831"/>
      <c r="FBK527" s="1831"/>
      <c r="FBL527" s="1831"/>
      <c r="FBM527" s="1831"/>
      <c r="FBN527" s="1831"/>
      <c r="FBO527" s="1831"/>
      <c r="FBP527" s="1831"/>
      <c r="FBQ527" s="1831"/>
      <c r="FBR527" s="1831"/>
      <c r="FBS527" s="1831"/>
      <c r="FBT527" s="1831"/>
      <c r="FBU527" s="1831"/>
      <c r="FBV527" s="1831"/>
      <c r="FBW527" s="1831"/>
      <c r="FBX527" s="1831"/>
      <c r="FBY527" s="1831"/>
      <c r="FBZ527" s="1831"/>
      <c r="FCA527" s="1831"/>
      <c r="FCB527" s="1831"/>
      <c r="FCC527" s="1831"/>
      <c r="FCD527" s="1831"/>
      <c r="FCE527" s="1831"/>
      <c r="FCF527" s="1831"/>
      <c r="FCG527" s="1831"/>
      <c r="FCH527" s="1831"/>
      <c r="FCI527" s="1831"/>
      <c r="FCJ527" s="1831"/>
      <c r="FCK527" s="1831"/>
      <c r="FCL527" s="1831"/>
      <c r="FCM527" s="1831"/>
      <c r="FCN527" s="1831"/>
      <c r="FCO527" s="1831"/>
      <c r="FCP527" s="1831"/>
      <c r="FCQ527" s="1831"/>
      <c r="FCR527" s="1831"/>
      <c r="FCS527" s="1831"/>
      <c r="FCT527" s="1831"/>
      <c r="FCU527" s="1831"/>
      <c r="FCV527" s="1831"/>
      <c r="FCW527" s="1831"/>
      <c r="FCX527" s="1831"/>
      <c r="FCY527" s="1831"/>
      <c r="FCZ527" s="1831"/>
      <c r="FDA527" s="1831"/>
      <c r="FDB527" s="1831"/>
      <c r="FDC527" s="1831"/>
      <c r="FDD527" s="1831"/>
      <c r="FDE527" s="1831"/>
      <c r="FDF527" s="1831"/>
      <c r="FDG527" s="1831"/>
      <c r="FDH527" s="1831"/>
      <c r="FDI527" s="1831"/>
      <c r="FDJ527" s="1831"/>
      <c r="FDK527" s="1831"/>
      <c r="FDL527" s="1831"/>
      <c r="FDM527" s="1831"/>
      <c r="FDN527" s="1831"/>
      <c r="FDO527" s="1831"/>
      <c r="FDP527" s="1831"/>
      <c r="FDQ527" s="1831"/>
      <c r="FDR527" s="1831"/>
      <c r="FDS527" s="1831"/>
      <c r="FDT527" s="1831"/>
      <c r="FDU527" s="1831"/>
      <c r="FDV527" s="1831"/>
      <c r="FDW527" s="1831"/>
      <c r="FDX527" s="1831"/>
      <c r="FDY527" s="1831"/>
      <c r="FDZ527" s="1831"/>
      <c r="FEA527" s="1831"/>
      <c r="FEB527" s="1831"/>
      <c r="FEC527" s="1831"/>
      <c r="FED527" s="1831"/>
      <c r="FEE527" s="1831"/>
      <c r="FEF527" s="1831"/>
      <c r="FEG527" s="1831"/>
      <c r="FEH527" s="1831"/>
      <c r="FEI527" s="1831"/>
      <c r="FEJ527" s="1831"/>
      <c r="FEK527" s="1831"/>
      <c r="FEL527" s="1831"/>
      <c r="FEM527" s="1831"/>
      <c r="FEN527" s="1831"/>
      <c r="FEO527" s="1831"/>
      <c r="FEP527" s="1831"/>
      <c r="FEQ527" s="1831"/>
      <c r="FER527" s="1831"/>
      <c r="FES527" s="1831"/>
      <c r="FET527" s="1831"/>
      <c r="FEU527" s="1831"/>
      <c r="FEV527" s="1831"/>
      <c r="FEW527" s="1831"/>
      <c r="FEX527" s="1831"/>
      <c r="FEY527" s="1831"/>
      <c r="FEZ527" s="1831"/>
      <c r="FFA527" s="1831"/>
      <c r="FFB527" s="1831"/>
      <c r="FFC527" s="1831"/>
      <c r="FFD527" s="1831"/>
      <c r="FFE527" s="1831"/>
      <c r="FFF527" s="1831"/>
      <c r="FFG527" s="1831"/>
      <c r="FFH527" s="1831"/>
      <c r="FFI527" s="1831"/>
      <c r="FFJ527" s="1831"/>
      <c r="FFK527" s="1831"/>
      <c r="FFL527" s="1831"/>
      <c r="FFM527" s="1831"/>
      <c r="FFN527" s="1831"/>
      <c r="FFO527" s="1831"/>
      <c r="FFP527" s="1831"/>
      <c r="FFQ527" s="1831"/>
      <c r="FFR527" s="1831"/>
      <c r="FFS527" s="1831"/>
      <c r="FFT527" s="1831"/>
      <c r="FFU527" s="1831"/>
      <c r="FFV527" s="1831"/>
      <c r="FFW527" s="1831"/>
      <c r="FFX527" s="1831"/>
      <c r="FFY527" s="1831"/>
      <c r="FFZ527" s="1831"/>
      <c r="FGA527" s="1831"/>
      <c r="FGB527" s="1831"/>
      <c r="FGC527" s="1831"/>
      <c r="FGD527" s="1831"/>
      <c r="FGE527" s="1831"/>
      <c r="FGF527" s="1831"/>
      <c r="FGG527" s="1831"/>
      <c r="FGH527" s="1831"/>
      <c r="FGI527" s="1831"/>
      <c r="FGJ527" s="1831"/>
      <c r="FGK527" s="1831"/>
      <c r="FGL527" s="1831"/>
      <c r="FGM527" s="1831"/>
      <c r="FGN527" s="1831"/>
      <c r="FGO527" s="1831"/>
      <c r="FGP527" s="1831"/>
      <c r="FGQ527" s="1831"/>
      <c r="FGR527" s="1831"/>
      <c r="FGS527" s="1831"/>
      <c r="FGT527" s="1831"/>
      <c r="FGU527" s="1831"/>
      <c r="FGV527" s="1831"/>
      <c r="FGW527" s="1831"/>
      <c r="FGX527" s="1831"/>
      <c r="FGY527" s="1831"/>
      <c r="FGZ527" s="1831"/>
      <c r="FHA527" s="1831"/>
      <c r="FHB527" s="1831"/>
      <c r="FHC527" s="1831"/>
      <c r="FHD527" s="1831"/>
      <c r="FHE527" s="1831"/>
      <c r="FHF527" s="1831"/>
      <c r="FHG527" s="1831"/>
      <c r="FHH527" s="1831"/>
      <c r="FHI527" s="1831"/>
      <c r="FHJ527" s="1831"/>
      <c r="FHK527" s="1831"/>
      <c r="FHL527" s="1831"/>
      <c r="FHM527" s="1831"/>
      <c r="FHN527" s="1831"/>
      <c r="FHO527" s="1831"/>
      <c r="FHP527" s="1831"/>
      <c r="FHQ527" s="1831"/>
      <c r="FHR527" s="1831"/>
      <c r="FHS527" s="1831"/>
      <c r="FHT527" s="1831"/>
      <c r="FHU527" s="1831"/>
      <c r="FHV527" s="1831"/>
      <c r="FHW527" s="1831"/>
      <c r="FHX527" s="1831"/>
      <c r="FHY527" s="1831"/>
      <c r="FHZ527" s="1831"/>
      <c r="FIA527" s="1831"/>
      <c r="FIB527" s="1831"/>
      <c r="FIC527" s="1831"/>
      <c r="FID527" s="1831"/>
      <c r="FIE527" s="1831"/>
      <c r="FIF527" s="1831"/>
      <c r="FIG527" s="1831"/>
      <c r="FIH527" s="1831"/>
      <c r="FII527" s="1831"/>
      <c r="FIJ527" s="1831"/>
      <c r="FIK527" s="1831"/>
      <c r="FIL527" s="1831"/>
      <c r="FIM527" s="1831"/>
      <c r="FIN527" s="1831"/>
      <c r="FIO527" s="1831"/>
      <c r="FIP527" s="1831"/>
      <c r="FIQ527" s="1831"/>
      <c r="FIR527" s="1831"/>
      <c r="FIS527" s="1831"/>
      <c r="FIT527" s="1831"/>
      <c r="FIU527" s="1831"/>
      <c r="FIV527" s="1831"/>
      <c r="FIW527" s="1831"/>
      <c r="FIX527" s="1831"/>
      <c r="FIY527" s="1831"/>
      <c r="FIZ527" s="1831"/>
      <c r="FJA527" s="1831"/>
      <c r="FJB527" s="1831"/>
      <c r="FJC527" s="1831"/>
      <c r="FJD527" s="1831"/>
      <c r="FJE527" s="1831"/>
      <c r="FJF527" s="1831"/>
      <c r="FJG527" s="1831"/>
      <c r="FJH527" s="1831"/>
      <c r="FJI527" s="1831"/>
      <c r="FJJ527" s="1831"/>
      <c r="FJK527" s="1831"/>
      <c r="FJL527" s="1831"/>
      <c r="FJM527" s="1831"/>
      <c r="FJN527" s="1831"/>
      <c r="FJO527" s="1831"/>
      <c r="FJP527" s="1831"/>
      <c r="FJQ527" s="1831"/>
      <c r="FJR527" s="1831"/>
      <c r="FJS527" s="1831"/>
      <c r="FJT527" s="1831"/>
      <c r="FJU527" s="1831"/>
      <c r="FJV527" s="1831"/>
      <c r="FJW527" s="1831"/>
      <c r="FJX527" s="1831"/>
      <c r="FJY527" s="1831"/>
      <c r="FJZ527" s="1831"/>
      <c r="FKA527" s="1831"/>
      <c r="FKB527" s="1831"/>
      <c r="FKC527" s="1831"/>
      <c r="FKD527" s="1831"/>
      <c r="FKE527" s="1831"/>
      <c r="FKF527" s="1831"/>
      <c r="FKG527" s="1831"/>
      <c r="FKH527" s="1831"/>
      <c r="FKI527" s="1831"/>
      <c r="FKJ527" s="1831"/>
      <c r="FKK527" s="1831"/>
      <c r="FKL527" s="1831"/>
      <c r="FKM527" s="1831"/>
      <c r="FKN527" s="1831"/>
      <c r="FKO527" s="1831"/>
      <c r="FKP527" s="1831"/>
      <c r="FKQ527" s="1831"/>
      <c r="FKR527" s="1831"/>
      <c r="FKS527" s="1831"/>
      <c r="FKT527" s="1831"/>
      <c r="FKU527" s="1831"/>
      <c r="FKV527" s="1831"/>
      <c r="FKW527" s="1831"/>
      <c r="FKX527" s="1831"/>
      <c r="FKY527" s="1831"/>
      <c r="FKZ527" s="1831"/>
      <c r="FLA527" s="1831"/>
      <c r="FLB527" s="1831"/>
      <c r="FLC527" s="1831"/>
      <c r="FLD527" s="1831"/>
      <c r="FLE527" s="1831"/>
      <c r="FLF527" s="1831"/>
      <c r="FLG527" s="1831"/>
      <c r="FLH527" s="1831"/>
      <c r="FLI527" s="1831"/>
      <c r="FLJ527" s="1831"/>
      <c r="FLK527" s="1831"/>
      <c r="FLL527" s="1831"/>
      <c r="FLM527" s="1831"/>
      <c r="FLN527" s="1831"/>
      <c r="FLO527" s="1831"/>
      <c r="FLP527" s="1831"/>
      <c r="FLQ527" s="1831"/>
      <c r="FLR527" s="1831"/>
      <c r="FLS527" s="1831"/>
      <c r="FLT527" s="1831"/>
      <c r="FLU527" s="1831"/>
      <c r="FLV527" s="1831"/>
      <c r="FLW527" s="1831"/>
      <c r="FLX527" s="1831"/>
      <c r="FLY527" s="1831"/>
      <c r="FLZ527" s="1831"/>
      <c r="FMA527" s="1831"/>
      <c r="FMB527" s="1831"/>
      <c r="FMC527" s="1831"/>
      <c r="FMD527" s="1831"/>
      <c r="FME527" s="1831"/>
      <c r="FMF527" s="1831"/>
      <c r="FMG527" s="1831"/>
      <c r="FMH527" s="1831"/>
      <c r="FMI527" s="1831"/>
      <c r="FMJ527" s="1831"/>
      <c r="FMK527" s="1831"/>
      <c r="FML527" s="1831"/>
      <c r="FMM527" s="1831"/>
      <c r="FMN527" s="1831"/>
      <c r="FMO527" s="1831"/>
      <c r="FMP527" s="1831"/>
      <c r="FMQ527" s="1831"/>
      <c r="FMR527" s="1831"/>
      <c r="FMS527" s="1831"/>
      <c r="FMT527" s="1831"/>
      <c r="FMU527" s="1831"/>
      <c r="FMV527" s="1831"/>
      <c r="FMW527" s="1831"/>
      <c r="FMX527" s="1831"/>
      <c r="FMY527" s="1831"/>
      <c r="FMZ527" s="1831"/>
      <c r="FNA527" s="1831"/>
      <c r="FNB527" s="1831"/>
      <c r="FNC527" s="1831"/>
      <c r="FND527" s="1831"/>
      <c r="FNE527" s="1831"/>
      <c r="FNF527" s="1831"/>
      <c r="FNG527" s="1831"/>
      <c r="FNH527" s="1831"/>
      <c r="FNI527" s="1831"/>
      <c r="FNJ527" s="1831"/>
      <c r="FNK527" s="1831"/>
      <c r="FNL527" s="1831"/>
      <c r="FNM527" s="1831"/>
      <c r="FNN527" s="1831"/>
      <c r="FNO527" s="1831"/>
      <c r="FNP527" s="1831"/>
      <c r="FNQ527" s="1831"/>
      <c r="FNR527" s="1831"/>
      <c r="FNS527" s="1831"/>
      <c r="FNT527" s="1831"/>
      <c r="FNU527" s="1831"/>
      <c r="FNV527" s="1831"/>
      <c r="FNW527" s="1831"/>
      <c r="FNX527" s="1831"/>
      <c r="FNY527" s="1831"/>
      <c r="FNZ527" s="1831"/>
      <c r="FOA527" s="1831"/>
      <c r="FOB527" s="1831"/>
      <c r="FOC527" s="1831"/>
      <c r="FOD527" s="1831"/>
      <c r="FOE527" s="1831"/>
      <c r="FOF527" s="1831"/>
      <c r="FOG527" s="1831"/>
      <c r="FOH527" s="1831"/>
      <c r="FOI527" s="1831"/>
      <c r="FOJ527" s="1831"/>
      <c r="FOK527" s="1831"/>
      <c r="FOL527" s="1831"/>
      <c r="FOM527" s="1831"/>
      <c r="FON527" s="1831"/>
      <c r="FOO527" s="1831"/>
      <c r="FOP527" s="1831"/>
      <c r="FOQ527" s="1831"/>
      <c r="FOR527" s="1831"/>
      <c r="FOS527" s="1831"/>
      <c r="FOT527" s="1831"/>
      <c r="FOU527" s="1831"/>
      <c r="FOV527" s="1831"/>
      <c r="FOW527" s="1831"/>
      <c r="FOX527" s="1831"/>
      <c r="FOY527" s="1831"/>
      <c r="FOZ527" s="1831"/>
      <c r="FPA527" s="1831"/>
      <c r="FPB527" s="1831"/>
      <c r="FPC527" s="1831"/>
      <c r="FPD527" s="1831"/>
      <c r="FPE527" s="1831"/>
      <c r="FPF527" s="1831"/>
      <c r="FPG527" s="1831"/>
      <c r="FPH527" s="1831"/>
      <c r="FPI527" s="1831"/>
      <c r="FPJ527" s="1831"/>
      <c r="FPK527" s="1831"/>
      <c r="FPL527" s="1831"/>
      <c r="FPM527" s="1831"/>
      <c r="FPN527" s="1831"/>
      <c r="FPO527" s="1831"/>
      <c r="FPP527" s="1831"/>
      <c r="FPQ527" s="1831"/>
      <c r="FPR527" s="1831"/>
      <c r="FPS527" s="1831"/>
      <c r="FPT527" s="1831"/>
      <c r="FPU527" s="1831"/>
      <c r="FPV527" s="1831"/>
      <c r="FPW527" s="1831"/>
      <c r="FPX527" s="1831"/>
      <c r="FPY527" s="1831"/>
      <c r="FPZ527" s="1831"/>
      <c r="FQA527" s="1831"/>
      <c r="FQB527" s="1831"/>
      <c r="FQC527" s="1831"/>
      <c r="FQD527" s="1831"/>
      <c r="FQE527" s="1831"/>
      <c r="FQF527" s="1831"/>
      <c r="FQG527" s="1831"/>
      <c r="FQH527" s="1831"/>
      <c r="FQI527" s="1831"/>
      <c r="FQJ527" s="1831"/>
      <c r="FQK527" s="1831"/>
      <c r="FQL527" s="1831"/>
      <c r="FQM527" s="1831"/>
      <c r="FQN527" s="1831"/>
      <c r="FQO527" s="1831"/>
      <c r="FQP527" s="1831"/>
      <c r="FQQ527" s="1831"/>
      <c r="FQR527" s="1831"/>
      <c r="FQS527" s="1831"/>
      <c r="FQT527" s="1831"/>
      <c r="FQU527" s="1831"/>
      <c r="FQV527" s="1831"/>
      <c r="FQW527" s="1831"/>
      <c r="FQX527" s="1831"/>
      <c r="FQY527" s="1831"/>
      <c r="FQZ527" s="1831"/>
      <c r="FRA527" s="1831"/>
      <c r="FRB527" s="1831"/>
      <c r="FRC527" s="1831"/>
      <c r="FRD527" s="1831"/>
      <c r="FRE527" s="1831"/>
      <c r="FRF527" s="1831"/>
      <c r="FRG527" s="1831"/>
      <c r="FRH527" s="1831"/>
      <c r="FRI527" s="1831"/>
      <c r="FRJ527" s="1831"/>
      <c r="FRK527" s="1831"/>
      <c r="FRL527" s="1831"/>
      <c r="FRM527" s="1831"/>
      <c r="FRN527" s="1831"/>
      <c r="FRO527" s="1831"/>
      <c r="FRP527" s="1831"/>
      <c r="FRQ527" s="1831"/>
      <c r="FRR527" s="1831"/>
      <c r="FRS527" s="1831"/>
      <c r="FRT527" s="1831"/>
      <c r="FRU527" s="1831"/>
      <c r="FRV527" s="1831"/>
      <c r="FRW527" s="1831"/>
      <c r="FRX527" s="1831"/>
      <c r="FRY527" s="1831"/>
      <c r="FRZ527" s="1831"/>
      <c r="FSA527" s="1831"/>
      <c r="FSB527" s="1831"/>
      <c r="FSC527" s="1831"/>
      <c r="FSD527" s="1831"/>
      <c r="FSE527" s="1831"/>
      <c r="FSF527" s="1831"/>
      <c r="FSG527" s="1831"/>
      <c r="FSH527" s="1831"/>
      <c r="FSI527" s="1831"/>
      <c r="FSJ527" s="1831"/>
      <c r="FSK527" s="1831"/>
      <c r="FSL527" s="1831"/>
      <c r="FSM527" s="1831"/>
      <c r="FSN527" s="1831"/>
      <c r="FSO527" s="1831"/>
      <c r="FSP527" s="1831"/>
      <c r="FSQ527" s="1831"/>
      <c r="FSR527" s="1831"/>
      <c r="FSS527" s="1831"/>
      <c r="FST527" s="1831"/>
      <c r="FSU527" s="1831"/>
      <c r="FSV527" s="1831"/>
      <c r="FSW527" s="1831"/>
      <c r="FSX527" s="1831"/>
      <c r="FSY527" s="1831"/>
      <c r="FSZ527" s="1831"/>
      <c r="FTA527" s="1831"/>
      <c r="FTB527" s="1831"/>
      <c r="FTC527" s="1831"/>
      <c r="FTD527" s="1831"/>
      <c r="FTE527" s="1831"/>
      <c r="FTF527" s="1831"/>
      <c r="FTG527" s="1831"/>
      <c r="FTH527" s="1831"/>
      <c r="FTI527" s="1831"/>
      <c r="FTJ527" s="1831"/>
      <c r="FTK527" s="1831"/>
      <c r="FTL527" s="1831"/>
      <c r="FTM527" s="1831"/>
      <c r="FTN527" s="1831"/>
      <c r="FTO527" s="1831"/>
      <c r="FTP527" s="1831"/>
      <c r="FTQ527" s="1831"/>
      <c r="FTR527" s="1831"/>
      <c r="FTS527" s="1831"/>
      <c r="FTT527" s="1831"/>
      <c r="FTU527" s="1831"/>
      <c r="FTV527" s="1831"/>
      <c r="FTW527" s="1831"/>
      <c r="FTX527" s="1831"/>
      <c r="FTY527" s="1831"/>
      <c r="FTZ527" s="1831"/>
      <c r="FUA527" s="1831"/>
      <c r="FUB527" s="1831"/>
      <c r="FUC527" s="1831"/>
      <c r="FUD527" s="1831"/>
      <c r="FUE527" s="1831"/>
      <c r="FUF527" s="1831"/>
      <c r="FUG527" s="1831"/>
      <c r="FUH527" s="1831"/>
      <c r="FUI527" s="1831"/>
      <c r="FUJ527" s="1831"/>
      <c r="FUK527" s="1831"/>
      <c r="FUL527" s="1831"/>
      <c r="FUM527" s="1831"/>
      <c r="FUN527" s="1831"/>
      <c r="FUO527" s="1831"/>
      <c r="FUP527" s="1831"/>
      <c r="FUQ527" s="1831"/>
      <c r="FUR527" s="1831"/>
      <c r="FUS527" s="1831"/>
      <c r="FUT527" s="1831"/>
      <c r="FUU527" s="1831"/>
      <c r="FUV527" s="1831"/>
      <c r="FUW527" s="1831"/>
      <c r="FUX527" s="1831"/>
      <c r="FUY527" s="1831"/>
      <c r="FUZ527" s="1831"/>
      <c r="FVA527" s="1831"/>
      <c r="FVB527" s="1831"/>
      <c r="FVC527" s="1831"/>
      <c r="FVD527" s="1831"/>
      <c r="FVE527" s="1831"/>
      <c r="FVF527" s="1831"/>
      <c r="FVG527" s="1831"/>
      <c r="FVH527" s="1831"/>
      <c r="FVI527" s="1831"/>
      <c r="FVJ527" s="1831"/>
      <c r="FVK527" s="1831"/>
      <c r="FVL527" s="1831"/>
      <c r="FVM527" s="1831"/>
      <c r="FVN527" s="1831"/>
      <c r="FVO527" s="1831"/>
      <c r="FVP527" s="1831"/>
      <c r="FVQ527" s="1831"/>
      <c r="FVR527" s="1831"/>
      <c r="FVS527" s="1831"/>
      <c r="FVT527" s="1831"/>
      <c r="FVU527" s="1831"/>
      <c r="FVV527" s="1831"/>
      <c r="FVW527" s="1831"/>
      <c r="FVX527" s="1831"/>
      <c r="FVY527" s="1831"/>
      <c r="FVZ527" s="1831"/>
      <c r="FWA527" s="1831"/>
      <c r="FWB527" s="1831"/>
      <c r="FWC527" s="1831"/>
      <c r="FWD527" s="1831"/>
      <c r="FWE527" s="1831"/>
      <c r="FWF527" s="1831"/>
      <c r="FWG527" s="1831"/>
      <c r="FWH527" s="1831"/>
      <c r="FWI527" s="1831"/>
      <c r="FWJ527" s="1831"/>
      <c r="FWK527" s="1831"/>
      <c r="FWL527" s="1831"/>
      <c r="FWM527" s="1831"/>
      <c r="FWN527" s="1831"/>
      <c r="FWO527" s="1831"/>
      <c r="FWP527" s="1831"/>
      <c r="FWQ527" s="1831"/>
      <c r="FWR527" s="1831"/>
      <c r="FWS527" s="1831"/>
      <c r="FWT527" s="1831"/>
      <c r="FWU527" s="1831"/>
      <c r="FWV527" s="1831"/>
      <c r="FWW527" s="1831"/>
      <c r="FWX527" s="1831"/>
      <c r="FWY527" s="1831"/>
      <c r="FWZ527" s="1831"/>
      <c r="FXA527" s="1831"/>
      <c r="FXB527" s="1831"/>
      <c r="FXC527" s="1831"/>
      <c r="FXD527" s="1831"/>
      <c r="FXE527" s="1831"/>
      <c r="FXF527" s="1831"/>
      <c r="FXG527" s="1831"/>
      <c r="FXH527" s="1831"/>
      <c r="FXI527" s="1831"/>
      <c r="FXJ527" s="1831"/>
      <c r="FXK527" s="1831"/>
      <c r="FXL527" s="1831"/>
      <c r="FXM527" s="1831"/>
      <c r="FXN527" s="1831"/>
      <c r="FXO527" s="1831"/>
      <c r="FXP527" s="1831"/>
      <c r="FXQ527" s="1831"/>
      <c r="FXR527" s="1831"/>
      <c r="FXS527" s="1831"/>
      <c r="FXT527" s="1831"/>
      <c r="FXU527" s="1831"/>
      <c r="FXV527" s="1831"/>
      <c r="FXW527" s="1831"/>
      <c r="FXX527" s="1831"/>
      <c r="FXY527" s="1831"/>
      <c r="FXZ527" s="1831"/>
      <c r="FYA527" s="1831"/>
      <c r="FYB527" s="1831"/>
      <c r="FYC527" s="1831"/>
      <c r="FYD527" s="1831"/>
      <c r="FYE527" s="1831"/>
      <c r="FYF527" s="1831"/>
      <c r="FYG527" s="1831"/>
      <c r="FYH527" s="1831"/>
      <c r="FYI527" s="1831"/>
      <c r="FYJ527" s="1831"/>
      <c r="FYK527" s="1831"/>
      <c r="FYL527" s="1831"/>
      <c r="FYM527" s="1831"/>
      <c r="FYN527" s="1831"/>
      <c r="FYO527" s="1831"/>
      <c r="FYP527" s="1831"/>
      <c r="FYQ527" s="1831"/>
      <c r="FYR527" s="1831"/>
      <c r="FYS527" s="1831"/>
      <c r="FYT527" s="1831"/>
      <c r="FYU527" s="1831"/>
      <c r="FYV527" s="1831"/>
      <c r="FYW527" s="1831"/>
      <c r="FYX527" s="1831"/>
      <c r="FYY527" s="1831"/>
      <c r="FYZ527" s="1831"/>
      <c r="FZA527" s="1831"/>
      <c r="FZB527" s="1831"/>
      <c r="FZC527" s="1831"/>
      <c r="FZD527" s="1831"/>
      <c r="FZE527" s="1831"/>
      <c r="FZF527" s="1831"/>
      <c r="FZG527" s="1831"/>
      <c r="FZH527" s="1831"/>
      <c r="FZI527" s="1831"/>
      <c r="FZJ527" s="1831"/>
      <c r="FZK527" s="1831"/>
      <c r="FZL527" s="1831"/>
      <c r="FZM527" s="1831"/>
      <c r="FZN527" s="1831"/>
      <c r="FZO527" s="1831"/>
      <c r="FZP527" s="1831"/>
      <c r="FZQ527" s="1831"/>
      <c r="FZR527" s="1831"/>
      <c r="FZS527" s="1831"/>
      <c r="FZT527" s="1831"/>
      <c r="FZU527" s="1831"/>
      <c r="FZV527" s="1831"/>
      <c r="FZW527" s="1831"/>
      <c r="FZX527" s="1831"/>
      <c r="FZY527" s="1831"/>
      <c r="FZZ527" s="1831"/>
      <c r="GAA527" s="1831"/>
      <c r="GAB527" s="1831"/>
      <c r="GAC527" s="1831"/>
      <c r="GAD527" s="1831"/>
      <c r="GAE527" s="1831"/>
      <c r="GAF527" s="1831"/>
      <c r="GAG527" s="1831"/>
      <c r="GAH527" s="1831"/>
      <c r="GAI527" s="1831"/>
      <c r="GAJ527" s="1831"/>
      <c r="GAK527" s="1831"/>
      <c r="GAL527" s="1831"/>
      <c r="GAM527" s="1831"/>
      <c r="GAN527" s="1831"/>
      <c r="GAO527" s="1831"/>
      <c r="GAP527" s="1831"/>
      <c r="GAQ527" s="1831"/>
      <c r="GAR527" s="1831"/>
      <c r="GAS527" s="1831"/>
      <c r="GAT527" s="1831"/>
      <c r="GAU527" s="1831"/>
      <c r="GAV527" s="1831"/>
      <c r="GAW527" s="1831"/>
      <c r="GAX527" s="1831"/>
      <c r="GAY527" s="1831"/>
      <c r="GAZ527" s="1831"/>
      <c r="GBA527" s="1831"/>
      <c r="GBB527" s="1831"/>
      <c r="GBC527" s="1831"/>
      <c r="GBD527" s="1831"/>
      <c r="GBE527" s="1831"/>
      <c r="GBF527" s="1831"/>
      <c r="GBG527" s="1831"/>
      <c r="GBH527" s="1831"/>
      <c r="GBI527" s="1831"/>
      <c r="GBJ527" s="1831"/>
      <c r="GBK527" s="1831"/>
      <c r="GBL527" s="1831"/>
      <c r="GBM527" s="1831"/>
      <c r="GBN527" s="1831"/>
      <c r="GBO527" s="1831"/>
      <c r="GBP527" s="1831"/>
      <c r="GBQ527" s="1831"/>
      <c r="GBR527" s="1831"/>
      <c r="GBS527" s="1831"/>
      <c r="GBT527" s="1831"/>
      <c r="GBU527" s="1831"/>
      <c r="GBV527" s="1831"/>
      <c r="GBW527" s="1831"/>
      <c r="GBX527" s="1831"/>
      <c r="GBY527" s="1831"/>
      <c r="GBZ527" s="1831"/>
      <c r="GCA527" s="1831"/>
      <c r="GCB527" s="1831"/>
      <c r="GCC527" s="1831"/>
      <c r="GCD527" s="1831"/>
      <c r="GCE527" s="1831"/>
      <c r="GCF527" s="1831"/>
      <c r="GCG527" s="1831"/>
      <c r="GCH527" s="1831"/>
      <c r="GCI527" s="1831"/>
      <c r="GCJ527" s="1831"/>
      <c r="GCK527" s="1831"/>
      <c r="GCL527" s="1831"/>
      <c r="GCM527" s="1831"/>
      <c r="GCN527" s="1831"/>
      <c r="GCO527" s="1831"/>
      <c r="GCP527" s="1831"/>
      <c r="GCQ527" s="1831"/>
      <c r="GCR527" s="1831"/>
      <c r="GCS527" s="1831"/>
      <c r="GCT527" s="1831"/>
      <c r="GCU527" s="1831"/>
      <c r="GCV527" s="1831"/>
      <c r="GCW527" s="1831"/>
      <c r="GCX527" s="1831"/>
      <c r="GCY527" s="1831"/>
      <c r="GCZ527" s="1831"/>
      <c r="GDA527" s="1831"/>
      <c r="GDB527" s="1831"/>
      <c r="GDC527" s="1831"/>
      <c r="GDD527" s="1831"/>
      <c r="GDE527" s="1831"/>
      <c r="GDF527" s="1831"/>
      <c r="GDG527" s="1831"/>
      <c r="GDH527" s="1831"/>
      <c r="GDI527" s="1831"/>
      <c r="GDJ527" s="1831"/>
      <c r="GDK527" s="1831"/>
      <c r="GDL527" s="1831"/>
      <c r="GDM527" s="1831"/>
      <c r="GDN527" s="1831"/>
      <c r="GDO527" s="1831"/>
      <c r="GDP527" s="1831"/>
      <c r="GDQ527" s="1831"/>
      <c r="GDR527" s="1831"/>
      <c r="GDS527" s="1831"/>
      <c r="GDT527" s="1831"/>
      <c r="GDU527" s="1831"/>
      <c r="GDV527" s="1831"/>
      <c r="GDW527" s="1831"/>
      <c r="GDX527" s="1831"/>
      <c r="GDY527" s="1831"/>
      <c r="GDZ527" s="1831"/>
      <c r="GEA527" s="1831"/>
      <c r="GEB527" s="1831"/>
      <c r="GEC527" s="1831"/>
      <c r="GED527" s="1831"/>
      <c r="GEE527" s="1831"/>
      <c r="GEF527" s="1831"/>
      <c r="GEG527" s="1831"/>
      <c r="GEH527" s="1831"/>
      <c r="GEI527" s="1831"/>
      <c r="GEJ527" s="1831"/>
      <c r="GEK527" s="1831"/>
      <c r="GEL527" s="1831"/>
      <c r="GEM527" s="1831"/>
      <c r="GEN527" s="1831"/>
      <c r="GEO527" s="1831"/>
      <c r="GEP527" s="1831"/>
      <c r="GEQ527" s="1831"/>
      <c r="GER527" s="1831"/>
      <c r="GES527" s="1831"/>
      <c r="GET527" s="1831"/>
      <c r="GEU527" s="1831"/>
      <c r="GEV527" s="1831"/>
      <c r="GEW527" s="1831"/>
      <c r="GEX527" s="1831"/>
      <c r="GEY527" s="1831"/>
      <c r="GEZ527" s="1831"/>
      <c r="GFA527" s="1831"/>
      <c r="GFB527" s="1831"/>
      <c r="GFC527" s="1831"/>
      <c r="GFD527" s="1831"/>
      <c r="GFE527" s="1831"/>
      <c r="GFF527" s="1831"/>
      <c r="GFG527" s="1831"/>
      <c r="GFH527" s="1831"/>
      <c r="GFI527" s="1831"/>
      <c r="GFJ527" s="1831"/>
      <c r="GFK527" s="1831"/>
      <c r="GFL527" s="1831"/>
      <c r="GFM527" s="1831"/>
      <c r="GFN527" s="1831"/>
      <c r="GFO527" s="1831"/>
      <c r="GFP527" s="1831"/>
      <c r="GFQ527" s="1831"/>
      <c r="GFR527" s="1831"/>
      <c r="GFS527" s="1831"/>
      <c r="GFT527" s="1831"/>
      <c r="GFU527" s="1831"/>
      <c r="GFV527" s="1831"/>
      <c r="GFW527" s="1831"/>
      <c r="GFX527" s="1831"/>
      <c r="GFY527" s="1831"/>
      <c r="GFZ527" s="1831"/>
      <c r="GGA527" s="1831"/>
      <c r="GGB527" s="1831"/>
      <c r="GGC527" s="1831"/>
      <c r="GGD527" s="1831"/>
      <c r="GGE527" s="1831"/>
      <c r="GGF527" s="1831"/>
      <c r="GGG527" s="1831"/>
      <c r="GGH527" s="1831"/>
      <c r="GGI527" s="1831"/>
      <c r="GGJ527" s="1831"/>
      <c r="GGK527" s="1831"/>
      <c r="GGL527" s="1831"/>
      <c r="GGM527" s="1831"/>
      <c r="GGN527" s="1831"/>
      <c r="GGO527" s="1831"/>
      <c r="GGP527" s="1831"/>
      <c r="GGQ527" s="1831"/>
      <c r="GGR527" s="1831"/>
      <c r="GGS527" s="1831"/>
      <c r="GGT527" s="1831"/>
      <c r="GGU527" s="1831"/>
      <c r="GGV527" s="1831"/>
      <c r="GGW527" s="1831"/>
      <c r="GGX527" s="1831"/>
      <c r="GGY527" s="1831"/>
      <c r="GGZ527" s="1831"/>
      <c r="GHA527" s="1831"/>
      <c r="GHB527" s="1831"/>
      <c r="GHC527" s="1831"/>
      <c r="GHD527" s="1831"/>
      <c r="GHE527" s="1831"/>
      <c r="GHF527" s="1831"/>
      <c r="GHG527" s="1831"/>
      <c r="GHH527" s="1831"/>
      <c r="GHI527" s="1831"/>
      <c r="GHJ527" s="1831"/>
      <c r="GHK527" s="1831"/>
      <c r="GHL527" s="1831"/>
      <c r="GHM527" s="1831"/>
      <c r="GHN527" s="1831"/>
      <c r="GHO527" s="1831"/>
      <c r="GHP527" s="1831"/>
      <c r="GHQ527" s="1831"/>
      <c r="GHR527" s="1831"/>
      <c r="GHS527" s="1831"/>
      <c r="GHT527" s="1831"/>
      <c r="GHU527" s="1831"/>
      <c r="GHV527" s="1831"/>
      <c r="GHW527" s="1831"/>
      <c r="GHX527" s="1831"/>
      <c r="GHY527" s="1831"/>
      <c r="GHZ527" s="1831"/>
      <c r="GIA527" s="1831"/>
      <c r="GIB527" s="1831"/>
      <c r="GIC527" s="1831"/>
      <c r="GID527" s="1831"/>
      <c r="GIE527" s="1831"/>
      <c r="GIF527" s="1831"/>
      <c r="GIG527" s="1831"/>
      <c r="GIH527" s="1831"/>
      <c r="GII527" s="1831"/>
      <c r="GIJ527" s="1831"/>
      <c r="GIK527" s="1831"/>
      <c r="GIL527" s="1831"/>
      <c r="GIM527" s="1831"/>
      <c r="GIN527" s="1831"/>
      <c r="GIO527" s="1831"/>
      <c r="GIP527" s="1831"/>
      <c r="GIQ527" s="1831"/>
      <c r="GIR527" s="1831"/>
      <c r="GIS527" s="1831"/>
      <c r="GIT527" s="1831"/>
      <c r="GIU527" s="1831"/>
      <c r="GIV527" s="1831"/>
      <c r="GIW527" s="1831"/>
      <c r="GIX527" s="1831"/>
      <c r="GIY527" s="1831"/>
      <c r="GIZ527" s="1831"/>
      <c r="GJA527" s="1831"/>
      <c r="GJB527" s="1831"/>
      <c r="GJC527" s="1831"/>
      <c r="GJD527" s="1831"/>
      <c r="GJE527" s="1831"/>
      <c r="GJF527" s="1831"/>
      <c r="GJG527" s="1831"/>
      <c r="GJH527" s="1831"/>
      <c r="GJI527" s="1831"/>
      <c r="GJJ527" s="1831"/>
      <c r="GJK527" s="1831"/>
      <c r="GJL527" s="1831"/>
      <c r="GJM527" s="1831"/>
      <c r="GJN527" s="1831"/>
      <c r="GJO527" s="1831"/>
      <c r="GJP527" s="1831"/>
      <c r="GJQ527" s="1831"/>
      <c r="GJR527" s="1831"/>
      <c r="GJS527" s="1831"/>
      <c r="GJT527" s="1831"/>
      <c r="GJU527" s="1831"/>
      <c r="GJV527" s="1831"/>
      <c r="GJW527" s="1831"/>
      <c r="GJX527" s="1831"/>
      <c r="GJY527" s="1831"/>
      <c r="GJZ527" s="1831"/>
      <c r="GKA527" s="1831"/>
      <c r="GKB527" s="1831"/>
      <c r="GKC527" s="1831"/>
      <c r="GKD527" s="1831"/>
      <c r="GKE527" s="1831"/>
      <c r="GKF527" s="1831"/>
      <c r="GKG527" s="1831"/>
      <c r="GKH527" s="1831"/>
      <c r="GKI527" s="1831"/>
      <c r="GKJ527" s="1831"/>
      <c r="GKK527" s="1831"/>
      <c r="GKL527" s="1831"/>
      <c r="GKM527" s="1831"/>
      <c r="GKN527" s="1831"/>
      <c r="GKO527" s="1831"/>
      <c r="GKP527" s="1831"/>
      <c r="GKQ527" s="1831"/>
      <c r="GKR527" s="1831"/>
      <c r="GKS527" s="1831"/>
      <c r="GKT527" s="1831"/>
      <c r="GKU527" s="1831"/>
      <c r="GKV527" s="1831"/>
      <c r="GKW527" s="1831"/>
      <c r="GKX527" s="1831"/>
      <c r="GKY527" s="1831"/>
      <c r="GKZ527" s="1831"/>
      <c r="GLA527" s="1831"/>
      <c r="GLB527" s="1831"/>
      <c r="GLC527" s="1831"/>
      <c r="GLD527" s="1831"/>
      <c r="GLE527" s="1831"/>
      <c r="GLF527" s="1831"/>
      <c r="GLG527" s="1831"/>
      <c r="GLH527" s="1831"/>
      <c r="GLI527" s="1831"/>
      <c r="GLJ527" s="1831"/>
      <c r="GLK527" s="1831"/>
      <c r="GLL527" s="1831"/>
      <c r="GLM527" s="1831"/>
      <c r="GLN527" s="1831"/>
      <c r="GLO527" s="1831"/>
      <c r="GLP527" s="1831"/>
      <c r="GLQ527" s="1831"/>
      <c r="GLR527" s="1831"/>
      <c r="GLS527" s="1831"/>
      <c r="GLT527" s="1831"/>
      <c r="GLU527" s="1831"/>
      <c r="GLV527" s="1831"/>
      <c r="GLW527" s="1831"/>
      <c r="GLX527" s="1831"/>
      <c r="GLY527" s="1831"/>
      <c r="GLZ527" s="1831"/>
      <c r="GMA527" s="1831"/>
      <c r="GMB527" s="1831"/>
      <c r="GMC527" s="1831"/>
      <c r="GMD527" s="1831"/>
      <c r="GME527" s="1831"/>
      <c r="GMF527" s="1831"/>
      <c r="GMG527" s="1831"/>
      <c r="GMH527" s="1831"/>
      <c r="GMI527" s="1831"/>
      <c r="GMJ527" s="1831"/>
      <c r="GMK527" s="1831"/>
      <c r="GML527" s="1831"/>
      <c r="GMM527" s="1831"/>
      <c r="GMN527" s="1831"/>
      <c r="GMO527" s="1831"/>
      <c r="GMP527" s="1831"/>
      <c r="GMQ527" s="1831"/>
      <c r="GMR527" s="1831"/>
      <c r="GMS527" s="1831"/>
      <c r="GMT527" s="1831"/>
      <c r="GMU527" s="1831"/>
      <c r="GMV527" s="1831"/>
      <c r="GMW527" s="1831"/>
      <c r="GMX527" s="1831"/>
      <c r="GMY527" s="1831"/>
      <c r="GMZ527" s="1831"/>
      <c r="GNA527" s="1831"/>
      <c r="GNB527" s="1831"/>
      <c r="GNC527" s="1831"/>
      <c r="GND527" s="1831"/>
      <c r="GNE527" s="1831"/>
      <c r="GNF527" s="1831"/>
      <c r="GNG527" s="1831"/>
      <c r="GNH527" s="1831"/>
      <c r="GNI527" s="1831"/>
      <c r="GNJ527" s="1831"/>
      <c r="GNK527" s="1831"/>
      <c r="GNL527" s="1831"/>
      <c r="GNM527" s="1831"/>
      <c r="GNN527" s="1831"/>
      <c r="GNO527" s="1831"/>
      <c r="GNP527" s="1831"/>
      <c r="GNQ527" s="1831"/>
      <c r="GNR527" s="1831"/>
      <c r="GNS527" s="1831"/>
      <c r="GNT527" s="1831"/>
      <c r="GNU527" s="1831"/>
      <c r="GNV527" s="1831"/>
      <c r="GNW527" s="1831"/>
      <c r="GNX527" s="1831"/>
      <c r="GNY527" s="1831"/>
      <c r="GNZ527" s="1831"/>
      <c r="GOA527" s="1831"/>
      <c r="GOB527" s="1831"/>
      <c r="GOC527" s="1831"/>
      <c r="GOD527" s="1831"/>
      <c r="GOE527" s="1831"/>
      <c r="GOF527" s="1831"/>
      <c r="GOG527" s="1831"/>
      <c r="GOH527" s="1831"/>
      <c r="GOI527" s="1831"/>
      <c r="GOJ527" s="1831"/>
      <c r="GOK527" s="1831"/>
      <c r="GOL527" s="1831"/>
      <c r="GOM527" s="1831"/>
      <c r="GON527" s="1831"/>
      <c r="GOO527" s="1831"/>
      <c r="GOP527" s="1831"/>
      <c r="GOQ527" s="1831"/>
      <c r="GOR527" s="1831"/>
      <c r="GOS527" s="1831"/>
      <c r="GOT527" s="1831"/>
      <c r="GOU527" s="1831"/>
      <c r="GOV527" s="1831"/>
      <c r="GOW527" s="1831"/>
      <c r="GOX527" s="1831"/>
      <c r="GOY527" s="1831"/>
      <c r="GOZ527" s="1831"/>
      <c r="GPA527" s="1831"/>
      <c r="GPB527" s="1831"/>
      <c r="GPC527" s="1831"/>
      <c r="GPD527" s="1831"/>
      <c r="GPE527" s="1831"/>
      <c r="GPF527" s="1831"/>
      <c r="GPG527" s="1831"/>
      <c r="GPH527" s="1831"/>
      <c r="GPI527" s="1831"/>
      <c r="GPJ527" s="1831"/>
      <c r="GPK527" s="1831"/>
      <c r="GPL527" s="1831"/>
      <c r="GPM527" s="1831"/>
      <c r="GPN527" s="1831"/>
      <c r="GPO527" s="1831"/>
      <c r="GPP527" s="1831"/>
      <c r="GPQ527" s="1831"/>
      <c r="GPR527" s="1831"/>
      <c r="GPS527" s="1831"/>
      <c r="GPT527" s="1831"/>
      <c r="GPU527" s="1831"/>
      <c r="GPV527" s="1831"/>
      <c r="GPW527" s="1831"/>
      <c r="GPX527" s="1831"/>
      <c r="GPY527" s="1831"/>
      <c r="GPZ527" s="1831"/>
      <c r="GQA527" s="1831"/>
      <c r="GQB527" s="1831"/>
      <c r="GQC527" s="1831"/>
      <c r="GQD527" s="1831"/>
      <c r="GQE527" s="1831"/>
      <c r="GQF527" s="1831"/>
      <c r="GQG527" s="1831"/>
      <c r="GQH527" s="1831"/>
      <c r="GQI527" s="1831"/>
      <c r="GQJ527" s="1831"/>
      <c r="GQK527" s="1831"/>
      <c r="GQL527" s="1831"/>
      <c r="GQM527" s="1831"/>
      <c r="GQN527" s="1831"/>
      <c r="GQO527" s="1831"/>
      <c r="GQP527" s="1831"/>
      <c r="GQQ527" s="1831"/>
      <c r="GQR527" s="1831"/>
      <c r="GQS527" s="1831"/>
      <c r="GQT527" s="1831"/>
      <c r="GQU527" s="1831"/>
      <c r="GQV527" s="1831"/>
      <c r="GQW527" s="1831"/>
      <c r="GQX527" s="1831"/>
      <c r="GQY527" s="1831"/>
      <c r="GQZ527" s="1831"/>
      <c r="GRA527" s="1831"/>
      <c r="GRB527" s="1831"/>
      <c r="GRC527" s="1831"/>
      <c r="GRD527" s="1831"/>
      <c r="GRE527" s="1831"/>
      <c r="GRF527" s="1831"/>
      <c r="GRG527" s="1831"/>
      <c r="GRH527" s="1831"/>
      <c r="GRI527" s="1831"/>
      <c r="GRJ527" s="1831"/>
      <c r="GRK527" s="1831"/>
      <c r="GRL527" s="1831"/>
      <c r="GRM527" s="1831"/>
      <c r="GRN527" s="1831"/>
      <c r="GRO527" s="1831"/>
      <c r="GRP527" s="1831"/>
      <c r="GRQ527" s="1831"/>
      <c r="GRR527" s="1831"/>
      <c r="GRS527" s="1831"/>
      <c r="GRT527" s="1831"/>
      <c r="GRU527" s="1831"/>
      <c r="GRV527" s="1831"/>
      <c r="GRW527" s="1831"/>
      <c r="GRX527" s="1831"/>
      <c r="GRY527" s="1831"/>
      <c r="GRZ527" s="1831"/>
      <c r="GSA527" s="1831"/>
      <c r="GSB527" s="1831"/>
      <c r="GSC527" s="1831"/>
      <c r="GSD527" s="1831"/>
      <c r="GSE527" s="1831"/>
      <c r="GSF527" s="1831"/>
      <c r="GSG527" s="1831"/>
      <c r="GSH527" s="1831"/>
      <c r="GSI527" s="1831"/>
      <c r="GSJ527" s="1831"/>
      <c r="GSK527" s="1831"/>
      <c r="GSL527" s="1831"/>
      <c r="GSM527" s="1831"/>
      <c r="GSN527" s="1831"/>
      <c r="GSO527" s="1831"/>
      <c r="GSP527" s="1831"/>
      <c r="GSQ527" s="1831"/>
      <c r="GSR527" s="1831"/>
      <c r="GSS527" s="1831"/>
      <c r="GST527" s="1831"/>
      <c r="GSU527" s="1831"/>
      <c r="GSV527" s="1831"/>
      <c r="GSW527" s="1831"/>
      <c r="GSX527" s="1831"/>
      <c r="GSY527" s="1831"/>
      <c r="GSZ527" s="1831"/>
      <c r="GTA527" s="1831"/>
      <c r="GTB527" s="1831"/>
      <c r="GTC527" s="1831"/>
      <c r="GTD527" s="1831"/>
      <c r="GTE527" s="1831"/>
      <c r="GTF527" s="1831"/>
      <c r="GTG527" s="1831"/>
      <c r="GTH527" s="1831"/>
      <c r="GTI527" s="1831"/>
      <c r="GTJ527" s="1831"/>
      <c r="GTK527" s="1831"/>
      <c r="GTL527" s="1831"/>
      <c r="GTM527" s="1831"/>
      <c r="GTN527" s="1831"/>
      <c r="GTO527" s="1831"/>
      <c r="GTP527" s="1831"/>
      <c r="GTQ527" s="1831"/>
      <c r="GTR527" s="1831"/>
      <c r="GTS527" s="1831"/>
      <c r="GTT527" s="1831"/>
      <c r="GTU527" s="1831"/>
      <c r="GTV527" s="1831"/>
      <c r="GTW527" s="1831"/>
      <c r="GTX527" s="1831"/>
      <c r="GTY527" s="1831"/>
      <c r="GTZ527" s="1831"/>
      <c r="GUA527" s="1831"/>
      <c r="GUB527" s="1831"/>
      <c r="GUC527" s="1831"/>
      <c r="GUD527" s="1831"/>
      <c r="GUE527" s="1831"/>
      <c r="GUF527" s="1831"/>
      <c r="GUG527" s="1831"/>
      <c r="GUH527" s="1831"/>
      <c r="GUI527" s="1831"/>
      <c r="GUJ527" s="1831"/>
      <c r="GUK527" s="1831"/>
      <c r="GUL527" s="1831"/>
      <c r="GUM527" s="1831"/>
      <c r="GUN527" s="1831"/>
      <c r="GUO527" s="1831"/>
      <c r="GUP527" s="1831"/>
      <c r="GUQ527" s="1831"/>
      <c r="GUR527" s="1831"/>
      <c r="GUS527" s="1831"/>
      <c r="GUT527" s="1831"/>
      <c r="GUU527" s="1831"/>
      <c r="GUV527" s="1831"/>
      <c r="GUW527" s="1831"/>
      <c r="GUX527" s="1831"/>
      <c r="GUY527" s="1831"/>
      <c r="GUZ527" s="1831"/>
      <c r="GVA527" s="1831"/>
      <c r="GVB527" s="1831"/>
      <c r="GVC527" s="1831"/>
      <c r="GVD527" s="1831"/>
      <c r="GVE527" s="1831"/>
      <c r="GVF527" s="1831"/>
      <c r="GVG527" s="1831"/>
      <c r="GVH527" s="1831"/>
      <c r="GVI527" s="1831"/>
      <c r="GVJ527" s="1831"/>
      <c r="GVK527" s="1831"/>
      <c r="GVL527" s="1831"/>
      <c r="GVM527" s="1831"/>
      <c r="GVN527" s="1831"/>
      <c r="GVO527" s="1831"/>
      <c r="GVP527" s="1831"/>
      <c r="GVQ527" s="1831"/>
      <c r="GVR527" s="1831"/>
      <c r="GVS527" s="1831"/>
      <c r="GVT527" s="1831"/>
      <c r="GVU527" s="1831"/>
      <c r="GVV527" s="1831"/>
      <c r="GVW527" s="1831"/>
      <c r="GVX527" s="1831"/>
      <c r="GVY527" s="1831"/>
      <c r="GVZ527" s="1831"/>
      <c r="GWA527" s="1831"/>
      <c r="GWB527" s="1831"/>
      <c r="GWC527" s="1831"/>
      <c r="GWD527" s="1831"/>
      <c r="GWE527" s="1831"/>
      <c r="GWF527" s="1831"/>
      <c r="GWG527" s="1831"/>
      <c r="GWH527" s="1831"/>
      <c r="GWI527" s="1831"/>
      <c r="GWJ527" s="1831"/>
      <c r="GWK527" s="1831"/>
      <c r="GWL527" s="1831"/>
      <c r="GWM527" s="1831"/>
      <c r="GWN527" s="1831"/>
      <c r="GWO527" s="1831"/>
      <c r="GWP527" s="1831"/>
      <c r="GWQ527" s="1831"/>
      <c r="GWR527" s="1831"/>
      <c r="GWS527" s="1831"/>
      <c r="GWT527" s="1831"/>
      <c r="GWU527" s="1831"/>
      <c r="GWV527" s="1831"/>
      <c r="GWW527" s="1831"/>
      <c r="GWX527" s="1831"/>
      <c r="GWY527" s="1831"/>
      <c r="GWZ527" s="1831"/>
      <c r="GXA527" s="1831"/>
      <c r="GXB527" s="1831"/>
      <c r="GXC527" s="1831"/>
      <c r="GXD527" s="1831"/>
      <c r="GXE527" s="1831"/>
      <c r="GXF527" s="1831"/>
      <c r="GXG527" s="1831"/>
      <c r="GXH527" s="1831"/>
      <c r="GXI527" s="1831"/>
      <c r="GXJ527" s="1831"/>
      <c r="GXK527" s="1831"/>
      <c r="GXL527" s="1831"/>
      <c r="GXM527" s="1831"/>
      <c r="GXN527" s="1831"/>
      <c r="GXO527" s="1831"/>
      <c r="GXP527" s="1831"/>
      <c r="GXQ527" s="1831"/>
      <c r="GXR527" s="1831"/>
      <c r="GXS527" s="1831"/>
      <c r="GXT527" s="1831"/>
      <c r="GXU527" s="1831"/>
      <c r="GXV527" s="1831"/>
      <c r="GXW527" s="1831"/>
      <c r="GXX527" s="1831"/>
      <c r="GXY527" s="1831"/>
      <c r="GXZ527" s="1831"/>
      <c r="GYA527" s="1831"/>
      <c r="GYB527" s="1831"/>
      <c r="GYC527" s="1831"/>
      <c r="GYD527" s="1831"/>
      <c r="GYE527" s="1831"/>
      <c r="GYF527" s="1831"/>
      <c r="GYG527" s="1831"/>
      <c r="GYH527" s="1831"/>
      <c r="GYI527" s="1831"/>
      <c r="GYJ527" s="1831"/>
      <c r="GYK527" s="1831"/>
      <c r="GYL527" s="1831"/>
      <c r="GYM527" s="1831"/>
      <c r="GYN527" s="1831"/>
      <c r="GYO527" s="1831"/>
      <c r="GYP527" s="1831"/>
      <c r="GYQ527" s="1831"/>
      <c r="GYR527" s="1831"/>
      <c r="GYS527" s="1831"/>
      <c r="GYT527" s="1831"/>
      <c r="GYU527" s="1831"/>
      <c r="GYV527" s="1831"/>
      <c r="GYW527" s="1831"/>
      <c r="GYX527" s="1831"/>
      <c r="GYY527" s="1831"/>
      <c r="GYZ527" s="1831"/>
      <c r="GZA527" s="1831"/>
      <c r="GZB527" s="1831"/>
      <c r="GZC527" s="1831"/>
      <c r="GZD527" s="1831"/>
      <c r="GZE527" s="1831"/>
      <c r="GZF527" s="1831"/>
      <c r="GZG527" s="1831"/>
      <c r="GZH527" s="1831"/>
      <c r="GZI527" s="1831"/>
      <c r="GZJ527" s="1831"/>
      <c r="GZK527" s="1831"/>
      <c r="GZL527" s="1831"/>
      <c r="GZM527" s="1831"/>
      <c r="GZN527" s="1831"/>
      <c r="GZO527" s="1831"/>
      <c r="GZP527" s="1831"/>
      <c r="GZQ527" s="1831"/>
      <c r="GZR527" s="1831"/>
      <c r="GZS527" s="1831"/>
      <c r="GZT527" s="1831"/>
      <c r="GZU527" s="1831"/>
      <c r="GZV527" s="1831"/>
      <c r="GZW527" s="1831"/>
      <c r="GZX527" s="1831"/>
      <c r="GZY527" s="1831"/>
      <c r="GZZ527" s="1831"/>
      <c r="HAA527" s="1831"/>
      <c r="HAB527" s="1831"/>
      <c r="HAC527" s="1831"/>
      <c r="HAD527" s="1831"/>
      <c r="HAE527" s="1831"/>
      <c r="HAF527" s="1831"/>
      <c r="HAG527" s="1831"/>
      <c r="HAH527" s="1831"/>
      <c r="HAI527" s="1831"/>
      <c r="HAJ527" s="1831"/>
      <c r="HAK527" s="1831"/>
      <c r="HAL527" s="1831"/>
      <c r="HAM527" s="1831"/>
      <c r="HAN527" s="1831"/>
      <c r="HAO527" s="1831"/>
      <c r="HAP527" s="1831"/>
      <c r="HAQ527" s="1831"/>
      <c r="HAR527" s="1831"/>
      <c r="HAS527" s="1831"/>
      <c r="HAT527" s="1831"/>
      <c r="HAU527" s="1831"/>
      <c r="HAV527" s="1831"/>
      <c r="HAW527" s="1831"/>
      <c r="HAX527" s="1831"/>
      <c r="HAY527" s="1831"/>
      <c r="HAZ527" s="1831"/>
      <c r="HBA527" s="1831"/>
      <c r="HBB527" s="1831"/>
      <c r="HBC527" s="1831"/>
      <c r="HBD527" s="1831"/>
      <c r="HBE527" s="1831"/>
      <c r="HBF527" s="1831"/>
      <c r="HBG527" s="1831"/>
      <c r="HBH527" s="1831"/>
      <c r="HBI527" s="1831"/>
      <c r="HBJ527" s="1831"/>
      <c r="HBK527" s="1831"/>
      <c r="HBL527" s="1831"/>
      <c r="HBM527" s="1831"/>
      <c r="HBN527" s="1831"/>
      <c r="HBO527" s="1831"/>
      <c r="HBP527" s="1831"/>
      <c r="HBQ527" s="1831"/>
      <c r="HBR527" s="1831"/>
      <c r="HBS527" s="1831"/>
      <c r="HBT527" s="1831"/>
      <c r="HBU527" s="1831"/>
      <c r="HBV527" s="1831"/>
      <c r="HBW527" s="1831"/>
      <c r="HBX527" s="1831"/>
      <c r="HBY527" s="1831"/>
      <c r="HBZ527" s="1831"/>
      <c r="HCA527" s="1831"/>
      <c r="HCB527" s="1831"/>
      <c r="HCC527" s="1831"/>
      <c r="HCD527" s="1831"/>
      <c r="HCE527" s="1831"/>
      <c r="HCF527" s="1831"/>
      <c r="HCG527" s="1831"/>
      <c r="HCH527" s="1831"/>
      <c r="HCI527" s="1831"/>
      <c r="HCJ527" s="1831"/>
      <c r="HCK527" s="1831"/>
      <c r="HCL527" s="1831"/>
      <c r="HCM527" s="1831"/>
      <c r="HCN527" s="1831"/>
      <c r="HCO527" s="1831"/>
      <c r="HCP527" s="1831"/>
      <c r="HCQ527" s="1831"/>
      <c r="HCR527" s="1831"/>
      <c r="HCS527" s="1831"/>
      <c r="HCT527" s="1831"/>
      <c r="HCU527" s="1831"/>
      <c r="HCV527" s="1831"/>
      <c r="HCW527" s="1831"/>
      <c r="HCX527" s="1831"/>
      <c r="HCY527" s="1831"/>
      <c r="HCZ527" s="1831"/>
      <c r="HDA527" s="1831"/>
      <c r="HDB527" s="1831"/>
      <c r="HDC527" s="1831"/>
      <c r="HDD527" s="1831"/>
      <c r="HDE527" s="1831"/>
      <c r="HDF527" s="1831"/>
      <c r="HDG527" s="1831"/>
      <c r="HDH527" s="1831"/>
      <c r="HDI527" s="1831"/>
      <c r="HDJ527" s="1831"/>
      <c r="HDK527" s="1831"/>
      <c r="HDL527" s="1831"/>
      <c r="HDM527" s="1831"/>
      <c r="HDN527" s="1831"/>
      <c r="HDO527" s="1831"/>
      <c r="HDP527" s="1831"/>
      <c r="HDQ527" s="1831"/>
      <c r="HDR527" s="1831"/>
      <c r="HDS527" s="1831"/>
      <c r="HDT527" s="1831"/>
      <c r="HDU527" s="1831"/>
      <c r="HDV527" s="1831"/>
      <c r="HDW527" s="1831"/>
      <c r="HDX527" s="1831"/>
      <c r="HDY527" s="1831"/>
      <c r="HDZ527" s="1831"/>
      <c r="HEA527" s="1831"/>
      <c r="HEB527" s="1831"/>
      <c r="HEC527" s="1831"/>
      <c r="HED527" s="1831"/>
      <c r="HEE527" s="1831"/>
      <c r="HEF527" s="1831"/>
      <c r="HEG527" s="1831"/>
      <c r="HEH527" s="1831"/>
      <c r="HEI527" s="1831"/>
      <c r="HEJ527" s="1831"/>
      <c r="HEK527" s="1831"/>
      <c r="HEL527" s="1831"/>
      <c r="HEM527" s="1831"/>
      <c r="HEN527" s="1831"/>
      <c r="HEO527" s="1831"/>
      <c r="HEP527" s="1831"/>
      <c r="HEQ527" s="1831"/>
      <c r="HER527" s="1831"/>
      <c r="HES527" s="1831"/>
      <c r="HET527" s="1831"/>
      <c r="HEU527" s="1831"/>
      <c r="HEV527" s="1831"/>
      <c r="HEW527" s="1831"/>
      <c r="HEX527" s="1831"/>
      <c r="HEY527" s="1831"/>
      <c r="HEZ527" s="1831"/>
      <c r="HFA527" s="1831"/>
      <c r="HFB527" s="1831"/>
      <c r="HFC527" s="1831"/>
      <c r="HFD527" s="1831"/>
      <c r="HFE527" s="1831"/>
      <c r="HFF527" s="1831"/>
      <c r="HFG527" s="1831"/>
      <c r="HFH527" s="1831"/>
      <c r="HFI527" s="1831"/>
      <c r="HFJ527" s="1831"/>
      <c r="HFK527" s="1831"/>
      <c r="HFL527" s="1831"/>
      <c r="HFM527" s="1831"/>
      <c r="HFN527" s="1831"/>
      <c r="HFO527" s="1831"/>
      <c r="HFP527" s="1831"/>
      <c r="HFQ527" s="1831"/>
      <c r="HFR527" s="1831"/>
      <c r="HFS527" s="1831"/>
      <c r="HFT527" s="1831"/>
      <c r="HFU527" s="1831"/>
      <c r="HFV527" s="1831"/>
      <c r="HFW527" s="1831"/>
      <c r="HFX527" s="1831"/>
      <c r="HFY527" s="1831"/>
      <c r="HFZ527" s="1831"/>
      <c r="HGA527" s="1831"/>
      <c r="HGB527" s="1831"/>
      <c r="HGC527" s="1831"/>
      <c r="HGD527" s="1831"/>
      <c r="HGE527" s="1831"/>
      <c r="HGF527" s="1831"/>
      <c r="HGG527" s="1831"/>
      <c r="HGH527" s="1831"/>
      <c r="HGI527" s="1831"/>
      <c r="HGJ527" s="1831"/>
      <c r="HGK527" s="1831"/>
      <c r="HGL527" s="1831"/>
      <c r="HGM527" s="1831"/>
      <c r="HGN527" s="1831"/>
      <c r="HGO527" s="1831"/>
      <c r="HGP527" s="1831"/>
      <c r="HGQ527" s="1831"/>
      <c r="HGR527" s="1831"/>
      <c r="HGS527" s="1831"/>
      <c r="HGT527" s="1831"/>
      <c r="HGU527" s="1831"/>
      <c r="HGV527" s="1831"/>
      <c r="HGW527" s="1831"/>
      <c r="HGX527" s="1831"/>
      <c r="HGY527" s="1831"/>
      <c r="HGZ527" s="1831"/>
      <c r="HHA527" s="1831"/>
      <c r="HHB527" s="1831"/>
      <c r="HHC527" s="1831"/>
      <c r="HHD527" s="1831"/>
      <c r="HHE527" s="1831"/>
      <c r="HHF527" s="1831"/>
      <c r="HHG527" s="1831"/>
      <c r="HHH527" s="1831"/>
      <c r="HHI527" s="1831"/>
      <c r="HHJ527" s="1831"/>
      <c r="HHK527" s="1831"/>
      <c r="HHL527" s="1831"/>
      <c r="HHM527" s="1831"/>
      <c r="HHN527" s="1831"/>
      <c r="HHO527" s="1831"/>
      <c r="HHP527" s="1831"/>
      <c r="HHQ527" s="1831"/>
      <c r="HHR527" s="1831"/>
      <c r="HHS527" s="1831"/>
      <c r="HHT527" s="1831"/>
      <c r="HHU527" s="1831"/>
      <c r="HHV527" s="1831"/>
      <c r="HHW527" s="1831"/>
      <c r="HHX527" s="1831"/>
      <c r="HHY527" s="1831"/>
      <c r="HHZ527" s="1831"/>
      <c r="HIA527" s="1831"/>
      <c r="HIB527" s="1831"/>
      <c r="HIC527" s="1831"/>
      <c r="HID527" s="1831"/>
      <c r="HIE527" s="1831"/>
      <c r="HIF527" s="1831"/>
      <c r="HIG527" s="1831"/>
      <c r="HIH527" s="1831"/>
      <c r="HII527" s="1831"/>
      <c r="HIJ527" s="1831"/>
      <c r="HIK527" s="1831"/>
      <c r="HIL527" s="1831"/>
      <c r="HIM527" s="1831"/>
      <c r="HIN527" s="1831"/>
      <c r="HIO527" s="1831"/>
      <c r="HIP527" s="1831"/>
      <c r="HIQ527" s="1831"/>
      <c r="HIR527" s="1831"/>
      <c r="HIS527" s="1831"/>
      <c r="HIT527" s="1831"/>
      <c r="HIU527" s="1831"/>
      <c r="HIV527" s="1831"/>
      <c r="HIW527" s="1831"/>
      <c r="HIX527" s="1831"/>
      <c r="HIY527" s="1831"/>
      <c r="HIZ527" s="1831"/>
      <c r="HJA527" s="1831"/>
      <c r="HJB527" s="1831"/>
      <c r="HJC527" s="1831"/>
      <c r="HJD527" s="1831"/>
      <c r="HJE527" s="1831"/>
      <c r="HJF527" s="1831"/>
      <c r="HJG527" s="1831"/>
      <c r="HJH527" s="1831"/>
      <c r="HJI527" s="1831"/>
      <c r="HJJ527" s="1831"/>
      <c r="HJK527" s="1831"/>
      <c r="HJL527" s="1831"/>
      <c r="HJM527" s="1831"/>
      <c r="HJN527" s="1831"/>
      <c r="HJO527" s="1831"/>
      <c r="HJP527" s="1831"/>
      <c r="HJQ527" s="1831"/>
      <c r="HJR527" s="1831"/>
      <c r="HJS527" s="1831"/>
      <c r="HJT527" s="1831"/>
      <c r="HJU527" s="1831"/>
      <c r="HJV527" s="1831"/>
      <c r="HJW527" s="1831"/>
      <c r="HJX527" s="1831"/>
      <c r="HJY527" s="1831"/>
      <c r="HJZ527" s="1831"/>
      <c r="HKA527" s="1831"/>
      <c r="HKB527" s="1831"/>
      <c r="HKC527" s="1831"/>
      <c r="HKD527" s="1831"/>
      <c r="HKE527" s="1831"/>
      <c r="HKF527" s="1831"/>
      <c r="HKG527" s="1831"/>
      <c r="HKH527" s="1831"/>
      <c r="HKI527" s="1831"/>
      <c r="HKJ527" s="1831"/>
      <c r="HKK527" s="1831"/>
      <c r="HKL527" s="1831"/>
      <c r="HKM527" s="1831"/>
      <c r="HKN527" s="1831"/>
      <c r="HKO527" s="1831"/>
      <c r="HKP527" s="1831"/>
      <c r="HKQ527" s="1831"/>
      <c r="HKR527" s="1831"/>
      <c r="HKS527" s="1831"/>
      <c r="HKT527" s="1831"/>
      <c r="HKU527" s="1831"/>
      <c r="HKV527" s="1831"/>
      <c r="HKW527" s="1831"/>
      <c r="HKX527" s="1831"/>
      <c r="HKY527" s="1831"/>
      <c r="HKZ527" s="1831"/>
      <c r="HLA527" s="1831"/>
      <c r="HLB527" s="1831"/>
      <c r="HLC527" s="1831"/>
      <c r="HLD527" s="1831"/>
      <c r="HLE527" s="1831"/>
      <c r="HLF527" s="1831"/>
      <c r="HLG527" s="1831"/>
      <c r="HLH527" s="1831"/>
      <c r="HLI527" s="1831"/>
      <c r="HLJ527" s="1831"/>
      <c r="HLK527" s="1831"/>
      <c r="HLL527" s="1831"/>
      <c r="HLM527" s="1831"/>
      <c r="HLN527" s="1831"/>
      <c r="HLO527" s="1831"/>
      <c r="HLP527" s="1831"/>
      <c r="HLQ527" s="1831"/>
      <c r="HLR527" s="1831"/>
      <c r="HLS527" s="1831"/>
      <c r="HLT527" s="1831"/>
      <c r="HLU527" s="1831"/>
      <c r="HLV527" s="1831"/>
      <c r="HLW527" s="1831"/>
      <c r="HLX527" s="1831"/>
      <c r="HLY527" s="1831"/>
      <c r="HLZ527" s="1831"/>
      <c r="HMA527" s="1831"/>
      <c r="HMB527" s="1831"/>
      <c r="HMC527" s="1831"/>
      <c r="HMD527" s="1831"/>
      <c r="HME527" s="1831"/>
      <c r="HMF527" s="1831"/>
      <c r="HMG527" s="1831"/>
      <c r="HMH527" s="1831"/>
      <c r="HMI527" s="1831"/>
      <c r="HMJ527" s="1831"/>
      <c r="HMK527" s="1831"/>
      <c r="HML527" s="1831"/>
      <c r="HMM527" s="1831"/>
      <c r="HMN527" s="1831"/>
      <c r="HMO527" s="1831"/>
      <c r="HMP527" s="1831"/>
      <c r="HMQ527" s="1831"/>
      <c r="HMR527" s="1831"/>
      <c r="HMS527" s="1831"/>
      <c r="HMT527" s="1831"/>
      <c r="HMU527" s="1831"/>
      <c r="HMV527" s="1831"/>
      <c r="HMW527" s="1831"/>
      <c r="HMX527" s="1831"/>
      <c r="HMY527" s="1831"/>
      <c r="HMZ527" s="1831"/>
      <c r="HNA527" s="1831"/>
      <c r="HNB527" s="1831"/>
      <c r="HNC527" s="1831"/>
      <c r="HND527" s="1831"/>
      <c r="HNE527" s="1831"/>
      <c r="HNF527" s="1831"/>
      <c r="HNG527" s="1831"/>
      <c r="HNH527" s="1831"/>
      <c r="HNI527" s="1831"/>
      <c r="HNJ527" s="1831"/>
      <c r="HNK527" s="1831"/>
      <c r="HNL527" s="1831"/>
      <c r="HNM527" s="1831"/>
      <c r="HNN527" s="1831"/>
      <c r="HNO527" s="1831"/>
      <c r="HNP527" s="1831"/>
      <c r="HNQ527" s="1831"/>
      <c r="HNR527" s="1831"/>
      <c r="HNS527" s="1831"/>
      <c r="HNT527" s="1831"/>
      <c r="HNU527" s="1831"/>
      <c r="HNV527" s="1831"/>
      <c r="HNW527" s="1831"/>
      <c r="HNX527" s="1831"/>
      <c r="HNY527" s="1831"/>
      <c r="HNZ527" s="1831"/>
      <c r="HOA527" s="1831"/>
      <c r="HOB527" s="1831"/>
      <c r="HOC527" s="1831"/>
      <c r="HOD527" s="1831"/>
      <c r="HOE527" s="1831"/>
      <c r="HOF527" s="1831"/>
      <c r="HOG527" s="1831"/>
      <c r="HOH527" s="1831"/>
      <c r="HOI527" s="1831"/>
      <c r="HOJ527" s="1831"/>
      <c r="HOK527" s="1831"/>
      <c r="HOL527" s="1831"/>
      <c r="HOM527" s="1831"/>
      <c r="HON527" s="1831"/>
      <c r="HOO527" s="1831"/>
      <c r="HOP527" s="1831"/>
      <c r="HOQ527" s="1831"/>
      <c r="HOR527" s="1831"/>
      <c r="HOS527" s="1831"/>
      <c r="HOT527" s="1831"/>
      <c r="HOU527" s="1831"/>
      <c r="HOV527" s="1831"/>
      <c r="HOW527" s="1831"/>
      <c r="HOX527" s="1831"/>
      <c r="HOY527" s="1831"/>
      <c r="HOZ527" s="1831"/>
      <c r="HPA527" s="1831"/>
      <c r="HPB527" s="1831"/>
      <c r="HPC527" s="1831"/>
      <c r="HPD527" s="1831"/>
      <c r="HPE527" s="1831"/>
      <c r="HPF527" s="1831"/>
      <c r="HPG527" s="1831"/>
      <c r="HPH527" s="1831"/>
      <c r="HPI527" s="1831"/>
      <c r="HPJ527" s="1831"/>
      <c r="HPK527" s="1831"/>
      <c r="HPL527" s="1831"/>
      <c r="HPM527" s="1831"/>
      <c r="HPN527" s="1831"/>
      <c r="HPO527" s="1831"/>
      <c r="HPP527" s="1831"/>
      <c r="HPQ527" s="1831"/>
      <c r="HPR527" s="1831"/>
      <c r="HPS527" s="1831"/>
      <c r="HPT527" s="1831"/>
      <c r="HPU527" s="1831"/>
      <c r="HPV527" s="1831"/>
      <c r="HPW527" s="1831"/>
      <c r="HPX527" s="1831"/>
      <c r="HPY527" s="1831"/>
      <c r="HPZ527" s="1831"/>
      <c r="HQA527" s="1831"/>
      <c r="HQB527" s="1831"/>
      <c r="HQC527" s="1831"/>
      <c r="HQD527" s="1831"/>
      <c r="HQE527" s="1831"/>
      <c r="HQF527" s="1831"/>
      <c r="HQG527" s="1831"/>
      <c r="HQH527" s="1831"/>
      <c r="HQI527" s="1831"/>
      <c r="HQJ527" s="1831"/>
      <c r="HQK527" s="1831"/>
      <c r="HQL527" s="1831"/>
      <c r="HQM527" s="1831"/>
      <c r="HQN527" s="1831"/>
      <c r="HQO527" s="1831"/>
      <c r="HQP527" s="1831"/>
      <c r="HQQ527" s="1831"/>
      <c r="HQR527" s="1831"/>
      <c r="HQS527" s="1831"/>
      <c r="HQT527" s="1831"/>
      <c r="HQU527" s="1831"/>
      <c r="HQV527" s="1831"/>
      <c r="HQW527" s="1831"/>
      <c r="HQX527" s="1831"/>
      <c r="HQY527" s="1831"/>
      <c r="HQZ527" s="1831"/>
      <c r="HRA527" s="1831"/>
      <c r="HRB527" s="1831"/>
      <c r="HRC527" s="1831"/>
      <c r="HRD527" s="1831"/>
      <c r="HRE527" s="1831"/>
      <c r="HRF527" s="1831"/>
      <c r="HRG527" s="1831"/>
      <c r="HRH527" s="1831"/>
      <c r="HRI527" s="1831"/>
      <c r="HRJ527" s="1831"/>
      <c r="HRK527" s="1831"/>
      <c r="HRL527" s="1831"/>
      <c r="HRM527" s="1831"/>
      <c r="HRN527" s="1831"/>
      <c r="HRO527" s="1831"/>
      <c r="HRP527" s="1831"/>
      <c r="HRQ527" s="1831"/>
      <c r="HRR527" s="1831"/>
      <c r="HRS527" s="1831"/>
      <c r="HRT527" s="1831"/>
      <c r="HRU527" s="1831"/>
      <c r="HRV527" s="1831"/>
      <c r="HRW527" s="1831"/>
      <c r="HRX527" s="1831"/>
      <c r="HRY527" s="1831"/>
      <c r="HRZ527" s="1831"/>
      <c r="HSA527" s="1831"/>
      <c r="HSB527" s="1831"/>
      <c r="HSC527" s="1831"/>
      <c r="HSD527" s="1831"/>
      <c r="HSE527" s="1831"/>
      <c r="HSF527" s="1831"/>
      <c r="HSG527" s="1831"/>
      <c r="HSH527" s="1831"/>
      <c r="HSI527" s="1831"/>
      <c r="HSJ527" s="1831"/>
      <c r="HSK527" s="1831"/>
      <c r="HSL527" s="1831"/>
      <c r="HSM527" s="1831"/>
      <c r="HSN527" s="1831"/>
      <c r="HSO527" s="1831"/>
      <c r="HSP527" s="1831"/>
      <c r="HSQ527" s="1831"/>
      <c r="HSR527" s="1831"/>
      <c r="HSS527" s="1831"/>
      <c r="HST527" s="1831"/>
      <c r="HSU527" s="1831"/>
      <c r="HSV527" s="1831"/>
      <c r="HSW527" s="1831"/>
      <c r="HSX527" s="1831"/>
      <c r="HSY527" s="1831"/>
      <c r="HSZ527" s="1831"/>
      <c r="HTA527" s="1831"/>
      <c r="HTB527" s="1831"/>
      <c r="HTC527" s="1831"/>
      <c r="HTD527" s="1831"/>
      <c r="HTE527" s="1831"/>
      <c r="HTF527" s="1831"/>
      <c r="HTG527" s="1831"/>
      <c r="HTH527" s="1831"/>
      <c r="HTI527" s="1831"/>
      <c r="HTJ527" s="1831"/>
      <c r="HTK527" s="1831"/>
      <c r="HTL527" s="1831"/>
      <c r="HTM527" s="1831"/>
      <c r="HTN527" s="1831"/>
      <c r="HTO527" s="1831"/>
      <c r="HTP527" s="1831"/>
      <c r="HTQ527" s="1831"/>
      <c r="HTR527" s="1831"/>
      <c r="HTS527" s="1831"/>
      <c r="HTT527" s="1831"/>
      <c r="HTU527" s="1831"/>
      <c r="HTV527" s="1831"/>
      <c r="HTW527" s="1831"/>
      <c r="HTX527" s="1831"/>
      <c r="HTY527" s="1831"/>
      <c r="HTZ527" s="1831"/>
      <c r="HUA527" s="1831"/>
      <c r="HUB527" s="1831"/>
      <c r="HUC527" s="1831"/>
      <c r="HUD527" s="1831"/>
      <c r="HUE527" s="1831"/>
      <c r="HUF527" s="1831"/>
      <c r="HUG527" s="1831"/>
      <c r="HUH527" s="1831"/>
      <c r="HUI527" s="1831"/>
      <c r="HUJ527" s="1831"/>
      <c r="HUK527" s="1831"/>
      <c r="HUL527" s="1831"/>
      <c r="HUM527" s="1831"/>
      <c r="HUN527" s="1831"/>
      <c r="HUO527" s="1831"/>
      <c r="HUP527" s="1831"/>
      <c r="HUQ527" s="1831"/>
      <c r="HUR527" s="1831"/>
      <c r="HUS527" s="1831"/>
      <c r="HUT527" s="1831"/>
      <c r="HUU527" s="1831"/>
      <c r="HUV527" s="1831"/>
      <c r="HUW527" s="1831"/>
      <c r="HUX527" s="1831"/>
      <c r="HUY527" s="1831"/>
      <c r="HUZ527" s="1831"/>
      <c r="HVA527" s="1831"/>
      <c r="HVB527" s="1831"/>
      <c r="HVC527" s="1831"/>
      <c r="HVD527" s="1831"/>
      <c r="HVE527" s="1831"/>
      <c r="HVF527" s="1831"/>
      <c r="HVG527" s="1831"/>
      <c r="HVH527" s="1831"/>
      <c r="HVI527" s="1831"/>
      <c r="HVJ527" s="1831"/>
      <c r="HVK527" s="1831"/>
      <c r="HVL527" s="1831"/>
      <c r="HVM527" s="1831"/>
      <c r="HVN527" s="1831"/>
      <c r="HVO527" s="1831"/>
      <c r="HVP527" s="1831"/>
      <c r="HVQ527" s="1831"/>
      <c r="HVR527" s="1831"/>
      <c r="HVS527" s="1831"/>
      <c r="HVT527" s="1831"/>
      <c r="HVU527" s="1831"/>
      <c r="HVV527" s="1831"/>
      <c r="HVW527" s="1831"/>
      <c r="HVX527" s="1831"/>
      <c r="HVY527" s="1831"/>
      <c r="HVZ527" s="1831"/>
      <c r="HWA527" s="1831"/>
      <c r="HWB527" s="1831"/>
      <c r="HWC527" s="1831"/>
      <c r="HWD527" s="1831"/>
      <c r="HWE527" s="1831"/>
      <c r="HWF527" s="1831"/>
      <c r="HWG527" s="1831"/>
      <c r="HWH527" s="1831"/>
      <c r="HWI527" s="1831"/>
      <c r="HWJ527" s="1831"/>
      <c r="HWK527" s="1831"/>
      <c r="HWL527" s="1831"/>
      <c r="HWM527" s="1831"/>
      <c r="HWN527" s="1831"/>
      <c r="HWO527" s="1831"/>
      <c r="HWP527" s="1831"/>
      <c r="HWQ527" s="1831"/>
      <c r="HWR527" s="1831"/>
      <c r="HWS527" s="1831"/>
      <c r="HWT527" s="1831"/>
      <c r="HWU527" s="1831"/>
      <c r="HWV527" s="1831"/>
      <c r="HWW527" s="1831"/>
      <c r="HWX527" s="1831"/>
      <c r="HWY527" s="1831"/>
      <c r="HWZ527" s="1831"/>
      <c r="HXA527" s="1831"/>
      <c r="HXB527" s="1831"/>
      <c r="HXC527" s="1831"/>
      <c r="HXD527" s="1831"/>
      <c r="HXE527" s="1831"/>
      <c r="HXF527" s="1831"/>
      <c r="HXG527" s="1831"/>
      <c r="HXH527" s="1831"/>
      <c r="HXI527" s="1831"/>
      <c r="HXJ527" s="1831"/>
      <c r="HXK527" s="1831"/>
      <c r="HXL527" s="1831"/>
      <c r="HXM527" s="1831"/>
      <c r="HXN527" s="1831"/>
      <c r="HXO527" s="1831"/>
      <c r="HXP527" s="1831"/>
      <c r="HXQ527" s="1831"/>
      <c r="HXR527" s="1831"/>
      <c r="HXS527" s="1831"/>
      <c r="HXT527" s="1831"/>
      <c r="HXU527" s="1831"/>
      <c r="HXV527" s="1831"/>
      <c r="HXW527" s="1831"/>
      <c r="HXX527" s="1831"/>
      <c r="HXY527" s="1831"/>
      <c r="HXZ527" s="1831"/>
      <c r="HYA527" s="1831"/>
      <c r="HYB527" s="1831"/>
      <c r="HYC527" s="1831"/>
      <c r="HYD527" s="1831"/>
      <c r="HYE527" s="1831"/>
      <c r="HYF527" s="1831"/>
      <c r="HYG527" s="1831"/>
      <c r="HYH527" s="1831"/>
      <c r="HYI527" s="1831"/>
      <c r="HYJ527" s="1831"/>
      <c r="HYK527" s="1831"/>
      <c r="HYL527" s="1831"/>
      <c r="HYM527" s="1831"/>
      <c r="HYN527" s="1831"/>
      <c r="HYO527" s="1831"/>
      <c r="HYP527" s="1831"/>
      <c r="HYQ527" s="1831"/>
      <c r="HYR527" s="1831"/>
      <c r="HYS527" s="1831"/>
      <c r="HYT527" s="1831"/>
      <c r="HYU527" s="1831"/>
      <c r="HYV527" s="1831"/>
      <c r="HYW527" s="1831"/>
      <c r="HYX527" s="1831"/>
      <c r="HYY527" s="1831"/>
      <c r="HYZ527" s="1831"/>
      <c r="HZA527" s="1831"/>
      <c r="HZB527" s="1831"/>
      <c r="HZC527" s="1831"/>
      <c r="HZD527" s="1831"/>
      <c r="HZE527" s="1831"/>
      <c r="HZF527" s="1831"/>
      <c r="HZG527" s="1831"/>
      <c r="HZH527" s="1831"/>
      <c r="HZI527" s="1831"/>
      <c r="HZJ527" s="1831"/>
      <c r="HZK527" s="1831"/>
      <c r="HZL527" s="1831"/>
      <c r="HZM527" s="1831"/>
      <c r="HZN527" s="1831"/>
      <c r="HZO527" s="1831"/>
      <c r="HZP527" s="1831"/>
      <c r="HZQ527" s="1831"/>
      <c r="HZR527" s="1831"/>
      <c r="HZS527" s="1831"/>
      <c r="HZT527" s="1831"/>
      <c r="HZU527" s="1831"/>
      <c r="HZV527" s="1831"/>
      <c r="HZW527" s="1831"/>
      <c r="HZX527" s="1831"/>
      <c r="HZY527" s="1831"/>
      <c r="HZZ527" s="1831"/>
      <c r="IAA527" s="1831"/>
      <c r="IAB527" s="1831"/>
      <c r="IAC527" s="1831"/>
      <c r="IAD527" s="1831"/>
      <c r="IAE527" s="1831"/>
      <c r="IAF527" s="1831"/>
      <c r="IAG527" s="1831"/>
      <c r="IAH527" s="1831"/>
      <c r="IAI527" s="1831"/>
      <c r="IAJ527" s="1831"/>
      <c r="IAK527" s="1831"/>
      <c r="IAL527" s="1831"/>
      <c r="IAM527" s="1831"/>
      <c r="IAN527" s="1831"/>
      <c r="IAO527" s="1831"/>
      <c r="IAP527" s="1831"/>
      <c r="IAQ527" s="1831"/>
      <c r="IAR527" s="1831"/>
      <c r="IAS527" s="1831"/>
      <c r="IAT527" s="1831"/>
      <c r="IAU527" s="1831"/>
      <c r="IAV527" s="1831"/>
      <c r="IAW527" s="1831"/>
      <c r="IAX527" s="1831"/>
      <c r="IAY527" s="1831"/>
      <c r="IAZ527" s="1831"/>
      <c r="IBA527" s="1831"/>
      <c r="IBB527" s="1831"/>
      <c r="IBC527" s="1831"/>
      <c r="IBD527" s="1831"/>
      <c r="IBE527" s="1831"/>
      <c r="IBF527" s="1831"/>
      <c r="IBG527" s="1831"/>
      <c r="IBH527" s="1831"/>
      <c r="IBI527" s="1831"/>
      <c r="IBJ527" s="1831"/>
      <c r="IBK527" s="1831"/>
      <c r="IBL527" s="1831"/>
      <c r="IBM527" s="1831"/>
      <c r="IBN527" s="1831"/>
      <c r="IBO527" s="1831"/>
      <c r="IBP527" s="1831"/>
      <c r="IBQ527" s="1831"/>
      <c r="IBR527" s="1831"/>
      <c r="IBS527" s="1831"/>
      <c r="IBT527" s="1831"/>
      <c r="IBU527" s="1831"/>
      <c r="IBV527" s="1831"/>
      <c r="IBW527" s="1831"/>
      <c r="IBX527" s="1831"/>
      <c r="IBY527" s="1831"/>
      <c r="IBZ527" s="1831"/>
      <c r="ICA527" s="1831"/>
      <c r="ICB527" s="1831"/>
      <c r="ICC527" s="1831"/>
      <c r="ICD527" s="1831"/>
      <c r="ICE527" s="1831"/>
      <c r="ICF527" s="1831"/>
      <c r="ICG527" s="1831"/>
      <c r="ICH527" s="1831"/>
      <c r="ICI527" s="1831"/>
      <c r="ICJ527" s="1831"/>
      <c r="ICK527" s="1831"/>
      <c r="ICL527" s="1831"/>
      <c r="ICM527" s="1831"/>
      <c r="ICN527" s="1831"/>
      <c r="ICO527" s="1831"/>
      <c r="ICP527" s="1831"/>
      <c r="ICQ527" s="1831"/>
      <c r="ICR527" s="1831"/>
      <c r="ICS527" s="1831"/>
      <c r="ICT527" s="1831"/>
      <c r="ICU527" s="1831"/>
      <c r="ICV527" s="1831"/>
      <c r="ICW527" s="1831"/>
      <c r="ICX527" s="1831"/>
      <c r="ICY527" s="1831"/>
      <c r="ICZ527" s="1831"/>
      <c r="IDA527" s="1831"/>
      <c r="IDB527" s="1831"/>
      <c r="IDC527" s="1831"/>
      <c r="IDD527" s="1831"/>
      <c r="IDE527" s="1831"/>
      <c r="IDF527" s="1831"/>
      <c r="IDG527" s="1831"/>
      <c r="IDH527" s="1831"/>
      <c r="IDI527" s="1831"/>
      <c r="IDJ527" s="1831"/>
      <c r="IDK527" s="1831"/>
      <c r="IDL527" s="1831"/>
      <c r="IDM527" s="1831"/>
      <c r="IDN527" s="1831"/>
      <c r="IDO527" s="1831"/>
      <c r="IDP527" s="1831"/>
      <c r="IDQ527" s="1831"/>
      <c r="IDR527" s="1831"/>
      <c r="IDS527" s="1831"/>
      <c r="IDT527" s="1831"/>
      <c r="IDU527" s="1831"/>
      <c r="IDV527" s="1831"/>
      <c r="IDW527" s="1831"/>
      <c r="IDX527" s="1831"/>
      <c r="IDY527" s="1831"/>
      <c r="IDZ527" s="1831"/>
      <c r="IEA527" s="1831"/>
      <c r="IEB527" s="1831"/>
      <c r="IEC527" s="1831"/>
      <c r="IED527" s="1831"/>
      <c r="IEE527" s="1831"/>
      <c r="IEF527" s="1831"/>
      <c r="IEG527" s="1831"/>
      <c r="IEH527" s="1831"/>
      <c r="IEI527" s="1831"/>
      <c r="IEJ527" s="1831"/>
      <c r="IEK527" s="1831"/>
      <c r="IEL527" s="1831"/>
      <c r="IEM527" s="1831"/>
      <c r="IEN527" s="1831"/>
      <c r="IEO527" s="1831"/>
      <c r="IEP527" s="1831"/>
      <c r="IEQ527" s="1831"/>
      <c r="IER527" s="1831"/>
      <c r="IES527" s="1831"/>
      <c r="IET527" s="1831"/>
      <c r="IEU527" s="1831"/>
      <c r="IEV527" s="1831"/>
      <c r="IEW527" s="1831"/>
      <c r="IEX527" s="1831"/>
      <c r="IEY527" s="1831"/>
      <c r="IEZ527" s="1831"/>
      <c r="IFA527" s="1831"/>
      <c r="IFB527" s="1831"/>
      <c r="IFC527" s="1831"/>
      <c r="IFD527" s="1831"/>
      <c r="IFE527" s="1831"/>
      <c r="IFF527" s="1831"/>
      <c r="IFG527" s="1831"/>
      <c r="IFH527" s="1831"/>
      <c r="IFI527" s="1831"/>
      <c r="IFJ527" s="1831"/>
      <c r="IFK527" s="1831"/>
      <c r="IFL527" s="1831"/>
      <c r="IFM527" s="1831"/>
      <c r="IFN527" s="1831"/>
      <c r="IFO527" s="1831"/>
      <c r="IFP527" s="1831"/>
      <c r="IFQ527" s="1831"/>
      <c r="IFR527" s="1831"/>
      <c r="IFS527" s="1831"/>
      <c r="IFT527" s="1831"/>
      <c r="IFU527" s="1831"/>
      <c r="IFV527" s="1831"/>
      <c r="IFW527" s="1831"/>
      <c r="IFX527" s="1831"/>
      <c r="IFY527" s="1831"/>
      <c r="IFZ527" s="1831"/>
      <c r="IGA527" s="1831"/>
      <c r="IGB527" s="1831"/>
      <c r="IGC527" s="1831"/>
      <c r="IGD527" s="1831"/>
      <c r="IGE527" s="1831"/>
      <c r="IGF527" s="1831"/>
      <c r="IGG527" s="1831"/>
      <c r="IGH527" s="1831"/>
      <c r="IGI527" s="1831"/>
      <c r="IGJ527" s="1831"/>
      <c r="IGK527" s="1831"/>
      <c r="IGL527" s="1831"/>
      <c r="IGM527" s="1831"/>
      <c r="IGN527" s="1831"/>
      <c r="IGO527" s="1831"/>
      <c r="IGP527" s="1831"/>
      <c r="IGQ527" s="1831"/>
      <c r="IGR527" s="1831"/>
      <c r="IGS527" s="1831"/>
      <c r="IGT527" s="1831"/>
      <c r="IGU527" s="1831"/>
      <c r="IGV527" s="1831"/>
      <c r="IGW527" s="1831"/>
      <c r="IGX527" s="1831"/>
      <c r="IGY527" s="1831"/>
      <c r="IGZ527" s="1831"/>
      <c r="IHA527" s="1831"/>
      <c r="IHB527" s="1831"/>
      <c r="IHC527" s="1831"/>
      <c r="IHD527" s="1831"/>
      <c r="IHE527" s="1831"/>
      <c r="IHF527" s="1831"/>
      <c r="IHG527" s="1831"/>
      <c r="IHH527" s="1831"/>
      <c r="IHI527" s="1831"/>
      <c r="IHJ527" s="1831"/>
      <c r="IHK527" s="1831"/>
      <c r="IHL527" s="1831"/>
      <c r="IHM527" s="1831"/>
      <c r="IHN527" s="1831"/>
      <c r="IHO527" s="1831"/>
      <c r="IHP527" s="1831"/>
      <c r="IHQ527" s="1831"/>
      <c r="IHR527" s="1831"/>
      <c r="IHS527" s="1831"/>
      <c r="IHT527" s="1831"/>
      <c r="IHU527" s="1831"/>
      <c r="IHV527" s="1831"/>
      <c r="IHW527" s="1831"/>
      <c r="IHX527" s="1831"/>
      <c r="IHY527" s="1831"/>
      <c r="IHZ527" s="1831"/>
      <c r="IIA527" s="1831"/>
      <c r="IIB527" s="1831"/>
      <c r="IIC527" s="1831"/>
      <c r="IID527" s="1831"/>
      <c r="IIE527" s="1831"/>
      <c r="IIF527" s="1831"/>
      <c r="IIG527" s="1831"/>
      <c r="IIH527" s="1831"/>
      <c r="III527" s="1831"/>
      <c r="IIJ527" s="1831"/>
      <c r="IIK527" s="1831"/>
      <c r="IIL527" s="1831"/>
      <c r="IIM527" s="1831"/>
      <c r="IIN527" s="1831"/>
      <c r="IIO527" s="1831"/>
      <c r="IIP527" s="1831"/>
      <c r="IIQ527" s="1831"/>
      <c r="IIR527" s="1831"/>
      <c r="IIS527" s="1831"/>
      <c r="IIT527" s="1831"/>
      <c r="IIU527" s="1831"/>
      <c r="IIV527" s="1831"/>
      <c r="IIW527" s="1831"/>
      <c r="IIX527" s="1831"/>
      <c r="IIY527" s="1831"/>
      <c r="IIZ527" s="1831"/>
      <c r="IJA527" s="1831"/>
      <c r="IJB527" s="1831"/>
      <c r="IJC527" s="1831"/>
      <c r="IJD527" s="1831"/>
      <c r="IJE527" s="1831"/>
      <c r="IJF527" s="1831"/>
      <c r="IJG527" s="1831"/>
      <c r="IJH527" s="1831"/>
      <c r="IJI527" s="1831"/>
      <c r="IJJ527" s="1831"/>
      <c r="IJK527" s="1831"/>
      <c r="IJL527" s="1831"/>
      <c r="IJM527" s="1831"/>
      <c r="IJN527" s="1831"/>
      <c r="IJO527" s="1831"/>
      <c r="IJP527" s="1831"/>
      <c r="IJQ527" s="1831"/>
      <c r="IJR527" s="1831"/>
      <c r="IJS527" s="1831"/>
      <c r="IJT527" s="1831"/>
      <c r="IJU527" s="1831"/>
      <c r="IJV527" s="1831"/>
      <c r="IJW527" s="1831"/>
      <c r="IJX527" s="1831"/>
      <c r="IJY527" s="1831"/>
      <c r="IJZ527" s="1831"/>
      <c r="IKA527" s="1831"/>
      <c r="IKB527" s="1831"/>
      <c r="IKC527" s="1831"/>
      <c r="IKD527" s="1831"/>
      <c r="IKE527" s="1831"/>
      <c r="IKF527" s="1831"/>
      <c r="IKG527" s="1831"/>
      <c r="IKH527" s="1831"/>
      <c r="IKI527" s="1831"/>
      <c r="IKJ527" s="1831"/>
      <c r="IKK527" s="1831"/>
      <c r="IKL527" s="1831"/>
      <c r="IKM527" s="1831"/>
      <c r="IKN527" s="1831"/>
      <c r="IKO527" s="1831"/>
      <c r="IKP527" s="1831"/>
      <c r="IKQ527" s="1831"/>
      <c r="IKR527" s="1831"/>
      <c r="IKS527" s="1831"/>
      <c r="IKT527" s="1831"/>
      <c r="IKU527" s="1831"/>
      <c r="IKV527" s="1831"/>
      <c r="IKW527" s="1831"/>
      <c r="IKX527" s="1831"/>
      <c r="IKY527" s="1831"/>
      <c r="IKZ527" s="1831"/>
      <c r="ILA527" s="1831"/>
      <c r="ILB527" s="1831"/>
      <c r="ILC527" s="1831"/>
      <c r="ILD527" s="1831"/>
      <c r="ILE527" s="1831"/>
      <c r="ILF527" s="1831"/>
      <c r="ILG527" s="1831"/>
      <c r="ILH527" s="1831"/>
      <c r="ILI527" s="1831"/>
      <c r="ILJ527" s="1831"/>
      <c r="ILK527" s="1831"/>
      <c r="ILL527" s="1831"/>
      <c r="ILM527" s="1831"/>
      <c r="ILN527" s="1831"/>
      <c r="ILO527" s="1831"/>
      <c r="ILP527" s="1831"/>
      <c r="ILQ527" s="1831"/>
      <c r="ILR527" s="1831"/>
      <c r="ILS527" s="1831"/>
      <c r="ILT527" s="1831"/>
      <c r="ILU527" s="1831"/>
      <c r="ILV527" s="1831"/>
      <c r="ILW527" s="1831"/>
      <c r="ILX527" s="1831"/>
      <c r="ILY527" s="1831"/>
      <c r="ILZ527" s="1831"/>
      <c r="IMA527" s="1831"/>
      <c r="IMB527" s="1831"/>
      <c r="IMC527" s="1831"/>
      <c r="IMD527" s="1831"/>
      <c r="IME527" s="1831"/>
      <c r="IMF527" s="1831"/>
      <c r="IMG527" s="1831"/>
      <c r="IMH527" s="1831"/>
      <c r="IMI527" s="1831"/>
      <c r="IMJ527" s="1831"/>
      <c r="IMK527" s="1831"/>
      <c r="IML527" s="1831"/>
      <c r="IMM527" s="1831"/>
      <c r="IMN527" s="1831"/>
      <c r="IMO527" s="1831"/>
      <c r="IMP527" s="1831"/>
      <c r="IMQ527" s="1831"/>
      <c r="IMR527" s="1831"/>
      <c r="IMS527" s="1831"/>
      <c r="IMT527" s="1831"/>
      <c r="IMU527" s="1831"/>
      <c r="IMV527" s="1831"/>
      <c r="IMW527" s="1831"/>
      <c r="IMX527" s="1831"/>
      <c r="IMY527" s="1831"/>
      <c r="IMZ527" s="1831"/>
      <c r="INA527" s="1831"/>
      <c r="INB527" s="1831"/>
      <c r="INC527" s="1831"/>
      <c r="IND527" s="1831"/>
      <c r="INE527" s="1831"/>
      <c r="INF527" s="1831"/>
      <c r="ING527" s="1831"/>
      <c r="INH527" s="1831"/>
      <c r="INI527" s="1831"/>
      <c r="INJ527" s="1831"/>
      <c r="INK527" s="1831"/>
      <c r="INL527" s="1831"/>
      <c r="INM527" s="1831"/>
      <c r="INN527" s="1831"/>
      <c r="INO527" s="1831"/>
      <c r="INP527" s="1831"/>
      <c r="INQ527" s="1831"/>
      <c r="INR527" s="1831"/>
      <c r="INS527" s="1831"/>
      <c r="INT527" s="1831"/>
      <c r="INU527" s="1831"/>
      <c r="INV527" s="1831"/>
      <c r="INW527" s="1831"/>
      <c r="INX527" s="1831"/>
      <c r="INY527" s="1831"/>
      <c r="INZ527" s="1831"/>
      <c r="IOA527" s="1831"/>
      <c r="IOB527" s="1831"/>
      <c r="IOC527" s="1831"/>
      <c r="IOD527" s="1831"/>
      <c r="IOE527" s="1831"/>
      <c r="IOF527" s="1831"/>
      <c r="IOG527" s="1831"/>
      <c r="IOH527" s="1831"/>
      <c r="IOI527" s="1831"/>
      <c r="IOJ527" s="1831"/>
      <c r="IOK527" s="1831"/>
      <c r="IOL527" s="1831"/>
      <c r="IOM527" s="1831"/>
      <c r="ION527" s="1831"/>
      <c r="IOO527" s="1831"/>
      <c r="IOP527" s="1831"/>
      <c r="IOQ527" s="1831"/>
      <c r="IOR527" s="1831"/>
      <c r="IOS527" s="1831"/>
      <c r="IOT527" s="1831"/>
      <c r="IOU527" s="1831"/>
      <c r="IOV527" s="1831"/>
      <c r="IOW527" s="1831"/>
      <c r="IOX527" s="1831"/>
      <c r="IOY527" s="1831"/>
      <c r="IOZ527" s="1831"/>
      <c r="IPA527" s="1831"/>
      <c r="IPB527" s="1831"/>
      <c r="IPC527" s="1831"/>
      <c r="IPD527" s="1831"/>
      <c r="IPE527" s="1831"/>
      <c r="IPF527" s="1831"/>
      <c r="IPG527" s="1831"/>
      <c r="IPH527" s="1831"/>
      <c r="IPI527" s="1831"/>
      <c r="IPJ527" s="1831"/>
      <c r="IPK527" s="1831"/>
      <c r="IPL527" s="1831"/>
      <c r="IPM527" s="1831"/>
      <c r="IPN527" s="1831"/>
      <c r="IPO527" s="1831"/>
      <c r="IPP527" s="1831"/>
      <c r="IPQ527" s="1831"/>
      <c r="IPR527" s="1831"/>
      <c r="IPS527" s="1831"/>
      <c r="IPT527" s="1831"/>
      <c r="IPU527" s="1831"/>
      <c r="IPV527" s="1831"/>
      <c r="IPW527" s="1831"/>
      <c r="IPX527" s="1831"/>
      <c r="IPY527" s="1831"/>
      <c r="IPZ527" s="1831"/>
      <c r="IQA527" s="1831"/>
      <c r="IQB527" s="1831"/>
      <c r="IQC527" s="1831"/>
      <c r="IQD527" s="1831"/>
      <c r="IQE527" s="1831"/>
      <c r="IQF527" s="1831"/>
      <c r="IQG527" s="1831"/>
      <c r="IQH527" s="1831"/>
      <c r="IQI527" s="1831"/>
      <c r="IQJ527" s="1831"/>
      <c r="IQK527" s="1831"/>
      <c r="IQL527" s="1831"/>
      <c r="IQM527" s="1831"/>
      <c r="IQN527" s="1831"/>
      <c r="IQO527" s="1831"/>
      <c r="IQP527" s="1831"/>
      <c r="IQQ527" s="1831"/>
      <c r="IQR527" s="1831"/>
      <c r="IQS527" s="1831"/>
      <c r="IQT527" s="1831"/>
      <c r="IQU527" s="1831"/>
      <c r="IQV527" s="1831"/>
      <c r="IQW527" s="1831"/>
      <c r="IQX527" s="1831"/>
      <c r="IQY527" s="1831"/>
      <c r="IQZ527" s="1831"/>
      <c r="IRA527" s="1831"/>
      <c r="IRB527" s="1831"/>
      <c r="IRC527" s="1831"/>
      <c r="IRD527" s="1831"/>
      <c r="IRE527" s="1831"/>
      <c r="IRF527" s="1831"/>
      <c r="IRG527" s="1831"/>
      <c r="IRH527" s="1831"/>
      <c r="IRI527" s="1831"/>
      <c r="IRJ527" s="1831"/>
      <c r="IRK527" s="1831"/>
      <c r="IRL527" s="1831"/>
      <c r="IRM527" s="1831"/>
      <c r="IRN527" s="1831"/>
      <c r="IRO527" s="1831"/>
      <c r="IRP527" s="1831"/>
      <c r="IRQ527" s="1831"/>
      <c r="IRR527" s="1831"/>
      <c r="IRS527" s="1831"/>
      <c r="IRT527" s="1831"/>
      <c r="IRU527" s="1831"/>
      <c r="IRV527" s="1831"/>
      <c r="IRW527" s="1831"/>
      <c r="IRX527" s="1831"/>
      <c r="IRY527" s="1831"/>
      <c r="IRZ527" s="1831"/>
      <c r="ISA527" s="1831"/>
      <c r="ISB527" s="1831"/>
      <c r="ISC527" s="1831"/>
      <c r="ISD527" s="1831"/>
      <c r="ISE527" s="1831"/>
      <c r="ISF527" s="1831"/>
      <c r="ISG527" s="1831"/>
      <c r="ISH527" s="1831"/>
      <c r="ISI527" s="1831"/>
      <c r="ISJ527" s="1831"/>
      <c r="ISK527" s="1831"/>
      <c r="ISL527" s="1831"/>
      <c r="ISM527" s="1831"/>
      <c r="ISN527" s="1831"/>
      <c r="ISO527" s="1831"/>
      <c r="ISP527" s="1831"/>
      <c r="ISQ527" s="1831"/>
      <c r="ISR527" s="1831"/>
      <c r="ISS527" s="1831"/>
      <c r="IST527" s="1831"/>
      <c r="ISU527" s="1831"/>
      <c r="ISV527" s="1831"/>
      <c r="ISW527" s="1831"/>
      <c r="ISX527" s="1831"/>
      <c r="ISY527" s="1831"/>
      <c r="ISZ527" s="1831"/>
      <c r="ITA527" s="1831"/>
      <c r="ITB527" s="1831"/>
      <c r="ITC527" s="1831"/>
      <c r="ITD527" s="1831"/>
      <c r="ITE527" s="1831"/>
      <c r="ITF527" s="1831"/>
      <c r="ITG527" s="1831"/>
      <c r="ITH527" s="1831"/>
      <c r="ITI527" s="1831"/>
      <c r="ITJ527" s="1831"/>
      <c r="ITK527" s="1831"/>
      <c r="ITL527" s="1831"/>
      <c r="ITM527" s="1831"/>
      <c r="ITN527" s="1831"/>
      <c r="ITO527" s="1831"/>
      <c r="ITP527" s="1831"/>
      <c r="ITQ527" s="1831"/>
      <c r="ITR527" s="1831"/>
      <c r="ITS527" s="1831"/>
      <c r="ITT527" s="1831"/>
      <c r="ITU527" s="1831"/>
      <c r="ITV527" s="1831"/>
      <c r="ITW527" s="1831"/>
      <c r="ITX527" s="1831"/>
      <c r="ITY527" s="1831"/>
      <c r="ITZ527" s="1831"/>
      <c r="IUA527" s="1831"/>
      <c r="IUB527" s="1831"/>
      <c r="IUC527" s="1831"/>
      <c r="IUD527" s="1831"/>
      <c r="IUE527" s="1831"/>
      <c r="IUF527" s="1831"/>
      <c r="IUG527" s="1831"/>
      <c r="IUH527" s="1831"/>
      <c r="IUI527" s="1831"/>
      <c r="IUJ527" s="1831"/>
      <c r="IUK527" s="1831"/>
      <c r="IUL527" s="1831"/>
      <c r="IUM527" s="1831"/>
      <c r="IUN527" s="1831"/>
      <c r="IUO527" s="1831"/>
      <c r="IUP527" s="1831"/>
      <c r="IUQ527" s="1831"/>
      <c r="IUR527" s="1831"/>
      <c r="IUS527" s="1831"/>
      <c r="IUT527" s="1831"/>
      <c r="IUU527" s="1831"/>
      <c r="IUV527" s="1831"/>
      <c r="IUW527" s="1831"/>
      <c r="IUX527" s="1831"/>
      <c r="IUY527" s="1831"/>
      <c r="IUZ527" s="1831"/>
      <c r="IVA527" s="1831"/>
      <c r="IVB527" s="1831"/>
      <c r="IVC527" s="1831"/>
      <c r="IVD527" s="1831"/>
      <c r="IVE527" s="1831"/>
      <c r="IVF527" s="1831"/>
      <c r="IVG527" s="1831"/>
      <c r="IVH527" s="1831"/>
      <c r="IVI527" s="1831"/>
      <c r="IVJ527" s="1831"/>
      <c r="IVK527" s="1831"/>
      <c r="IVL527" s="1831"/>
      <c r="IVM527" s="1831"/>
      <c r="IVN527" s="1831"/>
      <c r="IVO527" s="1831"/>
      <c r="IVP527" s="1831"/>
      <c r="IVQ527" s="1831"/>
      <c r="IVR527" s="1831"/>
      <c r="IVS527" s="1831"/>
      <c r="IVT527" s="1831"/>
      <c r="IVU527" s="1831"/>
      <c r="IVV527" s="1831"/>
      <c r="IVW527" s="1831"/>
      <c r="IVX527" s="1831"/>
      <c r="IVY527" s="1831"/>
      <c r="IVZ527" s="1831"/>
      <c r="IWA527" s="1831"/>
      <c r="IWB527" s="1831"/>
      <c r="IWC527" s="1831"/>
      <c r="IWD527" s="1831"/>
      <c r="IWE527" s="1831"/>
      <c r="IWF527" s="1831"/>
      <c r="IWG527" s="1831"/>
      <c r="IWH527" s="1831"/>
      <c r="IWI527" s="1831"/>
      <c r="IWJ527" s="1831"/>
      <c r="IWK527" s="1831"/>
      <c r="IWL527" s="1831"/>
      <c r="IWM527" s="1831"/>
      <c r="IWN527" s="1831"/>
      <c r="IWO527" s="1831"/>
      <c r="IWP527" s="1831"/>
      <c r="IWQ527" s="1831"/>
      <c r="IWR527" s="1831"/>
      <c r="IWS527" s="1831"/>
      <c r="IWT527" s="1831"/>
      <c r="IWU527" s="1831"/>
      <c r="IWV527" s="1831"/>
      <c r="IWW527" s="1831"/>
      <c r="IWX527" s="1831"/>
      <c r="IWY527" s="1831"/>
      <c r="IWZ527" s="1831"/>
      <c r="IXA527" s="1831"/>
      <c r="IXB527" s="1831"/>
      <c r="IXC527" s="1831"/>
      <c r="IXD527" s="1831"/>
      <c r="IXE527" s="1831"/>
      <c r="IXF527" s="1831"/>
      <c r="IXG527" s="1831"/>
      <c r="IXH527" s="1831"/>
      <c r="IXI527" s="1831"/>
      <c r="IXJ527" s="1831"/>
      <c r="IXK527" s="1831"/>
      <c r="IXL527" s="1831"/>
      <c r="IXM527" s="1831"/>
      <c r="IXN527" s="1831"/>
      <c r="IXO527" s="1831"/>
      <c r="IXP527" s="1831"/>
      <c r="IXQ527" s="1831"/>
      <c r="IXR527" s="1831"/>
      <c r="IXS527" s="1831"/>
      <c r="IXT527" s="1831"/>
      <c r="IXU527" s="1831"/>
      <c r="IXV527" s="1831"/>
      <c r="IXW527" s="1831"/>
      <c r="IXX527" s="1831"/>
      <c r="IXY527" s="1831"/>
      <c r="IXZ527" s="1831"/>
      <c r="IYA527" s="1831"/>
      <c r="IYB527" s="1831"/>
      <c r="IYC527" s="1831"/>
      <c r="IYD527" s="1831"/>
      <c r="IYE527" s="1831"/>
      <c r="IYF527" s="1831"/>
      <c r="IYG527" s="1831"/>
      <c r="IYH527" s="1831"/>
      <c r="IYI527" s="1831"/>
      <c r="IYJ527" s="1831"/>
      <c r="IYK527" s="1831"/>
      <c r="IYL527" s="1831"/>
      <c r="IYM527" s="1831"/>
      <c r="IYN527" s="1831"/>
      <c r="IYO527" s="1831"/>
      <c r="IYP527" s="1831"/>
      <c r="IYQ527" s="1831"/>
      <c r="IYR527" s="1831"/>
      <c r="IYS527" s="1831"/>
      <c r="IYT527" s="1831"/>
      <c r="IYU527" s="1831"/>
      <c r="IYV527" s="1831"/>
      <c r="IYW527" s="1831"/>
      <c r="IYX527" s="1831"/>
      <c r="IYY527" s="1831"/>
      <c r="IYZ527" s="1831"/>
      <c r="IZA527" s="1831"/>
      <c r="IZB527" s="1831"/>
      <c r="IZC527" s="1831"/>
      <c r="IZD527" s="1831"/>
      <c r="IZE527" s="1831"/>
      <c r="IZF527" s="1831"/>
      <c r="IZG527" s="1831"/>
      <c r="IZH527" s="1831"/>
      <c r="IZI527" s="1831"/>
      <c r="IZJ527" s="1831"/>
      <c r="IZK527" s="1831"/>
      <c r="IZL527" s="1831"/>
      <c r="IZM527" s="1831"/>
      <c r="IZN527" s="1831"/>
      <c r="IZO527" s="1831"/>
      <c r="IZP527" s="1831"/>
      <c r="IZQ527" s="1831"/>
      <c r="IZR527" s="1831"/>
      <c r="IZS527" s="1831"/>
      <c r="IZT527" s="1831"/>
      <c r="IZU527" s="1831"/>
      <c r="IZV527" s="1831"/>
      <c r="IZW527" s="1831"/>
      <c r="IZX527" s="1831"/>
      <c r="IZY527" s="1831"/>
      <c r="IZZ527" s="1831"/>
      <c r="JAA527" s="1831"/>
      <c r="JAB527" s="1831"/>
      <c r="JAC527" s="1831"/>
      <c r="JAD527" s="1831"/>
      <c r="JAE527" s="1831"/>
      <c r="JAF527" s="1831"/>
      <c r="JAG527" s="1831"/>
      <c r="JAH527" s="1831"/>
      <c r="JAI527" s="1831"/>
      <c r="JAJ527" s="1831"/>
      <c r="JAK527" s="1831"/>
      <c r="JAL527" s="1831"/>
      <c r="JAM527" s="1831"/>
      <c r="JAN527" s="1831"/>
      <c r="JAO527" s="1831"/>
      <c r="JAP527" s="1831"/>
      <c r="JAQ527" s="1831"/>
      <c r="JAR527" s="1831"/>
      <c r="JAS527" s="1831"/>
      <c r="JAT527" s="1831"/>
      <c r="JAU527" s="1831"/>
      <c r="JAV527" s="1831"/>
      <c r="JAW527" s="1831"/>
      <c r="JAX527" s="1831"/>
      <c r="JAY527" s="1831"/>
      <c r="JAZ527" s="1831"/>
      <c r="JBA527" s="1831"/>
      <c r="JBB527" s="1831"/>
      <c r="JBC527" s="1831"/>
      <c r="JBD527" s="1831"/>
      <c r="JBE527" s="1831"/>
      <c r="JBF527" s="1831"/>
      <c r="JBG527" s="1831"/>
      <c r="JBH527" s="1831"/>
      <c r="JBI527" s="1831"/>
      <c r="JBJ527" s="1831"/>
      <c r="JBK527" s="1831"/>
      <c r="JBL527" s="1831"/>
      <c r="JBM527" s="1831"/>
      <c r="JBN527" s="1831"/>
      <c r="JBO527" s="1831"/>
      <c r="JBP527" s="1831"/>
      <c r="JBQ527" s="1831"/>
      <c r="JBR527" s="1831"/>
      <c r="JBS527" s="1831"/>
      <c r="JBT527" s="1831"/>
      <c r="JBU527" s="1831"/>
      <c r="JBV527" s="1831"/>
      <c r="JBW527" s="1831"/>
      <c r="JBX527" s="1831"/>
      <c r="JBY527" s="1831"/>
      <c r="JBZ527" s="1831"/>
      <c r="JCA527" s="1831"/>
      <c r="JCB527" s="1831"/>
      <c r="JCC527" s="1831"/>
      <c r="JCD527" s="1831"/>
      <c r="JCE527" s="1831"/>
      <c r="JCF527" s="1831"/>
      <c r="JCG527" s="1831"/>
      <c r="JCH527" s="1831"/>
      <c r="JCI527" s="1831"/>
      <c r="JCJ527" s="1831"/>
      <c r="JCK527" s="1831"/>
      <c r="JCL527" s="1831"/>
      <c r="JCM527" s="1831"/>
      <c r="JCN527" s="1831"/>
      <c r="JCO527" s="1831"/>
      <c r="JCP527" s="1831"/>
      <c r="JCQ527" s="1831"/>
      <c r="JCR527" s="1831"/>
      <c r="JCS527" s="1831"/>
      <c r="JCT527" s="1831"/>
      <c r="JCU527" s="1831"/>
      <c r="JCV527" s="1831"/>
      <c r="JCW527" s="1831"/>
      <c r="JCX527" s="1831"/>
      <c r="JCY527" s="1831"/>
      <c r="JCZ527" s="1831"/>
      <c r="JDA527" s="1831"/>
      <c r="JDB527" s="1831"/>
      <c r="JDC527" s="1831"/>
      <c r="JDD527" s="1831"/>
      <c r="JDE527" s="1831"/>
      <c r="JDF527" s="1831"/>
      <c r="JDG527" s="1831"/>
      <c r="JDH527" s="1831"/>
      <c r="JDI527" s="1831"/>
      <c r="JDJ527" s="1831"/>
      <c r="JDK527" s="1831"/>
      <c r="JDL527" s="1831"/>
      <c r="JDM527" s="1831"/>
      <c r="JDN527" s="1831"/>
      <c r="JDO527" s="1831"/>
      <c r="JDP527" s="1831"/>
      <c r="JDQ527" s="1831"/>
      <c r="JDR527" s="1831"/>
      <c r="JDS527" s="1831"/>
      <c r="JDT527" s="1831"/>
      <c r="JDU527" s="1831"/>
      <c r="JDV527" s="1831"/>
      <c r="JDW527" s="1831"/>
      <c r="JDX527" s="1831"/>
      <c r="JDY527" s="1831"/>
      <c r="JDZ527" s="1831"/>
      <c r="JEA527" s="1831"/>
      <c r="JEB527" s="1831"/>
      <c r="JEC527" s="1831"/>
      <c r="JED527" s="1831"/>
      <c r="JEE527" s="1831"/>
      <c r="JEF527" s="1831"/>
      <c r="JEG527" s="1831"/>
      <c r="JEH527" s="1831"/>
      <c r="JEI527" s="1831"/>
      <c r="JEJ527" s="1831"/>
      <c r="JEK527" s="1831"/>
      <c r="JEL527" s="1831"/>
      <c r="JEM527" s="1831"/>
      <c r="JEN527" s="1831"/>
      <c r="JEO527" s="1831"/>
      <c r="JEP527" s="1831"/>
      <c r="JEQ527" s="1831"/>
      <c r="JER527" s="1831"/>
      <c r="JES527" s="1831"/>
      <c r="JET527" s="1831"/>
      <c r="JEU527" s="1831"/>
      <c r="JEV527" s="1831"/>
      <c r="JEW527" s="1831"/>
      <c r="JEX527" s="1831"/>
      <c r="JEY527" s="1831"/>
      <c r="JEZ527" s="1831"/>
      <c r="JFA527" s="1831"/>
      <c r="JFB527" s="1831"/>
      <c r="JFC527" s="1831"/>
      <c r="JFD527" s="1831"/>
      <c r="JFE527" s="1831"/>
      <c r="JFF527" s="1831"/>
      <c r="JFG527" s="1831"/>
      <c r="JFH527" s="1831"/>
      <c r="JFI527" s="1831"/>
      <c r="JFJ527" s="1831"/>
      <c r="JFK527" s="1831"/>
      <c r="JFL527" s="1831"/>
      <c r="JFM527" s="1831"/>
      <c r="JFN527" s="1831"/>
      <c r="JFO527" s="1831"/>
      <c r="JFP527" s="1831"/>
      <c r="JFQ527" s="1831"/>
      <c r="JFR527" s="1831"/>
      <c r="JFS527" s="1831"/>
      <c r="JFT527" s="1831"/>
      <c r="JFU527" s="1831"/>
      <c r="JFV527" s="1831"/>
      <c r="JFW527" s="1831"/>
      <c r="JFX527" s="1831"/>
      <c r="JFY527" s="1831"/>
      <c r="JFZ527" s="1831"/>
      <c r="JGA527" s="1831"/>
      <c r="JGB527" s="1831"/>
      <c r="JGC527" s="1831"/>
      <c r="JGD527" s="1831"/>
      <c r="JGE527" s="1831"/>
      <c r="JGF527" s="1831"/>
      <c r="JGG527" s="1831"/>
      <c r="JGH527" s="1831"/>
      <c r="JGI527" s="1831"/>
      <c r="JGJ527" s="1831"/>
      <c r="JGK527" s="1831"/>
      <c r="JGL527" s="1831"/>
      <c r="JGM527" s="1831"/>
      <c r="JGN527" s="1831"/>
      <c r="JGO527" s="1831"/>
      <c r="JGP527" s="1831"/>
      <c r="JGQ527" s="1831"/>
      <c r="JGR527" s="1831"/>
      <c r="JGS527" s="1831"/>
      <c r="JGT527" s="1831"/>
      <c r="JGU527" s="1831"/>
      <c r="JGV527" s="1831"/>
      <c r="JGW527" s="1831"/>
      <c r="JGX527" s="1831"/>
      <c r="JGY527" s="1831"/>
      <c r="JGZ527" s="1831"/>
      <c r="JHA527" s="1831"/>
      <c r="JHB527" s="1831"/>
      <c r="JHC527" s="1831"/>
      <c r="JHD527" s="1831"/>
      <c r="JHE527" s="1831"/>
      <c r="JHF527" s="1831"/>
      <c r="JHG527" s="1831"/>
      <c r="JHH527" s="1831"/>
      <c r="JHI527" s="1831"/>
      <c r="JHJ527" s="1831"/>
      <c r="JHK527" s="1831"/>
      <c r="JHL527" s="1831"/>
      <c r="JHM527" s="1831"/>
      <c r="JHN527" s="1831"/>
      <c r="JHO527" s="1831"/>
      <c r="JHP527" s="1831"/>
      <c r="JHQ527" s="1831"/>
      <c r="JHR527" s="1831"/>
      <c r="JHS527" s="1831"/>
      <c r="JHT527" s="1831"/>
      <c r="JHU527" s="1831"/>
      <c r="JHV527" s="1831"/>
      <c r="JHW527" s="1831"/>
      <c r="JHX527" s="1831"/>
      <c r="JHY527" s="1831"/>
      <c r="JHZ527" s="1831"/>
      <c r="JIA527" s="1831"/>
      <c r="JIB527" s="1831"/>
      <c r="JIC527" s="1831"/>
      <c r="JID527" s="1831"/>
      <c r="JIE527" s="1831"/>
      <c r="JIF527" s="1831"/>
      <c r="JIG527" s="1831"/>
      <c r="JIH527" s="1831"/>
      <c r="JII527" s="1831"/>
      <c r="JIJ527" s="1831"/>
      <c r="JIK527" s="1831"/>
      <c r="JIL527" s="1831"/>
      <c r="JIM527" s="1831"/>
      <c r="JIN527" s="1831"/>
      <c r="JIO527" s="1831"/>
      <c r="JIP527" s="1831"/>
      <c r="JIQ527" s="1831"/>
      <c r="JIR527" s="1831"/>
      <c r="JIS527" s="1831"/>
      <c r="JIT527" s="1831"/>
      <c r="JIU527" s="1831"/>
      <c r="JIV527" s="1831"/>
      <c r="JIW527" s="1831"/>
      <c r="JIX527" s="1831"/>
      <c r="JIY527" s="1831"/>
      <c r="JIZ527" s="1831"/>
      <c r="JJA527" s="1831"/>
      <c r="JJB527" s="1831"/>
      <c r="JJC527" s="1831"/>
      <c r="JJD527" s="1831"/>
      <c r="JJE527" s="1831"/>
      <c r="JJF527" s="1831"/>
      <c r="JJG527" s="1831"/>
      <c r="JJH527" s="1831"/>
      <c r="JJI527" s="1831"/>
      <c r="JJJ527" s="1831"/>
      <c r="JJK527" s="1831"/>
      <c r="JJL527" s="1831"/>
      <c r="JJM527" s="1831"/>
      <c r="JJN527" s="1831"/>
      <c r="JJO527" s="1831"/>
      <c r="JJP527" s="1831"/>
      <c r="JJQ527" s="1831"/>
      <c r="JJR527" s="1831"/>
      <c r="JJS527" s="1831"/>
      <c r="JJT527" s="1831"/>
      <c r="JJU527" s="1831"/>
      <c r="JJV527" s="1831"/>
      <c r="JJW527" s="1831"/>
      <c r="JJX527" s="1831"/>
      <c r="JJY527" s="1831"/>
      <c r="JJZ527" s="1831"/>
      <c r="JKA527" s="1831"/>
      <c r="JKB527" s="1831"/>
      <c r="JKC527" s="1831"/>
      <c r="JKD527" s="1831"/>
      <c r="JKE527" s="1831"/>
      <c r="JKF527" s="1831"/>
      <c r="JKG527" s="1831"/>
      <c r="JKH527" s="1831"/>
      <c r="JKI527" s="1831"/>
      <c r="JKJ527" s="1831"/>
      <c r="JKK527" s="1831"/>
      <c r="JKL527" s="1831"/>
      <c r="JKM527" s="1831"/>
      <c r="JKN527" s="1831"/>
      <c r="JKO527" s="1831"/>
      <c r="JKP527" s="1831"/>
      <c r="JKQ527" s="1831"/>
      <c r="JKR527" s="1831"/>
      <c r="JKS527" s="1831"/>
      <c r="JKT527" s="1831"/>
      <c r="JKU527" s="1831"/>
      <c r="JKV527" s="1831"/>
      <c r="JKW527" s="1831"/>
      <c r="JKX527" s="1831"/>
      <c r="JKY527" s="1831"/>
      <c r="JKZ527" s="1831"/>
      <c r="JLA527" s="1831"/>
      <c r="JLB527" s="1831"/>
      <c r="JLC527" s="1831"/>
      <c r="JLD527" s="1831"/>
      <c r="JLE527" s="1831"/>
      <c r="JLF527" s="1831"/>
      <c r="JLG527" s="1831"/>
      <c r="JLH527" s="1831"/>
      <c r="JLI527" s="1831"/>
      <c r="JLJ527" s="1831"/>
      <c r="JLK527" s="1831"/>
      <c r="JLL527" s="1831"/>
      <c r="JLM527" s="1831"/>
      <c r="JLN527" s="1831"/>
      <c r="JLO527" s="1831"/>
      <c r="JLP527" s="1831"/>
      <c r="JLQ527" s="1831"/>
      <c r="JLR527" s="1831"/>
      <c r="JLS527" s="1831"/>
      <c r="JLT527" s="1831"/>
      <c r="JLU527" s="1831"/>
      <c r="JLV527" s="1831"/>
      <c r="JLW527" s="1831"/>
      <c r="JLX527" s="1831"/>
      <c r="JLY527" s="1831"/>
      <c r="JLZ527" s="1831"/>
      <c r="JMA527" s="1831"/>
      <c r="JMB527" s="1831"/>
      <c r="JMC527" s="1831"/>
      <c r="JMD527" s="1831"/>
      <c r="JME527" s="1831"/>
      <c r="JMF527" s="1831"/>
      <c r="JMG527" s="1831"/>
      <c r="JMH527" s="1831"/>
      <c r="JMI527" s="1831"/>
      <c r="JMJ527" s="1831"/>
      <c r="JMK527" s="1831"/>
      <c r="JML527" s="1831"/>
      <c r="JMM527" s="1831"/>
      <c r="JMN527" s="1831"/>
      <c r="JMO527" s="1831"/>
      <c r="JMP527" s="1831"/>
      <c r="JMQ527" s="1831"/>
      <c r="JMR527" s="1831"/>
      <c r="JMS527" s="1831"/>
      <c r="JMT527" s="1831"/>
      <c r="JMU527" s="1831"/>
      <c r="JMV527" s="1831"/>
      <c r="JMW527" s="1831"/>
      <c r="JMX527" s="1831"/>
      <c r="JMY527" s="1831"/>
      <c r="JMZ527" s="1831"/>
      <c r="JNA527" s="1831"/>
      <c r="JNB527" s="1831"/>
      <c r="JNC527" s="1831"/>
      <c r="JND527" s="1831"/>
      <c r="JNE527" s="1831"/>
      <c r="JNF527" s="1831"/>
      <c r="JNG527" s="1831"/>
      <c r="JNH527" s="1831"/>
      <c r="JNI527" s="1831"/>
      <c r="JNJ527" s="1831"/>
      <c r="JNK527" s="1831"/>
      <c r="JNL527" s="1831"/>
      <c r="JNM527" s="1831"/>
      <c r="JNN527" s="1831"/>
      <c r="JNO527" s="1831"/>
      <c r="JNP527" s="1831"/>
      <c r="JNQ527" s="1831"/>
      <c r="JNR527" s="1831"/>
      <c r="JNS527" s="1831"/>
      <c r="JNT527" s="1831"/>
      <c r="JNU527" s="1831"/>
      <c r="JNV527" s="1831"/>
      <c r="JNW527" s="1831"/>
      <c r="JNX527" s="1831"/>
      <c r="JNY527" s="1831"/>
      <c r="JNZ527" s="1831"/>
      <c r="JOA527" s="1831"/>
      <c r="JOB527" s="1831"/>
      <c r="JOC527" s="1831"/>
      <c r="JOD527" s="1831"/>
      <c r="JOE527" s="1831"/>
      <c r="JOF527" s="1831"/>
      <c r="JOG527" s="1831"/>
      <c r="JOH527" s="1831"/>
      <c r="JOI527" s="1831"/>
      <c r="JOJ527" s="1831"/>
      <c r="JOK527" s="1831"/>
      <c r="JOL527" s="1831"/>
      <c r="JOM527" s="1831"/>
      <c r="JON527" s="1831"/>
      <c r="JOO527" s="1831"/>
      <c r="JOP527" s="1831"/>
      <c r="JOQ527" s="1831"/>
      <c r="JOR527" s="1831"/>
      <c r="JOS527" s="1831"/>
      <c r="JOT527" s="1831"/>
      <c r="JOU527" s="1831"/>
      <c r="JOV527" s="1831"/>
      <c r="JOW527" s="1831"/>
      <c r="JOX527" s="1831"/>
      <c r="JOY527" s="1831"/>
      <c r="JOZ527" s="1831"/>
      <c r="JPA527" s="1831"/>
      <c r="JPB527" s="1831"/>
      <c r="JPC527" s="1831"/>
      <c r="JPD527" s="1831"/>
      <c r="JPE527" s="1831"/>
      <c r="JPF527" s="1831"/>
      <c r="JPG527" s="1831"/>
      <c r="JPH527" s="1831"/>
      <c r="JPI527" s="1831"/>
      <c r="JPJ527" s="1831"/>
      <c r="JPK527" s="1831"/>
      <c r="JPL527" s="1831"/>
      <c r="JPM527" s="1831"/>
      <c r="JPN527" s="1831"/>
      <c r="JPO527" s="1831"/>
      <c r="JPP527" s="1831"/>
      <c r="JPQ527" s="1831"/>
      <c r="JPR527" s="1831"/>
      <c r="JPS527" s="1831"/>
      <c r="JPT527" s="1831"/>
      <c r="JPU527" s="1831"/>
      <c r="JPV527" s="1831"/>
      <c r="JPW527" s="1831"/>
      <c r="JPX527" s="1831"/>
      <c r="JPY527" s="1831"/>
      <c r="JPZ527" s="1831"/>
      <c r="JQA527" s="1831"/>
      <c r="JQB527" s="1831"/>
      <c r="JQC527" s="1831"/>
      <c r="JQD527" s="1831"/>
      <c r="JQE527" s="1831"/>
      <c r="JQF527" s="1831"/>
      <c r="JQG527" s="1831"/>
      <c r="JQH527" s="1831"/>
      <c r="JQI527" s="1831"/>
      <c r="JQJ527" s="1831"/>
      <c r="JQK527" s="1831"/>
      <c r="JQL527" s="1831"/>
      <c r="JQM527" s="1831"/>
      <c r="JQN527" s="1831"/>
      <c r="JQO527" s="1831"/>
      <c r="JQP527" s="1831"/>
      <c r="JQQ527" s="1831"/>
      <c r="JQR527" s="1831"/>
      <c r="JQS527" s="1831"/>
      <c r="JQT527" s="1831"/>
      <c r="JQU527" s="1831"/>
      <c r="JQV527" s="1831"/>
      <c r="JQW527" s="1831"/>
      <c r="JQX527" s="1831"/>
      <c r="JQY527" s="1831"/>
      <c r="JQZ527" s="1831"/>
      <c r="JRA527" s="1831"/>
      <c r="JRB527" s="1831"/>
      <c r="JRC527" s="1831"/>
      <c r="JRD527" s="1831"/>
      <c r="JRE527" s="1831"/>
      <c r="JRF527" s="1831"/>
      <c r="JRG527" s="1831"/>
      <c r="JRH527" s="1831"/>
      <c r="JRI527" s="1831"/>
      <c r="JRJ527" s="1831"/>
      <c r="JRK527" s="1831"/>
      <c r="JRL527" s="1831"/>
      <c r="JRM527" s="1831"/>
      <c r="JRN527" s="1831"/>
      <c r="JRO527" s="1831"/>
      <c r="JRP527" s="1831"/>
      <c r="JRQ527" s="1831"/>
      <c r="JRR527" s="1831"/>
      <c r="JRS527" s="1831"/>
      <c r="JRT527" s="1831"/>
      <c r="JRU527" s="1831"/>
      <c r="JRV527" s="1831"/>
      <c r="JRW527" s="1831"/>
      <c r="JRX527" s="1831"/>
      <c r="JRY527" s="1831"/>
      <c r="JRZ527" s="1831"/>
      <c r="JSA527" s="1831"/>
      <c r="JSB527" s="1831"/>
      <c r="JSC527" s="1831"/>
      <c r="JSD527" s="1831"/>
      <c r="JSE527" s="1831"/>
      <c r="JSF527" s="1831"/>
      <c r="JSG527" s="1831"/>
      <c r="JSH527" s="1831"/>
      <c r="JSI527" s="1831"/>
      <c r="JSJ527" s="1831"/>
      <c r="JSK527" s="1831"/>
      <c r="JSL527" s="1831"/>
      <c r="JSM527" s="1831"/>
      <c r="JSN527" s="1831"/>
      <c r="JSO527" s="1831"/>
      <c r="JSP527" s="1831"/>
      <c r="JSQ527" s="1831"/>
      <c r="JSR527" s="1831"/>
      <c r="JSS527" s="1831"/>
      <c r="JST527" s="1831"/>
      <c r="JSU527" s="1831"/>
      <c r="JSV527" s="1831"/>
      <c r="JSW527" s="1831"/>
      <c r="JSX527" s="1831"/>
      <c r="JSY527" s="1831"/>
      <c r="JSZ527" s="1831"/>
      <c r="JTA527" s="1831"/>
      <c r="JTB527" s="1831"/>
      <c r="JTC527" s="1831"/>
      <c r="JTD527" s="1831"/>
      <c r="JTE527" s="1831"/>
      <c r="JTF527" s="1831"/>
      <c r="JTG527" s="1831"/>
      <c r="JTH527" s="1831"/>
      <c r="JTI527" s="1831"/>
      <c r="JTJ527" s="1831"/>
      <c r="JTK527" s="1831"/>
      <c r="JTL527" s="1831"/>
      <c r="JTM527" s="1831"/>
      <c r="JTN527" s="1831"/>
      <c r="JTO527" s="1831"/>
      <c r="JTP527" s="1831"/>
      <c r="JTQ527" s="1831"/>
      <c r="JTR527" s="1831"/>
      <c r="JTS527" s="1831"/>
      <c r="JTT527" s="1831"/>
      <c r="JTU527" s="1831"/>
      <c r="JTV527" s="1831"/>
      <c r="JTW527" s="1831"/>
      <c r="JTX527" s="1831"/>
      <c r="JTY527" s="1831"/>
      <c r="JTZ527" s="1831"/>
      <c r="JUA527" s="1831"/>
      <c r="JUB527" s="1831"/>
      <c r="JUC527" s="1831"/>
      <c r="JUD527" s="1831"/>
      <c r="JUE527" s="1831"/>
      <c r="JUF527" s="1831"/>
      <c r="JUG527" s="1831"/>
      <c r="JUH527" s="1831"/>
      <c r="JUI527" s="1831"/>
      <c r="JUJ527" s="1831"/>
      <c r="JUK527" s="1831"/>
      <c r="JUL527" s="1831"/>
      <c r="JUM527" s="1831"/>
      <c r="JUN527" s="1831"/>
      <c r="JUO527" s="1831"/>
      <c r="JUP527" s="1831"/>
      <c r="JUQ527" s="1831"/>
      <c r="JUR527" s="1831"/>
      <c r="JUS527" s="1831"/>
      <c r="JUT527" s="1831"/>
      <c r="JUU527" s="1831"/>
      <c r="JUV527" s="1831"/>
      <c r="JUW527" s="1831"/>
      <c r="JUX527" s="1831"/>
      <c r="JUY527" s="1831"/>
      <c r="JUZ527" s="1831"/>
      <c r="JVA527" s="1831"/>
      <c r="JVB527" s="1831"/>
      <c r="JVC527" s="1831"/>
      <c r="JVD527" s="1831"/>
      <c r="JVE527" s="1831"/>
      <c r="JVF527" s="1831"/>
      <c r="JVG527" s="1831"/>
      <c r="JVH527" s="1831"/>
      <c r="JVI527" s="1831"/>
      <c r="JVJ527" s="1831"/>
      <c r="JVK527" s="1831"/>
      <c r="JVL527" s="1831"/>
      <c r="JVM527" s="1831"/>
      <c r="JVN527" s="1831"/>
      <c r="JVO527" s="1831"/>
      <c r="JVP527" s="1831"/>
      <c r="JVQ527" s="1831"/>
      <c r="JVR527" s="1831"/>
      <c r="JVS527" s="1831"/>
      <c r="JVT527" s="1831"/>
      <c r="JVU527" s="1831"/>
      <c r="JVV527" s="1831"/>
      <c r="JVW527" s="1831"/>
      <c r="JVX527" s="1831"/>
      <c r="JVY527" s="1831"/>
      <c r="JVZ527" s="1831"/>
      <c r="JWA527" s="1831"/>
      <c r="JWB527" s="1831"/>
      <c r="JWC527" s="1831"/>
      <c r="JWD527" s="1831"/>
      <c r="JWE527" s="1831"/>
      <c r="JWF527" s="1831"/>
      <c r="JWG527" s="1831"/>
      <c r="JWH527" s="1831"/>
      <c r="JWI527" s="1831"/>
      <c r="JWJ527" s="1831"/>
      <c r="JWK527" s="1831"/>
      <c r="JWL527" s="1831"/>
      <c r="JWM527" s="1831"/>
      <c r="JWN527" s="1831"/>
      <c r="JWO527" s="1831"/>
      <c r="JWP527" s="1831"/>
      <c r="JWQ527" s="1831"/>
      <c r="JWR527" s="1831"/>
      <c r="JWS527" s="1831"/>
      <c r="JWT527" s="1831"/>
      <c r="JWU527" s="1831"/>
      <c r="JWV527" s="1831"/>
      <c r="JWW527" s="1831"/>
      <c r="JWX527" s="1831"/>
      <c r="JWY527" s="1831"/>
      <c r="JWZ527" s="1831"/>
      <c r="JXA527" s="1831"/>
      <c r="JXB527" s="1831"/>
      <c r="JXC527" s="1831"/>
      <c r="JXD527" s="1831"/>
      <c r="JXE527" s="1831"/>
      <c r="JXF527" s="1831"/>
      <c r="JXG527" s="1831"/>
      <c r="JXH527" s="1831"/>
      <c r="JXI527" s="1831"/>
      <c r="JXJ527" s="1831"/>
      <c r="JXK527" s="1831"/>
      <c r="JXL527" s="1831"/>
      <c r="JXM527" s="1831"/>
      <c r="JXN527" s="1831"/>
      <c r="JXO527" s="1831"/>
      <c r="JXP527" s="1831"/>
      <c r="JXQ527" s="1831"/>
      <c r="JXR527" s="1831"/>
      <c r="JXS527" s="1831"/>
      <c r="JXT527" s="1831"/>
      <c r="JXU527" s="1831"/>
      <c r="JXV527" s="1831"/>
      <c r="JXW527" s="1831"/>
      <c r="JXX527" s="1831"/>
      <c r="JXY527" s="1831"/>
      <c r="JXZ527" s="1831"/>
      <c r="JYA527" s="1831"/>
      <c r="JYB527" s="1831"/>
      <c r="JYC527" s="1831"/>
      <c r="JYD527" s="1831"/>
      <c r="JYE527" s="1831"/>
      <c r="JYF527" s="1831"/>
      <c r="JYG527" s="1831"/>
      <c r="JYH527" s="1831"/>
      <c r="JYI527" s="1831"/>
      <c r="JYJ527" s="1831"/>
      <c r="JYK527" s="1831"/>
      <c r="JYL527" s="1831"/>
      <c r="JYM527" s="1831"/>
      <c r="JYN527" s="1831"/>
      <c r="JYO527" s="1831"/>
      <c r="JYP527" s="1831"/>
      <c r="JYQ527" s="1831"/>
      <c r="JYR527" s="1831"/>
      <c r="JYS527" s="1831"/>
      <c r="JYT527" s="1831"/>
      <c r="JYU527" s="1831"/>
      <c r="JYV527" s="1831"/>
      <c r="JYW527" s="1831"/>
      <c r="JYX527" s="1831"/>
      <c r="JYY527" s="1831"/>
      <c r="JYZ527" s="1831"/>
      <c r="JZA527" s="1831"/>
      <c r="JZB527" s="1831"/>
      <c r="JZC527" s="1831"/>
      <c r="JZD527" s="1831"/>
      <c r="JZE527" s="1831"/>
      <c r="JZF527" s="1831"/>
      <c r="JZG527" s="1831"/>
      <c r="JZH527" s="1831"/>
      <c r="JZI527" s="1831"/>
      <c r="JZJ527" s="1831"/>
      <c r="JZK527" s="1831"/>
      <c r="JZL527" s="1831"/>
      <c r="JZM527" s="1831"/>
      <c r="JZN527" s="1831"/>
      <c r="JZO527" s="1831"/>
      <c r="JZP527" s="1831"/>
      <c r="JZQ527" s="1831"/>
      <c r="JZR527" s="1831"/>
      <c r="JZS527" s="1831"/>
      <c r="JZT527" s="1831"/>
      <c r="JZU527" s="1831"/>
      <c r="JZV527" s="1831"/>
      <c r="JZW527" s="1831"/>
      <c r="JZX527" s="1831"/>
      <c r="JZY527" s="1831"/>
      <c r="JZZ527" s="1831"/>
      <c r="KAA527" s="1831"/>
      <c r="KAB527" s="1831"/>
      <c r="KAC527" s="1831"/>
      <c r="KAD527" s="1831"/>
      <c r="KAE527" s="1831"/>
      <c r="KAF527" s="1831"/>
      <c r="KAG527" s="1831"/>
      <c r="KAH527" s="1831"/>
      <c r="KAI527" s="1831"/>
      <c r="KAJ527" s="1831"/>
      <c r="KAK527" s="1831"/>
      <c r="KAL527" s="1831"/>
      <c r="KAM527" s="1831"/>
      <c r="KAN527" s="1831"/>
      <c r="KAO527" s="1831"/>
      <c r="KAP527" s="1831"/>
      <c r="KAQ527" s="1831"/>
      <c r="KAR527" s="1831"/>
      <c r="KAS527" s="1831"/>
      <c r="KAT527" s="1831"/>
      <c r="KAU527" s="1831"/>
      <c r="KAV527" s="1831"/>
      <c r="KAW527" s="1831"/>
      <c r="KAX527" s="1831"/>
      <c r="KAY527" s="1831"/>
      <c r="KAZ527" s="1831"/>
      <c r="KBA527" s="1831"/>
      <c r="KBB527" s="1831"/>
      <c r="KBC527" s="1831"/>
      <c r="KBD527" s="1831"/>
      <c r="KBE527" s="1831"/>
      <c r="KBF527" s="1831"/>
      <c r="KBG527" s="1831"/>
      <c r="KBH527" s="1831"/>
      <c r="KBI527" s="1831"/>
      <c r="KBJ527" s="1831"/>
      <c r="KBK527" s="1831"/>
      <c r="KBL527" s="1831"/>
      <c r="KBM527" s="1831"/>
      <c r="KBN527" s="1831"/>
      <c r="KBO527" s="1831"/>
      <c r="KBP527" s="1831"/>
      <c r="KBQ527" s="1831"/>
      <c r="KBR527" s="1831"/>
      <c r="KBS527" s="1831"/>
      <c r="KBT527" s="1831"/>
      <c r="KBU527" s="1831"/>
      <c r="KBV527" s="1831"/>
      <c r="KBW527" s="1831"/>
      <c r="KBX527" s="1831"/>
      <c r="KBY527" s="1831"/>
      <c r="KBZ527" s="1831"/>
      <c r="KCA527" s="1831"/>
      <c r="KCB527" s="1831"/>
      <c r="KCC527" s="1831"/>
      <c r="KCD527" s="1831"/>
      <c r="KCE527" s="1831"/>
      <c r="KCF527" s="1831"/>
      <c r="KCG527" s="1831"/>
      <c r="KCH527" s="1831"/>
      <c r="KCI527" s="1831"/>
      <c r="KCJ527" s="1831"/>
      <c r="KCK527" s="1831"/>
      <c r="KCL527" s="1831"/>
      <c r="KCM527" s="1831"/>
      <c r="KCN527" s="1831"/>
      <c r="KCO527" s="1831"/>
      <c r="KCP527" s="1831"/>
      <c r="KCQ527" s="1831"/>
      <c r="KCR527" s="1831"/>
      <c r="KCS527" s="1831"/>
      <c r="KCT527" s="1831"/>
      <c r="KCU527" s="1831"/>
      <c r="KCV527" s="1831"/>
      <c r="KCW527" s="1831"/>
      <c r="KCX527" s="1831"/>
      <c r="KCY527" s="1831"/>
      <c r="KCZ527" s="1831"/>
      <c r="KDA527" s="1831"/>
      <c r="KDB527" s="1831"/>
      <c r="KDC527" s="1831"/>
      <c r="KDD527" s="1831"/>
      <c r="KDE527" s="1831"/>
      <c r="KDF527" s="1831"/>
      <c r="KDG527" s="1831"/>
      <c r="KDH527" s="1831"/>
      <c r="KDI527" s="1831"/>
      <c r="KDJ527" s="1831"/>
      <c r="KDK527" s="1831"/>
      <c r="KDL527" s="1831"/>
      <c r="KDM527" s="1831"/>
      <c r="KDN527" s="1831"/>
      <c r="KDO527" s="1831"/>
      <c r="KDP527" s="1831"/>
      <c r="KDQ527" s="1831"/>
      <c r="KDR527" s="1831"/>
      <c r="KDS527" s="1831"/>
      <c r="KDT527" s="1831"/>
      <c r="KDU527" s="1831"/>
      <c r="KDV527" s="1831"/>
      <c r="KDW527" s="1831"/>
      <c r="KDX527" s="1831"/>
      <c r="KDY527" s="1831"/>
      <c r="KDZ527" s="1831"/>
      <c r="KEA527" s="1831"/>
      <c r="KEB527" s="1831"/>
      <c r="KEC527" s="1831"/>
      <c r="KED527" s="1831"/>
      <c r="KEE527" s="1831"/>
      <c r="KEF527" s="1831"/>
      <c r="KEG527" s="1831"/>
      <c r="KEH527" s="1831"/>
      <c r="KEI527" s="1831"/>
      <c r="KEJ527" s="1831"/>
      <c r="KEK527" s="1831"/>
      <c r="KEL527" s="1831"/>
      <c r="KEM527" s="1831"/>
      <c r="KEN527" s="1831"/>
      <c r="KEO527" s="1831"/>
      <c r="KEP527" s="1831"/>
      <c r="KEQ527" s="1831"/>
      <c r="KER527" s="1831"/>
      <c r="KES527" s="1831"/>
      <c r="KET527" s="1831"/>
      <c r="KEU527" s="1831"/>
      <c r="KEV527" s="1831"/>
      <c r="KEW527" s="1831"/>
      <c r="KEX527" s="1831"/>
      <c r="KEY527" s="1831"/>
      <c r="KEZ527" s="1831"/>
      <c r="KFA527" s="1831"/>
      <c r="KFB527" s="1831"/>
      <c r="KFC527" s="1831"/>
      <c r="KFD527" s="1831"/>
      <c r="KFE527" s="1831"/>
      <c r="KFF527" s="1831"/>
      <c r="KFG527" s="1831"/>
      <c r="KFH527" s="1831"/>
      <c r="KFI527" s="1831"/>
      <c r="KFJ527" s="1831"/>
      <c r="KFK527" s="1831"/>
      <c r="KFL527" s="1831"/>
      <c r="KFM527" s="1831"/>
      <c r="KFN527" s="1831"/>
      <c r="KFO527" s="1831"/>
      <c r="KFP527" s="1831"/>
      <c r="KFQ527" s="1831"/>
      <c r="KFR527" s="1831"/>
      <c r="KFS527" s="1831"/>
      <c r="KFT527" s="1831"/>
      <c r="KFU527" s="1831"/>
      <c r="KFV527" s="1831"/>
      <c r="KFW527" s="1831"/>
      <c r="KFX527" s="1831"/>
      <c r="KFY527" s="1831"/>
      <c r="KFZ527" s="1831"/>
      <c r="KGA527" s="1831"/>
      <c r="KGB527" s="1831"/>
      <c r="KGC527" s="1831"/>
      <c r="KGD527" s="1831"/>
      <c r="KGE527" s="1831"/>
      <c r="KGF527" s="1831"/>
      <c r="KGG527" s="1831"/>
      <c r="KGH527" s="1831"/>
      <c r="KGI527" s="1831"/>
      <c r="KGJ527" s="1831"/>
      <c r="KGK527" s="1831"/>
      <c r="KGL527" s="1831"/>
      <c r="KGM527" s="1831"/>
      <c r="KGN527" s="1831"/>
      <c r="KGO527" s="1831"/>
      <c r="KGP527" s="1831"/>
      <c r="KGQ527" s="1831"/>
      <c r="KGR527" s="1831"/>
      <c r="KGS527" s="1831"/>
      <c r="KGT527" s="1831"/>
      <c r="KGU527" s="1831"/>
      <c r="KGV527" s="1831"/>
      <c r="KGW527" s="1831"/>
      <c r="KGX527" s="1831"/>
      <c r="KGY527" s="1831"/>
      <c r="KGZ527" s="1831"/>
      <c r="KHA527" s="1831"/>
      <c r="KHB527" s="1831"/>
      <c r="KHC527" s="1831"/>
      <c r="KHD527" s="1831"/>
      <c r="KHE527" s="1831"/>
      <c r="KHF527" s="1831"/>
      <c r="KHG527" s="1831"/>
      <c r="KHH527" s="1831"/>
      <c r="KHI527" s="1831"/>
      <c r="KHJ527" s="1831"/>
      <c r="KHK527" s="1831"/>
      <c r="KHL527" s="1831"/>
      <c r="KHM527" s="1831"/>
      <c r="KHN527" s="1831"/>
      <c r="KHO527" s="1831"/>
      <c r="KHP527" s="1831"/>
      <c r="KHQ527" s="1831"/>
      <c r="KHR527" s="1831"/>
      <c r="KHS527" s="1831"/>
      <c r="KHT527" s="1831"/>
      <c r="KHU527" s="1831"/>
      <c r="KHV527" s="1831"/>
      <c r="KHW527" s="1831"/>
      <c r="KHX527" s="1831"/>
      <c r="KHY527" s="1831"/>
      <c r="KHZ527" s="1831"/>
      <c r="KIA527" s="1831"/>
      <c r="KIB527" s="1831"/>
      <c r="KIC527" s="1831"/>
      <c r="KID527" s="1831"/>
      <c r="KIE527" s="1831"/>
      <c r="KIF527" s="1831"/>
      <c r="KIG527" s="1831"/>
      <c r="KIH527" s="1831"/>
      <c r="KII527" s="1831"/>
      <c r="KIJ527" s="1831"/>
      <c r="KIK527" s="1831"/>
      <c r="KIL527" s="1831"/>
      <c r="KIM527" s="1831"/>
      <c r="KIN527" s="1831"/>
      <c r="KIO527" s="1831"/>
      <c r="KIP527" s="1831"/>
      <c r="KIQ527" s="1831"/>
      <c r="KIR527" s="1831"/>
      <c r="KIS527" s="1831"/>
      <c r="KIT527" s="1831"/>
      <c r="KIU527" s="1831"/>
      <c r="KIV527" s="1831"/>
      <c r="KIW527" s="1831"/>
      <c r="KIX527" s="1831"/>
      <c r="KIY527" s="1831"/>
      <c r="KIZ527" s="1831"/>
      <c r="KJA527" s="1831"/>
      <c r="KJB527" s="1831"/>
      <c r="KJC527" s="1831"/>
      <c r="KJD527" s="1831"/>
      <c r="KJE527" s="1831"/>
      <c r="KJF527" s="1831"/>
      <c r="KJG527" s="1831"/>
      <c r="KJH527" s="1831"/>
      <c r="KJI527" s="1831"/>
      <c r="KJJ527" s="1831"/>
      <c r="KJK527" s="1831"/>
      <c r="KJL527" s="1831"/>
      <c r="KJM527" s="1831"/>
      <c r="KJN527" s="1831"/>
      <c r="KJO527" s="1831"/>
      <c r="KJP527" s="1831"/>
      <c r="KJQ527" s="1831"/>
      <c r="KJR527" s="1831"/>
      <c r="KJS527" s="1831"/>
      <c r="KJT527" s="1831"/>
      <c r="KJU527" s="1831"/>
      <c r="KJV527" s="1831"/>
      <c r="KJW527" s="1831"/>
      <c r="KJX527" s="1831"/>
      <c r="KJY527" s="1831"/>
      <c r="KJZ527" s="1831"/>
      <c r="KKA527" s="1831"/>
      <c r="KKB527" s="1831"/>
      <c r="KKC527" s="1831"/>
      <c r="KKD527" s="1831"/>
      <c r="KKE527" s="1831"/>
      <c r="KKF527" s="1831"/>
      <c r="KKG527" s="1831"/>
      <c r="KKH527" s="1831"/>
      <c r="KKI527" s="1831"/>
      <c r="KKJ527" s="1831"/>
      <c r="KKK527" s="1831"/>
      <c r="KKL527" s="1831"/>
      <c r="KKM527" s="1831"/>
      <c r="KKN527" s="1831"/>
      <c r="KKO527" s="1831"/>
      <c r="KKP527" s="1831"/>
      <c r="KKQ527" s="1831"/>
      <c r="KKR527" s="1831"/>
      <c r="KKS527" s="1831"/>
      <c r="KKT527" s="1831"/>
      <c r="KKU527" s="1831"/>
      <c r="KKV527" s="1831"/>
      <c r="KKW527" s="1831"/>
      <c r="KKX527" s="1831"/>
      <c r="KKY527" s="1831"/>
      <c r="KKZ527" s="1831"/>
      <c r="KLA527" s="1831"/>
      <c r="KLB527" s="1831"/>
      <c r="KLC527" s="1831"/>
      <c r="KLD527" s="1831"/>
      <c r="KLE527" s="1831"/>
      <c r="KLF527" s="1831"/>
      <c r="KLG527" s="1831"/>
      <c r="KLH527" s="1831"/>
      <c r="KLI527" s="1831"/>
      <c r="KLJ527" s="1831"/>
      <c r="KLK527" s="1831"/>
      <c r="KLL527" s="1831"/>
      <c r="KLM527" s="1831"/>
      <c r="KLN527" s="1831"/>
      <c r="KLO527" s="1831"/>
      <c r="KLP527" s="1831"/>
      <c r="KLQ527" s="1831"/>
      <c r="KLR527" s="1831"/>
      <c r="KLS527" s="1831"/>
      <c r="KLT527" s="1831"/>
      <c r="KLU527" s="1831"/>
      <c r="KLV527" s="1831"/>
      <c r="KLW527" s="1831"/>
      <c r="KLX527" s="1831"/>
      <c r="KLY527" s="1831"/>
      <c r="KLZ527" s="1831"/>
      <c r="KMA527" s="1831"/>
      <c r="KMB527" s="1831"/>
      <c r="KMC527" s="1831"/>
      <c r="KMD527" s="1831"/>
      <c r="KME527" s="1831"/>
      <c r="KMF527" s="1831"/>
      <c r="KMG527" s="1831"/>
      <c r="KMH527" s="1831"/>
      <c r="KMI527" s="1831"/>
      <c r="KMJ527" s="1831"/>
      <c r="KMK527" s="1831"/>
      <c r="KML527" s="1831"/>
      <c r="KMM527" s="1831"/>
      <c r="KMN527" s="1831"/>
      <c r="KMO527" s="1831"/>
      <c r="KMP527" s="1831"/>
      <c r="KMQ527" s="1831"/>
      <c r="KMR527" s="1831"/>
      <c r="KMS527" s="1831"/>
      <c r="KMT527" s="1831"/>
      <c r="KMU527" s="1831"/>
      <c r="KMV527" s="1831"/>
      <c r="KMW527" s="1831"/>
      <c r="KMX527" s="1831"/>
      <c r="KMY527" s="1831"/>
      <c r="KMZ527" s="1831"/>
      <c r="KNA527" s="1831"/>
      <c r="KNB527" s="1831"/>
      <c r="KNC527" s="1831"/>
      <c r="KND527" s="1831"/>
      <c r="KNE527" s="1831"/>
      <c r="KNF527" s="1831"/>
      <c r="KNG527" s="1831"/>
      <c r="KNH527" s="1831"/>
      <c r="KNI527" s="1831"/>
      <c r="KNJ527" s="1831"/>
      <c r="KNK527" s="1831"/>
      <c r="KNL527" s="1831"/>
      <c r="KNM527" s="1831"/>
      <c r="KNN527" s="1831"/>
      <c r="KNO527" s="1831"/>
      <c r="KNP527" s="1831"/>
      <c r="KNQ527" s="1831"/>
      <c r="KNR527" s="1831"/>
      <c r="KNS527" s="1831"/>
      <c r="KNT527" s="1831"/>
      <c r="KNU527" s="1831"/>
      <c r="KNV527" s="1831"/>
      <c r="KNW527" s="1831"/>
      <c r="KNX527" s="1831"/>
      <c r="KNY527" s="1831"/>
      <c r="KNZ527" s="1831"/>
      <c r="KOA527" s="1831"/>
      <c r="KOB527" s="1831"/>
      <c r="KOC527" s="1831"/>
      <c r="KOD527" s="1831"/>
      <c r="KOE527" s="1831"/>
      <c r="KOF527" s="1831"/>
      <c r="KOG527" s="1831"/>
      <c r="KOH527" s="1831"/>
      <c r="KOI527" s="1831"/>
      <c r="KOJ527" s="1831"/>
      <c r="KOK527" s="1831"/>
      <c r="KOL527" s="1831"/>
      <c r="KOM527" s="1831"/>
      <c r="KON527" s="1831"/>
      <c r="KOO527" s="1831"/>
      <c r="KOP527" s="1831"/>
      <c r="KOQ527" s="1831"/>
      <c r="KOR527" s="1831"/>
      <c r="KOS527" s="1831"/>
      <c r="KOT527" s="1831"/>
      <c r="KOU527" s="1831"/>
      <c r="KOV527" s="1831"/>
      <c r="KOW527" s="1831"/>
      <c r="KOX527" s="1831"/>
      <c r="KOY527" s="1831"/>
      <c r="KOZ527" s="1831"/>
      <c r="KPA527" s="1831"/>
      <c r="KPB527" s="1831"/>
      <c r="KPC527" s="1831"/>
      <c r="KPD527" s="1831"/>
      <c r="KPE527" s="1831"/>
      <c r="KPF527" s="1831"/>
      <c r="KPG527" s="1831"/>
      <c r="KPH527" s="1831"/>
      <c r="KPI527" s="1831"/>
      <c r="KPJ527" s="1831"/>
      <c r="KPK527" s="1831"/>
      <c r="KPL527" s="1831"/>
      <c r="KPM527" s="1831"/>
      <c r="KPN527" s="1831"/>
      <c r="KPO527" s="1831"/>
      <c r="KPP527" s="1831"/>
      <c r="KPQ527" s="1831"/>
      <c r="KPR527" s="1831"/>
      <c r="KPS527" s="1831"/>
      <c r="KPT527" s="1831"/>
      <c r="KPU527" s="1831"/>
      <c r="KPV527" s="1831"/>
      <c r="KPW527" s="1831"/>
      <c r="KPX527" s="1831"/>
      <c r="KPY527" s="1831"/>
      <c r="KPZ527" s="1831"/>
      <c r="KQA527" s="1831"/>
      <c r="KQB527" s="1831"/>
      <c r="KQC527" s="1831"/>
      <c r="KQD527" s="1831"/>
      <c r="KQE527" s="1831"/>
      <c r="KQF527" s="1831"/>
      <c r="KQG527" s="1831"/>
      <c r="KQH527" s="1831"/>
      <c r="KQI527" s="1831"/>
      <c r="KQJ527" s="1831"/>
      <c r="KQK527" s="1831"/>
      <c r="KQL527" s="1831"/>
      <c r="KQM527" s="1831"/>
      <c r="KQN527" s="1831"/>
      <c r="KQO527" s="1831"/>
      <c r="KQP527" s="1831"/>
      <c r="KQQ527" s="1831"/>
      <c r="KQR527" s="1831"/>
      <c r="KQS527" s="1831"/>
      <c r="KQT527" s="1831"/>
      <c r="KQU527" s="1831"/>
      <c r="KQV527" s="1831"/>
      <c r="KQW527" s="1831"/>
      <c r="KQX527" s="1831"/>
      <c r="KQY527" s="1831"/>
      <c r="KQZ527" s="1831"/>
      <c r="KRA527" s="1831"/>
      <c r="KRB527" s="1831"/>
      <c r="KRC527" s="1831"/>
      <c r="KRD527" s="1831"/>
      <c r="KRE527" s="1831"/>
      <c r="KRF527" s="1831"/>
      <c r="KRG527" s="1831"/>
      <c r="KRH527" s="1831"/>
      <c r="KRI527" s="1831"/>
      <c r="KRJ527" s="1831"/>
      <c r="KRK527" s="1831"/>
      <c r="KRL527" s="1831"/>
      <c r="KRM527" s="1831"/>
      <c r="KRN527" s="1831"/>
      <c r="KRO527" s="1831"/>
      <c r="KRP527" s="1831"/>
      <c r="KRQ527" s="1831"/>
      <c r="KRR527" s="1831"/>
      <c r="KRS527" s="1831"/>
      <c r="KRT527" s="1831"/>
      <c r="KRU527" s="1831"/>
      <c r="KRV527" s="1831"/>
      <c r="KRW527" s="1831"/>
      <c r="KRX527" s="1831"/>
      <c r="KRY527" s="1831"/>
      <c r="KRZ527" s="1831"/>
      <c r="KSA527" s="1831"/>
      <c r="KSB527" s="1831"/>
      <c r="KSC527" s="1831"/>
      <c r="KSD527" s="1831"/>
      <c r="KSE527" s="1831"/>
      <c r="KSF527" s="1831"/>
      <c r="KSG527" s="1831"/>
      <c r="KSH527" s="1831"/>
      <c r="KSI527" s="1831"/>
      <c r="KSJ527" s="1831"/>
      <c r="KSK527" s="1831"/>
      <c r="KSL527" s="1831"/>
      <c r="KSM527" s="1831"/>
      <c r="KSN527" s="1831"/>
      <c r="KSO527" s="1831"/>
      <c r="KSP527" s="1831"/>
      <c r="KSQ527" s="1831"/>
      <c r="KSR527" s="1831"/>
      <c r="KSS527" s="1831"/>
      <c r="KST527" s="1831"/>
      <c r="KSU527" s="1831"/>
      <c r="KSV527" s="1831"/>
      <c r="KSW527" s="1831"/>
      <c r="KSX527" s="1831"/>
      <c r="KSY527" s="1831"/>
      <c r="KSZ527" s="1831"/>
      <c r="KTA527" s="1831"/>
      <c r="KTB527" s="1831"/>
      <c r="KTC527" s="1831"/>
      <c r="KTD527" s="1831"/>
      <c r="KTE527" s="1831"/>
      <c r="KTF527" s="1831"/>
      <c r="KTG527" s="1831"/>
      <c r="KTH527" s="1831"/>
      <c r="KTI527" s="1831"/>
      <c r="KTJ527" s="1831"/>
      <c r="KTK527" s="1831"/>
      <c r="KTL527" s="1831"/>
      <c r="KTM527" s="1831"/>
      <c r="KTN527" s="1831"/>
      <c r="KTO527" s="1831"/>
      <c r="KTP527" s="1831"/>
      <c r="KTQ527" s="1831"/>
      <c r="KTR527" s="1831"/>
      <c r="KTS527" s="1831"/>
      <c r="KTT527" s="1831"/>
      <c r="KTU527" s="1831"/>
      <c r="KTV527" s="1831"/>
      <c r="KTW527" s="1831"/>
      <c r="KTX527" s="1831"/>
      <c r="KTY527" s="1831"/>
      <c r="KTZ527" s="1831"/>
      <c r="KUA527" s="1831"/>
      <c r="KUB527" s="1831"/>
      <c r="KUC527" s="1831"/>
      <c r="KUD527" s="1831"/>
      <c r="KUE527" s="1831"/>
      <c r="KUF527" s="1831"/>
      <c r="KUG527" s="1831"/>
      <c r="KUH527" s="1831"/>
      <c r="KUI527" s="1831"/>
      <c r="KUJ527" s="1831"/>
      <c r="KUK527" s="1831"/>
      <c r="KUL527" s="1831"/>
      <c r="KUM527" s="1831"/>
      <c r="KUN527" s="1831"/>
      <c r="KUO527" s="1831"/>
      <c r="KUP527" s="1831"/>
      <c r="KUQ527" s="1831"/>
      <c r="KUR527" s="1831"/>
      <c r="KUS527" s="1831"/>
      <c r="KUT527" s="1831"/>
      <c r="KUU527" s="1831"/>
      <c r="KUV527" s="1831"/>
      <c r="KUW527" s="1831"/>
      <c r="KUX527" s="1831"/>
      <c r="KUY527" s="1831"/>
      <c r="KUZ527" s="1831"/>
      <c r="KVA527" s="1831"/>
      <c r="KVB527" s="1831"/>
      <c r="KVC527" s="1831"/>
      <c r="KVD527" s="1831"/>
      <c r="KVE527" s="1831"/>
      <c r="KVF527" s="1831"/>
      <c r="KVG527" s="1831"/>
      <c r="KVH527" s="1831"/>
      <c r="KVI527" s="1831"/>
      <c r="KVJ527" s="1831"/>
      <c r="KVK527" s="1831"/>
      <c r="KVL527" s="1831"/>
      <c r="KVM527" s="1831"/>
      <c r="KVN527" s="1831"/>
      <c r="KVO527" s="1831"/>
      <c r="KVP527" s="1831"/>
      <c r="KVQ527" s="1831"/>
      <c r="KVR527" s="1831"/>
      <c r="KVS527" s="1831"/>
      <c r="KVT527" s="1831"/>
      <c r="KVU527" s="1831"/>
      <c r="KVV527" s="1831"/>
      <c r="KVW527" s="1831"/>
      <c r="KVX527" s="1831"/>
      <c r="KVY527" s="1831"/>
      <c r="KVZ527" s="1831"/>
      <c r="KWA527" s="1831"/>
      <c r="KWB527" s="1831"/>
      <c r="KWC527" s="1831"/>
      <c r="KWD527" s="1831"/>
      <c r="KWE527" s="1831"/>
      <c r="KWF527" s="1831"/>
      <c r="KWG527" s="1831"/>
      <c r="KWH527" s="1831"/>
      <c r="KWI527" s="1831"/>
      <c r="KWJ527" s="1831"/>
      <c r="KWK527" s="1831"/>
      <c r="KWL527" s="1831"/>
      <c r="KWM527" s="1831"/>
      <c r="KWN527" s="1831"/>
      <c r="KWO527" s="1831"/>
      <c r="KWP527" s="1831"/>
      <c r="KWQ527" s="1831"/>
      <c r="KWR527" s="1831"/>
      <c r="KWS527" s="1831"/>
      <c r="KWT527" s="1831"/>
      <c r="KWU527" s="1831"/>
      <c r="KWV527" s="1831"/>
      <c r="KWW527" s="1831"/>
      <c r="KWX527" s="1831"/>
      <c r="KWY527" s="1831"/>
      <c r="KWZ527" s="1831"/>
      <c r="KXA527" s="1831"/>
      <c r="KXB527" s="1831"/>
      <c r="KXC527" s="1831"/>
      <c r="KXD527" s="1831"/>
      <c r="KXE527" s="1831"/>
      <c r="KXF527" s="1831"/>
      <c r="KXG527" s="1831"/>
      <c r="KXH527" s="1831"/>
      <c r="KXI527" s="1831"/>
      <c r="KXJ527" s="1831"/>
      <c r="KXK527" s="1831"/>
      <c r="KXL527" s="1831"/>
      <c r="KXM527" s="1831"/>
      <c r="KXN527" s="1831"/>
      <c r="KXO527" s="1831"/>
      <c r="KXP527" s="1831"/>
      <c r="KXQ527" s="1831"/>
      <c r="KXR527" s="1831"/>
      <c r="KXS527" s="1831"/>
      <c r="KXT527" s="1831"/>
      <c r="KXU527" s="1831"/>
      <c r="KXV527" s="1831"/>
      <c r="KXW527" s="1831"/>
      <c r="KXX527" s="1831"/>
      <c r="KXY527" s="1831"/>
      <c r="KXZ527" s="1831"/>
      <c r="KYA527" s="1831"/>
      <c r="KYB527" s="1831"/>
      <c r="KYC527" s="1831"/>
      <c r="KYD527" s="1831"/>
      <c r="KYE527" s="1831"/>
      <c r="KYF527" s="1831"/>
      <c r="KYG527" s="1831"/>
      <c r="KYH527" s="1831"/>
      <c r="KYI527" s="1831"/>
      <c r="KYJ527" s="1831"/>
      <c r="KYK527" s="1831"/>
      <c r="KYL527" s="1831"/>
      <c r="KYM527" s="1831"/>
      <c r="KYN527" s="1831"/>
      <c r="KYO527" s="1831"/>
      <c r="KYP527" s="1831"/>
      <c r="KYQ527" s="1831"/>
      <c r="KYR527" s="1831"/>
      <c r="KYS527" s="1831"/>
      <c r="KYT527" s="1831"/>
      <c r="KYU527" s="1831"/>
      <c r="KYV527" s="1831"/>
      <c r="KYW527" s="1831"/>
      <c r="KYX527" s="1831"/>
      <c r="KYY527" s="1831"/>
      <c r="KYZ527" s="1831"/>
      <c r="KZA527" s="1831"/>
      <c r="KZB527" s="1831"/>
      <c r="KZC527" s="1831"/>
      <c r="KZD527" s="1831"/>
      <c r="KZE527" s="1831"/>
      <c r="KZF527" s="1831"/>
      <c r="KZG527" s="1831"/>
      <c r="KZH527" s="1831"/>
      <c r="KZI527" s="1831"/>
      <c r="KZJ527" s="1831"/>
      <c r="KZK527" s="1831"/>
      <c r="KZL527" s="1831"/>
      <c r="KZM527" s="1831"/>
      <c r="KZN527" s="1831"/>
      <c r="KZO527" s="1831"/>
      <c r="KZP527" s="1831"/>
      <c r="KZQ527" s="1831"/>
      <c r="KZR527" s="1831"/>
      <c r="KZS527" s="1831"/>
      <c r="KZT527" s="1831"/>
      <c r="KZU527" s="1831"/>
      <c r="KZV527" s="1831"/>
      <c r="KZW527" s="1831"/>
      <c r="KZX527" s="1831"/>
      <c r="KZY527" s="1831"/>
      <c r="KZZ527" s="1831"/>
      <c r="LAA527" s="1831"/>
      <c r="LAB527" s="1831"/>
      <c r="LAC527" s="1831"/>
      <c r="LAD527" s="1831"/>
      <c r="LAE527" s="1831"/>
      <c r="LAF527" s="1831"/>
      <c r="LAG527" s="1831"/>
      <c r="LAH527" s="1831"/>
      <c r="LAI527" s="1831"/>
      <c r="LAJ527" s="1831"/>
      <c r="LAK527" s="1831"/>
      <c r="LAL527" s="1831"/>
      <c r="LAM527" s="1831"/>
      <c r="LAN527" s="1831"/>
      <c r="LAO527" s="1831"/>
      <c r="LAP527" s="1831"/>
      <c r="LAQ527" s="1831"/>
      <c r="LAR527" s="1831"/>
      <c r="LAS527" s="1831"/>
      <c r="LAT527" s="1831"/>
      <c r="LAU527" s="1831"/>
      <c r="LAV527" s="1831"/>
      <c r="LAW527" s="1831"/>
      <c r="LAX527" s="1831"/>
      <c r="LAY527" s="1831"/>
      <c r="LAZ527" s="1831"/>
      <c r="LBA527" s="1831"/>
      <c r="LBB527" s="1831"/>
      <c r="LBC527" s="1831"/>
      <c r="LBD527" s="1831"/>
      <c r="LBE527" s="1831"/>
      <c r="LBF527" s="1831"/>
      <c r="LBG527" s="1831"/>
      <c r="LBH527" s="1831"/>
      <c r="LBI527" s="1831"/>
      <c r="LBJ527" s="1831"/>
      <c r="LBK527" s="1831"/>
      <c r="LBL527" s="1831"/>
      <c r="LBM527" s="1831"/>
      <c r="LBN527" s="1831"/>
      <c r="LBO527" s="1831"/>
      <c r="LBP527" s="1831"/>
      <c r="LBQ527" s="1831"/>
      <c r="LBR527" s="1831"/>
      <c r="LBS527" s="1831"/>
      <c r="LBT527" s="1831"/>
      <c r="LBU527" s="1831"/>
      <c r="LBV527" s="1831"/>
      <c r="LBW527" s="1831"/>
      <c r="LBX527" s="1831"/>
      <c r="LBY527" s="1831"/>
      <c r="LBZ527" s="1831"/>
      <c r="LCA527" s="1831"/>
      <c r="LCB527" s="1831"/>
      <c r="LCC527" s="1831"/>
      <c r="LCD527" s="1831"/>
      <c r="LCE527" s="1831"/>
      <c r="LCF527" s="1831"/>
      <c r="LCG527" s="1831"/>
      <c r="LCH527" s="1831"/>
      <c r="LCI527" s="1831"/>
      <c r="LCJ527" s="1831"/>
      <c r="LCK527" s="1831"/>
      <c r="LCL527" s="1831"/>
      <c r="LCM527" s="1831"/>
      <c r="LCN527" s="1831"/>
      <c r="LCO527" s="1831"/>
      <c r="LCP527" s="1831"/>
      <c r="LCQ527" s="1831"/>
      <c r="LCR527" s="1831"/>
      <c r="LCS527" s="1831"/>
      <c r="LCT527" s="1831"/>
      <c r="LCU527" s="1831"/>
      <c r="LCV527" s="1831"/>
      <c r="LCW527" s="1831"/>
      <c r="LCX527" s="1831"/>
      <c r="LCY527" s="1831"/>
      <c r="LCZ527" s="1831"/>
      <c r="LDA527" s="1831"/>
      <c r="LDB527" s="1831"/>
      <c r="LDC527" s="1831"/>
      <c r="LDD527" s="1831"/>
      <c r="LDE527" s="1831"/>
      <c r="LDF527" s="1831"/>
      <c r="LDG527" s="1831"/>
      <c r="LDH527" s="1831"/>
      <c r="LDI527" s="1831"/>
      <c r="LDJ527" s="1831"/>
      <c r="LDK527" s="1831"/>
      <c r="LDL527" s="1831"/>
      <c r="LDM527" s="1831"/>
      <c r="LDN527" s="1831"/>
      <c r="LDO527" s="1831"/>
      <c r="LDP527" s="1831"/>
      <c r="LDQ527" s="1831"/>
      <c r="LDR527" s="1831"/>
      <c r="LDS527" s="1831"/>
      <c r="LDT527" s="1831"/>
      <c r="LDU527" s="1831"/>
      <c r="LDV527" s="1831"/>
      <c r="LDW527" s="1831"/>
      <c r="LDX527" s="1831"/>
      <c r="LDY527" s="1831"/>
      <c r="LDZ527" s="1831"/>
      <c r="LEA527" s="1831"/>
      <c r="LEB527" s="1831"/>
      <c r="LEC527" s="1831"/>
      <c r="LED527" s="1831"/>
      <c r="LEE527" s="1831"/>
      <c r="LEF527" s="1831"/>
      <c r="LEG527" s="1831"/>
      <c r="LEH527" s="1831"/>
      <c r="LEI527" s="1831"/>
      <c r="LEJ527" s="1831"/>
      <c r="LEK527" s="1831"/>
      <c r="LEL527" s="1831"/>
      <c r="LEM527" s="1831"/>
      <c r="LEN527" s="1831"/>
      <c r="LEO527" s="1831"/>
      <c r="LEP527" s="1831"/>
      <c r="LEQ527" s="1831"/>
      <c r="LER527" s="1831"/>
      <c r="LES527" s="1831"/>
      <c r="LET527" s="1831"/>
      <c r="LEU527" s="1831"/>
      <c r="LEV527" s="1831"/>
      <c r="LEW527" s="1831"/>
      <c r="LEX527" s="1831"/>
      <c r="LEY527" s="1831"/>
      <c r="LEZ527" s="1831"/>
      <c r="LFA527" s="1831"/>
      <c r="LFB527" s="1831"/>
      <c r="LFC527" s="1831"/>
      <c r="LFD527" s="1831"/>
      <c r="LFE527" s="1831"/>
      <c r="LFF527" s="1831"/>
      <c r="LFG527" s="1831"/>
      <c r="LFH527" s="1831"/>
      <c r="LFI527" s="1831"/>
      <c r="LFJ527" s="1831"/>
      <c r="LFK527" s="1831"/>
      <c r="LFL527" s="1831"/>
      <c r="LFM527" s="1831"/>
      <c r="LFN527" s="1831"/>
      <c r="LFO527" s="1831"/>
      <c r="LFP527" s="1831"/>
      <c r="LFQ527" s="1831"/>
      <c r="LFR527" s="1831"/>
      <c r="LFS527" s="1831"/>
      <c r="LFT527" s="1831"/>
      <c r="LFU527" s="1831"/>
      <c r="LFV527" s="1831"/>
      <c r="LFW527" s="1831"/>
      <c r="LFX527" s="1831"/>
      <c r="LFY527" s="1831"/>
      <c r="LFZ527" s="1831"/>
      <c r="LGA527" s="1831"/>
      <c r="LGB527" s="1831"/>
      <c r="LGC527" s="1831"/>
      <c r="LGD527" s="1831"/>
      <c r="LGE527" s="1831"/>
      <c r="LGF527" s="1831"/>
      <c r="LGG527" s="1831"/>
      <c r="LGH527" s="1831"/>
      <c r="LGI527" s="1831"/>
      <c r="LGJ527" s="1831"/>
      <c r="LGK527" s="1831"/>
      <c r="LGL527" s="1831"/>
      <c r="LGM527" s="1831"/>
      <c r="LGN527" s="1831"/>
      <c r="LGO527" s="1831"/>
      <c r="LGP527" s="1831"/>
      <c r="LGQ527" s="1831"/>
      <c r="LGR527" s="1831"/>
      <c r="LGS527" s="1831"/>
      <c r="LGT527" s="1831"/>
      <c r="LGU527" s="1831"/>
      <c r="LGV527" s="1831"/>
      <c r="LGW527" s="1831"/>
      <c r="LGX527" s="1831"/>
      <c r="LGY527" s="1831"/>
      <c r="LGZ527" s="1831"/>
      <c r="LHA527" s="1831"/>
      <c r="LHB527" s="1831"/>
      <c r="LHC527" s="1831"/>
      <c r="LHD527" s="1831"/>
      <c r="LHE527" s="1831"/>
      <c r="LHF527" s="1831"/>
      <c r="LHG527" s="1831"/>
      <c r="LHH527" s="1831"/>
      <c r="LHI527" s="1831"/>
      <c r="LHJ527" s="1831"/>
      <c r="LHK527" s="1831"/>
      <c r="LHL527" s="1831"/>
      <c r="LHM527" s="1831"/>
      <c r="LHN527" s="1831"/>
      <c r="LHO527" s="1831"/>
      <c r="LHP527" s="1831"/>
      <c r="LHQ527" s="1831"/>
      <c r="LHR527" s="1831"/>
      <c r="LHS527" s="1831"/>
      <c r="LHT527" s="1831"/>
      <c r="LHU527" s="1831"/>
      <c r="LHV527" s="1831"/>
      <c r="LHW527" s="1831"/>
      <c r="LHX527" s="1831"/>
      <c r="LHY527" s="1831"/>
      <c r="LHZ527" s="1831"/>
      <c r="LIA527" s="1831"/>
      <c r="LIB527" s="1831"/>
      <c r="LIC527" s="1831"/>
      <c r="LID527" s="1831"/>
      <c r="LIE527" s="1831"/>
      <c r="LIF527" s="1831"/>
      <c r="LIG527" s="1831"/>
      <c r="LIH527" s="1831"/>
      <c r="LII527" s="1831"/>
      <c r="LIJ527" s="1831"/>
      <c r="LIK527" s="1831"/>
      <c r="LIL527" s="1831"/>
      <c r="LIM527" s="1831"/>
      <c r="LIN527" s="1831"/>
      <c r="LIO527" s="1831"/>
      <c r="LIP527" s="1831"/>
      <c r="LIQ527" s="1831"/>
      <c r="LIR527" s="1831"/>
      <c r="LIS527" s="1831"/>
      <c r="LIT527" s="1831"/>
      <c r="LIU527" s="1831"/>
      <c r="LIV527" s="1831"/>
      <c r="LIW527" s="1831"/>
      <c r="LIX527" s="1831"/>
      <c r="LIY527" s="1831"/>
      <c r="LIZ527" s="1831"/>
      <c r="LJA527" s="1831"/>
      <c r="LJB527" s="1831"/>
      <c r="LJC527" s="1831"/>
      <c r="LJD527" s="1831"/>
      <c r="LJE527" s="1831"/>
      <c r="LJF527" s="1831"/>
      <c r="LJG527" s="1831"/>
      <c r="LJH527" s="1831"/>
      <c r="LJI527" s="1831"/>
      <c r="LJJ527" s="1831"/>
      <c r="LJK527" s="1831"/>
      <c r="LJL527" s="1831"/>
      <c r="LJM527" s="1831"/>
      <c r="LJN527" s="1831"/>
      <c r="LJO527" s="1831"/>
      <c r="LJP527" s="1831"/>
      <c r="LJQ527" s="1831"/>
      <c r="LJR527" s="1831"/>
      <c r="LJS527" s="1831"/>
      <c r="LJT527" s="1831"/>
      <c r="LJU527" s="1831"/>
      <c r="LJV527" s="1831"/>
      <c r="LJW527" s="1831"/>
      <c r="LJX527" s="1831"/>
      <c r="LJY527" s="1831"/>
      <c r="LJZ527" s="1831"/>
      <c r="LKA527" s="1831"/>
      <c r="LKB527" s="1831"/>
      <c r="LKC527" s="1831"/>
      <c r="LKD527" s="1831"/>
      <c r="LKE527" s="1831"/>
      <c r="LKF527" s="1831"/>
      <c r="LKG527" s="1831"/>
      <c r="LKH527" s="1831"/>
      <c r="LKI527" s="1831"/>
      <c r="LKJ527" s="1831"/>
      <c r="LKK527" s="1831"/>
      <c r="LKL527" s="1831"/>
      <c r="LKM527" s="1831"/>
      <c r="LKN527" s="1831"/>
      <c r="LKO527" s="1831"/>
      <c r="LKP527" s="1831"/>
      <c r="LKQ527" s="1831"/>
      <c r="LKR527" s="1831"/>
      <c r="LKS527" s="1831"/>
      <c r="LKT527" s="1831"/>
      <c r="LKU527" s="1831"/>
      <c r="LKV527" s="1831"/>
      <c r="LKW527" s="1831"/>
      <c r="LKX527" s="1831"/>
      <c r="LKY527" s="1831"/>
      <c r="LKZ527" s="1831"/>
      <c r="LLA527" s="1831"/>
      <c r="LLB527" s="1831"/>
      <c r="LLC527" s="1831"/>
      <c r="LLD527" s="1831"/>
      <c r="LLE527" s="1831"/>
      <c r="LLF527" s="1831"/>
      <c r="LLG527" s="1831"/>
      <c r="LLH527" s="1831"/>
      <c r="LLI527" s="1831"/>
      <c r="LLJ527" s="1831"/>
      <c r="LLK527" s="1831"/>
      <c r="LLL527" s="1831"/>
      <c r="LLM527" s="1831"/>
      <c r="LLN527" s="1831"/>
      <c r="LLO527" s="1831"/>
      <c r="LLP527" s="1831"/>
      <c r="LLQ527" s="1831"/>
      <c r="LLR527" s="1831"/>
      <c r="LLS527" s="1831"/>
      <c r="LLT527" s="1831"/>
      <c r="LLU527" s="1831"/>
      <c r="LLV527" s="1831"/>
      <c r="LLW527" s="1831"/>
      <c r="LLX527" s="1831"/>
      <c r="LLY527" s="1831"/>
      <c r="LLZ527" s="1831"/>
      <c r="LMA527" s="1831"/>
      <c r="LMB527" s="1831"/>
      <c r="LMC527" s="1831"/>
      <c r="LMD527" s="1831"/>
      <c r="LME527" s="1831"/>
      <c r="LMF527" s="1831"/>
      <c r="LMG527" s="1831"/>
      <c r="LMH527" s="1831"/>
      <c r="LMI527" s="1831"/>
      <c r="LMJ527" s="1831"/>
      <c r="LMK527" s="1831"/>
      <c r="LML527" s="1831"/>
      <c r="LMM527" s="1831"/>
      <c r="LMN527" s="1831"/>
      <c r="LMO527" s="1831"/>
      <c r="LMP527" s="1831"/>
      <c r="LMQ527" s="1831"/>
      <c r="LMR527" s="1831"/>
      <c r="LMS527" s="1831"/>
      <c r="LMT527" s="1831"/>
      <c r="LMU527" s="1831"/>
      <c r="LMV527" s="1831"/>
      <c r="LMW527" s="1831"/>
      <c r="LMX527" s="1831"/>
      <c r="LMY527" s="1831"/>
      <c r="LMZ527" s="1831"/>
      <c r="LNA527" s="1831"/>
      <c r="LNB527" s="1831"/>
      <c r="LNC527" s="1831"/>
      <c r="LND527" s="1831"/>
      <c r="LNE527" s="1831"/>
      <c r="LNF527" s="1831"/>
      <c r="LNG527" s="1831"/>
      <c r="LNH527" s="1831"/>
      <c r="LNI527" s="1831"/>
      <c r="LNJ527" s="1831"/>
      <c r="LNK527" s="1831"/>
      <c r="LNL527" s="1831"/>
      <c r="LNM527" s="1831"/>
      <c r="LNN527" s="1831"/>
      <c r="LNO527" s="1831"/>
      <c r="LNP527" s="1831"/>
      <c r="LNQ527" s="1831"/>
      <c r="LNR527" s="1831"/>
      <c r="LNS527" s="1831"/>
      <c r="LNT527" s="1831"/>
      <c r="LNU527" s="1831"/>
      <c r="LNV527" s="1831"/>
      <c r="LNW527" s="1831"/>
      <c r="LNX527" s="1831"/>
      <c r="LNY527" s="1831"/>
      <c r="LNZ527" s="1831"/>
      <c r="LOA527" s="1831"/>
      <c r="LOB527" s="1831"/>
      <c r="LOC527" s="1831"/>
      <c r="LOD527" s="1831"/>
      <c r="LOE527" s="1831"/>
      <c r="LOF527" s="1831"/>
      <c r="LOG527" s="1831"/>
      <c r="LOH527" s="1831"/>
      <c r="LOI527" s="1831"/>
      <c r="LOJ527" s="1831"/>
      <c r="LOK527" s="1831"/>
      <c r="LOL527" s="1831"/>
      <c r="LOM527" s="1831"/>
      <c r="LON527" s="1831"/>
      <c r="LOO527" s="1831"/>
      <c r="LOP527" s="1831"/>
      <c r="LOQ527" s="1831"/>
      <c r="LOR527" s="1831"/>
      <c r="LOS527" s="1831"/>
      <c r="LOT527" s="1831"/>
      <c r="LOU527" s="1831"/>
      <c r="LOV527" s="1831"/>
      <c r="LOW527" s="1831"/>
      <c r="LOX527" s="1831"/>
      <c r="LOY527" s="1831"/>
      <c r="LOZ527" s="1831"/>
      <c r="LPA527" s="1831"/>
      <c r="LPB527" s="1831"/>
      <c r="LPC527" s="1831"/>
      <c r="LPD527" s="1831"/>
      <c r="LPE527" s="1831"/>
      <c r="LPF527" s="1831"/>
      <c r="LPG527" s="1831"/>
      <c r="LPH527" s="1831"/>
      <c r="LPI527" s="1831"/>
      <c r="LPJ527" s="1831"/>
      <c r="LPK527" s="1831"/>
      <c r="LPL527" s="1831"/>
      <c r="LPM527" s="1831"/>
      <c r="LPN527" s="1831"/>
      <c r="LPO527" s="1831"/>
      <c r="LPP527" s="1831"/>
      <c r="LPQ527" s="1831"/>
      <c r="LPR527" s="1831"/>
      <c r="LPS527" s="1831"/>
      <c r="LPT527" s="1831"/>
      <c r="LPU527" s="1831"/>
      <c r="LPV527" s="1831"/>
      <c r="LPW527" s="1831"/>
      <c r="LPX527" s="1831"/>
      <c r="LPY527" s="1831"/>
      <c r="LPZ527" s="1831"/>
      <c r="LQA527" s="1831"/>
      <c r="LQB527" s="1831"/>
      <c r="LQC527" s="1831"/>
      <c r="LQD527" s="1831"/>
      <c r="LQE527" s="1831"/>
      <c r="LQF527" s="1831"/>
      <c r="LQG527" s="1831"/>
      <c r="LQH527" s="1831"/>
      <c r="LQI527" s="1831"/>
      <c r="LQJ527" s="1831"/>
      <c r="LQK527" s="1831"/>
      <c r="LQL527" s="1831"/>
      <c r="LQM527" s="1831"/>
      <c r="LQN527" s="1831"/>
      <c r="LQO527" s="1831"/>
      <c r="LQP527" s="1831"/>
      <c r="LQQ527" s="1831"/>
      <c r="LQR527" s="1831"/>
      <c r="LQS527" s="1831"/>
      <c r="LQT527" s="1831"/>
      <c r="LQU527" s="1831"/>
      <c r="LQV527" s="1831"/>
      <c r="LQW527" s="1831"/>
      <c r="LQX527" s="1831"/>
      <c r="LQY527" s="1831"/>
      <c r="LQZ527" s="1831"/>
      <c r="LRA527" s="1831"/>
      <c r="LRB527" s="1831"/>
      <c r="LRC527" s="1831"/>
      <c r="LRD527" s="1831"/>
      <c r="LRE527" s="1831"/>
      <c r="LRF527" s="1831"/>
      <c r="LRG527" s="1831"/>
      <c r="LRH527" s="1831"/>
      <c r="LRI527" s="1831"/>
      <c r="LRJ527" s="1831"/>
      <c r="LRK527" s="1831"/>
      <c r="LRL527" s="1831"/>
      <c r="LRM527" s="1831"/>
      <c r="LRN527" s="1831"/>
      <c r="LRO527" s="1831"/>
      <c r="LRP527" s="1831"/>
      <c r="LRQ527" s="1831"/>
      <c r="LRR527" s="1831"/>
      <c r="LRS527" s="1831"/>
      <c r="LRT527" s="1831"/>
      <c r="LRU527" s="1831"/>
      <c r="LRV527" s="1831"/>
      <c r="LRW527" s="1831"/>
      <c r="LRX527" s="1831"/>
      <c r="LRY527" s="1831"/>
      <c r="LRZ527" s="1831"/>
      <c r="LSA527" s="1831"/>
      <c r="LSB527" s="1831"/>
      <c r="LSC527" s="1831"/>
      <c r="LSD527" s="1831"/>
      <c r="LSE527" s="1831"/>
      <c r="LSF527" s="1831"/>
      <c r="LSG527" s="1831"/>
      <c r="LSH527" s="1831"/>
      <c r="LSI527" s="1831"/>
      <c r="LSJ527" s="1831"/>
      <c r="LSK527" s="1831"/>
      <c r="LSL527" s="1831"/>
      <c r="LSM527" s="1831"/>
      <c r="LSN527" s="1831"/>
      <c r="LSO527" s="1831"/>
      <c r="LSP527" s="1831"/>
      <c r="LSQ527" s="1831"/>
      <c r="LSR527" s="1831"/>
      <c r="LSS527" s="1831"/>
      <c r="LST527" s="1831"/>
      <c r="LSU527" s="1831"/>
      <c r="LSV527" s="1831"/>
      <c r="LSW527" s="1831"/>
      <c r="LSX527" s="1831"/>
      <c r="LSY527" s="1831"/>
      <c r="LSZ527" s="1831"/>
      <c r="LTA527" s="1831"/>
      <c r="LTB527" s="1831"/>
      <c r="LTC527" s="1831"/>
      <c r="LTD527" s="1831"/>
      <c r="LTE527" s="1831"/>
      <c r="LTF527" s="1831"/>
      <c r="LTG527" s="1831"/>
      <c r="LTH527" s="1831"/>
      <c r="LTI527" s="1831"/>
      <c r="LTJ527" s="1831"/>
      <c r="LTK527" s="1831"/>
      <c r="LTL527" s="1831"/>
      <c r="LTM527" s="1831"/>
      <c r="LTN527" s="1831"/>
      <c r="LTO527" s="1831"/>
      <c r="LTP527" s="1831"/>
      <c r="LTQ527" s="1831"/>
      <c r="LTR527" s="1831"/>
      <c r="LTS527" s="1831"/>
      <c r="LTT527" s="1831"/>
      <c r="LTU527" s="1831"/>
      <c r="LTV527" s="1831"/>
      <c r="LTW527" s="1831"/>
      <c r="LTX527" s="1831"/>
      <c r="LTY527" s="1831"/>
      <c r="LTZ527" s="1831"/>
      <c r="LUA527" s="1831"/>
      <c r="LUB527" s="1831"/>
      <c r="LUC527" s="1831"/>
      <c r="LUD527" s="1831"/>
      <c r="LUE527" s="1831"/>
      <c r="LUF527" s="1831"/>
      <c r="LUG527" s="1831"/>
      <c r="LUH527" s="1831"/>
      <c r="LUI527" s="1831"/>
      <c r="LUJ527" s="1831"/>
      <c r="LUK527" s="1831"/>
      <c r="LUL527" s="1831"/>
      <c r="LUM527" s="1831"/>
      <c r="LUN527" s="1831"/>
      <c r="LUO527" s="1831"/>
      <c r="LUP527" s="1831"/>
      <c r="LUQ527" s="1831"/>
      <c r="LUR527" s="1831"/>
      <c r="LUS527" s="1831"/>
      <c r="LUT527" s="1831"/>
      <c r="LUU527" s="1831"/>
      <c r="LUV527" s="1831"/>
      <c r="LUW527" s="1831"/>
      <c r="LUX527" s="1831"/>
      <c r="LUY527" s="1831"/>
      <c r="LUZ527" s="1831"/>
      <c r="LVA527" s="1831"/>
      <c r="LVB527" s="1831"/>
      <c r="LVC527" s="1831"/>
      <c r="LVD527" s="1831"/>
      <c r="LVE527" s="1831"/>
      <c r="LVF527" s="1831"/>
      <c r="LVG527" s="1831"/>
      <c r="LVH527" s="1831"/>
      <c r="LVI527" s="1831"/>
      <c r="LVJ527" s="1831"/>
      <c r="LVK527" s="1831"/>
      <c r="LVL527" s="1831"/>
      <c r="LVM527" s="1831"/>
      <c r="LVN527" s="1831"/>
      <c r="LVO527" s="1831"/>
      <c r="LVP527" s="1831"/>
      <c r="LVQ527" s="1831"/>
      <c r="LVR527" s="1831"/>
      <c r="LVS527" s="1831"/>
      <c r="LVT527" s="1831"/>
      <c r="LVU527" s="1831"/>
      <c r="LVV527" s="1831"/>
      <c r="LVW527" s="1831"/>
      <c r="LVX527" s="1831"/>
      <c r="LVY527" s="1831"/>
      <c r="LVZ527" s="1831"/>
      <c r="LWA527" s="1831"/>
      <c r="LWB527" s="1831"/>
      <c r="LWC527" s="1831"/>
      <c r="LWD527" s="1831"/>
      <c r="LWE527" s="1831"/>
      <c r="LWF527" s="1831"/>
      <c r="LWG527" s="1831"/>
      <c r="LWH527" s="1831"/>
      <c r="LWI527" s="1831"/>
      <c r="LWJ527" s="1831"/>
      <c r="LWK527" s="1831"/>
      <c r="LWL527" s="1831"/>
      <c r="LWM527" s="1831"/>
      <c r="LWN527" s="1831"/>
      <c r="LWO527" s="1831"/>
      <c r="LWP527" s="1831"/>
      <c r="LWQ527" s="1831"/>
      <c r="LWR527" s="1831"/>
      <c r="LWS527" s="1831"/>
      <c r="LWT527" s="1831"/>
      <c r="LWU527" s="1831"/>
      <c r="LWV527" s="1831"/>
      <c r="LWW527" s="1831"/>
      <c r="LWX527" s="1831"/>
      <c r="LWY527" s="1831"/>
      <c r="LWZ527" s="1831"/>
      <c r="LXA527" s="1831"/>
      <c r="LXB527" s="1831"/>
      <c r="LXC527" s="1831"/>
      <c r="LXD527" s="1831"/>
      <c r="LXE527" s="1831"/>
      <c r="LXF527" s="1831"/>
      <c r="LXG527" s="1831"/>
      <c r="LXH527" s="1831"/>
      <c r="LXI527" s="1831"/>
      <c r="LXJ527" s="1831"/>
      <c r="LXK527" s="1831"/>
      <c r="LXL527" s="1831"/>
      <c r="LXM527" s="1831"/>
      <c r="LXN527" s="1831"/>
      <c r="LXO527" s="1831"/>
      <c r="LXP527" s="1831"/>
      <c r="LXQ527" s="1831"/>
      <c r="LXR527" s="1831"/>
      <c r="LXS527" s="1831"/>
      <c r="LXT527" s="1831"/>
      <c r="LXU527" s="1831"/>
      <c r="LXV527" s="1831"/>
      <c r="LXW527" s="1831"/>
      <c r="LXX527" s="1831"/>
      <c r="LXY527" s="1831"/>
      <c r="LXZ527" s="1831"/>
      <c r="LYA527" s="1831"/>
      <c r="LYB527" s="1831"/>
      <c r="LYC527" s="1831"/>
      <c r="LYD527" s="1831"/>
      <c r="LYE527" s="1831"/>
      <c r="LYF527" s="1831"/>
      <c r="LYG527" s="1831"/>
      <c r="LYH527" s="1831"/>
      <c r="LYI527" s="1831"/>
      <c r="LYJ527" s="1831"/>
      <c r="LYK527" s="1831"/>
      <c r="LYL527" s="1831"/>
      <c r="LYM527" s="1831"/>
      <c r="LYN527" s="1831"/>
      <c r="LYO527" s="1831"/>
      <c r="LYP527" s="1831"/>
      <c r="LYQ527" s="1831"/>
      <c r="LYR527" s="1831"/>
      <c r="LYS527" s="1831"/>
      <c r="LYT527" s="1831"/>
      <c r="LYU527" s="1831"/>
      <c r="LYV527" s="1831"/>
      <c r="LYW527" s="1831"/>
      <c r="LYX527" s="1831"/>
      <c r="LYY527" s="1831"/>
      <c r="LYZ527" s="1831"/>
      <c r="LZA527" s="1831"/>
      <c r="LZB527" s="1831"/>
      <c r="LZC527" s="1831"/>
      <c r="LZD527" s="1831"/>
      <c r="LZE527" s="1831"/>
      <c r="LZF527" s="1831"/>
      <c r="LZG527" s="1831"/>
      <c r="LZH527" s="1831"/>
      <c r="LZI527" s="1831"/>
      <c r="LZJ527" s="1831"/>
      <c r="LZK527" s="1831"/>
      <c r="LZL527" s="1831"/>
      <c r="LZM527" s="1831"/>
      <c r="LZN527" s="1831"/>
      <c r="LZO527" s="1831"/>
      <c r="LZP527" s="1831"/>
      <c r="LZQ527" s="1831"/>
      <c r="LZR527" s="1831"/>
      <c r="LZS527" s="1831"/>
      <c r="LZT527" s="1831"/>
      <c r="LZU527" s="1831"/>
      <c r="LZV527" s="1831"/>
      <c r="LZW527" s="1831"/>
      <c r="LZX527" s="1831"/>
      <c r="LZY527" s="1831"/>
      <c r="LZZ527" s="1831"/>
      <c r="MAA527" s="1831"/>
      <c r="MAB527" s="1831"/>
      <c r="MAC527" s="1831"/>
      <c r="MAD527" s="1831"/>
      <c r="MAE527" s="1831"/>
      <c r="MAF527" s="1831"/>
      <c r="MAG527" s="1831"/>
      <c r="MAH527" s="1831"/>
      <c r="MAI527" s="1831"/>
      <c r="MAJ527" s="1831"/>
      <c r="MAK527" s="1831"/>
      <c r="MAL527" s="1831"/>
      <c r="MAM527" s="1831"/>
      <c r="MAN527" s="1831"/>
      <c r="MAO527" s="1831"/>
      <c r="MAP527" s="1831"/>
      <c r="MAQ527" s="1831"/>
      <c r="MAR527" s="1831"/>
      <c r="MAS527" s="1831"/>
      <c r="MAT527" s="1831"/>
      <c r="MAU527" s="1831"/>
      <c r="MAV527" s="1831"/>
      <c r="MAW527" s="1831"/>
      <c r="MAX527" s="1831"/>
      <c r="MAY527" s="1831"/>
      <c r="MAZ527" s="1831"/>
      <c r="MBA527" s="1831"/>
      <c r="MBB527" s="1831"/>
      <c r="MBC527" s="1831"/>
      <c r="MBD527" s="1831"/>
      <c r="MBE527" s="1831"/>
      <c r="MBF527" s="1831"/>
      <c r="MBG527" s="1831"/>
      <c r="MBH527" s="1831"/>
      <c r="MBI527" s="1831"/>
      <c r="MBJ527" s="1831"/>
      <c r="MBK527" s="1831"/>
      <c r="MBL527" s="1831"/>
      <c r="MBM527" s="1831"/>
      <c r="MBN527" s="1831"/>
      <c r="MBO527" s="1831"/>
      <c r="MBP527" s="1831"/>
      <c r="MBQ527" s="1831"/>
      <c r="MBR527" s="1831"/>
      <c r="MBS527" s="1831"/>
      <c r="MBT527" s="1831"/>
      <c r="MBU527" s="1831"/>
      <c r="MBV527" s="1831"/>
      <c r="MBW527" s="1831"/>
      <c r="MBX527" s="1831"/>
      <c r="MBY527" s="1831"/>
      <c r="MBZ527" s="1831"/>
      <c r="MCA527" s="1831"/>
      <c r="MCB527" s="1831"/>
      <c r="MCC527" s="1831"/>
      <c r="MCD527" s="1831"/>
      <c r="MCE527" s="1831"/>
      <c r="MCF527" s="1831"/>
      <c r="MCG527" s="1831"/>
      <c r="MCH527" s="1831"/>
      <c r="MCI527" s="1831"/>
      <c r="MCJ527" s="1831"/>
      <c r="MCK527" s="1831"/>
      <c r="MCL527" s="1831"/>
      <c r="MCM527" s="1831"/>
      <c r="MCN527" s="1831"/>
      <c r="MCO527" s="1831"/>
      <c r="MCP527" s="1831"/>
      <c r="MCQ527" s="1831"/>
      <c r="MCR527" s="1831"/>
      <c r="MCS527" s="1831"/>
      <c r="MCT527" s="1831"/>
      <c r="MCU527" s="1831"/>
      <c r="MCV527" s="1831"/>
      <c r="MCW527" s="1831"/>
      <c r="MCX527" s="1831"/>
      <c r="MCY527" s="1831"/>
      <c r="MCZ527" s="1831"/>
      <c r="MDA527" s="1831"/>
      <c r="MDB527" s="1831"/>
      <c r="MDC527" s="1831"/>
      <c r="MDD527" s="1831"/>
      <c r="MDE527" s="1831"/>
      <c r="MDF527" s="1831"/>
      <c r="MDG527" s="1831"/>
      <c r="MDH527" s="1831"/>
      <c r="MDI527" s="1831"/>
      <c r="MDJ527" s="1831"/>
      <c r="MDK527" s="1831"/>
      <c r="MDL527" s="1831"/>
      <c r="MDM527" s="1831"/>
      <c r="MDN527" s="1831"/>
      <c r="MDO527" s="1831"/>
      <c r="MDP527" s="1831"/>
      <c r="MDQ527" s="1831"/>
      <c r="MDR527" s="1831"/>
      <c r="MDS527" s="1831"/>
      <c r="MDT527" s="1831"/>
      <c r="MDU527" s="1831"/>
      <c r="MDV527" s="1831"/>
      <c r="MDW527" s="1831"/>
      <c r="MDX527" s="1831"/>
      <c r="MDY527" s="1831"/>
      <c r="MDZ527" s="1831"/>
      <c r="MEA527" s="1831"/>
      <c r="MEB527" s="1831"/>
      <c r="MEC527" s="1831"/>
      <c r="MED527" s="1831"/>
      <c r="MEE527" s="1831"/>
      <c r="MEF527" s="1831"/>
      <c r="MEG527" s="1831"/>
      <c r="MEH527" s="1831"/>
      <c r="MEI527" s="1831"/>
      <c r="MEJ527" s="1831"/>
      <c r="MEK527" s="1831"/>
      <c r="MEL527" s="1831"/>
      <c r="MEM527" s="1831"/>
      <c r="MEN527" s="1831"/>
      <c r="MEO527" s="1831"/>
      <c r="MEP527" s="1831"/>
      <c r="MEQ527" s="1831"/>
      <c r="MER527" s="1831"/>
      <c r="MES527" s="1831"/>
      <c r="MET527" s="1831"/>
      <c r="MEU527" s="1831"/>
      <c r="MEV527" s="1831"/>
      <c r="MEW527" s="1831"/>
      <c r="MEX527" s="1831"/>
      <c r="MEY527" s="1831"/>
      <c r="MEZ527" s="1831"/>
      <c r="MFA527" s="1831"/>
      <c r="MFB527" s="1831"/>
      <c r="MFC527" s="1831"/>
      <c r="MFD527" s="1831"/>
      <c r="MFE527" s="1831"/>
      <c r="MFF527" s="1831"/>
      <c r="MFG527" s="1831"/>
      <c r="MFH527" s="1831"/>
      <c r="MFI527" s="1831"/>
      <c r="MFJ527" s="1831"/>
      <c r="MFK527" s="1831"/>
      <c r="MFL527" s="1831"/>
      <c r="MFM527" s="1831"/>
      <c r="MFN527" s="1831"/>
      <c r="MFO527" s="1831"/>
      <c r="MFP527" s="1831"/>
      <c r="MFQ527" s="1831"/>
      <c r="MFR527" s="1831"/>
      <c r="MFS527" s="1831"/>
      <c r="MFT527" s="1831"/>
      <c r="MFU527" s="1831"/>
      <c r="MFV527" s="1831"/>
      <c r="MFW527" s="1831"/>
      <c r="MFX527" s="1831"/>
      <c r="MFY527" s="1831"/>
      <c r="MFZ527" s="1831"/>
      <c r="MGA527" s="1831"/>
      <c r="MGB527" s="1831"/>
      <c r="MGC527" s="1831"/>
      <c r="MGD527" s="1831"/>
      <c r="MGE527" s="1831"/>
      <c r="MGF527" s="1831"/>
      <c r="MGG527" s="1831"/>
      <c r="MGH527" s="1831"/>
      <c r="MGI527" s="1831"/>
      <c r="MGJ527" s="1831"/>
      <c r="MGK527" s="1831"/>
      <c r="MGL527" s="1831"/>
      <c r="MGM527" s="1831"/>
      <c r="MGN527" s="1831"/>
      <c r="MGO527" s="1831"/>
      <c r="MGP527" s="1831"/>
      <c r="MGQ527" s="1831"/>
      <c r="MGR527" s="1831"/>
      <c r="MGS527" s="1831"/>
      <c r="MGT527" s="1831"/>
      <c r="MGU527" s="1831"/>
      <c r="MGV527" s="1831"/>
      <c r="MGW527" s="1831"/>
      <c r="MGX527" s="1831"/>
      <c r="MGY527" s="1831"/>
      <c r="MGZ527" s="1831"/>
      <c r="MHA527" s="1831"/>
      <c r="MHB527" s="1831"/>
      <c r="MHC527" s="1831"/>
      <c r="MHD527" s="1831"/>
      <c r="MHE527" s="1831"/>
      <c r="MHF527" s="1831"/>
      <c r="MHG527" s="1831"/>
      <c r="MHH527" s="1831"/>
      <c r="MHI527" s="1831"/>
      <c r="MHJ527" s="1831"/>
      <c r="MHK527" s="1831"/>
      <c r="MHL527" s="1831"/>
      <c r="MHM527" s="1831"/>
      <c r="MHN527" s="1831"/>
      <c r="MHO527" s="1831"/>
      <c r="MHP527" s="1831"/>
      <c r="MHQ527" s="1831"/>
      <c r="MHR527" s="1831"/>
      <c r="MHS527" s="1831"/>
      <c r="MHT527" s="1831"/>
      <c r="MHU527" s="1831"/>
      <c r="MHV527" s="1831"/>
      <c r="MHW527" s="1831"/>
      <c r="MHX527" s="1831"/>
      <c r="MHY527" s="1831"/>
      <c r="MHZ527" s="1831"/>
      <c r="MIA527" s="1831"/>
      <c r="MIB527" s="1831"/>
      <c r="MIC527" s="1831"/>
      <c r="MID527" s="1831"/>
      <c r="MIE527" s="1831"/>
      <c r="MIF527" s="1831"/>
      <c r="MIG527" s="1831"/>
      <c r="MIH527" s="1831"/>
      <c r="MII527" s="1831"/>
      <c r="MIJ527" s="1831"/>
      <c r="MIK527" s="1831"/>
      <c r="MIL527" s="1831"/>
      <c r="MIM527" s="1831"/>
      <c r="MIN527" s="1831"/>
      <c r="MIO527" s="1831"/>
      <c r="MIP527" s="1831"/>
      <c r="MIQ527" s="1831"/>
      <c r="MIR527" s="1831"/>
      <c r="MIS527" s="1831"/>
      <c r="MIT527" s="1831"/>
      <c r="MIU527" s="1831"/>
      <c r="MIV527" s="1831"/>
      <c r="MIW527" s="1831"/>
      <c r="MIX527" s="1831"/>
      <c r="MIY527" s="1831"/>
      <c r="MIZ527" s="1831"/>
      <c r="MJA527" s="1831"/>
      <c r="MJB527" s="1831"/>
      <c r="MJC527" s="1831"/>
      <c r="MJD527" s="1831"/>
      <c r="MJE527" s="1831"/>
      <c r="MJF527" s="1831"/>
      <c r="MJG527" s="1831"/>
      <c r="MJH527" s="1831"/>
      <c r="MJI527" s="1831"/>
      <c r="MJJ527" s="1831"/>
      <c r="MJK527" s="1831"/>
      <c r="MJL527" s="1831"/>
      <c r="MJM527" s="1831"/>
      <c r="MJN527" s="1831"/>
      <c r="MJO527" s="1831"/>
      <c r="MJP527" s="1831"/>
      <c r="MJQ527" s="1831"/>
      <c r="MJR527" s="1831"/>
      <c r="MJS527" s="1831"/>
      <c r="MJT527" s="1831"/>
      <c r="MJU527" s="1831"/>
      <c r="MJV527" s="1831"/>
      <c r="MJW527" s="1831"/>
      <c r="MJX527" s="1831"/>
      <c r="MJY527" s="1831"/>
      <c r="MJZ527" s="1831"/>
      <c r="MKA527" s="1831"/>
      <c r="MKB527" s="1831"/>
      <c r="MKC527" s="1831"/>
      <c r="MKD527" s="1831"/>
      <c r="MKE527" s="1831"/>
      <c r="MKF527" s="1831"/>
      <c r="MKG527" s="1831"/>
      <c r="MKH527" s="1831"/>
      <c r="MKI527" s="1831"/>
      <c r="MKJ527" s="1831"/>
      <c r="MKK527" s="1831"/>
      <c r="MKL527" s="1831"/>
      <c r="MKM527" s="1831"/>
      <c r="MKN527" s="1831"/>
      <c r="MKO527" s="1831"/>
      <c r="MKP527" s="1831"/>
      <c r="MKQ527" s="1831"/>
      <c r="MKR527" s="1831"/>
      <c r="MKS527" s="1831"/>
      <c r="MKT527" s="1831"/>
      <c r="MKU527" s="1831"/>
      <c r="MKV527" s="1831"/>
      <c r="MKW527" s="1831"/>
      <c r="MKX527" s="1831"/>
      <c r="MKY527" s="1831"/>
      <c r="MKZ527" s="1831"/>
      <c r="MLA527" s="1831"/>
      <c r="MLB527" s="1831"/>
      <c r="MLC527" s="1831"/>
      <c r="MLD527" s="1831"/>
      <c r="MLE527" s="1831"/>
      <c r="MLF527" s="1831"/>
      <c r="MLG527" s="1831"/>
      <c r="MLH527" s="1831"/>
      <c r="MLI527" s="1831"/>
      <c r="MLJ527" s="1831"/>
      <c r="MLK527" s="1831"/>
      <c r="MLL527" s="1831"/>
      <c r="MLM527" s="1831"/>
      <c r="MLN527" s="1831"/>
      <c r="MLO527" s="1831"/>
      <c r="MLP527" s="1831"/>
      <c r="MLQ527" s="1831"/>
      <c r="MLR527" s="1831"/>
      <c r="MLS527" s="1831"/>
      <c r="MLT527" s="1831"/>
      <c r="MLU527" s="1831"/>
      <c r="MLV527" s="1831"/>
      <c r="MLW527" s="1831"/>
      <c r="MLX527" s="1831"/>
      <c r="MLY527" s="1831"/>
      <c r="MLZ527" s="1831"/>
      <c r="MMA527" s="1831"/>
      <c r="MMB527" s="1831"/>
      <c r="MMC527" s="1831"/>
      <c r="MMD527" s="1831"/>
      <c r="MME527" s="1831"/>
      <c r="MMF527" s="1831"/>
      <c r="MMG527" s="1831"/>
      <c r="MMH527" s="1831"/>
      <c r="MMI527" s="1831"/>
      <c r="MMJ527" s="1831"/>
      <c r="MMK527" s="1831"/>
      <c r="MML527" s="1831"/>
      <c r="MMM527" s="1831"/>
      <c r="MMN527" s="1831"/>
      <c r="MMO527" s="1831"/>
      <c r="MMP527" s="1831"/>
      <c r="MMQ527" s="1831"/>
      <c r="MMR527" s="1831"/>
      <c r="MMS527" s="1831"/>
      <c r="MMT527" s="1831"/>
      <c r="MMU527" s="1831"/>
      <c r="MMV527" s="1831"/>
      <c r="MMW527" s="1831"/>
      <c r="MMX527" s="1831"/>
      <c r="MMY527" s="1831"/>
      <c r="MMZ527" s="1831"/>
      <c r="MNA527" s="1831"/>
      <c r="MNB527" s="1831"/>
      <c r="MNC527" s="1831"/>
      <c r="MND527" s="1831"/>
      <c r="MNE527" s="1831"/>
      <c r="MNF527" s="1831"/>
      <c r="MNG527" s="1831"/>
      <c r="MNH527" s="1831"/>
      <c r="MNI527" s="1831"/>
      <c r="MNJ527" s="1831"/>
      <c r="MNK527" s="1831"/>
      <c r="MNL527" s="1831"/>
      <c r="MNM527" s="1831"/>
      <c r="MNN527" s="1831"/>
      <c r="MNO527" s="1831"/>
      <c r="MNP527" s="1831"/>
      <c r="MNQ527" s="1831"/>
      <c r="MNR527" s="1831"/>
      <c r="MNS527" s="1831"/>
      <c r="MNT527" s="1831"/>
      <c r="MNU527" s="1831"/>
      <c r="MNV527" s="1831"/>
      <c r="MNW527" s="1831"/>
      <c r="MNX527" s="1831"/>
      <c r="MNY527" s="1831"/>
      <c r="MNZ527" s="1831"/>
      <c r="MOA527" s="1831"/>
      <c r="MOB527" s="1831"/>
      <c r="MOC527" s="1831"/>
      <c r="MOD527" s="1831"/>
      <c r="MOE527" s="1831"/>
      <c r="MOF527" s="1831"/>
      <c r="MOG527" s="1831"/>
      <c r="MOH527" s="1831"/>
      <c r="MOI527" s="1831"/>
      <c r="MOJ527" s="1831"/>
      <c r="MOK527" s="1831"/>
      <c r="MOL527" s="1831"/>
      <c r="MOM527" s="1831"/>
      <c r="MON527" s="1831"/>
      <c r="MOO527" s="1831"/>
      <c r="MOP527" s="1831"/>
      <c r="MOQ527" s="1831"/>
      <c r="MOR527" s="1831"/>
      <c r="MOS527" s="1831"/>
      <c r="MOT527" s="1831"/>
      <c r="MOU527" s="1831"/>
      <c r="MOV527" s="1831"/>
      <c r="MOW527" s="1831"/>
      <c r="MOX527" s="1831"/>
      <c r="MOY527" s="1831"/>
      <c r="MOZ527" s="1831"/>
      <c r="MPA527" s="1831"/>
      <c r="MPB527" s="1831"/>
      <c r="MPC527" s="1831"/>
      <c r="MPD527" s="1831"/>
      <c r="MPE527" s="1831"/>
      <c r="MPF527" s="1831"/>
      <c r="MPG527" s="1831"/>
      <c r="MPH527" s="1831"/>
      <c r="MPI527" s="1831"/>
      <c r="MPJ527" s="1831"/>
      <c r="MPK527" s="1831"/>
      <c r="MPL527" s="1831"/>
      <c r="MPM527" s="1831"/>
      <c r="MPN527" s="1831"/>
      <c r="MPO527" s="1831"/>
      <c r="MPP527" s="1831"/>
      <c r="MPQ527" s="1831"/>
      <c r="MPR527" s="1831"/>
      <c r="MPS527" s="1831"/>
      <c r="MPT527" s="1831"/>
      <c r="MPU527" s="1831"/>
      <c r="MPV527" s="1831"/>
      <c r="MPW527" s="1831"/>
      <c r="MPX527" s="1831"/>
      <c r="MPY527" s="1831"/>
      <c r="MPZ527" s="1831"/>
      <c r="MQA527" s="1831"/>
      <c r="MQB527" s="1831"/>
      <c r="MQC527" s="1831"/>
      <c r="MQD527" s="1831"/>
      <c r="MQE527" s="1831"/>
      <c r="MQF527" s="1831"/>
      <c r="MQG527" s="1831"/>
      <c r="MQH527" s="1831"/>
      <c r="MQI527" s="1831"/>
      <c r="MQJ527" s="1831"/>
      <c r="MQK527" s="1831"/>
      <c r="MQL527" s="1831"/>
      <c r="MQM527" s="1831"/>
      <c r="MQN527" s="1831"/>
      <c r="MQO527" s="1831"/>
      <c r="MQP527" s="1831"/>
      <c r="MQQ527" s="1831"/>
      <c r="MQR527" s="1831"/>
      <c r="MQS527" s="1831"/>
      <c r="MQT527" s="1831"/>
      <c r="MQU527" s="1831"/>
      <c r="MQV527" s="1831"/>
      <c r="MQW527" s="1831"/>
      <c r="MQX527" s="1831"/>
      <c r="MQY527" s="1831"/>
      <c r="MQZ527" s="1831"/>
      <c r="MRA527" s="1831"/>
      <c r="MRB527" s="1831"/>
      <c r="MRC527" s="1831"/>
      <c r="MRD527" s="1831"/>
      <c r="MRE527" s="1831"/>
      <c r="MRF527" s="1831"/>
      <c r="MRG527" s="1831"/>
      <c r="MRH527" s="1831"/>
      <c r="MRI527" s="1831"/>
      <c r="MRJ527" s="1831"/>
      <c r="MRK527" s="1831"/>
      <c r="MRL527" s="1831"/>
      <c r="MRM527" s="1831"/>
      <c r="MRN527" s="1831"/>
      <c r="MRO527" s="1831"/>
      <c r="MRP527" s="1831"/>
      <c r="MRQ527" s="1831"/>
      <c r="MRR527" s="1831"/>
      <c r="MRS527" s="1831"/>
      <c r="MRT527" s="1831"/>
      <c r="MRU527" s="1831"/>
      <c r="MRV527" s="1831"/>
      <c r="MRW527" s="1831"/>
      <c r="MRX527" s="1831"/>
      <c r="MRY527" s="1831"/>
      <c r="MRZ527" s="1831"/>
      <c r="MSA527" s="1831"/>
      <c r="MSB527" s="1831"/>
      <c r="MSC527" s="1831"/>
      <c r="MSD527" s="1831"/>
      <c r="MSE527" s="1831"/>
      <c r="MSF527" s="1831"/>
      <c r="MSG527" s="1831"/>
      <c r="MSH527" s="1831"/>
      <c r="MSI527" s="1831"/>
      <c r="MSJ527" s="1831"/>
      <c r="MSK527" s="1831"/>
      <c r="MSL527" s="1831"/>
      <c r="MSM527" s="1831"/>
      <c r="MSN527" s="1831"/>
      <c r="MSO527" s="1831"/>
      <c r="MSP527" s="1831"/>
      <c r="MSQ527" s="1831"/>
      <c r="MSR527" s="1831"/>
      <c r="MSS527" s="1831"/>
      <c r="MST527" s="1831"/>
      <c r="MSU527" s="1831"/>
      <c r="MSV527" s="1831"/>
      <c r="MSW527" s="1831"/>
      <c r="MSX527" s="1831"/>
      <c r="MSY527" s="1831"/>
      <c r="MSZ527" s="1831"/>
      <c r="MTA527" s="1831"/>
      <c r="MTB527" s="1831"/>
      <c r="MTC527" s="1831"/>
      <c r="MTD527" s="1831"/>
      <c r="MTE527" s="1831"/>
      <c r="MTF527" s="1831"/>
      <c r="MTG527" s="1831"/>
      <c r="MTH527" s="1831"/>
      <c r="MTI527" s="1831"/>
      <c r="MTJ527" s="1831"/>
      <c r="MTK527" s="1831"/>
      <c r="MTL527" s="1831"/>
      <c r="MTM527" s="1831"/>
      <c r="MTN527" s="1831"/>
      <c r="MTO527" s="1831"/>
      <c r="MTP527" s="1831"/>
      <c r="MTQ527" s="1831"/>
      <c r="MTR527" s="1831"/>
      <c r="MTS527" s="1831"/>
      <c r="MTT527" s="1831"/>
      <c r="MTU527" s="1831"/>
      <c r="MTV527" s="1831"/>
      <c r="MTW527" s="1831"/>
      <c r="MTX527" s="1831"/>
      <c r="MTY527" s="1831"/>
      <c r="MTZ527" s="1831"/>
      <c r="MUA527" s="1831"/>
      <c r="MUB527" s="1831"/>
      <c r="MUC527" s="1831"/>
      <c r="MUD527" s="1831"/>
      <c r="MUE527" s="1831"/>
      <c r="MUF527" s="1831"/>
      <c r="MUG527" s="1831"/>
      <c r="MUH527" s="1831"/>
      <c r="MUI527" s="1831"/>
      <c r="MUJ527" s="1831"/>
      <c r="MUK527" s="1831"/>
      <c r="MUL527" s="1831"/>
      <c r="MUM527" s="1831"/>
      <c r="MUN527" s="1831"/>
      <c r="MUO527" s="1831"/>
      <c r="MUP527" s="1831"/>
      <c r="MUQ527" s="1831"/>
      <c r="MUR527" s="1831"/>
      <c r="MUS527" s="1831"/>
      <c r="MUT527" s="1831"/>
      <c r="MUU527" s="1831"/>
      <c r="MUV527" s="1831"/>
      <c r="MUW527" s="1831"/>
      <c r="MUX527" s="1831"/>
      <c r="MUY527" s="1831"/>
      <c r="MUZ527" s="1831"/>
      <c r="MVA527" s="1831"/>
      <c r="MVB527" s="1831"/>
      <c r="MVC527" s="1831"/>
      <c r="MVD527" s="1831"/>
      <c r="MVE527" s="1831"/>
      <c r="MVF527" s="1831"/>
      <c r="MVG527" s="1831"/>
      <c r="MVH527" s="1831"/>
      <c r="MVI527" s="1831"/>
      <c r="MVJ527" s="1831"/>
      <c r="MVK527" s="1831"/>
      <c r="MVL527" s="1831"/>
      <c r="MVM527" s="1831"/>
      <c r="MVN527" s="1831"/>
      <c r="MVO527" s="1831"/>
      <c r="MVP527" s="1831"/>
      <c r="MVQ527" s="1831"/>
      <c r="MVR527" s="1831"/>
      <c r="MVS527" s="1831"/>
      <c r="MVT527" s="1831"/>
      <c r="MVU527" s="1831"/>
      <c r="MVV527" s="1831"/>
      <c r="MVW527" s="1831"/>
      <c r="MVX527" s="1831"/>
      <c r="MVY527" s="1831"/>
      <c r="MVZ527" s="1831"/>
      <c r="MWA527" s="1831"/>
      <c r="MWB527" s="1831"/>
      <c r="MWC527" s="1831"/>
      <c r="MWD527" s="1831"/>
      <c r="MWE527" s="1831"/>
      <c r="MWF527" s="1831"/>
      <c r="MWG527" s="1831"/>
      <c r="MWH527" s="1831"/>
      <c r="MWI527" s="1831"/>
      <c r="MWJ527" s="1831"/>
      <c r="MWK527" s="1831"/>
      <c r="MWL527" s="1831"/>
      <c r="MWM527" s="1831"/>
      <c r="MWN527" s="1831"/>
      <c r="MWO527" s="1831"/>
      <c r="MWP527" s="1831"/>
      <c r="MWQ527" s="1831"/>
      <c r="MWR527" s="1831"/>
      <c r="MWS527" s="1831"/>
      <c r="MWT527" s="1831"/>
      <c r="MWU527" s="1831"/>
      <c r="MWV527" s="1831"/>
      <c r="MWW527" s="1831"/>
      <c r="MWX527" s="1831"/>
      <c r="MWY527" s="1831"/>
      <c r="MWZ527" s="1831"/>
      <c r="MXA527" s="1831"/>
      <c r="MXB527" s="1831"/>
      <c r="MXC527" s="1831"/>
      <c r="MXD527" s="1831"/>
      <c r="MXE527" s="1831"/>
      <c r="MXF527" s="1831"/>
      <c r="MXG527" s="1831"/>
      <c r="MXH527" s="1831"/>
      <c r="MXI527" s="1831"/>
      <c r="MXJ527" s="1831"/>
      <c r="MXK527" s="1831"/>
      <c r="MXL527" s="1831"/>
      <c r="MXM527" s="1831"/>
      <c r="MXN527" s="1831"/>
      <c r="MXO527" s="1831"/>
      <c r="MXP527" s="1831"/>
      <c r="MXQ527" s="1831"/>
      <c r="MXR527" s="1831"/>
      <c r="MXS527" s="1831"/>
      <c r="MXT527" s="1831"/>
      <c r="MXU527" s="1831"/>
      <c r="MXV527" s="1831"/>
      <c r="MXW527" s="1831"/>
      <c r="MXX527" s="1831"/>
      <c r="MXY527" s="1831"/>
      <c r="MXZ527" s="1831"/>
      <c r="MYA527" s="1831"/>
      <c r="MYB527" s="1831"/>
      <c r="MYC527" s="1831"/>
      <c r="MYD527" s="1831"/>
      <c r="MYE527" s="1831"/>
      <c r="MYF527" s="1831"/>
      <c r="MYG527" s="1831"/>
      <c r="MYH527" s="1831"/>
      <c r="MYI527" s="1831"/>
      <c r="MYJ527" s="1831"/>
      <c r="MYK527" s="1831"/>
      <c r="MYL527" s="1831"/>
      <c r="MYM527" s="1831"/>
      <c r="MYN527" s="1831"/>
      <c r="MYO527" s="1831"/>
      <c r="MYP527" s="1831"/>
      <c r="MYQ527" s="1831"/>
      <c r="MYR527" s="1831"/>
      <c r="MYS527" s="1831"/>
      <c r="MYT527" s="1831"/>
      <c r="MYU527" s="1831"/>
      <c r="MYV527" s="1831"/>
      <c r="MYW527" s="1831"/>
      <c r="MYX527" s="1831"/>
      <c r="MYY527" s="1831"/>
      <c r="MYZ527" s="1831"/>
      <c r="MZA527" s="1831"/>
      <c r="MZB527" s="1831"/>
      <c r="MZC527" s="1831"/>
      <c r="MZD527" s="1831"/>
      <c r="MZE527" s="1831"/>
      <c r="MZF527" s="1831"/>
      <c r="MZG527" s="1831"/>
      <c r="MZH527" s="1831"/>
      <c r="MZI527" s="1831"/>
      <c r="MZJ527" s="1831"/>
      <c r="MZK527" s="1831"/>
      <c r="MZL527" s="1831"/>
      <c r="MZM527" s="1831"/>
      <c r="MZN527" s="1831"/>
      <c r="MZO527" s="1831"/>
      <c r="MZP527" s="1831"/>
      <c r="MZQ527" s="1831"/>
      <c r="MZR527" s="1831"/>
      <c r="MZS527" s="1831"/>
      <c r="MZT527" s="1831"/>
      <c r="MZU527" s="1831"/>
      <c r="MZV527" s="1831"/>
      <c r="MZW527" s="1831"/>
      <c r="MZX527" s="1831"/>
      <c r="MZY527" s="1831"/>
      <c r="MZZ527" s="1831"/>
      <c r="NAA527" s="1831"/>
      <c r="NAB527" s="1831"/>
      <c r="NAC527" s="1831"/>
      <c r="NAD527" s="1831"/>
      <c r="NAE527" s="1831"/>
      <c r="NAF527" s="1831"/>
      <c r="NAG527" s="1831"/>
      <c r="NAH527" s="1831"/>
      <c r="NAI527" s="1831"/>
      <c r="NAJ527" s="1831"/>
      <c r="NAK527" s="1831"/>
      <c r="NAL527" s="1831"/>
      <c r="NAM527" s="1831"/>
      <c r="NAN527" s="1831"/>
      <c r="NAO527" s="1831"/>
      <c r="NAP527" s="1831"/>
      <c r="NAQ527" s="1831"/>
      <c r="NAR527" s="1831"/>
      <c r="NAS527" s="1831"/>
      <c r="NAT527" s="1831"/>
      <c r="NAU527" s="1831"/>
      <c r="NAV527" s="1831"/>
      <c r="NAW527" s="1831"/>
      <c r="NAX527" s="1831"/>
      <c r="NAY527" s="1831"/>
      <c r="NAZ527" s="1831"/>
      <c r="NBA527" s="1831"/>
      <c r="NBB527" s="1831"/>
      <c r="NBC527" s="1831"/>
      <c r="NBD527" s="1831"/>
      <c r="NBE527" s="1831"/>
      <c r="NBF527" s="1831"/>
      <c r="NBG527" s="1831"/>
      <c r="NBH527" s="1831"/>
      <c r="NBI527" s="1831"/>
      <c r="NBJ527" s="1831"/>
      <c r="NBK527" s="1831"/>
      <c r="NBL527" s="1831"/>
      <c r="NBM527" s="1831"/>
      <c r="NBN527" s="1831"/>
      <c r="NBO527" s="1831"/>
      <c r="NBP527" s="1831"/>
      <c r="NBQ527" s="1831"/>
      <c r="NBR527" s="1831"/>
      <c r="NBS527" s="1831"/>
      <c r="NBT527" s="1831"/>
      <c r="NBU527" s="1831"/>
      <c r="NBV527" s="1831"/>
      <c r="NBW527" s="1831"/>
      <c r="NBX527" s="1831"/>
      <c r="NBY527" s="1831"/>
      <c r="NBZ527" s="1831"/>
      <c r="NCA527" s="1831"/>
      <c r="NCB527" s="1831"/>
      <c r="NCC527" s="1831"/>
      <c r="NCD527" s="1831"/>
      <c r="NCE527" s="1831"/>
      <c r="NCF527" s="1831"/>
      <c r="NCG527" s="1831"/>
      <c r="NCH527" s="1831"/>
      <c r="NCI527" s="1831"/>
      <c r="NCJ527" s="1831"/>
      <c r="NCK527" s="1831"/>
      <c r="NCL527" s="1831"/>
      <c r="NCM527" s="1831"/>
      <c r="NCN527" s="1831"/>
      <c r="NCO527" s="1831"/>
      <c r="NCP527" s="1831"/>
      <c r="NCQ527" s="1831"/>
      <c r="NCR527" s="1831"/>
      <c r="NCS527" s="1831"/>
      <c r="NCT527" s="1831"/>
      <c r="NCU527" s="1831"/>
      <c r="NCV527" s="1831"/>
      <c r="NCW527" s="1831"/>
      <c r="NCX527" s="1831"/>
      <c r="NCY527" s="1831"/>
      <c r="NCZ527" s="1831"/>
      <c r="NDA527" s="1831"/>
      <c r="NDB527" s="1831"/>
      <c r="NDC527" s="1831"/>
      <c r="NDD527" s="1831"/>
      <c r="NDE527" s="1831"/>
      <c r="NDF527" s="1831"/>
      <c r="NDG527" s="1831"/>
      <c r="NDH527" s="1831"/>
      <c r="NDI527" s="1831"/>
      <c r="NDJ527" s="1831"/>
      <c r="NDK527" s="1831"/>
      <c r="NDL527" s="1831"/>
      <c r="NDM527" s="1831"/>
      <c r="NDN527" s="1831"/>
      <c r="NDO527" s="1831"/>
      <c r="NDP527" s="1831"/>
      <c r="NDQ527" s="1831"/>
      <c r="NDR527" s="1831"/>
      <c r="NDS527" s="1831"/>
      <c r="NDT527" s="1831"/>
      <c r="NDU527" s="1831"/>
      <c r="NDV527" s="1831"/>
      <c r="NDW527" s="1831"/>
      <c r="NDX527" s="1831"/>
      <c r="NDY527" s="1831"/>
      <c r="NDZ527" s="1831"/>
      <c r="NEA527" s="1831"/>
      <c r="NEB527" s="1831"/>
      <c r="NEC527" s="1831"/>
      <c r="NED527" s="1831"/>
      <c r="NEE527" s="1831"/>
      <c r="NEF527" s="1831"/>
      <c r="NEG527" s="1831"/>
      <c r="NEH527" s="1831"/>
      <c r="NEI527" s="1831"/>
      <c r="NEJ527" s="1831"/>
      <c r="NEK527" s="1831"/>
      <c r="NEL527" s="1831"/>
      <c r="NEM527" s="1831"/>
      <c r="NEN527" s="1831"/>
      <c r="NEO527" s="1831"/>
      <c r="NEP527" s="1831"/>
      <c r="NEQ527" s="1831"/>
      <c r="NER527" s="1831"/>
      <c r="NES527" s="1831"/>
      <c r="NET527" s="1831"/>
      <c r="NEU527" s="1831"/>
      <c r="NEV527" s="1831"/>
      <c r="NEW527" s="1831"/>
      <c r="NEX527" s="1831"/>
      <c r="NEY527" s="1831"/>
      <c r="NEZ527" s="1831"/>
      <c r="NFA527" s="1831"/>
      <c r="NFB527" s="1831"/>
      <c r="NFC527" s="1831"/>
      <c r="NFD527" s="1831"/>
      <c r="NFE527" s="1831"/>
      <c r="NFF527" s="1831"/>
      <c r="NFG527" s="1831"/>
      <c r="NFH527" s="1831"/>
      <c r="NFI527" s="1831"/>
      <c r="NFJ527" s="1831"/>
      <c r="NFK527" s="1831"/>
      <c r="NFL527" s="1831"/>
      <c r="NFM527" s="1831"/>
      <c r="NFN527" s="1831"/>
      <c r="NFO527" s="1831"/>
      <c r="NFP527" s="1831"/>
      <c r="NFQ527" s="1831"/>
      <c r="NFR527" s="1831"/>
      <c r="NFS527" s="1831"/>
      <c r="NFT527" s="1831"/>
      <c r="NFU527" s="1831"/>
      <c r="NFV527" s="1831"/>
      <c r="NFW527" s="1831"/>
      <c r="NFX527" s="1831"/>
      <c r="NFY527" s="1831"/>
      <c r="NFZ527" s="1831"/>
      <c r="NGA527" s="1831"/>
      <c r="NGB527" s="1831"/>
      <c r="NGC527" s="1831"/>
      <c r="NGD527" s="1831"/>
      <c r="NGE527" s="1831"/>
      <c r="NGF527" s="1831"/>
      <c r="NGG527" s="1831"/>
      <c r="NGH527" s="1831"/>
      <c r="NGI527" s="1831"/>
      <c r="NGJ527" s="1831"/>
      <c r="NGK527" s="1831"/>
      <c r="NGL527" s="1831"/>
      <c r="NGM527" s="1831"/>
      <c r="NGN527" s="1831"/>
      <c r="NGO527" s="1831"/>
      <c r="NGP527" s="1831"/>
      <c r="NGQ527" s="1831"/>
      <c r="NGR527" s="1831"/>
      <c r="NGS527" s="1831"/>
      <c r="NGT527" s="1831"/>
      <c r="NGU527" s="1831"/>
      <c r="NGV527" s="1831"/>
      <c r="NGW527" s="1831"/>
      <c r="NGX527" s="1831"/>
      <c r="NGY527" s="1831"/>
      <c r="NGZ527" s="1831"/>
      <c r="NHA527" s="1831"/>
      <c r="NHB527" s="1831"/>
      <c r="NHC527" s="1831"/>
      <c r="NHD527" s="1831"/>
      <c r="NHE527" s="1831"/>
      <c r="NHF527" s="1831"/>
      <c r="NHG527" s="1831"/>
      <c r="NHH527" s="1831"/>
      <c r="NHI527" s="1831"/>
      <c r="NHJ527" s="1831"/>
      <c r="NHK527" s="1831"/>
      <c r="NHL527" s="1831"/>
      <c r="NHM527" s="1831"/>
      <c r="NHN527" s="1831"/>
      <c r="NHO527" s="1831"/>
      <c r="NHP527" s="1831"/>
      <c r="NHQ527" s="1831"/>
      <c r="NHR527" s="1831"/>
      <c r="NHS527" s="1831"/>
      <c r="NHT527" s="1831"/>
      <c r="NHU527" s="1831"/>
      <c r="NHV527" s="1831"/>
      <c r="NHW527" s="1831"/>
      <c r="NHX527" s="1831"/>
      <c r="NHY527" s="1831"/>
      <c r="NHZ527" s="1831"/>
      <c r="NIA527" s="1831"/>
      <c r="NIB527" s="1831"/>
      <c r="NIC527" s="1831"/>
      <c r="NID527" s="1831"/>
      <c r="NIE527" s="1831"/>
      <c r="NIF527" s="1831"/>
      <c r="NIG527" s="1831"/>
      <c r="NIH527" s="1831"/>
      <c r="NII527" s="1831"/>
      <c r="NIJ527" s="1831"/>
      <c r="NIK527" s="1831"/>
      <c r="NIL527" s="1831"/>
      <c r="NIM527" s="1831"/>
      <c r="NIN527" s="1831"/>
      <c r="NIO527" s="1831"/>
      <c r="NIP527" s="1831"/>
      <c r="NIQ527" s="1831"/>
      <c r="NIR527" s="1831"/>
      <c r="NIS527" s="1831"/>
      <c r="NIT527" s="1831"/>
      <c r="NIU527" s="1831"/>
      <c r="NIV527" s="1831"/>
      <c r="NIW527" s="1831"/>
      <c r="NIX527" s="1831"/>
      <c r="NIY527" s="1831"/>
      <c r="NIZ527" s="1831"/>
      <c r="NJA527" s="1831"/>
      <c r="NJB527" s="1831"/>
      <c r="NJC527" s="1831"/>
      <c r="NJD527" s="1831"/>
      <c r="NJE527" s="1831"/>
      <c r="NJF527" s="1831"/>
      <c r="NJG527" s="1831"/>
      <c r="NJH527" s="1831"/>
      <c r="NJI527" s="1831"/>
      <c r="NJJ527" s="1831"/>
      <c r="NJK527" s="1831"/>
      <c r="NJL527" s="1831"/>
      <c r="NJM527" s="1831"/>
      <c r="NJN527" s="1831"/>
      <c r="NJO527" s="1831"/>
      <c r="NJP527" s="1831"/>
      <c r="NJQ527" s="1831"/>
      <c r="NJR527" s="1831"/>
      <c r="NJS527" s="1831"/>
      <c r="NJT527" s="1831"/>
      <c r="NJU527" s="1831"/>
      <c r="NJV527" s="1831"/>
      <c r="NJW527" s="1831"/>
      <c r="NJX527" s="1831"/>
      <c r="NJY527" s="1831"/>
      <c r="NJZ527" s="1831"/>
      <c r="NKA527" s="1831"/>
      <c r="NKB527" s="1831"/>
      <c r="NKC527" s="1831"/>
      <c r="NKD527" s="1831"/>
      <c r="NKE527" s="1831"/>
      <c r="NKF527" s="1831"/>
      <c r="NKG527" s="1831"/>
      <c r="NKH527" s="1831"/>
      <c r="NKI527" s="1831"/>
      <c r="NKJ527" s="1831"/>
      <c r="NKK527" s="1831"/>
      <c r="NKL527" s="1831"/>
      <c r="NKM527" s="1831"/>
      <c r="NKN527" s="1831"/>
      <c r="NKO527" s="1831"/>
      <c r="NKP527" s="1831"/>
      <c r="NKQ527" s="1831"/>
      <c r="NKR527" s="1831"/>
      <c r="NKS527" s="1831"/>
      <c r="NKT527" s="1831"/>
      <c r="NKU527" s="1831"/>
      <c r="NKV527" s="1831"/>
      <c r="NKW527" s="1831"/>
      <c r="NKX527" s="1831"/>
      <c r="NKY527" s="1831"/>
      <c r="NKZ527" s="1831"/>
      <c r="NLA527" s="1831"/>
      <c r="NLB527" s="1831"/>
      <c r="NLC527" s="1831"/>
      <c r="NLD527" s="1831"/>
      <c r="NLE527" s="1831"/>
      <c r="NLF527" s="1831"/>
      <c r="NLG527" s="1831"/>
      <c r="NLH527" s="1831"/>
      <c r="NLI527" s="1831"/>
      <c r="NLJ527" s="1831"/>
      <c r="NLK527" s="1831"/>
      <c r="NLL527" s="1831"/>
      <c r="NLM527" s="1831"/>
      <c r="NLN527" s="1831"/>
      <c r="NLO527" s="1831"/>
      <c r="NLP527" s="1831"/>
      <c r="NLQ527" s="1831"/>
      <c r="NLR527" s="1831"/>
      <c r="NLS527" s="1831"/>
      <c r="NLT527" s="1831"/>
      <c r="NLU527" s="1831"/>
      <c r="NLV527" s="1831"/>
      <c r="NLW527" s="1831"/>
      <c r="NLX527" s="1831"/>
      <c r="NLY527" s="1831"/>
      <c r="NLZ527" s="1831"/>
      <c r="NMA527" s="1831"/>
      <c r="NMB527" s="1831"/>
      <c r="NMC527" s="1831"/>
      <c r="NMD527" s="1831"/>
      <c r="NME527" s="1831"/>
      <c r="NMF527" s="1831"/>
      <c r="NMG527" s="1831"/>
      <c r="NMH527" s="1831"/>
      <c r="NMI527" s="1831"/>
      <c r="NMJ527" s="1831"/>
      <c r="NMK527" s="1831"/>
      <c r="NML527" s="1831"/>
      <c r="NMM527" s="1831"/>
      <c r="NMN527" s="1831"/>
      <c r="NMO527" s="1831"/>
      <c r="NMP527" s="1831"/>
      <c r="NMQ527" s="1831"/>
      <c r="NMR527" s="1831"/>
      <c r="NMS527" s="1831"/>
      <c r="NMT527" s="1831"/>
      <c r="NMU527" s="1831"/>
      <c r="NMV527" s="1831"/>
      <c r="NMW527" s="1831"/>
      <c r="NMX527" s="1831"/>
      <c r="NMY527" s="1831"/>
      <c r="NMZ527" s="1831"/>
      <c r="NNA527" s="1831"/>
      <c r="NNB527" s="1831"/>
      <c r="NNC527" s="1831"/>
      <c r="NND527" s="1831"/>
      <c r="NNE527" s="1831"/>
      <c r="NNF527" s="1831"/>
      <c r="NNG527" s="1831"/>
      <c r="NNH527" s="1831"/>
      <c r="NNI527" s="1831"/>
      <c r="NNJ527" s="1831"/>
      <c r="NNK527" s="1831"/>
      <c r="NNL527" s="1831"/>
      <c r="NNM527" s="1831"/>
      <c r="NNN527" s="1831"/>
      <c r="NNO527" s="1831"/>
      <c r="NNP527" s="1831"/>
      <c r="NNQ527" s="1831"/>
      <c r="NNR527" s="1831"/>
      <c r="NNS527" s="1831"/>
      <c r="NNT527" s="1831"/>
      <c r="NNU527" s="1831"/>
      <c r="NNV527" s="1831"/>
      <c r="NNW527" s="1831"/>
      <c r="NNX527" s="1831"/>
      <c r="NNY527" s="1831"/>
      <c r="NNZ527" s="1831"/>
      <c r="NOA527" s="1831"/>
      <c r="NOB527" s="1831"/>
      <c r="NOC527" s="1831"/>
      <c r="NOD527" s="1831"/>
      <c r="NOE527" s="1831"/>
      <c r="NOF527" s="1831"/>
      <c r="NOG527" s="1831"/>
      <c r="NOH527" s="1831"/>
      <c r="NOI527" s="1831"/>
      <c r="NOJ527" s="1831"/>
      <c r="NOK527" s="1831"/>
      <c r="NOL527" s="1831"/>
      <c r="NOM527" s="1831"/>
      <c r="NON527" s="1831"/>
      <c r="NOO527" s="1831"/>
      <c r="NOP527" s="1831"/>
      <c r="NOQ527" s="1831"/>
      <c r="NOR527" s="1831"/>
      <c r="NOS527" s="1831"/>
      <c r="NOT527" s="1831"/>
      <c r="NOU527" s="1831"/>
      <c r="NOV527" s="1831"/>
      <c r="NOW527" s="1831"/>
      <c r="NOX527" s="1831"/>
      <c r="NOY527" s="1831"/>
      <c r="NOZ527" s="1831"/>
      <c r="NPA527" s="1831"/>
      <c r="NPB527" s="1831"/>
      <c r="NPC527" s="1831"/>
      <c r="NPD527" s="1831"/>
      <c r="NPE527" s="1831"/>
      <c r="NPF527" s="1831"/>
      <c r="NPG527" s="1831"/>
      <c r="NPH527" s="1831"/>
      <c r="NPI527" s="1831"/>
      <c r="NPJ527" s="1831"/>
      <c r="NPK527" s="1831"/>
      <c r="NPL527" s="1831"/>
      <c r="NPM527" s="1831"/>
      <c r="NPN527" s="1831"/>
      <c r="NPO527" s="1831"/>
      <c r="NPP527" s="1831"/>
      <c r="NPQ527" s="1831"/>
      <c r="NPR527" s="1831"/>
      <c r="NPS527" s="1831"/>
      <c r="NPT527" s="1831"/>
      <c r="NPU527" s="1831"/>
      <c r="NPV527" s="1831"/>
      <c r="NPW527" s="1831"/>
      <c r="NPX527" s="1831"/>
      <c r="NPY527" s="1831"/>
      <c r="NPZ527" s="1831"/>
      <c r="NQA527" s="1831"/>
      <c r="NQB527" s="1831"/>
      <c r="NQC527" s="1831"/>
      <c r="NQD527" s="1831"/>
      <c r="NQE527" s="1831"/>
      <c r="NQF527" s="1831"/>
      <c r="NQG527" s="1831"/>
      <c r="NQH527" s="1831"/>
      <c r="NQI527" s="1831"/>
      <c r="NQJ527" s="1831"/>
      <c r="NQK527" s="1831"/>
      <c r="NQL527" s="1831"/>
      <c r="NQM527" s="1831"/>
      <c r="NQN527" s="1831"/>
      <c r="NQO527" s="1831"/>
      <c r="NQP527" s="1831"/>
      <c r="NQQ527" s="1831"/>
      <c r="NQR527" s="1831"/>
      <c r="NQS527" s="1831"/>
      <c r="NQT527" s="1831"/>
      <c r="NQU527" s="1831"/>
      <c r="NQV527" s="1831"/>
      <c r="NQW527" s="1831"/>
      <c r="NQX527" s="1831"/>
      <c r="NQY527" s="1831"/>
      <c r="NQZ527" s="1831"/>
      <c r="NRA527" s="1831"/>
      <c r="NRB527" s="1831"/>
      <c r="NRC527" s="1831"/>
      <c r="NRD527" s="1831"/>
      <c r="NRE527" s="1831"/>
      <c r="NRF527" s="1831"/>
      <c r="NRG527" s="1831"/>
      <c r="NRH527" s="1831"/>
      <c r="NRI527" s="1831"/>
      <c r="NRJ527" s="1831"/>
      <c r="NRK527" s="1831"/>
      <c r="NRL527" s="1831"/>
      <c r="NRM527" s="1831"/>
      <c r="NRN527" s="1831"/>
      <c r="NRO527" s="1831"/>
      <c r="NRP527" s="1831"/>
      <c r="NRQ527" s="1831"/>
      <c r="NRR527" s="1831"/>
      <c r="NRS527" s="1831"/>
      <c r="NRT527" s="1831"/>
      <c r="NRU527" s="1831"/>
      <c r="NRV527" s="1831"/>
      <c r="NRW527" s="1831"/>
      <c r="NRX527" s="1831"/>
      <c r="NRY527" s="1831"/>
      <c r="NRZ527" s="1831"/>
      <c r="NSA527" s="1831"/>
      <c r="NSB527" s="1831"/>
      <c r="NSC527" s="1831"/>
      <c r="NSD527" s="1831"/>
      <c r="NSE527" s="1831"/>
      <c r="NSF527" s="1831"/>
      <c r="NSG527" s="1831"/>
      <c r="NSH527" s="1831"/>
      <c r="NSI527" s="1831"/>
      <c r="NSJ527" s="1831"/>
      <c r="NSK527" s="1831"/>
      <c r="NSL527" s="1831"/>
      <c r="NSM527" s="1831"/>
      <c r="NSN527" s="1831"/>
      <c r="NSO527" s="1831"/>
      <c r="NSP527" s="1831"/>
      <c r="NSQ527" s="1831"/>
      <c r="NSR527" s="1831"/>
      <c r="NSS527" s="1831"/>
      <c r="NST527" s="1831"/>
      <c r="NSU527" s="1831"/>
      <c r="NSV527" s="1831"/>
      <c r="NSW527" s="1831"/>
      <c r="NSX527" s="1831"/>
      <c r="NSY527" s="1831"/>
      <c r="NSZ527" s="1831"/>
      <c r="NTA527" s="1831"/>
      <c r="NTB527" s="1831"/>
      <c r="NTC527" s="1831"/>
      <c r="NTD527" s="1831"/>
      <c r="NTE527" s="1831"/>
      <c r="NTF527" s="1831"/>
      <c r="NTG527" s="1831"/>
      <c r="NTH527" s="1831"/>
      <c r="NTI527" s="1831"/>
      <c r="NTJ527" s="1831"/>
      <c r="NTK527" s="1831"/>
      <c r="NTL527" s="1831"/>
      <c r="NTM527" s="1831"/>
      <c r="NTN527" s="1831"/>
      <c r="NTO527" s="1831"/>
      <c r="NTP527" s="1831"/>
      <c r="NTQ527" s="1831"/>
      <c r="NTR527" s="1831"/>
      <c r="NTS527" s="1831"/>
      <c r="NTT527" s="1831"/>
      <c r="NTU527" s="1831"/>
      <c r="NTV527" s="1831"/>
      <c r="NTW527" s="1831"/>
      <c r="NTX527" s="1831"/>
      <c r="NTY527" s="1831"/>
      <c r="NTZ527" s="1831"/>
      <c r="NUA527" s="1831"/>
      <c r="NUB527" s="1831"/>
      <c r="NUC527" s="1831"/>
      <c r="NUD527" s="1831"/>
      <c r="NUE527" s="1831"/>
      <c r="NUF527" s="1831"/>
      <c r="NUG527" s="1831"/>
      <c r="NUH527" s="1831"/>
      <c r="NUI527" s="1831"/>
      <c r="NUJ527" s="1831"/>
      <c r="NUK527" s="1831"/>
      <c r="NUL527" s="1831"/>
      <c r="NUM527" s="1831"/>
      <c r="NUN527" s="1831"/>
      <c r="NUO527" s="1831"/>
      <c r="NUP527" s="1831"/>
      <c r="NUQ527" s="1831"/>
      <c r="NUR527" s="1831"/>
      <c r="NUS527" s="1831"/>
      <c r="NUT527" s="1831"/>
      <c r="NUU527" s="1831"/>
      <c r="NUV527" s="1831"/>
      <c r="NUW527" s="1831"/>
      <c r="NUX527" s="1831"/>
      <c r="NUY527" s="1831"/>
      <c r="NUZ527" s="1831"/>
      <c r="NVA527" s="1831"/>
      <c r="NVB527" s="1831"/>
      <c r="NVC527" s="1831"/>
      <c r="NVD527" s="1831"/>
      <c r="NVE527" s="1831"/>
      <c r="NVF527" s="1831"/>
      <c r="NVG527" s="1831"/>
      <c r="NVH527" s="1831"/>
      <c r="NVI527" s="1831"/>
      <c r="NVJ527" s="1831"/>
      <c r="NVK527" s="1831"/>
      <c r="NVL527" s="1831"/>
      <c r="NVM527" s="1831"/>
      <c r="NVN527" s="1831"/>
      <c r="NVO527" s="1831"/>
      <c r="NVP527" s="1831"/>
      <c r="NVQ527" s="1831"/>
      <c r="NVR527" s="1831"/>
      <c r="NVS527" s="1831"/>
      <c r="NVT527" s="1831"/>
      <c r="NVU527" s="1831"/>
      <c r="NVV527" s="1831"/>
      <c r="NVW527" s="1831"/>
      <c r="NVX527" s="1831"/>
      <c r="NVY527" s="1831"/>
      <c r="NVZ527" s="1831"/>
      <c r="NWA527" s="1831"/>
      <c r="NWB527" s="1831"/>
      <c r="NWC527" s="1831"/>
      <c r="NWD527" s="1831"/>
      <c r="NWE527" s="1831"/>
      <c r="NWF527" s="1831"/>
      <c r="NWG527" s="1831"/>
      <c r="NWH527" s="1831"/>
      <c r="NWI527" s="1831"/>
      <c r="NWJ527" s="1831"/>
      <c r="NWK527" s="1831"/>
      <c r="NWL527" s="1831"/>
      <c r="NWM527" s="1831"/>
      <c r="NWN527" s="1831"/>
      <c r="NWO527" s="1831"/>
      <c r="NWP527" s="1831"/>
      <c r="NWQ527" s="1831"/>
      <c r="NWR527" s="1831"/>
      <c r="NWS527" s="1831"/>
      <c r="NWT527" s="1831"/>
      <c r="NWU527" s="1831"/>
      <c r="NWV527" s="1831"/>
      <c r="NWW527" s="1831"/>
      <c r="NWX527" s="1831"/>
      <c r="NWY527" s="1831"/>
      <c r="NWZ527" s="1831"/>
      <c r="NXA527" s="1831"/>
      <c r="NXB527" s="1831"/>
      <c r="NXC527" s="1831"/>
      <c r="NXD527" s="1831"/>
      <c r="NXE527" s="1831"/>
      <c r="NXF527" s="1831"/>
      <c r="NXG527" s="1831"/>
      <c r="NXH527" s="1831"/>
      <c r="NXI527" s="1831"/>
      <c r="NXJ527" s="1831"/>
      <c r="NXK527" s="1831"/>
      <c r="NXL527" s="1831"/>
      <c r="NXM527" s="1831"/>
      <c r="NXN527" s="1831"/>
      <c r="NXO527" s="1831"/>
      <c r="NXP527" s="1831"/>
      <c r="NXQ527" s="1831"/>
      <c r="NXR527" s="1831"/>
      <c r="NXS527" s="1831"/>
      <c r="NXT527" s="1831"/>
      <c r="NXU527" s="1831"/>
      <c r="NXV527" s="1831"/>
      <c r="NXW527" s="1831"/>
      <c r="NXX527" s="1831"/>
      <c r="NXY527" s="1831"/>
      <c r="NXZ527" s="1831"/>
      <c r="NYA527" s="1831"/>
      <c r="NYB527" s="1831"/>
      <c r="NYC527" s="1831"/>
      <c r="NYD527" s="1831"/>
      <c r="NYE527" s="1831"/>
      <c r="NYF527" s="1831"/>
      <c r="NYG527" s="1831"/>
      <c r="NYH527" s="1831"/>
      <c r="NYI527" s="1831"/>
      <c r="NYJ527" s="1831"/>
      <c r="NYK527" s="1831"/>
      <c r="NYL527" s="1831"/>
      <c r="NYM527" s="1831"/>
      <c r="NYN527" s="1831"/>
      <c r="NYO527" s="1831"/>
      <c r="NYP527" s="1831"/>
      <c r="NYQ527" s="1831"/>
      <c r="NYR527" s="1831"/>
      <c r="NYS527" s="1831"/>
      <c r="NYT527" s="1831"/>
      <c r="NYU527" s="1831"/>
      <c r="NYV527" s="1831"/>
      <c r="NYW527" s="1831"/>
      <c r="NYX527" s="1831"/>
      <c r="NYY527" s="1831"/>
      <c r="NYZ527" s="1831"/>
      <c r="NZA527" s="1831"/>
      <c r="NZB527" s="1831"/>
      <c r="NZC527" s="1831"/>
      <c r="NZD527" s="1831"/>
      <c r="NZE527" s="1831"/>
      <c r="NZF527" s="1831"/>
      <c r="NZG527" s="1831"/>
      <c r="NZH527" s="1831"/>
      <c r="NZI527" s="1831"/>
      <c r="NZJ527" s="1831"/>
      <c r="NZK527" s="1831"/>
      <c r="NZL527" s="1831"/>
      <c r="NZM527" s="1831"/>
      <c r="NZN527" s="1831"/>
      <c r="NZO527" s="1831"/>
      <c r="NZP527" s="1831"/>
      <c r="NZQ527" s="1831"/>
      <c r="NZR527" s="1831"/>
      <c r="NZS527" s="1831"/>
      <c r="NZT527" s="1831"/>
      <c r="NZU527" s="1831"/>
      <c r="NZV527" s="1831"/>
      <c r="NZW527" s="1831"/>
      <c r="NZX527" s="1831"/>
      <c r="NZY527" s="1831"/>
      <c r="NZZ527" s="1831"/>
      <c r="OAA527" s="1831"/>
      <c r="OAB527" s="1831"/>
      <c r="OAC527" s="1831"/>
      <c r="OAD527" s="1831"/>
      <c r="OAE527" s="1831"/>
      <c r="OAF527" s="1831"/>
      <c r="OAG527" s="1831"/>
      <c r="OAH527" s="1831"/>
      <c r="OAI527" s="1831"/>
      <c r="OAJ527" s="1831"/>
      <c r="OAK527" s="1831"/>
      <c r="OAL527" s="1831"/>
      <c r="OAM527" s="1831"/>
      <c r="OAN527" s="1831"/>
      <c r="OAO527" s="1831"/>
      <c r="OAP527" s="1831"/>
      <c r="OAQ527" s="1831"/>
      <c r="OAR527" s="1831"/>
      <c r="OAS527" s="1831"/>
      <c r="OAT527" s="1831"/>
      <c r="OAU527" s="1831"/>
      <c r="OAV527" s="1831"/>
      <c r="OAW527" s="1831"/>
      <c r="OAX527" s="1831"/>
      <c r="OAY527" s="1831"/>
      <c r="OAZ527" s="1831"/>
      <c r="OBA527" s="1831"/>
      <c r="OBB527" s="1831"/>
      <c r="OBC527" s="1831"/>
      <c r="OBD527" s="1831"/>
      <c r="OBE527" s="1831"/>
      <c r="OBF527" s="1831"/>
      <c r="OBG527" s="1831"/>
      <c r="OBH527" s="1831"/>
      <c r="OBI527" s="1831"/>
      <c r="OBJ527" s="1831"/>
      <c r="OBK527" s="1831"/>
      <c r="OBL527" s="1831"/>
      <c r="OBM527" s="1831"/>
      <c r="OBN527" s="1831"/>
      <c r="OBO527" s="1831"/>
      <c r="OBP527" s="1831"/>
      <c r="OBQ527" s="1831"/>
      <c r="OBR527" s="1831"/>
      <c r="OBS527" s="1831"/>
      <c r="OBT527" s="1831"/>
      <c r="OBU527" s="1831"/>
      <c r="OBV527" s="1831"/>
      <c r="OBW527" s="1831"/>
      <c r="OBX527" s="1831"/>
      <c r="OBY527" s="1831"/>
      <c r="OBZ527" s="1831"/>
      <c r="OCA527" s="1831"/>
      <c r="OCB527" s="1831"/>
      <c r="OCC527" s="1831"/>
      <c r="OCD527" s="1831"/>
      <c r="OCE527" s="1831"/>
      <c r="OCF527" s="1831"/>
      <c r="OCG527" s="1831"/>
      <c r="OCH527" s="1831"/>
      <c r="OCI527" s="1831"/>
      <c r="OCJ527" s="1831"/>
      <c r="OCK527" s="1831"/>
      <c r="OCL527" s="1831"/>
      <c r="OCM527" s="1831"/>
      <c r="OCN527" s="1831"/>
      <c r="OCO527" s="1831"/>
      <c r="OCP527" s="1831"/>
      <c r="OCQ527" s="1831"/>
      <c r="OCR527" s="1831"/>
      <c r="OCS527" s="1831"/>
      <c r="OCT527" s="1831"/>
      <c r="OCU527" s="1831"/>
      <c r="OCV527" s="1831"/>
      <c r="OCW527" s="1831"/>
      <c r="OCX527" s="1831"/>
      <c r="OCY527" s="1831"/>
      <c r="OCZ527" s="1831"/>
      <c r="ODA527" s="1831"/>
      <c r="ODB527" s="1831"/>
      <c r="ODC527" s="1831"/>
      <c r="ODD527" s="1831"/>
      <c r="ODE527" s="1831"/>
      <c r="ODF527" s="1831"/>
      <c r="ODG527" s="1831"/>
      <c r="ODH527" s="1831"/>
      <c r="ODI527" s="1831"/>
      <c r="ODJ527" s="1831"/>
      <c r="ODK527" s="1831"/>
      <c r="ODL527" s="1831"/>
      <c r="ODM527" s="1831"/>
      <c r="ODN527" s="1831"/>
      <c r="ODO527" s="1831"/>
      <c r="ODP527" s="1831"/>
      <c r="ODQ527" s="1831"/>
      <c r="ODR527" s="1831"/>
      <c r="ODS527" s="1831"/>
      <c r="ODT527" s="1831"/>
      <c r="ODU527" s="1831"/>
      <c r="ODV527" s="1831"/>
      <c r="ODW527" s="1831"/>
      <c r="ODX527" s="1831"/>
      <c r="ODY527" s="1831"/>
      <c r="ODZ527" s="1831"/>
      <c r="OEA527" s="1831"/>
      <c r="OEB527" s="1831"/>
      <c r="OEC527" s="1831"/>
      <c r="OED527" s="1831"/>
      <c r="OEE527" s="1831"/>
      <c r="OEF527" s="1831"/>
      <c r="OEG527" s="1831"/>
      <c r="OEH527" s="1831"/>
      <c r="OEI527" s="1831"/>
      <c r="OEJ527" s="1831"/>
      <c r="OEK527" s="1831"/>
      <c r="OEL527" s="1831"/>
      <c r="OEM527" s="1831"/>
      <c r="OEN527" s="1831"/>
      <c r="OEO527" s="1831"/>
      <c r="OEP527" s="1831"/>
      <c r="OEQ527" s="1831"/>
      <c r="OER527" s="1831"/>
      <c r="OES527" s="1831"/>
      <c r="OET527" s="1831"/>
      <c r="OEU527" s="1831"/>
      <c r="OEV527" s="1831"/>
      <c r="OEW527" s="1831"/>
      <c r="OEX527" s="1831"/>
      <c r="OEY527" s="1831"/>
      <c r="OEZ527" s="1831"/>
      <c r="OFA527" s="1831"/>
      <c r="OFB527" s="1831"/>
      <c r="OFC527" s="1831"/>
      <c r="OFD527" s="1831"/>
      <c r="OFE527" s="1831"/>
      <c r="OFF527" s="1831"/>
      <c r="OFG527" s="1831"/>
      <c r="OFH527" s="1831"/>
      <c r="OFI527" s="1831"/>
      <c r="OFJ527" s="1831"/>
      <c r="OFK527" s="1831"/>
      <c r="OFL527" s="1831"/>
      <c r="OFM527" s="1831"/>
      <c r="OFN527" s="1831"/>
      <c r="OFO527" s="1831"/>
      <c r="OFP527" s="1831"/>
      <c r="OFQ527" s="1831"/>
      <c r="OFR527" s="1831"/>
      <c r="OFS527" s="1831"/>
      <c r="OFT527" s="1831"/>
      <c r="OFU527" s="1831"/>
      <c r="OFV527" s="1831"/>
      <c r="OFW527" s="1831"/>
      <c r="OFX527" s="1831"/>
      <c r="OFY527" s="1831"/>
      <c r="OFZ527" s="1831"/>
      <c r="OGA527" s="1831"/>
      <c r="OGB527" s="1831"/>
      <c r="OGC527" s="1831"/>
      <c r="OGD527" s="1831"/>
      <c r="OGE527" s="1831"/>
      <c r="OGF527" s="1831"/>
      <c r="OGG527" s="1831"/>
      <c r="OGH527" s="1831"/>
      <c r="OGI527" s="1831"/>
      <c r="OGJ527" s="1831"/>
      <c r="OGK527" s="1831"/>
      <c r="OGL527" s="1831"/>
      <c r="OGM527" s="1831"/>
      <c r="OGN527" s="1831"/>
      <c r="OGO527" s="1831"/>
      <c r="OGP527" s="1831"/>
      <c r="OGQ527" s="1831"/>
      <c r="OGR527" s="1831"/>
      <c r="OGS527" s="1831"/>
      <c r="OGT527" s="1831"/>
      <c r="OGU527" s="1831"/>
      <c r="OGV527" s="1831"/>
      <c r="OGW527" s="1831"/>
      <c r="OGX527" s="1831"/>
      <c r="OGY527" s="1831"/>
      <c r="OGZ527" s="1831"/>
      <c r="OHA527" s="1831"/>
      <c r="OHB527" s="1831"/>
      <c r="OHC527" s="1831"/>
      <c r="OHD527" s="1831"/>
      <c r="OHE527" s="1831"/>
      <c r="OHF527" s="1831"/>
      <c r="OHG527" s="1831"/>
      <c r="OHH527" s="1831"/>
      <c r="OHI527" s="1831"/>
      <c r="OHJ527" s="1831"/>
      <c r="OHK527" s="1831"/>
      <c r="OHL527" s="1831"/>
      <c r="OHM527" s="1831"/>
      <c r="OHN527" s="1831"/>
      <c r="OHO527" s="1831"/>
      <c r="OHP527" s="1831"/>
      <c r="OHQ527" s="1831"/>
      <c r="OHR527" s="1831"/>
      <c r="OHS527" s="1831"/>
      <c r="OHT527" s="1831"/>
      <c r="OHU527" s="1831"/>
      <c r="OHV527" s="1831"/>
      <c r="OHW527" s="1831"/>
      <c r="OHX527" s="1831"/>
      <c r="OHY527" s="1831"/>
      <c r="OHZ527" s="1831"/>
      <c r="OIA527" s="1831"/>
      <c r="OIB527" s="1831"/>
      <c r="OIC527" s="1831"/>
      <c r="OID527" s="1831"/>
      <c r="OIE527" s="1831"/>
      <c r="OIF527" s="1831"/>
      <c r="OIG527" s="1831"/>
      <c r="OIH527" s="1831"/>
      <c r="OII527" s="1831"/>
      <c r="OIJ527" s="1831"/>
      <c r="OIK527" s="1831"/>
      <c r="OIL527" s="1831"/>
      <c r="OIM527" s="1831"/>
      <c r="OIN527" s="1831"/>
      <c r="OIO527" s="1831"/>
      <c r="OIP527" s="1831"/>
      <c r="OIQ527" s="1831"/>
      <c r="OIR527" s="1831"/>
      <c r="OIS527" s="1831"/>
      <c r="OIT527" s="1831"/>
      <c r="OIU527" s="1831"/>
      <c r="OIV527" s="1831"/>
      <c r="OIW527" s="1831"/>
      <c r="OIX527" s="1831"/>
      <c r="OIY527" s="1831"/>
      <c r="OIZ527" s="1831"/>
      <c r="OJA527" s="1831"/>
      <c r="OJB527" s="1831"/>
      <c r="OJC527" s="1831"/>
      <c r="OJD527" s="1831"/>
      <c r="OJE527" s="1831"/>
      <c r="OJF527" s="1831"/>
      <c r="OJG527" s="1831"/>
      <c r="OJH527" s="1831"/>
      <c r="OJI527" s="1831"/>
      <c r="OJJ527" s="1831"/>
      <c r="OJK527" s="1831"/>
      <c r="OJL527" s="1831"/>
      <c r="OJM527" s="1831"/>
      <c r="OJN527" s="1831"/>
      <c r="OJO527" s="1831"/>
      <c r="OJP527" s="1831"/>
      <c r="OJQ527" s="1831"/>
      <c r="OJR527" s="1831"/>
      <c r="OJS527" s="1831"/>
      <c r="OJT527" s="1831"/>
      <c r="OJU527" s="1831"/>
      <c r="OJV527" s="1831"/>
      <c r="OJW527" s="1831"/>
      <c r="OJX527" s="1831"/>
      <c r="OJY527" s="1831"/>
      <c r="OJZ527" s="1831"/>
      <c r="OKA527" s="1831"/>
      <c r="OKB527" s="1831"/>
      <c r="OKC527" s="1831"/>
      <c r="OKD527" s="1831"/>
      <c r="OKE527" s="1831"/>
      <c r="OKF527" s="1831"/>
      <c r="OKG527" s="1831"/>
      <c r="OKH527" s="1831"/>
      <c r="OKI527" s="1831"/>
      <c r="OKJ527" s="1831"/>
      <c r="OKK527" s="1831"/>
      <c r="OKL527" s="1831"/>
      <c r="OKM527" s="1831"/>
      <c r="OKN527" s="1831"/>
      <c r="OKO527" s="1831"/>
      <c r="OKP527" s="1831"/>
      <c r="OKQ527" s="1831"/>
      <c r="OKR527" s="1831"/>
      <c r="OKS527" s="1831"/>
      <c r="OKT527" s="1831"/>
      <c r="OKU527" s="1831"/>
      <c r="OKV527" s="1831"/>
      <c r="OKW527" s="1831"/>
      <c r="OKX527" s="1831"/>
      <c r="OKY527" s="1831"/>
      <c r="OKZ527" s="1831"/>
      <c r="OLA527" s="1831"/>
      <c r="OLB527" s="1831"/>
      <c r="OLC527" s="1831"/>
      <c r="OLD527" s="1831"/>
      <c r="OLE527" s="1831"/>
      <c r="OLF527" s="1831"/>
      <c r="OLG527" s="1831"/>
      <c r="OLH527" s="1831"/>
      <c r="OLI527" s="1831"/>
      <c r="OLJ527" s="1831"/>
      <c r="OLK527" s="1831"/>
      <c r="OLL527" s="1831"/>
      <c r="OLM527" s="1831"/>
      <c r="OLN527" s="1831"/>
      <c r="OLO527" s="1831"/>
      <c r="OLP527" s="1831"/>
      <c r="OLQ527" s="1831"/>
      <c r="OLR527" s="1831"/>
      <c r="OLS527" s="1831"/>
      <c r="OLT527" s="1831"/>
      <c r="OLU527" s="1831"/>
      <c r="OLV527" s="1831"/>
      <c r="OLW527" s="1831"/>
      <c r="OLX527" s="1831"/>
      <c r="OLY527" s="1831"/>
      <c r="OLZ527" s="1831"/>
      <c r="OMA527" s="1831"/>
      <c r="OMB527" s="1831"/>
      <c r="OMC527" s="1831"/>
      <c r="OMD527" s="1831"/>
      <c r="OME527" s="1831"/>
      <c r="OMF527" s="1831"/>
      <c r="OMG527" s="1831"/>
      <c r="OMH527" s="1831"/>
      <c r="OMI527" s="1831"/>
      <c r="OMJ527" s="1831"/>
      <c r="OMK527" s="1831"/>
      <c r="OML527" s="1831"/>
      <c r="OMM527" s="1831"/>
      <c r="OMN527" s="1831"/>
      <c r="OMO527" s="1831"/>
      <c r="OMP527" s="1831"/>
      <c r="OMQ527" s="1831"/>
      <c r="OMR527" s="1831"/>
      <c r="OMS527" s="1831"/>
      <c r="OMT527" s="1831"/>
      <c r="OMU527" s="1831"/>
      <c r="OMV527" s="1831"/>
      <c r="OMW527" s="1831"/>
      <c r="OMX527" s="1831"/>
      <c r="OMY527" s="1831"/>
      <c r="OMZ527" s="1831"/>
      <c r="ONA527" s="1831"/>
      <c r="ONB527" s="1831"/>
      <c r="ONC527" s="1831"/>
      <c r="OND527" s="1831"/>
      <c r="ONE527" s="1831"/>
      <c r="ONF527" s="1831"/>
      <c r="ONG527" s="1831"/>
      <c r="ONH527" s="1831"/>
      <c r="ONI527" s="1831"/>
      <c r="ONJ527" s="1831"/>
      <c r="ONK527" s="1831"/>
      <c r="ONL527" s="1831"/>
      <c r="ONM527" s="1831"/>
      <c r="ONN527" s="1831"/>
      <c r="ONO527" s="1831"/>
      <c r="ONP527" s="1831"/>
      <c r="ONQ527" s="1831"/>
      <c r="ONR527" s="1831"/>
      <c r="ONS527" s="1831"/>
      <c r="ONT527" s="1831"/>
      <c r="ONU527" s="1831"/>
      <c r="ONV527" s="1831"/>
      <c r="ONW527" s="1831"/>
      <c r="ONX527" s="1831"/>
      <c r="ONY527" s="1831"/>
      <c r="ONZ527" s="1831"/>
      <c r="OOA527" s="1831"/>
      <c r="OOB527" s="1831"/>
      <c r="OOC527" s="1831"/>
      <c r="OOD527" s="1831"/>
      <c r="OOE527" s="1831"/>
      <c r="OOF527" s="1831"/>
      <c r="OOG527" s="1831"/>
      <c r="OOH527" s="1831"/>
      <c r="OOI527" s="1831"/>
      <c r="OOJ527" s="1831"/>
      <c r="OOK527" s="1831"/>
      <c r="OOL527" s="1831"/>
      <c r="OOM527" s="1831"/>
      <c r="OON527" s="1831"/>
      <c r="OOO527" s="1831"/>
      <c r="OOP527" s="1831"/>
      <c r="OOQ527" s="1831"/>
      <c r="OOR527" s="1831"/>
      <c r="OOS527" s="1831"/>
      <c r="OOT527" s="1831"/>
      <c r="OOU527" s="1831"/>
      <c r="OOV527" s="1831"/>
      <c r="OOW527" s="1831"/>
      <c r="OOX527" s="1831"/>
      <c r="OOY527" s="1831"/>
      <c r="OOZ527" s="1831"/>
      <c r="OPA527" s="1831"/>
      <c r="OPB527" s="1831"/>
      <c r="OPC527" s="1831"/>
      <c r="OPD527" s="1831"/>
      <c r="OPE527" s="1831"/>
      <c r="OPF527" s="1831"/>
      <c r="OPG527" s="1831"/>
      <c r="OPH527" s="1831"/>
      <c r="OPI527" s="1831"/>
      <c r="OPJ527" s="1831"/>
      <c r="OPK527" s="1831"/>
      <c r="OPL527" s="1831"/>
      <c r="OPM527" s="1831"/>
      <c r="OPN527" s="1831"/>
      <c r="OPO527" s="1831"/>
      <c r="OPP527" s="1831"/>
      <c r="OPQ527" s="1831"/>
      <c r="OPR527" s="1831"/>
      <c r="OPS527" s="1831"/>
      <c r="OPT527" s="1831"/>
      <c r="OPU527" s="1831"/>
      <c r="OPV527" s="1831"/>
      <c r="OPW527" s="1831"/>
      <c r="OPX527" s="1831"/>
      <c r="OPY527" s="1831"/>
      <c r="OPZ527" s="1831"/>
      <c r="OQA527" s="1831"/>
      <c r="OQB527" s="1831"/>
      <c r="OQC527" s="1831"/>
      <c r="OQD527" s="1831"/>
      <c r="OQE527" s="1831"/>
      <c r="OQF527" s="1831"/>
      <c r="OQG527" s="1831"/>
      <c r="OQH527" s="1831"/>
      <c r="OQI527" s="1831"/>
      <c r="OQJ527" s="1831"/>
      <c r="OQK527" s="1831"/>
      <c r="OQL527" s="1831"/>
      <c r="OQM527" s="1831"/>
      <c r="OQN527" s="1831"/>
      <c r="OQO527" s="1831"/>
      <c r="OQP527" s="1831"/>
      <c r="OQQ527" s="1831"/>
      <c r="OQR527" s="1831"/>
      <c r="OQS527" s="1831"/>
      <c r="OQT527" s="1831"/>
      <c r="OQU527" s="1831"/>
      <c r="OQV527" s="1831"/>
      <c r="OQW527" s="1831"/>
      <c r="OQX527" s="1831"/>
      <c r="OQY527" s="1831"/>
      <c r="OQZ527" s="1831"/>
      <c r="ORA527" s="1831"/>
      <c r="ORB527" s="1831"/>
      <c r="ORC527" s="1831"/>
      <c r="ORD527" s="1831"/>
      <c r="ORE527" s="1831"/>
      <c r="ORF527" s="1831"/>
      <c r="ORG527" s="1831"/>
      <c r="ORH527" s="1831"/>
      <c r="ORI527" s="1831"/>
      <c r="ORJ527" s="1831"/>
      <c r="ORK527" s="1831"/>
      <c r="ORL527" s="1831"/>
      <c r="ORM527" s="1831"/>
      <c r="ORN527" s="1831"/>
      <c r="ORO527" s="1831"/>
      <c r="ORP527" s="1831"/>
      <c r="ORQ527" s="1831"/>
      <c r="ORR527" s="1831"/>
      <c r="ORS527" s="1831"/>
      <c r="ORT527" s="1831"/>
      <c r="ORU527" s="1831"/>
      <c r="ORV527" s="1831"/>
      <c r="ORW527" s="1831"/>
      <c r="ORX527" s="1831"/>
      <c r="ORY527" s="1831"/>
      <c r="ORZ527" s="1831"/>
      <c r="OSA527" s="1831"/>
      <c r="OSB527" s="1831"/>
      <c r="OSC527" s="1831"/>
      <c r="OSD527" s="1831"/>
      <c r="OSE527" s="1831"/>
      <c r="OSF527" s="1831"/>
      <c r="OSG527" s="1831"/>
      <c r="OSH527" s="1831"/>
      <c r="OSI527" s="1831"/>
      <c r="OSJ527" s="1831"/>
      <c r="OSK527" s="1831"/>
      <c r="OSL527" s="1831"/>
      <c r="OSM527" s="1831"/>
      <c r="OSN527" s="1831"/>
      <c r="OSO527" s="1831"/>
      <c r="OSP527" s="1831"/>
      <c r="OSQ527" s="1831"/>
      <c r="OSR527" s="1831"/>
      <c r="OSS527" s="1831"/>
      <c r="OST527" s="1831"/>
      <c r="OSU527" s="1831"/>
      <c r="OSV527" s="1831"/>
      <c r="OSW527" s="1831"/>
      <c r="OSX527" s="1831"/>
      <c r="OSY527" s="1831"/>
      <c r="OSZ527" s="1831"/>
      <c r="OTA527" s="1831"/>
      <c r="OTB527" s="1831"/>
      <c r="OTC527" s="1831"/>
      <c r="OTD527" s="1831"/>
      <c r="OTE527" s="1831"/>
      <c r="OTF527" s="1831"/>
      <c r="OTG527" s="1831"/>
      <c r="OTH527" s="1831"/>
      <c r="OTI527" s="1831"/>
      <c r="OTJ527" s="1831"/>
      <c r="OTK527" s="1831"/>
      <c r="OTL527" s="1831"/>
      <c r="OTM527" s="1831"/>
      <c r="OTN527" s="1831"/>
      <c r="OTO527" s="1831"/>
      <c r="OTP527" s="1831"/>
      <c r="OTQ527" s="1831"/>
      <c r="OTR527" s="1831"/>
      <c r="OTS527" s="1831"/>
      <c r="OTT527" s="1831"/>
      <c r="OTU527" s="1831"/>
      <c r="OTV527" s="1831"/>
      <c r="OTW527" s="1831"/>
      <c r="OTX527" s="1831"/>
      <c r="OTY527" s="1831"/>
      <c r="OTZ527" s="1831"/>
      <c r="OUA527" s="1831"/>
      <c r="OUB527" s="1831"/>
      <c r="OUC527" s="1831"/>
      <c r="OUD527" s="1831"/>
      <c r="OUE527" s="1831"/>
      <c r="OUF527" s="1831"/>
      <c r="OUG527" s="1831"/>
      <c r="OUH527" s="1831"/>
      <c r="OUI527" s="1831"/>
      <c r="OUJ527" s="1831"/>
      <c r="OUK527" s="1831"/>
      <c r="OUL527" s="1831"/>
      <c r="OUM527" s="1831"/>
      <c r="OUN527" s="1831"/>
      <c r="OUO527" s="1831"/>
      <c r="OUP527" s="1831"/>
      <c r="OUQ527" s="1831"/>
      <c r="OUR527" s="1831"/>
      <c r="OUS527" s="1831"/>
      <c r="OUT527" s="1831"/>
      <c r="OUU527" s="1831"/>
      <c r="OUV527" s="1831"/>
      <c r="OUW527" s="1831"/>
      <c r="OUX527" s="1831"/>
      <c r="OUY527" s="1831"/>
      <c r="OUZ527" s="1831"/>
      <c r="OVA527" s="1831"/>
      <c r="OVB527" s="1831"/>
      <c r="OVC527" s="1831"/>
      <c r="OVD527" s="1831"/>
      <c r="OVE527" s="1831"/>
      <c r="OVF527" s="1831"/>
      <c r="OVG527" s="1831"/>
      <c r="OVH527" s="1831"/>
      <c r="OVI527" s="1831"/>
      <c r="OVJ527" s="1831"/>
      <c r="OVK527" s="1831"/>
      <c r="OVL527" s="1831"/>
      <c r="OVM527" s="1831"/>
      <c r="OVN527" s="1831"/>
      <c r="OVO527" s="1831"/>
      <c r="OVP527" s="1831"/>
      <c r="OVQ527" s="1831"/>
      <c r="OVR527" s="1831"/>
      <c r="OVS527" s="1831"/>
      <c r="OVT527" s="1831"/>
      <c r="OVU527" s="1831"/>
      <c r="OVV527" s="1831"/>
      <c r="OVW527" s="1831"/>
      <c r="OVX527" s="1831"/>
      <c r="OVY527" s="1831"/>
      <c r="OVZ527" s="1831"/>
      <c r="OWA527" s="1831"/>
      <c r="OWB527" s="1831"/>
      <c r="OWC527" s="1831"/>
      <c r="OWD527" s="1831"/>
      <c r="OWE527" s="1831"/>
      <c r="OWF527" s="1831"/>
      <c r="OWG527" s="1831"/>
      <c r="OWH527" s="1831"/>
      <c r="OWI527" s="1831"/>
      <c r="OWJ527" s="1831"/>
      <c r="OWK527" s="1831"/>
      <c r="OWL527" s="1831"/>
      <c r="OWM527" s="1831"/>
      <c r="OWN527" s="1831"/>
      <c r="OWO527" s="1831"/>
      <c r="OWP527" s="1831"/>
      <c r="OWQ527" s="1831"/>
      <c r="OWR527" s="1831"/>
      <c r="OWS527" s="1831"/>
      <c r="OWT527" s="1831"/>
      <c r="OWU527" s="1831"/>
      <c r="OWV527" s="1831"/>
      <c r="OWW527" s="1831"/>
      <c r="OWX527" s="1831"/>
      <c r="OWY527" s="1831"/>
      <c r="OWZ527" s="1831"/>
      <c r="OXA527" s="1831"/>
      <c r="OXB527" s="1831"/>
      <c r="OXC527" s="1831"/>
      <c r="OXD527" s="1831"/>
      <c r="OXE527" s="1831"/>
      <c r="OXF527" s="1831"/>
      <c r="OXG527" s="1831"/>
      <c r="OXH527" s="1831"/>
      <c r="OXI527" s="1831"/>
      <c r="OXJ527" s="1831"/>
      <c r="OXK527" s="1831"/>
      <c r="OXL527" s="1831"/>
      <c r="OXM527" s="1831"/>
      <c r="OXN527" s="1831"/>
      <c r="OXO527" s="1831"/>
      <c r="OXP527" s="1831"/>
      <c r="OXQ527" s="1831"/>
      <c r="OXR527" s="1831"/>
      <c r="OXS527" s="1831"/>
      <c r="OXT527" s="1831"/>
      <c r="OXU527" s="1831"/>
      <c r="OXV527" s="1831"/>
      <c r="OXW527" s="1831"/>
      <c r="OXX527" s="1831"/>
      <c r="OXY527" s="1831"/>
      <c r="OXZ527" s="1831"/>
      <c r="OYA527" s="1831"/>
      <c r="OYB527" s="1831"/>
      <c r="OYC527" s="1831"/>
      <c r="OYD527" s="1831"/>
      <c r="OYE527" s="1831"/>
      <c r="OYF527" s="1831"/>
      <c r="OYG527" s="1831"/>
      <c r="OYH527" s="1831"/>
      <c r="OYI527" s="1831"/>
      <c r="OYJ527" s="1831"/>
      <c r="OYK527" s="1831"/>
      <c r="OYL527" s="1831"/>
      <c r="OYM527" s="1831"/>
      <c r="OYN527" s="1831"/>
      <c r="OYO527" s="1831"/>
      <c r="OYP527" s="1831"/>
      <c r="OYQ527" s="1831"/>
      <c r="OYR527" s="1831"/>
      <c r="OYS527" s="1831"/>
      <c r="OYT527" s="1831"/>
      <c r="OYU527" s="1831"/>
      <c r="OYV527" s="1831"/>
      <c r="OYW527" s="1831"/>
      <c r="OYX527" s="1831"/>
      <c r="OYY527" s="1831"/>
      <c r="OYZ527" s="1831"/>
      <c r="OZA527" s="1831"/>
      <c r="OZB527" s="1831"/>
      <c r="OZC527" s="1831"/>
      <c r="OZD527" s="1831"/>
      <c r="OZE527" s="1831"/>
      <c r="OZF527" s="1831"/>
      <c r="OZG527" s="1831"/>
      <c r="OZH527" s="1831"/>
      <c r="OZI527" s="1831"/>
      <c r="OZJ527" s="1831"/>
      <c r="OZK527" s="1831"/>
      <c r="OZL527" s="1831"/>
      <c r="OZM527" s="1831"/>
      <c r="OZN527" s="1831"/>
      <c r="OZO527" s="1831"/>
      <c r="OZP527" s="1831"/>
      <c r="OZQ527" s="1831"/>
      <c r="OZR527" s="1831"/>
      <c r="OZS527" s="1831"/>
      <c r="OZT527" s="1831"/>
      <c r="OZU527" s="1831"/>
      <c r="OZV527" s="1831"/>
      <c r="OZW527" s="1831"/>
      <c r="OZX527" s="1831"/>
      <c r="OZY527" s="1831"/>
      <c r="OZZ527" s="1831"/>
      <c r="PAA527" s="1831"/>
      <c r="PAB527" s="1831"/>
      <c r="PAC527" s="1831"/>
      <c r="PAD527" s="1831"/>
      <c r="PAE527" s="1831"/>
      <c r="PAF527" s="1831"/>
      <c r="PAG527" s="1831"/>
      <c r="PAH527" s="1831"/>
      <c r="PAI527" s="1831"/>
      <c r="PAJ527" s="1831"/>
      <c r="PAK527" s="1831"/>
      <c r="PAL527" s="1831"/>
      <c r="PAM527" s="1831"/>
      <c r="PAN527" s="1831"/>
      <c r="PAO527" s="1831"/>
      <c r="PAP527" s="1831"/>
      <c r="PAQ527" s="1831"/>
      <c r="PAR527" s="1831"/>
      <c r="PAS527" s="1831"/>
      <c r="PAT527" s="1831"/>
      <c r="PAU527" s="1831"/>
      <c r="PAV527" s="1831"/>
      <c r="PAW527" s="1831"/>
      <c r="PAX527" s="1831"/>
      <c r="PAY527" s="1831"/>
      <c r="PAZ527" s="1831"/>
      <c r="PBA527" s="1831"/>
      <c r="PBB527" s="1831"/>
      <c r="PBC527" s="1831"/>
      <c r="PBD527" s="1831"/>
      <c r="PBE527" s="1831"/>
      <c r="PBF527" s="1831"/>
      <c r="PBG527" s="1831"/>
      <c r="PBH527" s="1831"/>
      <c r="PBI527" s="1831"/>
      <c r="PBJ527" s="1831"/>
      <c r="PBK527" s="1831"/>
      <c r="PBL527" s="1831"/>
      <c r="PBM527" s="1831"/>
      <c r="PBN527" s="1831"/>
      <c r="PBO527" s="1831"/>
      <c r="PBP527" s="1831"/>
      <c r="PBQ527" s="1831"/>
      <c r="PBR527" s="1831"/>
      <c r="PBS527" s="1831"/>
      <c r="PBT527" s="1831"/>
      <c r="PBU527" s="1831"/>
      <c r="PBV527" s="1831"/>
      <c r="PBW527" s="1831"/>
      <c r="PBX527" s="1831"/>
      <c r="PBY527" s="1831"/>
      <c r="PBZ527" s="1831"/>
      <c r="PCA527" s="1831"/>
      <c r="PCB527" s="1831"/>
      <c r="PCC527" s="1831"/>
      <c r="PCD527" s="1831"/>
      <c r="PCE527" s="1831"/>
      <c r="PCF527" s="1831"/>
      <c r="PCG527" s="1831"/>
      <c r="PCH527" s="1831"/>
      <c r="PCI527" s="1831"/>
      <c r="PCJ527" s="1831"/>
      <c r="PCK527" s="1831"/>
      <c r="PCL527" s="1831"/>
      <c r="PCM527" s="1831"/>
      <c r="PCN527" s="1831"/>
      <c r="PCO527" s="1831"/>
      <c r="PCP527" s="1831"/>
      <c r="PCQ527" s="1831"/>
      <c r="PCR527" s="1831"/>
      <c r="PCS527" s="1831"/>
      <c r="PCT527" s="1831"/>
      <c r="PCU527" s="1831"/>
      <c r="PCV527" s="1831"/>
      <c r="PCW527" s="1831"/>
      <c r="PCX527" s="1831"/>
      <c r="PCY527" s="1831"/>
      <c r="PCZ527" s="1831"/>
      <c r="PDA527" s="1831"/>
      <c r="PDB527" s="1831"/>
      <c r="PDC527" s="1831"/>
      <c r="PDD527" s="1831"/>
      <c r="PDE527" s="1831"/>
      <c r="PDF527" s="1831"/>
      <c r="PDG527" s="1831"/>
      <c r="PDH527" s="1831"/>
      <c r="PDI527" s="1831"/>
      <c r="PDJ527" s="1831"/>
      <c r="PDK527" s="1831"/>
      <c r="PDL527" s="1831"/>
      <c r="PDM527" s="1831"/>
      <c r="PDN527" s="1831"/>
      <c r="PDO527" s="1831"/>
      <c r="PDP527" s="1831"/>
      <c r="PDQ527" s="1831"/>
      <c r="PDR527" s="1831"/>
      <c r="PDS527" s="1831"/>
      <c r="PDT527" s="1831"/>
      <c r="PDU527" s="1831"/>
      <c r="PDV527" s="1831"/>
      <c r="PDW527" s="1831"/>
      <c r="PDX527" s="1831"/>
      <c r="PDY527" s="1831"/>
      <c r="PDZ527" s="1831"/>
      <c r="PEA527" s="1831"/>
      <c r="PEB527" s="1831"/>
      <c r="PEC527" s="1831"/>
      <c r="PED527" s="1831"/>
      <c r="PEE527" s="1831"/>
      <c r="PEF527" s="1831"/>
      <c r="PEG527" s="1831"/>
      <c r="PEH527" s="1831"/>
      <c r="PEI527" s="1831"/>
      <c r="PEJ527" s="1831"/>
      <c r="PEK527" s="1831"/>
      <c r="PEL527" s="1831"/>
      <c r="PEM527" s="1831"/>
      <c r="PEN527" s="1831"/>
      <c r="PEO527" s="1831"/>
      <c r="PEP527" s="1831"/>
      <c r="PEQ527" s="1831"/>
      <c r="PER527" s="1831"/>
      <c r="PES527" s="1831"/>
      <c r="PET527" s="1831"/>
      <c r="PEU527" s="1831"/>
      <c r="PEV527" s="1831"/>
      <c r="PEW527" s="1831"/>
      <c r="PEX527" s="1831"/>
      <c r="PEY527" s="1831"/>
      <c r="PEZ527" s="1831"/>
      <c r="PFA527" s="1831"/>
      <c r="PFB527" s="1831"/>
      <c r="PFC527" s="1831"/>
      <c r="PFD527" s="1831"/>
      <c r="PFE527" s="1831"/>
      <c r="PFF527" s="1831"/>
      <c r="PFG527" s="1831"/>
      <c r="PFH527" s="1831"/>
      <c r="PFI527" s="1831"/>
      <c r="PFJ527" s="1831"/>
      <c r="PFK527" s="1831"/>
      <c r="PFL527" s="1831"/>
      <c r="PFM527" s="1831"/>
      <c r="PFN527" s="1831"/>
      <c r="PFO527" s="1831"/>
      <c r="PFP527" s="1831"/>
      <c r="PFQ527" s="1831"/>
      <c r="PFR527" s="1831"/>
      <c r="PFS527" s="1831"/>
      <c r="PFT527" s="1831"/>
      <c r="PFU527" s="1831"/>
      <c r="PFV527" s="1831"/>
      <c r="PFW527" s="1831"/>
      <c r="PFX527" s="1831"/>
      <c r="PFY527" s="1831"/>
      <c r="PFZ527" s="1831"/>
      <c r="PGA527" s="1831"/>
      <c r="PGB527" s="1831"/>
      <c r="PGC527" s="1831"/>
      <c r="PGD527" s="1831"/>
      <c r="PGE527" s="1831"/>
      <c r="PGF527" s="1831"/>
      <c r="PGG527" s="1831"/>
      <c r="PGH527" s="1831"/>
      <c r="PGI527" s="1831"/>
      <c r="PGJ527" s="1831"/>
      <c r="PGK527" s="1831"/>
      <c r="PGL527" s="1831"/>
      <c r="PGM527" s="1831"/>
      <c r="PGN527" s="1831"/>
      <c r="PGO527" s="1831"/>
      <c r="PGP527" s="1831"/>
      <c r="PGQ527" s="1831"/>
      <c r="PGR527" s="1831"/>
      <c r="PGS527" s="1831"/>
      <c r="PGT527" s="1831"/>
      <c r="PGU527" s="1831"/>
      <c r="PGV527" s="1831"/>
      <c r="PGW527" s="1831"/>
      <c r="PGX527" s="1831"/>
      <c r="PGY527" s="1831"/>
      <c r="PGZ527" s="1831"/>
      <c r="PHA527" s="1831"/>
      <c r="PHB527" s="1831"/>
      <c r="PHC527" s="1831"/>
      <c r="PHD527" s="1831"/>
      <c r="PHE527" s="1831"/>
      <c r="PHF527" s="1831"/>
      <c r="PHG527" s="1831"/>
      <c r="PHH527" s="1831"/>
      <c r="PHI527" s="1831"/>
      <c r="PHJ527" s="1831"/>
      <c r="PHK527" s="1831"/>
      <c r="PHL527" s="1831"/>
      <c r="PHM527" s="1831"/>
      <c r="PHN527" s="1831"/>
      <c r="PHO527" s="1831"/>
      <c r="PHP527" s="1831"/>
      <c r="PHQ527" s="1831"/>
      <c r="PHR527" s="1831"/>
      <c r="PHS527" s="1831"/>
      <c r="PHT527" s="1831"/>
      <c r="PHU527" s="1831"/>
      <c r="PHV527" s="1831"/>
      <c r="PHW527" s="1831"/>
      <c r="PHX527" s="1831"/>
      <c r="PHY527" s="1831"/>
      <c r="PHZ527" s="1831"/>
      <c r="PIA527" s="1831"/>
      <c r="PIB527" s="1831"/>
      <c r="PIC527" s="1831"/>
      <c r="PID527" s="1831"/>
      <c r="PIE527" s="1831"/>
      <c r="PIF527" s="1831"/>
      <c r="PIG527" s="1831"/>
      <c r="PIH527" s="1831"/>
      <c r="PII527" s="1831"/>
      <c r="PIJ527" s="1831"/>
      <c r="PIK527" s="1831"/>
      <c r="PIL527" s="1831"/>
      <c r="PIM527" s="1831"/>
      <c r="PIN527" s="1831"/>
      <c r="PIO527" s="1831"/>
      <c r="PIP527" s="1831"/>
      <c r="PIQ527" s="1831"/>
      <c r="PIR527" s="1831"/>
      <c r="PIS527" s="1831"/>
      <c r="PIT527" s="1831"/>
      <c r="PIU527" s="1831"/>
      <c r="PIV527" s="1831"/>
      <c r="PIW527" s="1831"/>
      <c r="PIX527" s="1831"/>
      <c r="PIY527" s="1831"/>
      <c r="PIZ527" s="1831"/>
      <c r="PJA527" s="1831"/>
      <c r="PJB527" s="1831"/>
      <c r="PJC527" s="1831"/>
      <c r="PJD527" s="1831"/>
      <c r="PJE527" s="1831"/>
      <c r="PJF527" s="1831"/>
      <c r="PJG527" s="1831"/>
      <c r="PJH527" s="1831"/>
      <c r="PJI527" s="1831"/>
      <c r="PJJ527" s="1831"/>
      <c r="PJK527" s="1831"/>
      <c r="PJL527" s="1831"/>
      <c r="PJM527" s="1831"/>
      <c r="PJN527" s="1831"/>
      <c r="PJO527" s="1831"/>
      <c r="PJP527" s="1831"/>
      <c r="PJQ527" s="1831"/>
      <c r="PJR527" s="1831"/>
      <c r="PJS527" s="1831"/>
      <c r="PJT527" s="1831"/>
      <c r="PJU527" s="1831"/>
      <c r="PJV527" s="1831"/>
      <c r="PJW527" s="1831"/>
      <c r="PJX527" s="1831"/>
      <c r="PJY527" s="1831"/>
      <c r="PJZ527" s="1831"/>
      <c r="PKA527" s="1831"/>
      <c r="PKB527" s="1831"/>
      <c r="PKC527" s="1831"/>
      <c r="PKD527" s="1831"/>
      <c r="PKE527" s="1831"/>
      <c r="PKF527" s="1831"/>
      <c r="PKG527" s="1831"/>
      <c r="PKH527" s="1831"/>
      <c r="PKI527" s="1831"/>
      <c r="PKJ527" s="1831"/>
      <c r="PKK527" s="1831"/>
      <c r="PKL527" s="1831"/>
      <c r="PKM527" s="1831"/>
      <c r="PKN527" s="1831"/>
      <c r="PKO527" s="1831"/>
      <c r="PKP527" s="1831"/>
      <c r="PKQ527" s="1831"/>
      <c r="PKR527" s="1831"/>
      <c r="PKS527" s="1831"/>
      <c r="PKT527" s="1831"/>
      <c r="PKU527" s="1831"/>
      <c r="PKV527" s="1831"/>
      <c r="PKW527" s="1831"/>
      <c r="PKX527" s="1831"/>
      <c r="PKY527" s="1831"/>
      <c r="PKZ527" s="1831"/>
      <c r="PLA527" s="1831"/>
      <c r="PLB527" s="1831"/>
      <c r="PLC527" s="1831"/>
      <c r="PLD527" s="1831"/>
      <c r="PLE527" s="1831"/>
      <c r="PLF527" s="1831"/>
      <c r="PLG527" s="1831"/>
      <c r="PLH527" s="1831"/>
      <c r="PLI527" s="1831"/>
      <c r="PLJ527" s="1831"/>
      <c r="PLK527" s="1831"/>
      <c r="PLL527" s="1831"/>
      <c r="PLM527" s="1831"/>
      <c r="PLN527" s="1831"/>
      <c r="PLO527" s="1831"/>
      <c r="PLP527" s="1831"/>
      <c r="PLQ527" s="1831"/>
      <c r="PLR527" s="1831"/>
      <c r="PLS527" s="1831"/>
      <c r="PLT527" s="1831"/>
      <c r="PLU527" s="1831"/>
      <c r="PLV527" s="1831"/>
      <c r="PLW527" s="1831"/>
      <c r="PLX527" s="1831"/>
      <c r="PLY527" s="1831"/>
      <c r="PLZ527" s="1831"/>
      <c r="PMA527" s="1831"/>
      <c r="PMB527" s="1831"/>
      <c r="PMC527" s="1831"/>
      <c r="PMD527" s="1831"/>
      <c r="PME527" s="1831"/>
      <c r="PMF527" s="1831"/>
      <c r="PMG527" s="1831"/>
      <c r="PMH527" s="1831"/>
      <c r="PMI527" s="1831"/>
      <c r="PMJ527" s="1831"/>
      <c r="PMK527" s="1831"/>
      <c r="PML527" s="1831"/>
      <c r="PMM527" s="1831"/>
      <c r="PMN527" s="1831"/>
      <c r="PMO527" s="1831"/>
      <c r="PMP527" s="1831"/>
      <c r="PMQ527" s="1831"/>
      <c r="PMR527" s="1831"/>
      <c r="PMS527" s="1831"/>
      <c r="PMT527" s="1831"/>
      <c r="PMU527" s="1831"/>
      <c r="PMV527" s="1831"/>
      <c r="PMW527" s="1831"/>
      <c r="PMX527" s="1831"/>
      <c r="PMY527" s="1831"/>
      <c r="PMZ527" s="1831"/>
      <c r="PNA527" s="1831"/>
      <c r="PNB527" s="1831"/>
      <c r="PNC527" s="1831"/>
      <c r="PND527" s="1831"/>
      <c r="PNE527" s="1831"/>
      <c r="PNF527" s="1831"/>
      <c r="PNG527" s="1831"/>
      <c r="PNH527" s="1831"/>
      <c r="PNI527" s="1831"/>
      <c r="PNJ527" s="1831"/>
      <c r="PNK527" s="1831"/>
      <c r="PNL527" s="1831"/>
      <c r="PNM527" s="1831"/>
      <c r="PNN527" s="1831"/>
      <c r="PNO527" s="1831"/>
      <c r="PNP527" s="1831"/>
      <c r="PNQ527" s="1831"/>
      <c r="PNR527" s="1831"/>
      <c r="PNS527" s="1831"/>
      <c r="PNT527" s="1831"/>
      <c r="PNU527" s="1831"/>
      <c r="PNV527" s="1831"/>
      <c r="PNW527" s="1831"/>
      <c r="PNX527" s="1831"/>
      <c r="PNY527" s="1831"/>
      <c r="PNZ527" s="1831"/>
      <c r="POA527" s="1831"/>
      <c r="POB527" s="1831"/>
      <c r="POC527" s="1831"/>
      <c r="POD527" s="1831"/>
      <c r="POE527" s="1831"/>
      <c r="POF527" s="1831"/>
      <c r="POG527" s="1831"/>
      <c r="POH527" s="1831"/>
      <c r="POI527" s="1831"/>
      <c r="POJ527" s="1831"/>
      <c r="POK527" s="1831"/>
      <c r="POL527" s="1831"/>
      <c r="POM527" s="1831"/>
      <c r="PON527" s="1831"/>
      <c r="POO527" s="1831"/>
      <c r="POP527" s="1831"/>
      <c r="POQ527" s="1831"/>
      <c r="POR527" s="1831"/>
      <c r="POS527" s="1831"/>
      <c r="POT527" s="1831"/>
      <c r="POU527" s="1831"/>
      <c r="POV527" s="1831"/>
      <c r="POW527" s="1831"/>
      <c r="POX527" s="1831"/>
      <c r="POY527" s="1831"/>
      <c r="POZ527" s="1831"/>
      <c r="PPA527" s="1831"/>
      <c r="PPB527" s="1831"/>
      <c r="PPC527" s="1831"/>
      <c r="PPD527" s="1831"/>
      <c r="PPE527" s="1831"/>
      <c r="PPF527" s="1831"/>
      <c r="PPG527" s="1831"/>
      <c r="PPH527" s="1831"/>
      <c r="PPI527" s="1831"/>
      <c r="PPJ527" s="1831"/>
      <c r="PPK527" s="1831"/>
      <c r="PPL527" s="1831"/>
      <c r="PPM527" s="1831"/>
      <c r="PPN527" s="1831"/>
      <c r="PPO527" s="1831"/>
      <c r="PPP527" s="1831"/>
      <c r="PPQ527" s="1831"/>
      <c r="PPR527" s="1831"/>
      <c r="PPS527" s="1831"/>
      <c r="PPT527" s="1831"/>
      <c r="PPU527" s="1831"/>
      <c r="PPV527" s="1831"/>
      <c r="PPW527" s="1831"/>
      <c r="PPX527" s="1831"/>
      <c r="PPY527" s="1831"/>
      <c r="PPZ527" s="1831"/>
      <c r="PQA527" s="1831"/>
      <c r="PQB527" s="1831"/>
      <c r="PQC527" s="1831"/>
      <c r="PQD527" s="1831"/>
      <c r="PQE527" s="1831"/>
      <c r="PQF527" s="1831"/>
      <c r="PQG527" s="1831"/>
      <c r="PQH527" s="1831"/>
      <c r="PQI527" s="1831"/>
      <c r="PQJ527" s="1831"/>
      <c r="PQK527" s="1831"/>
      <c r="PQL527" s="1831"/>
      <c r="PQM527" s="1831"/>
      <c r="PQN527" s="1831"/>
      <c r="PQO527" s="1831"/>
      <c r="PQP527" s="1831"/>
      <c r="PQQ527" s="1831"/>
      <c r="PQR527" s="1831"/>
      <c r="PQS527" s="1831"/>
      <c r="PQT527" s="1831"/>
      <c r="PQU527" s="1831"/>
      <c r="PQV527" s="1831"/>
      <c r="PQW527" s="1831"/>
      <c r="PQX527" s="1831"/>
      <c r="PQY527" s="1831"/>
      <c r="PQZ527" s="1831"/>
      <c r="PRA527" s="1831"/>
      <c r="PRB527" s="1831"/>
      <c r="PRC527" s="1831"/>
      <c r="PRD527" s="1831"/>
      <c r="PRE527" s="1831"/>
      <c r="PRF527" s="1831"/>
      <c r="PRG527" s="1831"/>
      <c r="PRH527" s="1831"/>
      <c r="PRI527" s="1831"/>
      <c r="PRJ527" s="1831"/>
      <c r="PRK527" s="1831"/>
      <c r="PRL527" s="1831"/>
      <c r="PRM527" s="1831"/>
      <c r="PRN527" s="1831"/>
      <c r="PRO527" s="1831"/>
      <c r="PRP527" s="1831"/>
      <c r="PRQ527" s="1831"/>
      <c r="PRR527" s="1831"/>
      <c r="PRS527" s="1831"/>
      <c r="PRT527" s="1831"/>
      <c r="PRU527" s="1831"/>
      <c r="PRV527" s="1831"/>
      <c r="PRW527" s="1831"/>
      <c r="PRX527" s="1831"/>
      <c r="PRY527" s="1831"/>
      <c r="PRZ527" s="1831"/>
      <c r="PSA527" s="1831"/>
      <c r="PSB527" s="1831"/>
      <c r="PSC527" s="1831"/>
      <c r="PSD527" s="1831"/>
      <c r="PSE527" s="1831"/>
      <c r="PSF527" s="1831"/>
      <c r="PSG527" s="1831"/>
      <c r="PSH527" s="1831"/>
      <c r="PSI527" s="1831"/>
      <c r="PSJ527" s="1831"/>
      <c r="PSK527" s="1831"/>
      <c r="PSL527" s="1831"/>
      <c r="PSM527" s="1831"/>
      <c r="PSN527" s="1831"/>
      <c r="PSO527" s="1831"/>
      <c r="PSP527" s="1831"/>
      <c r="PSQ527" s="1831"/>
      <c r="PSR527" s="1831"/>
      <c r="PSS527" s="1831"/>
      <c r="PST527" s="1831"/>
      <c r="PSU527" s="1831"/>
      <c r="PSV527" s="1831"/>
      <c r="PSW527" s="1831"/>
      <c r="PSX527" s="1831"/>
      <c r="PSY527" s="1831"/>
      <c r="PSZ527" s="1831"/>
      <c r="PTA527" s="1831"/>
      <c r="PTB527" s="1831"/>
      <c r="PTC527" s="1831"/>
      <c r="PTD527" s="1831"/>
      <c r="PTE527" s="1831"/>
      <c r="PTF527" s="1831"/>
      <c r="PTG527" s="1831"/>
      <c r="PTH527" s="1831"/>
      <c r="PTI527" s="1831"/>
      <c r="PTJ527" s="1831"/>
      <c r="PTK527" s="1831"/>
      <c r="PTL527" s="1831"/>
      <c r="PTM527" s="1831"/>
      <c r="PTN527" s="1831"/>
      <c r="PTO527" s="1831"/>
      <c r="PTP527" s="1831"/>
      <c r="PTQ527" s="1831"/>
      <c r="PTR527" s="1831"/>
      <c r="PTS527" s="1831"/>
      <c r="PTT527" s="1831"/>
      <c r="PTU527" s="1831"/>
      <c r="PTV527" s="1831"/>
      <c r="PTW527" s="1831"/>
      <c r="PTX527" s="1831"/>
      <c r="PTY527" s="1831"/>
      <c r="PTZ527" s="1831"/>
      <c r="PUA527" s="1831"/>
      <c r="PUB527" s="1831"/>
      <c r="PUC527" s="1831"/>
      <c r="PUD527" s="1831"/>
      <c r="PUE527" s="1831"/>
      <c r="PUF527" s="1831"/>
      <c r="PUG527" s="1831"/>
      <c r="PUH527" s="1831"/>
      <c r="PUI527" s="1831"/>
      <c r="PUJ527" s="1831"/>
      <c r="PUK527" s="1831"/>
      <c r="PUL527" s="1831"/>
      <c r="PUM527" s="1831"/>
      <c r="PUN527" s="1831"/>
      <c r="PUO527" s="1831"/>
      <c r="PUP527" s="1831"/>
      <c r="PUQ527" s="1831"/>
      <c r="PUR527" s="1831"/>
      <c r="PUS527" s="1831"/>
      <c r="PUT527" s="1831"/>
      <c r="PUU527" s="1831"/>
      <c r="PUV527" s="1831"/>
      <c r="PUW527" s="1831"/>
      <c r="PUX527" s="1831"/>
      <c r="PUY527" s="1831"/>
      <c r="PUZ527" s="1831"/>
      <c r="PVA527" s="1831"/>
      <c r="PVB527" s="1831"/>
      <c r="PVC527" s="1831"/>
      <c r="PVD527" s="1831"/>
      <c r="PVE527" s="1831"/>
      <c r="PVF527" s="1831"/>
      <c r="PVG527" s="1831"/>
      <c r="PVH527" s="1831"/>
      <c r="PVI527" s="1831"/>
      <c r="PVJ527" s="1831"/>
      <c r="PVK527" s="1831"/>
      <c r="PVL527" s="1831"/>
      <c r="PVM527" s="1831"/>
      <c r="PVN527" s="1831"/>
      <c r="PVO527" s="1831"/>
      <c r="PVP527" s="1831"/>
      <c r="PVQ527" s="1831"/>
      <c r="PVR527" s="1831"/>
      <c r="PVS527" s="1831"/>
      <c r="PVT527" s="1831"/>
      <c r="PVU527" s="1831"/>
      <c r="PVV527" s="1831"/>
      <c r="PVW527" s="1831"/>
      <c r="PVX527" s="1831"/>
      <c r="PVY527" s="1831"/>
      <c r="PVZ527" s="1831"/>
      <c r="PWA527" s="1831"/>
      <c r="PWB527" s="1831"/>
      <c r="PWC527" s="1831"/>
      <c r="PWD527" s="1831"/>
      <c r="PWE527" s="1831"/>
      <c r="PWF527" s="1831"/>
      <c r="PWG527" s="1831"/>
      <c r="PWH527" s="1831"/>
      <c r="PWI527" s="1831"/>
      <c r="PWJ527" s="1831"/>
      <c r="PWK527" s="1831"/>
      <c r="PWL527" s="1831"/>
      <c r="PWM527" s="1831"/>
      <c r="PWN527" s="1831"/>
      <c r="PWO527" s="1831"/>
      <c r="PWP527" s="1831"/>
      <c r="PWQ527" s="1831"/>
      <c r="PWR527" s="1831"/>
      <c r="PWS527" s="1831"/>
      <c r="PWT527" s="1831"/>
      <c r="PWU527" s="1831"/>
      <c r="PWV527" s="1831"/>
      <c r="PWW527" s="1831"/>
      <c r="PWX527" s="1831"/>
      <c r="PWY527" s="1831"/>
      <c r="PWZ527" s="1831"/>
      <c r="PXA527" s="1831"/>
      <c r="PXB527" s="1831"/>
      <c r="PXC527" s="1831"/>
      <c r="PXD527" s="1831"/>
      <c r="PXE527" s="1831"/>
      <c r="PXF527" s="1831"/>
      <c r="PXG527" s="1831"/>
      <c r="PXH527" s="1831"/>
      <c r="PXI527" s="1831"/>
      <c r="PXJ527" s="1831"/>
      <c r="PXK527" s="1831"/>
      <c r="PXL527" s="1831"/>
      <c r="PXM527" s="1831"/>
      <c r="PXN527" s="1831"/>
      <c r="PXO527" s="1831"/>
      <c r="PXP527" s="1831"/>
      <c r="PXQ527" s="1831"/>
      <c r="PXR527" s="1831"/>
      <c r="PXS527" s="1831"/>
      <c r="PXT527" s="1831"/>
      <c r="PXU527" s="1831"/>
      <c r="PXV527" s="1831"/>
      <c r="PXW527" s="1831"/>
      <c r="PXX527" s="1831"/>
      <c r="PXY527" s="1831"/>
      <c r="PXZ527" s="1831"/>
      <c r="PYA527" s="1831"/>
      <c r="PYB527" s="1831"/>
      <c r="PYC527" s="1831"/>
      <c r="PYD527" s="1831"/>
      <c r="PYE527" s="1831"/>
      <c r="PYF527" s="1831"/>
      <c r="PYG527" s="1831"/>
      <c r="PYH527" s="1831"/>
      <c r="PYI527" s="1831"/>
      <c r="PYJ527" s="1831"/>
      <c r="PYK527" s="1831"/>
      <c r="PYL527" s="1831"/>
      <c r="PYM527" s="1831"/>
      <c r="PYN527" s="1831"/>
      <c r="PYO527" s="1831"/>
      <c r="PYP527" s="1831"/>
      <c r="PYQ527" s="1831"/>
      <c r="PYR527" s="1831"/>
      <c r="PYS527" s="1831"/>
      <c r="PYT527" s="1831"/>
      <c r="PYU527" s="1831"/>
      <c r="PYV527" s="1831"/>
      <c r="PYW527" s="1831"/>
      <c r="PYX527" s="1831"/>
      <c r="PYY527" s="1831"/>
      <c r="PYZ527" s="1831"/>
      <c r="PZA527" s="1831"/>
      <c r="PZB527" s="1831"/>
      <c r="PZC527" s="1831"/>
      <c r="PZD527" s="1831"/>
      <c r="PZE527" s="1831"/>
      <c r="PZF527" s="1831"/>
      <c r="PZG527" s="1831"/>
      <c r="PZH527" s="1831"/>
      <c r="PZI527" s="1831"/>
      <c r="PZJ527" s="1831"/>
      <c r="PZK527" s="1831"/>
      <c r="PZL527" s="1831"/>
      <c r="PZM527" s="1831"/>
      <c r="PZN527" s="1831"/>
      <c r="PZO527" s="1831"/>
      <c r="PZP527" s="1831"/>
      <c r="PZQ527" s="1831"/>
      <c r="PZR527" s="1831"/>
      <c r="PZS527" s="1831"/>
      <c r="PZT527" s="1831"/>
      <c r="PZU527" s="1831"/>
      <c r="PZV527" s="1831"/>
      <c r="PZW527" s="1831"/>
      <c r="PZX527" s="1831"/>
      <c r="PZY527" s="1831"/>
      <c r="PZZ527" s="1831"/>
      <c r="QAA527" s="1831"/>
      <c r="QAB527" s="1831"/>
      <c r="QAC527" s="1831"/>
      <c r="QAD527" s="1831"/>
      <c r="QAE527" s="1831"/>
      <c r="QAF527" s="1831"/>
      <c r="QAG527" s="1831"/>
      <c r="QAH527" s="1831"/>
      <c r="QAI527" s="1831"/>
      <c r="QAJ527" s="1831"/>
      <c r="QAK527" s="1831"/>
      <c r="QAL527" s="1831"/>
      <c r="QAM527" s="1831"/>
      <c r="QAN527" s="1831"/>
      <c r="QAO527" s="1831"/>
      <c r="QAP527" s="1831"/>
      <c r="QAQ527" s="1831"/>
      <c r="QAR527" s="1831"/>
      <c r="QAS527" s="1831"/>
      <c r="QAT527" s="1831"/>
      <c r="QAU527" s="1831"/>
      <c r="QAV527" s="1831"/>
      <c r="QAW527" s="1831"/>
      <c r="QAX527" s="1831"/>
      <c r="QAY527" s="1831"/>
      <c r="QAZ527" s="1831"/>
      <c r="QBA527" s="1831"/>
      <c r="QBB527" s="1831"/>
      <c r="QBC527" s="1831"/>
      <c r="QBD527" s="1831"/>
      <c r="QBE527" s="1831"/>
      <c r="QBF527" s="1831"/>
      <c r="QBG527" s="1831"/>
      <c r="QBH527" s="1831"/>
      <c r="QBI527" s="1831"/>
      <c r="QBJ527" s="1831"/>
      <c r="QBK527" s="1831"/>
      <c r="QBL527" s="1831"/>
      <c r="QBM527" s="1831"/>
      <c r="QBN527" s="1831"/>
      <c r="QBO527" s="1831"/>
      <c r="QBP527" s="1831"/>
      <c r="QBQ527" s="1831"/>
      <c r="QBR527" s="1831"/>
      <c r="QBS527" s="1831"/>
      <c r="QBT527" s="1831"/>
      <c r="QBU527" s="1831"/>
      <c r="QBV527" s="1831"/>
      <c r="QBW527" s="1831"/>
      <c r="QBX527" s="1831"/>
      <c r="QBY527" s="1831"/>
      <c r="QBZ527" s="1831"/>
      <c r="QCA527" s="1831"/>
      <c r="QCB527" s="1831"/>
      <c r="QCC527" s="1831"/>
      <c r="QCD527" s="1831"/>
      <c r="QCE527" s="1831"/>
      <c r="QCF527" s="1831"/>
      <c r="QCG527" s="1831"/>
      <c r="QCH527" s="1831"/>
      <c r="QCI527" s="1831"/>
      <c r="QCJ527" s="1831"/>
      <c r="QCK527" s="1831"/>
      <c r="QCL527" s="1831"/>
      <c r="QCM527" s="1831"/>
      <c r="QCN527" s="1831"/>
      <c r="QCO527" s="1831"/>
      <c r="QCP527" s="1831"/>
      <c r="QCQ527" s="1831"/>
      <c r="QCR527" s="1831"/>
      <c r="QCS527" s="1831"/>
      <c r="QCT527" s="1831"/>
      <c r="QCU527" s="1831"/>
      <c r="QCV527" s="1831"/>
      <c r="QCW527" s="1831"/>
      <c r="QCX527" s="1831"/>
      <c r="QCY527" s="1831"/>
      <c r="QCZ527" s="1831"/>
      <c r="QDA527" s="1831"/>
      <c r="QDB527" s="1831"/>
      <c r="QDC527" s="1831"/>
      <c r="QDD527" s="1831"/>
      <c r="QDE527" s="1831"/>
      <c r="QDF527" s="1831"/>
      <c r="QDG527" s="1831"/>
      <c r="QDH527" s="1831"/>
      <c r="QDI527" s="1831"/>
      <c r="QDJ527" s="1831"/>
      <c r="QDK527" s="1831"/>
      <c r="QDL527" s="1831"/>
      <c r="QDM527" s="1831"/>
      <c r="QDN527" s="1831"/>
      <c r="QDO527" s="1831"/>
      <c r="QDP527" s="1831"/>
      <c r="QDQ527" s="1831"/>
      <c r="QDR527" s="1831"/>
      <c r="QDS527" s="1831"/>
      <c r="QDT527" s="1831"/>
      <c r="QDU527" s="1831"/>
      <c r="QDV527" s="1831"/>
      <c r="QDW527" s="1831"/>
      <c r="QDX527" s="1831"/>
      <c r="QDY527" s="1831"/>
      <c r="QDZ527" s="1831"/>
      <c r="QEA527" s="1831"/>
      <c r="QEB527" s="1831"/>
      <c r="QEC527" s="1831"/>
      <c r="QED527" s="1831"/>
      <c r="QEE527" s="1831"/>
      <c r="QEF527" s="1831"/>
      <c r="QEG527" s="1831"/>
      <c r="QEH527" s="1831"/>
      <c r="QEI527" s="1831"/>
      <c r="QEJ527" s="1831"/>
      <c r="QEK527" s="1831"/>
      <c r="QEL527" s="1831"/>
      <c r="QEM527" s="1831"/>
      <c r="QEN527" s="1831"/>
      <c r="QEO527" s="1831"/>
      <c r="QEP527" s="1831"/>
      <c r="QEQ527" s="1831"/>
      <c r="QER527" s="1831"/>
      <c r="QES527" s="1831"/>
      <c r="QET527" s="1831"/>
      <c r="QEU527" s="1831"/>
      <c r="QEV527" s="1831"/>
      <c r="QEW527" s="1831"/>
      <c r="QEX527" s="1831"/>
      <c r="QEY527" s="1831"/>
      <c r="QEZ527" s="1831"/>
      <c r="QFA527" s="1831"/>
      <c r="QFB527" s="1831"/>
      <c r="QFC527" s="1831"/>
      <c r="QFD527" s="1831"/>
      <c r="QFE527" s="1831"/>
      <c r="QFF527" s="1831"/>
      <c r="QFG527" s="1831"/>
      <c r="QFH527" s="1831"/>
      <c r="QFI527" s="1831"/>
      <c r="QFJ527" s="1831"/>
      <c r="QFK527" s="1831"/>
      <c r="QFL527" s="1831"/>
      <c r="QFM527" s="1831"/>
      <c r="QFN527" s="1831"/>
      <c r="QFO527" s="1831"/>
      <c r="QFP527" s="1831"/>
      <c r="QFQ527" s="1831"/>
      <c r="QFR527" s="1831"/>
      <c r="QFS527" s="1831"/>
      <c r="QFT527" s="1831"/>
      <c r="QFU527" s="1831"/>
      <c r="QFV527" s="1831"/>
      <c r="QFW527" s="1831"/>
      <c r="QFX527" s="1831"/>
      <c r="QFY527" s="1831"/>
      <c r="QFZ527" s="1831"/>
      <c r="QGA527" s="1831"/>
      <c r="QGB527" s="1831"/>
      <c r="QGC527" s="1831"/>
      <c r="QGD527" s="1831"/>
      <c r="QGE527" s="1831"/>
      <c r="QGF527" s="1831"/>
      <c r="QGG527" s="1831"/>
      <c r="QGH527" s="1831"/>
      <c r="QGI527" s="1831"/>
      <c r="QGJ527" s="1831"/>
      <c r="QGK527" s="1831"/>
      <c r="QGL527" s="1831"/>
      <c r="QGM527" s="1831"/>
      <c r="QGN527" s="1831"/>
      <c r="QGO527" s="1831"/>
      <c r="QGP527" s="1831"/>
      <c r="QGQ527" s="1831"/>
      <c r="QGR527" s="1831"/>
      <c r="QGS527" s="1831"/>
      <c r="QGT527" s="1831"/>
      <c r="QGU527" s="1831"/>
      <c r="QGV527" s="1831"/>
      <c r="QGW527" s="1831"/>
      <c r="QGX527" s="1831"/>
      <c r="QGY527" s="1831"/>
      <c r="QGZ527" s="1831"/>
      <c r="QHA527" s="1831"/>
      <c r="QHB527" s="1831"/>
      <c r="QHC527" s="1831"/>
      <c r="QHD527" s="1831"/>
      <c r="QHE527" s="1831"/>
      <c r="QHF527" s="1831"/>
      <c r="QHG527" s="1831"/>
      <c r="QHH527" s="1831"/>
      <c r="QHI527" s="1831"/>
      <c r="QHJ527" s="1831"/>
      <c r="QHK527" s="1831"/>
      <c r="QHL527" s="1831"/>
      <c r="QHM527" s="1831"/>
      <c r="QHN527" s="1831"/>
      <c r="QHO527" s="1831"/>
      <c r="QHP527" s="1831"/>
      <c r="QHQ527" s="1831"/>
      <c r="QHR527" s="1831"/>
      <c r="QHS527" s="1831"/>
      <c r="QHT527" s="1831"/>
      <c r="QHU527" s="1831"/>
      <c r="QHV527" s="1831"/>
      <c r="QHW527" s="1831"/>
      <c r="QHX527" s="1831"/>
      <c r="QHY527" s="1831"/>
      <c r="QHZ527" s="1831"/>
      <c r="QIA527" s="1831"/>
      <c r="QIB527" s="1831"/>
      <c r="QIC527" s="1831"/>
      <c r="QID527" s="1831"/>
      <c r="QIE527" s="1831"/>
      <c r="QIF527" s="1831"/>
      <c r="QIG527" s="1831"/>
      <c r="QIH527" s="1831"/>
      <c r="QII527" s="1831"/>
      <c r="QIJ527" s="1831"/>
      <c r="QIK527" s="1831"/>
      <c r="QIL527" s="1831"/>
      <c r="QIM527" s="1831"/>
      <c r="QIN527" s="1831"/>
      <c r="QIO527" s="1831"/>
      <c r="QIP527" s="1831"/>
      <c r="QIQ527" s="1831"/>
      <c r="QIR527" s="1831"/>
      <c r="QIS527" s="1831"/>
      <c r="QIT527" s="1831"/>
      <c r="QIU527" s="1831"/>
      <c r="QIV527" s="1831"/>
      <c r="QIW527" s="1831"/>
      <c r="QIX527" s="1831"/>
      <c r="QIY527" s="1831"/>
      <c r="QIZ527" s="1831"/>
      <c r="QJA527" s="1831"/>
      <c r="QJB527" s="1831"/>
      <c r="QJC527" s="1831"/>
      <c r="QJD527" s="1831"/>
      <c r="QJE527" s="1831"/>
      <c r="QJF527" s="1831"/>
      <c r="QJG527" s="1831"/>
      <c r="QJH527" s="1831"/>
      <c r="QJI527" s="1831"/>
      <c r="QJJ527" s="1831"/>
      <c r="QJK527" s="1831"/>
      <c r="QJL527" s="1831"/>
      <c r="QJM527" s="1831"/>
      <c r="QJN527" s="1831"/>
      <c r="QJO527" s="1831"/>
      <c r="QJP527" s="1831"/>
      <c r="QJQ527" s="1831"/>
      <c r="QJR527" s="1831"/>
      <c r="QJS527" s="1831"/>
      <c r="QJT527" s="1831"/>
      <c r="QJU527" s="1831"/>
      <c r="QJV527" s="1831"/>
      <c r="QJW527" s="1831"/>
      <c r="QJX527" s="1831"/>
      <c r="QJY527" s="1831"/>
      <c r="QJZ527" s="1831"/>
      <c r="QKA527" s="1831"/>
      <c r="QKB527" s="1831"/>
      <c r="QKC527" s="1831"/>
      <c r="QKD527" s="1831"/>
      <c r="QKE527" s="1831"/>
      <c r="QKF527" s="1831"/>
      <c r="QKG527" s="1831"/>
      <c r="QKH527" s="1831"/>
      <c r="QKI527" s="1831"/>
      <c r="QKJ527" s="1831"/>
      <c r="QKK527" s="1831"/>
      <c r="QKL527" s="1831"/>
      <c r="QKM527" s="1831"/>
      <c r="QKN527" s="1831"/>
      <c r="QKO527" s="1831"/>
      <c r="QKP527" s="1831"/>
      <c r="QKQ527" s="1831"/>
      <c r="QKR527" s="1831"/>
      <c r="QKS527" s="1831"/>
      <c r="QKT527" s="1831"/>
      <c r="QKU527" s="1831"/>
      <c r="QKV527" s="1831"/>
      <c r="QKW527" s="1831"/>
      <c r="QKX527" s="1831"/>
      <c r="QKY527" s="1831"/>
      <c r="QKZ527" s="1831"/>
      <c r="QLA527" s="1831"/>
      <c r="QLB527" s="1831"/>
      <c r="QLC527" s="1831"/>
      <c r="QLD527" s="1831"/>
      <c r="QLE527" s="1831"/>
      <c r="QLF527" s="1831"/>
      <c r="QLG527" s="1831"/>
      <c r="QLH527" s="1831"/>
      <c r="QLI527" s="1831"/>
      <c r="QLJ527" s="1831"/>
      <c r="QLK527" s="1831"/>
      <c r="QLL527" s="1831"/>
      <c r="QLM527" s="1831"/>
      <c r="QLN527" s="1831"/>
      <c r="QLO527" s="1831"/>
      <c r="QLP527" s="1831"/>
      <c r="QLQ527" s="1831"/>
      <c r="QLR527" s="1831"/>
      <c r="QLS527" s="1831"/>
      <c r="QLT527" s="1831"/>
      <c r="QLU527" s="1831"/>
      <c r="QLV527" s="1831"/>
      <c r="QLW527" s="1831"/>
      <c r="QLX527" s="1831"/>
      <c r="QLY527" s="1831"/>
      <c r="QLZ527" s="1831"/>
      <c r="QMA527" s="1831"/>
      <c r="QMB527" s="1831"/>
      <c r="QMC527" s="1831"/>
      <c r="QMD527" s="1831"/>
      <c r="QME527" s="1831"/>
      <c r="QMF527" s="1831"/>
      <c r="QMG527" s="1831"/>
      <c r="QMH527" s="1831"/>
      <c r="QMI527" s="1831"/>
      <c r="QMJ527" s="1831"/>
      <c r="QMK527" s="1831"/>
      <c r="QML527" s="1831"/>
      <c r="QMM527" s="1831"/>
      <c r="QMN527" s="1831"/>
      <c r="QMO527" s="1831"/>
      <c r="QMP527" s="1831"/>
      <c r="QMQ527" s="1831"/>
      <c r="QMR527" s="1831"/>
      <c r="QMS527" s="1831"/>
      <c r="QMT527" s="1831"/>
      <c r="QMU527" s="1831"/>
      <c r="QMV527" s="1831"/>
      <c r="QMW527" s="1831"/>
      <c r="QMX527" s="1831"/>
      <c r="QMY527" s="1831"/>
      <c r="QMZ527" s="1831"/>
      <c r="QNA527" s="1831"/>
      <c r="QNB527" s="1831"/>
      <c r="QNC527" s="1831"/>
      <c r="QND527" s="1831"/>
      <c r="QNE527" s="1831"/>
      <c r="QNF527" s="1831"/>
      <c r="QNG527" s="1831"/>
      <c r="QNH527" s="1831"/>
      <c r="QNI527" s="1831"/>
      <c r="QNJ527" s="1831"/>
      <c r="QNK527" s="1831"/>
      <c r="QNL527" s="1831"/>
      <c r="QNM527" s="1831"/>
      <c r="QNN527" s="1831"/>
      <c r="QNO527" s="1831"/>
      <c r="QNP527" s="1831"/>
      <c r="QNQ527" s="1831"/>
      <c r="QNR527" s="1831"/>
      <c r="QNS527" s="1831"/>
      <c r="QNT527" s="1831"/>
      <c r="QNU527" s="1831"/>
      <c r="QNV527" s="1831"/>
      <c r="QNW527" s="1831"/>
      <c r="QNX527" s="1831"/>
      <c r="QNY527" s="1831"/>
      <c r="QNZ527" s="1831"/>
      <c r="QOA527" s="1831"/>
      <c r="QOB527" s="1831"/>
      <c r="QOC527" s="1831"/>
      <c r="QOD527" s="1831"/>
      <c r="QOE527" s="1831"/>
      <c r="QOF527" s="1831"/>
      <c r="QOG527" s="1831"/>
      <c r="QOH527" s="1831"/>
      <c r="QOI527" s="1831"/>
      <c r="QOJ527" s="1831"/>
      <c r="QOK527" s="1831"/>
      <c r="QOL527" s="1831"/>
      <c r="QOM527" s="1831"/>
      <c r="QON527" s="1831"/>
      <c r="QOO527" s="1831"/>
      <c r="QOP527" s="1831"/>
      <c r="QOQ527" s="1831"/>
      <c r="QOR527" s="1831"/>
      <c r="QOS527" s="1831"/>
      <c r="QOT527" s="1831"/>
      <c r="QOU527" s="1831"/>
      <c r="QOV527" s="1831"/>
      <c r="QOW527" s="1831"/>
      <c r="QOX527" s="1831"/>
      <c r="QOY527" s="1831"/>
      <c r="QOZ527" s="1831"/>
      <c r="QPA527" s="1831"/>
      <c r="QPB527" s="1831"/>
      <c r="QPC527" s="1831"/>
      <c r="QPD527" s="1831"/>
      <c r="QPE527" s="1831"/>
      <c r="QPF527" s="1831"/>
      <c r="QPG527" s="1831"/>
      <c r="QPH527" s="1831"/>
      <c r="QPI527" s="1831"/>
      <c r="QPJ527" s="1831"/>
      <c r="QPK527" s="1831"/>
      <c r="QPL527" s="1831"/>
      <c r="QPM527" s="1831"/>
      <c r="QPN527" s="1831"/>
      <c r="QPO527" s="1831"/>
      <c r="QPP527" s="1831"/>
      <c r="QPQ527" s="1831"/>
      <c r="QPR527" s="1831"/>
      <c r="QPS527" s="1831"/>
      <c r="QPT527" s="1831"/>
      <c r="QPU527" s="1831"/>
      <c r="QPV527" s="1831"/>
      <c r="QPW527" s="1831"/>
      <c r="QPX527" s="1831"/>
      <c r="QPY527" s="1831"/>
      <c r="QPZ527" s="1831"/>
      <c r="QQA527" s="1831"/>
      <c r="QQB527" s="1831"/>
      <c r="QQC527" s="1831"/>
      <c r="QQD527" s="1831"/>
      <c r="QQE527" s="1831"/>
      <c r="QQF527" s="1831"/>
      <c r="QQG527" s="1831"/>
      <c r="QQH527" s="1831"/>
      <c r="QQI527" s="1831"/>
      <c r="QQJ527" s="1831"/>
      <c r="QQK527" s="1831"/>
      <c r="QQL527" s="1831"/>
      <c r="QQM527" s="1831"/>
      <c r="QQN527" s="1831"/>
      <c r="QQO527" s="1831"/>
      <c r="QQP527" s="1831"/>
      <c r="QQQ527" s="1831"/>
      <c r="QQR527" s="1831"/>
      <c r="QQS527" s="1831"/>
      <c r="QQT527" s="1831"/>
      <c r="QQU527" s="1831"/>
      <c r="QQV527" s="1831"/>
      <c r="QQW527" s="1831"/>
      <c r="QQX527" s="1831"/>
      <c r="QQY527" s="1831"/>
      <c r="QQZ527" s="1831"/>
      <c r="QRA527" s="1831"/>
      <c r="QRB527" s="1831"/>
      <c r="QRC527" s="1831"/>
      <c r="QRD527" s="1831"/>
      <c r="QRE527" s="1831"/>
      <c r="QRF527" s="1831"/>
      <c r="QRG527" s="1831"/>
      <c r="QRH527" s="1831"/>
      <c r="QRI527" s="1831"/>
      <c r="QRJ527" s="1831"/>
      <c r="QRK527" s="1831"/>
      <c r="QRL527" s="1831"/>
      <c r="QRM527" s="1831"/>
      <c r="QRN527" s="1831"/>
      <c r="QRO527" s="1831"/>
      <c r="QRP527" s="1831"/>
      <c r="QRQ527" s="1831"/>
      <c r="QRR527" s="1831"/>
      <c r="QRS527" s="1831"/>
      <c r="QRT527" s="1831"/>
      <c r="QRU527" s="1831"/>
      <c r="QRV527" s="1831"/>
      <c r="QRW527" s="1831"/>
      <c r="QRX527" s="1831"/>
      <c r="QRY527" s="1831"/>
      <c r="QRZ527" s="1831"/>
      <c r="QSA527" s="1831"/>
      <c r="QSB527" s="1831"/>
      <c r="QSC527" s="1831"/>
      <c r="QSD527" s="1831"/>
      <c r="QSE527" s="1831"/>
      <c r="QSF527" s="1831"/>
      <c r="QSG527" s="1831"/>
      <c r="QSH527" s="1831"/>
      <c r="QSI527" s="1831"/>
      <c r="QSJ527" s="1831"/>
      <c r="QSK527" s="1831"/>
      <c r="QSL527" s="1831"/>
      <c r="QSM527" s="1831"/>
      <c r="QSN527" s="1831"/>
      <c r="QSO527" s="1831"/>
      <c r="QSP527" s="1831"/>
      <c r="QSQ527" s="1831"/>
      <c r="QSR527" s="1831"/>
      <c r="QSS527" s="1831"/>
      <c r="QST527" s="1831"/>
      <c r="QSU527" s="1831"/>
      <c r="QSV527" s="1831"/>
      <c r="QSW527" s="1831"/>
      <c r="QSX527" s="1831"/>
      <c r="QSY527" s="1831"/>
      <c r="QSZ527" s="1831"/>
      <c r="QTA527" s="1831"/>
      <c r="QTB527" s="1831"/>
      <c r="QTC527" s="1831"/>
      <c r="QTD527" s="1831"/>
      <c r="QTE527" s="1831"/>
      <c r="QTF527" s="1831"/>
      <c r="QTG527" s="1831"/>
      <c r="QTH527" s="1831"/>
      <c r="QTI527" s="1831"/>
      <c r="QTJ527" s="1831"/>
      <c r="QTK527" s="1831"/>
      <c r="QTL527" s="1831"/>
      <c r="QTM527" s="1831"/>
      <c r="QTN527" s="1831"/>
      <c r="QTO527" s="1831"/>
      <c r="QTP527" s="1831"/>
      <c r="QTQ527" s="1831"/>
      <c r="QTR527" s="1831"/>
      <c r="QTS527" s="1831"/>
      <c r="QTT527" s="1831"/>
      <c r="QTU527" s="1831"/>
      <c r="QTV527" s="1831"/>
      <c r="QTW527" s="1831"/>
      <c r="QTX527" s="1831"/>
      <c r="QTY527" s="1831"/>
      <c r="QTZ527" s="1831"/>
      <c r="QUA527" s="1831"/>
      <c r="QUB527" s="1831"/>
      <c r="QUC527" s="1831"/>
      <c r="QUD527" s="1831"/>
      <c r="QUE527" s="1831"/>
      <c r="QUF527" s="1831"/>
      <c r="QUG527" s="1831"/>
      <c r="QUH527" s="1831"/>
      <c r="QUI527" s="1831"/>
      <c r="QUJ527" s="1831"/>
      <c r="QUK527" s="1831"/>
      <c r="QUL527" s="1831"/>
      <c r="QUM527" s="1831"/>
      <c r="QUN527" s="1831"/>
      <c r="QUO527" s="1831"/>
      <c r="QUP527" s="1831"/>
      <c r="QUQ527" s="1831"/>
      <c r="QUR527" s="1831"/>
      <c r="QUS527" s="1831"/>
      <c r="QUT527" s="1831"/>
      <c r="QUU527" s="1831"/>
      <c r="QUV527" s="1831"/>
      <c r="QUW527" s="1831"/>
      <c r="QUX527" s="1831"/>
      <c r="QUY527" s="1831"/>
      <c r="QUZ527" s="1831"/>
      <c r="QVA527" s="1831"/>
      <c r="QVB527" s="1831"/>
      <c r="QVC527" s="1831"/>
      <c r="QVD527" s="1831"/>
      <c r="QVE527" s="1831"/>
      <c r="QVF527" s="1831"/>
      <c r="QVG527" s="1831"/>
      <c r="QVH527" s="1831"/>
      <c r="QVI527" s="1831"/>
      <c r="QVJ527" s="1831"/>
      <c r="QVK527" s="1831"/>
      <c r="QVL527" s="1831"/>
      <c r="QVM527" s="1831"/>
      <c r="QVN527" s="1831"/>
      <c r="QVO527" s="1831"/>
      <c r="QVP527" s="1831"/>
      <c r="QVQ527" s="1831"/>
      <c r="QVR527" s="1831"/>
      <c r="QVS527" s="1831"/>
      <c r="QVT527" s="1831"/>
      <c r="QVU527" s="1831"/>
      <c r="QVV527" s="1831"/>
      <c r="QVW527" s="1831"/>
      <c r="QVX527" s="1831"/>
      <c r="QVY527" s="1831"/>
      <c r="QVZ527" s="1831"/>
      <c r="QWA527" s="1831"/>
      <c r="QWB527" s="1831"/>
      <c r="QWC527" s="1831"/>
      <c r="QWD527" s="1831"/>
      <c r="QWE527" s="1831"/>
      <c r="QWF527" s="1831"/>
      <c r="QWG527" s="1831"/>
      <c r="QWH527" s="1831"/>
      <c r="QWI527" s="1831"/>
      <c r="QWJ527" s="1831"/>
      <c r="QWK527" s="1831"/>
      <c r="QWL527" s="1831"/>
      <c r="QWM527" s="1831"/>
      <c r="QWN527" s="1831"/>
      <c r="QWO527" s="1831"/>
      <c r="QWP527" s="1831"/>
      <c r="QWQ527" s="1831"/>
      <c r="QWR527" s="1831"/>
      <c r="QWS527" s="1831"/>
      <c r="QWT527" s="1831"/>
      <c r="QWU527" s="1831"/>
      <c r="QWV527" s="1831"/>
      <c r="QWW527" s="1831"/>
      <c r="QWX527" s="1831"/>
      <c r="QWY527" s="1831"/>
      <c r="QWZ527" s="1831"/>
      <c r="QXA527" s="1831"/>
      <c r="QXB527" s="1831"/>
      <c r="QXC527" s="1831"/>
      <c r="QXD527" s="1831"/>
      <c r="QXE527" s="1831"/>
      <c r="QXF527" s="1831"/>
      <c r="QXG527" s="1831"/>
      <c r="QXH527" s="1831"/>
      <c r="QXI527" s="1831"/>
      <c r="QXJ527" s="1831"/>
      <c r="QXK527" s="1831"/>
      <c r="QXL527" s="1831"/>
      <c r="QXM527" s="1831"/>
      <c r="QXN527" s="1831"/>
      <c r="QXO527" s="1831"/>
      <c r="QXP527" s="1831"/>
      <c r="QXQ527" s="1831"/>
      <c r="QXR527" s="1831"/>
      <c r="QXS527" s="1831"/>
      <c r="QXT527" s="1831"/>
      <c r="QXU527" s="1831"/>
      <c r="QXV527" s="1831"/>
      <c r="QXW527" s="1831"/>
      <c r="QXX527" s="1831"/>
      <c r="QXY527" s="1831"/>
      <c r="QXZ527" s="1831"/>
      <c r="QYA527" s="1831"/>
      <c r="QYB527" s="1831"/>
      <c r="QYC527" s="1831"/>
      <c r="QYD527" s="1831"/>
      <c r="QYE527" s="1831"/>
      <c r="QYF527" s="1831"/>
      <c r="QYG527" s="1831"/>
      <c r="QYH527" s="1831"/>
      <c r="QYI527" s="1831"/>
      <c r="QYJ527" s="1831"/>
      <c r="QYK527" s="1831"/>
      <c r="QYL527" s="1831"/>
      <c r="QYM527" s="1831"/>
      <c r="QYN527" s="1831"/>
      <c r="QYO527" s="1831"/>
      <c r="QYP527" s="1831"/>
      <c r="QYQ527" s="1831"/>
      <c r="QYR527" s="1831"/>
      <c r="QYS527" s="1831"/>
      <c r="QYT527" s="1831"/>
      <c r="QYU527" s="1831"/>
      <c r="QYV527" s="1831"/>
      <c r="QYW527" s="1831"/>
      <c r="QYX527" s="1831"/>
      <c r="QYY527" s="1831"/>
      <c r="QYZ527" s="1831"/>
      <c r="QZA527" s="1831"/>
      <c r="QZB527" s="1831"/>
      <c r="QZC527" s="1831"/>
      <c r="QZD527" s="1831"/>
      <c r="QZE527" s="1831"/>
      <c r="QZF527" s="1831"/>
      <c r="QZG527" s="1831"/>
      <c r="QZH527" s="1831"/>
      <c r="QZI527" s="1831"/>
      <c r="QZJ527" s="1831"/>
      <c r="QZK527" s="1831"/>
      <c r="QZL527" s="1831"/>
      <c r="QZM527" s="1831"/>
      <c r="QZN527" s="1831"/>
      <c r="QZO527" s="1831"/>
      <c r="QZP527" s="1831"/>
      <c r="QZQ527" s="1831"/>
      <c r="QZR527" s="1831"/>
      <c r="QZS527" s="1831"/>
      <c r="QZT527" s="1831"/>
      <c r="QZU527" s="1831"/>
      <c r="QZV527" s="1831"/>
      <c r="QZW527" s="1831"/>
      <c r="QZX527" s="1831"/>
      <c r="QZY527" s="1831"/>
      <c r="QZZ527" s="1831"/>
      <c r="RAA527" s="1831"/>
      <c r="RAB527" s="1831"/>
      <c r="RAC527" s="1831"/>
      <c r="RAD527" s="1831"/>
      <c r="RAE527" s="1831"/>
      <c r="RAF527" s="1831"/>
      <c r="RAG527" s="1831"/>
      <c r="RAH527" s="1831"/>
      <c r="RAI527" s="1831"/>
      <c r="RAJ527" s="1831"/>
      <c r="RAK527" s="1831"/>
      <c r="RAL527" s="1831"/>
      <c r="RAM527" s="1831"/>
      <c r="RAN527" s="1831"/>
      <c r="RAO527" s="1831"/>
      <c r="RAP527" s="1831"/>
      <c r="RAQ527" s="1831"/>
      <c r="RAR527" s="1831"/>
      <c r="RAS527" s="1831"/>
      <c r="RAT527" s="1831"/>
      <c r="RAU527" s="1831"/>
      <c r="RAV527" s="1831"/>
      <c r="RAW527" s="1831"/>
      <c r="RAX527" s="1831"/>
      <c r="RAY527" s="1831"/>
      <c r="RAZ527" s="1831"/>
      <c r="RBA527" s="1831"/>
      <c r="RBB527" s="1831"/>
      <c r="RBC527" s="1831"/>
      <c r="RBD527" s="1831"/>
      <c r="RBE527" s="1831"/>
      <c r="RBF527" s="1831"/>
      <c r="RBG527" s="1831"/>
      <c r="RBH527" s="1831"/>
      <c r="RBI527" s="1831"/>
      <c r="RBJ527" s="1831"/>
      <c r="RBK527" s="1831"/>
      <c r="RBL527" s="1831"/>
      <c r="RBM527" s="1831"/>
      <c r="RBN527" s="1831"/>
      <c r="RBO527" s="1831"/>
      <c r="RBP527" s="1831"/>
      <c r="RBQ527" s="1831"/>
      <c r="RBR527" s="1831"/>
      <c r="RBS527" s="1831"/>
      <c r="RBT527" s="1831"/>
      <c r="RBU527" s="1831"/>
      <c r="RBV527" s="1831"/>
      <c r="RBW527" s="1831"/>
      <c r="RBX527" s="1831"/>
      <c r="RBY527" s="1831"/>
      <c r="RBZ527" s="1831"/>
      <c r="RCA527" s="1831"/>
      <c r="RCB527" s="1831"/>
      <c r="RCC527" s="1831"/>
      <c r="RCD527" s="1831"/>
      <c r="RCE527" s="1831"/>
      <c r="RCF527" s="1831"/>
      <c r="RCG527" s="1831"/>
      <c r="RCH527" s="1831"/>
      <c r="RCI527" s="1831"/>
      <c r="RCJ527" s="1831"/>
      <c r="RCK527" s="1831"/>
      <c r="RCL527" s="1831"/>
      <c r="RCM527" s="1831"/>
      <c r="RCN527" s="1831"/>
      <c r="RCO527" s="1831"/>
      <c r="RCP527" s="1831"/>
      <c r="RCQ527" s="1831"/>
      <c r="RCR527" s="1831"/>
      <c r="RCS527" s="1831"/>
      <c r="RCT527" s="1831"/>
      <c r="RCU527" s="1831"/>
      <c r="RCV527" s="1831"/>
      <c r="RCW527" s="1831"/>
      <c r="RCX527" s="1831"/>
      <c r="RCY527" s="1831"/>
      <c r="RCZ527" s="1831"/>
      <c r="RDA527" s="1831"/>
      <c r="RDB527" s="1831"/>
      <c r="RDC527" s="1831"/>
      <c r="RDD527" s="1831"/>
      <c r="RDE527" s="1831"/>
      <c r="RDF527" s="1831"/>
      <c r="RDG527" s="1831"/>
      <c r="RDH527" s="1831"/>
      <c r="RDI527" s="1831"/>
      <c r="RDJ527" s="1831"/>
      <c r="RDK527" s="1831"/>
      <c r="RDL527" s="1831"/>
      <c r="RDM527" s="1831"/>
      <c r="RDN527" s="1831"/>
      <c r="RDO527" s="1831"/>
      <c r="RDP527" s="1831"/>
      <c r="RDQ527" s="1831"/>
      <c r="RDR527" s="1831"/>
      <c r="RDS527" s="1831"/>
      <c r="RDT527" s="1831"/>
      <c r="RDU527" s="1831"/>
      <c r="RDV527" s="1831"/>
      <c r="RDW527" s="1831"/>
      <c r="RDX527" s="1831"/>
      <c r="RDY527" s="1831"/>
      <c r="RDZ527" s="1831"/>
      <c r="REA527" s="1831"/>
      <c r="REB527" s="1831"/>
      <c r="REC527" s="1831"/>
      <c r="RED527" s="1831"/>
      <c r="REE527" s="1831"/>
      <c r="REF527" s="1831"/>
      <c r="REG527" s="1831"/>
      <c r="REH527" s="1831"/>
      <c r="REI527" s="1831"/>
      <c r="REJ527" s="1831"/>
      <c r="REK527" s="1831"/>
      <c r="REL527" s="1831"/>
      <c r="REM527" s="1831"/>
      <c r="REN527" s="1831"/>
      <c r="REO527" s="1831"/>
      <c r="REP527" s="1831"/>
      <c r="REQ527" s="1831"/>
      <c r="RER527" s="1831"/>
      <c r="RES527" s="1831"/>
      <c r="RET527" s="1831"/>
      <c r="REU527" s="1831"/>
      <c r="REV527" s="1831"/>
      <c r="REW527" s="1831"/>
      <c r="REX527" s="1831"/>
      <c r="REY527" s="1831"/>
      <c r="REZ527" s="1831"/>
      <c r="RFA527" s="1831"/>
      <c r="RFB527" s="1831"/>
      <c r="RFC527" s="1831"/>
      <c r="RFD527" s="1831"/>
      <c r="RFE527" s="1831"/>
      <c r="RFF527" s="1831"/>
      <c r="RFG527" s="1831"/>
      <c r="RFH527" s="1831"/>
      <c r="RFI527" s="1831"/>
      <c r="RFJ527" s="1831"/>
      <c r="RFK527" s="1831"/>
      <c r="RFL527" s="1831"/>
      <c r="RFM527" s="1831"/>
      <c r="RFN527" s="1831"/>
      <c r="RFO527" s="1831"/>
      <c r="RFP527" s="1831"/>
      <c r="RFQ527" s="1831"/>
      <c r="RFR527" s="1831"/>
      <c r="RFS527" s="1831"/>
      <c r="RFT527" s="1831"/>
      <c r="RFU527" s="1831"/>
      <c r="RFV527" s="1831"/>
      <c r="RFW527" s="1831"/>
      <c r="RFX527" s="1831"/>
      <c r="RFY527" s="1831"/>
      <c r="RFZ527" s="1831"/>
      <c r="RGA527" s="1831"/>
      <c r="RGB527" s="1831"/>
      <c r="RGC527" s="1831"/>
      <c r="RGD527" s="1831"/>
      <c r="RGE527" s="1831"/>
      <c r="RGF527" s="1831"/>
      <c r="RGG527" s="1831"/>
      <c r="RGH527" s="1831"/>
      <c r="RGI527" s="1831"/>
      <c r="RGJ527" s="1831"/>
      <c r="RGK527" s="1831"/>
      <c r="RGL527" s="1831"/>
      <c r="RGM527" s="1831"/>
      <c r="RGN527" s="1831"/>
      <c r="RGO527" s="1831"/>
      <c r="RGP527" s="1831"/>
      <c r="RGQ527" s="1831"/>
      <c r="RGR527" s="1831"/>
      <c r="RGS527" s="1831"/>
      <c r="RGT527" s="1831"/>
      <c r="RGU527" s="1831"/>
      <c r="RGV527" s="1831"/>
      <c r="RGW527" s="1831"/>
      <c r="RGX527" s="1831"/>
      <c r="RGY527" s="1831"/>
      <c r="RGZ527" s="1831"/>
      <c r="RHA527" s="1831"/>
      <c r="RHB527" s="1831"/>
      <c r="RHC527" s="1831"/>
      <c r="RHD527" s="1831"/>
      <c r="RHE527" s="1831"/>
      <c r="RHF527" s="1831"/>
      <c r="RHG527" s="1831"/>
      <c r="RHH527" s="1831"/>
      <c r="RHI527" s="1831"/>
      <c r="RHJ527" s="1831"/>
      <c r="RHK527" s="1831"/>
      <c r="RHL527" s="1831"/>
      <c r="RHM527" s="1831"/>
      <c r="RHN527" s="1831"/>
      <c r="RHO527" s="1831"/>
      <c r="RHP527" s="1831"/>
      <c r="RHQ527" s="1831"/>
      <c r="RHR527" s="1831"/>
      <c r="RHS527" s="1831"/>
      <c r="RHT527" s="1831"/>
      <c r="RHU527" s="1831"/>
      <c r="RHV527" s="1831"/>
      <c r="RHW527" s="1831"/>
      <c r="RHX527" s="1831"/>
      <c r="RHY527" s="1831"/>
      <c r="RHZ527" s="1831"/>
      <c r="RIA527" s="1831"/>
      <c r="RIB527" s="1831"/>
      <c r="RIC527" s="1831"/>
      <c r="RID527" s="1831"/>
      <c r="RIE527" s="1831"/>
      <c r="RIF527" s="1831"/>
      <c r="RIG527" s="1831"/>
      <c r="RIH527" s="1831"/>
      <c r="RII527" s="1831"/>
      <c r="RIJ527" s="1831"/>
      <c r="RIK527" s="1831"/>
      <c r="RIL527" s="1831"/>
      <c r="RIM527" s="1831"/>
      <c r="RIN527" s="1831"/>
      <c r="RIO527" s="1831"/>
      <c r="RIP527" s="1831"/>
      <c r="RIQ527" s="1831"/>
      <c r="RIR527" s="1831"/>
      <c r="RIS527" s="1831"/>
      <c r="RIT527" s="1831"/>
      <c r="RIU527" s="1831"/>
      <c r="RIV527" s="1831"/>
      <c r="RIW527" s="1831"/>
      <c r="RIX527" s="1831"/>
      <c r="RIY527" s="1831"/>
      <c r="RIZ527" s="1831"/>
      <c r="RJA527" s="1831"/>
      <c r="RJB527" s="1831"/>
      <c r="RJC527" s="1831"/>
      <c r="RJD527" s="1831"/>
      <c r="RJE527" s="1831"/>
      <c r="RJF527" s="1831"/>
      <c r="RJG527" s="1831"/>
      <c r="RJH527" s="1831"/>
      <c r="RJI527" s="1831"/>
      <c r="RJJ527" s="1831"/>
      <c r="RJK527" s="1831"/>
      <c r="RJL527" s="1831"/>
      <c r="RJM527" s="1831"/>
      <c r="RJN527" s="1831"/>
      <c r="RJO527" s="1831"/>
      <c r="RJP527" s="1831"/>
      <c r="RJQ527" s="1831"/>
      <c r="RJR527" s="1831"/>
      <c r="RJS527" s="1831"/>
      <c r="RJT527" s="1831"/>
      <c r="RJU527" s="1831"/>
      <c r="RJV527" s="1831"/>
      <c r="RJW527" s="1831"/>
      <c r="RJX527" s="1831"/>
      <c r="RJY527" s="1831"/>
      <c r="RJZ527" s="1831"/>
      <c r="RKA527" s="1831"/>
      <c r="RKB527" s="1831"/>
      <c r="RKC527" s="1831"/>
      <c r="RKD527" s="1831"/>
      <c r="RKE527" s="1831"/>
      <c r="RKF527" s="1831"/>
      <c r="RKG527" s="1831"/>
      <c r="RKH527" s="1831"/>
      <c r="RKI527" s="1831"/>
      <c r="RKJ527" s="1831"/>
      <c r="RKK527" s="1831"/>
      <c r="RKL527" s="1831"/>
      <c r="RKM527" s="1831"/>
      <c r="RKN527" s="1831"/>
      <c r="RKO527" s="1831"/>
      <c r="RKP527" s="1831"/>
      <c r="RKQ527" s="1831"/>
      <c r="RKR527" s="1831"/>
      <c r="RKS527" s="1831"/>
      <c r="RKT527" s="1831"/>
      <c r="RKU527" s="1831"/>
      <c r="RKV527" s="1831"/>
      <c r="RKW527" s="1831"/>
      <c r="RKX527" s="1831"/>
      <c r="RKY527" s="1831"/>
      <c r="RKZ527" s="1831"/>
      <c r="RLA527" s="1831"/>
      <c r="RLB527" s="1831"/>
      <c r="RLC527" s="1831"/>
      <c r="RLD527" s="1831"/>
      <c r="RLE527" s="1831"/>
      <c r="RLF527" s="1831"/>
      <c r="RLG527" s="1831"/>
      <c r="RLH527" s="1831"/>
      <c r="RLI527" s="1831"/>
      <c r="RLJ527" s="1831"/>
      <c r="RLK527" s="1831"/>
      <c r="RLL527" s="1831"/>
      <c r="RLM527" s="1831"/>
      <c r="RLN527" s="1831"/>
      <c r="RLO527" s="1831"/>
      <c r="RLP527" s="1831"/>
      <c r="RLQ527" s="1831"/>
      <c r="RLR527" s="1831"/>
      <c r="RLS527" s="1831"/>
      <c r="RLT527" s="1831"/>
      <c r="RLU527" s="1831"/>
      <c r="RLV527" s="1831"/>
      <c r="RLW527" s="1831"/>
      <c r="RLX527" s="1831"/>
      <c r="RLY527" s="1831"/>
      <c r="RLZ527" s="1831"/>
      <c r="RMA527" s="1831"/>
      <c r="RMB527" s="1831"/>
      <c r="RMC527" s="1831"/>
      <c r="RMD527" s="1831"/>
      <c r="RME527" s="1831"/>
      <c r="RMF527" s="1831"/>
      <c r="RMG527" s="1831"/>
      <c r="RMH527" s="1831"/>
      <c r="RMI527" s="1831"/>
      <c r="RMJ527" s="1831"/>
      <c r="RMK527" s="1831"/>
      <c r="RML527" s="1831"/>
      <c r="RMM527" s="1831"/>
      <c r="RMN527" s="1831"/>
      <c r="RMO527" s="1831"/>
      <c r="RMP527" s="1831"/>
      <c r="RMQ527" s="1831"/>
      <c r="RMR527" s="1831"/>
      <c r="RMS527" s="1831"/>
      <c r="RMT527" s="1831"/>
      <c r="RMU527" s="1831"/>
      <c r="RMV527" s="1831"/>
      <c r="RMW527" s="1831"/>
      <c r="RMX527" s="1831"/>
      <c r="RMY527" s="1831"/>
      <c r="RMZ527" s="1831"/>
      <c r="RNA527" s="1831"/>
      <c r="RNB527" s="1831"/>
      <c r="RNC527" s="1831"/>
      <c r="RND527" s="1831"/>
      <c r="RNE527" s="1831"/>
      <c r="RNF527" s="1831"/>
      <c r="RNG527" s="1831"/>
      <c r="RNH527" s="1831"/>
      <c r="RNI527" s="1831"/>
      <c r="RNJ527" s="1831"/>
      <c r="RNK527" s="1831"/>
      <c r="RNL527" s="1831"/>
      <c r="RNM527" s="1831"/>
      <c r="RNN527" s="1831"/>
      <c r="RNO527" s="1831"/>
      <c r="RNP527" s="1831"/>
      <c r="RNQ527" s="1831"/>
      <c r="RNR527" s="1831"/>
      <c r="RNS527" s="1831"/>
      <c r="RNT527" s="1831"/>
      <c r="RNU527" s="1831"/>
      <c r="RNV527" s="1831"/>
      <c r="RNW527" s="1831"/>
      <c r="RNX527" s="1831"/>
      <c r="RNY527" s="1831"/>
      <c r="RNZ527" s="1831"/>
      <c r="ROA527" s="1831"/>
      <c r="ROB527" s="1831"/>
      <c r="ROC527" s="1831"/>
      <c r="ROD527" s="1831"/>
      <c r="ROE527" s="1831"/>
      <c r="ROF527" s="1831"/>
      <c r="ROG527" s="1831"/>
      <c r="ROH527" s="1831"/>
      <c r="ROI527" s="1831"/>
      <c r="ROJ527" s="1831"/>
      <c r="ROK527" s="1831"/>
      <c r="ROL527" s="1831"/>
      <c r="ROM527" s="1831"/>
      <c r="RON527" s="1831"/>
      <c r="ROO527" s="1831"/>
      <c r="ROP527" s="1831"/>
      <c r="ROQ527" s="1831"/>
      <c r="ROR527" s="1831"/>
      <c r="ROS527" s="1831"/>
      <c r="ROT527" s="1831"/>
      <c r="ROU527" s="1831"/>
      <c r="ROV527" s="1831"/>
      <c r="ROW527" s="1831"/>
      <c r="ROX527" s="1831"/>
      <c r="ROY527" s="1831"/>
      <c r="ROZ527" s="1831"/>
      <c r="RPA527" s="1831"/>
      <c r="RPB527" s="1831"/>
      <c r="RPC527" s="1831"/>
      <c r="RPD527" s="1831"/>
      <c r="RPE527" s="1831"/>
      <c r="RPF527" s="1831"/>
      <c r="RPG527" s="1831"/>
      <c r="RPH527" s="1831"/>
      <c r="RPI527" s="1831"/>
      <c r="RPJ527" s="1831"/>
      <c r="RPK527" s="1831"/>
      <c r="RPL527" s="1831"/>
      <c r="RPM527" s="1831"/>
      <c r="RPN527" s="1831"/>
      <c r="RPO527" s="1831"/>
      <c r="RPP527" s="1831"/>
      <c r="RPQ527" s="1831"/>
      <c r="RPR527" s="1831"/>
      <c r="RPS527" s="1831"/>
      <c r="RPT527" s="1831"/>
      <c r="RPU527" s="1831"/>
      <c r="RPV527" s="1831"/>
      <c r="RPW527" s="1831"/>
      <c r="RPX527" s="1831"/>
      <c r="RPY527" s="1831"/>
      <c r="RPZ527" s="1831"/>
      <c r="RQA527" s="1831"/>
      <c r="RQB527" s="1831"/>
      <c r="RQC527" s="1831"/>
      <c r="RQD527" s="1831"/>
      <c r="RQE527" s="1831"/>
      <c r="RQF527" s="1831"/>
      <c r="RQG527" s="1831"/>
      <c r="RQH527" s="1831"/>
      <c r="RQI527" s="1831"/>
      <c r="RQJ527" s="1831"/>
      <c r="RQK527" s="1831"/>
      <c r="RQL527" s="1831"/>
      <c r="RQM527" s="1831"/>
      <c r="RQN527" s="1831"/>
      <c r="RQO527" s="1831"/>
      <c r="RQP527" s="1831"/>
      <c r="RQQ527" s="1831"/>
      <c r="RQR527" s="1831"/>
      <c r="RQS527" s="1831"/>
      <c r="RQT527" s="1831"/>
      <c r="RQU527" s="1831"/>
      <c r="RQV527" s="1831"/>
      <c r="RQW527" s="1831"/>
      <c r="RQX527" s="1831"/>
      <c r="RQY527" s="1831"/>
      <c r="RQZ527" s="1831"/>
      <c r="RRA527" s="1831"/>
      <c r="RRB527" s="1831"/>
      <c r="RRC527" s="1831"/>
      <c r="RRD527" s="1831"/>
      <c r="RRE527" s="1831"/>
      <c r="RRF527" s="1831"/>
      <c r="RRG527" s="1831"/>
      <c r="RRH527" s="1831"/>
      <c r="RRI527" s="1831"/>
      <c r="RRJ527" s="1831"/>
      <c r="RRK527" s="1831"/>
      <c r="RRL527" s="1831"/>
      <c r="RRM527" s="1831"/>
      <c r="RRN527" s="1831"/>
      <c r="RRO527" s="1831"/>
      <c r="RRP527" s="1831"/>
      <c r="RRQ527" s="1831"/>
      <c r="RRR527" s="1831"/>
      <c r="RRS527" s="1831"/>
      <c r="RRT527" s="1831"/>
      <c r="RRU527" s="1831"/>
      <c r="RRV527" s="1831"/>
      <c r="RRW527" s="1831"/>
      <c r="RRX527" s="1831"/>
      <c r="RRY527" s="1831"/>
      <c r="RRZ527" s="1831"/>
      <c r="RSA527" s="1831"/>
      <c r="RSB527" s="1831"/>
      <c r="RSC527" s="1831"/>
      <c r="RSD527" s="1831"/>
      <c r="RSE527" s="1831"/>
      <c r="RSF527" s="1831"/>
      <c r="RSG527" s="1831"/>
      <c r="RSH527" s="1831"/>
      <c r="RSI527" s="1831"/>
      <c r="RSJ527" s="1831"/>
      <c r="RSK527" s="1831"/>
      <c r="RSL527" s="1831"/>
      <c r="RSM527" s="1831"/>
      <c r="RSN527" s="1831"/>
      <c r="RSO527" s="1831"/>
      <c r="RSP527" s="1831"/>
      <c r="RSQ527" s="1831"/>
      <c r="RSR527" s="1831"/>
      <c r="RSS527" s="1831"/>
      <c r="RST527" s="1831"/>
      <c r="RSU527" s="1831"/>
      <c r="RSV527" s="1831"/>
      <c r="RSW527" s="1831"/>
      <c r="RSX527" s="1831"/>
      <c r="RSY527" s="1831"/>
      <c r="RSZ527" s="1831"/>
      <c r="RTA527" s="1831"/>
      <c r="RTB527" s="1831"/>
      <c r="RTC527" s="1831"/>
      <c r="RTD527" s="1831"/>
      <c r="RTE527" s="1831"/>
      <c r="RTF527" s="1831"/>
      <c r="RTG527" s="1831"/>
      <c r="RTH527" s="1831"/>
      <c r="RTI527" s="1831"/>
      <c r="RTJ527" s="1831"/>
      <c r="RTK527" s="1831"/>
      <c r="RTL527" s="1831"/>
      <c r="RTM527" s="1831"/>
      <c r="RTN527" s="1831"/>
      <c r="RTO527" s="1831"/>
      <c r="RTP527" s="1831"/>
      <c r="RTQ527" s="1831"/>
      <c r="RTR527" s="1831"/>
      <c r="RTS527" s="1831"/>
      <c r="RTT527" s="1831"/>
      <c r="RTU527" s="1831"/>
      <c r="RTV527" s="1831"/>
      <c r="RTW527" s="1831"/>
      <c r="RTX527" s="1831"/>
      <c r="RTY527" s="1831"/>
      <c r="RTZ527" s="1831"/>
      <c r="RUA527" s="1831"/>
      <c r="RUB527" s="1831"/>
      <c r="RUC527" s="1831"/>
      <c r="RUD527" s="1831"/>
      <c r="RUE527" s="1831"/>
      <c r="RUF527" s="1831"/>
      <c r="RUG527" s="1831"/>
      <c r="RUH527" s="1831"/>
      <c r="RUI527" s="1831"/>
      <c r="RUJ527" s="1831"/>
      <c r="RUK527" s="1831"/>
      <c r="RUL527" s="1831"/>
      <c r="RUM527" s="1831"/>
      <c r="RUN527" s="1831"/>
      <c r="RUO527" s="1831"/>
      <c r="RUP527" s="1831"/>
      <c r="RUQ527" s="1831"/>
      <c r="RUR527" s="1831"/>
      <c r="RUS527" s="1831"/>
      <c r="RUT527" s="1831"/>
      <c r="RUU527" s="1831"/>
      <c r="RUV527" s="1831"/>
      <c r="RUW527" s="1831"/>
      <c r="RUX527" s="1831"/>
      <c r="RUY527" s="1831"/>
      <c r="RUZ527" s="1831"/>
      <c r="RVA527" s="1831"/>
      <c r="RVB527" s="1831"/>
      <c r="RVC527" s="1831"/>
      <c r="RVD527" s="1831"/>
      <c r="RVE527" s="1831"/>
      <c r="RVF527" s="1831"/>
      <c r="RVG527" s="1831"/>
      <c r="RVH527" s="1831"/>
      <c r="RVI527" s="1831"/>
      <c r="RVJ527" s="1831"/>
      <c r="RVK527" s="1831"/>
      <c r="RVL527" s="1831"/>
      <c r="RVM527" s="1831"/>
      <c r="RVN527" s="1831"/>
      <c r="RVO527" s="1831"/>
      <c r="RVP527" s="1831"/>
      <c r="RVQ527" s="1831"/>
      <c r="RVR527" s="1831"/>
      <c r="RVS527" s="1831"/>
      <c r="RVT527" s="1831"/>
      <c r="RVU527" s="1831"/>
      <c r="RVV527" s="1831"/>
      <c r="RVW527" s="1831"/>
      <c r="RVX527" s="1831"/>
      <c r="RVY527" s="1831"/>
      <c r="RVZ527" s="1831"/>
      <c r="RWA527" s="1831"/>
      <c r="RWB527" s="1831"/>
      <c r="RWC527" s="1831"/>
      <c r="RWD527" s="1831"/>
      <c r="RWE527" s="1831"/>
      <c r="RWF527" s="1831"/>
      <c r="RWG527" s="1831"/>
      <c r="RWH527" s="1831"/>
      <c r="RWI527" s="1831"/>
      <c r="RWJ527" s="1831"/>
      <c r="RWK527" s="1831"/>
      <c r="RWL527" s="1831"/>
      <c r="RWM527" s="1831"/>
      <c r="RWN527" s="1831"/>
      <c r="RWO527" s="1831"/>
      <c r="RWP527" s="1831"/>
      <c r="RWQ527" s="1831"/>
      <c r="RWR527" s="1831"/>
      <c r="RWS527" s="1831"/>
      <c r="RWT527" s="1831"/>
      <c r="RWU527" s="1831"/>
      <c r="RWV527" s="1831"/>
      <c r="RWW527" s="1831"/>
      <c r="RWX527" s="1831"/>
      <c r="RWY527" s="1831"/>
      <c r="RWZ527" s="1831"/>
      <c r="RXA527" s="1831"/>
      <c r="RXB527" s="1831"/>
      <c r="RXC527" s="1831"/>
      <c r="RXD527" s="1831"/>
      <c r="RXE527" s="1831"/>
      <c r="RXF527" s="1831"/>
      <c r="RXG527" s="1831"/>
      <c r="RXH527" s="1831"/>
      <c r="RXI527" s="1831"/>
      <c r="RXJ527" s="1831"/>
      <c r="RXK527" s="1831"/>
      <c r="RXL527" s="1831"/>
      <c r="RXM527" s="1831"/>
      <c r="RXN527" s="1831"/>
      <c r="RXO527" s="1831"/>
      <c r="RXP527" s="1831"/>
      <c r="RXQ527" s="1831"/>
      <c r="RXR527" s="1831"/>
      <c r="RXS527" s="1831"/>
      <c r="RXT527" s="1831"/>
      <c r="RXU527" s="1831"/>
      <c r="RXV527" s="1831"/>
      <c r="RXW527" s="1831"/>
      <c r="RXX527" s="1831"/>
      <c r="RXY527" s="1831"/>
      <c r="RXZ527" s="1831"/>
      <c r="RYA527" s="1831"/>
      <c r="RYB527" s="1831"/>
      <c r="RYC527" s="1831"/>
      <c r="RYD527" s="1831"/>
      <c r="RYE527" s="1831"/>
      <c r="RYF527" s="1831"/>
      <c r="RYG527" s="1831"/>
      <c r="RYH527" s="1831"/>
      <c r="RYI527" s="1831"/>
      <c r="RYJ527" s="1831"/>
      <c r="RYK527" s="1831"/>
      <c r="RYL527" s="1831"/>
      <c r="RYM527" s="1831"/>
      <c r="RYN527" s="1831"/>
      <c r="RYO527" s="1831"/>
      <c r="RYP527" s="1831"/>
      <c r="RYQ527" s="1831"/>
      <c r="RYR527" s="1831"/>
      <c r="RYS527" s="1831"/>
      <c r="RYT527" s="1831"/>
      <c r="RYU527" s="1831"/>
      <c r="RYV527" s="1831"/>
      <c r="RYW527" s="1831"/>
      <c r="RYX527" s="1831"/>
      <c r="RYY527" s="1831"/>
      <c r="RYZ527" s="1831"/>
      <c r="RZA527" s="1831"/>
      <c r="RZB527" s="1831"/>
      <c r="RZC527" s="1831"/>
      <c r="RZD527" s="1831"/>
      <c r="RZE527" s="1831"/>
      <c r="RZF527" s="1831"/>
      <c r="RZG527" s="1831"/>
      <c r="RZH527" s="1831"/>
      <c r="RZI527" s="1831"/>
      <c r="RZJ527" s="1831"/>
      <c r="RZK527" s="1831"/>
      <c r="RZL527" s="1831"/>
      <c r="RZM527" s="1831"/>
      <c r="RZN527" s="1831"/>
      <c r="RZO527" s="1831"/>
      <c r="RZP527" s="1831"/>
      <c r="RZQ527" s="1831"/>
      <c r="RZR527" s="1831"/>
      <c r="RZS527" s="1831"/>
      <c r="RZT527" s="1831"/>
      <c r="RZU527" s="1831"/>
      <c r="RZV527" s="1831"/>
      <c r="RZW527" s="1831"/>
      <c r="RZX527" s="1831"/>
      <c r="RZY527" s="1831"/>
      <c r="RZZ527" s="1831"/>
      <c r="SAA527" s="1831"/>
      <c r="SAB527" s="1831"/>
      <c r="SAC527" s="1831"/>
      <c r="SAD527" s="1831"/>
      <c r="SAE527" s="1831"/>
      <c r="SAF527" s="1831"/>
      <c r="SAG527" s="1831"/>
      <c r="SAH527" s="1831"/>
      <c r="SAI527" s="1831"/>
      <c r="SAJ527" s="1831"/>
      <c r="SAK527" s="1831"/>
      <c r="SAL527" s="1831"/>
      <c r="SAM527" s="1831"/>
      <c r="SAN527" s="1831"/>
      <c r="SAO527" s="1831"/>
      <c r="SAP527" s="1831"/>
      <c r="SAQ527" s="1831"/>
      <c r="SAR527" s="1831"/>
      <c r="SAS527" s="1831"/>
      <c r="SAT527" s="1831"/>
      <c r="SAU527" s="1831"/>
      <c r="SAV527" s="1831"/>
      <c r="SAW527" s="1831"/>
      <c r="SAX527" s="1831"/>
      <c r="SAY527" s="1831"/>
      <c r="SAZ527" s="1831"/>
      <c r="SBA527" s="1831"/>
      <c r="SBB527" s="1831"/>
      <c r="SBC527" s="1831"/>
      <c r="SBD527" s="1831"/>
      <c r="SBE527" s="1831"/>
      <c r="SBF527" s="1831"/>
      <c r="SBG527" s="1831"/>
      <c r="SBH527" s="1831"/>
      <c r="SBI527" s="1831"/>
      <c r="SBJ527" s="1831"/>
      <c r="SBK527" s="1831"/>
      <c r="SBL527" s="1831"/>
      <c r="SBM527" s="1831"/>
      <c r="SBN527" s="1831"/>
      <c r="SBO527" s="1831"/>
      <c r="SBP527" s="1831"/>
      <c r="SBQ527" s="1831"/>
      <c r="SBR527" s="1831"/>
      <c r="SBS527" s="1831"/>
      <c r="SBT527" s="1831"/>
      <c r="SBU527" s="1831"/>
      <c r="SBV527" s="1831"/>
      <c r="SBW527" s="1831"/>
      <c r="SBX527" s="1831"/>
      <c r="SBY527" s="1831"/>
      <c r="SBZ527" s="1831"/>
      <c r="SCA527" s="1831"/>
      <c r="SCB527" s="1831"/>
      <c r="SCC527" s="1831"/>
      <c r="SCD527" s="1831"/>
      <c r="SCE527" s="1831"/>
      <c r="SCF527" s="1831"/>
      <c r="SCG527" s="1831"/>
      <c r="SCH527" s="1831"/>
      <c r="SCI527" s="1831"/>
      <c r="SCJ527" s="1831"/>
      <c r="SCK527" s="1831"/>
      <c r="SCL527" s="1831"/>
      <c r="SCM527" s="1831"/>
      <c r="SCN527" s="1831"/>
      <c r="SCO527" s="1831"/>
      <c r="SCP527" s="1831"/>
      <c r="SCQ527" s="1831"/>
      <c r="SCR527" s="1831"/>
      <c r="SCS527" s="1831"/>
      <c r="SCT527" s="1831"/>
      <c r="SCU527" s="1831"/>
      <c r="SCV527" s="1831"/>
      <c r="SCW527" s="1831"/>
      <c r="SCX527" s="1831"/>
      <c r="SCY527" s="1831"/>
      <c r="SCZ527" s="1831"/>
      <c r="SDA527" s="1831"/>
      <c r="SDB527" s="1831"/>
      <c r="SDC527" s="1831"/>
      <c r="SDD527" s="1831"/>
      <c r="SDE527" s="1831"/>
      <c r="SDF527" s="1831"/>
      <c r="SDG527" s="1831"/>
      <c r="SDH527" s="1831"/>
      <c r="SDI527" s="1831"/>
      <c r="SDJ527" s="1831"/>
      <c r="SDK527" s="1831"/>
      <c r="SDL527" s="1831"/>
      <c r="SDM527" s="1831"/>
      <c r="SDN527" s="1831"/>
      <c r="SDO527" s="1831"/>
      <c r="SDP527" s="1831"/>
      <c r="SDQ527" s="1831"/>
      <c r="SDR527" s="1831"/>
      <c r="SDS527" s="1831"/>
      <c r="SDT527" s="1831"/>
      <c r="SDU527" s="1831"/>
      <c r="SDV527" s="1831"/>
      <c r="SDW527" s="1831"/>
      <c r="SDX527" s="1831"/>
      <c r="SDY527" s="1831"/>
      <c r="SDZ527" s="1831"/>
      <c r="SEA527" s="1831"/>
      <c r="SEB527" s="1831"/>
      <c r="SEC527" s="1831"/>
      <c r="SED527" s="1831"/>
      <c r="SEE527" s="1831"/>
      <c r="SEF527" s="1831"/>
      <c r="SEG527" s="1831"/>
      <c r="SEH527" s="1831"/>
      <c r="SEI527" s="1831"/>
      <c r="SEJ527" s="1831"/>
      <c r="SEK527" s="1831"/>
      <c r="SEL527" s="1831"/>
      <c r="SEM527" s="1831"/>
      <c r="SEN527" s="1831"/>
      <c r="SEO527" s="1831"/>
      <c r="SEP527" s="1831"/>
      <c r="SEQ527" s="1831"/>
      <c r="SER527" s="1831"/>
      <c r="SES527" s="1831"/>
      <c r="SET527" s="1831"/>
      <c r="SEU527" s="1831"/>
      <c r="SEV527" s="1831"/>
      <c r="SEW527" s="1831"/>
      <c r="SEX527" s="1831"/>
      <c r="SEY527" s="1831"/>
      <c r="SEZ527" s="1831"/>
      <c r="SFA527" s="1831"/>
      <c r="SFB527" s="1831"/>
      <c r="SFC527" s="1831"/>
      <c r="SFD527" s="1831"/>
      <c r="SFE527" s="1831"/>
      <c r="SFF527" s="1831"/>
      <c r="SFG527" s="1831"/>
      <c r="SFH527" s="1831"/>
      <c r="SFI527" s="1831"/>
      <c r="SFJ527" s="1831"/>
      <c r="SFK527" s="1831"/>
      <c r="SFL527" s="1831"/>
      <c r="SFM527" s="1831"/>
      <c r="SFN527" s="1831"/>
      <c r="SFO527" s="1831"/>
      <c r="SFP527" s="1831"/>
      <c r="SFQ527" s="1831"/>
      <c r="SFR527" s="1831"/>
      <c r="SFS527" s="1831"/>
      <c r="SFT527" s="1831"/>
      <c r="SFU527" s="1831"/>
      <c r="SFV527" s="1831"/>
      <c r="SFW527" s="1831"/>
      <c r="SFX527" s="1831"/>
      <c r="SFY527" s="1831"/>
      <c r="SFZ527" s="1831"/>
      <c r="SGA527" s="1831"/>
      <c r="SGB527" s="1831"/>
      <c r="SGC527" s="1831"/>
      <c r="SGD527" s="1831"/>
      <c r="SGE527" s="1831"/>
      <c r="SGF527" s="1831"/>
      <c r="SGG527" s="1831"/>
      <c r="SGH527" s="1831"/>
      <c r="SGI527" s="1831"/>
      <c r="SGJ527" s="1831"/>
      <c r="SGK527" s="1831"/>
      <c r="SGL527" s="1831"/>
      <c r="SGM527" s="1831"/>
      <c r="SGN527" s="1831"/>
      <c r="SGO527" s="1831"/>
      <c r="SGP527" s="1831"/>
      <c r="SGQ527" s="1831"/>
      <c r="SGR527" s="1831"/>
      <c r="SGS527" s="1831"/>
      <c r="SGT527" s="1831"/>
      <c r="SGU527" s="1831"/>
      <c r="SGV527" s="1831"/>
      <c r="SGW527" s="1831"/>
      <c r="SGX527" s="1831"/>
      <c r="SGY527" s="1831"/>
      <c r="SGZ527" s="1831"/>
      <c r="SHA527" s="1831"/>
      <c r="SHB527" s="1831"/>
      <c r="SHC527" s="1831"/>
      <c r="SHD527" s="1831"/>
      <c r="SHE527" s="1831"/>
      <c r="SHF527" s="1831"/>
      <c r="SHG527" s="1831"/>
      <c r="SHH527" s="1831"/>
      <c r="SHI527" s="1831"/>
      <c r="SHJ527" s="1831"/>
      <c r="SHK527" s="1831"/>
      <c r="SHL527" s="1831"/>
      <c r="SHM527" s="1831"/>
      <c r="SHN527" s="1831"/>
      <c r="SHO527" s="1831"/>
      <c r="SHP527" s="1831"/>
      <c r="SHQ527" s="1831"/>
      <c r="SHR527" s="1831"/>
      <c r="SHS527" s="1831"/>
      <c r="SHT527" s="1831"/>
      <c r="SHU527" s="1831"/>
      <c r="SHV527" s="1831"/>
      <c r="SHW527" s="1831"/>
      <c r="SHX527" s="1831"/>
      <c r="SHY527" s="1831"/>
      <c r="SHZ527" s="1831"/>
      <c r="SIA527" s="1831"/>
      <c r="SIB527" s="1831"/>
      <c r="SIC527" s="1831"/>
      <c r="SID527" s="1831"/>
      <c r="SIE527" s="1831"/>
      <c r="SIF527" s="1831"/>
      <c r="SIG527" s="1831"/>
      <c r="SIH527" s="1831"/>
      <c r="SII527" s="1831"/>
      <c r="SIJ527" s="1831"/>
      <c r="SIK527" s="1831"/>
      <c r="SIL527" s="1831"/>
      <c r="SIM527" s="1831"/>
      <c r="SIN527" s="1831"/>
      <c r="SIO527" s="1831"/>
      <c r="SIP527" s="1831"/>
      <c r="SIQ527" s="1831"/>
      <c r="SIR527" s="1831"/>
      <c r="SIS527" s="1831"/>
      <c r="SIT527" s="1831"/>
      <c r="SIU527" s="1831"/>
      <c r="SIV527" s="1831"/>
      <c r="SIW527" s="1831"/>
      <c r="SIX527" s="1831"/>
      <c r="SIY527" s="1831"/>
      <c r="SIZ527" s="1831"/>
      <c r="SJA527" s="1831"/>
      <c r="SJB527" s="1831"/>
      <c r="SJC527" s="1831"/>
      <c r="SJD527" s="1831"/>
      <c r="SJE527" s="1831"/>
      <c r="SJF527" s="1831"/>
      <c r="SJG527" s="1831"/>
      <c r="SJH527" s="1831"/>
      <c r="SJI527" s="1831"/>
      <c r="SJJ527" s="1831"/>
      <c r="SJK527" s="1831"/>
      <c r="SJL527" s="1831"/>
      <c r="SJM527" s="1831"/>
      <c r="SJN527" s="1831"/>
      <c r="SJO527" s="1831"/>
      <c r="SJP527" s="1831"/>
      <c r="SJQ527" s="1831"/>
      <c r="SJR527" s="1831"/>
      <c r="SJS527" s="1831"/>
      <c r="SJT527" s="1831"/>
      <c r="SJU527" s="1831"/>
      <c r="SJV527" s="1831"/>
      <c r="SJW527" s="1831"/>
      <c r="SJX527" s="1831"/>
      <c r="SJY527" s="1831"/>
      <c r="SJZ527" s="1831"/>
      <c r="SKA527" s="1831"/>
      <c r="SKB527" s="1831"/>
      <c r="SKC527" s="1831"/>
      <c r="SKD527" s="1831"/>
      <c r="SKE527" s="1831"/>
      <c r="SKF527" s="1831"/>
      <c r="SKG527" s="1831"/>
      <c r="SKH527" s="1831"/>
      <c r="SKI527" s="1831"/>
      <c r="SKJ527" s="1831"/>
      <c r="SKK527" s="1831"/>
      <c r="SKL527" s="1831"/>
      <c r="SKM527" s="1831"/>
      <c r="SKN527" s="1831"/>
      <c r="SKO527" s="1831"/>
      <c r="SKP527" s="1831"/>
      <c r="SKQ527" s="1831"/>
      <c r="SKR527" s="1831"/>
      <c r="SKS527" s="1831"/>
      <c r="SKT527" s="1831"/>
      <c r="SKU527" s="1831"/>
      <c r="SKV527" s="1831"/>
      <c r="SKW527" s="1831"/>
      <c r="SKX527" s="1831"/>
      <c r="SKY527" s="1831"/>
      <c r="SKZ527" s="1831"/>
      <c r="SLA527" s="1831"/>
      <c r="SLB527" s="1831"/>
      <c r="SLC527" s="1831"/>
      <c r="SLD527" s="1831"/>
      <c r="SLE527" s="1831"/>
      <c r="SLF527" s="1831"/>
      <c r="SLG527" s="1831"/>
      <c r="SLH527" s="1831"/>
      <c r="SLI527" s="1831"/>
      <c r="SLJ527" s="1831"/>
      <c r="SLK527" s="1831"/>
      <c r="SLL527" s="1831"/>
      <c r="SLM527" s="1831"/>
      <c r="SLN527" s="1831"/>
      <c r="SLO527" s="1831"/>
      <c r="SLP527" s="1831"/>
      <c r="SLQ527" s="1831"/>
      <c r="SLR527" s="1831"/>
      <c r="SLS527" s="1831"/>
      <c r="SLT527" s="1831"/>
      <c r="SLU527" s="1831"/>
      <c r="SLV527" s="1831"/>
      <c r="SLW527" s="1831"/>
      <c r="SLX527" s="1831"/>
      <c r="SLY527" s="1831"/>
      <c r="SLZ527" s="1831"/>
      <c r="SMA527" s="1831"/>
      <c r="SMB527" s="1831"/>
      <c r="SMC527" s="1831"/>
      <c r="SMD527" s="1831"/>
      <c r="SME527" s="1831"/>
      <c r="SMF527" s="1831"/>
      <c r="SMG527" s="1831"/>
      <c r="SMH527" s="1831"/>
      <c r="SMI527" s="1831"/>
      <c r="SMJ527" s="1831"/>
      <c r="SMK527" s="1831"/>
      <c r="SML527" s="1831"/>
      <c r="SMM527" s="1831"/>
      <c r="SMN527" s="1831"/>
      <c r="SMO527" s="1831"/>
      <c r="SMP527" s="1831"/>
      <c r="SMQ527" s="1831"/>
      <c r="SMR527" s="1831"/>
      <c r="SMS527" s="1831"/>
      <c r="SMT527" s="1831"/>
      <c r="SMU527" s="1831"/>
      <c r="SMV527" s="1831"/>
      <c r="SMW527" s="1831"/>
      <c r="SMX527" s="1831"/>
      <c r="SMY527" s="1831"/>
      <c r="SMZ527" s="1831"/>
      <c r="SNA527" s="1831"/>
      <c r="SNB527" s="1831"/>
      <c r="SNC527" s="1831"/>
      <c r="SND527" s="1831"/>
      <c r="SNE527" s="1831"/>
      <c r="SNF527" s="1831"/>
      <c r="SNG527" s="1831"/>
      <c r="SNH527" s="1831"/>
      <c r="SNI527" s="1831"/>
      <c r="SNJ527" s="1831"/>
      <c r="SNK527" s="1831"/>
      <c r="SNL527" s="1831"/>
      <c r="SNM527" s="1831"/>
      <c r="SNN527" s="1831"/>
      <c r="SNO527" s="1831"/>
      <c r="SNP527" s="1831"/>
      <c r="SNQ527" s="1831"/>
      <c r="SNR527" s="1831"/>
      <c r="SNS527" s="1831"/>
      <c r="SNT527" s="1831"/>
      <c r="SNU527" s="1831"/>
      <c r="SNV527" s="1831"/>
      <c r="SNW527" s="1831"/>
      <c r="SNX527" s="1831"/>
      <c r="SNY527" s="1831"/>
      <c r="SNZ527" s="1831"/>
      <c r="SOA527" s="1831"/>
      <c r="SOB527" s="1831"/>
      <c r="SOC527" s="1831"/>
      <c r="SOD527" s="1831"/>
      <c r="SOE527" s="1831"/>
      <c r="SOF527" s="1831"/>
      <c r="SOG527" s="1831"/>
      <c r="SOH527" s="1831"/>
      <c r="SOI527" s="1831"/>
      <c r="SOJ527" s="1831"/>
      <c r="SOK527" s="1831"/>
      <c r="SOL527" s="1831"/>
      <c r="SOM527" s="1831"/>
      <c r="SON527" s="1831"/>
      <c r="SOO527" s="1831"/>
      <c r="SOP527" s="1831"/>
      <c r="SOQ527" s="1831"/>
      <c r="SOR527" s="1831"/>
      <c r="SOS527" s="1831"/>
      <c r="SOT527" s="1831"/>
      <c r="SOU527" s="1831"/>
      <c r="SOV527" s="1831"/>
      <c r="SOW527" s="1831"/>
      <c r="SOX527" s="1831"/>
      <c r="SOY527" s="1831"/>
      <c r="SOZ527" s="1831"/>
      <c r="SPA527" s="1831"/>
      <c r="SPB527" s="1831"/>
      <c r="SPC527" s="1831"/>
      <c r="SPD527" s="1831"/>
      <c r="SPE527" s="1831"/>
      <c r="SPF527" s="1831"/>
      <c r="SPG527" s="1831"/>
      <c r="SPH527" s="1831"/>
      <c r="SPI527" s="1831"/>
      <c r="SPJ527" s="1831"/>
      <c r="SPK527" s="1831"/>
      <c r="SPL527" s="1831"/>
      <c r="SPM527" s="1831"/>
      <c r="SPN527" s="1831"/>
      <c r="SPO527" s="1831"/>
      <c r="SPP527" s="1831"/>
      <c r="SPQ527" s="1831"/>
      <c r="SPR527" s="1831"/>
      <c r="SPS527" s="1831"/>
      <c r="SPT527" s="1831"/>
      <c r="SPU527" s="1831"/>
      <c r="SPV527" s="1831"/>
      <c r="SPW527" s="1831"/>
      <c r="SPX527" s="1831"/>
      <c r="SPY527" s="1831"/>
      <c r="SPZ527" s="1831"/>
      <c r="SQA527" s="1831"/>
      <c r="SQB527" s="1831"/>
      <c r="SQC527" s="1831"/>
      <c r="SQD527" s="1831"/>
      <c r="SQE527" s="1831"/>
      <c r="SQF527" s="1831"/>
      <c r="SQG527" s="1831"/>
      <c r="SQH527" s="1831"/>
      <c r="SQI527" s="1831"/>
      <c r="SQJ527" s="1831"/>
      <c r="SQK527" s="1831"/>
      <c r="SQL527" s="1831"/>
      <c r="SQM527" s="1831"/>
      <c r="SQN527" s="1831"/>
      <c r="SQO527" s="1831"/>
      <c r="SQP527" s="1831"/>
      <c r="SQQ527" s="1831"/>
      <c r="SQR527" s="1831"/>
      <c r="SQS527" s="1831"/>
      <c r="SQT527" s="1831"/>
      <c r="SQU527" s="1831"/>
      <c r="SQV527" s="1831"/>
      <c r="SQW527" s="1831"/>
      <c r="SQX527" s="1831"/>
      <c r="SQY527" s="1831"/>
      <c r="SQZ527" s="1831"/>
      <c r="SRA527" s="1831"/>
      <c r="SRB527" s="1831"/>
      <c r="SRC527" s="1831"/>
      <c r="SRD527" s="1831"/>
      <c r="SRE527" s="1831"/>
      <c r="SRF527" s="1831"/>
      <c r="SRG527" s="1831"/>
      <c r="SRH527" s="1831"/>
      <c r="SRI527" s="1831"/>
      <c r="SRJ527" s="1831"/>
      <c r="SRK527" s="1831"/>
      <c r="SRL527" s="1831"/>
      <c r="SRM527" s="1831"/>
      <c r="SRN527" s="1831"/>
      <c r="SRO527" s="1831"/>
      <c r="SRP527" s="1831"/>
      <c r="SRQ527" s="1831"/>
      <c r="SRR527" s="1831"/>
      <c r="SRS527" s="1831"/>
      <c r="SRT527" s="1831"/>
      <c r="SRU527" s="1831"/>
      <c r="SRV527" s="1831"/>
      <c r="SRW527" s="1831"/>
      <c r="SRX527" s="1831"/>
      <c r="SRY527" s="1831"/>
      <c r="SRZ527" s="1831"/>
      <c r="SSA527" s="1831"/>
      <c r="SSB527" s="1831"/>
      <c r="SSC527" s="1831"/>
      <c r="SSD527" s="1831"/>
      <c r="SSE527" s="1831"/>
      <c r="SSF527" s="1831"/>
      <c r="SSG527" s="1831"/>
      <c r="SSH527" s="1831"/>
      <c r="SSI527" s="1831"/>
      <c r="SSJ527" s="1831"/>
      <c r="SSK527" s="1831"/>
      <c r="SSL527" s="1831"/>
      <c r="SSM527" s="1831"/>
      <c r="SSN527" s="1831"/>
      <c r="SSO527" s="1831"/>
      <c r="SSP527" s="1831"/>
      <c r="SSQ527" s="1831"/>
      <c r="SSR527" s="1831"/>
      <c r="SSS527" s="1831"/>
      <c r="SST527" s="1831"/>
      <c r="SSU527" s="1831"/>
      <c r="SSV527" s="1831"/>
      <c r="SSW527" s="1831"/>
      <c r="SSX527" s="1831"/>
      <c r="SSY527" s="1831"/>
      <c r="SSZ527" s="1831"/>
      <c r="STA527" s="1831"/>
      <c r="STB527" s="1831"/>
      <c r="STC527" s="1831"/>
      <c r="STD527" s="1831"/>
      <c r="STE527" s="1831"/>
      <c r="STF527" s="1831"/>
      <c r="STG527" s="1831"/>
      <c r="STH527" s="1831"/>
      <c r="STI527" s="1831"/>
      <c r="STJ527" s="1831"/>
      <c r="STK527" s="1831"/>
      <c r="STL527" s="1831"/>
      <c r="STM527" s="1831"/>
      <c r="STN527" s="1831"/>
      <c r="STO527" s="1831"/>
      <c r="STP527" s="1831"/>
      <c r="STQ527" s="1831"/>
      <c r="STR527" s="1831"/>
      <c r="STS527" s="1831"/>
      <c r="STT527" s="1831"/>
      <c r="STU527" s="1831"/>
      <c r="STV527" s="1831"/>
      <c r="STW527" s="1831"/>
      <c r="STX527" s="1831"/>
      <c r="STY527" s="1831"/>
      <c r="STZ527" s="1831"/>
      <c r="SUA527" s="1831"/>
      <c r="SUB527" s="1831"/>
      <c r="SUC527" s="1831"/>
      <c r="SUD527" s="1831"/>
      <c r="SUE527" s="1831"/>
      <c r="SUF527" s="1831"/>
      <c r="SUG527" s="1831"/>
      <c r="SUH527" s="1831"/>
      <c r="SUI527" s="1831"/>
      <c r="SUJ527" s="1831"/>
      <c r="SUK527" s="1831"/>
      <c r="SUL527" s="1831"/>
      <c r="SUM527" s="1831"/>
      <c r="SUN527" s="1831"/>
      <c r="SUO527" s="1831"/>
      <c r="SUP527" s="1831"/>
      <c r="SUQ527" s="1831"/>
      <c r="SUR527" s="1831"/>
      <c r="SUS527" s="1831"/>
      <c r="SUT527" s="1831"/>
      <c r="SUU527" s="1831"/>
      <c r="SUV527" s="1831"/>
      <c r="SUW527" s="1831"/>
      <c r="SUX527" s="1831"/>
      <c r="SUY527" s="1831"/>
      <c r="SUZ527" s="1831"/>
      <c r="SVA527" s="1831"/>
      <c r="SVB527" s="1831"/>
      <c r="SVC527" s="1831"/>
      <c r="SVD527" s="1831"/>
      <c r="SVE527" s="1831"/>
      <c r="SVF527" s="1831"/>
      <c r="SVG527" s="1831"/>
      <c r="SVH527" s="1831"/>
      <c r="SVI527" s="1831"/>
      <c r="SVJ527" s="1831"/>
      <c r="SVK527" s="1831"/>
      <c r="SVL527" s="1831"/>
      <c r="SVM527" s="1831"/>
      <c r="SVN527" s="1831"/>
      <c r="SVO527" s="1831"/>
      <c r="SVP527" s="1831"/>
      <c r="SVQ527" s="1831"/>
      <c r="SVR527" s="1831"/>
      <c r="SVS527" s="1831"/>
      <c r="SVT527" s="1831"/>
      <c r="SVU527" s="1831"/>
      <c r="SVV527" s="1831"/>
      <c r="SVW527" s="1831"/>
      <c r="SVX527" s="1831"/>
      <c r="SVY527" s="1831"/>
      <c r="SVZ527" s="1831"/>
      <c r="SWA527" s="1831"/>
      <c r="SWB527" s="1831"/>
      <c r="SWC527" s="1831"/>
      <c r="SWD527" s="1831"/>
      <c r="SWE527" s="1831"/>
      <c r="SWF527" s="1831"/>
      <c r="SWG527" s="1831"/>
      <c r="SWH527" s="1831"/>
      <c r="SWI527" s="1831"/>
      <c r="SWJ527" s="1831"/>
      <c r="SWK527" s="1831"/>
      <c r="SWL527" s="1831"/>
      <c r="SWM527" s="1831"/>
      <c r="SWN527" s="1831"/>
      <c r="SWO527" s="1831"/>
      <c r="SWP527" s="1831"/>
      <c r="SWQ527" s="1831"/>
      <c r="SWR527" s="1831"/>
      <c r="SWS527" s="1831"/>
      <c r="SWT527" s="1831"/>
      <c r="SWU527" s="1831"/>
      <c r="SWV527" s="1831"/>
      <c r="SWW527" s="1831"/>
      <c r="SWX527" s="1831"/>
      <c r="SWY527" s="1831"/>
      <c r="SWZ527" s="1831"/>
      <c r="SXA527" s="1831"/>
      <c r="SXB527" s="1831"/>
      <c r="SXC527" s="1831"/>
      <c r="SXD527" s="1831"/>
      <c r="SXE527" s="1831"/>
      <c r="SXF527" s="1831"/>
      <c r="SXG527" s="1831"/>
      <c r="SXH527" s="1831"/>
      <c r="SXI527" s="1831"/>
      <c r="SXJ527" s="1831"/>
      <c r="SXK527" s="1831"/>
      <c r="SXL527" s="1831"/>
      <c r="SXM527" s="1831"/>
      <c r="SXN527" s="1831"/>
      <c r="SXO527" s="1831"/>
      <c r="SXP527" s="1831"/>
      <c r="SXQ527" s="1831"/>
      <c r="SXR527" s="1831"/>
      <c r="SXS527" s="1831"/>
      <c r="SXT527" s="1831"/>
      <c r="SXU527" s="1831"/>
      <c r="SXV527" s="1831"/>
      <c r="SXW527" s="1831"/>
      <c r="SXX527" s="1831"/>
      <c r="SXY527" s="1831"/>
      <c r="SXZ527" s="1831"/>
      <c r="SYA527" s="1831"/>
      <c r="SYB527" s="1831"/>
      <c r="SYC527" s="1831"/>
      <c r="SYD527" s="1831"/>
      <c r="SYE527" s="1831"/>
      <c r="SYF527" s="1831"/>
      <c r="SYG527" s="1831"/>
      <c r="SYH527" s="1831"/>
      <c r="SYI527" s="1831"/>
      <c r="SYJ527" s="1831"/>
      <c r="SYK527" s="1831"/>
      <c r="SYL527" s="1831"/>
      <c r="SYM527" s="1831"/>
      <c r="SYN527" s="1831"/>
      <c r="SYO527" s="1831"/>
      <c r="SYP527" s="1831"/>
      <c r="SYQ527" s="1831"/>
      <c r="SYR527" s="1831"/>
      <c r="SYS527" s="1831"/>
      <c r="SYT527" s="1831"/>
      <c r="SYU527" s="1831"/>
      <c r="SYV527" s="1831"/>
      <c r="SYW527" s="1831"/>
      <c r="SYX527" s="1831"/>
      <c r="SYY527" s="1831"/>
      <c r="SYZ527" s="1831"/>
      <c r="SZA527" s="1831"/>
      <c r="SZB527" s="1831"/>
      <c r="SZC527" s="1831"/>
      <c r="SZD527" s="1831"/>
      <c r="SZE527" s="1831"/>
      <c r="SZF527" s="1831"/>
      <c r="SZG527" s="1831"/>
      <c r="SZH527" s="1831"/>
      <c r="SZI527" s="1831"/>
      <c r="SZJ527" s="1831"/>
      <c r="SZK527" s="1831"/>
      <c r="SZL527" s="1831"/>
      <c r="SZM527" s="1831"/>
      <c r="SZN527" s="1831"/>
      <c r="SZO527" s="1831"/>
      <c r="SZP527" s="1831"/>
      <c r="SZQ527" s="1831"/>
      <c r="SZR527" s="1831"/>
      <c r="SZS527" s="1831"/>
      <c r="SZT527" s="1831"/>
      <c r="SZU527" s="1831"/>
      <c r="SZV527" s="1831"/>
      <c r="SZW527" s="1831"/>
      <c r="SZX527" s="1831"/>
      <c r="SZY527" s="1831"/>
      <c r="SZZ527" s="1831"/>
      <c r="TAA527" s="1831"/>
      <c r="TAB527" s="1831"/>
      <c r="TAC527" s="1831"/>
      <c r="TAD527" s="1831"/>
      <c r="TAE527" s="1831"/>
      <c r="TAF527" s="1831"/>
      <c r="TAG527" s="1831"/>
      <c r="TAH527" s="1831"/>
      <c r="TAI527" s="1831"/>
      <c r="TAJ527" s="1831"/>
      <c r="TAK527" s="1831"/>
      <c r="TAL527" s="1831"/>
      <c r="TAM527" s="1831"/>
      <c r="TAN527" s="1831"/>
      <c r="TAO527" s="1831"/>
      <c r="TAP527" s="1831"/>
      <c r="TAQ527" s="1831"/>
      <c r="TAR527" s="1831"/>
      <c r="TAS527" s="1831"/>
      <c r="TAT527" s="1831"/>
      <c r="TAU527" s="1831"/>
      <c r="TAV527" s="1831"/>
      <c r="TAW527" s="1831"/>
      <c r="TAX527" s="1831"/>
      <c r="TAY527" s="1831"/>
      <c r="TAZ527" s="1831"/>
      <c r="TBA527" s="1831"/>
      <c r="TBB527" s="1831"/>
      <c r="TBC527" s="1831"/>
      <c r="TBD527" s="1831"/>
      <c r="TBE527" s="1831"/>
      <c r="TBF527" s="1831"/>
      <c r="TBG527" s="1831"/>
      <c r="TBH527" s="1831"/>
      <c r="TBI527" s="1831"/>
      <c r="TBJ527" s="1831"/>
      <c r="TBK527" s="1831"/>
      <c r="TBL527" s="1831"/>
      <c r="TBM527" s="1831"/>
      <c r="TBN527" s="1831"/>
      <c r="TBO527" s="1831"/>
      <c r="TBP527" s="1831"/>
      <c r="TBQ527" s="1831"/>
      <c r="TBR527" s="1831"/>
      <c r="TBS527" s="1831"/>
      <c r="TBT527" s="1831"/>
      <c r="TBU527" s="1831"/>
      <c r="TBV527" s="1831"/>
      <c r="TBW527" s="1831"/>
      <c r="TBX527" s="1831"/>
      <c r="TBY527" s="1831"/>
      <c r="TBZ527" s="1831"/>
      <c r="TCA527" s="1831"/>
      <c r="TCB527" s="1831"/>
      <c r="TCC527" s="1831"/>
      <c r="TCD527" s="1831"/>
      <c r="TCE527" s="1831"/>
      <c r="TCF527" s="1831"/>
      <c r="TCG527" s="1831"/>
      <c r="TCH527" s="1831"/>
      <c r="TCI527" s="1831"/>
      <c r="TCJ527" s="1831"/>
      <c r="TCK527" s="1831"/>
      <c r="TCL527" s="1831"/>
      <c r="TCM527" s="1831"/>
      <c r="TCN527" s="1831"/>
      <c r="TCO527" s="1831"/>
      <c r="TCP527" s="1831"/>
      <c r="TCQ527" s="1831"/>
      <c r="TCR527" s="1831"/>
      <c r="TCS527" s="1831"/>
      <c r="TCT527" s="1831"/>
      <c r="TCU527" s="1831"/>
      <c r="TCV527" s="1831"/>
      <c r="TCW527" s="1831"/>
      <c r="TCX527" s="1831"/>
      <c r="TCY527" s="1831"/>
      <c r="TCZ527" s="1831"/>
      <c r="TDA527" s="1831"/>
      <c r="TDB527" s="1831"/>
      <c r="TDC527" s="1831"/>
      <c r="TDD527" s="1831"/>
      <c r="TDE527" s="1831"/>
      <c r="TDF527" s="1831"/>
      <c r="TDG527" s="1831"/>
      <c r="TDH527" s="1831"/>
      <c r="TDI527" s="1831"/>
      <c r="TDJ527" s="1831"/>
      <c r="TDK527" s="1831"/>
      <c r="TDL527" s="1831"/>
      <c r="TDM527" s="1831"/>
      <c r="TDN527" s="1831"/>
      <c r="TDO527" s="1831"/>
      <c r="TDP527" s="1831"/>
      <c r="TDQ527" s="1831"/>
      <c r="TDR527" s="1831"/>
      <c r="TDS527" s="1831"/>
      <c r="TDT527" s="1831"/>
      <c r="TDU527" s="1831"/>
      <c r="TDV527" s="1831"/>
      <c r="TDW527" s="1831"/>
      <c r="TDX527" s="1831"/>
      <c r="TDY527" s="1831"/>
      <c r="TDZ527" s="1831"/>
      <c r="TEA527" s="1831"/>
      <c r="TEB527" s="1831"/>
      <c r="TEC527" s="1831"/>
      <c r="TED527" s="1831"/>
      <c r="TEE527" s="1831"/>
      <c r="TEF527" s="1831"/>
      <c r="TEG527" s="1831"/>
      <c r="TEH527" s="1831"/>
      <c r="TEI527" s="1831"/>
      <c r="TEJ527" s="1831"/>
      <c r="TEK527" s="1831"/>
      <c r="TEL527" s="1831"/>
      <c r="TEM527" s="1831"/>
      <c r="TEN527" s="1831"/>
      <c r="TEO527" s="1831"/>
      <c r="TEP527" s="1831"/>
      <c r="TEQ527" s="1831"/>
      <c r="TER527" s="1831"/>
      <c r="TES527" s="1831"/>
      <c r="TET527" s="1831"/>
      <c r="TEU527" s="1831"/>
      <c r="TEV527" s="1831"/>
      <c r="TEW527" s="1831"/>
      <c r="TEX527" s="1831"/>
      <c r="TEY527" s="1831"/>
      <c r="TEZ527" s="1831"/>
      <c r="TFA527" s="1831"/>
      <c r="TFB527" s="1831"/>
      <c r="TFC527" s="1831"/>
      <c r="TFD527" s="1831"/>
      <c r="TFE527" s="1831"/>
      <c r="TFF527" s="1831"/>
      <c r="TFG527" s="1831"/>
      <c r="TFH527" s="1831"/>
      <c r="TFI527" s="1831"/>
      <c r="TFJ527" s="1831"/>
      <c r="TFK527" s="1831"/>
      <c r="TFL527" s="1831"/>
      <c r="TFM527" s="1831"/>
      <c r="TFN527" s="1831"/>
      <c r="TFO527" s="1831"/>
      <c r="TFP527" s="1831"/>
      <c r="TFQ527" s="1831"/>
      <c r="TFR527" s="1831"/>
      <c r="TFS527" s="1831"/>
      <c r="TFT527" s="1831"/>
      <c r="TFU527" s="1831"/>
      <c r="TFV527" s="1831"/>
      <c r="TFW527" s="1831"/>
      <c r="TFX527" s="1831"/>
      <c r="TFY527" s="1831"/>
      <c r="TFZ527" s="1831"/>
      <c r="TGA527" s="1831"/>
      <c r="TGB527" s="1831"/>
      <c r="TGC527" s="1831"/>
      <c r="TGD527" s="1831"/>
      <c r="TGE527" s="1831"/>
      <c r="TGF527" s="1831"/>
      <c r="TGG527" s="1831"/>
      <c r="TGH527" s="1831"/>
      <c r="TGI527" s="1831"/>
      <c r="TGJ527" s="1831"/>
      <c r="TGK527" s="1831"/>
      <c r="TGL527" s="1831"/>
      <c r="TGM527" s="1831"/>
      <c r="TGN527" s="1831"/>
      <c r="TGO527" s="1831"/>
      <c r="TGP527" s="1831"/>
      <c r="TGQ527" s="1831"/>
      <c r="TGR527" s="1831"/>
      <c r="TGS527" s="1831"/>
      <c r="TGT527" s="1831"/>
      <c r="TGU527" s="1831"/>
      <c r="TGV527" s="1831"/>
      <c r="TGW527" s="1831"/>
      <c r="TGX527" s="1831"/>
      <c r="TGY527" s="1831"/>
      <c r="TGZ527" s="1831"/>
      <c r="THA527" s="1831"/>
      <c r="THB527" s="1831"/>
      <c r="THC527" s="1831"/>
      <c r="THD527" s="1831"/>
      <c r="THE527" s="1831"/>
      <c r="THF527" s="1831"/>
      <c r="THG527" s="1831"/>
      <c r="THH527" s="1831"/>
      <c r="THI527" s="1831"/>
      <c r="THJ527" s="1831"/>
      <c r="THK527" s="1831"/>
      <c r="THL527" s="1831"/>
      <c r="THM527" s="1831"/>
      <c r="THN527" s="1831"/>
      <c r="THO527" s="1831"/>
      <c r="THP527" s="1831"/>
      <c r="THQ527" s="1831"/>
      <c r="THR527" s="1831"/>
      <c r="THS527" s="1831"/>
      <c r="THT527" s="1831"/>
      <c r="THU527" s="1831"/>
      <c r="THV527" s="1831"/>
      <c r="THW527" s="1831"/>
      <c r="THX527" s="1831"/>
      <c r="THY527" s="1831"/>
      <c r="THZ527" s="1831"/>
      <c r="TIA527" s="1831"/>
      <c r="TIB527" s="1831"/>
      <c r="TIC527" s="1831"/>
      <c r="TID527" s="1831"/>
      <c r="TIE527" s="1831"/>
      <c r="TIF527" s="1831"/>
      <c r="TIG527" s="1831"/>
      <c r="TIH527" s="1831"/>
      <c r="TII527" s="1831"/>
      <c r="TIJ527" s="1831"/>
      <c r="TIK527" s="1831"/>
      <c r="TIL527" s="1831"/>
      <c r="TIM527" s="1831"/>
      <c r="TIN527" s="1831"/>
      <c r="TIO527" s="1831"/>
      <c r="TIP527" s="1831"/>
      <c r="TIQ527" s="1831"/>
      <c r="TIR527" s="1831"/>
      <c r="TIS527" s="1831"/>
      <c r="TIT527" s="1831"/>
      <c r="TIU527" s="1831"/>
      <c r="TIV527" s="1831"/>
      <c r="TIW527" s="1831"/>
      <c r="TIX527" s="1831"/>
      <c r="TIY527" s="1831"/>
      <c r="TIZ527" s="1831"/>
      <c r="TJA527" s="1831"/>
      <c r="TJB527" s="1831"/>
      <c r="TJC527" s="1831"/>
      <c r="TJD527" s="1831"/>
      <c r="TJE527" s="1831"/>
      <c r="TJF527" s="1831"/>
      <c r="TJG527" s="1831"/>
      <c r="TJH527" s="1831"/>
      <c r="TJI527" s="1831"/>
      <c r="TJJ527" s="1831"/>
      <c r="TJK527" s="1831"/>
      <c r="TJL527" s="1831"/>
      <c r="TJM527" s="1831"/>
      <c r="TJN527" s="1831"/>
      <c r="TJO527" s="1831"/>
      <c r="TJP527" s="1831"/>
      <c r="TJQ527" s="1831"/>
      <c r="TJR527" s="1831"/>
      <c r="TJS527" s="1831"/>
      <c r="TJT527" s="1831"/>
      <c r="TJU527" s="1831"/>
      <c r="TJV527" s="1831"/>
      <c r="TJW527" s="1831"/>
      <c r="TJX527" s="1831"/>
      <c r="TJY527" s="1831"/>
      <c r="TJZ527" s="1831"/>
      <c r="TKA527" s="1831"/>
      <c r="TKB527" s="1831"/>
      <c r="TKC527" s="1831"/>
      <c r="TKD527" s="1831"/>
      <c r="TKE527" s="1831"/>
      <c r="TKF527" s="1831"/>
      <c r="TKG527" s="1831"/>
      <c r="TKH527" s="1831"/>
      <c r="TKI527" s="1831"/>
      <c r="TKJ527" s="1831"/>
      <c r="TKK527" s="1831"/>
      <c r="TKL527" s="1831"/>
      <c r="TKM527" s="1831"/>
      <c r="TKN527" s="1831"/>
      <c r="TKO527" s="1831"/>
      <c r="TKP527" s="1831"/>
      <c r="TKQ527" s="1831"/>
      <c r="TKR527" s="1831"/>
      <c r="TKS527" s="1831"/>
      <c r="TKT527" s="1831"/>
      <c r="TKU527" s="1831"/>
      <c r="TKV527" s="1831"/>
      <c r="TKW527" s="1831"/>
      <c r="TKX527" s="1831"/>
      <c r="TKY527" s="1831"/>
      <c r="TKZ527" s="1831"/>
      <c r="TLA527" s="1831"/>
      <c r="TLB527" s="1831"/>
      <c r="TLC527" s="1831"/>
      <c r="TLD527" s="1831"/>
      <c r="TLE527" s="1831"/>
      <c r="TLF527" s="1831"/>
      <c r="TLG527" s="1831"/>
      <c r="TLH527" s="1831"/>
      <c r="TLI527" s="1831"/>
      <c r="TLJ527" s="1831"/>
      <c r="TLK527" s="1831"/>
      <c r="TLL527" s="1831"/>
      <c r="TLM527" s="1831"/>
      <c r="TLN527" s="1831"/>
      <c r="TLO527" s="1831"/>
      <c r="TLP527" s="1831"/>
      <c r="TLQ527" s="1831"/>
      <c r="TLR527" s="1831"/>
      <c r="TLS527" s="1831"/>
      <c r="TLT527" s="1831"/>
      <c r="TLU527" s="1831"/>
      <c r="TLV527" s="1831"/>
      <c r="TLW527" s="1831"/>
      <c r="TLX527" s="1831"/>
      <c r="TLY527" s="1831"/>
      <c r="TLZ527" s="1831"/>
      <c r="TMA527" s="1831"/>
      <c r="TMB527" s="1831"/>
      <c r="TMC527" s="1831"/>
      <c r="TMD527" s="1831"/>
      <c r="TME527" s="1831"/>
      <c r="TMF527" s="1831"/>
      <c r="TMG527" s="1831"/>
      <c r="TMH527" s="1831"/>
      <c r="TMI527" s="1831"/>
      <c r="TMJ527" s="1831"/>
      <c r="TMK527" s="1831"/>
      <c r="TML527" s="1831"/>
      <c r="TMM527" s="1831"/>
      <c r="TMN527" s="1831"/>
      <c r="TMO527" s="1831"/>
      <c r="TMP527" s="1831"/>
      <c r="TMQ527" s="1831"/>
      <c r="TMR527" s="1831"/>
      <c r="TMS527" s="1831"/>
      <c r="TMT527" s="1831"/>
      <c r="TMU527" s="1831"/>
      <c r="TMV527" s="1831"/>
      <c r="TMW527" s="1831"/>
      <c r="TMX527" s="1831"/>
      <c r="TMY527" s="1831"/>
      <c r="TMZ527" s="1831"/>
      <c r="TNA527" s="1831"/>
      <c r="TNB527" s="1831"/>
      <c r="TNC527" s="1831"/>
      <c r="TND527" s="1831"/>
      <c r="TNE527" s="1831"/>
      <c r="TNF527" s="1831"/>
      <c r="TNG527" s="1831"/>
      <c r="TNH527" s="1831"/>
      <c r="TNI527" s="1831"/>
      <c r="TNJ527" s="1831"/>
      <c r="TNK527" s="1831"/>
      <c r="TNL527" s="1831"/>
      <c r="TNM527" s="1831"/>
      <c r="TNN527" s="1831"/>
      <c r="TNO527" s="1831"/>
      <c r="TNP527" s="1831"/>
      <c r="TNQ527" s="1831"/>
      <c r="TNR527" s="1831"/>
      <c r="TNS527" s="1831"/>
      <c r="TNT527" s="1831"/>
      <c r="TNU527" s="1831"/>
      <c r="TNV527" s="1831"/>
      <c r="TNW527" s="1831"/>
      <c r="TNX527" s="1831"/>
      <c r="TNY527" s="1831"/>
      <c r="TNZ527" s="1831"/>
      <c r="TOA527" s="1831"/>
      <c r="TOB527" s="1831"/>
      <c r="TOC527" s="1831"/>
      <c r="TOD527" s="1831"/>
      <c r="TOE527" s="1831"/>
      <c r="TOF527" s="1831"/>
      <c r="TOG527" s="1831"/>
      <c r="TOH527" s="1831"/>
      <c r="TOI527" s="1831"/>
      <c r="TOJ527" s="1831"/>
      <c r="TOK527" s="1831"/>
      <c r="TOL527" s="1831"/>
      <c r="TOM527" s="1831"/>
      <c r="TON527" s="1831"/>
      <c r="TOO527" s="1831"/>
      <c r="TOP527" s="1831"/>
      <c r="TOQ527" s="1831"/>
      <c r="TOR527" s="1831"/>
      <c r="TOS527" s="1831"/>
      <c r="TOT527" s="1831"/>
      <c r="TOU527" s="1831"/>
      <c r="TOV527" s="1831"/>
      <c r="TOW527" s="1831"/>
      <c r="TOX527" s="1831"/>
      <c r="TOY527" s="1831"/>
      <c r="TOZ527" s="1831"/>
      <c r="TPA527" s="1831"/>
      <c r="TPB527" s="1831"/>
      <c r="TPC527" s="1831"/>
      <c r="TPD527" s="1831"/>
      <c r="TPE527" s="1831"/>
      <c r="TPF527" s="1831"/>
      <c r="TPG527" s="1831"/>
      <c r="TPH527" s="1831"/>
      <c r="TPI527" s="1831"/>
      <c r="TPJ527" s="1831"/>
      <c r="TPK527" s="1831"/>
      <c r="TPL527" s="1831"/>
      <c r="TPM527" s="1831"/>
      <c r="TPN527" s="1831"/>
      <c r="TPO527" s="1831"/>
      <c r="TPP527" s="1831"/>
      <c r="TPQ527" s="1831"/>
      <c r="TPR527" s="1831"/>
      <c r="TPS527" s="1831"/>
      <c r="TPT527" s="1831"/>
      <c r="TPU527" s="1831"/>
      <c r="TPV527" s="1831"/>
      <c r="TPW527" s="1831"/>
      <c r="TPX527" s="1831"/>
      <c r="TPY527" s="1831"/>
      <c r="TPZ527" s="1831"/>
      <c r="TQA527" s="1831"/>
      <c r="TQB527" s="1831"/>
      <c r="TQC527" s="1831"/>
      <c r="TQD527" s="1831"/>
      <c r="TQE527" s="1831"/>
      <c r="TQF527" s="1831"/>
      <c r="TQG527" s="1831"/>
      <c r="TQH527" s="1831"/>
      <c r="TQI527" s="1831"/>
      <c r="TQJ527" s="1831"/>
      <c r="TQK527" s="1831"/>
      <c r="TQL527" s="1831"/>
      <c r="TQM527" s="1831"/>
      <c r="TQN527" s="1831"/>
      <c r="TQO527" s="1831"/>
      <c r="TQP527" s="1831"/>
      <c r="TQQ527" s="1831"/>
      <c r="TQR527" s="1831"/>
      <c r="TQS527" s="1831"/>
      <c r="TQT527" s="1831"/>
      <c r="TQU527" s="1831"/>
      <c r="TQV527" s="1831"/>
      <c r="TQW527" s="1831"/>
      <c r="TQX527" s="1831"/>
      <c r="TQY527" s="1831"/>
      <c r="TQZ527" s="1831"/>
      <c r="TRA527" s="1831"/>
      <c r="TRB527" s="1831"/>
      <c r="TRC527" s="1831"/>
      <c r="TRD527" s="1831"/>
      <c r="TRE527" s="1831"/>
      <c r="TRF527" s="1831"/>
      <c r="TRG527" s="1831"/>
      <c r="TRH527" s="1831"/>
      <c r="TRI527" s="1831"/>
      <c r="TRJ527" s="1831"/>
      <c r="TRK527" s="1831"/>
      <c r="TRL527" s="1831"/>
      <c r="TRM527" s="1831"/>
      <c r="TRN527" s="1831"/>
      <c r="TRO527" s="1831"/>
      <c r="TRP527" s="1831"/>
      <c r="TRQ527" s="1831"/>
      <c r="TRR527" s="1831"/>
      <c r="TRS527" s="1831"/>
      <c r="TRT527" s="1831"/>
      <c r="TRU527" s="1831"/>
      <c r="TRV527" s="1831"/>
      <c r="TRW527" s="1831"/>
      <c r="TRX527" s="1831"/>
      <c r="TRY527" s="1831"/>
      <c r="TRZ527" s="1831"/>
      <c r="TSA527" s="1831"/>
      <c r="TSB527" s="1831"/>
      <c r="TSC527" s="1831"/>
      <c r="TSD527" s="1831"/>
      <c r="TSE527" s="1831"/>
      <c r="TSF527" s="1831"/>
      <c r="TSG527" s="1831"/>
      <c r="TSH527" s="1831"/>
      <c r="TSI527" s="1831"/>
      <c r="TSJ527" s="1831"/>
      <c r="TSK527" s="1831"/>
      <c r="TSL527" s="1831"/>
      <c r="TSM527" s="1831"/>
      <c r="TSN527" s="1831"/>
      <c r="TSO527" s="1831"/>
      <c r="TSP527" s="1831"/>
      <c r="TSQ527" s="1831"/>
      <c r="TSR527" s="1831"/>
      <c r="TSS527" s="1831"/>
      <c r="TST527" s="1831"/>
      <c r="TSU527" s="1831"/>
      <c r="TSV527" s="1831"/>
      <c r="TSW527" s="1831"/>
      <c r="TSX527" s="1831"/>
      <c r="TSY527" s="1831"/>
      <c r="TSZ527" s="1831"/>
      <c r="TTA527" s="1831"/>
      <c r="TTB527" s="1831"/>
      <c r="TTC527" s="1831"/>
      <c r="TTD527" s="1831"/>
      <c r="TTE527" s="1831"/>
      <c r="TTF527" s="1831"/>
      <c r="TTG527" s="1831"/>
      <c r="TTH527" s="1831"/>
      <c r="TTI527" s="1831"/>
      <c r="TTJ527" s="1831"/>
      <c r="TTK527" s="1831"/>
      <c r="TTL527" s="1831"/>
      <c r="TTM527" s="1831"/>
      <c r="TTN527" s="1831"/>
      <c r="TTO527" s="1831"/>
      <c r="TTP527" s="1831"/>
      <c r="TTQ527" s="1831"/>
      <c r="TTR527" s="1831"/>
      <c r="TTS527" s="1831"/>
      <c r="TTT527" s="1831"/>
      <c r="TTU527" s="1831"/>
      <c r="TTV527" s="1831"/>
      <c r="TTW527" s="1831"/>
      <c r="TTX527" s="1831"/>
      <c r="TTY527" s="1831"/>
      <c r="TTZ527" s="1831"/>
      <c r="TUA527" s="1831"/>
      <c r="TUB527" s="1831"/>
      <c r="TUC527" s="1831"/>
      <c r="TUD527" s="1831"/>
      <c r="TUE527" s="1831"/>
      <c r="TUF527" s="1831"/>
      <c r="TUG527" s="1831"/>
      <c r="TUH527" s="1831"/>
      <c r="TUI527" s="1831"/>
      <c r="TUJ527" s="1831"/>
      <c r="TUK527" s="1831"/>
      <c r="TUL527" s="1831"/>
      <c r="TUM527" s="1831"/>
      <c r="TUN527" s="1831"/>
      <c r="TUO527" s="1831"/>
      <c r="TUP527" s="1831"/>
      <c r="TUQ527" s="1831"/>
      <c r="TUR527" s="1831"/>
      <c r="TUS527" s="1831"/>
      <c r="TUT527" s="1831"/>
      <c r="TUU527" s="1831"/>
      <c r="TUV527" s="1831"/>
      <c r="TUW527" s="1831"/>
      <c r="TUX527" s="1831"/>
      <c r="TUY527" s="1831"/>
      <c r="TUZ527" s="1831"/>
      <c r="TVA527" s="1831"/>
      <c r="TVB527" s="1831"/>
      <c r="TVC527" s="1831"/>
      <c r="TVD527" s="1831"/>
      <c r="TVE527" s="1831"/>
      <c r="TVF527" s="1831"/>
      <c r="TVG527" s="1831"/>
      <c r="TVH527" s="1831"/>
      <c r="TVI527" s="1831"/>
      <c r="TVJ527" s="1831"/>
      <c r="TVK527" s="1831"/>
      <c r="TVL527" s="1831"/>
      <c r="TVM527" s="1831"/>
      <c r="TVN527" s="1831"/>
      <c r="TVO527" s="1831"/>
      <c r="TVP527" s="1831"/>
      <c r="TVQ527" s="1831"/>
      <c r="TVR527" s="1831"/>
      <c r="TVS527" s="1831"/>
      <c r="TVT527" s="1831"/>
      <c r="TVU527" s="1831"/>
      <c r="TVV527" s="1831"/>
      <c r="TVW527" s="1831"/>
      <c r="TVX527" s="1831"/>
      <c r="TVY527" s="1831"/>
      <c r="TVZ527" s="1831"/>
      <c r="TWA527" s="1831"/>
      <c r="TWB527" s="1831"/>
      <c r="TWC527" s="1831"/>
      <c r="TWD527" s="1831"/>
      <c r="TWE527" s="1831"/>
      <c r="TWF527" s="1831"/>
      <c r="TWG527" s="1831"/>
      <c r="TWH527" s="1831"/>
      <c r="TWI527" s="1831"/>
      <c r="TWJ527" s="1831"/>
      <c r="TWK527" s="1831"/>
      <c r="TWL527" s="1831"/>
      <c r="TWM527" s="1831"/>
      <c r="TWN527" s="1831"/>
      <c r="TWO527" s="1831"/>
      <c r="TWP527" s="1831"/>
      <c r="TWQ527" s="1831"/>
      <c r="TWR527" s="1831"/>
      <c r="TWS527" s="1831"/>
      <c r="TWT527" s="1831"/>
      <c r="TWU527" s="1831"/>
      <c r="TWV527" s="1831"/>
      <c r="TWW527" s="1831"/>
      <c r="TWX527" s="1831"/>
      <c r="TWY527" s="1831"/>
      <c r="TWZ527" s="1831"/>
      <c r="TXA527" s="1831"/>
      <c r="TXB527" s="1831"/>
      <c r="TXC527" s="1831"/>
      <c r="TXD527" s="1831"/>
      <c r="TXE527" s="1831"/>
      <c r="TXF527" s="1831"/>
      <c r="TXG527" s="1831"/>
      <c r="TXH527" s="1831"/>
      <c r="TXI527" s="1831"/>
      <c r="TXJ527" s="1831"/>
      <c r="TXK527" s="1831"/>
      <c r="TXL527" s="1831"/>
      <c r="TXM527" s="1831"/>
      <c r="TXN527" s="1831"/>
      <c r="TXO527" s="1831"/>
      <c r="TXP527" s="1831"/>
      <c r="TXQ527" s="1831"/>
      <c r="TXR527" s="1831"/>
      <c r="TXS527" s="1831"/>
      <c r="TXT527" s="1831"/>
      <c r="TXU527" s="1831"/>
      <c r="TXV527" s="1831"/>
      <c r="TXW527" s="1831"/>
      <c r="TXX527" s="1831"/>
      <c r="TXY527" s="1831"/>
      <c r="TXZ527" s="1831"/>
      <c r="TYA527" s="1831"/>
      <c r="TYB527" s="1831"/>
      <c r="TYC527" s="1831"/>
      <c r="TYD527" s="1831"/>
      <c r="TYE527" s="1831"/>
      <c r="TYF527" s="1831"/>
      <c r="TYG527" s="1831"/>
      <c r="TYH527" s="1831"/>
      <c r="TYI527" s="1831"/>
      <c r="TYJ527" s="1831"/>
      <c r="TYK527" s="1831"/>
      <c r="TYL527" s="1831"/>
      <c r="TYM527" s="1831"/>
      <c r="TYN527" s="1831"/>
      <c r="TYO527" s="1831"/>
      <c r="TYP527" s="1831"/>
      <c r="TYQ527" s="1831"/>
      <c r="TYR527" s="1831"/>
      <c r="TYS527" s="1831"/>
      <c r="TYT527" s="1831"/>
      <c r="TYU527" s="1831"/>
      <c r="TYV527" s="1831"/>
      <c r="TYW527" s="1831"/>
      <c r="TYX527" s="1831"/>
      <c r="TYY527" s="1831"/>
      <c r="TYZ527" s="1831"/>
      <c r="TZA527" s="1831"/>
      <c r="TZB527" s="1831"/>
      <c r="TZC527" s="1831"/>
      <c r="TZD527" s="1831"/>
      <c r="TZE527" s="1831"/>
      <c r="TZF527" s="1831"/>
      <c r="TZG527" s="1831"/>
      <c r="TZH527" s="1831"/>
      <c r="TZI527" s="1831"/>
      <c r="TZJ527" s="1831"/>
      <c r="TZK527" s="1831"/>
      <c r="TZL527" s="1831"/>
      <c r="TZM527" s="1831"/>
      <c r="TZN527" s="1831"/>
      <c r="TZO527" s="1831"/>
      <c r="TZP527" s="1831"/>
      <c r="TZQ527" s="1831"/>
      <c r="TZR527" s="1831"/>
      <c r="TZS527" s="1831"/>
      <c r="TZT527" s="1831"/>
      <c r="TZU527" s="1831"/>
      <c r="TZV527" s="1831"/>
      <c r="TZW527" s="1831"/>
      <c r="TZX527" s="1831"/>
      <c r="TZY527" s="1831"/>
      <c r="TZZ527" s="1831"/>
      <c r="UAA527" s="1831"/>
      <c r="UAB527" s="1831"/>
      <c r="UAC527" s="1831"/>
      <c r="UAD527" s="1831"/>
      <c r="UAE527" s="1831"/>
      <c r="UAF527" s="1831"/>
      <c r="UAG527" s="1831"/>
      <c r="UAH527" s="1831"/>
      <c r="UAI527" s="1831"/>
      <c r="UAJ527" s="1831"/>
      <c r="UAK527" s="1831"/>
      <c r="UAL527" s="1831"/>
      <c r="UAM527" s="1831"/>
      <c r="UAN527" s="1831"/>
      <c r="UAO527" s="1831"/>
      <c r="UAP527" s="1831"/>
      <c r="UAQ527" s="1831"/>
      <c r="UAR527" s="1831"/>
      <c r="UAS527" s="1831"/>
      <c r="UAT527" s="1831"/>
      <c r="UAU527" s="1831"/>
      <c r="UAV527" s="1831"/>
      <c r="UAW527" s="1831"/>
      <c r="UAX527" s="1831"/>
      <c r="UAY527" s="1831"/>
      <c r="UAZ527" s="1831"/>
      <c r="UBA527" s="1831"/>
      <c r="UBB527" s="1831"/>
      <c r="UBC527" s="1831"/>
      <c r="UBD527" s="1831"/>
      <c r="UBE527" s="1831"/>
      <c r="UBF527" s="1831"/>
      <c r="UBG527" s="1831"/>
      <c r="UBH527" s="1831"/>
      <c r="UBI527" s="1831"/>
      <c r="UBJ527" s="1831"/>
      <c r="UBK527" s="1831"/>
      <c r="UBL527" s="1831"/>
      <c r="UBM527" s="1831"/>
      <c r="UBN527" s="1831"/>
      <c r="UBO527" s="1831"/>
      <c r="UBP527" s="1831"/>
      <c r="UBQ527" s="1831"/>
      <c r="UBR527" s="1831"/>
      <c r="UBS527" s="1831"/>
      <c r="UBT527" s="1831"/>
      <c r="UBU527" s="1831"/>
      <c r="UBV527" s="1831"/>
      <c r="UBW527" s="1831"/>
      <c r="UBX527" s="1831"/>
      <c r="UBY527" s="1831"/>
      <c r="UBZ527" s="1831"/>
      <c r="UCA527" s="1831"/>
      <c r="UCB527" s="1831"/>
      <c r="UCC527" s="1831"/>
      <c r="UCD527" s="1831"/>
      <c r="UCE527" s="1831"/>
      <c r="UCF527" s="1831"/>
      <c r="UCG527" s="1831"/>
      <c r="UCH527" s="1831"/>
      <c r="UCI527" s="1831"/>
      <c r="UCJ527" s="1831"/>
      <c r="UCK527" s="1831"/>
      <c r="UCL527" s="1831"/>
      <c r="UCM527" s="1831"/>
      <c r="UCN527" s="1831"/>
      <c r="UCO527" s="1831"/>
      <c r="UCP527" s="1831"/>
      <c r="UCQ527" s="1831"/>
      <c r="UCR527" s="1831"/>
      <c r="UCS527" s="1831"/>
      <c r="UCT527" s="1831"/>
      <c r="UCU527" s="1831"/>
      <c r="UCV527" s="1831"/>
      <c r="UCW527" s="1831"/>
      <c r="UCX527" s="1831"/>
      <c r="UCY527" s="1831"/>
      <c r="UCZ527" s="1831"/>
      <c r="UDA527" s="1831"/>
      <c r="UDB527" s="1831"/>
      <c r="UDC527" s="1831"/>
      <c r="UDD527" s="1831"/>
      <c r="UDE527" s="1831"/>
      <c r="UDF527" s="1831"/>
      <c r="UDG527" s="1831"/>
      <c r="UDH527" s="1831"/>
      <c r="UDI527" s="1831"/>
      <c r="UDJ527" s="1831"/>
      <c r="UDK527" s="1831"/>
      <c r="UDL527" s="1831"/>
      <c r="UDM527" s="1831"/>
      <c r="UDN527" s="1831"/>
      <c r="UDO527" s="1831"/>
      <c r="UDP527" s="1831"/>
      <c r="UDQ527" s="1831"/>
      <c r="UDR527" s="1831"/>
      <c r="UDS527" s="1831"/>
      <c r="UDT527" s="1831"/>
      <c r="UDU527" s="1831"/>
      <c r="UDV527" s="1831"/>
      <c r="UDW527" s="1831"/>
      <c r="UDX527" s="1831"/>
      <c r="UDY527" s="1831"/>
      <c r="UDZ527" s="1831"/>
      <c r="UEA527" s="1831"/>
      <c r="UEB527" s="1831"/>
      <c r="UEC527" s="1831"/>
      <c r="UED527" s="1831"/>
      <c r="UEE527" s="1831"/>
      <c r="UEF527" s="1831"/>
      <c r="UEG527" s="1831"/>
      <c r="UEH527" s="1831"/>
      <c r="UEI527" s="1831"/>
      <c r="UEJ527" s="1831"/>
      <c r="UEK527" s="1831"/>
      <c r="UEL527" s="1831"/>
      <c r="UEM527" s="1831"/>
      <c r="UEN527" s="1831"/>
      <c r="UEO527" s="1831"/>
      <c r="UEP527" s="1831"/>
      <c r="UEQ527" s="1831"/>
      <c r="UER527" s="1831"/>
      <c r="UES527" s="1831"/>
      <c r="UET527" s="1831"/>
      <c r="UEU527" s="1831"/>
      <c r="UEV527" s="1831"/>
      <c r="UEW527" s="1831"/>
      <c r="UEX527" s="1831"/>
      <c r="UEY527" s="1831"/>
      <c r="UEZ527" s="1831"/>
      <c r="UFA527" s="1831"/>
      <c r="UFB527" s="1831"/>
      <c r="UFC527" s="1831"/>
      <c r="UFD527" s="1831"/>
      <c r="UFE527" s="1831"/>
      <c r="UFF527" s="1831"/>
      <c r="UFG527" s="1831"/>
      <c r="UFH527" s="1831"/>
      <c r="UFI527" s="1831"/>
      <c r="UFJ527" s="1831"/>
      <c r="UFK527" s="1831"/>
      <c r="UFL527" s="1831"/>
      <c r="UFM527" s="1831"/>
      <c r="UFN527" s="1831"/>
      <c r="UFO527" s="1831"/>
      <c r="UFP527" s="1831"/>
      <c r="UFQ527" s="1831"/>
      <c r="UFR527" s="1831"/>
      <c r="UFS527" s="1831"/>
      <c r="UFT527" s="1831"/>
      <c r="UFU527" s="1831"/>
      <c r="UFV527" s="1831"/>
      <c r="UFW527" s="1831"/>
      <c r="UFX527" s="1831"/>
      <c r="UFY527" s="1831"/>
      <c r="UFZ527" s="1831"/>
      <c r="UGA527" s="1831"/>
      <c r="UGB527" s="1831"/>
      <c r="UGC527" s="1831"/>
      <c r="UGD527" s="1831"/>
      <c r="UGE527" s="1831"/>
      <c r="UGF527" s="1831"/>
      <c r="UGG527" s="1831"/>
      <c r="UGH527" s="1831"/>
      <c r="UGI527" s="1831"/>
      <c r="UGJ527" s="1831"/>
      <c r="UGK527" s="1831"/>
      <c r="UGL527" s="1831"/>
      <c r="UGM527" s="1831"/>
      <c r="UGN527" s="1831"/>
      <c r="UGO527" s="1831"/>
      <c r="UGP527" s="1831"/>
      <c r="UGQ527" s="1831"/>
      <c r="UGR527" s="1831"/>
      <c r="UGS527" s="1831"/>
      <c r="UGT527" s="1831"/>
      <c r="UGU527" s="1831"/>
      <c r="UGV527" s="1831"/>
      <c r="UGW527" s="1831"/>
      <c r="UGX527" s="1831"/>
      <c r="UGY527" s="1831"/>
      <c r="UGZ527" s="1831"/>
      <c r="UHA527" s="1831"/>
      <c r="UHB527" s="1831"/>
      <c r="UHC527" s="1831"/>
      <c r="UHD527" s="1831"/>
      <c r="UHE527" s="1831"/>
      <c r="UHF527" s="1831"/>
      <c r="UHG527" s="1831"/>
      <c r="UHH527" s="1831"/>
      <c r="UHI527" s="1831"/>
      <c r="UHJ527" s="1831"/>
      <c r="UHK527" s="1831"/>
      <c r="UHL527" s="1831"/>
      <c r="UHM527" s="1831"/>
      <c r="UHN527" s="1831"/>
      <c r="UHO527" s="1831"/>
      <c r="UHP527" s="1831"/>
      <c r="UHQ527" s="1831"/>
      <c r="UHR527" s="1831"/>
      <c r="UHS527" s="1831"/>
      <c r="UHT527" s="1831"/>
      <c r="UHU527" s="1831"/>
      <c r="UHV527" s="1831"/>
      <c r="UHW527" s="1831"/>
      <c r="UHX527" s="1831"/>
      <c r="UHY527" s="1831"/>
      <c r="UHZ527" s="1831"/>
      <c r="UIA527" s="1831"/>
      <c r="UIB527" s="1831"/>
      <c r="UIC527" s="1831"/>
      <c r="UID527" s="1831"/>
      <c r="UIE527" s="1831"/>
      <c r="UIF527" s="1831"/>
      <c r="UIG527" s="1831"/>
      <c r="UIH527" s="1831"/>
      <c r="UII527" s="1831"/>
      <c r="UIJ527" s="1831"/>
      <c r="UIK527" s="1831"/>
      <c r="UIL527" s="1831"/>
      <c r="UIM527" s="1831"/>
      <c r="UIN527" s="1831"/>
      <c r="UIO527" s="1831"/>
      <c r="UIP527" s="1831"/>
      <c r="UIQ527" s="1831"/>
      <c r="UIR527" s="1831"/>
      <c r="UIS527" s="1831"/>
      <c r="UIT527" s="1831"/>
      <c r="UIU527" s="1831"/>
      <c r="UIV527" s="1831"/>
      <c r="UIW527" s="1831"/>
      <c r="UIX527" s="1831"/>
      <c r="UIY527" s="1831"/>
      <c r="UIZ527" s="1831"/>
      <c r="UJA527" s="1831"/>
      <c r="UJB527" s="1831"/>
      <c r="UJC527" s="1831"/>
      <c r="UJD527" s="1831"/>
      <c r="UJE527" s="1831"/>
      <c r="UJF527" s="1831"/>
      <c r="UJG527" s="1831"/>
      <c r="UJH527" s="1831"/>
      <c r="UJI527" s="1831"/>
      <c r="UJJ527" s="1831"/>
      <c r="UJK527" s="1831"/>
      <c r="UJL527" s="1831"/>
      <c r="UJM527" s="1831"/>
      <c r="UJN527" s="1831"/>
      <c r="UJO527" s="1831"/>
      <c r="UJP527" s="1831"/>
      <c r="UJQ527" s="1831"/>
      <c r="UJR527" s="1831"/>
      <c r="UJS527" s="1831"/>
      <c r="UJT527" s="1831"/>
      <c r="UJU527" s="1831"/>
      <c r="UJV527" s="1831"/>
      <c r="UJW527" s="1831"/>
      <c r="UJX527" s="1831"/>
      <c r="UJY527" s="1831"/>
      <c r="UJZ527" s="1831"/>
      <c r="UKA527" s="1831"/>
      <c r="UKB527" s="1831"/>
      <c r="UKC527" s="1831"/>
      <c r="UKD527" s="1831"/>
      <c r="UKE527" s="1831"/>
      <c r="UKF527" s="1831"/>
      <c r="UKG527" s="1831"/>
      <c r="UKH527" s="1831"/>
      <c r="UKI527" s="1831"/>
      <c r="UKJ527" s="1831"/>
      <c r="UKK527" s="1831"/>
      <c r="UKL527" s="1831"/>
      <c r="UKM527" s="1831"/>
      <c r="UKN527" s="1831"/>
      <c r="UKO527" s="1831"/>
      <c r="UKP527" s="1831"/>
      <c r="UKQ527" s="1831"/>
      <c r="UKR527" s="1831"/>
      <c r="UKS527" s="1831"/>
      <c r="UKT527" s="1831"/>
      <c r="UKU527" s="1831"/>
      <c r="UKV527" s="1831"/>
      <c r="UKW527" s="1831"/>
      <c r="UKX527" s="1831"/>
      <c r="UKY527" s="1831"/>
      <c r="UKZ527" s="1831"/>
      <c r="ULA527" s="1831"/>
      <c r="ULB527" s="1831"/>
      <c r="ULC527" s="1831"/>
      <c r="ULD527" s="1831"/>
      <c r="ULE527" s="1831"/>
      <c r="ULF527" s="1831"/>
      <c r="ULG527" s="1831"/>
      <c r="ULH527" s="1831"/>
      <c r="ULI527" s="1831"/>
      <c r="ULJ527" s="1831"/>
      <c r="ULK527" s="1831"/>
      <c r="ULL527" s="1831"/>
      <c r="ULM527" s="1831"/>
      <c r="ULN527" s="1831"/>
      <c r="ULO527" s="1831"/>
      <c r="ULP527" s="1831"/>
      <c r="ULQ527" s="1831"/>
      <c r="ULR527" s="1831"/>
      <c r="ULS527" s="1831"/>
      <c r="ULT527" s="1831"/>
      <c r="ULU527" s="1831"/>
      <c r="ULV527" s="1831"/>
      <c r="ULW527" s="1831"/>
      <c r="ULX527" s="1831"/>
      <c r="ULY527" s="1831"/>
      <c r="ULZ527" s="1831"/>
      <c r="UMA527" s="1831"/>
      <c r="UMB527" s="1831"/>
      <c r="UMC527" s="1831"/>
      <c r="UMD527" s="1831"/>
      <c r="UME527" s="1831"/>
      <c r="UMF527" s="1831"/>
      <c r="UMG527" s="1831"/>
      <c r="UMH527" s="1831"/>
      <c r="UMI527" s="1831"/>
      <c r="UMJ527" s="1831"/>
      <c r="UMK527" s="1831"/>
      <c r="UML527" s="1831"/>
      <c r="UMM527" s="1831"/>
      <c r="UMN527" s="1831"/>
      <c r="UMO527" s="1831"/>
      <c r="UMP527" s="1831"/>
      <c r="UMQ527" s="1831"/>
      <c r="UMR527" s="1831"/>
      <c r="UMS527" s="1831"/>
      <c r="UMT527" s="1831"/>
      <c r="UMU527" s="1831"/>
      <c r="UMV527" s="1831"/>
      <c r="UMW527" s="1831"/>
      <c r="UMX527" s="1831"/>
      <c r="UMY527" s="1831"/>
      <c r="UMZ527" s="1831"/>
      <c r="UNA527" s="1831"/>
      <c r="UNB527" s="1831"/>
      <c r="UNC527" s="1831"/>
      <c r="UND527" s="1831"/>
      <c r="UNE527" s="1831"/>
      <c r="UNF527" s="1831"/>
      <c r="UNG527" s="1831"/>
      <c r="UNH527" s="1831"/>
      <c r="UNI527" s="1831"/>
      <c r="UNJ527" s="1831"/>
      <c r="UNK527" s="1831"/>
      <c r="UNL527" s="1831"/>
      <c r="UNM527" s="1831"/>
      <c r="UNN527" s="1831"/>
      <c r="UNO527" s="1831"/>
      <c r="UNP527" s="1831"/>
      <c r="UNQ527" s="1831"/>
      <c r="UNR527" s="1831"/>
      <c r="UNS527" s="1831"/>
      <c r="UNT527" s="1831"/>
      <c r="UNU527" s="1831"/>
      <c r="UNV527" s="1831"/>
      <c r="UNW527" s="1831"/>
      <c r="UNX527" s="1831"/>
      <c r="UNY527" s="1831"/>
      <c r="UNZ527" s="1831"/>
      <c r="UOA527" s="1831"/>
      <c r="UOB527" s="1831"/>
      <c r="UOC527" s="1831"/>
      <c r="UOD527" s="1831"/>
      <c r="UOE527" s="1831"/>
      <c r="UOF527" s="1831"/>
      <c r="UOG527" s="1831"/>
      <c r="UOH527" s="1831"/>
      <c r="UOI527" s="1831"/>
      <c r="UOJ527" s="1831"/>
      <c r="UOK527" s="1831"/>
      <c r="UOL527" s="1831"/>
      <c r="UOM527" s="1831"/>
      <c r="UON527" s="1831"/>
      <c r="UOO527" s="1831"/>
      <c r="UOP527" s="1831"/>
      <c r="UOQ527" s="1831"/>
      <c r="UOR527" s="1831"/>
      <c r="UOS527" s="1831"/>
      <c r="UOT527" s="1831"/>
      <c r="UOU527" s="1831"/>
      <c r="UOV527" s="1831"/>
      <c r="UOW527" s="1831"/>
      <c r="UOX527" s="1831"/>
      <c r="UOY527" s="1831"/>
      <c r="UOZ527" s="1831"/>
      <c r="UPA527" s="1831"/>
      <c r="UPB527" s="1831"/>
      <c r="UPC527" s="1831"/>
      <c r="UPD527" s="1831"/>
      <c r="UPE527" s="1831"/>
      <c r="UPF527" s="1831"/>
      <c r="UPG527" s="1831"/>
      <c r="UPH527" s="1831"/>
      <c r="UPI527" s="1831"/>
      <c r="UPJ527" s="1831"/>
      <c r="UPK527" s="1831"/>
      <c r="UPL527" s="1831"/>
      <c r="UPM527" s="1831"/>
      <c r="UPN527" s="1831"/>
      <c r="UPO527" s="1831"/>
      <c r="UPP527" s="1831"/>
      <c r="UPQ527" s="1831"/>
      <c r="UPR527" s="1831"/>
      <c r="UPS527" s="1831"/>
      <c r="UPT527" s="1831"/>
      <c r="UPU527" s="1831"/>
      <c r="UPV527" s="1831"/>
      <c r="UPW527" s="1831"/>
      <c r="UPX527" s="1831"/>
      <c r="UPY527" s="1831"/>
      <c r="UPZ527" s="1831"/>
      <c r="UQA527" s="1831"/>
      <c r="UQB527" s="1831"/>
      <c r="UQC527" s="1831"/>
      <c r="UQD527" s="1831"/>
      <c r="UQE527" s="1831"/>
      <c r="UQF527" s="1831"/>
      <c r="UQG527" s="1831"/>
      <c r="UQH527" s="1831"/>
      <c r="UQI527" s="1831"/>
      <c r="UQJ527" s="1831"/>
      <c r="UQK527" s="1831"/>
      <c r="UQL527" s="1831"/>
      <c r="UQM527" s="1831"/>
      <c r="UQN527" s="1831"/>
      <c r="UQO527" s="1831"/>
      <c r="UQP527" s="1831"/>
      <c r="UQQ527" s="1831"/>
      <c r="UQR527" s="1831"/>
      <c r="UQS527" s="1831"/>
      <c r="UQT527" s="1831"/>
      <c r="UQU527" s="1831"/>
      <c r="UQV527" s="1831"/>
      <c r="UQW527" s="1831"/>
      <c r="UQX527" s="1831"/>
      <c r="UQY527" s="1831"/>
      <c r="UQZ527" s="1831"/>
      <c r="URA527" s="1831"/>
      <c r="URB527" s="1831"/>
      <c r="URC527" s="1831"/>
      <c r="URD527" s="1831"/>
      <c r="URE527" s="1831"/>
      <c r="URF527" s="1831"/>
      <c r="URG527" s="1831"/>
      <c r="URH527" s="1831"/>
      <c r="URI527" s="1831"/>
      <c r="URJ527" s="1831"/>
      <c r="URK527" s="1831"/>
      <c r="URL527" s="1831"/>
      <c r="URM527" s="1831"/>
      <c r="URN527" s="1831"/>
      <c r="URO527" s="1831"/>
      <c r="URP527" s="1831"/>
      <c r="URQ527" s="1831"/>
      <c r="URR527" s="1831"/>
      <c r="URS527" s="1831"/>
      <c r="URT527" s="1831"/>
      <c r="URU527" s="1831"/>
      <c r="URV527" s="1831"/>
      <c r="URW527" s="1831"/>
      <c r="URX527" s="1831"/>
      <c r="URY527" s="1831"/>
      <c r="URZ527" s="1831"/>
      <c r="USA527" s="1831"/>
      <c r="USB527" s="1831"/>
      <c r="USC527" s="1831"/>
      <c r="USD527" s="1831"/>
      <c r="USE527" s="1831"/>
      <c r="USF527" s="1831"/>
      <c r="USG527" s="1831"/>
      <c r="USH527" s="1831"/>
      <c r="USI527" s="1831"/>
      <c r="USJ527" s="1831"/>
      <c r="USK527" s="1831"/>
      <c r="USL527" s="1831"/>
      <c r="USM527" s="1831"/>
      <c r="USN527" s="1831"/>
      <c r="USO527" s="1831"/>
      <c r="USP527" s="1831"/>
      <c r="USQ527" s="1831"/>
      <c r="USR527" s="1831"/>
      <c r="USS527" s="1831"/>
      <c r="UST527" s="1831"/>
      <c r="USU527" s="1831"/>
      <c r="USV527" s="1831"/>
      <c r="USW527" s="1831"/>
      <c r="USX527" s="1831"/>
      <c r="USY527" s="1831"/>
      <c r="USZ527" s="1831"/>
      <c r="UTA527" s="1831"/>
      <c r="UTB527" s="1831"/>
      <c r="UTC527" s="1831"/>
      <c r="UTD527" s="1831"/>
      <c r="UTE527" s="1831"/>
      <c r="UTF527" s="1831"/>
      <c r="UTG527" s="1831"/>
      <c r="UTH527" s="1831"/>
      <c r="UTI527" s="1831"/>
      <c r="UTJ527" s="1831"/>
      <c r="UTK527" s="1831"/>
      <c r="UTL527" s="1831"/>
      <c r="UTM527" s="1831"/>
      <c r="UTN527" s="1831"/>
      <c r="UTO527" s="1831"/>
      <c r="UTP527" s="1831"/>
      <c r="UTQ527" s="1831"/>
      <c r="UTR527" s="1831"/>
      <c r="UTS527" s="1831"/>
      <c r="UTT527" s="1831"/>
      <c r="UTU527" s="1831"/>
      <c r="UTV527" s="1831"/>
      <c r="UTW527" s="1831"/>
      <c r="UTX527" s="1831"/>
      <c r="UTY527" s="1831"/>
      <c r="UTZ527" s="1831"/>
      <c r="UUA527" s="1831"/>
      <c r="UUB527" s="1831"/>
      <c r="UUC527" s="1831"/>
      <c r="UUD527" s="1831"/>
      <c r="UUE527" s="1831"/>
      <c r="UUF527" s="1831"/>
      <c r="UUG527" s="1831"/>
      <c r="UUH527" s="1831"/>
      <c r="UUI527" s="1831"/>
      <c r="UUJ527" s="1831"/>
      <c r="UUK527" s="1831"/>
      <c r="UUL527" s="1831"/>
      <c r="UUM527" s="1831"/>
      <c r="UUN527" s="1831"/>
      <c r="UUO527" s="1831"/>
      <c r="UUP527" s="1831"/>
      <c r="UUQ527" s="1831"/>
      <c r="UUR527" s="1831"/>
      <c r="UUS527" s="1831"/>
      <c r="UUT527" s="1831"/>
      <c r="UUU527" s="1831"/>
      <c r="UUV527" s="1831"/>
      <c r="UUW527" s="1831"/>
      <c r="UUX527" s="1831"/>
      <c r="UUY527" s="1831"/>
      <c r="UUZ527" s="1831"/>
      <c r="UVA527" s="1831"/>
      <c r="UVB527" s="1831"/>
      <c r="UVC527" s="1831"/>
      <c r="UVD527" s="1831"/>
      <c r="UVE527" s="1831"/>
      <c r="UVF527" s="1831"/>
      <c r="UVG527" s="1831"/>
      <c r="UVH527" s="1831"/>
      <c r="UVI527" s="1831"/>
      <c r="UVJ527" s="1831"/>
      <c r="UVK527" s="1831"/>
      <c r="UVL527" s="1831"/>
      <c r="UVM527" s="1831"/>
      <c r="UVN527" s="1831"/>
      <c r="UVO527" s="1831"/>
      <c r="UVP527" s="1831"/>
      <c r="UVQ527" s="1831"/>
      <c r="UVR527" s="1831"/>
      <c r="UVS527" s="1831"/>
      <c r="UVT527" s="1831"/>
      <c r="UVU527" s="1831"/>
      <c r="UVV527" s="1831"/>
      <c r="UVW527" s="1831"/>
      <c r="UVX527" s="1831"/>
      <c r="UVY527" s="1831"/>
      <c r="UVZ527" s="1831"/>
      <c r="UWA527" s="1831"/>
      <c r="UWB527" s="1831"/>
      <c r="UWC527" s="1831"/>
      <c r="UWD527" s="1831"/>
      <c r="UWE527" s="1831"/>
      <c r="UWF527" s="1831"/>
      <c r="UWG527" s="1831"/>
      <c r="UWH527" s="1831"/>
      <c r="UWI527" s="1831"/>
      <c r="UWJ527" s="1831"/>
      <c r="UWK527" s="1831"/>
      <c r="UWL527" s="1831"/>
      <c r="UWM527" s="1831"/>
      <c r="UWN527" s="1831"/>
      <c r="UWO527" s="1831"/>
      <c r="UWP527" s="1831"/>
      <c r="UWQ527" s="1831"/>
      <c r="UWR527" s="1831"/>
      <c r="UWS527" s="1831"/>
      <c r="UWT527" s="1831"/>
      <c r="UWU527" s="1831"/>
      <c r="UWV527" s="1831"/>
      <c r="UWW527" s="1831"/>
      <c r="UWX527" s="1831"/>
      <c r="UWY527" s="1831"/>
      <c r="UWZ527" s="1831"/>
      <c r="UXA527" s="1831"/>
      <c r="UXB527" s="1831"/>
      <c r="UXC527" s="1831"/>
      <c r="UXD527" s="1831"/>
      <c r="UXE527" s="1831"/>
      <c r="UXF527" s="1831"/>
      <c r="UXG527" s="1831"/>
      <c r="UXH527" s="1831"/>
      <c r="UXI527" s="1831"/>
      <c r="UXJ527" s="1831"/>
      <c r="UXK527" s="1831"/>
      <c r="UXL527" s="1831"/>
      <c r="UXM527" s="1831"/>
      <c r="UXN527" s="1831"/>
      <c r="UXO527" s="1831"/>
      <c r="UXP527" s="1831"/>
      <c r="UXQ527" s="1831"/>
      <c r="UXR527" s="1831"/>
      <c r="UXS527" s="1831"/>
      <c r="UXT527" s="1831"/>
      <c r="UXU527" s="1831"/>
      <c r="UXV527" s="1831"/>
      <c r="UXW527" s="1831"/>
      <c r="UXX527" s="1831"/>
      <c r="UXY527" s="1831"/>
      <c r="UXZ527" s="1831"/>
      <c r="UYA527" s="1831"/>
      <c r="UYB527" s="1831"/>
      <c r="UYC527" s="1831"/>
      <c r="UYD527" s="1831"/>
      <c r="UYE527" s="1831"/>
      <c r="UYF527" s="1831"/>
      <c r="UYG527" s="1831"/>
      <c r="UYH527" s="1831"/>
      <c r="UYI527" s="1831"/>
      <c r="UYJ527" s="1831"/>
      <c r="UYK527" s="1831"/>
      <c r="UYL527" s="1831"/>
      <c r="UYM527" s="1831"/>
      <c r="UYN527" s="1831"/>
      <c r="UYO527" s="1831"/>
      <c r="UYP527" s="1831"/>
      <c r="UYQ527" s="1831"/>
      <c r="UYR527" s="1831"/>
      <c r="UYS527" s="1831"/>
      <c r="UYT527" s="1831"/>
      <c r="UYU527" s="1831"/>
      <c r="UYV527" s="1831"/>
      <c r="UYW527" s="1831"/>
      <c r="UYX527" s="1831"/>
      <c r="UYY527" s="1831"/>
      <c r="UYZ527" s="1831"/>
      <c r="UZA527" s="1831"/>
      <c r="UZB527" s="1831"/>
      <c r="UZC527" s="1831"/>
      <c r="UZD527" s="1831"/>
      <c r="UZE527" s="1831"/>
      <c r="UZF527" s="1831"/>
      <c r="UZG527" s="1831"/>
      <c r="UZH527" s="1831"/>
      <c r="UZI527" s="1831"/>
      <c r="UZJ527" s="1831"/>
      <c r="UZK527" s="1831"/>
      <c r="UZL527" s="1831"/>
      <c r="UZM527" s="1831"/>
      <c r="UZN527" s="1831"/>
      <c r="UZO527" s="1831"/>
      <c r="UZP527" s="1831"/>
      <c r="UZQ527" s="1831"/>
      <c r="UZR527" s="1831"/>
      <c r="UZS527" s="1831"/>
      <c r="UZT527" s="1831"/>
      <c r="UZU527" s="1831"/>
      <c r="UZV527" s="1831"/>
      <c r="UZW527" s="1831"/>
      <c r="UZX527" s="1831"/>
      <c r="UZY527" s="1831"/>
      <c r="UZZ527" s="1831"/>
      <c r="VAA527" s="1831"/>
      <c r="VAB527" s="1831"/>
      <c r="VAC527" s="1831"/>
      <c r="VAD527" s="1831"/>
      <c r="VAE527" s="1831"/>
      <c r="VAF527" s="1831"/>
      <c r="VAG527" s="1831"/>
      <c r="VAH527" s="1831"/>
      <c r="VAI527" s="1831"/>
      <c r="VAJ527" s="1831"/>
      <c r="VAK527" s="1831"/>
      <c r="VAL527" s="1831"/>
      <c r="VAM527" s="1831"/>
      <c r="VAN527" s="1831"/>
      <c r="VAO527" s="1831"/>
      <c r="VAP527" s="1831"/>
      <c r="VAQ527" s="1831"/>
      <c r="VAR527" s="1831"/>
      <c r="VAS527" s="1831"/>
      <c r="VAT527" s="1831"/>
      <c r="VAU527" s="1831"/>
      <c r="VAV527" s="1831"/>
      <c r="VAW527" s="1831"/>
      <c r="VAX527" s="1831"/>
      <c r="VAY527" s="1831"/>
      <c r="VAZ527" s="1831"/>
      <c r="VBA527" s="1831"/>
      <c r="VBB527" s="1831"/>
      <c r="VBC527" s="1831"/>
      <c r="VBD527" s="1831"/>
      <c r="VBE527" s="1831"/>
      <c r="VBF527" s="1831"/>
      <c r="VBG527" s="1831"/>
      <c r="VBH527" s="1831"/>
      <c r="VBI527" s="1831"/>
      <c r="VBJ527" s="1831"/>
      <c r="VBK527" s="1831"/>
      <c r="VBL527" s="1831"/>
      <c r="VBM527" s="1831"/>
      <c r="VBN527" s="1831"/>
      <c r="VBO527" s="1831"/>
      <c r="VBP527" s="1831"/>
      <c r="VBQ527" s="1831"/>
      <c r="VBR527" s="1831"/>
      <c r="VBS527" s="1831"/>
      <c r="VBT527" s="1831"/>
      <c r="VBU527" s="1831"/>
      <c r="VBV527" s="1831"/>
      <c r="VBW527" s="1831"/>
      <c r="VBX527" s="1831"/>
      <c r="VBY527" s="1831"/>
      <c r="VBZ527" s="1831"/>
      <c r="VCA527" s="1831"/>
      <c r="VCB527" s="1831"/>
      <c r="VCC527" s="1831"/>
      <c r="VCD527" s="1831"/>
      <c r="VCE527" s="1831"/>
      <c r="VCF527" s="1831"/>
      <c r="VCG527" s="1831"/>
      <c r="VCH527" s="1831"/>
      <c r="VCI527" s="1831"/>
      <c r="VCJ527" s="1831"/>
      <c r="VCK527" s="1831"/>
      <c r="VCL527" s="1831"/>
      <c r="VCM527" s="1831"/>
      <c r="VCN527" s="1831"/>
      <c r="VCO527" s="1831"/>
      <c r="VCP527" s="1831"/>
      <c r="VCQ527" s="1831"/>
      <c r="VCR527" s="1831"/>
      <c r="VCS527" s="1831"/>
      <c r="VCT527" s="1831"/>
      <c r="VCU527" s="1831"/>
      <c r="VCV527" s="1831"/>
      <c r="VCW527" s="1831"/>
      <c r="VCX527" s="1831"/>
      <c r="VCY527" s="1831"/>
      <c r="VCZ527" s="1831"/>
      <c r="VDA527" s="1831"/>
      <c r="VDB527" s="1831"/>
      <c r="VDC527" s="1831"/>
      <c r="VDD527" s="1831"/>
      <c r="VDE527" s="1831"/>
      <c r="VDF527" s="1831"/>
      <c r="VDG527" s="1831"/>
      <c r="VDH527" s="1831"/>
      <c r="VDI527" s="1831"/>
      <c r="VDJ527" s="1831"/>
      <c r="VDK527" s="1831"/>
      <c r="VDL527" s="1831"/>
      <c r="VDM527" s="1831"/>
      <c r="VDN527" s="1831"/>
      <c r="VDO527" s="1831"/>
      <c r="VDP527" s="1831"/>
      <c r="VDQ527" s="1831"/>
      <c r="VDR527" s="1831"/>
      <c r="VDS527" s="1831"/>
      <c r="VDT527" s="1831"/>
      <c r="VDU527" s="1831"/>
      <c r="VDV527" s="1831"/>
      <c r="VDW527" s="1831"/>
      <c r="VDX527" s="1831"/>
      <c r="VDY527" s="1831"/>
      <c r="VDZ527" s="1831"/>
      <c r="VEA527" s="1831"/>
      <c r="VEB527" s="1831"/>
      <c r="VEC527" s="1831"/>
      <c r="VED527" s="1831"/>
      <c r="VEE527" s="1831"/>
      <c r="VEF527" s="1831"/>
      <c r="VEG527" s="1831"/>
      <c r="VEH527" s="1831"/>
      <c r="VEI527" s="1831"/>
      <c r="VEJ527" s="1831"/>
      <c r="VEK527" s="1831"/>
      <c r="VEL527" s="1831"/>
      <c r="VEM527" s="1831"/>
      <c r="VEN527" s="1831"/>
      <c r="VEO527" s="1831"/>
      <c r="VEP527" s="1831"/>
      <c r="VEQ527" s="1831"/>
      <c r="VER527" s="1831"/>
      <c r="VES527" s="1831"/>
      <c r="VET527" s="1831"/>
      <c r="VEU527" s="1831"/>
      <c r="VEV527" s="1831"/>
      <c r="VEW527" s="1831"/>
      <c r="VEX527" s="1831"/>
      <c r="VEY527" s="1831"/>
      <c r="VEZ527" s="1831"/>
      <c r="VFA527" s="1831"/>
      <c r="VFB527" s="1831"/>
      <c r="VFC527" s="1831"/>
      <c r="VFD527" s="1831"/>
      <c r="VFE527" s="1831"/>
      <c r="VFF527" s="1831"/>
      <c r="VFG527" s="1831"/>
      <c r="VFH527" s="1831"/>
      <c r="VFI527" s="1831"/>
      <c r="VFJ527" s="1831"/>
      <c r="VFK527" s="1831"/>
      <c r="VFL527" s="1831"/>
      <c r="VFM527" s="1831"/>
      <c r="VFN527" s="1831"/>
      <c r="VFO527" s="1831"/>
      <c r="VFP527" s="1831"/>
      <c r="VFQ527" s="1831"/>
      <c r="VFR527" s="1831"/>
      <c r="VFS527" s="1831"/>
      <c r="VFT527" s="1831"/>
      <c r="VFU527" s="1831"/>
      <c r="VFV527" s="1831"/>
      <c r="VFW527" s="1831"/>
      <c r="VFX527" s="1831"/>
      <c r="VFY527" s="1831"/>
      <c r="VFZ527" s="1831"/>
      <c r="VGA527" s="1831"/>
      <c r="VGB527" s="1831"/>
      <c r="VGC527" s="1831"/>
      <c r="VGD527" s="1831"/>
      <c r="VGE527" s="1831"/>
      <c r="VGF527" s="1831"/>
      <c r="VGG527" s="1831"/>
      <c r="VGH527" s="1831"/>
      <c r="VGI527" s="1831"/>
      <c r="VGJ527" s="1831"/>
      <c r="VGK527" s="1831"/>
      <c r="VGL527" s="1831"/>
      <c r="VGM527" s="1831"/>
      <c r="VGN527" s="1831"/>
      <c r="VGO527" s="1831"/>
      <c r="VGP527" s="1831"/>
      <c r="VGQ527" s="1831"/>
      <c r="VGR527" s="1831"/>
      <c r="VGS527" s="1831"/>
      <c r="VGT527" s="1831"/>
      <c r="VGU527" s="1831"/>
      <c r="VGV527" s="1831"/>
      <c r="VGW527" s="1831"/>
      <c r="VGX527" s="1831"/>
      <c r="VGY527" s="1831"/>
      <c r="VGZ527" s="1831"/>
      <c r="VHA527" s="1831"/>
      <c r="VHB527" s="1831"/>
      <c r="VHC527" s="1831"/>
      <c r="VHD527" s="1831"/>
      <c r="VHE527" s="1831"/>
      <c r="VHF527" s="1831"/>
      <c r="VHG527" s="1831"/>
      <c r="VHH527" s="1831"/>
      <c r="VHI527" s="1831"/>
      <c r="VHJ527" s="1831"/>
      <c r="VHK527" s="1831"/>
      <c r="VHL527" s="1831"/>
      <c r="VHM527" s="1831"/>
      <c r="VHN527" s="1831"/>
      <c r="VHO527" s="1831"/>
      <c r="VHP527" s="1831"/>
      <c r="VHQ527" s="1831"/>
      <c r="VHR527" s="1831"/>
      <c r="VHS527" s="1831"/>
      <c r="VHT527" s="1831"/>
      <c r="VHU527" s="1831"/>
      <c r="VHV527" s="1831"/>
      <c r="VHW527" s="1831"/>
      <c r="VHX527" s="1831"/>
      <c r="VHY527" s="1831"/>
      <c r="VHZ527" s="1831"/>
      <c r="VIA527" s="1831"/>
      <c r="VIB527" s="1831"/>
      <c r="VIC527" s="1831"/>
      <c r="VID527" s="1831"/>
      <c r="VIE527" s="1831"/>
      <c r="VIF527" s="1831"/>
      <c r="VIG527" s="1831"/>
      <c r="VIH527" s="1831"/>
      <c r="VII527" s="1831"/>
      <c r="VIJ527" s="1831"/>
      <c r="VIK527" s="1831"/>
      <c r="VIL527" s="1831"/>
      <c r="VIM527" s="1831"/>
      <c r="VIN527" s="1831"/>
      <c r="VIO527" s="1831"/>
      <c r="VIP527" s="1831"/>
      <c r="VIQ527" s="1831"/>
      <c r="VIR527" s="1831"/>
      <c r="VIS527" s="1831"/>
      <c r="VIT527" s="1831"/>
      <c r="VIU527" s="1831"/>
      <c r="VIV527" s="1831"/>
      <c r="VIW527" s="1831"/>
      <c r="VIX527" s="1831"/>
      <c r="VIY527" s="1831"/>
      <c r="VIZ527" s="1831"/>
      <c r="VJA527" s="1831"/>
      <c r="VJB527" s="1831"/>
      <c r="VJC527" s="1831"/>
      <c r="VJD527" s="1831"/>
      <c r="VJE527" s="1831"/>
      <c r="VJF527" s="1831"/>
      <c r="VJG527" s="1831"/>
      <c r="VJH527" s="1831"/>
      <c r="VJI527" s="1831"/>
      <c r="VJJ527" s="1831"/>
      <c r="VJK527" s="1831"/>
      <c r="VJL527" s="1831"/>
      <c r="VJM527" s="1831"/>
      <c r="VJN527" s="1831"/>
      <c r="VJO527" s="1831"/>
      <c r="VJP527" s="1831"/>
      <c r="VJQ527" s="1831"/>
      <c r="VJR527" s="1831"/>
      <c r="VJS527" s="1831"/>
      <c r="VJT527" s="1831"/>
      <c r="VJU527" s="1831"/>
      <c r="VJV527" s="1831"/>
      <c r="VJW527" s="1831"/>
      <c r="VJX527" s="1831"/>
      <c r="VJY527" s="1831"/>
      <c r="VJZ527" s="1831"/>
      <c r="VKA527" s="1831"/>
      <c r="VKB527" s="1831"/>
      <c r="VKC527" s="1831"/>
      <c r="VKD527" s="1831"/>
      <c r="VKE527" s="1831"/>
      <c r="VKF527" s="1831"/>
      <c r="VKG527" s="1831"/>
      <c r="VKH527" s="1831"/>
      <c r="VKI527" s="1831"/>
      <c r="VKJ527" s="1831"/>
      <c r="VKK527" s="1831"/>
      <c r="VKL527" s="1831"/>
      <c r="VKM527" s="1831"/>
      <c r="VKN527" s="1831"/>
      <c r="VKO527" s="1831"/>
      <c r="VKP527" s="1831"/>
      <c r="VKQ527" s="1831"/>
      <c r="VKR527" s="1831"/>
      <c r="VKS527" s="1831"/>
      <c r="VKT527" s="1831"/>
      <c r="VKU527" s="1831"/>
      <c r="VKV527" s="1831"/>
      <c r="VKW527" s="1831"/>
      <c r="VKX527" s="1831"/>
      <c r="VKY527" s="1831"/>
      <c r="VKZ527" s="1831"/>
      <c r="VLA527" s="1831"/>
      <c r="VLB527" s="1831"/>
      <c r="VLC527" s="1831"/>
      <c r="VLD527" s="1831"/>
      <c r="VLE527" s="1831"/>
      <c r="VLF527" s="1831"/>
      <c r="VLG527" s="1831"/>
      <c r="VLH527" s="1831"/>
      <c r="VLI527" s="1831"/>
      <c r="VLJ527" s="1831"/>
      <c r="VLK527" s="1831"/>
      <c r="VLL527" s="1831"/>
      <c r="VLM527" s="1831"/>
      <c r="VLN527" s="1831"/>
      <c r="VLO527" s="1831"/>
      <c r="VLP527" s="1831"/>
      <c r="VLQ527" s="1831"/>
      <c r="VLR527" s="1831"/>
      <c r="VLS527" s="1831"/>
      <c r="VLT527" s="1831"/>
      <c r="VLU527" s="1831"/>
      <c r="VLV527" s="1831"/>
      <c r="VLW527" s="1831"/>
      <c r="VLX527" s="1831"/>
      <c r="VLY527" s="1831"/>
      <c r="VLZ527" s="1831"/>
      <c r="VMA527" s="1831"/>
      <c r="VMB527" s="1831"/>
      <c r="VMC527" s="1831"/>
      <c r="VMD527" s="1831"/>
      <c r="VME527" s="1831"/>
      <c r="VMF527" s="1831"/>
      <c r="VMG527" s="1831"/>
      <c r="VMH527" s="1831"/>
      <c r="VMI527" s="1831"/>
      <c r="VMJ527" s="1831"/>
      <c r="VMK527" s="1831"/>
      <c r="VML527" s="1831"/>
      <c r="VMM527" s="1831"/>
      <c r="VMN527" s="1831"/>
      <c r="VMO527" s="1831"/>
      <c r="VMP527" s="1831"/>
      <c r="VMQ527" s="1831"/>
      <c r="VMR527" s="1831"/>
      <c r="VMS527" s="1831"/>
      <c r="VMT527" s="1831"/>
      <c r="VMU527" s="1831"/>
      <c r="VMV527" s="1831"/>
      <c r="VMW527" s="1831"/>
      <c r="VMX527" s="1831"/>
      <c r="VMY527" s="1831"/>
      <c r="VMZ527" s="1831"/>
      <c r="VNA527" s="1831"/>
      <c r="VNB527" s="1831"/>
      <c r="VNC527" s="1831"/>
      <c r="VND527" s="1831"/>
      <c r="VNE527" s="1831"/>
      <c r="VNF527" s="1831"/>
      <c r="VNG527" s="1831"/>
      <c r="VNH527" s="1831"/>
      <c r="VNI527" s="1831"/>
      <c r="VNJ527" s="1831"/>
      <c r="VNK527" s="1831"/>
      <c r="VNL527" s="1831"/>
      <c r="VNM527" s="1831"/>
      <c r="VNN527" s="1831"/>
      <c r="VNO527" s="1831"/>
      <c r="VNP527" s="1831"/>
      <c r="VNQ527" s="1831"/>
      <c r="VNR527" s="1831"/>
      <c r="VNS527" s="1831"/>
      <c r="VNT527" s="1831"/>
      <c r="VNU527" s="1831"/>
      <c r="VNV527" s="1831"/>
      <c r="VNW527" s="1831"/>
      <c r="VNX527" s="1831"/>
      <c r="VNY527" s="1831"/>
      <c r="VNZ527" s="1831"/>
      <c r="VOA527" s="1831"/>
      <c r="VOB527" s="1831"/>
      <c r="VOC527" s="1831"/>
      <c r="VOD527" s="1831"/>
      <c r="VOE527" s="1831"/>
      <c r="VOF527" s="1831"/>
      <c r="VOG527" s="1831"/>
      <c r="VOH527" s="1831"/>
      <c r="VOI527" s="1831"/>
      <c r="VOJ527" s="1831"/>
      <c r="VOK527" s="1831"/>
      <c r="VOL527" s="1831"/>
      <c r="VOM527" s="1831"/>
      <c r="VON527" s="1831"/>
      <c r="VOO527" s="1831"/>
      <c r="VOP527" s="1831"/>
      <c r="VOQ527" s="1831"/>
      <c r="VOR527" s="1831"/>
      <c r="VOS527" s="1831"/>
      <c r="VOT527" s="1831"/>
      <c r="VOU527" s="1831"/>
      <c r="VOV527" s="1831"/>
      <c r="VOW527" s="1831"/>
      <c r="VOX527" s="1831"/>
      <c r="VOY527" s="1831"/>
      <c r="VOZ527" s="1831"/>
      <c r="VPA527" s="1831"/>
      <c r="VPB527" s="1831"/>
      <c r="VPC527" s="1831"/>
      <c r="VPD527" s="1831"/>
      <c r="VPE527" s="1831"/>
      <c r="VPF527" s="1831"/>
      <c r="VPG527" s="1831"/>
      <c r="VPH527" s="1831"/>
      <c r="VPI527" s="1831"/>
      <c r="VPJ527" s="1831"/>
      <c r="VPK527" s="1831"/>
      <c r="VPL527" s="1831"/>
      <c r="VPM527" s="1831"/>
      <c r="VPN527" s="1831"/>
      <c r="VPO527" s="1831"/>
      <c r="VPP527" s="1831"/>
      <c r="VPQ527" s="1831"/>
      <c r="VPR527" s="1831"/>
      <c r="VPS527" s="1831"/>
      <c r="VPT527" s="1831"/>
      <c r="VPU527" s="1831"/>
      <c r="VPV527" s="1831"/>
      <c r="VPW527" s="1831"/>
      <c r="VPX527" s="1831"/>
      <c r="VPY527" s="1831"/>
      <c r="VPZ527" s="1831"/>
      <c r="VQA527" s="1831"/>
      <c r="VQB527" s="1831"/>
      <c r="VQC527" s="1831"/>
      <c r="VQD527" s="1831"/>
      <c r="VQE527" s="1831"/>
      <c r="VQF527" s="1831"/>
      <c r="VQG527" s="1831"/>
      <c r="VQH527" s="1831"/>
      <c r="VQI527" s="1831"/>
      <c r="VQJ527" s="1831"/>
      <c r="VQK527" s="1831"/>
      <c r="VQL527" s="1831"/>
      <c r="VQM527" s="1831"/>
      <c r="VQN527" s="1831"/>
      <c r="VQO527" s="1831"/>
      <c r="VQP527" s="1831"/>
      <c r="VQQ527" s="1831"/>
      <c r="VQR527" s="1831"/>
      <c r="VQS527" s="1831"/>
      <c r="VQT527" s="1831"/>
      <c r="VQU527" s="1831"/>
      <c r="VQV527" s="1831"/>
      <c r="VQW527" s="1831"/>
      <c r="VQX527" s="1831"/>
      <c r="VQY527" s="1831"/>
      <c r="VQZ527" s="1831"/>
      <c r="VRA527" s="1831"/>
      <c r="VRB527" s="1831"/>
      <c r="VRC527" s="1831"/>
      <c r="VRD527" s="1831"/>
      <c r="VRE527" s="1831"/>
      <c r="VRF527" s="1831"/>
      <c r="VRG527" s="1831"/>
      <c r="VRH527" s="1831"/>
      <c r="VRI527" s="1831"/>
      <c r="VRJ527" s="1831"/>
      <c r="VRK527" s="1831"/>
      <c r="VRL527" s="1831"/>
      <c r="VRM527" s="1831"/>
      <c r="VRN527" s="1831"/>
      <c r="VRO527" s="1831"/>
      <c r="VRP527" s="1831"/>
      <c r="VRQ527" s="1831"/>
      <c r="VRR527" s="1831"/>
      <c r="VRS527" s="1831"/>
      <c r="VRT527" s="1831"/>
      <c r="VRU527" s="1831"/>
      <c r="VRV527" s="1831"/>
      <c r="VRW527" s="1831"/>
      <c r="VRX527" s="1831"/>
      <c r="VRY527" s="1831"/>
      <c r="VRZ527" s="1831"/>
      <c r="VSA527" s="1831"/>
      <c r="VSB527" s="1831"/>
      <c r="VSC527" s="1831"/>
      <c r="VSD527" s="1831"/>
      <c r="VSE527" s="1831"/>
      <c r="VSF527" s="1831"/>
      <c r="VSG527" s="1831"/>
      <c r="VSH527" s="1831"/>
      <c r="VSI527" s="1831"/>
      <c r="VSJ527" s="1831"/>
      <c r="VSK527" s="1831"/>
      <c r="VSL527" s="1831"/>
      <c r="VSM527" s="1831"/>
      <c r="VSN527" s="1831"/>
      <c r="VSO527" s="1831"/>
      <c r="VSP527" s="1831"/>
      <c r="VSQ527" s="1831"/>
      <c r="VSR527" s="1831"/>
      <c r="VSS527" s="1831"/>
      <c r="VST527" s="1831"/>
      <c r="VSU527" s="1831"/>
      <c r="VSV527" s="1831"/>
      <c r="VSW527" s="1831"/>
      <c r="VSX527" s="1831"/>
      <c r="VSY527" s="1831"/>
      <c r="VSZ527" s="1831"/>
      <c r="VTA527" s="1831"/>
      <c r="VTB527" s="1831"/>
      <c r="VTC527" s="1831"/>
      <c r="VTD527" s="1831"/>
      <c r="VTE527" s="1831"/>
      <c r="VTF527" s="1831"/>
      <c r="VTG527" s="1831"/>
      <c r="VTH527" s="1831"/>
      <c r="VTI527" s="1831"/>
      <c r="VTJ527" s="1831"/>
      <c r="VTK527" s="1831"/>
      <c r="VTL527" s="1831"/>
      <c r="VTM527" s="1831"/>
      <c r="VTN527" s="1831"/>
      <c r="VTO527" s="1831"/>
      <c r="VTP527" s="1831"/>
      <c r="VTQ527" s="1831"/>
      <c r="VTR527" s="1831"/>
      <c r="VTS527" s="1831"/>
      <c r="VTT527" s="1831"/>
      <c r="VTU527" s="1831"/>
      <c r="VTV527" s="1831"/>
      <c r="VTW527" s="1831"/>
      <c r="VTX527" s="1831"/>
      <c r="VTY527" s="1831"/>
      <c r="VTZ527" s="1831"/>
      <c r="VUA527" s="1831"/>
      <c r="VUB527" s="1831"/>
      <c r="VUC527" s="1831"/>
      <c r="VUD527" s="1831"/>
      <c r="VUE527" s="1831"/>
      <c r="VUF527" s="1831"/>
      <c r="VUG527" s="1831"/>
      <c r="VUH527" s="1831"/>
      <c r="VUI527" s="1831"/>
      <c r="VUJ527" s="1831"/>
      <c r="VUK527" s="1831"/>
      <c r="VUL527" s="1831"/>
      <c r="VUM527" s="1831"/>
      <c r="VUN527" s="1831"/>
      <c r="VUO527" s="1831"/>
      <c r="VUP527" s="1831"/>
      <c r="VUQ527" s="1831"/>
      <c r="VUR527" s="1831"/>
      <c r="VUS527" s="1831"/>
      <c r="VUT527" s="1831"/>
      <c r="VUU527" s="1831"/>
      <c r="VUV527" s="1831"/>
      <c r="VUW527" s="1831"/>
      <c r="VUX527" s="1831"/>
      <c r="VUY527" s="1831"/>
      <c r="VUZ527" s="1831"/>
      <c r="VVA527" s="1831"/>
      <c r="VVB527" s="1831"/>
      <c r="VVC527" s="1831"/>
      <c r="VVD527" s="1831"/>
      <c r="VVE527" s="1831"/>
      <c r="VVF527" s="1831"/>
      <c r="VVG527" s="1831"/>
      <c r="VVH527" s="1831"/>
      <c r="VVI527" s="1831"/>
      <c r="VVJ527" s="1831"/>
      <c r="VVK527" s="1831"/>
      <c r="VVL527" s="1831"/>
      <c r="VVM527" s="1831"/>
      <c r="VVN527" s="1831"/>
      <c r="VVO527" s="1831"/>
      <c r="VVP527" s="1831"/>
      <c r="VVQ527" s="1831"/>
      <c r="VVR527" s="1831"/>
      <c r="VVS527" s="1831"/>
      <c r="VVT527" s="1831"/>
      <c r="VVU527" s="1831"/>
      <c r="VVV527" s="1831"/>
      <c r="VVW527" s="1831"/>
      <c r="VVX527" s="1831"/>
      <c r="VVY527" s="1831"/>
      <c r="VVZ527" s="1831"/>
      <c r="VWA527" s="1831"/>
      <c r="VWB527" s="1831"/>
      <c r="VWC527" s="1831"/>
      <c r="VWD527" s="1831"/>
      <c r="VWE527" s="1831"/>
      <c r="VWF527" s="1831"/>
      <c r="VWG527" s="1831"/>
      <c r="VWH527" s="1831"/>
      <c r="VWI527" s="1831"/>
      <c r="VWJ527" s="1831"/>
      <c r="VWK527" s="1831"/>
      <c r="VWL527" s="1831"/>
      <c r="VWM527" s="1831"/>
      <c r="VWN527" s="1831"/>
      <c r="VWO527" s="1831"/>
      <c r="VWP527" s="1831"/>
      <c r="VWQ527" s="1831"/>
      <c r="VWR527" s="1831"/>
      <c r="VWS527" s="1831"/>
      <c r="VWT527" s="1831"/>
      <c r="VWU527" s="1831"/>
      <c r="VWV527" s="1831"/>
      <c r="VWW527" s="1831"/>
      <c r="VWX527" s="1831"/>
      <c r="VWY527" s="1831"/>
      <c r="VWZ527" s="1831"/>
      <c r="VXA527" s="1831"/>
      <c r="VXB527" s="1831"/>
      <c r="VXC527" s="1831"/>
      <c r="VXD527" s="1831"/>
      <c r="VXE527" s="1831"/>
      <c r="VXF527" s="1831"/>
      <c r="VXG527" s="1831"/>
      <c r="VXH527" s="1831"/>
      <c r="VXI527" s="1831"/>
      <c r="VXJ527" s="1831"/>
      <c r="VXK527" s="1831"/>
      <c r="VXL527" s="1831"/>
      <c r="VXM527" s="1831"/>
      <c r="VXN527" s="1831"/>
      <c r="VXO527" s="1831"/>
      <c r="VXP527" s="1831"/>
      <c r="VXQ527" s="1831"/>
      <c r="VXR527" s="1831"/>
      <c r="VXS527" s="1831"/>
      <c r="VXT527" s="1831"/>
      <c r="VXU527" s="1831"/>
      <c r="VXV527" s="1831"/>
      <c r="VXW527" s="1831"/>
      <c r="VXX527" s="1831"/>
      <c r="VXY527" s="1831"/>
      <c r="VXZ527" s="1831"/>
      <c r="VYA527" s="1831"/>
      <c r="VYB527" s="1831"/>
      <c r="VYC527" s="1831"/>
      <c r="VYD527" s="1831"/>
      <c r="VYE527" s="1831"/>
      <c r="VYF527" s="1831"/>
      <c r="VYG527" s="1831"/>
      <c r="VYH527" s="1831"/>
      <c r="VYI527" s="1831"/>
      <c r="VYJ527" s="1831"/>
      <c r="VYK527" s="1831"/>
      <c r="VYL527" s="1831"/>
      <c r="VYM527" s="1831"/>
      <c r="VYN527" s="1831"/>
      <c r="VYO527" s="1831"/>
      <c r="VYP527" s="1831"/>
      <c r="VYQ527" s="1831"/>
      <c r="VYR527" s="1831"/>
      <c r="VYS527" s="1831"/>
      <c r="VYT527" s="1831"/>
      <c r="VYU527" s="1831"/>
      <c r="VYV527" s="1831"/>
      <c r="VYW527" s="1831"/>
      <c r="VYX527" s="1831"/>
      <c r="VYY527" s="1831"/>
      <c r="VYZ527" s="1831"/>
      <c r="VZA527" s="1831"/>
      <c r="VZB527" s="1831"/>
      <c r="VZC527" s="1831"/>
      <c r="VZD527" s="1831"/>
      <c r="VZE527" s="1831"/>
      <c r="VZF527" s="1831"/>
      <c r="VZG527" s="1831"/>
      <c r="VZH527" s="1831"/>
      <c r="VZI527" s="1831"/>
      <c r="VZJ527" s="1831"/>
      <c r="VZK527" s="1831"/>
      <c r="VZL527" s="1831"/>
      <c r="VZM527" s="1831"/>
      <c r="VZN527" s="1831"/>
      <c r="VZO527" s="1831"/>
      <c r="VZP527" s="1831"/>
      <c r="VZQ527" s="1831"/>
      <c r="VZR527" s="1831"/>
      <c r="VZS527" s="1831"/>
      <c r="VZT527" s="1831"/>
      <c r="VZU527" s="1831"/>
      <c r="VZV527" s="1831"/>
      <c r="VZW527" s="1831"/>
      <c r="VZX527" s="1831"/>
      <c r="VZY527" s="1831"/>
      <c r="VZZ527" s="1831"/>
      <c r="WAA527" s="1831"/>
      <c r="WAB527" s="1831"/>
      <c r="WAC527" s="1831"/>
      <c r="WAD527" s="1831"/>
      <c r="WAE527" s="1831"/>
      <c r="WAF527" s="1831"/>
      <c r="WAG527" s="1831"/>
      <c r="WAH527" s="1831"/>
      <c r="WAI527" s="1831"/>
      <c r="WAJ527" s="1831"/>
      <c r="WAK527" s="1831"/>
      <c r="WAL527" s="1831"/>
      <c r="WAM527" s="1831"/>
      <c r="WAN527" s="1831"/>
      <c r="WAO527" s="1831"/>
      <c r="WAP527" s="1831"/>
      <c r="WAQ527" s="1831"/>
      <c r="WAR527" s="1831"/>
      <c r="WAS527" s="1831"/>
      <c r="WAT527" s="1831"/>
      <c r="WAU527" s="1831"/>
      <c r="WAV527" s="1831"/>
      <c r="WAW527" s="1831"/>
      <c r="WAX527" s="1831"/>
      <c r="WAY527" s="1831"/>
      <c r="WAZ527" s="1831"/>
      <c r="WBA527" s="1831"/>
      <c r="WBB527" s="1831"/>
      <c r="WBC527" s="1831"/>
      <c r="WBD527" s="1831"/>
      <c r="WBE527" s="1831"/>
      <c r="WBF527" s="1831"/>
      <c r="WBG527" s="1831"/>
      <c r="WBH527" s="1831"/>
      <c r="WBI527" s="1831"/>
      <c r="WBJ527" s="1831"/>
      <c r="WBK527" s="1831"/>
      <c r="WBL527" s="1831"/>
      <c r="WBM527" s="1831"/>
      <c r="WBN527" s="1831"/>
      <c r="WBO527" s="1831"/>
      <c r="WBP527" s="1831"/>
      <c r="WBQ527" s="1831"/>
      <c r="WBR527" s="1831"/>
      <c r="WBS527" s="1831"/>
      <c r="WBT527" s="1831"/>
      <c r="WBU527" s="1831"/>
      <c r="WBV527" s="1831"/>
      <c r="WBW527" s="1831"/>
      <c r="WBX527" s="1831"/>
      <c r="WBY527" s="1831"/>
      <c r="WBZ527" s="1831"/>
      <c r="WCA527" s="1831"/>
      <c r="WCB527" s="1831"/>
      <c r="WCC527" s="1831"/>
      <c r="WCD527" s="1831"/>
      <c r="WCE527" s="1831"/>
      <c r="WCF527" s="1831"/>
      <c r="WCG527" s="1831"/>
      <c r="WCH527" s="1831"/>
      <c r="WCI527" s="1831"/>
      <c r="WCJ527" s="1831"/>
      <c r="WCK527" s="1831"/>
      <c r="WCL527" s="1831"/>
      <c r="WCM527" s="1831"/>
      <c r="WCN527" s="1831"/>
      <c r="WCO527" s="1831"/>
      <c r="WCP527" s="1831"/>
      <c r="WCQ527" s="1831"/>
      <c r="WCR527" s="1831"/>
      <c r="WCS527" s="1831"/>
      <c r="WCT527" s="1831"/>
      <c r="WCU527" s="1831"/>
      <c r="WCV527" s="1831"/>
      <c r="WCW527" s="1831"/>
      <c r="WCX527" s="1831"/>
      <c r="WCY527" s="1831"/>
      <c r="WCZ527" s="1831"/>
      <c r="WDA527" s="1831"/>
      <c r="WDB527" s="1831"/>
      <c r="WDC527" s="1831"/>
      <c r="WDD527" s="1831"/>
      <c r="WDE527" s="1831"/>
      <c r="WDF527" s="1831"/>
      <c r="WDG527" s="1831"/>
      <c r="WDH527" s="1831"/>
      <c r="WDI527" s="1831"/>
      <c r="WDJ527" s="1831"/>
      <c r="WDK527" s="1831"/>
      <c r="WDL527" s="1831"/>
      <c r="WDM527" s="1831"/>
      <c r="WDN527" s="1831"/>
      <c r="WDO527" s="1831"/>
      <c r="WDP527" s="1831"/>
      <c r="WDQ527" s="1831"/>
      <c r="WDR527" s="1831"/>
      <c r="WDS527" s="1831"/>
      <c r="WDT527" s="1831"/>
      <c r="WDU527" s="1831"/>
      <c r="WDV527" s="1831"/>
      <c r="WDW527" s="1831"/>
      <c r="WDX527" s="1831"/>
      <c r="WDY527" s="1831"/>
      <c r="WDZ527" s="1831"/>
      <c r="WEA527" s="1831"/>
      <c r="WEB527" s="1831"/>
      <c r="WEC527" s="1831"/>
      <c r="WED527" s="1831"/>
      <c r="WEE527" s="1831"/>
      <c r="WEF527" s="1831"/>
      <c r="WEG527" s="1831"/>
      <c r="WEH527" s="1831"/>
      <c r="WEI527" s="1831"/>
      <c r="WEJ527" s="1831"/>
      <c r="WEK527" s="1831"/>
      <c r="WEL527" s="1831"/>
      <c r="WEM527" s="1831"/>
      <c r="WEN527" s="1831"/>
      <c r="WEO527" s="1831"/>
      <c r="WEP527" s="1831"/>
      <c r="WEQ527" s="1831"/>
      <c r="WER527" s="1831"/>
      <c r="WES527" s="1831"/>
      <c r="WET527" s="1831"/>
      <c r="WEU527" s="1831"/>
      <c r="WEV527" s="1831"/>
      <c r="WEW527" s="1831"/>
      <c r="WEX527" s="1831"/>
      <c r="WEY527" s="1831"/>
      <c r="WEZ527" s="1831"/>
      <c r="WFA527" s="1831"/>
      <c r="WFB527" s="1831"/>
      <c r="WFC527" s="1831"/>
      <c r="WFD527" s="1831"/>
      <c r="WFE527" s="1831"/>
      <c r="WFF527" s="1831"/>
      <c r="WFG527" s="1831"/>
      <c r="WFH527" s="1831"/>
      <c r="WFI527" s="1831"/>
      <c r="WFJ527" s="1831"/>
      <c r="WFK527" s="1831"/>
      <c r="WFL527" s="1831"/>
      <c r="WFM527" s="1831"/>
      <c r="WFN527" s="1831"/>
      <c r="WFO527" s="1831"/>
      <c r="WFP527" s="1831"/>
      <c r="WFQ527" s="1831"/>
      <c r="WFR527" s="1831"/>
      <c r="WFS527" s="1831"/>
      <c r="WFT527" s="1831"/>
      <c r="WFU527" s="1831"/>
      <c r="WFV527" s="1831"/>
      <c r="WFW527" s="1831"/>
      <c r="WFX527" s="1831"/>
      <c r="WFY527" s="1831"/>
      <c r="WFZ527" s="1831"/>
      <c r="WGA527" s="1831"/>
      <c r="WGB527" s="1831"/>
      <c r="WGC527" s="1831"/>
      <c r="WGD527" s="1831"/>
      <c r="WGE527" s="1831"/>
      <c r="WGF527" s="1831"/>
      <c r="WGG527" s="1831"/>
      <c r="WGH527" s="1831"/>
      <c r="WGI527" s="1831"/>
      <c r="WGJ527" s="1831"/>
      <c r="WGK527" s="1831"/>
      <c r="WGL527" s="1831"/>
      <c r="WGM527" s="1831"/>
      <c r="WGN527" s="1831"/>
      <c r="WGO527" s="1831"/>
      <c r="WGP527" s="1831"/>
      <c r="WGQ527" s="1831"/>
      <c r="WGR527" s="1831"/>
      <c r="WGS527" s="1831"/>
      <c r="WGT527" s="1831"/>
      <c r="WGU527" s="1831"/>
      <c r="WGV527" s="1831"/>
      <c r="WGW527" s="1831"/>
      <c r="WGX527" s="1831"/>
      <c r="WGY527" s="1831"/>
      <c r="WGZ527" s="1831"/>
      <c r="WHA527" s="1831"/>
      <c r="WHB527" s="1831"/>
      <c r="WHC527" s="1831"/>
      <c r="WHD527" s="1831"/>
      <c r="WHE527" s="1831"/>
      <c r="WHF527" s="1831"/>
      <c r="WHG527" s="1831"/>
      <c r="WHH527" s="1831"/>
      <c r="WHI527" s="1831"/>
      <c r="WHJ527" s="1831"/>
      <c r="WHK527" s="1831"/>
      <c r="WHL527" s="1831"/>
      <c r="WHM527" s="1831"/>
      <c r="WHN527" s="1831"/>
      <c r="WHO527" s="1831"/>
      <c r="WHP527" s="1831"/>
      <c r="WHQ527" s="1831"/>
      <c r="WHR527" s="1831"/>
      <c r="WHS527" s="1831"/>
      <c r="WHT527" s="1831"/>
      <c r="WHU527" s="1831"/>
      <c r="WHV527" s="1831"/>
      <c r="WHW527" s="1831"/>
      <c r="WHX527" s="1831"/>
      <c r="WHY527" s="1831"/>
      <c r="WHZ527" s="1831"/>
      <c r="WIA527" s="1831"/>
      <c r="WIB527" s="1831"/>
      <c r="WIC527" s="1831"/>
      <c r="WID527" s="1831"/>
      <c r="WIE527" s="1831"/>
      <c r="WIF527" s="1831"/>
      <c r="WIG527" s="1831"/>
      <c r="WIH527" s="1831"/>
      <c r="WII527" s="1831"/>
      <c r="WIJ527" s="1831"/>
      <c r="WIK527" s="1831"/>
      <c r="WIL527" s="1831"/>
      <c r="WIM527" s="1831"/>
      <c r="WIN527" s="1831"/>
      <c r="WIO527" s="1831"/>
      <c r="WIP527" s="1831"/>
      <c r="WIQ527" s="1831"/>
      <c r="WIR527" s="1831"/>
      <c r="WIS527" s="1831"/>
      <c r="WIT527" s="1831"/>
      <c r="WIU527" s="1831"/>
      <c r="WIV527" s="1831"/>
      <c r="WIW527" s="1831"/>
      <c r="WIX527" s="1831"/>
      <c r="WIY527" s="1831"/>
      <c r="WIZ527" s="1831"/>
      <c r="WJA527" s="1831"/>
      <c r="WJB527" s="1831"/>
      <c r="WJC527" s="1831"/>
      <c r="WJD527" s="1831"/>
      <c r="WJE527" s="1831"/>
      <c r="WJF527" s="1831"/>
      <c r="WJG527" s="1831"/>
      <c r="WJH527" s="1831"/>
      <c r="WJI527" s="1831"/>
      <c r="WJJ527" s="1831"/>
      <c r="WJK527" s="1831"/>
      <c r="WJL527" s="1831"/>
      <c r="WJM527" s="1831"/>
      <c r="WJN527" s="1831"/>
      <c r="WJO527" s="1831"/>
      <c r="WJP527" s="1831"/>
      <c r="WJQ527" s="1831"/>
      <c r="WJR527" s="1831"/>
      <c r="WJS527" s="1831"/>
      <c r="WJT527" s="1831"/>
      <c r="WJU527" s="1831"/>
      <c r="WJV527" s="1831"/>
      <c r="WJW527" s="1831"/>
      <c r="WJX527" s="1831"/>
      <c r="WJY527" s="1831"/>
      <c r="WJZ527" s="1831"/>
      <c r="WKA527" s="1831"/>
      <c r="WKB527" s="1831"/>
      <c r="WKC527" s="1831"/>
      <c r="WKD527" s="1831"/>
      <c r="WKE527" s="1831"/>
      <c r="WKF527" s="1831"/>
      <c r="WKG527" s="1831"/>
      <c r="WKH527" s="1831"/>
      <c r="WKI527" s="1831"/>
      <c r="WKJ527" s="1831"/>
      <c r="WKK527" s="1831"/>
      <c r="WKL527" s="1831"/>
      <c r="WKM527" s="1831"/>
      <c r="WKN527" s="1831"/>
      <c r="WKO527" s="1831"/>
      <c r="WKP527" s="1831"/>
      <c r="WKQ527" s="1831"/>
      <c r="WKR527" s="1831"/>
      <c r="WKS527" s="1831"/>
      <c r="WKT527" s="1831"/>
      <c r="WKU527" s="1831"/>
      <c r="WKV527" s="1831"/>
      <c r="WKW527" s="1831"/>
      <c r="WKX527" s="1831"/>
      <c r="WKY527" s="1831"/>
      <c r="WKZ527" s="1831"/>
      <c r="WLA527" s="1831"/>
      <c r="WLB527" s="1831"/>
      <c r="WLC527" s="1831"/>
      <c r="WLD527" s="1831"/>
      <c r="WLE527" s="1831"/>
      <c r="WLF527" s="1831"/>
      <c r="WLG527" s="1831"/>
      <c r="WLH527" s="1831"/>
      <c r="WLI527" s="1831"/>
      <c r="WLJ527" s="1831"/>
      <c r="WLK527" s="1831"/>
      <c r="WLL527" s="1831"/>
      <c r="WLM527" s="1831"/>
      <c r="WLN527" s="1831"/>
      <c r="WLO527" s="1831"/>
      <c r="WLP527" s="1831"/>
      <c r="WLQ527" s="1831"/>
      <c r="WLR527" s="1831"/>
      <c r="WLS527" s="1831"/>
      <c r="WLT527" s="1831"/>
      <c r="WLU527" s="1831"/>
      <c r="WLV527" s="1831"/>
      <c r="WLW527" s="1831"/>
      <c r="WLX527" s="1831"/>
      <c r="WLY527" s="1831"/>
      <c r="WLZ527" s="1831"/>
      <c r="WMA527" s="1831"/>
      <c r="WMB527" s="1831"/>
      <c r="WMC527" s="1831"/>
      <c r="WMD527" s="1831"/>
      <c r="WME527" s="1831"/>
      <c r="WMF527" s="1831"/>
      <c r="WMG527" s="1831"/>
      <c r="WMH527" s="1831"/>
      <c r="WMI527" s="1831"/>
      <c r="WMJ527" s="1831"/>
      <c r="WMK527" s="1831"/>
      <c r="WML527" s="1831"/>
      <c r="WMM527" s="1831"/>
      <c r="WMN527" s="1831"/>
      <c r="WMO527" s="1831"/>
      <c r="WMP527" s="1831"/>
      <c r="WMQ527" s="1831"/>
      <c r="WMR527" s="1831"/>
      <c r="WMS527" s="1831"/>
      <c r="WMT527" s="1831"/>
      <c r="WMU527" s="1831"/>
      <c r="WMV527" s="1831"/>
      <c r="WMW527" s="1831"/>
      <c r="WMX527" s="1831"/>
      <c r="WMY527" s="1831"/>
      <c r="WMZ527" s="1831"/>
      <c r="WNA527" s="1831"/>
      <c r="WNB527" s="1831"/>
      <c r="WNC527" s="1831"/>
      <c r="WND527" s="1831"/>
      <c r="WNE527" s="1831"/>
      <c r="WNF527" s="1831"/>
      <c r="WNG527" s="1831"/>
      <c r="WNH527" s="1831"/>
      <c r="WNI527" s="1831"/>
      <c r="WNJ527" s="1831"/>
      <c r="WNK527" s="1831"/>
      <c r="WNL527" s="1831"/>
      <c r="WNM527" s="1831"/>
      <c r="WNN527" s="1831"/>
      <c r="WNO527" s="1831"/>
      <c r="WNP527" s="1831"/>
      <c r="WNQ527" s="1831"/>
      <c r="WNR527" s="1831"/>
      <c r="WNS527" s="1831"/>
      <c r="WNT527" s="1831"/>
      <c r="WNU527" s="1831"/>
      <c r="WNV527" s="1831"/>
      <c r="WNW527" s="1831"/>
      <c r="WNX527" s="1831"/>
      <c r="WNY527" s="1831"/>
      <c r="WNZ527" s="1831"/>
      <c r="WOA527" s="1831"/>
      <c r="WOB527" s="1831"/>
      <c r="WOC527" s="1831"/>
      <c r="WOD527" s="1831"/>
      <c r="WOE527" s="1831"/>
      <c r="WOF527" s="1831"/>
      <c r="WOG527" s="1831"/>
      <c r="WOH527" s="1831"/>
      <c r="WOI527" s="1831"/>
      <c r="WOJ527" s="1831"/>
      <c r="WOK527" s="1831"/>
      <c r="WOL527" s="1831"/>
      <c r="WOM527" s="1831"/>
      <c r="WON527" s="1831"/>
      <c r="WOO527" s="1831"/>
      <c r="WOP527" s="1831"/>
      <c r="WOQ527" s="1831"/>
      <c r="WOR527" s="1831"/>
      <c r="WOS527" s="1831"/>
      <c r="WOT527" s="1831"/>
      <c r="WOU527" s="1831"/>
      <c r="WOV527" s="1831"/>
      <c r="WOW527" s="1831"/>
      <c r="WOX527" s="1831"/>
      <c r="WOY527" s="1831"/>
      <c r="WOZ527" s="1831"/>
      <c r="WPA527" s="1831"/>
      <c r="WPB527" s="1831"/>
      <c r="WPC527" s="1831"/>
      <c r="WPD527" s="1831"/>
      <c r="WPE527" s="1831"/>
      <c r="WPF527" s="1831"/>
      <c r="WPG527" s="1831"/>
      <c r="WPH527" s="1831"/>
      <c r="WPI527" s="1831"/>
      <c r="WPJ527" s="1831"/>
      <c r="WPK527" s="1831"/>
      <c r="WPL527" s="1831"/>
      <c r="WPM527" s="1831"/>
      <c r="WPN527" s="1831"/>
      <c r="WPO527" s="1831"/>
      <c r="WPP527" s="1831"/>
      <c r="WPQ527" s="1831"/>
      <c r="WPR527" s="1831"/>
      <c r="WPS527" s="1831"/>
      <c r="WPT527" s="1831"/>
      <c r="WPU527" s="1831"/>
      <c r="WPV527" s="1831"/>
      <c r="WPW527" s="1831"/>
      <c r="WPX527" s="1831"/>
      <c r="WPY527" s="1831"/>
      <c r="WPZ527" s="1831"/>
      <c r="WQA527" s="1831"/>
      <c r="WQB527" s="1831"/>
      <c r="WQC527" s="1831"/>
      <c r="WQD527" s="1831"/>
      <c r="WQE527" s="1831"/>
      <c r="WQF527" s="1831"/>
      <c r="WQG527" s="1831"/>
      <c r="WQH527" s="1831"/>
      <c r="WQI527" s="1831"/>
      <c r="WQJ527" s="1831"/>
      <c r="WQK527" s="1831"/>
      <c r="WQL527" s="1831"/>
      <c r="WQM527" s="1831"/>
      <c r="WQN527" s="1831"/>
      <c r="WQO527" s="1831"/>
      <c r="WQP527" s="1831"/>
      <c r="WQQ527" s="1831"/>
      <c r="WQR527" s="1831"/>
      <c r="WQS527" s="1831"/>
      <c r="WQT527" s="1831"/>
      <c r="WQU527" s="1831"/>
      <c r="WQV527" s="1831"/>
      <c r="WQW527" s="1831"/>
      <c r="WQX527" s="1831"/>
      <c r="WQY527" s="1831"/>
      <c r="WQZ527" s="1831"/>
      <c r="WRA527" s="1831"/>
      <c r="WRB527" s="1831"/>
      <c r="WRC527" s="1831"/>
      <c r="WRD527" s="1831"/>
      <c r="WRE527" s="1831"/>
      <c r="WRF527" s="1831"/>
      <c r="WRG527" s="1831"/>
      <c r="WRH527" s="1831"/>
      <c r="WRI527" s="1831"/>
      <c r="WRJ527" s="1831"/>
      <c r="WRK527" s="1831"/>
      <c r="WRL527" s="1831"/>
      <c r="WRM527" s="1831"/>
      <c r="WRN527" s="1831"/>
      <c r="WRO527" s="1831"/>
      <c r="WRP527" s="1831"/>
      <c r="WRQ527" s="1831"/>
      <c r="WRR527" s="1831"/>
      <c r="WRS527" s="1831"/>
      <c r="WRT527" s="1831"/>
      <c r="WRU527" s="1831"/>
      <c r="WRV527" s="1831"/>
      <c r="WRW527" s="1831"/>
      <c r="WRX527" s="1831"/>
      <c r="WRY527" s="1831"/>
      <c r="WRZ527" s="1831"/>
      <c r="WSA527" s="1831"/>
      <c r="WSB527" s="1831"/>
      <c r="WSC527" s="1831"/>
      <c r="WSD527" s="1831"/>
      <c r="WSE527" s="1831"/>
      <c r="WSF527" s="1831"/>
      <c r="WSG527" s="1831"/>
      <c r="WSH527" s="1831"/>
      <c r="WSI527" s="1831"/>
      <c r="WSJ527" s="1831"/>
      <c r="WSK527" s="1831"/>
      <c r="WSL527" s="1831"/>
      <c r="WSM527" s="1831"/>
      <c r="WSN527" s="1831"/>
      <c r="WSO527" s="1831"/>
      <c r="WSP527" s="1831"/>
      <c r="WSQ527" s="1831"/>
      <c r="WSR527" s="1831"/>
      <c r="WSS527" s="1831"/>
      <c r="WST527" s="1831"/>
      <c r="WSU527" s="1831"/>
      <c r="WSV527" s="1831"/>
      <c r="WSW527" s="1831"/>
      <c r="WSX527" s="1831"/>
      <c r="WSY527" s="1831"/>
      <c r="WSZ527" s="1831"/>
      <c r="WTA527" s="1831"/>
      <c r="WTB527" s="1831"/>
      <c r="WTC527" s="1831"/>
      <c r="WTD527" s="1831"/>
      <c r="WTE527" s="1831"/>
      <c r="WTF527" s="1831"/>
      <c r="WTG527" s="1831"/>
      <c r="WTH527" s="1831"/>
      <c r="WTI527" s="1831"/>
      <c r="WTJ527" s="1831"/>
      <c r="WTK527" s="1831"/>
      <c r="WTL527" s="1831"/>
      <c r="WTM527" s="1831"/>
      <c r="WTN527" s="1831"/>
      <c r="WTO527" s="1831"/>
      <c r="WTP527" s="1831"/>
      <c r="WTQ527" s="1831"/>
      <c r="WTR527" s="1831"/>
      <c r="WTS527" s="1831"/>
      <c r="WTT527" s="1831"/>
      <c r="WTU527" s="1831"/>
      <c r="WTV527" s="1831"/>
      <c r="WTW527" s="1831"/>
      <c r="WTX527" s="1831"/>
      <c r="WTY527" s="1831"/>
      <c r="WTZ527" s="1831"/>
      <c r="WUA527" s="1831"/>
      <c r="WUB527" s="1831"/>
      <c r="WUC527" s="1831"/>
      <c r="WUD527" s="1831"/>
      <c r="WUE527" s="1831"/>
      <c r="WUF527" s="1831"/>
      <c r="WUG527" s="1831"/>
      <c r="WUH527" s="1831"/>
      <c r="WUI527" s="1831"/>
      <c r="WUJ527" s="1831"/>
      <c r="WUK527" s="1831"/>
      <c r="WUL527" s="1831"/>
      <c r="WUM527" s="1831"/>
      <c r="WUN527" s="1831"/>
      <c r="WUO527" s="1831"/>
      <c r="WUP527" s="1831"/>
      <c r="WUQ527" s="1831"/>
      <c r="WUR527" s="1831"/>
      <c r="WUS527" s="1831"/>
      <c r="WUT527" s="1831"/>
      <c r="WUU527" s="1831"/>
      <c r="WUV527" s="1831"/>
      <c r="WUW527" s="1831"/>
      <c r="WUX527" s="1831"/>
      <c r="WUY527" s="1831"/>
      <c r="WUZ527" s="1831"/>
      <c r="WVA527" s="1831"/>
      <c r="WVB527" s="1831"/>
      <c r="WVC527" s="1831"/>
      <c r="WVD527" s="1831"/>
      <c r="WVE527" s="1831"/>
      <c r="WVF527" s="1831"/>
      <c r="WVG527" s="1831"/>
      <c r="WVH527" s="1831"/>
      <c r="WVI527" s="1831"/>
      <c r="WVJ527" s="1831"/>
      <c r="WVK527" s="1831"/>
      <c r="WVL527" s="1831"/>
      <c r="WVM527" s="1831"/>
      <c r="WVN527" s="1831"/>
      <c r="WVO527" s="1831"/>
      <c r="WVP527" s="1831"/>
      <c r="WVQ527" s="1831"/>
      <c r="WVR527" s="1831"/>
      <c r="WVS527" s="1831"/>
      <c r="WVT527" s="1831"/>
      <c r="WVU527" s="1831"/>
      <c r="WVV527" s="1831"/>
      <c r="WVW527" s="1831"/>
      <c r="WVX527" s="1831"/>
      <c r="WVY527" s="1831"/>
      <c r="WVZ527" s="1831"/>
      <c r="WWA527" s="1831"/>
      <c r="WWB527" s="1831"/>
      <c r="WWC527" s="1831"/>
      <c r="WWD527" s="1831"/>
      <c r="WWE527" s="1831"/>
      <c r="WWF527" s="1831"/>
      <c r="WWG527" s="1831"/>
      <c r="WWH527" s="1831"/>
      <c r="WWI527" s="1831"/>
      <c r="WWJ527" s="1831"/>
      <c r="WWK527" s="1831"/>
      <c r="WWL527" s="1831"/>
      <c r="WWM527" s="1831"/>
      <c r="WWN527" s="1831"/>
      <c r="WWO527" s="1831"/>
      <c r="WWP527" s="1831"/>
      <c r="WWQ527" s="1831"/>
      <c r="WWR527" s="1831"/>
      <c r="WWS527" s="1831"/>
      <c r="WWT527" s="1831"/>
      <c r="WWU527" s="1831"/>
      <c r="WWV527" s="1831"/>
      <c r="WWW527" s="1831"/>
      <c r="WWX527" s="1831"/>
      <c r="WWY527" s="1831"/>
      <c r="WWZ527" s="1831"/>
      <c r="WXA527" s="1831"/>
      <c r="WXB527" s="1831"/>
      <c r="WXC527" s="1831"/>
      <c r="WXD527" s="1831"/>
      <c r="WXE527" s="1831"/>
      <c r="WXF527" s="1831"/>
      <c r="WXG527" s="1831"/>
      <c r="WXH527" s="1831"/>
      <c r="WXI527" s="1831"/>
      <c r="WXJ527" s="1831"/>
      <c r="WXK527" s="1831"/>
      <c r="WXL527" s="1831"/>
      <c r="WXM527" s="1831"/>
      <c r="WXN527" s="1831"/>
      <c r="WXO527" s="1831"/>
      <c r="WXP527" s="1831"/>
      <c r="WXQ527" s="1831"/>
      <c r="WXR527" s="1831"/>
      <c r="WXS527" s="1831"/>
      <c r="WXT527" s="1831"/>
      <c r="WXU527" s="1831"/>
      <c r="WXV527" s="1831"/>
      <c r="WXW527" s="1831"/>
      <c r="WXX527" s="1831"/>
      <c r="WXY527" s="1831"/>
      <c r="WXZ527" s="1831"/>
      <c r="WYA527" s="1831"/>
      <c r="WYB527" s="1831"/>
      <c r="WYC527" s="1831"/>
      <c r="WYD527" s="1831"/>
      <c r="WYE527" s="1831"/>
      <c r="WYF527" s="1831"/>
      <c r="WYG527" s="1831"/>
      <c r="WYH527" s="1831"/>
      <c r="WYI527" s="1831"/>
      <c r="WYJ527" s="1831"/>
      <c r="WYK527" s="1831"/>
      <c r="WYL527" s="1831"/>
      <c r="WYM527" s="1831"/>
      <c r="WYN527" s="1831"/>
      <c r="WYO527" s="1831"/>
      <c r="WYP527" s="1831"/>
      <c r="WYQ527" s="1831"/>
      <c r="WYR527" s="1831"/>
      <c r="WYS527" s="1831"/>
      <c r="WYT527" s="1831"/>
      <c r="WYU527" s="1831"/>
      <c r="WYV527" s="1831"/>
      <c r="WYW527" s="1831"/>
      <c r="WYX527" s="1831"/>
      <c r="WYY527" s="1831"/>
      <c r="WYZ527" s="1831"/>
      <c r="WZA527" s="1831"/>
      <c r="WZB527" s="1831"/>
      <c r="WZC527" s="1831"/>
      <c r="WZD527" s="1831"/>
      <c r="WZE527" s="1831"/>
      <c r="WZF527" s="1831"/>
      <c r="WZG527" s="1831"/>
      <c r="WZH527" s="1831"/>
      <c r="WZI527" s="1831"/>
      <c r="WZJ527" s="1831"/>
      <c r="WZK527" s="1831"/>
      <c r="WZL527" s="1831"/>
      <c r="WZM527" s="1831"/>
      <c r="WZN527" s="1831"/>
      <c r="WZO527" s="1831"/>
      <c r="WZP527" s="1831"/>
      <c r="WZQ527" s="1831"/>
      <c r="WZR527" s="1831"/>
      <c r="WZS527" s="1831"/>
      <c r="WZT527" s="1831"/>
      <c r="WZU527" s="1831"/>
      <c r="WZV527" s="1831"/>
      <c r="WZW527" s="1831"/>
      <c r="WZX527" s="1831"/>
      <c r="WZY527" s="1831"/>
      <c r="WZZ527" s="1831"/>
      <c r="XAA527" s="1831"/>
      <c r="XAB527" s="1831"/>
      <c r="XAC527" s="1831"/>
      <c r="XAD527" s="1831"/>
      <c r="XAE527" s="1831"/>
      <c r="XAF527" s="1831"/>
      <c r="XAG527" s="1831"/>
      <c r="XAH527" s="1831"/>
      <c r="XAI527" s="1831"/>
      <c r="XAJ527" s="1831"/>
      <c r="XAK527" s="1831"/>
      <c r="XAL527" s="1831"/>
      <c r="XAM527" s="1831"/>
      <c r="XAN527" s="1831"/>
      <c r="XAO527" s="1831"/>
      <c r="XAP527" s="1831"/>
      <c r="XAQ527" s="1831"/>
      <c r="XAR527" s="1831"/>
      <c r="XAS527" s="1831"/>
      <c r="XAT527" s="1831"/>
      <c r="XAU527" s="1831"/>
      <c r="XAV527" s="1831"/>
      <c r="XAW527" s="1831"/>
      <c r="XAX527" s="1831"/>
      <c r="XAY527" s="1831"/>
      <c r="XAZ527" s="1831"/>
      <c r="XBA527" s="1831"/>
      <c r="XBB527" s="1831"/>
      <c r="XBC527" s="1831"/>
      <c r="XBD527" s="1831"/>
      <c r="XBE527" s="1831"/>
      <c r="XBF527" s="1831"/>
      <c r="XBG527" s="1831"/>
      <c r="XBH527" s="1831"/>
      <c r="XBI527" s="1831"/>
      <c r="XBJ527" s="1831"/>
      <c r="XBK527" s="1831"/>
      <c r="XBL527" s="1831"/>
      <c r="XBM527" s="1831"/>
      <c r="XBN527" s="1831"/>
      <c r="XBO527" s="1831"/>
      <c r="XBP527" s="1831"/>
      <c r="XBQ527" s="1831"/>
      <c r="XBR527" s="1831"/>
      <c r="XBS527" s="1831"/>
      <c r="XBT527" s="1831"/>
      <c r="XBU527" s="1831"/>
      <c r="XBV527" s="1831"/>
      <c r="XBW527" s="1831"/>
      <c r="XBX527" s="1831"/>
      <c r="XBY527" s="1831"/>
      <c r="XBZ527" s="1831"/>
      <c r="XCA527" s="1831"/>
      <c r="XCB527" s="1831"/>
      <c r="XCC527" s="1831"/>
      <c r="XCD527" s="1831"/>
      <c r="XCE527" s="1831"/>
      <c r="XCF527" s="1831"/>
      <c r="XCG527" s="1831"/>
      <c r="XCH527" s="1831"/>
      <c r="XCI527" s="1831"/>
      <c r="XCJ527" s="1831"/>
      <c r="XCK527" s="1831"/>
      <c r="XCL527" s="1831"/>
      <c r="XCM527" s="1831"/>
      <c r="XCN527" s="1831"/>
      <c r="XCO527" s="1831"/>
      <c r="XCP527" s="1831"/>
      <c r="XCQ527" s="1831"/>
      <c r="XCR527" s="1831"/>
      <c r="XCS527" s="1831"/>
      <c r="XCT527" s="1831"/>
      <c r="XCU527" s="1831"/>
      <c r="XCV527" s="1831"/>
      <c r="XCW527" s="1831"/>
      <c r="XCX527" s="1831"/>
      <c r="XCY527" s="1831"/>
      <c r="XCZ527" s="1831"/>
      <c r="XDA527" s="1831"/>
      <c r="XDB527" s="1831"/>
      <c r="XDC527" s="1831"/>
      <c r="XDD527" s="1831"/>
      <c r="XDE527" s="1831"/>
      <c r="XDF527" s="1831"/>
      <c r="XDG527" s="1831"/>
      <c r="XDH527" s="1831"/>
      <c r="XDI527" s="1831"/>
      <c r="XDJ527" s="1831"/>
      <c r="XDK527" s="1831"/>
      <c r="XDL527" s="1831"/>
      <c r="XDM527" s="1831"/>
      <c r="XDN527" s="1831"/>
      <c r="XDO527" s="1831"/>
      <c r="XDP527" s="1831"/>
      <c r="XDQ527" s="1831"/>
      <c r="XDR527" s="1831"/>
      <c r="XDS527" s="1831"/>
      <c r="XDT527" s="1831"/>
      <c r="XDU527" s="1831"/>
      <c r="XDV527" s="1831"/>
      <c r="XDW527" s="1831"/>
      <c r="XDX527" s="1831"/>
      <c r="XDY527" s="1831"/>
      <c r="XDZ527" s="1831"/>
      <c r="XEA527" s="1831"/>
      <c r="XEB527" s="1831"/>
      <c r="XEC527" s="1831"/>
      <c r="XED527" s="1831"/>
      <c r="XEE527" s="1831"/>
      <c r="XEF527" s="1831"/>
      <c r="XEG527" s="1831"/>
      <c r="XEH527" s="1831"/>
      <c r="XEI527" s="1831"/>
      <c r="XEJ527" s="1831"/>
      <c r="XEK527" s="1831"/>
      <c r="XEL527" s="1831"/>
      <c r="XEM527" s="1831"/>
      <c r="XEN527" s="1831"/>
      <c r="XEO527" s="1831"/>
      <c r="XEP527" s="1831"/>
      <c r="XEQ527" s="1831"/>
      <c r="XER527" s="1831"/>
      <c r="XES527" s="1831"/>
      <c r="XET527" s="1831"/>
      <c r="XEU527" s="1831"/>
      <c r="XEV527" s="1831"/>
      <c r="XEW527" s="1831"/>
      <c r="XEX527" s="1831"/>
    </row>
    <row r="528" spans="1:16378" hidden="1" outlineLevel="1" x14ac:dyDescent="0.3">
      <c r="A528" s="1070"/>
      <c r="B528" s="1070"/>
      <c r="C528" s="1070"/>
      <c r="D528" s="1070"/>
      <c r="E528" s="1070"/>
      <c r="F528" s="1070"/>
      <c r="G528" s="1070"/>
      <c r="H528" s="1070"/>
      <c r="I528" s="1070"/>
      <c r="J528" s="1070"/>
      <c r="K528" s="1070"/>
      <c r="L528" s="1070"/>
      <c r="M528" s="1070"/>
      <c r="N528" s="1070"/>
      <c r="O528" s="1070"/>
      <c r="P528" s="1070"/>
      <c r="Q528" s="1070"/>
      <c r="R528" s="1070"/>
      <c r="S528" s="1070"/>
      <c r="T528" s="1070"/>
      <c r="U528" s="1070"/>
      <c r="V528" s="1070"/>
      <c r="W528" s="1070"/>
      <c r="X528" s="1070"/>
      <c r="Y528" s="1070"/>
      <c r="Z528" s="1070"/>
      <c r="AA528" s="1070"/>
      <c r="AB528" s="1070"/>
      <c r="AC528" s="1070"/>
      <c r="AD528" s="1070"/>
      <c r="AE528" s="1070"/>
      <c r="AF528" s="1070"/>
      <c r="AG528" s="1070"/>
      <c r="AH528" s="1070"/>
      <c r="AI528" s="1070"/>
      <c r="AJ528" s="1070"/>
      <c r="AK528" s="1070"/>
      <c r="AL528" s="1070"/>
      <c r="AM528" s="1070"/>
      <c r="AN528" s="1070"/>
    </row>
    <row r="529" spans="1:40" hidden="1" outlineLevel="1" x14ac:dyDescent="0.3">
      <c r="A529" s="1070"/>
      <c r="B529" s="1734" t="str">
        <f>B573</f>
        <v>Definition Exit Rebaseline 2 (RB2)</v>
      </c>
      <c r="C529" s="1070"/>
      <c r="D529" s="1070"/>
      <c r="E529" s="1070"/>
      <c r="F529" s="1070"/>
      <c r="G529" s="2057" t="s">
        <v>1525</v>
      </c>
      <c r="H529" s="1070"/>
      <c r="I529" s="1070"/>
      <c r="J529" s="1070"/>
      <c r="K529" s="1070"/>
      <c r="L529" s="1070"/>
      <c r="M529" s="1070"/>
      <c r="N529" s="1070"/>
      <c r="O529" s="1070"/>
      <c r="P529" s="1070"/>
      <c r="Q529" s="1070"/>
      <c r="R529" s="1070"/>
      <c r="S529" s="1070"/>
      <c r="T529" s="1070"/>
      <c r="U529" s="1070"/>
      <c r="V529" s="1070"/>
      <c r="W529" s="1070"/>
      <c r="X529" s="1070"/>
      <c r="Y529" s="1070"/>
      <c r="Z529" s="1070"/>
      <c r="AA529" s="1070"/>
      <c r="AB529" s="1070"/>
      <c r="AC529" s="1070"/>
      <c r="AD529" s="1070"/>
      <c r="AE529" s="1070"/>
      <c r="AF529" s="1070"/>
      <c r="AG529" s="1070"/>
      <c r="AH529" s="1070"/>
      <c r="AI529" s="1070"/>
      <c r="AJ529" s="1070"/>
      <c r="AK529" s="1070"/>
      <c r="AL529" s="1070"/>
      <c r="AM529" s="1070"/>
      <c r="AN529" s="1070"/>
    </row>
    <row r="530" spans="1:40" hidden="1" outlineLevel="1" x14ac:dyDescent="0.3">
      <c r="A530" s="1082"/>
      <c r="B530" s="1237"/>
      <c r="C530" s="1082"/>
      <c r="D530" s="1082"/>
      <c r="E530" s="1082"/>
      <c r="F530" s="1070"/>
      <c r="G530" s="1070"/>
      <c r="H530" s="1070"/>
      <c r="I530" s="1070"/>
      <c r="J530" s="1070"/>
      <c r="K530" s="1070"/>
      <c r="L530" s="1070"/>
      <c r="M530" s="1070"/>
      <c r="N530" s="1070"/>
      <c r="O530" s="1070"/>
      <c r="P530" s="1070"/>
      <c r="Q530" s="1070"/>
      <c r="R530" s="1070"/>
      <c r="S530" s="1070"/>
      <c r="T530" s="1070"/>
      <c r="U530" s="1070"/>
      <c r="V530" s="1070"/>
      <c r="W530" s="1070"/>
      <c r="X530" s="1070"/>
      <c r="Y530" s="1070"/>
      <c r="Z530" s="1070"/>
      <c r="AA530" s="1070"/>
      <c r="AB530" s="1070"/>
      <c r="AC530" s="1070"/>
      <c r="AD530" s="1070"/>
      <c r="AE530" s="1070"/>
      <c r="AF530" s="1070"/>
      <c r="AG530" s="1070"/>
      <c r="AH530" s="1070"/>
      <c r="AI530" s="1070"/>
      <c r="AJ530" s="1070"/>
      <c r="AK530" s="1070"/>
      <c r="AL530" s="1070"/>
      <c r="AM530" s="1070"/>
      <c r="AN530" s="1070"/>
    </row>
    <row r="531" spans="1:40" hidden="1" outlineLevel="1" x14ac:dyDescent="0.3">
      <c r="A531" s="1082"/>
      <c r="B531" s="1734" t="s">
        <v>1442</v>
      </c>
      <c r="C531" s="1070"/>
      <c r="D531" s="1070"/>
      <c r="E531" s="1070"/>
      <c r="F531" s="1070"/>
      <c r="G531" s="1070"/>
      <c r="H531" s="1070"/>
      <c r="I531" s="1070"/>
      <c r="J531" s="1070"/>
      <c r="K531" s="1070"/>
      <c r="L531" s="1070"/>
      <c r="M531" s="1070"/>
      <c r="N531" s="1070"/>
      <c r="O531" s="1070"/>
      <c r="P531" s="1070"/>
      <c r="Q531" s="1070"/>
      <c r="R531" s="1070"/>
      <c r="S531" s="1070"/>
      <c r="T531" s="1070"/>
      <c r="U531" s="1070"/>
      <c r="V531" s="1070"/>
      <c r="W531" s="1070"/>
      <c r="X531" s="1070"/>
      <c r="Y531" s="1070"/>
      <c r="Z531" s="1070"/>
      <c r="AA531" s="1070"/>
      <c r="AB531" s="1070"/>
      <c r="AC531" s="1070"/>
      <c r="AD531" s="1070"/>
      <c r="AE531" s="1070"/>
      <c r="AF531" s="1070"/>
      <c r="AG531" s="1070"/>
      <c r="AH531" s="1070"/>
      <c r="AI531" s="1070"/>
      <c r="AJ531" s="1070"/>
      <c r="AK531" s="1070"/>
      <c r="AL531" s="1070"/>
      <c r="AM531" s="1070"/>
      <c r="AN531" s="1070"/>
    </row>
    <row r="532" spans="1:40" hidden="1" outlineLevel="1" x14ac:dyDescent="0.3">
      <c r="A532" s="1082"/>
      <c r="B532" s="1070"/>
      <c r="C532" s="1070"/>
      <c r="D532" s="1739" t="s">
        <v>1432</v>
      </c>
      <c r="E532" s="1740" t="s">
        <v>682</v>
      </c>
      <c r="F532" s="1070"/>
      <c r="G532" s="1070"/>
      <c r="H532" s="1070"/>
      <c r="I532" s="1070"/>
      <c r="J532" s="1070"/>
      <c r="K532" s="1070"/>
      <c r="L532" s="1070"/>
      <c r="M532" s="1070"/>
      <c r="N532" s="1070"/>
      <c r="O532" s="1070"/>
      <c r="P532" s="1070"/>
      <c r="Q532" s="1070"/>
      <c r="R532" s="1070"/>
      <c r="S532" s="1070"/>
      <c r="T532" s="1070"/>
      <c r="U532" s="1070"/>
      <c r="V532" s="1070"/>
      <c r="W532" s="1070"/>
      <c r="X532" s="1070"/>
      <c r="Y532" s="1070"/>
      <c r="Z532" s="1070"/>
      <c r="AA532" s="1070"/>
      <c r="AB532" s="1070"/>
      <c r="AC532" s="1070"/>
      <c r="AD532" s="1070"/>
      <c r="AE532" s="1070"/>
      <c r="AF532" s="1070"/>
      <c r="AG532" s="1070"/>
      <c r="AH532" s="1070"/>
      <c r="AI532" s="1070"/>
      <c r="AJ532" s="1070"/>
      <c r="AK532" s="1070"/>
      <c r="AL532" s="1070"/>
      <c r="AM532" s="1070"/>
      <c r="AN532" s="1070"/>
    </row>
    <row r="533" spans="1:40" hidden="1" outlineLevel="1" x14ac:dyDescent="0.3">
      <c r="A533" s="1082"/>
      <c r="B533" s="1164" t="s">
        <v>1526</v>
      </c>
      <c r="C533" s="1146"/>
      <c r="D533" s="1743" t="s">
        <v>1445</v>
      </c>
      <c r="E533" s="1744" t="s">
        <v>1445</v>
      </c>
      <c r="F533" s="1070"/>
      <c r="G533" s="1153" t="s">
        <v>1527</v>
      </c>
      <c r="H533" s="1070"/>
      <c r="I533" s="1070"/>
      <c r="J533" s="1070"/>
      <c r="K533" s="1070"/>
      <c r="L533" s="1070"/>
      <c r="M533" s="1070"/>
      <c r="N533" s="1070"/>
      <c r="O533" s="1070"/>
      <c r="P533" s="1070"/>
      <c r="Q533" s="1070"/>
      <c r="R533" s="1070"/>
      <c r="S533" s="1070"/>
      <c r="T533" s="1070"/>
      <c r="U533" s="1070"/>
      <c r="V533" s="1070"/>
      <c r="W533" s="1070"/>
      <c r="X533" s="1070"/>
      <c r="Y533" s="1070"/>
      <c r="Z533" s="1070"/>
      <c r="AA533" s="1070"/>
      <c r="AB533" s="1070"/>
      <c r="AC533" s="1070"/>
      <c r="AD533" s="1070"/>
      <c r="AE533" s="1070"/>
      <c r="AF533" s="1070"/>
      <c r="AG533" s="1070"/>
      <c r="AH533" s="1070"/>
      <c r="AI533" s="1070"/>
      <c r="AJ533" s="1070"/>
      <c r="AK533" s="1070"/>
      <c r="AL533" s="1070"/>
      <c r="AM533" s="1070"/>
      <c r="AN533" s="1070"/>
    </row>
    <row r="534" spans="1:40" hidden="1" outlineLevel="1" x14ac:dyDescent="0.3">
      <c r="A534" s="1082"/>
      <c r="B534" s="1070"/>
      <c r="C534" s="1070"/>
      <c r="D534" s="1070"/>
      <c r="E534" s="1070"/>
      <c r="F534" s="1070"/>
      <c r="G534" s="1070"/>
      <c r="H534" s="1070"/>
      <c r="I534" s="1070"/>
      <c r="J534" s="1070"/>
      <c r="K534" s="1070"/>
      <c r="L534" s="1070"/>
      <c r="M534" s="1070"/>
      <c r="N534" s="1070"/>
      <c r="O534" s="1070"/>
      <c r="P534" s="1070"/>
      <c r="Q534" s="1070"/>
      <c r="R534" s="1070"/>
      <c r="S534" s="1070"/>
      <c r="T534" s="1070"/>
      <c r="U534" s="1070"/>
      <c r="V534" s="1070"/>
      <c r="W534" s="1070"/>
      <c r="X534" s="1070"/>
      <c r="Y534" s="1070"/>
      <c r="Z534" s="1070"/>
      <c r="AA534" s="1070"/>
      <c r="AB534" s="1070"/>
      <c r="AC534" s="1070"/>
      <c r="AD534" s="1070"/>
      <c r="AE534" s="1070"/>
      <c r="AF534" s="1070"/>
      <c r="AG534" s="1070"/>
      <c r="AH534" s="1070"/>
      <c r="AI534" s="1070"/>
      <c r="AJ534" s="1070"/>
      <c r="AK534" s="1070"/>
      <c r="AL534" s="1070"/>
      <c r="AM534" s="1070"/>
      <c r="AN534" s="1070"/>
    </row>
    <row r="535" spans="1:40" hidden="1" outlineLevel="1" x14ac:dyDescent="0.3">
      <c r="A535" s="1082"/>
      <c r="B535" s="1070"/>
      <c r="C535" s="1070"/>
      <c r="D535" s="1070"/>
      <c r="E535" s="1070"/>
      <c r="F535" s="1070"/>
      <c r="G535" s="1070"/>
      <c r="H535" s="1070"/>
      <c r="I535" s="1070"/>
      <c r="J535" s="1070"/>
      <c r="K535" s="1070"/>
      <c r="L535" s="1070"/>
      <c r="M535" s="1070"/>
      <c r="N535" s="1070"/>
      <c r="O535" s="1070"/>
      <c r="P535" s="1070"/>
      <c r="Q535" s="1070"/>
      <c r="R535" s="1070"/>
      <c r="S535" s="1070"/>
      <c r="T535" s="1070"/>
      <c r="U535" s="1070"/>
      <c r="V535" s="1070"/>
      <c r="W535" s="1070"/>
      <c r="X535" s="1070"/>
      <c r="Y535" s="1070"/>
      <c r="Z535" s="1070"/>
      <c r="AA535" s="1070"/>
      <c r="AB535" s="1070"/>
      <c r="AC535" s="1070"/>
      <c r="AD535" s="1070"/>
      <c r="AE535" s="1070"/>
      <c r="AF535" s="1070"/>
      <c r="AG535" s="1070"/>
      <c r="AH535" s="1070"/>
      <c r="AI535" s="1070"/>
      <c r="AJ535" s="1070"/>
      <c r="AK535" s="1070"/>
      <c r="AL535" s="1070"/>
      <c r="AM535" s="1070"/>
      <c r="AN535" s="1070"/>
    </row>
    <row r="536" spans="1:40" ht="17.25" hidden="1" customHeight="1" outlineLevel="1" x14ac:dyDescent="0.3">
      <c r="A536" s="1082"/>
      <c r="B536" s="1240"/>
      <c r="C536" s="1241"/>
      <c r="D536" s="1241"/>
      <c r="E536" s="1241"/>
      <c r="F536" s="1746" t="s">
        <v>739</v>
      </c>
      <c r="G536" s="1746" t="s">
        <v>1461</v>
      </c>
      <c r="H536" s="1746" t="s">
        <v>1461</v>
      </c>
      <c r="I536" s="1746" t="s">
        <v>1461</v>
      </c>
      <c r="J536" s="1746" t="s">
        <v>1461</v>
      </c>
      <c r="K536" s="1747" t="s">
        <v>1461</v>
      </c>
      <c r="L536" s="1747" t="s">
        <v>1461</v>
      </c>
      <c r="M536" s="1747" t="s">
        <v>1461</v>
      </c>
      <c r="N536" s="1747" t="s">
        <v>1461</v>
      </c>
      <c r="O536" s="1747" t="s">
        <v>1461</v>
      </c>
      <c r="P536" s="1747" t="s">
        <v>1461</v>
      </c>
      <c r="Q536" s="1747" t="s">
        <v>1461</v>
      </c>
      <c r="R536" s="1747" t="s">
        <v>1461</v>
      </c>
      <c r="S536" s="1747" t="s">
        <v>1461</v>
      </c>
      <c r="T536" s="1747" t="s">
        <v>1461</v>
      </c>
      <c r="U536" s="1747" t="s">
        <v>1461</v>
      </c>
      <c r="V536" s="1747" t="s">
        <v>1461</v>
      </c>
      <c r="W536" s="1747" t="s">
        <v>1461</v>
      </c>
      <c r="X536" s="1747" t="s">
        <v>1461</v>
      </c>
      <c r="Y536" s="1747" t="s">
        <v>1461</v>
      </c>
      <c r="Z536" s="1747" t="s">
        <v>1461</v>
      </c>
      <c r="AA536" s="1747" t="s">
        <v>1461</v>
      </c>
      <c r="AB536" s="1747" t="s">
        <v>1461</v>
      </c>
      <c r="AC536" s="1747" t="s">
        <v>1461</v>
      </c>
      <c r="AD536" s="1747" t="s">
        <v>1461</v>
      </c>
      <c r="AE536" s="1747" t="s">
        <v>1461</v>
      </c>
      <c r="AF536" s="1747" t="s">
        <v>1461</v>
      </c>
      <c r="AG536" s="1747" t="s">
        <v>1461</v>
      </c>
      <c r="AH536" s="1747" t="s">
        <v>1461</v>
      </c>
      <c r="AI536" s="1747" t="s">
        <v>1461</v>
      </c>
      <c r="AJ536" s="1748" t="s">
        <v>1316</v>
      </c>
      <c r="AK536" s="1749" t="s">
        <v>1315</v>
      </c>
      <c r="AL536" s="1750"/>
      <c r="AM536" s="1746" t="s">
        <v>1316</v>
      </c>
      <c r="AN536" s="1070"/>
    </row>
    <row r="537" spans="1:40" hidden="1" outlineLevel="1" x14ac:dyDescent="0.3">
      <c r="A537" s="1082"/>
      <c r="B537" s="1149"/>
      <c r="C537" s="1142"/>
      <c r="D537" s="1142"/>
      <c r="E537" s="1142"/>
      <c r="F537" s="1753"/>
      <c r="G537" s="1754"/>
      <c r="H537" s="1754"/>
      <c r="I537" s="1754"/>
      <c r="J537" s="1754"/>
      <c r="K537" s="1754"/>
      <c r="L537" s="1754"/>
      <c r="M537" s="1754"/>
      <c r="N537" s="1755"/>
      <c r="O537" s="1756"/>
      <c r="P537" s="1756"/>
      <c r="Q537" s="1756"/>
      <c r="R537" s="1756"/>
      <c r="S537" s="1756"/>
      <c r="T537" s="1756"/>
      <c r="U537" s="1756"/>
      <c r="V537" s="1756"/>
      <c r="W537" s="1756"/>
      <c r="X537" s="1756"/>
      <c r="Y537" s="1756"/>
      <c r="Z537" s="1756"/>
      <c r="AA537" s="1756"/>
      <c r="AB537" s="1756"/>
      <c r="AC537" s="1756"/>
      <c r="AD537" s="1756"/>
      <c r="AE537" s="1756"/>
      <c r="AF537" s="1756"/>
      <c r="AG537" s="1756"/>
      <c r="AH537" s="1756"/>
      <c r="AI537" s="1756"/>
      <c r="AJ537" s="1251"/>
      <c r="AK537" s="1252"/>
      <c r="AL537" s="1757"/>
      <c r="AN537" s="1070"/>
    </row>
    <row r="538" spans="1:40" ht="18" hidden="1" outlineLevel="1" x14ac:dyDescent="0.3">
      <c r="A538" s="1082"/>
      <c r="B538" s="1253" t="s">
        <v>784</v>
      </c>
      <c r="C538" s="1254"/>
      <c r="D538" s="1254"/>
      <c r="E538" s="1255"/>
      <c r="F538" s="1261">
        <v>0</v>
      </c>
      <c r="G538" s="1263">
        <v>0</v>
      </c>
      <c r="H538" s="1262">
        <v>0</v>
      </c>
      <c r="I538" s="1262">
        <v>0</v>
      </c>
      <c r="J538" s="1262">
        <v>0</v>
      </c>
      <c r="K538" s="1262">
        <v>0</v>
      </c>
      <c r="L538" s="1262">
        <v>0</v>
      </c>
      <c r="M538" s="1262">
        <v>0</v>
      </c>
      <c r="N538" s="1262">
        <v>0</v>
      </c>
      <c r="O538" s="1262">
        <v>0</v>
      </c>
      <c r="P538" s="1262">
        <v>0</v>
      </c>
      <c r="Q538" s="1262">
        <v>0</v>
      </c>
      <c r="R538" s="1262">
        <v>0</v>
      </c>
      <c r="S538" s="1262">
        <v>0</v>
      </c>
      <c r="T538" s="1262">
        <v>0</v>
      </c>
      <c r="U538" s="1262">
        <v>0</v>
      </c>
      <c r="V538" s="1262">
        <v>0</v>
      </c>
      <c r="W538" s="1262">
        <v>0</v>
      </c>
      <c r="X538" s="1262">
        <v>0</v>
      </c>
      <c r="Y538" s="1262">
        <v>0</v>
      </c>
      <c r="Z538" s="1262">
        <v>0</v>
      </c>
      <c r="AA538" s="1262">
        <v>0</v>
      </c>
      <c r="AB538" s="1262">
        <v>0</v>
      </c>
      <c r="AC538" s="1262">
        <v>0</v>
      </c>
      <c r="AD538" s="1262">
        <v>0</v>
      </c>
      <c r="AE538" s="1262">
        <v>0</v>
      </c>
      <c r="AF538" s="1262">
        <v>0</v>
      </c>
      <c r="AG538" s="1262">
        <v>0</v>
      </c>
      <c r="AH538" s="1262">
        <v>0</v>
      </c>
      <c r="AI538" s="1262">
        <v>0</v>
      </c>
      <c r="AJ538" s="1263">
        <v>0</v>
      </c>
      <c r="AK538" s="1264"/>
      <c r="AL538" s="1761"/>
      <c r="AM538" s="1261">
        <v>0</v>
      </c>
      <c r="AN538" s="1070"/>
    </row>
    <row r="539" spans="1:40" hidden="1" outlineLevel="1" x14ac:dyDescent="0.3">
      <c r="A539" s="1082"/>
      <c r="B539" s="1266" t="s">
        <v>1317</v>
      </c>
      <c r="C539" s="1267"/>
      <c r="D539" s="1267"/>
      <c r="E539" s="1267"/>
      <c r="F539" s="1274"/>
      <c r="G539" s="1276">
        <v>0</v>
      </c>
      <c r="H539" s="1275">
        <v>0</v>
      </c>
      <c r="I539" s="1275">
        <v>0</v>
      </c>
      <c r="J539" s="1275">
        <v>0</v>
      </c>
      <c r="K539" s="1275">
        <v>0</v>
      </c>
      <c r="L539" s="1275">
        <v>0</v>
      </c>
      <c r="M539" s="1275">
        <v>0</v>
      </c>
      <c r="N539" s="1275">
        <v>0</v>
      </c>
      <c r="O539" s="1275">
        <v>0</v>
      </c>
      <c r="P539" s="1275">
        <v>0</v>
      </c>
      <c r="Q539" s="1275">
        <v>0</v>
      </c>
      <c r="R539" s="1275">
        <v>0</v>
      </c>
      <c r="S539" s="1275">
        <v>0</v>
      </c>
      <c r="T539" s="1275">
        <v>0</v>
      </c>
      <c r="U539" s="1275">
        <v>0</v>
      </c>
      <c r="V539" s="1275">
        <v>0</v>
      </c>
      <c r="W539" s="1275">
        <v>0</v>
      </c>
      <c r="X539" s="1275">
        <v>0</v>
      </c>
      <c r="Y539" s="1275">
        <v>0</v>
      </c>
      <c r="Z539" s="1275">
        <v>0</v>
      </c>
      <c r="AA539" s="1275">
        <v>0</v>
      </c>
      <c r="AB539" s="1275">
        <v>0</v>
      </c>
      <c r="AC539" s="1275">
        <v>0</v>
      </c>
      <c r="AD539" s="1275">
        <v>0</v>
      </c>
      <c r="AE539" s="1275">
        <v>0</v>
      </c>
      <c r="AF539" s="1275">
        <v>0</v>
      </c>
      <c r="AG539" s="1275">
        <v>0</v>
      </c>
      <c r="AH539" s="1275">
        <v>0</v>
      </c>
      <c r="AI539" s="1275">
        <v>0</v>
      </c>
      <c r="AJ539" s="1276">
        <v>0</v>
      </c>
      <c r="AK539" s="1277" t="s">
        <v>1318</v>
      </c>
      <c r="AL539" s="1762"/>
      <c r="AM539" s="1279"/>
      <c r="AN539" s="1070"/>
    </row>
    <row r="540" spans="1:40" hidden="1" outlineLevel="1" x14ac:dyDescent="0.3">
      <c r="A540" s="1082"/>
      <c r="B540" s="1266" t="s">
        <v>1319</v>
      </c>
      <c r="C540" s="1766" t="s">
        <v>1449</v>
      </c>
      <c r="D540" s="1767"/>
      <c r="E540" s="1267"/>
      <c r="F540" s="1274"/>
      <c r="G540" s="1276">
        <v>0</v>
      </c>
      <c r="H540" s="1275">
        <v>0</v>
      </c>
      <c r="I540" s="1275">
        <v>0</v>
      </c>
      <c r="J540" s="1275">
        <v>0</v>
      </c>
      <c r="K540" s="1275">
        <v>0</v>
      </c>
      <c r="L540" s="1275">
        <v>0</v>
      </c>
      <c r="M540" s="1275">
        <v>0</v>
      </c>
      <c r="N540" s="1275">
        <v>0</v>
      </c>
      <c r="O540" s="1275">
        <v>0</v>
      </c>
      <c r="P540" s="1275">
        <v>0</v>
      </c>
      <c r="Q540" s="1275">
        <v>0</v>
      </c>
      <c r="R540" s="1275">
        <v>0</v>
      </c>
      <c r="S540" s="1275">
        <v>0</v>
      </c>
      <c r="T540" s="1275">
        <v>0</v>
      </c>
      <c r="U540" s="1275">
        <v>0</v>
      </c>
      <c r="V540" s="1275">
        <v>0</v>
      </c>
      <c r="W540" s="1275">
        <v>0</v>
      </c>
      <c r="X540" s="1275">
        <v>0</v>
      </c>
      <c r="Y540" s="1275">
        <v>0</v>
      </c>
      <c r="Z540" s="1275">
        <v>0</v>
      </c>
      <c r="AA540" s="1275">
        <v>0</v>
      </c>
      <c r="AB540" s="1275">
        <v>0</v>
      </c>
      <c r="AC540" s="1275">
        <v>0</v>
      </c>
      <c r="AD540" s="1275">
        <v>0</v>
      </c>
      <c r="AE540" s="1275">
        <v>0</v>
      </c>
      <c r="AF540" s="1275">
        <v>0</v>
      </c>
      <c r="AG540" s="1275">
        <v>0</v>
      </c>
      <c r="AH540" s="1275">
        <v>0</v>
      </c>
      <c r="AI540" s="1275">
        <v>0</v>
      </c>
      <c r="AJ540" s="1276">
        <v>0</v>
      </c>
      <c r="AK540" s="1277"/>
      <c r="AL540" s="1762"/>
      <c r="AM540" s="1279"/>
      <c r="AN540" s="1070"/>
    </row>
    <row r="541" spans="1:40" ht="18" hidden="1" outlineLevel="1" x14ac:dyDescent="0.3">
      <c r="A541" s="1082"/>
      <c r="B541" s="1283" t="s">
        <v>1320</v>
      </c>
      <c r="C541" s="1284"/>
      <c r="D541" s="1284"/>
      <c r="E541" s="1286"/>
      <c r="F541" s="1292"/>
      <c r="G541" s="1768">
        <v>0</v>
      </c>
      <c r="H541" s="1769">
        <v>0</v>
      </c>
      <c r="I541" s="1769">
        <v>0</v>
      </c>
      <c r="J541" s="1769">
        <v>0</v>
      </c>
      <c r="K541" s="1769">
        <v>0</v>
      </c>
      <c r="L541" s="1769">
        <v>0</v>
      </c>
      <c r="M541" s="1769">
        <v>0</v>
      </c>
      <c r="N541" s="1769">
        <v>0</v>
      </c>
      <c r="O541" s="1769">
        <v>0</v>
      </c>
      <c r="P541" s="1769">
        <v>0</v>
      </c>
      <c r="Q541" s="1769">
        <v>0</v>
      </c>
      <c r="R541" s="1769">
        <v>0</v>
      </c>
      <c r="S541" s="1769">
        <v>0</v>
      </c>
      <c r="T541" s="1769">
        <v>0</v>
      </c>
      <c r="U541" s="1769">
        <v>0</v>
      </c>
      <c r="V541" s="1769">
        <v>0</v>
      </c>
      <c r="W541" s="1769">
        <v>0</v>
      </c>
      <c r="X541" s="1769">
        <v>0</v>
      </c>
      <c r="Y541" s="1769">
        <v>0</v>
      </c>
      <c r="Z541" s="1769">
        <v>0</v>
      </c>
      <c r="AA541" s="1769">
        <v>0</v>
      </c>
      <c r="AB541" s="1769">
        <v>0</v>
      </c>
      <c r="AC541" s="1769">
        <v>0</v>
      </c>
      <c r="AD541" s="1769">
        <v>0</v>
      </c>
      <c r="AE541" s="1769">
        <v>0</v>
      </c>
      <c r="AF541" s="1769">
        <v>0</v>
      </c>
      <c r="AG541" s="1769">
        <v>0</v>
      </c>
      <c r="AH541" s="1769">
        <v>0</v>
      </c>
      <c r="AI541" s="1769">
        <v>0</v>
      </c>
      <c r="AJ541" s="1768">
        <v>0</v>
      </c>
      <c r="AK541" s="1295"/>
      <c r="AL541" s="1761"/>
      <c r="AM541" s="1296">
        <v>0</v>
      </c>
      <c r="AN541" s="1070"/>
    </row>
    <row r="542" spans="1:40" ht="18" hidden="1" outlineLevel="1" x14ac:dyDescent="0.3">
      <c r="A542" s="1082"/>
      <c r="B542" s="1297" t="s">
        <v>1321</v>
      </c>
      <c r="C542" s="1298"/>
      <c r="D542" s="1298"/>
      <c r="E542" s="1298"/>
      <c r="F542" s="1304">
        <v>0</v>
      </c>
      <c r="G542" s="1306">
        <v>0</v>
      </c>
      <c r="H542" s="1305">
        <v>0</v>
      </c>
      <c r="I542" s="1305">
        <v>0</v>
      </c>
      <c r="J542" s="1305">
        <v>0</v>
      </c>
      <c r="K542" s="1305">
        <v>0</v>
      </c>
      <c r="L542" s="1305">
        <v>0</v>
      </c>
      <c r="M542" s="1305">
        <v>0</v>
      </c>
      <c r="N542" s="1305">
        <v>0</v>
      </c>
      <c r="O542" s="1305">
        <v>0</v>
      </c>
      <c r="P542" s="1305">
        <v>0</v>
      </c>
      <c r="Q542" s="1305">
        <v>0</v>
      </c>
      <c r="R542" s="1305">
        <v>0</v>
      </c>
      <c r="S542" s="1305">
        <v>0</v>
      </c>
      <c r="T542" s="1305">
        <v>0</v>
      </c>
      <c r="U542" s="1305">
        <v>0</v>
      </c>
      <c r="V542" s="1305">
        <v>0</v>
      </c>
      <c r="W542" s="1305">
        <v>0</v>
      </c>
      <c r="X542" s="1305">
        <v>0</v>
      </c>
      <c r="Y542" s="1305">
        <v>0</v>
      </c>
      <c r="Z542" s="1305">
        <v>0</v>
      </c>
      <c r="AA542" s="1305">
        <v>0</v>
      </c>
      <c r="AB542" s="1305">
        <v>0</v>
      </c>
      <c r="AC542" s="1305">
        <v>0</v>
      </c>
      <c r="AD542" s="1305">
        <v>0</v>
      </c>
      <c r="AE542" s="1305">
        <v>0</v>
      </c>
      <c r="AF542" s="1305">
        <v>0</v>
      </c>
      <c r="AG542" s="1305">
        <v>0</v>
      </c>
      <c r="AH542" s="1305">
        <v>0</v>
      </c>
      <c r="AI542" s="1305">
        <v>0</v>
      </c>
      <c r="AJ542" s="1306">
        <v>0</v>
      </c>
      <c r="AK542" s="1307">
        <v>0</v>
      </c>
      <c r="AL542" s="1770"/>
      <c r="AM542" s="1304">
        <v>0</v>
      </c>
      <c r="AN542" s="1070"/>
    </row>
    <row r="543" spans="1:40" ht="18" hidden="1" outlineLevel="1" x14ac:dyDescent="0.3">
      <c r="A543" s="1082"/>
      <c r="B543" s="1297" t="s">
        <v>1322</v>
      </c>
      <c r="C543" s="1298"/>
      <c r="D543" s="1298"/>
      <c r="E543" s="1298"/>
      <c r="F543" s="1304">
        <v>0</v>
      </c>
      <c r="G543" s="1306">
        <v>0</v>
      </c>
      <c r="H543" s="1305">
        <v>0</v>
      </c>
      <c r="I543" s="1305">
        <v>0</v>
      </c>
      <c r="J543" s="1305">
        <v>0</v>
      </c>
      <c r="K543" s="1305">
        <v>0</v>
      </c>
      <c r="L543" s="1305">
        <v>0</v>
      </c>
      <c r="M543" s="1305">
        <v>0</v>
      </c>
      <c r="N543" s="1305">
        <v>0</v>
      </c>
      <c r="O543" s="1305">
        <v>0</v>
      </c>
      <c r="P543" s="1305">
        <v>0</v>
      </c>
      <c r="Q543" s="1305">
        <v>0</v>
      </c>
      <c r="R543" s="1305">
        <v>0</v>
      </c>
      <c r="S543" s="1305">
        <v>0</v>
      </c>
      <c r="T543" s="1305">
        <v>0</v>
      </c>
      <c r="U543" s="1305">
        <v>0</v>
      </c>
      <c r="V543" s="1305">
        <v>0</v>
      </c>
      <c r="W543" s="1305">
        <v>0</v>
      </c>
      <c r="X543" s="1305">
        <v>0</v>
      </c>
      <c r="Y543" s="1305">
        <v>0</v>
      </c>
      <c r="Z543" s="1305">
        <v>0</v>
      </c>
      <c r="AA543" s="1305">
        <v>0</v>
      </c>
      <c r="AB543" s="1305">
        <v>0</v>
      </c>
      <c r="AC543" s="1305">
        <v>0</v>
      </c>
      <c r="AD543" s="1305">
        <v>0</v>
      </c>
      <c r="AE543" s="1305">
        <v>0</v>
      </c>
      <c r="AF543" s="1305">
        <v>0</v>
      </c>
      <c r="AG543" s="1305">
        <v>0</v>
      </c>
      <c r="AH543" s="1305">
        <v>0</v>
      </c>
      <c r="AI543" s="1305">
        <v>0</v>
      </c>
      <c r="AJ543" s="1306">
        <v>0</v>
      </c>
      <c r="AK543" s="1307">
        <v>0</v>
      </c>
      <c r="AL543" s="1770"/>
      <c r="AM543" s="1304">
        <v>0</v>
      </c>
      <c r="AN543" s="1070"/>
    </row>
    <row r="544" spans="1:40" ht="18" hidden="1" outlineLevel="1" x14ac:dyDescent="0.3">
      <c r="A544" s="1082"/>
      <c r="B544" s="1308" t="s">
        <v>286</v>
      </c>
      <c r="C544" s="1309"/>
      <c r="D544" s="1309"/>
      <c r="E544" s="1309"/>
      <c r="F544" s="1315">
        <v>0</v>
      </c>
      <c r="G544" s="1317">
        <v>0</v>
      </c>
      <c r="H544" s="1316">
        <v>0</v>
      </c>
      <c r="I544" s="1316">
        <v>0</v>
      </c>
      <c r="J544" s="1316">
        <v>0</v>
      </c>
      <c r="K544" s="1316">
        <v>0</v>
      </c>
      <c r="L544" s="1316">
        <v>0</v>
      </c>
      <c r="M544" s="1316">
        <v>0</v>
      </c>
      <c r="N544" s="1316">
        <v>0</v>
      </c>
      <c r="O544" s="1316">
        <v>0</v>
      </c>
      <c r="P544" s="1316">
        <v>0</v>
      </c>
      <c r="Q544" s="1316">
        <v>0</v>
      </c>
      <c r="R544" s="1316">
        <v>0</v>
      </c>
      <c r="S544" s="1316">
        <v>0</v>
      </c>
      <c r="T544" s="1316">
        <v>0</v>
      </c>
      <c r="U544" s="1316">
        <v>0</v>
      </c>
      <c r="V544" s="1316">
        <v>0</v>
      </c>
      <c r="W544" s="1316">
        <v>0</v>
      </c>
      <c r="X544" s="1316">
        <v>0</v>
      </c>
      <c r="Y544" s="1316">
        <v>0</v>
      </c>
      <c r="Z544" s="1316">
        <v>0</v>
      </c>
      <c r="AA544" s="1316">
        <v>0</v>
      </c>
      <c r="AB544" s="1316">
        <v>0</v>
      </c>
      <c r="AC544" s="1316">
        <v>0</v>
      </c>
      <c r="AD544" s="1316">
        <v>0</v>
      </c>
      <c r="AE544" s="1316">
        <v>0</v>
      </c>
      <c r="AF544" s="1316">
        <v>0</v>
      </c>
      <c r="AG544" s="1316">
        <v>0</v>
      </c>
      <c r="AH544" s="1316">
        <v>0</v>
      </c>
      <c r="AI544" s="1316">
        <v>0</v>
      </c>
      <c r="AJ544" s="1317">
        <v>0</v>
      </c>
      <c r="AK544" s="1318"/>
      <c r="AL544" s="1761"/>
      <c r="AM544" s="1315">
        <v>0</v>
      </c>
      <c r="AN544" s="1070"/>
    </row>
    <row r="545" spans="1:40" hidden="1" outlineLevel="1" x14ac:dyDescent="0.3">
      <c r="A545" s="1082"/>
      <c r="B545" s="1320"/>
      <c r="C545" s="1321" t="s">
        <v>1323</v>
      </c>
      <c r="D545" s="1321"/>
      <c r="E545" s="1323"/>
      <c r="F545" s="1330"/>
      <c r="G545" s="1332">
        <v>0</v>
      </c>
      <c r="H545" s="1331">
        <v>0</v>
      </c>
      <c r="I545" s="1331">
        <v>0</v>
      </c>
      <c r="J545" s="1331">
        <v>0</v>
      </c>
      <c r="K545" s="1331">
        <v>0</v>
      </c>
      <c r="L545" s="1331">
        <v>0</v>
      </c>
      <c r="M545" s="1331">
        <v>0</v>
      </c>
      <c r="N545" s="1331">
        <v>0</v>
      </c>
      <c r="O545" s="1331">
        <v>0</v>
      </c>
      <c r="P545" s="1331">
        <v>0</v>
      </c>
      <c r="Q545" s="1331">
        <v>0</v>
      </c>
      <c r="R545" s="1331">
        <v>0</v>
      </c>
      <c r="S545" s="1331">
        <v>0</v>
      </c>
      <c r="T545" s="1331">
        <v>0</v>
      </c>
      <c r="U545" s="1331">
        <v>0</v>
      </c>
      <c r="V545" s="1331">
        <v>0</v>
      </c>
      <c r="W545" s="1331">
        <v>0</v>
      </c>
      <c r="X545" s="1331">
        <v>0</v>
      </c>
      <c r="Y545" s="1331">
        <v>0</v>
      </c>
      <c r="Z545" s="1331">
        <v>0</v>
      </c>
      <c r="AA545" s="1331">
        <v>0</v>
      </c>
      <c r="AB545" s="1331">
        <v>0</v>
      </c>
      <c r="AC545" s="1331">
        <v>0</v>
      </c>
      <c r="AD545" s="1331">
        <v>0</v>
      </c>
      <c r="AE545" s="1331">
        <v>0</v>
      </c>
      <c r="AF545" s="1331">
        <v>0</v>
      </c>
      <c r="AG545" s="1331">
        <v>0</v>
      </c>
      <c r="AH545" s="1331">
        <v>0</v>
      </c>
      <c r="AI545" s="1331">
        <v>0</v>
      </c>
      <c r="AJ545" s="1332">
        <v>0</v>
      </c>
      <c r="AK545" s="1333"/>
      <c r="AL545" s="1771"/>
      <c r="AM545" s="1335"/>
      <c r="AN545" s="1070"/>
    </row>
    <row r="546" spans="1:40" ht="18" hidden="1" outlineLevel="1" x14ac:dyDescent="0.3">
      <c r="A546" s="1082"/>
      <c r="B546" s="1336" t="s">
        <v>1324</v>
      </c>
      <c r="C546" s="1337"/>
      <c r="D546" s="1337"/>
      <c r="E546" s="1337"/>
      <c r="F546" s="1304">
        <v>0</v>
      </c>
      <c r="G546" s="1306">
        <v>0</v>
      </c>
      <c r="H546" s="1305">
        <v>0</v>
      </c>
      <c r="I546" s="1305">
        <v>0</v>
      </c>
      <c r="J546" s="1305">
        <v>0</v>
      </c>
      <c r="K546" s="1305">
        <v>0</v>
      </c>
      <c r="L546" s="1305">
        <v>0</v>
      </c>
      <c r="M546" s="1305">
        <v>0</v>
      </c>
      <c r="N546" s="1305">
        <v>0</v>
      </c>
      <c r="O546" s="1305">
        <v>0</v>
      </c>
      <c r="P546" s="1305">
        <v>0</v>
      </c>
      <c r="Q546" s="1305">
        <v>0</v>
      </c>
      <c r="R546" s="1305">
        <v>0</v>
      </c>
      <c r="S546" s="1305">
        <v>0</v>
      </c>
      <c r="T546" s="1305">
        <v>0</v>
      </c>
      <c r="U546" s="1305">
        <v>0</v>
      </c>
      <c r="V546" s="1305">
        <v>0</v>
      </c>
      <c r="W546" s="1305">
        <v>0</v>
      </c>
      <c r="X546" s="1305">
        <v>0</v>
      </c>
      <c r="Y546" s="1305">
        <v>0</v>
      </c>
      <c r="Z546" s="1305">
        <v>0</v>
      </c>
      <c r="AA546" s="1305">
        <v>0</v>
      </c>
      <c r="AB546" s="1305">
        <v>0</v>
      </c>
      <c r="AC546" s="1305">
        <v>0</v>
      </c>
      <c r="AD546" s="1305">
        <v>0</v>
      </c>
      <c r="AE546" s="1305">
        <v>0</v>
      </c>
      <c r="AF546" s="1305">
        <v>0</v>
      </c>
      <c r="AG546" s="1305">
        <v>0</v>
      </c>
      <c r="AH546" s="1305">
        <v>0</v>
      </c>
      <c r="AI546" s="1305">
        <v>0</v>
      </c>
      <c r="AJ546" s="1306">
        <v>0</v>
      </c>
      <c r="AK546" s="1307">
        <v>0</v>
      </c>
      <c r="AL546" s="1770"/>
      <c r="AM546" s="1304">
        <v>0</v>
      </c>
      <c r="AN546" s="1070"/>
    </row>
    <row r="547" spans="1:40" ht="18" hidden="1" outlineLevel="1" x14ac:dyDescent="0.3">
      <c r="A547" s="1082"/>
      <c r="B547" s="1336" t="s">
        <v>1325</v>
      </c>
      <c r="C547" s="1337"/>
      <c r="D547" s="1337"/>
      <c r="E547" s="1337"/>
      <c r="F547" s="1304">
        <v>0</v>
      </c>
      <c r="G547" s="1306">
        <v>0</v>
      </c>
      <c r="H547" s="1305">
        <v>0</v>
      </c>
      <c r="I547" s="1305">
        <v>0</v>
      </c>
      <c r="J547" s="1305">
        <v>0</v>
      </c>
      <c r="K547" s="1305">
        <v>0</v>
      </c>
      <c r="L547" s="1305">
        <v>0</v>
      </c>
      <c r="M547" s="1305">
        <v>0</v>
      </c>
      <c r="N547" s="1305">
        <v>0</v>
      </c>
      <c r="O547" s="1305">
        <v>0</v>
      </c>
      <c r="P547" s="1305">
        <v>0</v>
      </c>
      <c r="Q547" s="1305">
        <v>0</v>
      </c>
      <c r="R547" s="1305">
        <v>0</v>
      </c>
      <c r="S547" s="1305">
        <v>0</v>
      </c>
      <c r="T547" s="1305">
        <v>0</v>
      </c>
      <c r="U547" s="1305">
        <v>0</v>
      </c>
      <c r="V547" s="1305">
        <v>0</v>
      </c>
      <c r="W547" s="1305">
        <v>0</v>
      </c>
      <c r="X547" s="1305">
        <v>0</v>
      </c>
      <c r="Y547" s="1305">
        <v>0</v>
      </c>
      <c r="Z547" s="1305">
        <v>0</v>
      </c>
      <c r="AA547" s="1305">
        <v>0</v>
      </c>
      <c r="AB547" s="1305">
        <v>0</v>
      </c>
      <c r="AC547" s="1305">
        <v>0</v>
      </c>
      <c r="AD547" s="1305">
        <v>0</v>
      </c>
      <c r="AE547" s="1305">
        <v>0</v>
      </c>
      <c r="AF547" s="1305">
        <v>0</v>
      </c>
      <c r="AG547" s="1305">
        <v>0</v>
      </c>
      <c r="AH547" s="1305">
        <v>0</v>
      </c>
      <c r="AI547" s="1305">
        <v>0</v>
      </c>
      <c r="AJ547" s="1306">
        <v>0</v>
      </c>
      <c r="AK547" s="1307">
        <v>0</v>
      </c>
      <c r="AL547" s="1770"/>
      <c r="AM547" s="1304">
        <v>0</v>
      </c>
      <c r="AN547" s="1070"/>
    </row>
    <row r="548" spans="1:40" ht="18.600000000000001" hidden="1" outlineLevel="1" thickBot="1" x14ac:dyDescent="0.35">
      <c r="A548" s="1082"/>
      <c r="B548" s="1338" t="s">
        <v>660</v>
      </c>
      <c r="C548" s="1339"/>
      <c r="D548" s="1339"/>
      <c r="E548" s="1339"/>
      <c r="F548" s="1345">
        <v>0</v>
      </c>
      <c r="G548" s="1347">
        <v>0</v>
      </c>
      <c r="H548" s="1346">
        <v>0</v>
      </c>
      <c r="I548" s="1346">
        <v>0</v>
      </c>
      <c r="J548" s="1346">
        <v>0</v>
      </c>
      <c r="K548" s="1346">
        <v>0</v>
      </c>
      <c r="L548" s="1346">
        <v>0</v>
      </c>
      <c r="M548" s="1346">
        <v>0</v>
      </c>
      <c r="N548" s="1346">
        <v>0</v>
      </c>
      <c r="O548" s="1346">
        <v>0</v>
      </c>
      <c r="P548" s="1346">
        <v>0</v>
      </c>
      <c r="Q548" s="1346">
        <v>0</v>
      </c>
      <c r="R548" s="1346">
        <v>0</v>
      </c>
      <c r="S548" s="1346">
        <v>0</v>
      </c>
      <c r="T548" s="1346">
        <v>0</v>
      </c>
      <c r="U548" s="1346">
        <v>0</v>
      </c>
      <c r="V548" s="1346">
        <v>0</v>
      </c>
      <c r="W548" s="1346">
        <v>0</v>
      </c>
      <c r="X548" s="1346">
        <v>0</v>
      </c>
      <c r="Y548" s="1346">
        <v>0</v>
      </c>
      <c r="Z548" s="1346">
        <v>0</v>
      </c>
      <c r="AA548" s="1346">
        <v>0</v>
      </c>
      <c r="AB548" s="1346">
        <v>0</v>
      </c>
      <c r="AC548" s="1346">
        <v>0</v>
      </c>
      <c r="AD548" s="1346">
        <v>0</v>
      </c>
      <c r="AE548" s="1346">
        <v>0</v>
      </c>
      <c r="AF548" s="1346">
        <v>0</v>
      </c>
      <c r="AG548" s="1346">
        <v>0</v>
      </c>
      <c r="AH548" s="1346">
        <v>0</v>
      </c>
      <c r="AI548" s="1346">
        <v>0</v>
      </c>
      <c r="AJ548" s="1347">
        <v>0</v>
      </c>
      <c r="AK548" s="1348"/>
      <c r="AL548" s="1761"/>
      <c r="AM548" s="1345">
        <v>0</v>
      </c>
      <c r="AN548" s="1070"/>
    </row>
    <row r="549" spans="1:40" hidden="1" outlineLevel="1" x14ac:dyDescent="0.3">
      <c r="A549" s="1082"/>
      <c r="B549" s="1350"/>
      <c r="C549" s="1351" t="s">
        <v>1323</v>
      </c>
      <c r="D549" s="1351"/>
      <c r="E549" s="1353"/>
      <c r="F549" s="1357"/>
      <c r="G549" s="1276">
        <v>0</v>
      </c>
      <c r="H549" s="1275">
        <v>0</v>
      </c>
      <c r="I549" s="1275">
        <v>0</v>
      </c>
      <c r="J549" s="1275">
        <v>0</v>
      </c>
      <c r="K549" s="1275">
        <v>0</v>
      </c>
      <c r="L549" s="1275">
        <v>0</v>
      </c>
      <c r="M549" s="1275">
        <v>0</v>
      </c>
      <c r="N549" s="1275">
        <v>0</v>
      </c>
      <c r="O549" s="1275">
        <v>0</v>
      </c>
      <c r="P549" s="1275">
        <v>0</v>
      </c>
      <c r="Q549" s="1275">
        <v>0</v>
      </c>
      <c r="R549" s="1275">
        <v>0</v>
      </c>
      <c r="S549" s="1275">
        <v>0</v>
      </c>
      <c r="T549" s="1275">
        <v>0</v>
      </c>
      <c r="U549" s="1275">
        <v>0</v>
      </c>
      <c r="V549" s="1275">
        <v>0</v>
      </c>
      <c r="W549" s="1275">
        <v>0</v>
      </c>
      <c r="X549" s="1275">
        <v>0</v>
      </c>
      <c r="Y549" s="1275">
        <v>0</v>
      </c>
      <c r="Z549" s="1275">
        <v>0</v>
      </c>
      <c r="AA549" s="1275">
        <v>0</v>
      </c>
      <c r="AB549" s="1275">
        <v>0</v>
      </c>
      <c r="AC549" s="1275">
        <v>0</v>
      </c>
      <c r="AD549" s="1275">
        <v>0</v>
      </c>
      <c r="AE549" s="1275">
        <v>0</v>
      </c>
      <c r="AF549" s="1275">
        <v>0</v>
      </c>
      <c r="AG549" s="1275">
        <v>0</v>
      </c>
      <c r="AH549" s="1275">
        <v>0</v>
      </c>
      <c r="AI549" s="1275">
        <v>0</v>
      </c>
      <c r="AJ549" s="1276">
        <v>0</v>
      </c>
      <c r="AK549" s="1358"/>
      <c r="AL549" s="1771"/>
      <c r="AM549" s="1279"/>
      <c r="AN549" s="1070"/>
    </row>
    <row r="550" spans="1:40" ht="18" hidden="1" outlineLevel="1" x14ac:dyDescent="0.3">
      <c r="A550" s="1082"/>
      <c r="B550" s="1336" t="s">
        <v>1326</v>
      </c>
      <c r="C550" s="1351"/>
      <c r="D550" s="1351"/>
      <c r="E550" s="1353"/>
      <c r="F550" s="1304">
        <v>0</v>
      </c>
      <c r="G550" s="1306">
        <v>0</v>
      </c>
      <c r="H550" s="1305">
        <v>0</v>
      </c>
      <c r="I550" s="1305">
        <v>0</v>
      </c>
      <c r="J550" s="1305">
        <v>0</v>
      </c>
      <c r="K550" s="1305">
        <v>0</v>
      </c>
      <c r="L550" s="1305">
        <v>0</v>
      </c>
      <c r="M550" s="1305">
        <v>0</v>
      </c>
      <c r="N550" s="1305">
        <v>0</v>
      </c>
      <c r="O550" s="1305">
        <v>0</v>
      </c>
      <c r="P550" s="1305">
        <v>0</v>
      </c>
      <c r="Q550" s="1305">
        <v>0</v>
      </c>
      <c r="R550" s="1305">
        <v>0</v>
      </c>
      <c r="S550" s="1305">
        <v>0</v>
      </c>
      <c r="T550" s="1305">
        <v>0</v>
      </c>
      <c r="U550" s="1305">
        <v>0</v>
      </c>
      <c r="V550" s="1305">
        <v>0</v>
      </c>
      <c r="W550" s="1305">
        <v>0</v>
      </c>
      <c r="X550" s="1305">
        <v>0</v>
      </c>
      <c r="Y550" s="1305">
        <v>0</v>
      </c>
      <c r="Z550" s="1305">
        <v>0</v>
      </c>
      <c r="AA550" s="1305">
        <v>0</v>
      </c>
      <c r="AB550" s="1305">
        <v>0</v>
      </c>
      <c r="AC550" s="1305">
        <v>0</v>
      </c>
      <c r="AD550" s="1305">
        <v>0</v>
      </c>
      <c r="AE550" s="1305">
        <v>0</v>
      </c>
      <c r="AF550" s="1305">
        <v>0</v>
      </c>
      <c r="AG550" s="1305">
        <v>0</v>
      </c>
      <c r="AH550" s="1305">
        <v>0</v>
      </c>
      <c r="AI550" s="1305">
        <v>0</v>
      </c>
      <c r="AJ550" s="1306">
        <v>0</v>
      </c>
      <c r="AK550" s="1358" t="s">
        <v>3</v>
      </c>
      <c r="AL550" s="1771"/>
      <c r="AM550" s="1304">
        <v>0</v>
      </c>
      <c r="AN550" s="1070"/>
    </row>
    <row r="551" spans="1:40" ht="18" hidden="1" outlineLevel="1" x14ac:dyDescent="0.3">
      <c r="A551" s="1082"/>
      <c r="B551" s="1336" t="s">
        <v>1327</v>
      </c>
      <c r="C551" s="1360"/>
      <c r="D551" s="1360"/>
      <c r="E551" s="1360"/>
      <c r="F551" s="1304">
        <v>0</v>
      </c>
      <c r="G551" s="1306">
        <v>0</v>
      </c>
      <c r="H551" s="1305">
        <v>0</v>
      </c>
      <c r="I551" s="1305">
        <v>0</v>
      </c>
      <c r="J551" s="1305">
        <v>0</v>
      </c>
      <c r="K551" s="1305">
        <v>0</v>
      </c>
      <c r="L551" s="1305">
        <v>0</v>
      </c>
      <c r="M551" s="1305">
        <v>0</v>
      </c>
      <c r="N551" s="1305">
        <v>0</v>
      </c>
      <c r="O551" s="1305">
        <v>0</v>
      </c>
      <c r="P551" s="1305">
        <v>0</v>
      </c>
      <c r="Q551" s="1305">
        <v>0</v>
      </c>
      <c r="R551" s="1305">
        <v>0</v>
      </c>
      <c r="S551" s="1305">
        <v>0</v>
      </c>
      <c r="T551" s="1305">
        <v>0</v>
      </c>
      <c r="U551" s="1305">
        <v>0</v>
      </c>
      <c r="V551" s="1305">
        <v>0</v>
      </c>
      <c r="W551" s="1305">
        <v>0</v>
      </c>
      <c r="X551" s="1305">
        <v>0</v>
      </c>
      <c r="Y551" s="1305">
        <v>0</v>
      </c>
      <c r="Z551" s="1305">
        <v>0</v>
      </c>
      <c r="AA551" s="1305">
        <v>0</v>
      </c>
      <c r="AB551" s="1305">
        <v>0</v>
      </c>
      <c r="AC551" s="1305">
        <v>0</v>
      </c>
      <c r="AD551" s="1305">
        <v>0</v>
      </c>
      <c r="AE551" s="1305">
        <v>0</v>
      </c>
      <c r="AF551" s="1305">
        <v>0</v>
      </c>
      <c r="AG551" s="1305">
        <v>0</v>
      </c>
      <c r="AH551" s="1305">
        <v>0</v>
      </c>
      <c r="AI551" s="1305">
        <v>0</v>
      </c>
      <c r="AJ551" s="1306">
        <v>0</v>
      </c>
      <c r="AK551" s="1307">
        <v>0</v>
      </c>
      <c r="AL551" s="1770"/>
      <c r="AM551" s="1304">
        <v>0</v>
      </c>
      <c r="AN551" s="1070"/>
    </row>
    <row r="552" spans="1:40" ht="18" hidden="1" outlineLevel="1" x14ac:dyDescent="0.3">
      <c r="A552" s="1082"/>
      <c r="B552" s="1308" t="s">
        <v>674</v>
      </c>
      <c r="C552" s="1362"/>
      <c r="D552" s="1362"/>
      <c r="E552" s="1362"/>
      <c r="F552" s="1315">
        <v>0</v>
      </c>
      <c r="G552" s="1317">
        <v>0</v>
      </c>
      <c r="H552" s="1316">
        <v>0</v>
      </c>
      <c r="I552" s="1316">
        <v>0</v>
      </c>
      <c r="J552" s="1316">
        <v>0</v>
      </c>
      <c r="K552" s="1316">
        <v>0</v>
      </c>
      <c r="L552" s="1316">
        <v>0</v>
      </c>
      <c r="M552" s="1316">
        <v>0</v>
      </c>
      <c r="N552" s="1316">
        <v>0</v>
      </c>
      <c r="O552" s="1316">
        <v>0</v>
      </c>
      <c r="P552" s="1316">
        <v>0</v>
      </c>
      <c r="Q552" s="1316">
        <v>0</v>
      </c>
      <c r="R552" s="1316">
        <v>0</v>
      </c>
      <c r="S552" s="1316">
        <v>0</v>
      </c>
      <c r="T552" s="1316">
        <v>0</v>
      </c>
      <c r="U552" s="1316">
        <v>0</v>
      </c>
      <c r="V552" s="1316">
        <v>0</v>
      </c>
      <c r="W552" s="1316">
        <v>0</v>
      </c>
      <c r="X552" s="1316">
        <v>0</v>
      </c>
      <c r="Y552" s="1316">
        <v>0</v>
      </c>
      <c r="Z552" s="1316">
        <v>0</v>
      </c>
      <c r="AA552" s="1316">
        <v>0</v>
      </c>
      <c r="AB552" s="1316">
        <v>0</v>
      </c>
      <c r="AC552" s="1316">
        <v>0</v>
      </c>
      <c r="AD552" s="1316">
        <v>0</v>
      </c>
      <c r="AE552" s="1316">
        <v>0</v>
      </c>
      <c r="AF552" s="1316">
        <v>0</v>
      </c>
      <c r="AG552" s="1316">
        <v>0</v>
      </c>
      <c r="AH552" s="1316">
        <v>0</v>
      </c>
      <c r="AI552" s="1316">
        <v>0</v>
      </c>
      <c r="AJ552" s="1317">
        <v>0</v>
      </c>
      <c r="AK552" s="1318"/>
      <c r="AL552" s="1761"/>
      <c r="AM552" s="1315">
        <v>0</v>
      </c>
      <c r="AN552" s="1070"/>
    </row>
    <row r="553" spans="1:40" hidden="1" outlineLevel="1" x14ac:dyDescent="0.3">
      <c r="A553" s="1082"/>
      <c r="B553" s="1363"/>
      <c r="C553" s="1321" t="s">
        <v>1323</v>
      </c>
      <c r="D553" s="1321"/>
      <c r="E553" s="1364"/>
      <c r="F553" s="1367"/>
      <c r="G553" s="1332">
        <v>0</v>
      </c>
      <c r="H553" s="1331">
        <v>0</v>
      </c>
      <c r="I553" s="1331">
        <v>0</v>
      </c>
      <c r="J553" s="1331">
        <v>0</v>
      </c>
      <c r="K553" s="1331">
        <v>0</v>
      </c>
      <c r="L553" s="1331">
        <v>0</v>
      </c>
      <c r="M553" s="1331">
        <v>0</v>
      </c>
      <c r="N553" s="1331">
        <v>0</v>
      </c>
      <c r="O553" s="1331">
        <v>0</v>
      </c>
      <c r="P553" s="1331">
        <v>0</v>
      </c>
      <c r="Q553" s="1331">
        <v>0</v>
      </c>
      <c r="R553" s="1331">
        <v>0</v>
      </c>
      <c r="S553" s="1331">
        <v>0</v>
      </c>
      <c r="T553" s="1331">
        <v>0</v>
      </c>
      <c r="U553" s="1331">
        <v>0</v>
      </c>
      <c r="V553" s="1331">
        <v>0</v>
      </c>
      <c r="W553" s="1331">
        <v>0</v>
      </c>
      <c r="X553" s="1331">
        <v>0</v>
      </c>
      <c r="Y553" s="1331">
        <v>0</v>
      </c>
      <c r="Z553" s="1331">
        <v>0</v>
      </c>
      <c r="AA553" s="1331">
        <v>0</v>
      </c>
      <c r="AB553" s="1331">
        <v>0</v>
      </c>
      <c r="AC553" s="1331">
        <v>0</v>
      </c>
      <c r="AD553" s="1331">
        <v>0</v>
      </c>
      <c r="AE553" s="1331">
        <v>0</v>
      </c>
      <c r="AF553" s="1331">
        <v>0</v>
      </c>
      <c r="AG553" s="1331">
        <v>0</v>
      </c>
      <c r="AH553" s="1331">
        <v>0</v>
      </c>
      <c r="AI553" s="1331">
        <v>0</v>
      </c>
      <c r="AJ553" s="1332">
        <v>0</v>
      </c>
      <c r="AK553" s="1368"/>
      <c r="AL553" s="1776"/>
      <c r="AM553" s="1335"/>
      <c r="AN553" s="1070"/>
    </row>
    <row r="554" spans="1:40" ht="18" hidden="1" outlineLevel="1" x14ac:dyDescent="0.3">
      <c r="A554" s="1082"/>
      <c r="B554" s="1336" t="s">
        <v>1328</v>
      </c>
      <c r="C554" s="1337"/>
      <c r="D554" s="1337"/>
      <c r="E554" s="1337"/>
      <c r="F554" s="1304">
        <v>0</v>
      </c>
      <c r="G554" s="1306">
        <v>0</v>
      </c>
      <c r="H554" s="1305">
        <v>0</v>
      </c>
      <c r="I554" s="1305">
        <v>0</v>
      </c>
      <c r="J554" s="1305">
        <v>0</v>
      </c>
      <c r="K554" s="1305">
        <v>0</v>
      </c>
      <c r="L554" s="1305">
        <v>0</v>
      </c>
      <c r="M554" s="1305">
        <v>0</v>
      </c>
      <c r="N554" s="1305">
        <v>0</v>
      </c>
      <c r="O554" s="1305">
        <v>0</v>
      </c>
      <c r="P554" s="1305">
        <v>0</v>
      </c>
      <c r="Q554" s="1305">
        <v>0</v>
      </c>
      <c r="R554" s="1305">
        <v>0</v>
      </c>
      <c r="S554" s="1305">
        <v>0</v>
      </c>
      <c r="T554" s="1305">
        <v>0</v>
      </c>
      <c r="U554" s="1305">
        <v>0</v>
      </c>
      <c r="V554" s="1305">
        <v>0</v>
      </c>
      <c r="W554" s="1305">
        <v>0</v>
      </c>
      <c r="X554" s="1305">
        <v>0</v>
      </c>
      <c r="Y554" s="1305">
        <v>0</v>
      </c>
      <c r="Z554" s="1305">
        <v>0</v>
      </c>
      <c r="AA554" s="1305">
        <v>0</v>
      </c>
      <c r="AB554" s="1305">
        <v>0</v>
      </c>
      <c r="AC554" s="1305">
        <v>0</v>
      </c>
      <c r="AD554" s="1305">
        <v>0</v>
      </c>
      <c r="AE554" s="1305">
        <v>0</v>
      </c>
      <c r="AF554" s="1305">
        <v>0</v>
      </c>
      <c r="AG554" s="1305">
        <v>0</v>
      </c>
      <c r="AH554" s="1305">
        <v>0</v>
      </c>
      <c r="AI554" s="1305">
        <v>0</v>
      </c>
      <c r="AJ554" s="1306">
        <v>0</v>
      </c>
      <c r="AK554" s="1307">
        <v>0</v>
      </c>
      <c r="AL554" s="1770"/>
      <c r="AM554" s="1304">
        <v>0</v>
      </c>
      <c r="AN554" s="1070"/>
    </row>
    <row r="555" spans="1:40" ht="18" hidden="1" outlineLevel="1" x14ac:dyDescent="0.3">
      <c r="A555" s="1082"/>
      <c r="B555" s="1336" t="s">
        <v>1329</v>
      </c>
      <c r="C555" s="1337"/>
      <c r="D555" s="1337"/>
      <c r="E555" s="1337"/>
      <c r="F555" s="1304">
        <v>0</v>
      </c>
      <c r="G555" s="1306">
        <v>0</v>
      </c>
      <c r="H555" s="1305">
        <v>0</v>
      </c>
      <c r="I555" s="1305">
        <v>0</v>
      </c>
      <c r="J555" s="1305">
        <v>0</v>
      </c>
      <c r="K555" s="1305">
        <v>0</v>
      </c>
      <c r="L555" s="1305">
        <v>0</v>
      </c>
      <c r="M555" s="1305">
        <v>0</v>
      </c>
      <c r="N555" s="1305">
        <v>0</v>
      </c>
      <c r="O555" s="1305">
        <v>0</v>
      </c>
      <c r="P555" s="1305">
        <v>0</v>
      </c>
      <c r="Q555" s="1305">
        <v>0</v>
      </c>
      <c r="R555" s="1305">
        <v>0</v>
      </c>
      <c r="S555" s="1305">
        <v>0</v>
      </c>
      <c r="T555" s="1305">
        <v>0</v>
      </c>
      <c r="U555" s="1305">
        <v>0</v>
      </c>
      <c r="V555" s="1305">
        <v>0</v>
      </c>
      <c r="W555" s="1305">
        <v>0</v>
      </c>
      <c r="X555" s="1305">
        <v>0</v>
      </c>
      <c r="Y555" s="1305">
        <v>0</v>
      </c>
      <c r="Z555" s="1305">
        <v>0</v>
      </c>
      <c r="AA555" s="1305">
        <v>0</v>
      </c>
      <c r="AB555" s="1305">
        <v>0</v>
      </c>
      <c r="AC555" s="1305">
        <v>0</v>
      </c>
      <c r="AD555" s="1305">
        <v>0</v>
      </c>
      <c r="AE555" s="1305">
        <v>0</v>
      </c>
      <c r="AF555" s="1305">
        <v>0</v>
      </c>
      <c r="AG555" s="1305">
        <v>0</v>
      </c>
      <c r="AH555" s="1305">
        <v>0</v>
      </c>
      <c r="AI555" s="1777">
        <v>0</v>
      </c>
      <c r="AJ555" s="1306">
        <v>0</v>
      </c>
      <c r="AK555" s="1307">
        <v>0</v>
      </c>
      <c r="AL555" s="1770"/>
      <c r="AM555" s="1304">
        <v>0</v>
      </c>
      <c r="AN555" s="1070"/>
    </row>
    <row r="556" spans="1:40" ht="18" hidden="1" outlineLevel="1" x14ac:dyDescent="0.3">
      <c r="A556" s="1082"/>
      <c r="B556" s="1369" t="s">
        <v>1450</v>
      </c>
      <c r="C556" s="1298"/>
      <c r="D556" s="1298"/>
      <c r="E556" s="1298"/>
      <c r="F556" s="1374">
        <v>0</v>
      </c>
      <c r="G556" s="1376">
        <v>0</v>
      </c>
      <c r="H556" s="1375">
        <v>0</v>
      </c>
      <c r="I556" s="1375">
        <v>0</v>
      </c>
      <c r="J556" s="1375">
        <v>0</v>
      </c>
      <c r="K556" s="1375">
        <v>0</v>
      </c>
      <c r="L556" s="1375">
        <v>0</v>
      </c>
      <c r="M556" s="1375">
        <v>0</v>
      </c>
      <c r="N556" s="1375">
        <v>0</v>
      </c>
      <c r="O556" s="1375">
        <v>0</v>
      </c>
      <c r="P556" s="1375">
        <v>0</v>
      </c>
      <c r="Q556" s="1375">
        <v>0</v>
      </c>
      <c r="R556" s="1375">
        <v>0</v>
      </c>
      <c r="S556" s="1375">
        <v>0</v>
      </c>
      <c r="T556" s="1375">
        <v>0</v>
      </c>
      <c r="U556" s="1375">
        <v>0</v>
      </c>
      <c r="V556" s="1375">
        <v>0</v>
      </c>
      <c r="W556" s="1375">
        <v>0</v>
      </c>
      <c r="X556" s="1375">
        <v>0</v>
      </c>
      <c r="Y556" s="1375">
        <v>0</v>
      </c>
      <c r="Z556" s="1375">
        <v>0</v>
      </c>
      <c r="AA556" s="1375">
        <v>0</v>
      </c>
      <c r="AB556" s="1375">
        <v>0</v>
      </c>
      <c r="AC556" s="1375">
        <v>0</v>
      </c>
      <c r="AD556" s="1375">
        <v>0</v>
      </c>
      <c r="AE556" s="1375">
        <v>0</v>
      </c>
      <c r="AF556" s="1375">
        <v>0</v>
      </c>
      <c r="AG556" s="1375">
        <v>0</v>
      </c>
      <c r="AH556" s="1375">
        <v>0</v>
      </c>
      <c r="AI556" s="1375">
        <v>0</v>
      </c>
      <c r="AJ556" s="1376">
        <v>0</v>
      </c>
      <c r="AK556" s="1377"/>
      <c r="AL556" s="1761"/>
      <c r="AM556" s="1374">
        <v>0</v>
      </c>
      <c r="AN556" s="1070"/>
    </row>
    <row r="557" spans="1:40" ht="18" hidden="1" outlineLevel="1" x14ac:dyDescent="0.3">
      <c r="A557" s="1082"/>
      <c r="B557" s="1369"/>
      <c r="C557" s="1351" t="s">
        <v>1323</v>
      </c>
      <c r="D557" s="1351"/>
      <c r="E557" s="1351"/>
      <c r="F557" s="1381"/>
      <c r="G557" s="1276">
        <v>0</v>
      </c>
      <c r="H557" s="1275">
        <v>0</v>
      </c>
      <c r="I557" s="1275">
        <v>0</v>
      </c>
      <c r="J557" s="1275">
        <v>0</v>
      </c>
      <c r="K557" s="1275">
        <v>0</v>
      </c>
      <c r="L557" s="1275">
        <v>0</v>
      </c>
      <c r="M557" s="1275">
        <v>0</v>
      </c>
      <c r="N557" s="1275">
        <v>0</v>
      </c>
      <c r="O557" s="1275">
        <v>0</v>
      </c>
      <c r="P557" s="1275">
        <v>0</v>
      </c>
      <c r="Q557" s="1275">
        <v>0</v>
      </c>
      <c r="R557" s="1275">
        <v>0</v>
      </c>
      <c r="S557" s="1275">
        <v>0</v>
      </c>
      <c r="T557" s="1275">
        <v>0</v>
      </c>
      <c r="U557" s="1275">
        <v>0</v>
      </c>
      <c r="V557" s="1275">
        <v>0</v>
      </c>
      <c r="W557" s="1275">
        <v>0</v>
      </c>
      <c r="X557" s="1275">
        <v>0</v>
      </c>
      <c r="Y557" s="1275">
        <v>0</v>
      </c>
      <c r="Z557" s="1275">
        <v>0</v>
      </c>
      <c r="AA557" s="1275">
        <v>0</v>
      </c>
      <c r="AB557" s="1275">
        <v>0</v>
      </c>
      <c r="AC557" s="1275">
        <v>0</v>
      </c>
      <c r="AD557" s="1275">
        <v>0</v>
      </c>
      <c r="AE557" s="1275">
        <v>0</v>
      </c>
      <c r="AF557" s="1275">
        <v>0</v>
      </c>
      <c r="AG557" s="1275">
        <v>0</v>
      </c>
      <c r="AH557" s="1275">
        <v>0</v>
      </c>
      <c r="AI557" s="1275">
        <v>0</v>
      </c>
      <c r="AJ557" s="1276">
        <v>0</v>
      </c>
      <c r="AK557" s="1377"/>
      <c r="AL557" s="1761"/>
      <c r="AM557" s="1279"/>
      <c r="AN557" s="1070"/>
    </row>
    <row r="558" spans="1:40" ht="18.600000000000001" hidden="1" outlineLevel="1" thickBot="1" x14ac:dyDescent="0.35">
      <c r="A558" s="1082"/>
      <c r="B558" s="1778"/>
      <c r="C558" s="1779"/>
      <c r="D558" s="1779"/>
      <c r="E558" s="1779"/>
      <c r="F558" s="1780"/>
      <c r="G558" s="1781"/>
      <c r="H558" s="1781"/>
      <c r="I558" s="1781"/>
      <c r="J558" s="1781"/>
      <c r="K558" s="1781"/>
      <c r="L558" s="1781"/>
      <c r="M558" s="1781"/>
      <c r="N558" s="1781"/>
      <c r="O558" s="1781"/>
      <c r="P558" s="1781"/>
      <c r="Q558" s="1781"/>
      <c r="R558" s="1781"/>
      <c r="S558" s="1781"/>
      <c r="T558" s="1781"/>
      <c r="U558" s="1781"/>
      <c r="V558" s="1781"/>
      <c r="W558" s="1781"/>
      <c r="X558" s="1781"/>
      <c r="Y558" s="1781"/>
      <c r="Z558" s="1781"/>
      <c r="AA558" s="1781"/>
      <c r="AB558" s="1781"/>
      <c r="AC558" s="1781"/>
      <c r="AD558" s="1781"/>
      <c r="AE558" s="1781"/>
      <c r="AF558" s="1781"/>
      <c r="AG558" s="1781"/>
      <c r="AH558" s="1781"/>
      <c r="AI558" s="1781"/>
      <c r="AJ558" s="1782"/>
      <c r="AK558" s="1783"/>
      <c r="AL558" s="1784"/>
      <c r="AM558" s="1785"/>
      <c r="AN558" s="1070"/>
    </row>
    <row r="559" spans="1:40" ht="18" hidden="1" outlineLevel="1" x14ac:dyDescent="0.3">
      <c r="A559" s="1070"/>
      <c r="B559" s="1082"/>
      <c r="C559" s="1082"/>
      <c r="D559" s="1082"/>
      <c r="E559" s="1082"/>
      <c r="F559" s="1371"/>
      <c r="G559" s="1300"/>
      <c r="H559" s="1300"/>
      <c r="I559" s="1300"/>
      <c r="J559" s="1300"/>
      <c r="K559" s="1300"/>
      <c r="L559" s="1300"/>
      <c r="M559" s="1300"/>
      <c r="N559" s="1300"/>
      <c r="O559" s="1300"/>
      <c r="P559" s="1300"/>
      <c r="Q559" s="1300"/>
      <c r="R559" s="1300"/>
      <c r="S559" s="1300"/>
      <c r="T559" s="1300"/>
      <c r="U559" s="1300"/>
      <c r="V559" s="1300"/>
      <c r="W559" s="1300"/>
      <c r="X559" s="1300"/>
      <c r="Y559" s="1300"/>
      <c r="Z559" s="1300"/>
      <c r="AA559" s="1300"/>
      <c r="AB559" s="1300"/>
      <c r="AC559" s="1300"/>
      <c r="AD559" s="1300"/>
      <c r="AE559" s="1300"/>
      <c r="AF559" s="1300"/>
      <c r="AG559" s="1300"/>
      <c r="AH559" s="1300"/>
      <c r="AI559" s="1300"/>
      <c r="AJ559" s="1300"/>
      <c r="AK559" s="1791"/>
      <c r="AL559" s="1791"/>
      <c r="AM559" s="1300"/>
      <c r="AN559" s="1070"/>
    </row>
    <row r="560" spans="1:40" s="1236" customFormat="1" ht="18" hidden="1" outlineLevel="1" x14ac:dyDescent="0.3">
      <c r="A560" s="1082"/>
      <c r="B560" s="1082"/>
      <c r="C560" s="1082"/>
      <c r="D560" s="1082"/>
      <c r="E560" s="1082"/>
      <c r="F560" s="1371"/>
      <c r="G560" s="1300"/>
      <c r="H560" s="1300"/>
      <c r="I560" s="1300"/>
      <c r="J560" s="1300"/>
      <c r="K560" s="1300"/>
      <c r="L560" s="1300"/>
      <c r="M560" s="1300"/>
      <c r="N560" s="1300"/>
      <c r="O560" s="1300"/>
      <c r="P560" s="1300"/>
      <c r="Q560" s="1300"/>
      <c r="R560" s="1300"/>
      <c r="S560" s="1300"/>
      <c r="T560" s="1300"/>
      <c r="U560" s="1300"/>
      <c r="V560" s="1300"/>
      <c r="W560" s="1300"/>
      <c r="X560" s="1300"/>
      <c r="Y560" s="1300"/>
      <c r="Z560" s="1300"/>
      <c r="AA560" s="1795"/>
      <c r="AB560" s="1795"/>
      <c r="AC560" s="1795"/>
      <c r="AD560" s="1795"/>
      <c r="AE560" s="1795"/>
      <c r="AF560" s="1795"/>
      <c r="AG560" s="1795"/>
      <c r="AH560" s="1795"/>
      <c r="AI560" s="1795"/>
      <c r="AJ560" s="1795"/>
      <c r="AK560" s="1796"/>
      <c r="AL560" s="1796"/>
      <c r="AM560" s="1795"/>
    </row>
    <row r="561" spans="1:16378" ht="15" hidden="1" customHeight="1" outlineLevel="1" x14ac:dyDescent="0.3">
      <c r="A561" s="1070"/>
      <c r="B561" s="1070"/>
      <c r="C561" s="1070"/>
      <c r="D561" s="1070"/>
      <c r="E561" s="1070"/>
      <c r="F561" s="1070"/>
      <c r="G561" s="1070"/>
      <c r="H561" s="3144" t="s">
        <v>1521</v>
      </c>
      <c r="I561" s="3145"/>
      <c r="J561" s="3145"/>
      <c r="K561" s="3145"/>
      <c r="L561" s="3146"/>
      <c r="M561" s="1070"/>
      <c r="N561" s="1070"/>
      <c r="O561" s="3274" t="s">
        <v>1528</v>
      </c>
      <c r="P561" s="3275"/>
      <c r="Q561" s="3275"/>
      <c r="R561" s="3276"/>
      <c r="T561" s="1079"/>
      <c r="U561" s="1082"/>
      <c r="V561" s="3277" t="s">
        <v>1529</v>
      </c>
      <c r="W561" s="3278"/>
      <c r="X561" s="3278"/>
      <c r="Y561" s="3279"/>
      <c r="Z561" s="1082"/>
    </row>
    <row r="562" spans="1:16378" hidden="1" outlineLevel="1" x14ac:dyDescent="0.3">
      <c r="A562" s="1070"/>
      <c r="B562" s="1070"/>
      <c r="C562" s="1070"/>
      <c r="D562" s="1070"/>
      <c r="E562" s="1070"/>
      <c r="F562" s="1070"/>
      <c r="G562" s="1070"/>
      <c r="H562" s="1217" t="s">
        <v>1299</v>
      </c>
      <c r="I562" s="1218"/>
      <c r="J562" s="1218"/>
      <c r="K562" s="1218"/>
      <c r="L562" s="1412"/>
      <c r="M562" s="1070"/>
      <c r="N562" s="1070"/>
      <c r="O562" s="1797"/>
      <c r="P562" s="1798"/>
      <c r="Q562" s="1799" t="s">
        <v>1313</v>
      </c>
      <c r="R562" s="1799" t="s">
        <v>1314</v>
      </c>
      <c r="T562" s="1079"/>
      <c r="U562" s="1082"/>
      <c r="V562" s="3280"/>
      <c r="W562" s="3281"/>
      <c r="X562" s="3281"/>
      <c r="Y562" s="3282"/>
      <c r="Z562" s="1082"/>
    </row>
    <row r="563" spans="1:16378" hidden="1" outlineLevel="1" x14ac:dyDescent="0.3">
      <c r="A563" s="1070"/>
      <c r="B563" s="1070"/>
      <c r="C563" s="1070"/>
      <c r="D563" s="1070"/>
      <c r="E563" s="1070"/>
      <c r="F563" s="1070"/>
      <c r="G563" s="1070"/>
      <c r="H563" s="1800" t="s">
        <v>1301</v>
      </c>
      <c r="I563" s="1801"/>
      <c r="J563" s="1801"/>
      <c r="K563" s="1802" t="s">
        <v>1432</v>
      </c>
      <c r="L563" s="1803" t="s">
        <v>682</v>
      </c>
      <c r="M563" s="1070"/>
      <c r="N563" s="1070"/>
      <c r="O563" s="1804"/>
      <c r="P563" s="1805"/>
      <c r="Q563" s="1806" t="s">
        <v>1465</v>
      </c>
      <c r="R563" s="1806" t="s">
        <v>1465</v>
      </c>
      <c r="T563" s="1079"/>
      <c r="U563" s="1082"/>
      <c r="V563" s="1807" t="s">
        <v>1454</v>
      </c>
      <c r="W563" s="1143"/>
      <c r="X563" s="1414" t="s">
        <v>1432</v>
      </c>
      <c r="Y563" s="1415" t="s">
        <v>682</v>
      </c>
      <c r="Z563" s="1082"/>
    </row>
    <row r="564" spans="1:16378" hidden="1" outlineLevel="1" x14ac:dyDescent="0.3">
      <c r="A564" s="1070"/>
      <c r="B564" s="1070"/>
      <c r="C564" s="1070"/>
      <c r="D564" s="1070"/>
      <c r="E564" s="1070"/>
      <c r="F564" s="1070"/>
      <c r="G564" s="1070"/>
      <c r="H564" s="1440" t="s">
        <v>1456</v>
      </c>
      <c r="I564" s="1441"/>
      <c r="J564" s="1441"/>
      <c r="K564" s="1809" t="s">
        <v>1445</v>
      </c>
      <c r="L564" s="1443" t="s">
        <v>1445</v>
      </c>
      <c r="M564" s="1070"/>
      <c r="N564" s="1070"/>
      <c r="O564" s="1422" t="s">
        <v>794</v>
      </c>
      <c r="P564" s="1412"/>
      <c r="Q564" s="1832"/>
      <c r="R564" s="1833"/>
      <c r="T564" s="1079"/>
      <c r="U564" s="1082"/>
      <c r="V564" s="1147" t="s">
        <v>756</v>
      </c>
      <c r="W564" s="1186"/>
      <c r="X564" s="1811" t="s">
        <v>1445</v>
      </c>
      <c r="Y564" s="1812" t="s">
        <v>1445</v>
      </c>
      <c r="Z564" s="1082"/>
    </row>
    <row r="565" spans="1:16378" hidden="1" outlineLevel="1" x14ac:dyDescent="0.3">
      <c r="A565" s="1070"/>
      <c r="B565" s="1070"/>
      <c r="C565" s="1070"/>
      <c r="D565" s="1070"/>
      <c r="E565" s="1070"/>
      <c r="F565" s="1070"/>
      <c r="G565" s="1070"/>
      <c r="H565" s="1800" t="s">
        <v>730</v>
      </c>
      <c r="I565" s="1801"/>
      <c r="J565" s="1801"/>
      <c r="K565" s="1813"/>
      <c r="L565" s="1814"/>
      <c r="M565" s="1070"/>
      <c r="N565" s="1070"/>
      <c r="O565" s="1434" t="s">
        <v>725</v>
      </c>
      <c r="P565" s="1435"/>
      <c r="Q565" s="1834"/>
      <c r="R565" s="1835"/>
      <c r="T565" s="1079"/>
      <c r="U565" s="1082"/>
      <c r="V565" s="1149" t="s">
        <v>757</v>
      </c>
      <c r="W565" s="1437"/>
      <c r="X565" s="1816" t="s">
        <v>1445</v>
      </c>
      <c r="Y565" s="1817" t="s">
        <v>1445</v>
      </c>
      <c r="Z565" s="1082"/>
    </row>
    <row r="566" spans="1:16378" hidden="1" outlineLevel="1" x14ac:dyDescent="0.3">
      <c r="A566" s="1070"/>
      <c r="B566" s="1070"/>
      <c r="C566" s="1070"/>
      <c r="D566" s="1070"/>
      <c r="E566" s="1070"/>
      <c r="F566" s="1070"/>
      <c r="G566" s="1070"/>
      <c r="H566" s="1440" t="s">
        <v>1456</v>
      </c>
      <c r="I566" s="1441"/>
      <c r="J566" s="1441"/>
      <c r="K566" s="1809" t="s">
        <v>1445</v>
      </c>
      <c r="L566" s="1443" t="s">
        <v>1445</v>
      </c>
      <c r="M566" s="1070"/>
      <c r="N566" s="1070"/>
      <c r="O566" s="1422" t="s">
        <v>1348</v>
      </c>
      <c r="P566" s="1412"/>
      <c r="Q566" s="1836"/>
      <c r="R566" s="1079"/>
      <c r="T566" s="1079"/>
      <c r="U566" s="1082"/>
      <c r="V566" s="1149"/>
      <c r="W566" s="1437"/>
      <c r="X566" s="3182" t="s">
        <v>1457</v>
      </c>
      <c r="Y566" s="3183"/>
      <c r="Z566" s="1082"/>
    </row>
    <row r="567" spans="1:16378" hidden="1" outlineLevel="1" x14ac:dyDescent="0.3">
      <c r="A567" s="1070"/>
      <c r="B567" s="1070"/>
      <c r="C567" s="1070"/>
      <c r="D567" s="1070"/>
      <c r="E567" s="1070"/>
      <c r="F567" s="1070"/>
      <c r="G567" s="1070"/>
      <c r="H567" s="1800" t="s">
        <v>446</v>
      </c>
      <c r="I567" s="1801"/>
      <c r="J567" s="1801"/>
      <c r="K567" s="1813"/>
      <c r="L567" s="1814"/>
      <c r="M567" s="1070"/>
      <c r="N567" s="1070"/>
      <c r="O567" s="1434" t="s">
        <v>1349</v>
      </c>
      <c r="P567" s="1435"/>
      <c r="Q567" s="1837"/>
      <c r="R567" s="1079"/>
      <c r="T567" s="1079"/>
      <c r="U567" s="1082"/>
      <c r="V567" s="1149" t="s">
        <v>758</v>
      </c>
      <c r="W567" s="1437"/>
      <c r="X567" s="1811" t="s">
        <v>1445</v>
      </c>
      <c r="Y567" s="1812" t="s">
        <v>1445</v>
      </c>
      <c r="Z567" s="1082"/>
    </row>
    <row r="568" spans="1:16378" hidden="1" outlineLevel="1" x14ac:dyDescent="0.3">
      <c r="A568" s="1070"/>
      <c r="B568" s="1070"/>
      <c r="C568" s="1070"/>
      <c r="D568" s="1070"/>
      <c r="E568" s="1070"/>
      <c r="F568" s="1070"/>
      <c r="G568" s="1070"/>
      <c r="H568" s="1440" t="s">
        <v>1456</v>
      </c>
      <c r="I568" s="1441"/>
      <c r="J568" s="1441"/>
      <c r="K568" s="1809" t="s">
        <v>1445</v>
      </c>
      <c r="L568" s="1443" t="s">
        <v>1445</v>
      </c>
      <c r="M568" s="1070"/>
      <c r="N568" s="1070"/>
      <c r="O568" s="1070"/>
      <c r="P568" s="1070"/>
      <c r="Q568" s="1070"/>
      <c r="R568" s="1070"/>
      <c r="T568" s="1070"/>
      <c r="U568" s="1082"/>
      <c r="V568" s="1149" t="s">
        <v>759</v>
      </c>
      <c r="W568" s="1437"/>
      <c r="X568" s="1811" t="s">
        <v>1445</v>
      </c>
      <c r="Y568" s="1812" t="s">
        <v>1445</v>
      </c>
      <c r="Z568" s="1082"/>
    </row>
    <row r="569" spans="1:16378" hidden="1" outlineLevel="1" x14ac:dyDescent="0.3">
      <c r="A569" s="1070"/>
      <c r="B569" s="1070"/>
      <c r="C569" s="1070"/>
      <c r="D569" s="1070"/>
      <c r="E569" s="1070"/>
      <c r="F569" s="1070"/>
      <c r="G569" s="1070"/>
      <c r="H569" s="1800" t="s">
        <v>1305</v>
      </c>
      <c r="I569" s="1801"/>
      <c r="J569" s="1801"/>
      <c r="K569" s="1813"/>
      <c r="L569" s="1814"/>
      <c r="M569" s="1070"/>
      <c r="N569" s="1070"/>
      <c r="O569" s="1422" t="s">
        <v>3</v>
      </c>
      <c r="P569" s="1186"/>
      <c r="Q569" s="1848"/>
      <c r="R569" s="1070"/>
      <c r="T569" s="1070"/>
      <c r="U569" s="1082"/>
      <c r="V569" s="1184" t="s">
        <v>1268</v>
      </c>
      <c r="W569" s="1459"/>
      <c r="X569" s="1816" t="s">
        <v>1445</v>
      </c>
      <c r="Y569" s="1817" t="s">
        <v>1445</v>
      </c>
      <c r="Z569" s="1082"/>
    </row>
    <row r="570" spans="1:16378" hidden="1" outlineLevel="1" x14ac:dyDescent="0.3">
      <c r="A570" s="1070"/>
      <c r="B570" s="1070"/>
      <c r="C570" s="1070"/>
      <c r="D570" s="1070"/>
      <c r="E570" s="1070"/>
      <c r="F570" s="1070"/>
      <c r="G570" s="1070"/>
      <c r="H570" s="1465" t="s">
        <v>1456</v>
      </c>
      <c r="I570" s="1466"/>
      <c r="J570" s="1466"/>
      <c r="K570" s="1822" t="s">
        <v>1445</v>
      </c>
      <c r="L570" s="1448" t="s">
        <v>1445</v>
      </c>
      <c r="M570" s="1070"/>
      <c r="N570" s="1070"/>
      <c r="O570" s="1434" t="s">
        <v>1458</v>
      </c>
      <c r="P570" s="1459"/>
      <c r="Q570" s="1849"/>
      <c r="R570" s="1070"/>
      <c r="T570" s="1070"/>
      <c r="U570" s="1082"/>
      <c r="V570" s="1082"/>
      <c r="W570" s="1082"/>
      <c r="X570" s="1082"/>
      <c r="Y570" s="1082"/>
      <c r="Z570" s="1082"/>
    </row>
    <row r="571" spans="1:16378" s="1236" customFormat="1" hidden="1" outlineLevel="1" x14ac:dyDescent="0.3">
      <c r="A571" s="1082"/>
      <c r="B571" s="1082"/>
      <c r="C571" s="1082"/>
      <c r="D571" s="1082"/>
      <c r="E571" s="1082"/>
      <c r="F571" s="1082"/>
      <c r="G571" s="1116"/>
      <c r="H571" s="1116"/>
      <c r="I571" s="1116"/>
      <c r="J571" s="1116"/>
      <c r="K571" s="1116"/>
      <c r="L571" s="1116"/>
      <c r="M571" s="1116"/>
      <c r="N571" s="1116"/>
      <c r="O571" s="1070"/>
      <c r="P571" s="1070"/>
      <c r="Q571" s="1070"/>
      <c r="R571" s="1070"/>
      <c r="S571" s="1116"/>
      <c r="T571" s="1082"/>
      <c r="U571" s="1082"/>
      <c r="V571" s="1082"/>
      <c r="W571" s="1082"/>
      <c r="X571" s="1082"/>
      <c r="Y571" s="1082"/>
      <c r="Z571" s="1082"/>
    </row>
    <row r="572" spans="1:16378" s="1236" customFormat="1" hidden="1" outlineLevel="1" x14ac:dyDescent="0.3">
      <c r="A572" s="1082"/>
      <c r="B572" s="1082"/>
      <c r="C572" s="1082"/>
      <c r="D572" s="1082"/>
      <c r="E572" s="1082"/>
      <c r="F572" s="1082"/>
      <c r="G572" s="1116"/>
      <c r="H572" s="1116"/>
      <c r="I572" s="1116"/>
      <c r="J572" s="1116"/>
      <c r="K572" s="1116"/>
      <c r="L572" s="1116"/>
      <c r="M572" s="1116"/>
      <c r="N572" s="1116"/>
      <c r="R572" s="1070"/>
      <c r="S572" s="1116"/>
      <c r="T572" s="1082"/>
      <c r="U572" s="1082"/>
      <c r="V572" s="1082"/>
      <c r="W572" s="1082"/>
      <c r="X572" s="1082"/>
      <c r="Y572" s="1082"/>
      <c r="Z572" s="1082"/>
    </row>
    <row r="573" spans="1:16378" collapsed="1" x14ac:dyDescent="0.3">
      <c r="A573" s="1070"/>
      <c r="B573" s="1734" t="s">
        <v>1530</v>
      </c>
      <c r="C573" s="1070"/>
      <c r="D573" s="1070"/>
      <c r="E573" s="1070"/>
      <c r="F573" s="1070"/>
      <c r="G573" s="1070"/>
      <c r="H573" s="1070"/>
      <c r="I573" s="1070"/>
      <c r="J573" s="1070"/>
      <c r="K573" s="1070"/>
      <c r="L573" s="1070"/>
      <c r="M573" s="1070"/>
      <c r="N573" s="1070"/>
      <c r="R573" s="1070"/>
      <c r="S573" s="1070"/>
      <c r="T573" s="1070"/>
      <c r="U573" s="1070"/>
      <c r="V573" s="1070"/>
      <c r="W573" s="1070"/>
      <c r="X573" s="1070"/>
      <c r="Y573" s="1070"/>
      <c r="Z573" s="1070"/>
    </row>
    <row r="574" spans="1:16378" ht="9.9" customHeight="1" x14ac:dyDescent="0.3">
      <c r="A574" s="1824"/>
      <c r="B574" s="1824"/>
      <c r="C574" s="1824"/>
      <c r="D574" s="1824"/>
      <c r="E574" s="1824"/>
      <c r="F574" s="1824"/>
      <c r="G574" s="1824"/>
      <c r="H574" s="1824"/>
      <c r="I574" s="1824"/>
      <c r="J574" s="1824"/>
      <c r="K574" s="1824"/>
      <c r="L574" s="1824"/>
      <c r="M574" s="1824"/>
      <c r="N574" s="1824"/>
      <c r="O574" s="1824"/>
      <c r="P574" s="1824"/>
      <c r="Q574" s="1824"/>
      <c r="R574" s="1824"/>
      <c r="S574" s="1824"/>
      <c r="T574" s="1824"/>
      <c r="U574" s="1824"/>
      <c r="V574" s="1824"/>
      <c r="W574" s="1824"/>
      <c r="X574" s="1824"/>
      <c r="Y574" s="1824"/>
      <c r="Z574" s="1824"/>
      <c r="AA574" s="1831"/>
      <c r="AB574" s="1831"/>
      <c r="AC574" s="1831"/>
      <c r="AD574" s="1831"/>
      <c r="AE574" s="1831"/>
      <c r="AF574" s="1831"/>
      <c r="AG574" s="1831"/>
      <c r="AH574" s="1831"/>
      <c r="AI574" s="1831"/>
      <c r="AJ574" s="1831"/>
      <c r="AK574" s="1831"/>
      <c r="AL574" s="1831"/>
      <c r="AM574" s="1831"/>
      <c r="AN574" s="1831"/>
      <c r="AO574" s="1831"/>
      <c r="AP574" s="1831"/>
      <c r="AQ574" s="1831"/>
      <c r="AR574" s="1831"/>
      <c r="AS574" s="1831"/>
      <c r="AT574" s="1831"/>
      <c r="AU574" s="1831"/>
      <c r="AV574" s="1831"/>
      <c r="AW574" s="1831"/>
      <c r="AX574" s="1831"/>
      <c r="AY574" s="1831"/>
      <c r="AZ574" s="1831"/>
      <c r="BA574" s="1831"/>
      <c r="BB574" s="1831"/>
      <c r="BC574" s="1831"/>
      <c r="BD574" s="1831"/>
      <c r="BE574" s="1831"/>
      <c r="BF574" s="1831"/>
      <c r="BG574" s="1831"/>
      <c r="BH574" s="1831"/>
      <c r="BI574" s="1831"/>
      <c r="BJ574" s="1831"/>
      <c r="BK574" s="1831"/>
      <c r="BL574" s="1831"/>
      <c r="BM574" s="1831"/>
      <c r="BN574" s="1831"/>
      <c r="BO574" s="1831"/>
      <c r="BP574" s="1831"/>
      <c r="BQ574" s="1831"/>
      <c r="BR574" s="1831"/>
      <c r="BS574" s="1831"/>
      <c r="BT574" s="1831"/>
      <c r="BU574" s="1831"/>
      <c r="BV574" s="1831"/>
      <c r="BW574" s="1831"/>
      <c r="BX574" s="1831"/>
      <c r="BY574" s="1831"/>
      <c r="BZ574" s="1831"/>
      <c r="CA574" s="1831"/>
      <c r="CB574" s="1831"/>
      <c r="CC574" s="1831"/>
      <c r="CD574" s="1831"/>
      <c r="CE574" s="1831"/>
      <c r="CF574" s="1831"/>
      <c r="CG574" s="1831"/>
      <c r="CH574" s="1831"/>
      <c r="CI574" s="1831"/>
      <c r="CJ574" s="1831"/>
      <c r="CK574" s="1831"/>
      <c r="CL574" s="1831"/>
      <c r="CM574" s="1831"/>
      <c r="CN574" s="1831"/>
      <c r="CO574" s="1831"/>
      <c r="CP574" s="1831"/>
      <c r="CQ574" s="1831"/>
      <c r="CR574" s="1831"/>
      <c r="CS574" s="1831"/>
      <c r="CT574" s="1831"/>
      <c r="CU574" s="1831"/>
      <c r="CV574" s="1831"/>
      <c r="CW574" s="1831"/>
      <c r="CX574" s="1831"/>
      <c r="CY574" s="1831"/>
      <c r="CZ574" s="1831"/>
      <c r="DA574" s="1831"/>
      <c r="DB574" s="1831"/>
      <c r="DC574" s="1831"/>
      <c r="DD574" s="1831"/>
      <c r="DE574" s="1831"/>
      <c r="DF574" s="1831"/>
      <c r="DG574" s="1831"/>
      <c r="DH574" s="1831"/>
      <c r="DI574" s="1831"/>
      <c r="DJ574" s="1831"/>
      <c r="DK574" s="1831"/>
      <c r="DL574" s="1831"/>
      <c r="DM574" s="1831"/>
      <c r="DN574" s="1831"/>
      <c r="DO574" s="1831"/>
      <c r="DP574" s="1831"/>
      <c r="DQ574" s="1831"/>
      <c r="DR574" s="1831"/>
      <c r="DS574" s="1831"/>
      <c r="DT574" s="1831"/>
      <c r="DU574" s="1831"/>
      <c r="DV574" s="1831"/>
      <c r="DW574" s="1831"/>
      <c r="DX574" s="1831"/>
      <c r="DY574" s="1831"/>
      <c r="DZ574" s="1831"/>
      <c r="EA574" s="1831"/>
      <c r="EB574" s="1831"/>
      <c r="EC574" s="1831"/>
      <c r="ED574" s="1831"/>
      <c r="EE574" s="1831"/>
      <c r="EF574" s="1831"/>
      <c r="EG574" s="1831"/>
      <c r="EH574" s="1831"/>
      <c r="EI574" s="1831"/>
      <c r="EJ574" s="1831"/>
      <c r="EK574" s="1831"/>
      <c r="EL574" s="1831"/>
      <c r="EM574" s="1831"/>
      <c r="EN574" s="1831"/>
      <c r="EO574" s="1831"/>
      <c r="EP574" s="1831"/>
      <c r="EQ574" s="1831"/>
      <c r="ER574" s="1831"/>
      <c r="ES574" s="1831"/>
      <c r="ET574" s="1831"/>
      <c r="EU574" s="1831"/>
      <c r="EV574" s="1831"/>
      <c r="EW574" s="1831"/>
      <c r="EX574" s="1831"/>
      <c r="EY574" s="1831"/>
      <c r="EZ574" s="1831"/>
      <c r="FA574" s="1831"/>
      <c r="FB574" s="1831"/>
      <c r="FC574" s="1831"/>
      <c r="FD574" s="1831"/>
      <c r="FE574" s="1831"/>
      <c r="FF574" s="1831"/>
      <c r="FG574" s="1831"/>
      <c r="FH574" s="1831"/>
      <c r="FI574" s="1831"/>
      <c r="FJ574" s="1831"/>
      <c r="FK574" s="1831"/>
      <c r="FL574" s="1831"/>
      <c r="FM574" s="1831"/>
      <c r="FN574" s="1831"/>
      <c r="FO574" s="1831"/>
      <c r="FP574" s="1831"/>
      <c r="FQ574" s="1831"/>
      <c r="FR574" s="1831"/>
      <c r="FS574" s="1831"/>
      <c r="FT574" s="1831"/>
      <c r="FU574" s="1831"/>
      <c r="FV574" s="1831"/>
      <c r="FW574" s="1831"/>
      <c r="FX574" s="1831"/>
      <c r="FY574" s="1831"/>
      <c r="FZ574" s="1831"/>
      <c r="GA574" s="1831"/>
      <c r="GB574" s="1831"/>
      <c r="GC574" s="1831"/>
      <c r="GD574" s="1831"/>
      <c r="GE574" s="1831"/>
      <c r="GF574" s="1831"/>
      <c r="GG574" s="1831"/>
      <c r="GH574" s="1831"/>
      <c r="GI574" s="1831"/>
      <c r="GJ574" s="1831"/>
      <c r="GK574" s="1831"/>
      <c r="GL574" s="1831"/>
      <c r="GM574" s="1831"/>
      <c r="GN574" s="1831"/>
      <c r="GO574" s="1831"/>
      <c r="GP574" s="1831"/>
      <c r="GQ574" s="1831"/>
      <c r="GR574" s="1831"/>
      <c r="GS574" s="1831"/>
      <c r="GT574" s="1831"/>
      <c r="GU574" s="1831"/>
      <c r="GV574" s="1831"/>
      <c r="GW574" s="1831"/>
      <c r="GX574" s="1831"/>
      <c r="GY574" s="1831"/>
      <c r="GZ574" s="1831"/>
      <c r="HA574" s="1831"/>
      <c r="HB574" s="1831"/>
      <c r="HC574" s="1831"/>
      <c r="HD574" s="1831"/>
      <c r="HE574" s="1831"/>
      <c r="HF574" s="1831"/>
      <c r="HG574" s="1831"/>
      <c r="HH574" s="1831"/>
      <c r="HI574" s="1831"/>
      <c r="HJ574" s="1831"/>
      <c r="HK574" s="1831"/>
      <c r="HL574" s="1831"/>
      <c r="HM574" s="1831"/>
      <c r="HN574" s="1831"/>
      <c r="HO574" s="1831"/>
      <c r="HP574" s="1831"/>
      <c r="HQ574" s="1831"/>
      <c r="HR574" s="1831"/>
      <c r="HS574" s="1831"/>
      <c r="HT574" s="1831"/>
      <c r="HU574" s="1831"/>
      <c r="HV574" s="1831"/>
      <c r="HW574" s="1831"/>
      <c r="HX574" s="1831"/>
      <c r="HY574" s="1831"/>
      <c r="HZ574" s="1831"/>
      <c r="IA574" s="1831"/>
      <c r="IB574" s="1831"/>
      <c r="IC574" s="1831"/>
      <c r="ID574" s="1831"/>
      <c r="IE574" s="1831"/>
      <c r="IF574" s="1831"/>
      <c r="IG574" s="1831"/>
      <c r="IH574" s="1831"/>
      <c r="II574" s="1831"/>
      <c r="IJ574" s="1831"/>
      <c r="IK574" s="1831"/>
      <c r="IL574" s="1831"/>
      <c r="IM574" s="1831"/>
      <c r="IN574" s="1831"/>
      <c r="IO574" s="1831"/>
      <c r="IP574" s="1831"/>
      <c r="IQ574" s="1831"/>
      <c r="IR574" s="1831"/>
      <c r="IS574" s="1831"/>
      <c r="IT574" s="1831"/>
      <c r="IU574" s="1831"/>
      <c r="IV574" s="1831"/>
      <c r="IW574" s="1831"/>
      <c r="IX574" s="1831"/>
      <c r="IY574" s="1831"/>
      <c r="IZ574" s="1831"/>
      <c r="JA574" s="1831"/>
      <c r="JB574" s="1831"/>
      <c r="JC574" s="1831"/>
      <c r="JD574" s="1831"/>
      <c r="JE574" s="1831"/>
      <c r="JF574" s="1831"/>
      <c r="JG574" s="1831"/>
      <c r="JH574" s="1831"/>
      <c r="JI574" s="1831"/>
      <c r="JJ574" s="1831"/>
      <c r="JK574" s="1831"/>
      <c r="JL574" s="1831"/>
      <c r="JM574" s="1831"/>
      <c r="JN574" s="1831"/>
      <c r="JO574" s="1831"/>
      <c r="JP574" s="1831"/>
      <c r="JQ574" s="1831"/>
      <c r="JR574" s="1831"/>
      <c r="JS574" s="1831"/>
      <c r="JT574" s="1831"/>
      <c r="JU574" s="1831"/>
      <c r="JV574" s="1831"/>
      <c r="JW574" s="1831"/>
      <c r="JX574" s="1831"/>
      <c r="JY574" s="1831"/>
      <c r="JZ574" s="1831"/>
      <c r="KA574" s="1831"/>
      <c r="KB574" s="1831"/>
      <c r="KC574" s="1831"/>
      <c r="KD574" s="1831"/>
      <c r="KE574" s="1831"/>
      <c r="KF574" s="1831"/>
      <c r="KG574" s="1831"/>
      <c r="KH574" s="1831"/>
      <c r="KI574" s="1831"/>
      <c r="KJ574" s="1831"/>
      <c r="KK574" s="1831"/>
      <c r="KL574" s="1831"/>
      <c r="KM574" s="1831"/>
      <c r="KN574" s="1831"/>
      <c r="KO574" s="1831"/>
      <c r="KP574" s="1831"/>
      <c r="KQ574" s="1831"/>
      <c r="KR574" s="1831"/>
      <c r="KS574" s="1831"/>
      <c r="KT574" s="1831"/>
      <c r="KU574" s="1831"/>
      <c r="KV574" s="1831"/>
      <c r="KW574" s="1831"/>
      <c r="KX574" s="1831"/>
      <c r="KY574" s="1831"/>
      <c r="KZ574" s="1831"/>
      <c r="LA574" s="1831"/>
      <c r="LB574" s="1831"/>
      <c r="LC574" s="1831"/>
      <c r="LD574" s="1831"/>
      <c r="LE574" s="1831"/>
      <c r="LF574" s="1831"/>
      <c r="LG574" s="1831"/>
      <c r="LH574" s="1831"/>
      <c r="LI574" s="1831"/>
      <c r="LJ574" s="1831"/>
      <c r="LK574" s="1831"/>
      <c r="LL574" s="1831"/>
      <c r="LM574" s="1831"/>
      <c r="LN574" s="1831"/>
      <c r="LO574" s="1831"/>
      <c r="LP574" s="1831"/>
      <c r="LQ574" s="1831"/>
      <c r="LR574" s="1831"/>
      <c r="LS574" s="1831"/>
      <c r="LT574" s="1831"/>
      <c r="LU574" s="1831"/>
      <c r="LV574" s="1831"/>
      <c r="LW574" s="1831"/>
      <c r="LX574" s="1831"/>
      <c r="LY574" s="1831"/>
      <c r="LZ574" s="1831"/>
      <c r="MA574" s="1831"/>
      <c r="MB574" s="1831"/>
      <c r="MC574" s="1831"/>
      <c r="MD574" s="1831"/>
      <c r="ME574" s="1831"/>
      <c r="MF574" s="1831"/>
      <c r="MG574" s="1831"/>
      <c r="MH574" s="1831"/>
      <c r="MI574" s="1831"/>
      <c r="MJ574" s="1831"/>
      <c r="MK574" s="1831"/>
      <c r="ML574" s="1831"/>
      <c r="MM574" s="1831"/>
      <c r="MN574" s="1831"/>
      <c r="MO574" s="1831"/>
      <c r="MP574" s="1831"/>
      <c r="MQ574" s="1831"/>
      <c r="MR574" s="1831"/>
      <c r="MS574" s="1831"/>
      <c r="MT574" s="1831"/>
      <c r="MU574" s="1831"/>
      <c r="MV574" s="1831"/>
      <c r="MW574" s="1831"/>
      <c r="MX574" s="1831"/>
      <c r="MY574" s="1831"/>
      <c r="MZ574" s="1831"/>
      <c r="NA574" s="1831"/>
      <c r="NB574" s="1831"/>
      <c r="NC574" s="1831"/>
      <c r="ND574" s="1831"/>
      <c r="NE574" s="1831"/>
      <c r="NF574" s="1831"/>
      <c r="NG574" s="1831"/>
      <c r="NH574" s="1831"/>
      <c r="NI574" s="1831"/>
      <c r="NJ574" s="1831"/>
      <c r="NK574" s="1831"/>
      <c r="NL574" s="1831"/>
      <c r="NM574" s="1831"/>
      <c r="NN574" s="1831"/>
      <c r="NO574" s="1831"/>
      <c r="NP574" s="1831"/>
      <c r="NQ574" s="1831"/>
      <c r="NR574" s="1831"/>
      <c r="NS574" s="1831"/>
      <c r="NT574" s="1831"/>
      <c r="NU574" s="1831"/>
      <c r="NV574" s="1831"/>
      <c r="NW574" s="1831"/>
      <c r="NX574" s="1831"/>
      <c r="NY574" s="1831"/>
      <c r="NZ574" s="1831"/>
      <c r="OA574" s="1831"/>
      <c r="OB574" s="1831"/>
      <c r="OC574" s="1831"/>
      <c r="OD574" s="1831"/>
      <c r="OE574" s="1831"/>
      <c r="OF574" s="1831"/>
      <c r="OG574" s="1831"/>
      <c r="OH574" s="1831"/>
      <c r="OI574" s="1831"/>
      <c r="OJ574" s="1831"/>
      <c r="OK574" s="1831"/>
      <c r="OL574" s="1831"/>
      <c r="OM574" s="1831"/>
      <c r="ON574" s="1831"/>
      <c r="OO574" s="1831"/>
      <c r="OP574" s="1831"/>
      <c r="OQ574" s="1831"/>
      <c r="OR574" s="1831"/>
      <c r="OS574" s="1831"/>
      <c r="OT574" s="1831"/>
      <c r="OU574" s="1831"/>
      <c r="OV574" s="1831"/>
      <c r="OW574" s="1831"/>
      <c r="OX574" s="1831"/>
      <c r="OY574" s="1831"/>
      <c r="OZ574" s="1831"/>
      <c r="PA574" s="1831"/>
      <c r="PB574" s="1831"/>
      <c r="PC574" s="1831"/>
      <c r="PD574" s="1831"/>
      <c r="PE574" s="1831"/>
      <c r="PF574" s="1831"/>
      <c r="PG574" s="1831"/>
      <c r="PH574" s="1831"/>
      <c r="PI574" s="1831"/>
      <c r="PJ574" s="1831"/>
      <c r="PK574" s="1831"/>
      <c r="PL574" s="1831"/>
      <c r="PM574" s="1831"/>
      <c r="PN574" s="1831"/>
      <c r="PO574" s="1831"/>
      <c r="PP574" s="1831"/>
      <c r="PQ574" s="1831"/>
      <c r="PR574" s="1831"/>
      <c r="PS574" s="1831"/>
      <c r="PT574" s="1831"/>
      <c r="PU574" s="1831"/>
      <c r="PV574" s="1831"/>
      <c r="PW574" s="1831"/>
      <c r="PX574" s="1831"/>
      <c r="PY574" s="1831"/>
      <c r="PZ574" s="1831"/>
      <c r="QA574" s="1831"/>
      <c r="QB574" s="1831"/>
      <c r="QC574" s="1831"/>
      <c r="QD574" s="1831"/>
      <c r="QE574" s="1831"/>
      <c r="QF574" s="1831"/>
      <c r="QG574" s="1831"/>
      <c r="QH574" s="1831"/>
      <c r="QI574" s="1831"/>
      <c r="QJ574" s="1831"/>
      <c r="QK574" s="1831"/>
      <c r="QL574" s="1831"/>
      <c r="QM574" s="1831"/>
      <c r="QN574" s="1831"/>
      <c r="QO574" s="1831"/>
      <c r="QP574" s="1831"/>
      <c r="QQ574" s="1831"/>
      <c r="QR574" s="1831"/>
      <c r="QS574" s="1831"/>
      <c r="QT574" s="1831"/>
      <c r="QU574" s="1831"/>
      <c r="QV574" s="1831"/>
      <c r="QW574" s="1831"/>
      <c r="QX574" s="1831"/>
      <c r="QY574" s="1831"/>
      <c r="QZ574" s="1831"/>
      <c r="RA574" s="1831"/>
      <c r="RB574" s="1831"/>
      <c r="RC574" s="1831"/>
      <c r="RD574" s="1831"/>
      <c r="RE574" s="1831"/>
      <c r="RF574" s="1831"/>
      <c r="RG574" s="1831"/>
      <c r="RH574" s="1831"/>
      <c r="RI574" s="1831"/>
      <c r="RJ574" s="1831"/>
      <c r="RK574" s="1831"/>
      <c r="RL574" s="1831"/>
      <c r="RM574" s="1831"/>
      <c r="RN574" s="1831"/>
      <c r="RO574" s="1831"/>
      <c r="RP574" s="1831"/>
      <c r="RQ574" s="1831"/>
      <c r="RR574" s="1831"/>
      <c r="RS574" s="1831"/>
      <c r="RT574" s="1831"/>
      <c r="RU574" s="1831"/>
      <c r="RV574" s="1831"/>
      <c r="RW574" s="1831"/>
      <c r="RX574" s="1831"/>
      <c r="RY574" s="1831"/>
      <c r="RZ574" s="1831"/>
      <c r="SA574" s="1831"/>
      <c r="SB574" s="1831"/>
      <c r="SC574" s="1831"/>
      <c r="SD574" s="1831"/>
      <c r="SE574" s="1831"/>
      <c r="SF574" s="1831"/>
      <c r="SG574" s="1831"/>
      <c r="SH574" s="1831"/>
      <c r="SI574" s="1831"/>
      <c r="SJ574" s="1831"/>
      <c r="SK574" s="1831"/>
      <c r="SL574" s="1831"/>
      <c r="SM574" s="1831"/>
      <c r="SN574" s="1831"/>
      <c r="SO574" s="1831"/>
      <c r="SP574" s="1831"/>
      <c r="SQ574" s="1831"/>
      <c r="SR574" s="1831"/>
      <c r="SS574" s="1831"/>
      <c r="ST574" s="1831"/>
      <c r="SU574" s="1831"/>
      <c r="SV574" s="1831"/>
      <c r="SW574" s="1831"/>
      <c r="SX574" s="1831"/>
      <c r="SY574" s="1831"/>
      <c r="SZ574" s="1831"/>
      <c r="TA574" s="1831"/>
      <c r="TB574" s="1831"/>
      <c r="TC574" s="1831"/>
      <c r="TD574" s="1831"/>
      <c r="TE574" s="1831"/>
      <c r="TF574" s="1831"/>
      <c r="TG574" s="1831"/>
      <c r="TH574" s="1831"/>
      <c r="TI574" s="1831"/>
      <c r="TJ574" s="1831"/>
      <c r="TK574" s="1831"/>
      <c r="TL574" s="1831"/>
      <c r="TM574" s="1831"/>
      <c r="TN574" s="1831"/>
      <c r="TO574" s="1831"/>
      <c r="TP574" s="1831"/>
      <c r="TQ574" s="1831"/>
      <c r="TR574" s="1831"/>
      <c r="TS574" s="1831"/>
      <c r="TT574" s="1831"/>
      <c r="TU574" s="1831"/>
      <c r="TV574" s="1831"/>
      <c r="TW574" s="1831"/>
      <c r="TX574" s="1831"/>
      <c r="TY574" s="1831"/>
      <c r="TZ574" s="1831"/>
      <c r="UA574" s="1831"/>
      <c r="UB574" s="1831"/>
      <c r="UC574" s="1831"/>
      <c r="UD574" s="1831"/>
      <c r="UE574" s="1831"/>
      <c r="UF574" s="1831"/>
      <c r="UG574" s="1831"/>
      <c r="UH574" s="1831"/>
      <c r="UI574" s="1831"/>
      <c r="UJ574" s="1831"/>
      <c r="UK574" s="1831"/>
      <c r="UL574" s="1831"/>
      <c r="UM574" s="1831"/>
      <c r="UN574" s="1831"/>
      <c r="UO574" s="1831"/>
      <c r="UP574" s="1831"/>
      <c r="UQ574" s="1831"/>
      <c r="UR574" s="1831"/>
      <c r="US574" s="1831"/>
      <c r="UT574" s="1831"/>
      <c r="UU574" s="1831"/>
      <c r="UV574" s="1831"/>
      <c r="UW574" s="1831"/>
      <c r="UX574" s="1831"/>
      <c r="UY574" s="1831"/>
      <c r="UZ574" s="1831"/>
      <c r="VA574" s="1831"/>
      <c r="VB574" s="1831"/>
      <c r="VC574" s="1831"/>
      <c r="VD574" s="1831"/>
      <c r="VE574" s="1831"/>
      <c r="VF574" s="1831"/>
      <c r="VG574" s="1831"/>
      <c r="VH574" s="1831"/>
      <c r="VI574" s="1831"/>
      <c r="VJ574" s="1831"/>
      <c r="VK574" s="1831"/>
      <c r="VL574" s="1831"/>
      <c r="VM574" s="1831"/>
      <c r="VN574" s="1831"/>
      <c r="VO574" s="1831"/>
      <c r="VP574" s="1831"/>
      <c r="VQ574" s="1831"/>
      <c r="VR574" s="1831"/>
      <c r="VS574" s="1831"/>
      <c r="VT574" s="1831"/>
      <c r="VU574" s="1831"/>
      <c r="VV574" s="1831"/>
      <c r="VW574" s="1831"/>
      <c r="VX574" s="1831"/>
      <c r="VY574" s="1831"/>
      <c r="VZ574" s="1831"/>
      <c r="WA574" s="1831"/>
      <c r="WB574" s="1831"/>
      <c r="WC574" s="1831"/>
      <c r="WD574" s="1831"/>
      <c r="WE574" s="1831"/>
      <c r="WF574" s="1831"/>
      <c r="WG574" s="1831"/>
      <c r="WH574" s="1831"/>
      <c r="WI574" s="1831"/>
      <c r="WJ574" s="1831"/>
      <c r="WK574" s="1831"/>
      <c r="WL574" s="1831"/>
      <c r="WM574" s="1831"/>
      <c r="WN574" s="1831"/>
      <c r="WO574" s="1831"/>
      <c r="WP574" s="1831"/>
      <c r="WQ574" s="1831"/>
      <c r="WR574" s="1831"/>
      <c r="WS574" s="1831"/>
      <c r="WT574" s="1831"/>
      <c r="WU574" s="1831"/>
      <c r="WV574" s="1831"/>
      <c r="WW574" s="1831"/>
      <c r="WX574" s="1831"/>
      <c r="WY574" s="1831"/>
      <c r="WZ574" s="1831"/>
      <c r="XA574" s="1831"/>
      <c r="XB574" s="1831"/>
      <c r="XC574" s="1831"/>
      <c r="XD574" s="1831"/>
      <c r="XE574" s="1831"/>
      <c r="XF574" s="1831"/>
      <c r="XG574" s="1831"/>
      <c r="XH574" s="1831"/>
      <c r="XI574" s="1831"/>
      <c r="XJ574" s="1831"/>
      <c r="XK574" s="1831"/>
      <c r="XL574" s="1831"/>
      <c r="XM574" s="1831"/>
      <c r="XN574" s="1831"/>
      <c r="XO574" s="1831"/>
      <c r="XP574" s="1831"/>
      <c r="XQ574" s="1831"/>
      <c r="XR574" s="1831"/>
      <c r="XS574" s="1831"/>
      <c r="XT574" s="1831"/>
      <c r="XU574" s="1831"/>
      <c r="XV574" s="1831"/>
      <c r="XW574" s="1831"/>
      <c r="XX574" s="1831"/>
      <c r="XY574" s="1831"/>
      <c r="XZ574" s="1831"/>
      <c r="YA574" s="1831"/>
      <c r="YB574" s="1831"/>
      <c r="YC574" s="1831"/>
      <c r="YD574" s="1831"/>
      <c r="YE574" s="1831"/>
      <c r="YF574" s="1831"/>
      <c r="YG574" s="1831"/>
      <c r="YH574" s="1831"/>
      <c r="YI574" s="1831"/>
      <c r="YJ574" s="1831"/>
      <c r="YK574" s="1831"/>
      <c r="YL574" s="1831"/>
      <c r="YM574" s="1831"/>
      <c r="YN574" s="1831"/>
      <c r="YO574" s="1831"/>
      <c r="YP574" s="1831"/>
      <c r="YQ574" s="1831"/>
      <c r="YR574" s="1831"/>
      <c r="YS574" s="1831"/>
      <c r="YT574" s="1831"/>
      <c r="YU574" s="1831"/>
      <c r="YV574" s="1831"/>
      <c r="YW574" s="1831"/>
      <c r="YX574" s="1831"/>
      <c r="YY574" s="1831"/>
      <c r="YZ574" s="1831"/>
      <c r="ZA574" s="1831"/>
      <c r="ZB574" s="1831"/>
      <c r="ZC574" s="1831"/>
      <c r="ZD574" s="1831"/>
      <c r="ZE574" s="1831"/>
      <c r="ZF574" s="1831"/>
      <c r="ZG574" s="1831"/>
      <c r="ZH574" s="1831"/>
      <c r="ZI574" s="1831"/>
      <c r="ZJ574" s="1831"/>
      <c r="ZK574" s="1831"/>
      <c r="ZL574" s="1831"/>
      <c r="ZM574" s="1831"/>
      <c r="ZN574" s="1831"/>
      <c r="ZO574" s="1831"/>
      <c r="ZP574" s="1831"/>
      <c r="ZQ574" s="1831"/>
      <c r="ZR574" s="1831"/>
      <c r="ZS574" s="1831"/>
      <c r="ZT574" s="1831"/>
      <c r="ZU574" s="1831"/>
      <c r="ZV574" s="1831"/>
      <c r="ZW574" s="1831"/>
      <c r="ZX574" s="1831"/>
      <c r="ZY574" s="1831"/>
      <c r="ZZ574" s="1831"/>
      <c r="AAA574" s="1831"/>
      <c r="AAB574" s="1831"/>
      <c r="AAC574" s="1831"/>
      <c r="AAD574" s="1831"/>
      <c r="AAE574" s="1831"/>
      <c r="AAF574" s="1831"/>
      <c r="AAG574" s="1831"/>
      <c r="AAH574" s="1831"/>
      <c r="AAI574" s="1831"/>
      <c r="AAJ574" s="1831"/>
      <c r="AAK574" s="1831"/>
      <c r="AAL574" s="1831"/>
      <c r="AAM574" s="1831"/>
      <c r="AAN574" s="1831"/>
      <c r="AAO574" s="1831"/>
      <c r="AAP574" s="1831"/>
      <c r="AAQ574" s="1831"/>
      <c r="AAR574" s="1831"/>
      <c r="AAS574" s="1831"/>
      <c r="AAT574" s="1831"/>
      <c r="AAU574" s="1831"/>
      <c r="AAV574" s="1831"/>
      <c r="AAW574" s="1831"/>
      <c r="AAX574" s="1831"/>
      <c r="AAY574" s="1831"/>
      <c r="AAZ574" s="1831"/>
      <c r="ABA574" s="1831"/>
      <c r="ABB574" s="1831"/>
      <c r="ABC574" s="1831"/>
      <c r="ABD574" s="1831"/>
      <c r="ABE574" s="1831"/>
      <c r="ABF574" s="1831"/>
      <c r="ABG574" s="1831"/>
      <c r="ABH574" s="1831"/>
      <c r="ABI574" s="1831"/>
      <c r="ABJ574" s="1831"/>
      <c r="ABK574" s="1831"/>
      <c r="ABL574" s="1831"/>
      <c r="ABM574" s="1831"/>
      <c r="ABN574" s="1831"/>
      <c r="ABO574" s="1831"/>
      <c r="ABP574" s="1831"/>
      <c r="ABQ574" s="1831"/>
      <c r="ABR574" s="1831"/>
      <c r="ABS574" s="1831"/>
      <c r="ABT574" s="1831"/>
      <c r="ABU574" s="1831"/>
      <c r="ABV574" s="1831"/>
      <c r="ABW574" s="1831"/>
      <c r="ABX574" s="1831"/>
      <c r="ABY574" s="1831"/>
      <c r="ABZ574" s="1831"/>
      <c r="ACA574" s="1831"/>
      <c r="ACB574" s="1831"/>
      <c r="ACC574" s="1831"/>
      <c r="ACD574" s="1831"/>
      <c r="ACE574" s="1831"/>
      <c r="ACF574" s="1831"/>
      <c r="ACG574" s="1831"/>
      <c r="ACH574" s="1831"/>
      <c r="ACI574" s="1831"/>
      <c r="ACJ574" s="1831"/>
      <c r="ACK574" s="1831"/>
      <c r="ACL574" s="1831"/>
      <c r="ACM574" s="1831"/>
      <c r="ACN574" s="1831"/>
      <c r="ACO574" s="1831"/>
      <c r="ACP574" s="1831"/>
      <c r="ACQ574" s="1831"/>
      <c r="ACR574" s="1831"/>
      <c r="ACS574" s="1831"/>
      <c r="ACT574" s="1831"/>
      <c r="ACU574" s="1831"/>
      <c r="ACV574" s="1831"/>
      <c r="ACW574" s="1831"/>
      <c r="ACX574" s="1831"/>
      <c r="ACY574" s="1831"/>
      <c r="ACZ574" s="1831"/>
      <c r="ADA574" s="1831"/>
      <c r="ADB574" s="1831"/>
      <c r="ADC574" s="1831"/>
      <c r="ADD574" s="1831"/>
      <c r="ADE574" s="1831"/>
      <c r="ADF574" s="1831"/>
      <c r="ADG574" s="1831"/>
      <c r="ADH574" s="1831"/>
      <c r="ADI574" s="1831"/>
      <c r="ADJ574" s="1831"/>
      <c r="ADK574" s="1831"/>
      <c r="ADL574" s="1831"/>
      <c r="ADM574" s="1831"/>
      <c r="ADN574" s="1831"/>
      <c r="ADO574" s="1831"/>
      <c r="ADP574" s="1831"/>
      <c r="ADQ574" s="1831"/>
      <c r="ADR574" s="1831"/>
      <c r="ADS574" s="1831"/>
      <c r="ADT574" s="1831"/>
      <c r="ADU574" s="1831"/>
      <c r="ADV574" s="1831"/>
      <c r="ADW574" s="1831"/>
      <c r="ADX574" s="1831"/>
      <c r="ADY574" s="1831"/>
      <c r="ADZ574" s="1831"/>
      <c r="AEA574" s="1831"/>
      <c r="AEB574" s="1831"/>
      <c r="AEC574" s="1831"/>
      <c r="AED574" s="1831"/>
      <c r="AEE574" s="1831"/>
      <c r="AEF574" s="1831"/>
      <c r="AEG574" s="1831"/>
      <c r="AEH574" s="1831"/>
      <c r="AEI574" s="1831"/>
      <c r="AEJ574" s="1831"/>
      <c r="AEK574" s="1831"/>
      <c r="AEL574" s="1831"/>
      <c r="AEM574" s="1831"/>
      <c r="AEN574" s="1831"/>
      <c r="AEO574" s="1831"/>
      <c r="AEP574" s="1831"/>
      <c r="AEQ574" s="1831"/>
      <c r="AER574" s="1831"/>
      <c r="AES574" s="1831"/>
      <c r="AET574" s="1831"/>
      <c r="AEU574" s="1831"/>
      <c r="AEV574" s="1831"/>
      <c r="AEW574" s="1831"/>
      <c r="AEX574" s="1831"/>
      <c r="AEY574" s="1831"/>
      <c r="AEZ574" s="1831"/>
      <c r="AFA574" s="1831"/>
      <c r="AFB574" s="1831"/>
      <c r="AFC574" s="1831"/>
      <c r="AFD574" s="1831"/>
      <c r="AFE574" s="1831"/>
      <c r="AFF574" s="1831"/>
      <c r="AFG574" s="1831"/>
      <c r="AFH574" s="1831"/>
      <c r="AFI574" s="1831"/>
      <c r="AFJ574" s="1831"/>
      <c r="AFK574" s="1831"/>
      <c r="AFL574" s="1831"/>
      <c r="AFM574" s="1831"/>
      <c r="AFN574" s="1831"/>
      <c r="AFO574" s="1831"/>
      <c r="AFP574" s="1831"/>
      <c r="AFQ574" s="1831"/>
      <c r="AFR574" s="1831"/>
      <c r="AFS574" s="1831"/>
      <c r="AFT574" s="1831"/>
      <c r="AFU574" s="1831"/>
      <c r="AFV574" s="1831"/>
      <c r="AFW574" s="1831"/>
      <c r="AFX574" s="1831"/>
      <c r="AFY574" s="1831"/>
      <c r="AFZ574" s="1831"/>
      <c r="AGA574" s="1831"/>
      <c r="AGB574" s="1831"/>
      <c r="AGC574" s="1831"/>
      <c r="AGD574" s="1831"/>
      <c r="AGE574" s="1831"/>
      <c r="AGF574" s="1831"/>
      <c r="AGG574" s="1831"/>
      <c r="AGH574" s="1831"/>
      <c r="AGI574" s="1831"/>
      <c r="AGJ574" s="1831"/>
      <c r="AGK574" s="1831"/>
      <c r="AGL574" s="1831"/>
      <c r="AGM574" s="1831"/>
      <c r="AGN574" s="1831"/>
      <c r="AGO574" s="1831"/>
      <c r="AGP574" s="1831"/>
      <c r="AGQ574" s="1831"/>
      <c r="AGR574" s="1831"/>
      <c r="AGS574" s="1831"/>
      <c r="AGT574" s="1831"/>
      <c r="AGU574" s="1831"/>
      <c r="AGV574" s="1831"/>
      <c r="AGW574" s="1831"/>
      <c r="AGX574" s="1831"/>
      <c r="AGY574" s="1831"/>
      <c r="AGZ574" s="1831"/>
      <c r="AHA574" s="1831"/>
      <c r="AHB574" s="1831"/>
      <c r="AHC574" s="1831"/>
      <c r="AHD574" s="1831"/>
      <c r="AHE574" s="1831"/>
      <c r="AHF574" s="1831"/>
      <c r="AHG574" s="1831"/>
      <c r="AHH574" s="1831"/>
      <c r="AHI574" s="1831"/>
      <c r="AHJ574" s="1831"/>
      <c r="AHK574" s="1831"/>
      <c r="AHL574" s="1831"/>
      <c r="AHM574" s="1831"/>
      <c r="AHN574" s="1831"/>
      <c r="AHO574" s="1831"/>
      <c r="AHP574" s="1831"/>
      <c r="AHQ574" s="1831"/>
      <c r="AHR574" s="1831"/>
      <c r="AHS574" s="1831"/>
      <c r="AHT574" s="1831"/>
      <c r="AHU574" s="1831"/>
      <c r="AHV574" s="1831"/>
      <c r="AHW574" s="1831"/>
      <c r="AHX574" s="1831"/>
      <c r="AHY574" s="1831"/>
      <c r="AHZ574" s="1831"/>
      <c r="AIA574" s="1831"/>
      <c r="AIB574" s="1831"/>
      <c r="AIC574" s="1831"/>
      <c r="AID574" s="1831"/>
      <c r="AIE574" s="1831"/>
      <c r="AIF574" s="1831"/>
      <c r="AIG574" s="1831"/>
      <c r="AIH574" s="1831"/>
      <c r="AII574" s="1831"/>
      <c r="AIJ574" s="1831"/>
      <c r="AIK574" s="1831"/>
      <c r="AIL574" s="1831"/>
      <c r="AIM574" s="1831"/>
      <c r="AIN574" s="1831"/>
      <c r="AIO574" s="1831"/>
      <c r="AIP574" s="1831"/>
      <c r="AIQ574" s="1831"/>
      <c r="AIR574" s="1831"/>
      <c r="AIS574" s="1831"/>
      <c r="AIT574" s="1831"/>
      <c r="AIU574" s="1831"/>
      <c r="AIV574" s="1831"/>
      <c r="AIW574" s="1831"/>
      <c r="AIX574" s="1831"/>
      <c r="AIY574" s="1831"/>
      <c r="AIZ574" s="1831"/>
      <c r="AJA574" s="1831"/>
      <c r="AJB574" s="1831"/>
      <c r="AJC574" s="1831"/>
      <c r="AJD574" s="1831"/>
      <c r="AJE574" s="1831"/>
      <c r="AJF574" s="1831"/>
      <c r="AJG574" s="1831"/>
      <c r="AJH574" s="1831"/>
      <c r="AJI574" s="1831"/>
      <c r="AJJ574" s="1831"/>
      <c r="AJK574" s="1831"/>
      <c r="AJL574" s="1831"/>
      <c r="AJM574" s="1831"/>
      <c r="AJN574" s="1831"/>
      <c r="AJO574" s="1831"/>
      <c r="AJP574" s="1831"/>
      <c r="AJQ574" s="1831"/>
      <c r="AJR574" s="1831"/>
      <c r="AJS574" s="1831"/>
      <c r="AJT574" s="1831"/>
      <c r="AJU574" s="1831"/>
      <c r="AJV574" s="1831"/>
      <c r="AJW574" s="1831"/>
      <c r="AJX574" s="1831"/>
      <c r="AJY574" s="1831"/>
      <c r="AJZ574" s="1831"/>
      <c r="AKA574" s="1831"/>
      <c r="AKB574" s="1831"/>
      <c r="AKC574" s="1831"/>
      <c r="AKD574" s="1831"/>
      <c r="AKE574" s="1831"/>
      <c r="AKF574" s="1831"/>
      <c r="AKG574" s="1831"/>
      <c r="AKH574" s="1831"/>
      <c r="AKI574" s="1831"/>
      <c r="AKJ574" s="1831"/>
      <c r="AKK574" s="1831"/>
      <c r="AKL574" s="1831"/>
      <c r="AKM574" s="1831"/>
      <c r="AKN574" s="1831"/>
      <c r="AKO574" s="1831"/>
      <c r="AKP574" s="1831"/>
      <c r="AKQ574" s="1831"/>
      <c r="AKR574" s="1831"/>
      <c r="AKS574" s="1831"/>
      <c r="AKT574" s="1831"/>
      <c r="AKU574" s="1831"/>
      <c r="AKV574" s="1831"/>
      <c r="AKW574" s="1831"/>
      <c r="AKX574" s="1831"/>
      <c r="AKY574" s="1831"/>
      <c r="AKZ574" s="1831"/>
      <c r="ALA574" s="1831"/>
      <c r="ALB574" s="1831"/>
      <c r="ALC574" s="1831"/>
      <c r="ALD574" s="1831"/>
      <c r="ALE574" s="1831"/>
      <c r="ALF574" s="1831"/>
      <c r="ALG574" s="1831"/>
      <c r="ALH574" s="1831"/>
      <c r="ALI574" s="1831"/>
      <c r="ALJ574" s="1831"/>
      <c r="ALK574" s="1831"/>
      <c r="ALL574" s="1831"/>
      <c r="ALM574" s="1831"/>
      <c r="ALN574" s="1831"/>
      <c r="ALO574" s="1831"/>
      <c r="ALP574" s="1831"/>
      <c r="ALQ574" s="1831"/>
      <c r="ALR574" s="1831"/>
      <c r="ALS574" s="1831"/>
      <c r="ALT574" s="1831"/>
      <c r="ALU574" s="1831"/>
      <c r="ALV574" s="1831"/>
      <c r="ALW574" s="1831"/>
      <c r="ALX574" s="1831"/>
      <c r="ALY574" s="1831"/>
      <c r="ALZ574" s="1831"/>
      <c r="AMA574" s="1831"/>
      <c r="AMB574" s="1831"/>
      <c r="AMC574" s="1831"/>
      <c r="AMD574" s="1831"/>
      <c r="AME574" s="1831"/>
      <c r="AMF574" s="1831"/>
      <c r="AMG574" s="1831"/>
      <c r="AMH574" s="1831"/>
      <c r="AMI574" s="1831"/>
      <c r="AMJ574" s="1831"/>
      <c r="AMK574" s="1831"/>
      <c r="AML574" s="1831"/>
      <c r="AMM574" s="1831"/>
      <c r="AMN574" s="1831"/>
      <c r="AMO574" s="1831"/>
      <c r="AMP574" s="1831"/>
      <c r="AMQ574" s="1831"/>
      <c r="AMR574" s="1831"/>
      <c r="AMS574" s="1831"/>
      <c r="AMT574" s="1831"/>
      <c r="AMU574" s="1831"/>
      <c r="AMV574" s="1831"/>
      <c r="AMW574" s="1831"/>
      <c r="AMX574" s="1831"/>
      <c r="AMY574" s="1831"/>
      <c r="AMZ574" s="1831"/>
      <c r="ANA574" s="1831"/>
      <c r="ANB574" s="1831"/>
      <c r="ANC574" s="1831"/>
      <c r="AND574" s="1831"/>
      <c r="ANE574" s="1831"/>
      <c r="ANF574" s="1831"/>
      <c r="ANG574" s="1831"/>
      <c r="ANH574" s="1831"/>
      <c r="ANI574" s="1831"/>
      <c r="ANJ574" s="1831"/>
      <c r="ANK574" s="1831"/>
      <c r="ANL574" s="1831"/>
      <c r="ANM574" s="1831"/>
      <c r="ANN574" s="1831"/>
      <c r="ANO574" s="1831"/>
      <c r="ANP574" s="1831"/>
      <c r="ANQ574" s="1831"/>
      <c r="ANR574" s="1831"/>
      <c r="ANS574" s="1831"/>
      <c r="ANT574" s="1831"/>
      <c r="ANU574" s="1831"/>
      <c r="ANV574" s="1831"/>
      <c r="ANW574" s="1831"/>
      <c r="ANX574" s="1831"/>
      <c r="ANY574" s="1831"/>
      <c r="ANZ574" s="1831"/>
      <c r="AOA574" s="1831"/>
      <c r="AOB574" s="1831"/>
      <c r="AOC574" s="1831"/>
      <c r="AOD574" s="1831"/>
      <c r="AOE574" s="1831"/>
      <c r="AOF574" s="1831"/>
      <c r="AOG574" s="1831"/>
      <c r="AOH574" s="1831"/>
      <c r="AOI574" s="1831"/>
      <c r="AOJ574" s="1831"/>
      <c r="AOK574" s="1831"/>
      <c r="AOL574" s="1831"/>
      <c r="AOM574" s="1831"/>
      <c r="AON574" s="1831"/>
      <c r="AOO574" s="1831"/>
      <c r="AOP574" s="1831"/>
      <c r="AOQ574" s="1831"/>
      <c r="AOR574" s="1831"/>
      <c r="AOS574" s="1831"/>
      <c r="AOT574" s="1831"/>
      <c r="AOU574" s="1831"/>
      <c r="AOV574" s="1831"/>
      <c r="AOW574" s="1831"/>
      <c r="AOX574" s="1831"/>
      <c r="AOY574" s="1831"/>
      <c r="AOZ574" s="1831"/>
      <c r="APA574" s="1831"/>
      <c r="APB574" s="1831"/>
      <c r="APC574" s="1831"/>
      <c r="APD574" s="1831"/>
      <c r="APE574" s="1831"/>
      <c r="APF574" s="1831"/>
      <c r="APG574" s="1831"/>
      <c r="APH574" s="1831"/>
      <c r="API574" s="1831"/>
      <c r="APJ574" s="1831"/>
      <c r="APK574" s="1831"/>
      <c r="APL574" s="1831"/>
      <c r="APM574" s="1831"/>
      <c r="APN574" s="1831"/>
      <c r="APO574" s="1831"/>
      <c r="APP574" s="1831"/>
      <c r="APQ574" s="1831"/>
      <c r="APR574" s="1831"/>
      <c r="APS574" s="1831"/>
      <c r="APT574" s="1831"/>
      <c r="APU574" s="1831"/>
      <c r="APV574" s="1831"/>
      <c r="APW574" s="1831"/>
      <c r="APX574" s="1831"/>
      <c r="APY574" s="1831"/>
      <c r="APZ574" s="1831"/>
      <c r="AQA574" s="1831"/>
      <c r="AQB574" s="1831"/>
      <c r="AQC574" s="1831"/>
      <c r="AQD574" s="1831"/>
      <c r="AQE574" s="1831"/>
      <c r="AQF574" s="1831"/>
      <c r="AQG574" s="1831"/>
      <c r="AQH574" s="1831"/>
      <c r="AQI574" s="1831"/>
      <c r="AQJ574" s="1831"/>
      <c r="AQK574" s="1831"/>
      <c r="AQL574" s="1831"/>
      <c r="AQM574" s="1831"/>
      <c r="AQN574" s="1831"/>
      <c r="AQO574" s="1831"/>
      <c r="AQP574" s="1831"/>
      <c r="AQQ574" s="1831"/>
      <c r="AQR574" s="1831"/>
      <c r="AQS574" s="1831"/>
      <c r="AQT574" s="1831"/>
      <c r="AQU574" s="1831"/>
      <c r="AQV574" s="1831"/>
      <c r="AQW574" s="1831"/>
      <c r="AQX574" s="1831"/>
      <c r="AQY574" s="1831"/>
      <c r="AQZ574" s="1831"/>
      <c r="ARA574" s="1831"/>
      <c r="ARB574" s="1831"/>
      <c r="ARC574" s="1831"/>
      <c r="ARD574" s="1831"/>
      <c r="ARE574" s="1831"/>
      <c r="ARF574" s="1831"/>
      <c r="ARG574" s="1831"/>
      <c r="ARH574" s="1831"/>
      <c r="ARI574" s="1831"/>
      <c r="ARJ574" s="1831"/>
      <c r="ARK574" s="1831"/>
      <c r="ARL574" s="1831"/>
      <c r="ARM574" s="1831"/>
      <c r="ARN574" s="1831"/>
      <c r="ARO574" s="1831"/>
      <c r="ARP574" s="1831"/>
      <c r="ARQ574" s="1831"/>
      <c r="ARR574" s="1831"/>
      <c r="ARS574" s="1831"/>
      <c r="ART574" s="1831"/>
      <c r="ARU574" s="1831"/>
      <c r="ARV574" s="1831"/>
      <c r="ARW574" s="1831"/>
      <c r="ARX574" s="1831"/>
      <c r="ARY574" s="1831"/>
      <c r="ARZ574" s="1831"/>
      <c r="ASA574" s="1831"/>
      <c r="ASB574" s="1831"/>
      <c r="ASC574" s="1831"/>
      <c r="ASD574" s="1831"/>
      <c r="ASE574" s="1831"/>
      <c r="ASF574" s="1831"/>
      <c r="ASG574" s="1831"/>
      <c r="ASH574" s="1831"/>
      <c r="ASI574" s="1831"/>
      <c r="ASJ574" s="1831"/>
      <c r="ASK574" s="1831"/>
      <c r="ASL574" s="1831"/>
      <c r="ASM574" s="1831"/>
      <c r="ASN574" s="1831"/>
      <c r="ASO574" s="1831"/>
      <c r="ASP574" s="1831"/>
      <c r="ASQ574" s="1831"/>
      <c r="ASR574" s="1831"/>
      <c r="ASS574" s="1831"/>
      <c r="AST574" s="1831"/>
      <c r="ASU574" s="1831"/>
      <c r="ASV574" s="1831"/>
      <c r="ASW574" s="1831"/>
      <c r="ASX574" s="1831"/>
      <c r="ASY574" s="1831"/>
      <c r="ASZ574" s="1831"/>
      <c r="ATA574" s="1831"/>
      <c r="ATB574" s="1831"/>
      <c r="ATC574" s="1831"/>
      <c r="ATD574" s="1831"/>
      <c r="ATE574" s="1831"/>
      <c r="ATF574" s="1831"/>
      <c r="ATG574" s="1831"/>
      <c r="ATH574" s="1831"/>
      <c r="ATI574" s="1831"/>
      <c r="ATJ574" s="1831"/>
      <c r="ATK574" s="1831"/>
      <c r="ATL574" s="1831"/>
      <c r="ATM574" s="1831"/>
      <c r="ATN574" s="1831"/>
      <c r="ATO574" s="1831"/>
      <c r="ATP574" s="1831"/>
      <c r="ATQ574" s="1831"/>
      <c r="ATR574" s="1831"/>
      <c r="ATS574" s="1831"/>
      <c r="ATT574" s="1831"/>
      <c r="ATU574" s="1831"/>
      <c r="ATV574" s="1831"/>
      <c r="ATW574" s="1831"/>
      <c r="ATX574" s="1831"/>
      <c r="ATY574" s="1831"/>
      <c r="ATZ574" s="1831"/>
      <c r="AUA574" s="1831"/>
      <c r="AUB574" s="1831"/>
      <c r="AUC574" s="1831"/>
      <c r="AUD574" s="1831"/>
      <c r="AUE574" s="1831"/>
      <c r="AUF574" s="1831"/>
      <c r="AUG574" s="1831"/>
      <c r="AUH574" s="1831"/>
      <c r="AUI574" s="1831"/>
      <c r="AUJ574" s="1831"/>
      <c r="AUK574" s="1831"/>
      <c r="AUL574" s="1831"/>
      <c r="AUM574" s="1831"/>
      <c r="AUN574" s="1831"/>
      <c r="AUO574" s="1831"/>
      <c r="AUP574" s="1831"/>
      <c r="AUQ574" s="1831"/>
      <c r="AUR574" s="1831"/>
      <c r="AUS574" s="1831"/>
      <c r="AUT574" s="1831"/>
      <c r="AUU574" s="1831"/>
      <c r="AUV574" s="1831"/>
      <c r="AUW574" s="1831"/>
      <c r="AUX574" s="1831"/>
      <c r="AUY574" s="1831"/>
      <c r="AUZ574" s="1831"/>
      <c r="AVA574" s="1831"/>
      <c r="AVB574" s="1831"/>
      <c r="AVC574" s="1831"/>
      <c r="AVD574" s="1831"/>
      <c r="AVE574" s="1831"/>
      <c r="AVF574" s="1831"/>
      <c r="AVG574" s="1831"/>
      <c r="AVH574" s="1831"/>
      <c r="AVI574" s="1831"/>
      <c r="AVJ574" s="1831"/>
      <c r="AVK574" s="1831"/>
      <c r="AVL574" s="1831"/>
      <c r="AVM574" s="1831"/>
      <c r="AVN574" s="1831"/>
      <c r="AVO574" s="1831"/>
      <c r="AVP574" s="1831"/>
      <c r="AVQ574" s="1831"/>
      <c r="AVR574" s="1831"/>
      <c r="AVS574" s="1831"/>
      <c r="AVT574" s="1831"/>
      <c r="AVU574" s="1831"/>
      <c r="AVV574" s="1831"/>
      <c r="AVW574" s="1831"/>
      <c r="AVX574" s="1831"/>
      <c r="AVY574" s="1831"/>
      <c r="AVZ574" s="1831"/>
      <c r="AWA574" s="1831"/>
      <c r="AWB574" s="1831"/>
      <c r="AWC574" s="1831"/>
      <c r="AWD574" s="1831"/>
      <c r="AWE574" s="1831"/>
      <c r="AWF574" s="1831"/>
      <c r="AWG574" s="1831"/>
      <c r="AWH574" s="1831"/>
      <c r="AWI574" s="1831"/>
      <c r="AWJ574" s="1831"/>
      <c r="AWK574" s="1831"/>
      <c r="AWL574" s="1831"/>
      <c r="AWM574" s="1831"/>
      <c r="AWN574" s="1831"/>
      <c r="AWO574" s="1831"/>
      <c r="AWP574" s="1831"/>
      <c r="AWQ574" s="1831"/>
      <c r="AWR574" s="1831"/>
      <c r="AWS574" s="1831"/>
      <c r="AWT574" s="1831"/>
      <c r="AWU574" s="1831"/>
      <c r="AWV574" s="1831"/>
      <c r="AWW574" s="1831"/>
      <c r="AWX574" s="1831"/>
      <c r="AWY574" s="1831"/>
      <c r="AWZ574" s="1831"/>
      <c r="AXA574" s="1831"/>
      <c r="AXB574" s="1831"/>
      <c r="AXC574" s="1831"/>
      <c r="AXD574" s="1831"/>
      <c r="AXE574" s="1831"/>
      <c r="AXF574" s="1831"/>
      <c r="AXG574" s="1831"/>
      <c r="AXH574" s="1831"/>
      <c r="AXI574" s="1831"/>
      <c r="AXJ574" s="1831"/>
      <c r="AXK574" s="1831"/>
      <c r="AXL574" s="1831"/>
      <c r="AXM574" s="1831"/>
      <c r="AXN574" s="1831"/>
      <c r="AXO574" s="1831"/>
      <c r="AXP574" s="1831"/>
      <c r="AXQ574" s="1831"/>
      <c r="AXR574" s="1831"/>
      <c r="AXS574" s="1831"/>
      <c r="AXT574" s="1831"/>
      <c r="AXU574" s="1831"/>
      <c r="AXV574" s="1831"/>
      <c r="AXW574" s="1831"/>
      <c r="AXX574" s="1831"/>
      <c r="AXY574" s="1831"/>
      <c r="AXZ574" s="1831"/>
      <c r="AYA574" s="1831"/>
      <c r="AYB574" s="1831"/>
      <c r="AYC574" s="1831"/>
      <c r="AYD574" s="1831"/>
      <c r="AYE574" s="1831"/>
      <c r="AYF574" s="1831"/>
      <c r="AYG574" s="1831"/>
      <c r="AYH574" s="1831"/>
      <c r="AYI574" s="1831"/>
      <c r="AYJ574" s="1831"/>
      <c r="AYK574" s="1831"/>
      <c r="AYL574" s="1831"/>
      <c r="AYM574" s="1831"/>
      <c r="AYN574" s="1831"/>
      <c r="AYO574" s="1831"/>
      <c r="AYP574" s="1831"/>
      <c r="AYQ574" s="1831"/>
      <c r="AYR574" s="1831"/>
      <c r="AYS574" s="1831"/>
      <c r="AYT574" s="1831"/>
      <c r="AYU574" s="1831"/>
      <c r="AYV574" s="1831"/>
      <c r="AYW574" s="1831"/>
      <c r="AYX574" s="1831"/>
      <c r="AYY574" s="1831"/>
      <c r="AYZ574" s="1831"/>
      <c r="AZA574" s="1831"/>
      <c r="AZB574" s="1831"/>
      <c r="AZC574" s="1831"/>
      <c r="AZD574" s="1831"/>
      <c r="AZE574" s="1831"/>
      <c r="AZF574" s="1831"/>
      <c r="AZG574" s="1831"/>
      <c r="AZH574" s="1831"/>
      <c r="AZI574" s="1831"/>
      <c r="AZJ574" s="1831"/>
      <c r="AZK574" s="1831"/>
      <c r="AZL574" s="1831"/>
      <c r="AZM574" s="1831"/>
      <c r="AZN574" s="1831"/>
      <c r="AZO574" s="1831"/>
      <c r="AZP574" s="1831"/>
      <c r="AZQ574" s="1831"/>
      <c r="AZR574" s="1831"/>
      <c r="AZS574" s="1831"/>
      <c r="AZT574" s="1831"/>
      <c r="AZU574" s="1831"/>
      <c r="AZV574" s="1831"/>
      <c r="AZW574" s="1831"/>
      <c r="AZX574" s="1831"/>
      <c r="AZY574" s="1831"/>
      <c r="AZZ574" s="1831"/>
      <c r="BAA574" s="1831"/>
      <c r="BAB574" s="1831"/>
      <c r="BAC574" s="1831"/>
      <c r="BAD574" s="1831"/>
      <c r="BAE574" s="1831"/>
      <c r="BAF574" s="1831"/>
      <c r="BAG574" s="1831"/>
      <c r="BAH574" s="1831"/>
      <c r="BAI574" s="1831"/>
      <c r="BAJ574" s="1831"/>
      <c r="BAK574" s="1831"/>
      <c r="BAL574" s="1831"/>
      <c r="BAM574" s="1831"/>
      <c r="BAN574" s="1831"/>
      <c r="BAO574" s="1831"/>
      <c r="BAP574" s="1831"/>
      <c r="BAQ574" s="1831"/>
      <c r="BAR574" s="1831"/>
      <c r="BAS574" s="1831"/>
      <c r="BAT574" s="1831"/>
      <c r="BAU574" s="1831"/>
      <c r="BAV574" s="1831"/>
      <c r="BAW574" s="1831"/>
      <c r="BAX574" s="1831"/>
      <c r="BAY574" s="1831"/>
      <c r="BAZ574" s="1831"/>
      <c r="BBA574" s="1831"/>
      <c r="BBB574" s="1831"/>
      <c r="BBC574" s="1831"/>
      <c r="BBD574" s="1831"/>
      <c r="BBE574" s="1831"/>
      <c r="BBF574" s="1831"/>
      <c r="BBG574" s="1831"/>
      <c r="BBH574" s="1831"/>
      <c r="BBI574" s="1831"/>
      <c r="BBJ574" s="1831"/>
      <c r="BBK574" s="1831"/>
      <c r="BBL574" s="1831"/>
      <c r="BBM574" s="1831"/>
      <c r="BBN574" s="1831"/>
      <c r="BBO574" s="1831"/>
      <c r="BBP574" s="1831"/>
      <c r="BBQ574" s="1831"/>
      <c r="BBR574" s="1831"/>
      <c r="BBS574" s="1831"/>
      <c r="BBT574" s="1831"/>
      <c r="BBU574" s="1831"/>
      <c r="BBV574" s="1831"/>
      <c r="BBW574" s="1831"/>
      <c r="BBX574" s="1831"/>
      <c r="BBY574" s="1831"/>
      <c r="BBZ574" s="1831"/>
      <c r="BCA574" s="1831"/>
      <c r="BCB574" s="1831"/>
      <c r="BCC574" s="1831"/>
      <c r="BCD574" s="1831"/>
      <c r="BCE574" s="1831"/>
      <c r="BCF574" s="1831"/>
      <c r="BCG574" s="1831"/>
      <c r="BCH574" s="1831"/>
      <c r="BCI574" s="1831"/>
      <c r="BCJ574" s="1831"/>
      <c r="BCK574" s="1831"/>
      <c r="BCL574" s="1831"/>
      <c r="BCM574" s="1831"/>
      <c r="BCN574" s="1831"/>
      <c r="BCO574" s="1831"/>
      <c r="BCP574" s="1831"/>
      <c r="BCQ574" s="1831"/>
      <c r="BCR574" s="1831"/>
      <c r="BCS574" s="1831"/>
      <c r="BCT574" s="1831"/>
      <c r="BCU574" s="1831"/>
      <c r="BCV574" s="1831"/>
      <c r="BCW574" s="1831"/>
      <c r="BCX574" s="1831"/>
      <c r="BCY574" s="1831"/>
      <c r="BCZ574" s="1831"/>
      <c r="BDA574" s="1831"/>
      <c r="BDB574" s="1831"/>
      <c r="BDC574" s="1831"/>
      <c r="BDD574" s="1831"/>
      <c r="BDE574" s="1831"/>
      <c r="BDF574" s="1831"/>
      <c r="BDG574" s="1831"/>
      <c r="BDH574" s="1831"/>
      <c r="BDI574" s="1831"/>
      <c r="BDJ574" s="1831"/>
      <c r="BDK574" s="1831"/>
      <c r="BDL574" s="1831"/>
      <c r="BDM574" s="1831"/>
      <c r="BDN574" s="1831"/>
      <c r="BDO574" s="1831"/>
      <c r="BDP574" s="1831"/>
      <c r="BDQ574" s="1831"/>
      <c r="BDR574" s="1831"/>
      <c r="BDS574" s="1831"/>
      <c r="BDT574" s="1831"/>
      <c r="BDU574" s="1831"/>
      <c r="BDV574" s="1831"/>
      <c r="BDW574" s="1831"/>
      <c r="BDX574" s="1831"/>
      <c r="BDY574" s="1831"/>
      <c r="BDZ574" s="1831"/>
      <c r="BEA574" s="1831"/>
      <c r="BEB574" s="1831"/>
      <c r="BEC574" s="1831"/>
      <c r="BED574" s="1831"/>
      <c r="BEE574" s="1831"/>
      <c r="BEF574" s="1831"/>
      <c r="BEG574" s="1831"/>
      <c r="BEH574" s="1831"/>
      <c r="BEI574" s="1831"/>
      <c r="BEJ574" s="1831"/>
      <c r="BEK574" s="1831"/>
      <c r="BEL574" s="1831"/>
      <c r="BEM574" s="1831"/>
      <c r="BEN574" s="1831"/>
      <c r="BEO574" s="1831"/>
      <c r="BEP574" s="1831"/>
      <c r="BEQ574" s="1831"/>
      <c r="BER574" s="1831"/>
      <c r="BES574" s="1831"/>
      <c r="BET574" s="1831"/>
      <c r="BEU574" s="1831"/>
      <c r="BEV574" s="1831"/>
      <c r="BEW574" s="1831"/>
      <c r="BEX574" s="1831"/>
      <c r="BEY574" s="1831"/>
      <c r="BEZ574" s="1831"/>
      <c r="BFA574" s="1831"/>
      <c r="BFB574" s="1831"/>
      <c r="BFC574" s="1831"/>
      <c r="BFD574" s="1831"/>
      <c r="BFE574" s="1831"/>
      <c r="BFF574" s="1831"/>
      <c r="BFG574" s="1831"/>
      <c r="BFH574" s="1831"/>
      <c r="BFI574" s="1831"/>
      <c r="BFJ574" s="1831"/>
      <c r="BFK574" s="1831"/>
      <c r="BFL574" s="1831"/>
      <c r="BFM574" s="1831"/>
      <c r="BFN574" s="1831"/>
      <c r="BFO574" s="1831"/>
      <c r="BFP574" s="1831"/>
      <c r="BFQ574" s="1831"/>
      <c r="BFR574" s="1831"/>
      <c r="BFS574" s="1831"/>
      <c r="BFT574" s="1831"/>
      <c r="BFU574" s="1831"/>
      <c r="BFV574" s="1831"/>
      <c r="BFW574" s="1831"/>
      <c r="BFX574" s="1831"/>
      <c r="BFY574" s="1831"/>
      <c r="BFZ574" s="1831"/>
      <c r="BGA574" s="1831"/>
      <c r="BGB574" s="1831"/>
      <c r="BGC574" s="1831"/>
      <c r="BGD574" s="1831"/>
      <c r="BGE574" s="1831"/>
      <c r="BGF574" s="1831"/>
      <c r="BGG574" s="1831"/>
      <c r="BGH574" s="1831"/>
      <c r="BGI574" s="1831"/>
      <c r="BGJ574" s="1831"/>
      <c r="BGK574" s="1831"/>
      <c r="BGL574" s="1831"/>
      <c r="BGM574" s="1831"/>
      <c r="BGN574" s="1831"/>
      <c r="BGO574" s="1831"/>
      <c r="BGP574" s="1831"/>
      <c r="BGQ574" s="1831"/>
      <c r="BGR574" s="1831"/>
      <c r="BGS574" s="1831"/>
      <c r="BGT574" s="1831"/>
      <c r="BGU574" s="1831"/>
      <c r="BGV574" s="1831"/>
      <c r="BGW574" s="1831"/>
      <c r="BGX574" s="1831"/>
      <c r="BGY574" s="1831"/>
      <c r="BGZ574" s="1831"/>
      <c r="BHA574" s="1831"/>
      <c r="BHB574" s="1831"/>
      <c r="BHC574" s="1831"/>
      <c r="BHD574" s="1831"/>
      <c r="BHE574" s="1831"/>
      <c r="BHF574" s="1831"/>
      <c r="BHG574" s="1831"/>
      <c r="BHH574" s="1831"/>
      <c r="BHI574" s="1831"/>
      <c r="BHJ574" s="1831"/>
      <c r="BHK574" s="1831"/>
      <c r="BHL574" s="1831"/>
      <c r="BHM574" s="1831"/>
      <c r="BHN574" s="1831"/>
      <c r="BHO574" s="1831"/>
      <c r="BHP574" s="1831"/>
      <c r="BHQ574" s="1831"/>
      <c r="BHR574" s="1831"/>
      <c r="BHS574" s="1831"/>
      <c r="BHT574" s="1831"/>
      <c r="BHU574" s="1831"/>
      <c r="BHV574" s="1831"/>
      <c r="BHW574" s="1831"/>
      <c r="BHX574" s="1831"/>
      <c r="BHY574" s="1831"/>
      <c r="BHZ574" s="1831"/>
      <c r="BIA574" s="1831"/>
      <c r="BIB574" s="1831"/>
      <c r="BIC574" s="1831"/>
      <c r="BID574" s="1831"/>
      <c r="BIE574" s="1831"/>
      <c r="BIF574" s="1831"/>
      <c r="BIG574" s="1831"/>
      <c r="BIH574" s="1831"/>
      <c r="BII574" s="1831"/>
      <c r="BIJ574" s="1831"/>
      <c r="BIK574" s="1831"/>
      <c r="BIL574" s="1831"/>
      <c r="BIM574" s="1831"/>
      <c r="BIN574" s="1831"/>
      <c r="BIO574" s="1831"/>
      <c r="BIP574" s="1831"/>
      <c r="BIQ574" s="1831"/>
      <c r="BIR574" s="1831"/>
      <c r="BIS574" s="1831"/>
      <c r="BIT574" s="1831"/>
      <c r="BIU574" s="1831"/>
      <c r="BIV574" s="1831"/>
      <c r="BIW574" s="1831"/>
      <c r="BIX574" s="1831"/>
      <c r="BIY574" s="1831"/>
      <c r="BIZ574" s="1831"/>
      <c r="BJA574" s="1831"/>
      <c r="BJB574" s="1831"/>
      <c r="BJC574" s="1831"/>
      <c r="BJD574" s="1831"/>
      <c r="BJE574" s="1831"/>
      <c r="BJF574" s="1831"/>
      <c r="BJG574" s="1831"/>
      <c r="BJH574" s="1831"/>
      <c r="BJI574" s="1831"/>
      <c r="BJJ574" s="1831"/>
      <c r="BJK574" s="1831"/>
      <c r="BJL574" s="1831"/>
      <c r="BJM574" s="1831"/>
      <c r="BJN574" s="1831"/>
      <c r="BJO574" s="1831"/>
      <c r="BJP574" s="1831"/>
      <c r="BJQ574" s="1831"/>
      <c r="BJR574" s="1831"/>
      <c r="BJS574" s="1831"/>
      <c r="BJT574" s="1831"/>
      <c r="BJU574" s="1831"/>
      <c r="BJV574" s="1831"/>
      <c r="BJW574" s="1831"/>
      <c r="BJX574" s="1831"/>
      <c r="BJY574" s="1831"/>
      <c r="BJZ574" s="1831"/>
      <c r="BKA574" s="1831"/>
      <c r="BKB574" s="1831"/>
      <c r="BKC574" s="1831"/>
      <c r="BKD574" s="1831"/>
      <c r="BKE574" s="1831"/>
      <c r="BKF574" s="1831"/>
      <c r="BKG574" s="1831"/>
      <c r="BKH574" s="1831"/>
      <c r="BKI574" s="1831"/>
      <c r="BKJ574" s="1831"/>
      <c r="BKK574" s="1831"/>
      <c r="BKL574" s="1831"/>
      <c r="BKM574" s="1831"/>
      <c r="BKN574" s="1831"/>
      <c r="BKO574" s="1831"/>
      <c r="BKP574" s="1831"/>
      <c r="BKQ574" s="1831"/>
      <c r="BKR574" s="1831"/>
      <c r="BKS574" s="1831"/>
      <c r="BKT574" s="1831"/>
      <c r="BKU574" s="1831"/>
      <c r="BKV574" s="1831"/>
      <c r="BKW574" s="1831"/>
      <c r="BKX574" s="1831"/>
      <c r="BKY574" s="1831"/>
      <c r="BKZ574" s="1831"/>
      <c r="BLA574" s="1831"/>
      <c r="BLB574" s="1831"/>
      <c r="BLC574" s="1831"/>
      <c r="BLD574" s="1831"/>
      <c r="BLE574" s="1831"/>
      <c r="BLF574" s="1831"/>
      <c r="BLG574" s="1831"/>
      <c r="BLH574" s="1831"/>
      <c r="BLI574" s="1831"/>
      <c r="BLJ574" s="1831"/>
      <c r="BLK574" s="1831"/>
      <c r="BLL574" s="1831"/>
      <c r="BLM574" s="1831"/>
      <c r="BLN574" s="1831"/>
      <c r="BLO574" s="1831"/>
      <c r="BLP574" s="1831"/>
      <c r="BLQ574" s="1831"/>
      <c r="BLR574" s="1831"/>
      <c r="BLS574" s="1831"/>
      <c r="BLT574" s="1831"/>
      <c r="BLU574" s="1831"/>
      <c r="BLV574" s="1831"/>
      <c r="BLW574" s="1831"/>
      <c r="BLX574" s="1831"/>
      <c r="BLY574" s="1831"/>
      <c r="BLZ574" s="1831"/>
      <c r="BMA574" s="1831"/>
      <c r="BMB574" s="1831"/>
      <c r="BMC574" s="1831"/>
      <c r="BMD574" s="1831"/>
      <c r="BME574" s="1831"/>
      <c r="BMF574" s="1831"/>
      <c r="BMG574" s="1831"/>
      <c r="BMH574" s="1831"/>
      <c r="BMI574" s="1831"/>
      <c r="BMJ574" s="1831"/>
      <c r="BMK574" s="1831"/>
      <c r="BML574" s="1831"/>
      <c r="BMM574" s="1831"/>
      <c r="BMN574" s="1831"/>
      <c r="BMO574" s="1831"/>
      <c r="BMP574" s="1831"/>
      <c r="BMQ574" s="1831"/>
      <c r="BMR574" s="1831"/>
      <c r="BMS574" s="1831"/>
      <c r="BMT574" s="1831"/>
      <c r="BMU574" s="1831"/>
      <c r="BMV574" s="1831"/>
      <c r="BMW574" s="1831"/>
      <c r="BMX574" s="1831"/>
      <c r="BMY574" s="1831"/>
      <c r="BMZ574" s="1831"/>
      <c r="BNA574" s="1831"/>
      <c r="BNB574" s="1831"/>
      <c r="BNC574" s="1831"/>
      <c r="BND574" s="1831"/>
      <c r="BNE574" s="1831"/>
      <c r="BNF574" s="1831"/>
      <c r="BNG574" s="1831"/>
      <c r="BNH574" s="1831"/>
      <c r="BNI574" s="1831"/>
      <c r="BNJ574" s="1831"/>
      <c r="BNK574" s="1831"/>
      <c r="BNL574" s="1831"/>
      <c r="BNM574" s="1831"/>
      <c r="BNN574" s="1831"/>
      <c r="BNO574" s="1831"/>
      <c r="BNP574" s="1831"/>
      <c r="BNQ574" s="1831"/>
      <c r="BNR574" s="1831"/>
      <c r="BNS574" s="1831"/>
      <c r="BNT574" s="1831"/>
      <c r="BNU574" s="1831"/>
      <c r="BNV574" s="1831"/>
      <c r="BNW574" s="1831"/>
      <c r="BNX574" s="1831"/>
      <c r="BNY574" s="1831"/>
      <c r="BNZ574" s="1831"/>
      <c r="BOA574" s="1831"/>
      <c r="BOB574" s="1831"/>
      <c r="BOC574" s="1831"/>
      <c r="BOD574" s="1831"/>
      <c r="BOE574" s="1831"/>
      <c r="BOF574" s="1831"/>
      <c r="BOG574" s="1831"/>
      <c r="BOH574" s="1831"/>
      <c r="BOI574" s="1831"/>
      <c r="BOJ574" s="1831"/>
      <c r="BOK574" s="1831"/>
      <c r="BOL574" s="1831"/>
      <c r="BOM574" s="1831"/>
      <c r="BON574" s="1831"/>
      <c r="BOO574" s="1831"/>
      <c r="BOP574" s="1831"/>
      <c r="BOQ574" s="1831"/>
      <c r="BOR574" s="1831"/>
      <c r="BOS574" s="1831"/>
      <c r="BOT574" s="1831"/>
      <c r="BOU574" s="1831"/>
      <c r="BOV574" s="1831"/>
      <c r="BOW574" s="1831"/>
      <c r="BOX574" s="1831"/>
      <c r="BOY574" s="1831"/>
      <c r="BOZ574" s="1831"/>
      <c r="BPA574" s="1831"/>
      <c r="BPB574" s="1831"/>
      <c r="BPC574" s="1831"/>
      <c r="BPD574" s="1831"/>
      <c r="BPE574" s="1831"/>
      <c r="BPF574" s="1831"/>
      <c r="BPG574" s="1831"/>
      <c r="BPH574" s="1831"/>
      <c r="BPI574" s="1831"/>
      <c r="BPJ574" s="1831"/>
      <c r="BPK574" s="1831"/>
      <c r="BPL574" s="1831"/>
      <c r="BPM574" s="1831"/>
      <c r="BPN574" s="1831"/>
      <c r="BPO574" s="1831"/>
      <c r="BPP574" s="1831"/>
      <c r="BPQ574" s="1831"/>
      <c r="BPR574" s="1831"/>
      <c r="BPS574" s="1831"/>
      <c r="BPT574" s="1831"/>
      <c r="BPU574" s="1831"/>
      <c r="BPV574" s="1831"/>
      <c r="BPW574" s="1831"/>
      <c r="BPX574" s="1831"/>
      <c r="BPY574" s="1831"/>
      <c r="BPZ574" s="1831"/>
      <c r="BQA574" s="1831"/>
      <c r="BQB574" s="1831"/>
      <c r="BQC574" s="1831"/>
      <c r="BQD574" s="1831"/>
      <c r="BQE574" s="1831"/>
      <c r="BQF574" s="1831"/>
      <c r="BQG574" s="1831"/>
      <c r="BQH574" s="1831"/>
      <c r="BQI574" s="1831"/>
      <c r="BQJ574" s="1831"/>
      <c r="BQK574" s="1831"/>
      <c r="BQL574" s="1831"/>
      <c r="BQM574" s="1831"/>
      <c r="BQN574" s="1831"/>
      <c r="BQO574" s="1831"/>
      <c r="BQP574" s="1831"/>
      <c r="BQQ574" s="1831"/>
      <c r="BQR574" s="1831"/>
      <c r="BQS574" s="1831"/>
      <c r="BQT574" s="1831"/>
      <c r="BQU574" s="1831"/>
      <c r="BQV574" s="1831"/>
      <c r="BQW574" s="1831"/>
      <c r="BQX574" s="1831"/>
      <c r="BQY574" s="1831"/>
      <c r="BQZ574" s="1831"/>
      <c r="BRA574" s="1831"/>
      <c r="BRB574" s="1831"/>
      <c r="BRC574" s="1831"/>
      <c r="BRD574" s="1831"/>
      <c r="BRE574" s="1831"/>
      <c r="BRF574" s="1831"/>
      <c r="BRG574" s="1831"/>
      <c r="BRH574" s="1831"/>
      <c r="BRI574" s="1831"/>
      <c r="BRJ574" s="1831"/>
      <c r="BRK574" s="1831"/>
      <c r="BRL574" s="1831"/>
      <c r="BRM574" s="1831"/>
      <c r="BRN574" s="1831"/>
      <c r="BRO574" s="1831"/>
      <c r="BRP574" s="1831"/>
      <c r="BRQ574" s="1831"/>
      <c r="BRR574" s="1831"/>
      <c r="BRS574" s="1831"/>
      <c r="BRT574" s="1831"/>
      <c r="BRU574" s="1831"/>
      <c r="BRV574" s="1831"/>
      <c r="BRW574" s="1831"/>
      <c r="BRX574" s="1831"/>
      <c r="BRY574" s="1831"/>
      <c r="BRZ574" s="1831"/>
      <c r="BSA574" s="1831"/>
      <c r="BSB574" s="1831"/>
      <c r="BSC574" s="1831"/>
      <c r="BSD574" s="1831"/>
      <c r="BSE574" s="1831"/>
      <c r="BSF574" s="1831"/>
      <c r="BSG574" s="1831"/>
      <c r="BSH574" s="1831"/>
      <c r="BSI574" s="1831"/>
      <c r="BSJ574" s="1831"/>
      <c r="BSK574" s="1831"/>
      <c r="BSL574" s="1831"/>
      <c r="BSM574" s="1831"/>
      <c r="BSN574" s="1831"/>
      <c r="BSO574" s="1831"/>
      <c r="BSP574" s="1831"/>
      <c r="BSQ574" s="1831"/>
      <c r="BSR574" s="1831"/>
      <c r="BSS574" s="1831"/>
      <c r="BST574" s="1831"/>
      <c r="BSU574" s="1831"/>
      <c r="BSV574" s="1831"/>
      <c r="BSW574" s="1831"/>
      <c r="BSX574" s="1831"/>
      <c r="BSY574" s="1831"/>
      <c r="BSZ574" s="1831"/>
      <c r="BTA574" s="1831"/>
      <c r="BTB574" s="1831"/>
      <c r="BTC574" s="1831"/>
      <c r="BTD574" s="1831"/>
      <c r="BTE574" s="1831"/>
      <c r="BTF574" s="1831"/>
      <c r="BTG574" s="1831"/>
      <c r="BTH574" s="1831"/>
      <c r="BTI574" s="1831"/>
      <c r="BTJ574" s="1831"/>
      <c r="BTK574" s="1831"/>
      <c r="BTL574" s="1831"/>
      <c r="BTM574" s="1831"/>
      <c r="BTN574" s="1831"/>
      <c r="BTO574" s="1831"/>
      <c r="BTP574" s="1831"/>
      <c r="BTQ574" s="1831"/>
      <c r="BTR574" s="1831"/>
      <c r="BTS574" s="1831"/>
      <c r="BTT574" s="1831"/>
      <c r="BTU574" s="1831"/>
      <c r="BTV574" s="1831"/>
      <c r="BTW574" s="1831"/>
      <c r="BTX574" s="1831"/>
      <c r="BTY574" s="1831"/>
      <c r="BTZ574" s="1831"/>
      <c r="BUA574" s="1831"/>
      <c r="BUB574" s="1831"/>
      <c r="BUC574" s="1831"/>
      <c r="BUD574" s="1831"/>
      <c r="BUE574" s="1831"/>
      <c r="BUF574" s="1831"/>
      <c r="BUG574" s="1831"/>
      <c r="BUH574" s="1831"/>
      <c r="BUI574" s="1831"/>
      <c r="BUJ574" s="1831"/>
      <c r="BUK574" s="1831"/>
      <c r="BUL574" s="1831"/>
      <c r="BUM574" s="1831"/>
      <c r="BUN574" s="1831"/>
      <c r="BUO574" s="1831"/>
      <c r="BUP574" s="1831"/>
      <c r="BUQ574" s="1831"/>
      <c r="BUR574" s="1831"/>
      <c r="BUS574" s="1831"/>
      <c r="BUT574" s="1831"/>
      <c r="BUU574" s="1831"/>
      <c r="BUV574" s="1831"/>
      <c r="BUW574" s="1831"/>
      <c r="BUX574" s="1831"/>
      <c r="BUY574" s="1831"/>
      <c r="BUZ574" s="1831"/>
      <c r="BVA574" s="1831"/>
      <c r="BVB574" s="1831"/>
      <c r="BVC574" s="1831"/>
      <c r="BVD574" s="1831"/>
      <c r="BVE574" s="1831"/>
      <c r="BVF574" s="1831"/>
      <c r="BVG574" s="1831"/>
      <c r="BVH574" s="1831"/>
      <c r="BVI574" s="1831"/>
      <c r="BVJ574" s="1831"/>
      <c r="BVK574" s="1831"/>
      <c r="BVL574" s="1831"/>
      <c r="BVM574" s="1831"/>
      <c r="BVN574" s="1831"/>
      <c r="BVO574" s="1831"/>
      <c r="BVP574" s="1831"/>
      <c r="BVQ574" s="1831"/>
      <c r="BVR574" s="1831"/>
      <c r="BVS574" s="1831"/>
      <c r="BVT574" s="1831"/>
      <c r="BVU574" s="1831"/>
      <c r="BVV574" s="1831"/>
      <c r="BVW574" s="1831"/>
      <c r="BVX574" s="1831"/>
      <c r="BVY574" s="1831"/>
      <c r="BVZ574" s="1831"/>
      <c r="BWA574" s="1831"/>
      <c r="BWB574" s="1831"/>
      <c r="BWC574" s="1831"/>
      <c r="BWD574" s="1831"/>
      <c r="BWE574" s="1831"/>
      <c r="BWF574" s="1831"/>
      <c r="BWG574" s="1831"/>
      <c r="BWH574" s="1831"/>
      <c r="BWI574" s="1831"/>
      <c r="BWJ574" s="1831"/>
      <c r="BWK574" s="1831"/>
      <c r="BWL574" s="1831"/>
      <c r="BWM574" s="1831"/>
      <c r="BWN574" s="1831"/>
      <c r="BWO574" s="1831"/>
      <c r="BWP574" s="1831"/>
      <c r="BWQ574" s="1831"/>
      <c r="BWR574" s="1831"/>
      <c r="BWS574" s="1831"/>
      <c r="BWT574" s="1831"/>
      <c r="BWU574" s="1831"/>
      <c r="BWV574" s="1831"/>
      <c r="BWW574" s="1831"/>
      <c r="BWX574" s="1831"/>
      <c r="BWY574" s="1831"/>
      <c r="BWZ574" s="1831"/>
      <c r="BXA574" s="1831"/>
      <c r="BXB574" s="1831"/>
      <c r="BXC574" s="1831"/>
      <c r="BXD574" s="1831"/>
      <c r="BXE574" s="1831"/>
      <c r="BXF574" s="1831"/>
      <c r="BXG574" s="1831"/>
      <c r="BXH574" s="1831"/>
      <c r="BXI574" s="1831"/>
      <c r="BXJ574" s="1831"/>
      <c r="BXK574" s="1831"/>
      <c r="BXL574" s="1831"/>
      <c r="BXM574" s="1831"/>
      <c r="BXN574" s="1831"/>
      <c r="BXO574" s="1831"/>
      <c r="BXP574" s="1831"/>
      <c r="BXQ574" s="1831"/>
      <c r="BXR574" s="1831"/>
      <c r="BXS574" s="1831"/>
      <c r="BXT574" s="1831"/>
      <c r="BXU574" s="1831"/>
      <c r="BXV574" s="1831"/>
      <c r="BXW574" s="1831"/>
      <c r="BXX574" s="1831"/>
      <c r="BXY574" s="1831"/>
      <c r="BXZ574" s="1831"/>
      <c r="BYA574" s="1831"/>
      <c r="BYB574" s="1831"/>
      <c r="BYC574" s="1831"/>
      <c r="BYD574" s="1831"/>
      <c r="BYE574" s="1831"/>
      <c r="BYF574" s="1831"/>
      <c r="BYG574" s="1831"/>
      <c r="BYH574" s="1831"/>
      <c r="BYI574" s="1831"/>
      <c r="BYJ574" s="1831"/>
      <c r="BYK574" s="1831"/>
      <c r="BYL574" s="1831"/>
      <c r="BYM574" s="1831"/>
      <c r="BYN574" s="1831"/>
      <c r="BYO574" s="1831"/>
      <c r="BYP574" s="1831"/>
      <c r="BYQ574" s="1831"/>
      <c r="BYR574" s="1831"/>
      <c r="BYS574" s="1831"/>
      <c r="BYT574" s="1831"/>
      <c r="BYU574" s="1831"/>
      <c r="BYV574" s="1831"/>
      <c r="BYW574" s="1831"/>
      <c r="BYX574" s="1831"/>
      <c r="BYY574" s="1831"/>
      <c r="BYZ574" s="1831"/>
      <c r="BZA574" s="1831"/>
      <c r="BZB574" s="1831"/>
      <c r="BZC574" s="1831"/>
      <c r="BZD574" s="1831"/>
      <c r="BZE574" s="1831"/>
      <c r="BZF574" s="1831"/>
      <c r="BZG574" s="1831"/>
      <c r="BZH574" s="1831"/>
      <c r="BZI574" s="1831"/>
      <c r="BZJ574" s="1831"/>
      <c r="BZK574" s="1831"/>
      <c r="BZL574" s="1831"/>
      <c r="BZM574" s="1831"/>
      <c r="BZN574" s="1831"/>
      <c r="BZO574" s="1831"/>
      <c r="BZP574" s="1831"/>
      <c r="BZQ574" s="1831"/>
      <c r="BZR574" s="1831"/>
      <c r="BZS574" s="1831"/>
      <c r="BZT574" s="1831"/>
      <c r="BZU574" s="1831"/>
      <c r="BZV574" s="1831"/>
      <c r="BZW574" s="1831"/>
      <c r="BZX574" s="1831"/>
      <c r="BZY574" s="1831"/>
      <c r="BZZ574" s="1831"/>
      <c r="CAA574" s="1831"/>
      <c r="CAB574" s="1831"/>
      <c r="CAC574" s="1831"/>
      <c r="CAD574" s="1831"/>
      <c r="CAE574" s="1831"/>
      <c r="CAF574" s="1831"/>
      <c r="CAG574" s="1831"/>
      <c r="CAH574" s="1831"/>
      <c r="CAI574" s="1831"/>
      <c r="CAJ574" s="1831"/>
      <c r="CAK574" s="1831"/>
      <c r="CAL574" s="1831"/>
      <c r="CAM574" s="1831"/>
      <c r="CAN574" s="1831"/>
      <c r="CAO574" s="1831"/>
      <c r="CAP574" s="1831"/>
      <c r="CAQ574" s="1831"/>
      <c r="CAR574" s="1831"/>
      <c r="CAS574" s="1831"/>
      <c r="CAT574" s="1831"/>
      <c r="CAU574" s="1831"/>
      <c r="CAV574" s="1831"/>
      <c r="CAW574" s="1831"/>
      <c r="CAX574" s="1831"/>
      <c r="CAY574" s="1831"/>
      <c r="CAZ574" s="1831"/>
      <c r="CBA574" s="1831"/>
      <c r="CBB574" s="1831"/>
      <c r="CBC574" s="1831"/>
      <c r="CBD574" s="1831"/>
      <c r="CBE574" s="1831"/>
      <c r="CBF574" s="1831"/>
      <c r="CBG574" s="1831"/>
      <c r="CBH574" s="1831"/>
      <c r="CBI574" s="1831"/>
      <c r="CBJ574" s="1831"/>
      <c r="CBK574" s="1831"/>
      <c r="CBL574" s="1831"/>
      <c r="CBM574" s="1831"/>
      <c r="CBN574" s="1831"/>
      <c r="CBO574" s="1831"/>
      <c r="CBP574" s="1831"/>
      <c r="CBQ574" s="1831"/>
      <c r="CBR574" s="1831"/>
      <c r="CBS574" s="1831"/>
      <c r="CBT574" s="1831"/>
      <c r="CBU574" s="1831"/>
      <c r="CBV574" s="1831"/>
      <c r="CBW574" s="1831"/>
      <c r="CBX574" s="1831"/>
      <c r="CBY574" s="1831"/>
      <c r="CBZ574" s="1831"/>
      <c r="CCA574" s="1831"/>
      <c r="CCB574" s="1831"/>
      <c r="CCC574" s="1831"/>
      <c r="CCD574" s="1831"/>
      <c r="CCE574" s="1831"/>
      <c r="CCF574" s="1831"/>
      <c r="CCG574" s="1831"/>
      <c r="CCH574" s="1831"/>
      <c r="CCI574" s="1831"/>
      <c r="CCJ574" s="1831"/>
      <c r="CCK574" s="1831"/>
      <c r="CCL574" s="1831"/>
      <c r="CCM574" s="1831"/>
      <c r="CCN574" s="1831"/>
      <c r="CCO574" s="1831"/>
      <c r="CCP574" s="1831"/>
      <c r="CCQ574" s="1831"/>
      <c r="CCR574" s="1831"/>
      <c r="CCS574" s="1831"/>
      <c r="CCT574" s="1831"/>
      <c r="CCU574" s="1831"/>
      <c r="CCV574" s="1831"/>
      <c r="CCW574" s="1831"/>
      <c r="CCX574" s="1831"/>
      <c r="CCY574" s="1831"/>
      <c r="CCZ574" s="1831"/>
      <c r="CDA574" s="1831"/>
      <c r="CDB574" s="1831"/>
      <c r="CDC574" s="1831"/>
      <c r="CDD574" s="1831"/>
      <c r="CDE574" s="1831"/>
      <c r="CDF574" s="1831"/>
      <c r="CDG574" s="1831"/>
      <c r="CDH574" s="1831"/>
      <c r="CDI574" s="1831"/>
      <c r="CDJ574" s="1831"/>
      <c r="CDK574" s="1831"/>
      <c r="CDL574" s="1831"/>
      <c r="CDM574" s="1831"/>
      <c r="CDN574" s="1831"/>
      <c r="CDO574" s="1831"/>
      <c r="CDP574" s="1831"/>
      <c r="CDQ574" s="1831"/>
      <c r="CDR574" s="1831"/>
      <c r="CDS574" s="1831"/>
      <c r="CDT574" s="1831"/>
      <c r="CDU574" s="1831"/>
      <c r="CDV574" s="1831"/>
      <c r="CDW574" s="1831"/>
      <c r="CDX574" s="1831"/>
      <c r="CDY574" s="1831"/>
      <c r="CDZ574" s="1831"/>
      <c r="CEA574" s="1831"/>
      <c r="CEB574" s="1831"/>
      <c r="CEC574" s="1831"/>
      <c r="CED574" s="1831"/>
      <c r="CEE574" s="1831"/>
      <c r="CEF574" s="1831"/>
      <c r="CEG574" s="1831"/>
      <c r="CEH574" s="1831"/>
      <c r="CEI574" s="1831"/>
      <c r="CEJ574" s="1831"/>
      <c r="CEK574" s="1831"/>
      <c r="CEL574" s="1831"/>
      <c r="CEM574" s="1831"/>
      <c r="CEN574" s="1831"/>
      <c r="CEO574" s="1831"/>
      <c r="CEP574" s="1831"/>
      <c r="CEQ574" s="1831"/>
      <c r="CER574" s="1831"/>
      <c r="CES574" s="1831"/>
      <c r="CET574" s="1831"/>
      <c r="CEU574" s="1831"/>
      <c r="CEV574" s="1831"/>
      <c r="CEW574" s="1831"/>
      <c r="CEX574" s="1831"/>
      <c r="CEY574" s="1831"/>
      <c r="CEZ574" s="1831"/>
      <c r="CFA574" s="1831"/>
      <c r="CFB574" s="1831"/>
      <c r="CFC574" s="1831"/>
      <c r="CFD574" s="1831"/>
      <c r="CFE574" s="1831"/>
      <c r="CFF574" s="1831"/>
      <c r="CFG574" s="1831"/>
      <c r="CFH574" s="1831"/>
      <c r="CFI574" s="1831"/>
      <c r="CFJ574" s="1831"/>
      <c r="CFK574" s="1831"/>
      <c r="CFL574" s="1831"/>
      <c r="CFM574" s="1831"/>
      <c r="CFN574" s="1831"/>
      <c r="CFO574" s="1831"/>
      <c r="CFP574" s="1831"/>
      <c r="CFQ574" s="1831"/>
      <c r="CFR574" s="1831"/>
      <c r="CFS574" s="1831"/>
      <c r="CFT574" s="1831"/>
      <c r="CFU574" s="1831"/>
      <c r="CFV574" s="1831"/>
      <c r="CFW574" s="1831"/>
      <c r="CFX574" s="1831"/>
      <c r="CFY574" s="1831"/>
      <c r="CFZ574" s="1831"/>
      <c r="CGA574" s="1831"/>
      <c r="CGB574" s="1831"/>
      <c r="CGC574" s="1831"/>
      <c r="CGD574" s="1831"/>
      <c r="CGE574" s="1831"/>
      <c r="CGF574" s="1831"/>
      <c r="CGG574" s="1831"/>
      <c r="CGH574" s="1831"/>
      <c r="CGI574" s="1831"/>
      <c r="CGJ574" s="1831"/>
      <c r="CGK574" s="1831"/>
      <c r="CGL574" s="1831"/>
      <c r="CGM574" s="1831"/>
      <c r="CGN574" s="1831"/>
      <c r="CGO574" s="1831"/>
      <c r="CGP574" s="1831"/>
      <c r="CGQ574" s="1831"/>
      <c r="CGR574" s="1831"/>
      <c r="CGS574" s="1831"/>
      <c r="CGT574" s="1831"/>
      <c r="CGU574" s="1831"/>
      <c r="CGV574" s="1831"/>
      <c r="CGW574" s="1831"/>
      <c r="CGX574" s="1831"/>
      <c r="CGY574" s="1831"/>
      <c r="CGZ574" s="1831"/>
      <c r="CHA574" s="1831"/>
      <c r="CHB574" s="1831"/>
      <c r="CHC574" s="1831"/>
      <c r="CHD574" s="1831"/>
      <c r="CHE574" s="1831"/>
      <c r="CHF574" s="1831"/>
      <c r="CHG574" s="1831"/>
      <c r="CHH574" s="1831"/>
      <c r="CHI574" s="1831"/>
      <c r="CHJ574" s="1831"/>
      <c r="CHK574" s="1831"/>
      <c r="CHL574" s="1831"/>
      <c r="CHM574" s="1831"/>
      <c r="CHN574" s="1831"/>
      <c r="CHO574" s="1831"/>
      <c r="CHP574" s="1831"/>
      <c r="CHQ574" s="1831"/>
      <c r="CHR574" s="1831"/>
      <c r="CHS574" s="1831"/>
      <c r="CHT574" s="1831"/>
      <c r="CHU574" s="1831"/>
      <c r="CHV574" s="1831"/>
      <c r="CHW574" s="1831"/>
      <c r="CHX574" s="1831"/>
      <c r="CHY574" s="1831"/>
      <c r="CHZ574" s="1831"/>
      <c r="CIA574" s="1831"/>
      <c r="CIB574" s="1831"/>
      <c r="CIC574" s="1831"/>
      <c r="CID574" s="1831"/>
      <c r="CIE574" s="1831"/>
      <c r="CIF574" s="1831"/>
      <c r="CIG574" s="1831"/>
      <c r="CIH574" s="1831"/>
      <c r="CII574" s="1831"/>
      <c r="CIJ574" s="1831"/>
      <c r="CIK574" s="1831"/>
      <c r="CIL574" s="1831"/>
      <c r="CIM574" s="1831"/>
      <c r="CIN574" s="1831"/>
      <c r="CIO574" s="1831"/>
      <c r="CIP574" s="1831"/>
      <c r="CIQ574" s="1831"/>
      <c r="CIR574" s="1831"/>
      <c r="CIS574" s="1831"/>
      <c r="CIT574" s="1831"/>
      <c r="CIU574" s="1831"/>
      <c r="CIV574" s="1831"/>
      <c r="CIW574" s="1831"/>
      <c r="CIX574" s="1831"/>
      <c r="CIY574" s="1831"/>
      <c r="CIZ574" s="1831"/>
      <c r="CJA574" s="1831"/>
      <c r="CJB574" s="1831"/>
      <c r="CJC574" s="1831"/>
      <c r="CJD574" s="1831"/>
      <c r="CJE574" s="1831"/>
      <c r="CJF574" s="1831"/>
      <c r="CJG574" s="1831"/>
      <c r="CJH574" s="1831"/>
      <c r="CJI574" s="1831"/>
      <c r="CJJ574" s="1831"/>
      <c r="CJK574" s="1831"/>
      <c r="CJL574" s="1831"/>
      <c r="CJM574" s="1831"/>
      <c r="CJN574" s="1831"/>
      <c r="CJO574" s="1831"/>
      <c r="CJP574" s="1831"/>
      <c r="CJQ574" s="1831"/>
      <c r="CJR574" s="1831"/>
      <c r="CJS574" s="1831"/>
      <c r="CJT574" s="1831"/>
      <c r="CJU574" s="1831"/>
      <c r="CJV574" s="1831"/>
      <c r="CJW574" s="1831"/>
      <c r="CJX574" s="1831"/>
      <c r="CJY574" s="1831"/>
      <c r="CJZ574" s="1831"/>
      <c r="CKA574" s="1831"/>
      <c r="CKB574" s="1831"/>
      <c r="CKC574" s="1831"/>
      <c r="CKD574" s="1831"/>
      <c r="CKE574" s="1831"/>
      <c r="CKF574" s="1831"/>
      <c r="CKG574" s="1831"/>
      <c r="CKH574" s="1831"/>
      <c r="CKI574" s="1831"/>
      <c r="CKJ574" s="1831"/>
      <c r="CKK574" s="1831"/>
      <c r="CKL574" s="1831"/>
      <c r="CKM574" s="1831"/>
      <c r="CKN574" s="1831"/>
      <c r="CKO574" s="1831"/>
      <c r="CKP574" s="1831"/>
      <c r="CKQ574" s="1831"/>
      <c r="CKR574" s="1831"/>
      <c r="CKS574" s="1831"/>
      <c r="CKT574" s="1831"/>
      <c r="CKU574" s="1831"/>
      <c r="CKV574" s="1831"/>
      <c r="CKW574" s="1831"/>
      <c r="CKX574" s="1831"/>
      <c r="CKY574" s="1831"/>
      <c r="CKZ574" s="1831"/>
      <c r="CLA574" s="1831"/>
      <c r="CLB574" s="1831"/>
      <c r="CLC574" s="1831"/>
      <c r="CLD574" s="1831"/>
      <c r="CLE574" s="1831"/>
      <c r="CLF574" s="1831"/>
      <c r="CLG574" s="1831"/>
      <c r="CLH574" s="1831"/>
      <c r="CLI574" s="1831"/>
      <c r="CLJ574" s="1831"/>
      <c r="CLK574" s="1831"/>
      <c r="CLL574" s="1831"/>
      <c r="CLM574" s="1831"/>
      <c r="CLN574" s="1831"/>
      <c r="CLO574" s="1831"/>
      <c r="CLP574" s="1831"/>
      <c r="CLQ574" s="1831"/>
      <c r="CLR574" s="1831"/>
      <c r="CLS574" s="1831"/>
      <c r="CLT574" s="1831"/>
      <c r="CLU574" s="1831"/>
      <c r="CLV574" s="1831"/>
      <c r="CLW574" s="1831"/>
      <c r="CLX574" s="1831"/>
      <c r="CLY574" s="1831"/>
      <c r="CLZ574" s="1831"/>
      <c r="CMA574" s="1831"/>
      <c r="CMB574" s="1831"/>
      <c r="CMC574" s="1831"/>
      <c r="CMD574" s="1831"/>
      <c r="CME574" s="1831"/>
      <c r="CMF574" s="1831"/>
      <c r="CMG574" s="1831"/>
      <c r="CMH574" s="1831"/>
      <c r="CMI574" s="1831"/>
      <c r="CMJ574" s="1831"/>
      <c r="CMK574" s="1831"/>
      <c r="CML574" s="1831"/>
      <c r="CMM574" s="1831"/>
      <c r="CMN574" s="1831"/>
      <c r="CMO574" s="1831"/>
      <c r="CMP574" s="1831"/>
      <c r="CMQ574" s="1831"/>
      <c r="CMR574" s="1831"/>
      <c r="CMS574" s="1831"/>
      <c r="CMT574" s="1831"/>
      <c r="CMU574" s="1831"/>
      <c r="CMV574" s="1831"/>
      <c r="CMW574" s="1831"/>
      <c r="CMX574" s="1831"/>
      <c r="CMY574" s="1831"/>
      <c r="CMZ574" s="1831"/>
      <c r="CNA574" s="1831"/>
      <c r="CNB574" s="1831"/>
      <c r="CNC574" s="1831"/>
      <c r="CND574" s="1831"/>
      <c r="CNE574" s="1831"/>
      <c r="CNF574" s="1831"/>
      <c r="CNG574" s="1831"/>
      <c r="CNH574" s="1831"/>
      <c r="CNI574" s="1831"/>
      <c r="CNJ574" s="1831"/>
      <c r="CNK574" s="1831"/>
      <c r="CNL574" s="1831"/>
      <c r="CNM574" s="1831"/>
      <c r="CNN574" s="1831"/>
      <c r="CNO574" s="1831"/>
      <c r="CNP574" s="1831"/>
      <c r="CNQ574" s="1831"/>
      <c r="CNR574" s="1831"/>
      <c r="CNS574" s="1831"/>
      <c r="CNT574" s="1831"/>
      <c r="CNU574" s="1831"/>
      <c r="CNV574" s="1831"/>
      <c r="CNW574" s="1831"/>
      <c r="CNX574" s="1831"/>
      <c r="CNY574" s="1831"/>
      <c r="CNZ574" s="1831"/>
      <c r="COA574" s="1831"/>
      <c r="COB574" s="1831"/>
      <c r="COC574" s="1831"/>
      <c r="COD574" s="1831"/>
      <c r="COE574" s="1831"/>
      <c r="COF574" s="1831"/>
      <c r="COG574" s="1831"/>
      <c r="COH574" s="1831"/>
      <c r="COI574" s="1831"/>
      <c r="COJ574" s="1831"/>
      <c r="COK574" s="1831"/>
      <c r="COL574" s="1831"/>
      <c r="COM574" s="1831"/>
      <c r="CON574" s="1831"/>
      <c r="COO574" s="1831"/>
      <c r="COP574" s="1831"/>
      <c r="COQ574" s="1831"/>
      <c r="COR574" s="1831"/>
      <c r="COS574" s="1831"/>
      <c r="COT574" s="1831"/>
      <c r="COU574" s="1831"/>
      <c r="COV574" s="1831"/>
      <c r="COW574" s="1831"/>
      <c r="COX574" s="1831"/>
      <c r="COY574" s="1831"/>
      <c r="COZ574" s="1831"/>
      <c r="CPA574" s="1831"/>
      <c r="CPB574" s="1831"/>
      <c r="CPC574" s="1831"/>
      <c r="CPD574" s="1831"/>
      <c r="CPE574" s="1831"/>
      <c r="CPF574" s="1831"/>
      <c r="CPG574" s="1831"/>
      <c r="CPH574" s="1831"/>
      <c r="CPI574" s="1831"/>
      <c r="CPJ574" s="1831"/>
      <c r="CPK574" s="1831"/>
      <c r="CPL574" s="1831"/>
      <c r="CPM574" s="1831"/>
      <c r="CPN574" s="1831"/>
      <c r="CPO574" s="1831"/>
      <c r="CPP574" s="1831"/>
      <c r="CPQ574" s="1831"/>
      <c r="CPR574" s="1831"/>
      <c r="CPS574" s="1831"/>
      <c r="CPT574" s="1831"/>
      <c r="CPU574" s="1831"/>
      <c r="CPV574" s="1831"/>
      <c r="CPW574" s="1831"/>
      <c r="CPX574" s="1831"/>
      <c r="CPY574" s="1831"/>
      <c r="CPZ574" s="1831"/>
      <c r="CQA574" s="1831"/>
      <c r="CQB574" s="1831"/>
      <c r="CQC574" s="1831"/>
      <c r="CQD574" s="1831"/>
      <c r="CQE574" s="1831"/>
      <c r="CQF574" s="1831"/>
      <c r="CQG574" s="1831"/>
      <c r="CQH574" s="1831"/>
      <c r="CQI574" s="1831"/>
      <c r="CQJ574" s="1831"/>
      <c r="CQK574" s="1831"/>
      <c r="CQL574" s="1831"/>
      <c r="CQM574" s="1831"/>
      <c r="CQN574" s="1831"/>
      <c r="CQO574" s="1831"/>
      <c r="CQP574" s="1831"/>
      <c r="CQQ574" s="1831"/>
      <c r="CQR574" s="1831"/>
      <c r="CQS574" s="1831"/>
      <c r="CQT574" s="1831"/>
      <c r="CQU574" s="1831"/>
      <c r="CQV574" s="1831"/>
      <c r="CQW574" s="1831"/>
      <c r="CQX574" s="1831"/>
      <c r="CQY574" s="1831"/>
      <c r="CQZ574" s="1831"/>
      <c r="CRA574" s="1831"/>
      <c r="CRB574" s="1831"/>
      <c r="CRC574" s="1831"/>
      <c r="CRD574" s="1831"/>
      <c r="CRE574" s="1831"/>
      <c r="CRF574" s="1831"/>
      <c r="CRG574" s="1831"/>
      <c r="CRH574" s="1831"/>
      <c r="CRI574" s="1831"/>
      <c r="CRJ574" s="1831"/>
      <c r="CRK574" s="1831"/>
      <c r="CRL574" s="1831"/>
      <c r="CRM574" s="1831"/>
      <c r="CRN574" s="1831"/>
      <c r="CRO574" s="1831"/>
      <c r="CRP574" s="1831"/>
      <c r="CRQ574" s="1831"/>
      <c r="CRR574" s="1831"/>
      <c r="CRS574" s="1831"/>
      <c r="CRT574" s="1831"/>
      <c r="CRU574" s="1831"/>
      <c r="CRV574" s="1831"/>
      <c r="CRW574" s="1831"/>
      <c r="CRX574" s="1831"/>
      <c r="CRY574" s="1831"/>
      <c r="CRZ574" s="1831"/>
      <c r="CSA574" s="1831"/>
      <c r="CSB574" s="1831"/>
      <c r="CSC574" s="1831"/>
      <c r="CSD574" s="1831"/>
      <c r="CSE574" s="1831"/>
      <c r="CSF574" s="1831"/>
      <c r="CSG574" s="1831"/>
      <c r="CSH574" s="1831"/>
      <c r="CSI574" s="1831"/>
      <c r="CSJ574" s="1831"/>
      <c r="CSK574" s="1831"/>
      <c r="CSL574" s="1831"/>
      <c r="CSM574" s="1831"/>
      <c r="CSN574" s="1831"/>
      <c r="CSO574" s="1831"/>
      <c r="CSP574" s="1831"/>
      <c r="CSQ574" s="1831"/>
      <c r="CSR574" s="1831"/>
      <c r="CSS574" s="1831"/>
      <c r="CST574" s="1831"/>
      <c r="CSU574" s="1831"/>
      <c r="CSV574" s="1831"/>
      <c r="CSW574" s="1831"/>
      <c r="CSX574" s="1831"/>
      <c r="CSY574" s="1831"/>
      <c r="CSZ574" s="1831"/>
      <c r="CTA574" s="1831"/>
      <c r="CTB574" s="1831"/>
      <c r="CTC574" s="1831"/>
      <c r="CTD574" s="1831"/>
      <c r="CTE574" s="1831"/>
      <c r="CTF574" s="1831"/>
      <c r="CTG574" s="1831"/>
      <c r="CTH574" s="1831"/>
      <c r="CTI574" s="1831"/>
      <c r="CTJ574" s="1831"/>
      <c r="CTK574" s="1831"/>
      <c r="CTL574" s="1831"/>
      <c r="CTM574" s="1831"/>
      <c r="CTN574" s="1831"/>
      <c r="CTO574" s="1831"/>
      <c r="CTP574" s="1831"/>
      <c r="CTQ574" s="1831"/>
      <c r="CTR574" s="1831"/>
      <c r="CTS574" s="1831"/>
      <c r="CTT574" s="1831"/>
      <c r="CTU574" s="1831"/>
      <c r="CTV574" s="1831"/>
      <c r="CTW574" s="1831"/>
      <c r="CTX574" s="1831"/>
      <c r="CTY574" s="1831"/>
      <c r="CTZ574" s="1831"/>
      <c r="CUA574" s="1831"/>
      <c r="CUB574" s="1831"/>
      <c r="CUC574" s="1831"/>
      <c r="CUD574" s="1831"/>
      <c r="CUE574" s="1831"/>
      <c r="CUF574" s="1831"/>
      <c r="CUG574" s="1831"/>
      <c r="CUH574" s="1831"/>
      <c r="CUI574" s="1831"/>
      <c r="CUJ574" s="1831"/>
      <c r="CUK574" s="1831"/>
      <c r="CUL574" s="1831"/>
      <c r="CUM574" s="1831"/>
      <c r="CUN574" s="1831"/>
      <c r="CUO574" s="1831"/>
      <c r="CUP574" s="1831"/>
      <c r="CUQ574" s="1831"/>
      <c r="CUR574" s="1831"/>
      <c r="CUS574" s="1831"/>
      <c r="CUT574" s="1831"/>
      <c r="CUU574" s="1831"/>
      <c r="CUV574" s="1831"/>
      <c r="CUW574" s="1831"/>
      <c r="CUX574" s="1831"/>
      <c r="CUY574" s="1831"/>
      <c r="CUZ574" s="1831"/>
      <c r="CVA574" s="1831"/>
      <c r="CVB574" s="1831"/>
      <c r="CVC574" s="1831"/>
      <c r="CVD574" s="1831"/>
      <c r="CVE574" s="1831"/>
      <c r="CVF574" s="1831"/>
      <c r="CVG574" s="1831"/>
      <c r="CVH574" s="1831"/>
      <c r="CVI574" s="1831"/>
      <c r="CVJ574" s="1831"/>
      <c r="CVK574" s="1831"/>
      <c r="CVL574" s="1831"/>
      <c r="CVM574" s="1831"/>
      <c r="CVN574" s="1831"/>
      <c r="CVO574" s="1831"/>
      <c r="CVP574" s="1831"/>
      <c r="CVQ574" s="1831"/>
      <c r="CVR574" s="1831"/>
      <c r="CVS574" s="1831"/>
      <c r="CVT574" s="1831"/>
      <c r="CVU574" s="1831"/>
      <c r="CVV574" s="1831"/>
      <c r="CVW574" s="1831"/>
      <c r="CVX574" s="1831"/>
      <c r="CVY574" s="1831"/>
      <c r="CVZ574" s="1831"/>
      <c r="CWA574" s="1831"/>
      <c r="CWB574" s="1831"/>
      <c r="CWC574" s="1831"/>
      <c r="CWD574" s="1831"/>
      <c r="CWE574" s="1831"/>
      <c r="CWF574" s="1831"/>
      <c r="CWG574" s="1831"/>
      <c r="CWH574" s="1831"/>
      <c r="CWI574" s="1831"/>
      <c r="CWJ574" s="1831"/>
      <c r="CWK574" s="1831"/>
      <c r="CWL574" s="1831"/>
      <c r="CWM574" s="1831"/>
      <c r="CWN574" s="1831"/>
      <c r="CWO574" s="1831"/>
      <c r="CWP574" s="1831"/>
      <c r="CWQ574" s="1831"/>
      <c r="CWR574" s="1831"/>
      <c r="CWS574" s="1831"/>
      <c r="CWT574" s="1831"/>
      <c r="CWU574" s="1831"/>
      <c r="CWV574" s="1831"/>
      <c r="CWW574" s="1831"/>
      <c r="CWX574" s="1831"/>
      <c r="CWY574" s="1831"/>
      <c r="CWZ574" s="1831"/>
      <c r="CXA574" s="1831"/>
      <c r="CXB574" s="1831"/>
      <c r="CXC574" s="1831"/>
      <c r="CXD574" s="1831"/>
      <c r="CXE574" s="1831"/>
      <c r="CXF574" s="1831"/>
      <c r="CXG574" s="1831"/>
      <c r="CXH574" s="1831"/>
      <c r="CXI574" s="1831"/>
      <c r="CXJ574" s="1831"/>
      <c r="CXK574" s="1831"/>
      <c r="CXL574" s="1831"/>
      <c r="CXM574" s="1831"/>
      <c r="CXN574" s="1831"/>
      <c r="CXO574" s="1831"/>
      <c r="CXP574" s="1831"/>
      <c r="CXQ574" s="1831"/>
      <c r="CXR574" s="1831"/>
      <c r="CXS574" s="1831"/>
      <c r="CXT574" s="1831"/>
      <c r="CXU574" s="1831"/>
      <c r="CXV574" s="1831"/>
      <c r="CXW574" s="1831"/>
      <c r="CXX574" s="1831"/>
      <c r="CXY574" s="1831"/>
      <c r="CXZ574" s="1831"/>
      <c r="CYA574" s="1831"/>
      <c r="CYB574" s="1831"/>
      <c r="CYC574" s="1831"/>
      <c r="CYD574" s="1831"/>
      <c r="CYE574" s="1831"/>
      <c r="CYF574" s="1831"/>
      <c r="CYG574" s="1831"/>
      <c r="CYH574" s="1831"/>
      <c r="CYI574" s="1831"/>
      <c r="CYJ574" s="1831"/>
      <c r="CYK574" s="1831"/>
      <c r="CYL574" s="1831"/>
      <c r="CYM574" s="1831"/>
      <c r="CYN574" s="1831"/>
      <c r="CYO574" s="1831"/>
      <c r="CYP574" s="1831"/>
      <c r="CYQ574" s="1831"/>
      <c r="CYR574" s="1831"/>
      <c r="CYS574" s="1831"/>
      <c r="CYT574" s="1831"/>
      <c r="CYU574" s="1831"/>
      <c r="CYV574" s="1831"/>
      <c r="CYW574" s="1831"/>
      <c r="CYX574" s="1831"/>
      <c r="CYY574" s="1831"/>
      <c r="CYZ574" s="1831"/>
      <c r="CZA574" s="1831"/>
      <c r="CZB574" s="1831"/>
      <c r="CZC574" s="1831"/>
      <c r="CZD574" s="1831"/>
      <c r="CZE574" s="1831"/>
      <c r="CZF574" s="1831"/>
      <c r="CZG574" s="1831"/>
      <c r="CZH574" s="1831"/>
      <c r="CZI574" s="1831"/>
      <c r="CZJ574" s="1831"/>
      <c r="CZK574" s="1831"/>
      <c r="CZL574" s="1831"/>
      <c r="CZM574" s="1831"/>
      <c r="CZN574" s="1831"/>
      <c r="CZO574" s="1831"/>
      <c r="CZP574" s="1831"/>
      <c r="CZQ574" s="1831"/>
      <c r="CZR574" s="1831"/>
      <c r="CZS574" s="1831"/>
      <c r="CZT574" s="1831"/>
      <c r="CZU574" s="1831"/>
      <c r="CZV574" s="1831"/>
      <c r="CZW574" s="1831"/>
      <c r="CZX574" s="1831"/>
      <c r="CZY574" s="1831"/>
      <c r="CZZ574" s="1831"/>
      <c r="DAA574" s="1831"/>
      <c r="DAB574" s="1831"/>
      <c r="DAC574" s="1831"/>
      <c r="DAD574" s="1831"/>
      <c r="DAE574" s="1831"/>
      <c r="DAF574" s="1831"/>
      <c r="DAG574" s="1831"/>
      <c r="DAH574" s="1831"/>
      <c r="DAI574" s="1831"/>
      <c r="DAJ574" s="1831"/>
      <c r="DAK574" s="1831"/>
      <c r="DAL574" s="1831"/>
      <c r="DAM574" s="1831"/>
      <c r="DAN574" s="1831"/>
      <c r="DAO574" s="1831"/>
      <c r="DAP574" s="1831"/>
      <c r="DAQ574" s="1831"/>
      <c r="DAR574" s="1831"/>
      <c r="DAS574" s="1831"/>
      <c r="DAT574" s="1831"/>
      <c r="DAU574" s="1831"/>
      <c r="DAV574" s="1831"/>
      <c r="DAW574" s="1831"/>
      <c r="DAX574" s="1831"/>
      <c r="DAY574" s="1831"/>
      <c r="DAZ574" s="1831"/>
      <c r="DBA574" s="1831"/>
      <c r="DBB574" s="1831"/>
      <c r="DBC574" s="1831"/>
      <c r="DBD574" s="1831"/>
      <c r="DBE574" s="1831"/>
      <c r="DBF574" s="1831"/>
      <c r="DBG574" s="1831"/>
      <c r="DBH574" s="1831"/>
      <c r="DBI574" s="1831"/>
      <c r="DBJ574" s="1831"/>
      <c r="DBK574" s="1831"/>
      <c r="DBL574" s="1831"/>
      <c r="DBM574" s="1831"/>
      <c r="DBN574" s="1831"/>
      <c r="DBO574" s="1831"/>
      <c r="DBP574" s="1831"/>
      <c r="DBQ574" s="1831"/>
      <c r="DBR574" s="1831"/>
      <c r="DBS574" s="1831"/>
      <c r="DBT574" s="1831"/>
      <c r="DBU574" s="1831"/>
      <c r="DBV574" s="1831"/>
      <c r="DBW574" s="1831"/>
      <c r="DBX574" s="1831"/>
      <c r="DBY574" s="1831"/>
      <c r="DBZ574" s="1831"/>
      <c r="DCA574" s="1831"/>
      <c r="DCB574" s="1831"/>
      <c r="DCC574" s="1831"/>
      <c r="DCD574" s="1831"/>
      <c r="DCE574" s="1831"/>
      <c r="DCF574" s="1831"/>
      <c r="DCG574" s="1831"/>
      <c r="DCH574" s="1831"/>
      <c r="DCI574" s="1831"/>
      <c r="DCJ574" s="1831"/>
      <c r="DCK574" s="1831"/>
      <c r="DCL574" s="1831"/>
      <c r="DCM574" s="1831"/>
      <c r="DCN574" s="1831"/>
      <c r="DCO574" s="1831"/>
      <c r="DCP574" s="1831"/>
      <c r="DCQ574" s="1831"/>
      <c r="DCR574" s="1831"/>
      <c r="DCS574" s="1831"/>
      <c r="DCT574" s="1831"/>
      <c r="DCU574" s="1831"/>
      <c r="DCV574" s="1831"/>
      <c r="DCW574" s="1831"/>
      <c r="DCX574" s="1831"/>
      <c r="DCY574" s="1831"/>
      <c r="DCZ574" s="1831"/>
      <c r="DDA574" s="1831"/>
      <c r="DDB574" s="1831"/>
      <c r="DDC574" s="1831"/>
      <c r="DDD574" s="1831"/>
      <c r="DDE574" s="1831"/>
      <c r="DDF574" s="1831"/>
      <c r="DDG574" s="1831"/>
      <c r="DDH574" s="1831"/>
      <c r="DDI574" s="1831"/>
      <c r="DDJ574" s="1831"/>
      <c r="DDK574" s="1831"/>
      <c r="DDL574" s="1831"/>
      <c r="DDM574" s="1831"/>
      <c r="DDN574" s="1831"/>
      <c r="DDO574" s="1831"/>
      <c r="DDP574" s="1831"/>
      <c r="DDQ574" s="1831"/>
      <c r="DDR574" s="1831"/>
      <c r="DDS574" s="1831"/>
      <c r="DDT574" s="1831"/>
      <c r="DDU574" s="1831"/>
      <c r="DDV574" s="1831"/>
      <c r="DDW574" s="1831"/>
      <c r="DDX574" s="1831"/>
      <c r="DDY574" s="1831"/>
      <c r="DDZ574" s="1831"/>
      <c r="DEA574" s="1831"/>
      <c r="DEB574" s="1831"/>
      <c r="DEC574" s="1831"/>
      <c r="DED574" s="1831"/>
      <c r="DEE574" s="1831"/>
      <c r="DEF574" s="1831"/>
      <c r="DEG574" s="1831"/>
      <c r="DEH574" s="1831"/>
      <c r="DEI574" s="1831"/>
      <c r="DEJ574" s="1831"/>
      <c r="DEK574" s="1831"/>
      <c r="DEL574" s="1831"/>
      <c r="DEM574" s="1831"/>
      <c r="DEN574" s="1831"/>
      <c r="DEO574" s="1831"/>
      <c r="DEP574" s="1831"/>
      <c r="DEQ574" s="1831"/>
      <c r="DER574" s="1831"/>
      <c r="DES574" s="1831"/>
      <c r="DET574" s="1831"/>
      <c r="DEU574" s="1831"/>
      <c r="DEV574" s="1831"/>
      <c r="DEW574" s="1831"/>
      <c r="DEX574" s="1831"/>
      <c r="DEY574" s="1831"/>
      <c r="DEZ574" s="1831"/>
      <c r="DFA574" s="1831"/>
      <c r="DFB574" s="1831"/>
      <c r="DFC574" s="1831"/>
      <c r="DFD574" s="1831"/>
      <c r="DFE574" s="1831"/>
      <c r="DFF574" s="1831"/>
      <c r="DFG574" s="1831"/>
      <c r="DFH574" s="1831"/>
      <c r="DFI574" s="1831"/>
      <c r="DFJ574" s="1831"/>
      <c r="DFK574" s="1831"/>
      <c r="DFL574" s="1831"/>
      <c r="DFM574" s="1831"/>
      <c r="DFN574" s="1831"/>
      <c r="DFO574" s="1831"/>
      <c r="DFP574" s="1831"/>
      <c r="DFQ574" s="1831"/>
      <c r="DFR574" s="1831"/>
      <c r="DFS574" s="1831"/>
      <c r="DFT574" s="1831"/>
      <c r="DFU574" s="1831"/>
      <c r="DFV574" s="1831"/>
      <c r="DFW574" s="1831"/>
      <c r="DFX574" s="1831"/>
      <c r="DFY574" s="1831"/>
      <c r="DFZ574" s="1831"/>
      <c r="DGA574" s="1831"/>
      <c r="DGB574" s="1831"/>
      <c r="DGC574" s="1831"/>
      <c r="DGD574" s="1831"/>
      <c r="DGE574" s="1831"/>
      <c r="DGF574" s="1831"/>
      <c r="DGG574" s="1831"/>
      <c r="DGH574" s="1831"/>
      <c r="DGI574" s="1831"/>
      <c r="DGJ574" s="1831"/>
      <c r="DGK574" s="1831"/>
      <c r="DGL574" s="1831"/>
      <c r="DGM574" s="1831"/>
      <c r="DGN574" s="1831"/>
      <c r="DGO574" s="1831"/>
      <c r="DGP574" s="1831"/>
      <c r="DGQ574" s="1831"/>
      <c r="DGR574" s="1831"/>
      <c r="DGS574" s="1831"/>
      <c r="DGT574" s="1831"/>
      <c r="DGU574" s="1831"/>
      <c r="DGV574" s="1831"/>
      <c r="DGW574" s="1831"/>
      <c r="DGX574" s="1831"/>
      <c r="DGY574" s="1831"/>
      <c r="DGZ574" s="1831"/>
      <c r="DHA574" s="1831"/>
      <c r="DHB574" s="1831"/>
      <c r="DHC574" s="1831"/>
      <c r="DHD574" s="1831"/>
      <c r="DHE574" s="1831"/>
      <c r="DHF574" s="1831"/>
      <c r="DHG574" s="1831"/>
      <c r="DHH574" s="1831"/>
      <c r="DHI574" s="1831"/>
      <c r="DHJ574" s="1831"/>
      <c r="DHK574" s="1831"/>
      <c r="DHL574" s="1831"/>
      <c r="DHM574" s="1831"/>
      <c r="DHN574" s="1831"/>
      <c r="DHO574" s="1831"/>
      <c r="DHP574" s="1831"/>
      <c r="DHQ574" s="1831"/>
      <c r="DHR574" s="1831"/>
      <c r="DHS574" s="1831"/>
      <c r="DHT574" s="1831"/>
      <c r="DHU574" s="1831"/>
      <c r="DHV574" s="1831"/>
      <c r="DHW574" s="1831"/>
      <c r="DHX574" s="1831"/>
      <c r="DHY574" s="1831"/>
      <c r="DHZ574" s="1831"/>
      <c r="DIA574" s="1831"/>
      <c r="DIB574" s="1831"/>
      <c r="DIC574" s="1831"/>
      <c r="DID574" s="1831"/>
      <c r="DIE574" s="1831"/>
      <c r="DIF574" s="1831"/>
      <c r="DIG574" s="1831"/>
      <c r="DIH574" s="1831"/>
      <c r="DII574" s="1831"/>
      <c r="DIJ574" s="1831"/>
      <c r="DIK574" s="1831"/>
      <c r="DIL574" s="1831"/>
      <c r="DIM574" s="1831"/>
      <c r="DIN574" s="1831"/>
      <c r="DIO574" s="1831"/>
      <c r="DIP574" s="1831"/>
      <c r="DIQ574" s="1831"/>
      <c r="DIR574" s="1831"/>
      <c r="DIS574" s="1831"/>
      <c r="DIT574" s="1831"/>
      <c r="DIU574" s="1831"/>
      <c r="DIV574" s="1831"/>
      <c r="DIW574" s="1831"/>
      <c r="DIX574" s="1831"/>
      <c r="DIY574" s="1831"/>
      <c r="DIZ574" s="1831"/>
      <c r="DJA574" s="1831"/>
      <c r="DJB574" s="1831"/>
      <c r="DJC574" s="1831"/>
      <c r="DJD574" s="1831"/>
      <c r="DJE574" s="1831"/>
      <c r="DJF574" s="1831"/>
      <c r="DJG574" s="1831"/>
      <c r="DJH574" s="1831"/>
      <c r="DJI574" s="1831"/>
      <c r="DJJ574" s="1831"/>
      <c r="DJK574" s="1831"/>
      <c r="DJL574" s="1831"/>
      <c r="DJM574" s="1831"/>
      <c r="DJN574" s="1831"/>
      <c r="DJO574" s="1831"/>
      <c r="DJP574" s="1831"/>
      <c r="DJQ574" s="1831"/>
      <c r="DJR574" s="1831"/>
      <c r="DJS574" s="1831"/>
      <c r="DJT574" s="1831"/>
      <c r="DJU574" s="1831"/>
      <c r="DJV574" s="1831"/>
      <c r="DJW574" s="1831"/>
      <c r="DJX574" s="1831"/>
      <c r="DJY574" s="1831"/>
      <c r="DJZ574" s="1831"/>
      <c r="DKA574" s="1831"/>
      <c r="DKB574" s="1831"/>
      <c r="DKC574" s="1831"/>
      <c r="DKD574" s="1831"/>
      <c r="DKE574" s="1831"/>
      <c r="DKF574" s="1831"/>
      <c r="DKG574" s="1831"/>
      <c r="DKH574" s="1831"/>
      <c r="DKI574" s="1831"/>
      <c r="DKJ574" s="1831"/>
      <c r="DKK574" s="1831"/>
      <c r="DKL574" s="1831"/>
      <c r="DKM574" s="1831"/>
      <c r="DKN574" s="1831"/>
      <c r="DKO574" s="1831"/>
      <c r="DKP574" s="1831"/>
      <c r="DKQ574" s="1831"/>
      <c r="DKR574" s="1831"/>
      <c r="DKS574" s="1831"/>
      <c r="DKT574" s="1831"/>
      <c r="DKU574" s="1831"/>
      <c r="DKV574" s="1831"/>
      <c r="DKW574" s="1831"/>
      <c r="DKX574" s="1831"/>
      <c r="DKY574" s="1831"/>
      <c r="DKZ574" s="1831"/>
      <c r="DLA574" s="1831"/>
      <c r="DLB574" s="1831"/>
      <c r="DLC574" s="1831"/>
      <c r="DLD574" s="1831"/>
      <c r="DLE574" s="1831"/>
      <c r="DLF574" s="1831"/>
      <c r="DLG574" s="1831"/>
      <c r="DLH574" s="1831"/>
      <c r="DLI574" s="1831"/>
      <c r="DLJ574" s="1831"/>
      <c r="DLK574" s="1831"/>
      <c r="DLL574" s="1831"/>
      <c r="DLM574" s="1831"/>
      <c r="DLN574" s="1831"/>
      <c r="DLO574" s="1831"/>
      <c r="DLP574" s="1831"/>
      <c r="DLQ574" s="1831"/>
      <c r="DLR574" s="1831"/>
      <c r="DLS574" s="1831"/>
      <c r="DLT574" s="1831"/>
      <c r="DLU574" s="1831"/>
      <c r="DLV574" s="1831"/>
      <c r="DLW574" s="1831"/>
      <c r="DLX574" s="1831"/>
      <c r="DLY574" s="1831"/>
      <c r="DLZ574" s="1831"/>
      <c r="DMA574" s="1831"/>
      <c r="DMB574" s="1831"/>
      <c r="DMC574" s="1831"/>
      <c r="DMD574" s="1831"/>
      <c r="DME574" s="1831"/>
      <c r="DMF574" s="1831"/>
      <c r="DMG574" s="1831"/>
      <c r="DMH574" s="1831"/>
      <c r="DMI574" s="1831"/>
      <c r="DMJ574" s="1831"/>
      <c r="DMK574" s="1831"/>
      <c r="DML574" s="1831"/>
      <c r="DMM574" s="1831"/>
      <c r="DMN574" s="1831"/>
      <c r="DMO574" s="1831"/>
      <c r="DMP574" s="1831"/>
      <c r="DMQ574" s="1831"/>
      <c r="DMR574" s="1831"/>
      <c r="DMS574" s="1831"/>
      <c r="DMT574" s="1831"/>
      <c r="DMU574" s="1831"/>
      <c r="DMV574" s="1831"/>
      <c r="DMW574" s="1831"/>
      <c r="DMX574" s="1831"/>
      <c r="DMY574" s="1831"/>
      <c r="DMZ574" s="1831"/>
      <c r="DNA574" s="1831"/>
      <c r="DNB574" s="1831"/>
      <c r="DNC574" s="1831"/>
      <c r="DND574" s="1831"/>
      <c r="DNE574" s="1831"/>
      <c r="DNF574" s="1831"/>
      <c r="DNG574" s="1831"/>
      <c r="DNH574" s="1831"/>
      <c r="DNI574" s="1831"/>
      <c r="DNJ574" s="1831"/>
      <c r="DNK574" s="1831"/>
      <c r="DNL574" s="1831"/>
      <c r="DNM574" s="1831"/>
      <c r="DNN574" s="1831"/>
      <c r="DNO574" s="1831"/>
      <c r="DNP574" s="1831"/>
      <c r="DNQ574" s="1831"/>
      <c r="DNR574" s="1831"/>
      <c r="DNS574" s="1831"/>
      <c r="DNT574" s="1831"/>
      <c r="DNU574" s="1831"/>
      <c r="DNV574" s="1831"/>
      <c r="DNW574" s="1831"/>
      <c r="DNX574" s="1831"/>
      <c r="DNY574" s="1831"/>
      <c r="DNZ574" s="1831"/>
      <c r="DOA574" s="1831"/>
      <c r="DOB574" s="1831"/>
      <c r="DOC574" s="1831"/>
      <c r="DOD574" s="1831"/>
      <c r="DOE574" s="1831"/>
      <c r="DOF574" s="1831"/>
      <c r="DOG574" s="1831"/>
      <c r="DOH574" s="1831"/>
      <c r="DOI574" s="1831"/>
      <c r="DOJ574" s="1831"/>
      <c r="DOK574" s="1831"/>
      <c r="DOL574" s="1831"/>
      <c r="DOM574" s="1831"/>
      <c r="DON574" s="1831"/>
      <c r="DOO574" s="1831"/>
      <c r="DOP574" s="1831"/>
      <c r="DOQ574" s="1831"/>
      <c r="DOR574" s="1831"/>
      <c r="DOS574" s="1831"/>
      <c r="DOT574" s="1831"/>
      <c r="DOU574" s="1831"/>
      <c r="DOV574" s="1831"/>
      <c r="DOW574" s="1831"/>
      <c r="DOX574" s="1831"/>
      <c r="DOY574" s="1831"/>
      <c r="DOZ574" s="1831"/>
      <c r="DPA574" s="1831"/>
      <c r="DPB574" s="1831"/>
      <c r="DPC574" s="1831"/>
      <c r="DPD574" s="1831"/>
      <c r="DPE574" s="1831"/>
      <c r="DPF574" s="1831"/>
      <c r="DPG574" s="1831"/>
      <c r="DPH574" s="1831"/>
      <c r="DPI574" s="1831"/>
      <c r="DPJ574" s="1831"/>
      <c r="DPK574" s="1831"/>
      <c r="DPL574" s="1831"/>
      <c r="DPM574" s="1831"/>
      <c r="DPN574" s="1831"/>
      <c r="DPO574" s="1831"/>
      <c r="DPP574" s="1831"/>
      <c r="DPQ574" s="1831"/>
      <c r="DPR574" s="1831"/>
      <c r="DPS574" s="1831"/>
      <c r="DPT574" s="1831"/>
      <c r="DPU574" s="1831"/>
      <c r="DPV574" s="1831"/>
      <c r="DPW574" s="1831"/>
      <c r="DPX574" s="1831"/>
      <c r="DPY574" s="1831"/>
      <c r="DPZ574" s="1831"/>
      <c r="DQA574" s="1831"/>
      <c r="DQB574" s="1831"/>
      <c r="DQC574" s="1831"/>
      <c r="DQD574" s="1831"/>
      <c r="DQE574" s="1831"/>
      <c r="DQF574" s="1831"/>
      <c r="DQG574" s="1831"/>
      <c r="DQH574" s="1831"/>
      <c r="DQI574" s="1831"/>
      <c r="DQJ574" s="1831"/>
      <c r="DQK574" s="1831"/>
      <c r="DQL574" s="1831"/>
      <c r="DQM574" s="1831"/>
      <c r="DQN574" s="1831"/>
      <c r="DQO574" s="1831"/>
      <c r="DQP574" s="1831"/>
      <c r="DQQ574" s="1831"/>
      <c r="DQR574" s="1831"/>
      <c r="DQS574" s="1831"/>
      <c r="DQT574" s="1831"/>
      <c r="DQU574" s="1831"/>
      <c r="DQV574" s="1831"/>
      <c r="DQW574" s="1831"/>
      <c r="DQX574" s="1831"/>
      <c r="DQY574" s="1831"/>
      <c r="DQZ574" s="1831"/>
      <c r="DRA574" s="1831"/>
      <c r="DRB574" s="1831"/>
      <c r="DRC574" s="1831"/>
      <c r="DRD574" s="1831"/>
      <c r="DRE574" s="1831"/>
      <c r="DRF574" s="1831"/>
      <c r="DRG574" s="1831"/>
      <c r="DRH574" s="1831"/>
      <c r="DRI574" s="1831"/>
      <c r="DRJ574" s="1831"/>
      <c r="DRK574" s="1831"/>
      <c r="DRL574" s="1831"/>
      <c r="DRM574" s="1831"/>
      <c r="DRN574" s="1831"/>
      <c r="DRO574" s="1831"/>
      <c r="DRP574" s="1831"/>
      <c r="DRQ574" s="1831"/>
      <c r="DRR574" s="1831"/>
      <c r="DRS574" s="1831"/>
      <c r="DRT574" s="1831"/>
      <c r="DRU574" s="1831"/>
      <c r="DRV574" s="1831"/>
      <c r="DRW574" s="1831"/>
      <c r="DRX574" s="1831"/>
      <c r="DRY574" s="1831"/>
      <c r="DRZ574" s="1831"/>
      <c r="DSA574" s="1831"/>
      <c r="DSB574" s="1831"/>
      <c r="DSC574" s="1831"/>
      <c r="DSD574" s="1831"/>
      <c r="DSE574" s="1831"/>
      <c r="DSF574" s="1831"/>
      <c r="DSG574" s="1831"/>
      <c r="DSH574" s="1831"/>
      <c r="DSI574" s="1831"/>
      <c r="DSJ574" s="1831"/>
      <c r="DSK574" s="1831"/>
      <c r="DSL574" s="1831"/>
      <c r="DSM574" s="1831"/>
      <c r="DSN574" s="1831"/>
      <c r="DSO574" s="1831"/>
      <c r="DSP574" s="1831"/>
      <c r="DSQ574" s="1831"/>
      <c r="DSR574" s="1831"/>
      <c r="DSS574" s="1831"/>
      <c r="DST574" s="1831"/>
      <c r="DSU574" s="1831"/>
      <c r="DSV574" s="1831"/>
      <c r="DSW574" s="1831"/>
      <c r="DSX574" s="1831"/>
      <c r="DSY574" s="1831"/>
      <c r="DSZ574" s="1831"/>
      <c r="DTA574" s="1831"/>
      <c r="DTB574" s="1831"/>
      <c r="DTC574" s="1831"/>
      <c r="DTD574" s="1831"/>
      <c r="DTE574" s="1831"/>
      <c r="DTF574" s="1831"/>
      <c r="DTG574" s="1831"/>
      <c r="DTH574" s="1831"/>
      <c r="DTI574" s="1831"/>
      <c r="DTJ574" s="1831"/>
      <c r="DTK574" s="1831"/>
      <c r="DTL574" s="1831"/>
      <c r="DTM574" s="1831"/>
      <c r="DTN574" s="1831"/>
      <c r="DTO574" s="1831"/>
      <c r="DTP574" s="1831"/>
      <c r="DTQ574" s="1831"/>
      <c r="DTR574" s="1831"/>
      <c r="DTS574" s="1831"/>
      <c r="DTT574" s="1831"/>
      <c r="DTU574" s="1831"/>
      <c r="DTV574" s="1831"/>
      <c r="DTW574" s="1831"/>
      <c r="DTX574" s="1831"/>
      <c r="DTY574" s="1831"/>
      <c r="DTZ574" s="1831"/>
      <c r="DUA574" s="1831"/>
      <c r="DUB574" s="1831"/>
      <c r="DUC574" s="1831"/>
      <c r="DUD574" s="1831"/>
      <c r="DUE574" s="1831"/>
      <c r="DUF574" s="1831"/>
      <c r="DUG574" s="1831"/>
      <c r="DUH574" s="1831"/>
      <c r="DUI574" s="1831"/>
      <c r="DUJ574" s="1831"/>
      <c r="DUK574" s="1831"/>
      <c r="DUL574" s="1831"/>
      <c r="DUM574" s="1831"/>
      <c r="DUN574" s="1831"/>
      <c r="DUO574" s="1831"/>
      <c r="DUP574" s="1831"/>
      <c r="DUQ574" s="1831"/>
      <c r="DUR574" s="1831"/>
      <c r="DUS574" s="1831"/>
      <c r="DUT574" s="1831"/>
      <c r="DUU574" s="1831"/>
      <c r="DUV574" s="1831"/>
      <c r="DUW574" s="1831"/>
      <c r="DUX574" s="1831"/>
      <c r="DUY574" s="1831"/>
      <c r="DUZ574" s="1831"/>
      <c r="DVA574" s="1831"/>
      <c r="DVB574" s="1831"/>
      <c r="DVC574" s="1831"/>
      <c r="DVD574" s="1831"/>
      <c r="DVE574" s="1831"/>
      <c r="DVF574" s="1831"/>
      <c r="DVG574" s="1831"/>
      <c r="DVH574" s="1831"/>
      <c r="DVI574" s="1831"/>
      <c r="DVJ574" s="1831"/>
      <c r="DVK574" s="1831"/>
      <c r="DVL574" s="1831"/>
      <c r="DVM574" s="1831"/>
      <c r="DVN574" s="1831"/>
      <c r="DVO574" s="1831"/>
      <c r="DVP574" s="1831"/>
      <c r="DVQ574" s="1831"/>
      <c r="DVR574" s="1831"/>
      <c r="DVS574" s="1831"/>
      <c r="DVT574" s="1831"/>
      <c r="DVU574" s="1831"/>
      <c r="DVV574" s="1831"/>
      <c r="DVW574" s="1831"/>
      <c r="DVX574" s="1831"/>
      <c r="DVY574" s="1831"/>
      <c r="DVZ574" s="1831"/>
      <c r="DWA574" s="1831"/>
      <c r="DWB574" s="1831"/>
      <c r="DWC574" s="1831"/>
      <c r="DWD574" s="1831"/>
      <c r="DWE574" s="1831"/>
      <c r="DWF574" s="1831"/>
      <c r="DWG574" s="1831"/>
      <c r="DWH574" s="1831"/>
      <c r="DWI574" s="1831"/>
      <c r="DWJ574" s="1831"/>
      <c r="DWK574" s="1831"/>
      <c r="DWL574" s="1831"/>
      <c r="DWM574" s="1831"/>
      <c r="DWN574" s="1831"/>
      <c r="DWO574" s="1831"/>
      <c r="DWP574" s="1831"/>
      <c r="DWQ574" s="1831"/>
      <c r="DWR574" s="1831"/>
      <c r="DWS574" s="1831"/>
      <c r="DWT574" s="1831"/>
      <c r="DWU574" s="1831"/>
      <c r="DWV574" s="1831"/>
      <c r="DWW574" s="1831"/>
      <c r="DWX574" s="1831"/>
      <c r="DWY574" s="1831"/>
      <c r="DWZ574" s="1831"/>
      <c r="DXA574" s="1831"/>
      <c r="DXB574" s="1831"/>
      <c r="DXC574" s="1831"/>
      <c r="DXD574" s="1831"/>
      <c r="DXE574" s="1831"/>
      <c r="DXF574" s="1831"/>
      <c r="DXG574" s="1831"/>
      <c r="DXH574" s="1831"/>
      <c r="DXI574" s="1831"/>
      <c r="DXJ574" s="1831"/>
      <c r="DXK574" s="1831"/>
      <c r="DXL574" s="1831"/>
      <c r="DXM574" s="1831"/>
      <c r="DXN574" s="1831"/>
      <c r="DXO574" s="1831"/>
      <c r="DXP574" s="1831"/>
      <c r="DXQ574" s="1831"/>
      <c r="DXR574" s="1831"/>
      <c r="DXS574" s="1831"/>
      <c r="DXT574" s="1831"/>
      <c r="DXU574" s="1831"/>
      <c r="DXV574" s="1831"/>
      <c r="DXW574" s="1831"/>
      <c r="DXX574" s="1831"/>
      <c r="DXY574" s="1831"/>
      <c r="DXZ574" s="1831"/>
      <c r="DYA574" s="1831"/>
      <c r="DYB574" s="1831"/>
      <c r="DYC574" s="1831"/>
      <c r="DYD574" s="1831"/>
      <c r="DYE574" s="1831"/>
      <c r="DYF574" s="1831"/>
      <c r="DYG574" s="1831"/>
      <c r="DYH574" s="1831"/>
      <c r="DYI574" s="1831"/>
      <c r="DYJ574" s="1831"/>
      <c r="DYK574" s="1831"/>
      <c r="DYL574" s="1831"/>
      <c r="DYM574" s="1831"/>
      <c r="DYN574" s="1831"/>
      <c r="DYO574" s="1831"/>
      <c r="DYP574" s="1831"/>
      <c r="DYQ574" s="1831"/>
      <c r="DYR574" s="1831"/>
      <c r="DYS574" s="1831"/>
      <c r="DYT574" s="1831"/>
      <c r="DYU574" s="1831"/>
      <c r="DYV574" s="1831"/>
      <c r="DYW574" s="1831"/>
      <c r="DYX574" s="1831"/>
      <c r="DYY574" s="1831"/>
      <c r="DYZ574" s="1831"/>
      <c r="DZA574" s="1831"/>
      <c r="DZB574" s="1831"/>
      <c r="DZC574" s="1831"/>
      <c r="DZD574" s="1831"/>
      <c r="DZE574" s="1831"/>
      <c r="DZF574" s="1831"/>
      <c r="DZG574" s="1831"/>
      <c r="DZH574" s="1831"/>
      <c r="DZI574" s="1831"/>
      <c r="DZJ574" s="1831"/>
      <c r="DZK574" s="1831"/>
      <c r="DZL574" s="1831"/>
      <c r="DZM574" s="1831"/>
      <c r="DZN574" s="1831"/>
      <c r="DZO574" s="1831"/>
      <c r="DZP574" s="1831"/>
      <c r="DZQ574" s="1831"/>
      <c r="DZR574" s="1831"/>
      <c r="DZS574" s="1831"/>
      <c r="DZT574" s="1831"/>
      <c r="DZU574" s="1831"/>
      <c r="DZV574" s="1831"/>
      <c r="DZW574" s="1831"/>
      <c r="DZX574" s="1831"/>
      <c r="DZY574" s="1831"/>
      <c r="DZZ574" s="1831"/>
      <c r="EAA574" s="1831"/>
      <c r="EAB574" s="1831"/>
      <c r="EAC574" s="1831"/>
      <c r="EAD574" s="1831"/>
      <c r="EAE574" s="1831"/>
      <c r="EAF574" s="1831"/>
      <c r="EAG574" s="1831"/>
      <c r="EAH574" s="1831"/>
      <c r="EAI574" s="1831"/>
      <c r="EAJ574" s="1831"/>
      <c r="EAK574" s="1831"/>
      <c r="EAL574" s="1831"/>
      <c r="EAM574" s="1831"/>
      <c r="EAN574" s="1831"/>
      <c r="EAO574" s="1831"/>
      <c r="EAP574" s="1831"/>
      <c r="EAQ574" s="1831"/>
      <c r="EAR574" s="1831"/>
      <c r="EAS574" s="1831"/>
      <c r="EAT574" s="1831"/>
      <c r="EAU574" s="1831"/>
      <c r="EAV574" s="1831"/>
      <c r="EAW574" s="1831"/>
      <c r="EAX574" s="1831"/>
      <c r="EAY574" s="1831"/>
      <c r="EAZ574" s="1831"/>
      <c r="EBA574" s="1831"/>
      <c r="EBB574" s="1831"/>
      <c r="EBC574" s="1831"/>
      <c r="EBD574" s="1831"/>
      <c r="EBE574" s="1831"/>
      <c r="EBF574" s="1831"/>
      <c r="EBG574" s="1831"/>
      <c r="EBH574" s="1831"/>
      <c r="EBI574" s="1831"/>
      <c r="EBJ574" s="1831"/>
      <c r="EBK574" s="1831"/>
      <c r="EBL574" s="1831"/>
      <c r="EBM574" s="1831"/>
      <c r="EBN574" s="1831"/>
      <c r="EBO574" s="1831"/>
      <c r="EBP574" s="1831"/>
      <c r="EBQ574" s="1831"/>
      <c r="EBR574" s="1831"/>
      <c r="EBS574" s="1831"/>
      <c r="EBT574" s="1831"/>
      <c r="EBU574" s="1831"/>
      <c r="EBV574" s="1831"/>
      <c r="EBW574" s="1831"/>
      <c r="EBX574" s="1831"/>
      <c r="EBY574" s="1831"/>
      <c r="EBZ574" s="1831"/>
      <c r="ECA574" s="1831"/>
      <c r="ECB574" s="1831"/>
      <c r="ECC574" s="1831"/>
      <c r="ECD574" s="1831"/>
      <c r="ECE574" s="1831"/>
      <c r="ECF574" s="1831"/>
      <c r="ECG574" s="1831"/>
      <c r="ECH574" s="1831"/>
      <c r="ECI574" s="1831"/>
      <c r="ECJ574" s="1831"/>
      <c r="ECK574" s="1831"/>
      <c r="ECL574" s="1831"/>
      <c r="ECM574" s="1831"/>
      <c r="ECN574" s="1831"/>
      <c r="ECO574" s="1831"/>
      <c r="ECP574" s="1831"/>
      <c r="ECQ574" s="1831"/>
      <c r="ECR574" s="1831"/>
      <c r="ECS574" s="1831"/>
      <c r="ECT574" s="1831"/>
      <c r="ECU574" s="1831"/>
      <c r="ECV574" s="1831"/>
      <c r="ECW574" s="1831"/>
      <c r="ECX574" s="1831"/>
      <c r="ECY574" s="1831"/>
      <c r="ECZ574" s="1831"/>
      <c r="EDA574" s="1831"/>
      <c r="EDB574" s="1831"/>
      <c r="EDC574" s="1831"/>
      <c r="EDD574" s="1831"/>
      <c r="EDE574" s="1831"/>
      <c r="EDF574" s="1831"/>
      <c r="EDG574" s="1831"/>
      <c r="EDH574" s="1831"/>
      <c r="EDI574" s="1831"/>
      <c r="EDJ574" s="1831"/>
      <c r="EDK574" s="1831"/>
      <c r="EDL574" s="1831"/>
      <c r="EDM574" s="1831"/>
      <c r="EDN574" s="1831"/>
      <c r="EDO574" s="1831"/>
      <c r="EDP574" s="1831"/>
      <c r="EDQ574" s="1831"/>
      <c r="EDR574" s="1831"/>
      <c r="EDS574" s="1831"/>
      <c r="EDT574" s="1831"/>
      <c r="EDU574" s="1831"/>
      <c r="EDV574" s="1831"/>
      <c r="EDW574" s="1831"/>
      <c r="EDX574" s="1831"/>
      <c r="EDY574" s="1831"/>
      <c r="EDZ574" s="1831"/>
      <c r="EEA574" s="1831"/>
      <c r="EEB574" s="1831"/>
      <c r="EEC574" s="1831"/>
      <c r="EED574" s="1831"/>
      <c r="EEE574" s="1831"/>
      <c r="EEF574" s="1831"/>
      <c r="EEG574" s="1831"/>
      <c r="EEH574" s="1831"/>
      <c r="EEI574" s="1831"/>
      <c r="EEJ574" s="1831"/>
      <c r="EEK574" s="1831"/>
      <c r="EEL574" s="1831"/>
      <c r="EEM574" s="1831"/>
      <c r="EEN574" s="1831"/>
      <c r="EEO574" s="1831"/>
      <c r="EEP574" s="1831"/>
      <c r="EEQ574" s="1831"/>
      <c r="EER574" s="1831"/>
      <c r="EES574" s="1831"/>
      <c r="EET574" s="1831"/>
      <c r="EEU574" s="1831"/>
      <c r="EEV574" s="1831"/>
      <c r="EEW574" s="1831"/>
      <c r="EEX574" s="1831"/>
      <c r="EEY574" s="1831"/>
      <c r="EEZ574" s="1831"/>
      <c r="EFA574" s="1831"/>
      <c r="EFB574" s="1831"/>
      <c r="EFC574" s="1831"/>
      <c r="EFD574" s="1831"/>
      <c r="EFE574" s="1831"/>
      <c r="EFF574" s="1831"/>
      <c r="EFG574" s="1831"/>
      <c r="EFH574" s="1831"/>
      <c r="EFI574" s="1831"/>
      <c r="EFJ574" s="1831"/>
      <c r="EFK574" s="1831"/>
      <c r="EFL574" s="1831"/>
      <c r="EFM574" s="1831"/>
      <c r="EFN574" s="1831"/>
      <c r="EFO574" s="1831"/>
      <c r="EFP574" s="1831"/>
      <c r="EFQ574" s="1831"/>
      <c r="EFR574" s="1831"/>
      <c r="EFS574" s="1831"/>
      <c r="EFT574" s="1831"/>
      <c r="EFU574" s="1831"/>
      <c r="EFV574" s="1831"/>
      <c r="EFW574" s="1831"/>
      <c r="EFX574" s="1831"/>
      <c r="EFY574" s="1831"/>
      <c r="EFZ574" s="1831"/>
      <c r="EGA574" s="1831"/>
      <c r="EGB574" s="1831"/>
      <c r="EGC574" s="1831"/>
      <c r="EGD574" s="1831"/>
      <c r="EGE574" s="1831"/>
      <c r="EGF574" s="1831"/>
      <c r="EGG574" s="1831"/>
      <c r="EGH574" s="1831"/>
      <c r="EGI574" s="1831"/>
      <c r="EGJ574" s="1831"/>
      <c r="EGK574" s="1831"/>
      <c r="EGL574" s="1831"/>
      <c r="EGM574" s="1831"/>
      <c r="EGN574" s="1831"/>
      <c r="EGO574" s="1831"/>
      <c r="EGP574" s="1831"/>
      <c r="EGQ574" s="1831"/>
      <c r="EGR574" s="1831"/>
      <c r="EGS574" s="1831"/>
      <c r="EGT574" s="1831"/>
      <c r="EGU574" s="1831"/>
      <c r="EGV574" s="1831"/>
      <c r="EGW574" s="1831"/>
      <c r="EGX574" s="1831"/>
      <c r="EGY574" s="1831"/>
      <c r="EGZ574" s="1831"/>
      <c r="EHA574" s="1831"/>
      <c r="EHB574" s="1831"/>
      <c r="EHC574" s="1831"/>
      <c r="EHD574" s="1831"/>
      <c r="EHE574" s="1831"/>
      <c r="EHF574" s="1831"/>
      <c r="EHG574" s="1831"/>
      <c r="EHH574" s="1831"/>
      <c r="EHI574" s="1831"/>
      <c r="EHJ574" s="1831"/>
      <c r="EHK574" s="1831"/>
      <c r="EHL574" s="1831"/>
      <c r="EHM574" s="1831"/>
      <c r="EHN574" s="1831"/>
      <c r="EHO574" s="1831"/>
      <c r="EHP574" s="1831"/>
      <c r="EHQ574" s="1831"/>
      <c r="EHR574" s="1831"/>
      <c r="EHS574" s="1831"/>
      <c r="EHT574" s="1831"/>
      <c r="EHU574" s="1831"/>
      <c r="EHV574" s="1831"/>
      <c r="EHW574" s="1831"/>
      <c r="EHX574" s="1831"/>
      <c r="EHY574" s="1831"/>
      <c r="EHZ574" s="1831"/>
      <c r="EIA574" s="1831"/>
      <c r="EIB574" s="1831"/>
      <c r="EIC574" s="1831"/>
      <c r="EID574" s="1831"/>
      <c r="EIE574" s="1831"/>
      <c r="EIF574" s="1831"/>
      <c r="EIG574" s="1831"/>
      <c r="EIH574" s="1831"/>
      <c r="EII574" s="1831"/>
      <c r="EIJ574" s="1831"/>
      <c r="EIK574" s="1831"/>
      <c r="EIL574" s="1831"/>
      <c r="EIM574" s="1831"/>
      <c r="EIN574" s="1831"/>
      <c r="EIO574" s="1831"/>
      <c r="EIP574" s="1831"/>
      <c r="EIQ574" s="1831"/>
      <c r="EIR574" s="1831"/>
      <c r="EIS574" s="1831"/>
      <c r="EIT574" s="1831"/>
      <c r="EIU574" s="1831"/>
      <c r="EIV574" s="1831"/>
      <c r="EIW574" s="1831"/>
      <c r="EIX574" s="1831"/>
      <c r="EIY574" s="1831"/>
      <c r="EIZ574" s="1831"/>
      <c r="EJA574" s="1831"/>
      <c r="EJB574" s="1831"/>
      <c r="EJC574" s="1831"/>
      <c r="EJD574" s="1831"/>
      <c r="EJE574" s="1831"/>
      <c r="EJF574" s="1831"/>
      <c r="EJG574" s="1831"/>
      <c r="EJH574" s="1831"/>
      <c r="EJI574" s="1831"/>
      <c r="EJJ574" s="1831"/>
      <c r="EJK574" s="1831"/>
      <c r="EJL574" s="1831"/>
      <c r="EJM574" s="1831"/>
      <c r="EJN574" s="1831"/>
      <c r="EJO574" s="1831"/>
      <c r="EJP574" s="1831"/>
      <c r="EJQ574" s="1831"/>
      <c r="EJR574" s="1831"/>
      <c r="EJS574" s="1831"/>
      <c r="EJT574" s="1831"/>
      <c r="EJU574" s="1831"/>
      <c r="EJV574" s="1831"/>
      <c r="EJW574" s="1831"/>
      <c r="EJX574" s="1831"/>
      <c r="EJY574" s="1831"/>
      <c r="EJZ574" s="1831"/>
      <c r="EKA574" s="1831"/>
      <c r="EKB574" s="1831"/>
      <c r="EKC574" s="1831"/>
      <c r="EKD574" s="1831"/>
      <c r="EKE574" s="1831"/>
      <c r="EKF574" s="1831"/>
      <c r="EKG574" s="1831"/>
      <c r="EKH574" s="1831"/>
      <c r="EKI574" s="1831"/>
      <c r="EKJ574" s="1831"/>
      <c r="EKK574" s="1831"/>
      <c r="EKL574" s="1831"/>
      <c r="EKM574" s="1831"/>
      <c r="EKN574" s="1831"/>
      <c r="EKO574" s="1831"/>
      <c r="EKP574" s="1831"/>
      <c r="EKQ574" s="1831"/>
      <c r="EKR574" s="1831"/>
      <c r="EKS574" s="1831"/>
      <c r="EKT574" s="1831"/>
      <c r="EKU574" s="1831"/>
      <c r="EKV574" s="1831"/>
      <c r="EKW574" s="1831"/>
      <c r="EKX574" s="1831"/>
      <c r="EKY574" s="1831"/>
      <c r="EKZ574" s="1831"/>
      <c r="ELA574" s="1831"/>
      <c r="ELB574" s="1831"/>
      <c r="ELC574" s="1831"/>
      <c r="ELD574" s="1831"/>
      <c r="ELE574" s="1831"/>
      <c r="ELF574" s="1831"/>
      <c r="ELG574" s="1831"/>
      <c r="ELH574" s="1831"/>
      <c r="ELI574" s="1831"/>
      <c r="ELJ574" s="1831"/>
      <c r="ELK574" s="1831"/>
      <c r="ELL574" s="1831"/>
      <c r="ELM574" s="1831"/>
      <c r="ELN574" s="1831"/>
      <c r="ELO574" s="1831"/>
      <c r="ELP574" s="1831"/>
      <c r="ELQ574" s="1831"/>
      <c r="ELR574" s="1831"/>
      <c r="ELS574" s="1831"/>
      <c r="ELT574" s="1831"/>
      <c r="ELU574" s="1831"/>
      <c r="ELV574" s="1831"/>
      <c r="ELW574" s="1831"/>
      <c r="ELX574" s="1831"/>
      <c r="ELY574" s="1831"/>
      <c r="ELZ574" s="1831"/>
      <c r="EMA574" s="1831"/>
      <c r="EMB574" s="1831"/>
      <c r="EMC574" s="1831"/>
      <c r="EMD574" s="1831"/>
      <c r="EME574" s="1831"/>
      <c r="EMF574" s="1831"/>
      <c r="EMG574" s="1831"/>
      <c r="EMH574" s="1831"/>
      <c r="EMI574" s="1831"/>
      <c r="EMJ574" s="1831"/>
      <c r="EMK574" s="1831"/>
      <c r="EML574" s="1831"/>
      <c r="EMM574" s="1831"/>
      <c r="EMN574" s="1831"/>
      <c r="EMO574" s="1831"/>
      <c r="EMP574" s="1831"/>
      <c r="EMQ574" s="1831"/>
      <c r="EMR574" s="1831"/>
      <c r="EMS574" s="1831"/>
      <c r="EMT574" s="1831"/>
      <c r="EMU574" s="1831"/>
      <c r="EMV574" s="1831"/>
      <c r="EMW574" s="1831"/>
      <c r="EMX574" s="1831"/>
      <c r="EMY574" s="1831"/>
      <c r="EMZ574" s="1831"/>
      <c r="ENA574" s="1831"/>
      <c r="ENB574" s="1831"/>
      <c r="ENC574" s="1831"/>
      <c r="END574" s="1831"/>
      <c r="ENE574" s="1831"/>
      <c r="ENF574" s="1831"/>
      <c r="ENG574" s="1831"/>
      <c r="ENH574" s="1831"/>
      <c r="ENI574" s="1831"/>
      <c r="ENJ574" s="1831"/>
      <c r="ENK574" s="1831"/>
      <c r="ENL574" s="1831"/>
      <c r="ENM574" s="1831"/>
      <c r="ENN574" s="1831"/>
      <c r="ENO574" s="1831"/>
      <c r="ENP574" s="1831"/>
      <c r="ENQ574" s="1831"/>
      <c r="ENR574" s="1831"/>
      <c r="ENS574" s="1831"/>
      <c r="ENT574" s="1831"/>
      <c r="ENU574" s="1831"/>
      <c r="ENV574" s="1831"/>
      <c r="ENW574" s="1831"/>
      <c r="ENX574" s="1831"/>
      <c r="ENY574" s="1831"/>
      <c r="ENZ574" s="1831"/>
      <c r="EOA574" s="1831"/>
      <c r="EOB574" s="1831"/>
      <c r="EOC574" s="1831"/>
      <c r="EOD574" s="1831"/>
      <c r="EOE574" s="1831"/>
      <c r="EOF574" s="1831"/>
      <c r="EOG574" s="1831"/>
      <c r="EOH574" s="1831"/>
      <c r="EOI574" s="1831"/>
      <c r="EOJ574" s="1831"/>
      <c r="EOK574" s="1831"/>
      <c r="EOL574" s="1831"/>
      <c r="EOM574" s="1831"/>
      <c r="EON574" s="1831"/>
      <c r="EOO574" s="1831"/>
      <c r="EOP574" s="1831"/>
      <c r="EOQ574" s="1831"/>
      <c r="EOR574" s="1831"/>
      <c r="EOS574" s="1831"/>
      <c r="EOT574" s="1831"/>
      <c r="EOU574" s="1831"/>
      <c r="EOV574" s="1831"/>
      <c r="EOW574" s="1831"/>
      <c r="EOX574" s="1831"/>
      <c r="EOY574" s="1831"/>
      <c r="EOZ574" s="1831"/>
      <c r="EPA574" s="1831"/>
      <c r="EPB574" s="1831"/>
      <c r="EPC574" s="1831"/>
      <c r="EPD574" s="1831"/>
      <c r="EPE574" s="1831"/>
      <c r="EPF574" s="1831"/>
      <c r="EPG574" s="1831"/>
      <c r="EPH574" s="1831"/>
      <c r="EPI574" s="1831"/>
      <c r="EPJ574" s="1831"/>
      <c r="EPK574" s="1831"/>
      <c r="EPL574" s="1831"/>
      <c r="EPM574" s="1831"/>
      <c r="EPN574" s="1831"/>
      <c r="EPO574" s="1831"/>
      <c r="EPP574" s="1831"/>
      <c r="EPQ574" s="1831"/>
      <c r="EPR574" s="1831"/>
      <c r="EPS574" s="1831"/>
      <c r="EPT574" s="1831"/>
      <c r="EPU574" s="1831"/>
      <c r="EPV574" s="1831"/>
      <c r="EPW574" s="1831"/>
      <c r="EPX574" s="1831"/>
      <c r="EPY574" s="1831"/>
      <c r="EPZ574" s="1831"/>
      <c r="EQA574" s="1831"/>
      <c r="EQB574" s="1831"/>
      <c r="EQC574" s="1831"/>
      <c r="EQD574" s="1831"/>
      <c r="EQE574" s="1831"/>
      <c r="EQF574" s="1831"/>
      <c r="EQG574" s="1831"/>
      <c r="EQH574" s="1831"/>
      <c r="EQI574" s="1831"/>
      <c r="EQJ574" s="1831"/>
      <c r="EQK574" s="1831"/>
      <c r="EQL574" s="1831"/>
      <c r="EQM574" s="1831"/>
      <c r="EQN574" s="1831"/>
      <c r="EQO574" s="1831"/>
      <c r="EQP574" s="1831"/>
      <c r="EQQ574" s="1831"/>
      <c r="EQR574" s="1831"/>
      <c r="EQS574" s="1831"/>
      <c r="EQT574" s="1831"/>
      <c r="EQU574" s="1831"/>
      <c r="EQV574" s="1831"/>
      <c r="EQW574" s="1831"/>
      <c r="EQX574" s="1831"/>
      <c r="EQY574" s="1831"/>
      <c r="EQZ574" s="1831"/>
      <c r="ERA574" s="1831"/>
      <c r="ERB574" s="1831"/>
      <c r="ERC574" s="1831"/>
      <c r="ERD574" s="1831"/>
      <c r="ERE574" s="1831"/>
      <c r="ERF574" s="1831"/>
      <c r="ERG574" s="1831"/>
      <c r="ERH574" s="1831"/>
      <c r="ERI574" s="1831"/>
      <c r="ERJ574" s="1831"/>
      <c r="ERK574" s="1831"/>
      <c r="ERL574" s="1831"/>
      <c r="ERM574" s="1831"/>
      <c r="ERN574" s="1831"/>
      <c r="ERO574" s="1831"/>
      <c r="ERP574" s="1831"/>
      <c r="ERQ574" s="1831"/>
      <c r="ERR574" s="1831"/>
      <c r="ERS574" s="1831"/>
      <c r="ERT574" s="1831"/>
      <c r="ERU574" s="1831"/>
      <c r="ERV574" s="1831"/>
      <c r="ERW574" s="1831"/>
      <c r="ERX574" s="1831"/>
      <c r="ERY574" s="1831"/>
      <c r="ERZ574" s="1831"/>
      <c r="ESA574" s="1831"/>
      <c r="ESB574" s="1831"/>
      <c r="ESC574" s="1831"/>
      <c r="ESD574" s="1831"/>
      <c r="ESE574" s="1831"/>
      <c r="ESF574" s="1831"/>
      <c r="ESG574" s="1831"/>
      <c r="ESH574" s="1831"/>
      <c r="ESI574" s="1831"/>
      <c r="ESJ574" s="1831"/>
      <c r="ESK574" s="1831"/>
      <c r="ESL574" s="1831"/>
      <c r="ESM574" s="1831"/>
      <c r="ESN574" s="1831"/>
      <c r="ESO574" s="1831"/>
      <c r="ESP574" s="1831"/>
      <c r="ESQ574" s="1831"/>
      <c r="ESR574" s="1831"/>
      <c r="ESS574" s="1831"/>
      <c r="EST574" s="1831"/>
      <c r="ESU574" s="1831"/>
      <c r="ESV574" s="1831"/>
      <c r="ESW574" s="1831"/>
      <c r="ESX574" s="1831"/>
      <c r="ESY574" s="1831"/>
      <c r="ESZ574" s="1831"/>
      <c r="ETA574" s="1831"/>
      <c r="ETB574" s="1831"/>
      <c r="ETC574" s="1831"/>
      <c r="ETD574" s="1831"/>
      <c r="ETE574" s="1831"/>
      <c r="ETF574" s="1831"/>
      <c r="ETG574" s="1831"/>
      <c r="ETH574" s="1831"/>
      <c r="ETI574" s="1831"/>
      <c r="ETJ574" s="1831"/>
      <c r="ETK574" s="1831"/>
      <c r="ETL574" s="1831"/>
      <c r="ETM574" s="1831"/>
      <c r="ETN574" s="1831"/>
      <c r="ETO574" s="1831"/>
      <c r="ETP574" s="1831"/>
      <c r="ETQ574" s="1831"/>
      <c r="ETR574" s="1831"/>
      <c r="ETS574" s="1831"/>
      <c r="ETT574" s="1831"/>
      <c r="ETU574" s="1831"/>
      <c r="ETV574" s="1831"/>
      <c r="ETW574" s="1831"/>
      <c r="ETX574" s="1831"/>
      <c r="ETY574" s="1831"/>
      <c r="ETZ574" s="1831"/>
      <c r="EUA574" s="1831"/>
      <c r="EUB574" s="1831"/>
      <c r="EUC574" s="1831"/>
      <c r="EUD574" s="1831"/>
      <c r="EUE574" s="1831"/>
      <c r="EUF574" s="1831"/>
      <c r="EUG574" s="1831"/>
      <c r="EUH574" s="1831"/>
      <c r="EUI574" s="1831"/>
      <c r="EUJ574" s="1831"/>
      <c r="EUK574" s="1831"/>
      <c r="EUL574" s="1831"/>
      <c r="EUM574" s="1831"/>
      <c r="EUN574" s="1831"/>
      <c r="EUO574" s="1831"/>
      <c r="EUP574" s="1831"/>
      <c r="EUQ574" s="1831"/>
      <c r="EUR574" s="1831"/>
      <c r="EUS574" s="1831"/>
      <c r="EUT574" s="1831"/>
      <c r="EUU574" s="1831"/>
      <c r="EUV574" s="1831"/>
      <c r="EUW574" s="1831"/>
      <c r="EUX574" s="1831"/>
      <c r="EUY574" s="1831"/>
      <c r="EUZ574" s="1831"/>
      <c r="EVA574" s="1831"/>
      <c r="EVB574" s="1831"/>
      <c r="EVC574" s="1831"/>
      <c r="EVD574" s="1831"/>
      <c r="EVE574" s="1831"/>
      <c r="EVF574" s="1831"/>
      <c r="EVG574" s="1831"/>
      <c r="EVH574" s="1831"/>
      <c r="EVI574" s="1831"/>
      <c r="EVJ574" s="1831"/>
      <c r="EVK574" s="1831"/>
      <c r="EVL574" s="1831"/>
      <c r="EVM574" s="1831"/>
      <c r="EVN574" s="1831"/>
      <c r="EVO574" s="1831"/>
      <c r="EVP574" s="1831"/>
      <c r="EVQ574" s="1831"/>
      <c r="EVR574" s="1831"/>
      <c r="EVS574" s="1831"/>
      <c r="EVT574" s="1831"/>
      <c r="EVU574" s="1831"/>
      <c r="EVV574" s="1831"/>
      <c r="EVW574" s="1831"/>
      <c r="EVX574" s="1831"/>
      <c r="EVY574" s="1831"/>
      <c r="EVZ574" s="1831"/>
      <c r="EWA574" s="1831"/>
      <c r="EWB574" s="1831"/>
      <c r="EWC574" s="1831"/>
      <c r="EWD574" s="1831"/>
      <c r="EWE574" s="1831"/>
      <c r="EWF574" s="1831"/>
      <c r="EWG574" s="1831"/>
      <c r="EWH574" s="1831"/>
      <c r="EWI574" s="1831"/>
      <c r="EWJ574" s="1831"/>
      <c r="EWK574" s="1831"/>
      <c r="EWL574" s="1831"/>
      <c r="EWM574" s="1831"/>
      <c r="EWN574" s="1831"/>
      <c r="EWO574" s="1831"/>
      <c r="EWP574" s="1831"/>
      <c r="EWQ574" s="1831"/>
      <c r="EWR574" s="1831"/>
      <c r="EWS574" s="1831"/>
      <c r="EWT574" s="1831"/>
      <c r="EWU574" s="1831"/>
      <c r="EWV574" s="1831"/>
      <c r="EWW574" s="1831"/>
      <c r="EWX574" s="1831"/>
      <c r="EWY574" s="1831"/>
      <c r="EWZ574" s="1831"/>
      <c r="EXA574" s="1831"/>
      <c r="EXB574" s="1831"/>
      <c r="EXC574" s="1831"/>
      <c r="EXD574" s="1831"/>
      <c r="EXE574" s="1831"/>
      <c r="EXF574" s="1831"/>
      <c r="EXG574" s="1831"/>
      <c r="EXH574" s="1831"/>
      <c r="EXI574" s="1831"/>
      <c r="EXJ574" s="1831"/>
      <c r="EXK574" s="1831"/>
      <c r="EXL574" s="1831"/>
      <c r="EXM574" s="1831"/>
      <c r="EXN574" s="1831"/>
      <c r="EXO574" s="1831"/>
      <c r="EXP574" s="1831"/>
      <c r="EXQ574" s="1831"/>
      <c r="EXR574" s="1831"/>
      <c r="EXS574" s="1831"/>
      <c r="EXT574" s="1831"/>
      <c r="EXU574" s="1831"/>
      <c r="EXV574" s="1831"/>
      <c r="EXW574" s="1831"/>
      <c r="EXX574" s="1831"/>
      <c r="EXY574" s="1831"/>
      <c r="EXZ574" s="1831"/>
      <c r="EYA574" s="1831"/>
      <c r="EYB574" s="1831"/>
      <c r="EYC574" s="1831"/>
      <c r="EYD574" s="1831"/>
      <c r="EYE574" s="1831"/>
      <c r="EYF574" s="1831"/>
      <c r="EYG574" s="1831"/>
      <c r="EYH574" s="1831"/>
      <c r="EYI574" s="1831"/>
      <c r="EYJ574" s="1831"/>
      <c r="EYK574" s="1831"/>
      <c r="EYL574" s="1831"/>
      <c r="EYM574" s="1831"/>
      <c r="EYN574" s="1831"/>
      <c r="EYO574" s="1831"/>
      <c r="EYP574" s="1831"/>
      <c r="EYQ574" s="1831"/>
      <c r="EYR574" s="1831"/>
      <c r="EYS574" s="1831"/>
      <c r="EYT574" s="1831"/>
      <c r="EYU574" s="1831"/>
      <c r="EYV574" s="1831"/>
      <c r="EYW574" s="1831"/>
      <c r="EYX574" s="1831"/>
      <c r="EYY574" s="1831"/>
      <c r="EYZ574" s="1831"/>
      <c r="EZA574" s="1831"/>
      <c r="EZB574" s="1831"/>
      <c r="EZC574" s="1831"/>
      <c r="EZD574" s="1831"/>
      <c r="EZE574" s="1831"/>
      <c r="EZF574" s="1831"/>
      <c r="EZG574" s="1831"/>
      <c r="EZH574" s="1831"/>
      <c r="EZI574" s="1831"/>
      <c r="EZJ574" s="1831"/>
      <c r="EZK574" s="1831"/>
      <c r="EZL574" s="1831"/>
      <c r="EZM574" s="1831"/>
      <c r="EZN574" s="1831"/>
      <c r="EZO574" s="1831"/>
      <c r="EZP574" s="1831"/>
      <c r="EZQ574" s="1831"/>
      <c r="EZR574" s="1831"/>
      <c r="EZS574" s="1831"/>
      <c r="EZT574" s="1831"/>
      <c r="EZU574" s="1831"/>
      <c r="EZV574" s="1831"/>
      <c r="EZW574" s="1831"/>
      <c r="EZX574" s="1831"/>
      <c r="EZY574" s="1831"/>
      <c r="EZZ574" s="1831"/>
      <c r="FAA574" s="1831"/>
      <c r="FAB574" s="1831"/>
      <c r="FAC574" s="1831"/>
      <c r="FAD574" s="1831"/>
      <c r="FAE574" s="1831"/>
      <c r="FAF574" s="1831"/>
      <c r="FAG574" s="1831"/>
      <c r="FAH574" s="1831"/>
      <c r="FAI574" s="1831"/>
      <c r="FAJ574" s="1831"/>
      <c r="FAK574" s="1831"/>
      <c r="FAL574" s="1831"/>
      <c r="FAM574" s="1831"/>
      <c r="FAN574" s="1831"/>
      <c r="FAO574" s="1831"/>
      <c r="FAP574" s="1831"/>
      <c r="FAQ574" s="1831"/>
      <c r="FAR574" s="1831"/>
      <c r="FAS574" s="1831"/>
      <c r="FAT574" s="1831"/>
      <c r="FAU574" s="1831"/>
      <c r="FAV574" s="1831"/>
      <c r="FAW574" s="1831"/>
      <c r="FAX574" s="1831"/>
      <c r="FAY574" s="1831"/>
      <c r="FAZ574" s="1831"/>
      <c r="FBA574" s="1831"/>
      <c r="FBB574" s="1831"/>
      <c r="FBC574" s="1831"/>
      <c r="FBD574" s="1831"/>
      <c r="FBE574" s="1831"/>
      <c r="FBF574" s="1831"/>
      <c r="FBG574" s="1831"/>
      <c r="FBH574" s="1831"/>
      <c r="FBI574" s="1831"/>
      <c r="FBJ574" s="1831"/>
      <c r="FBK574" s="1831"/>
      <c r="FBL574" s="1831"/>
      <c r="FBM574" s="1831"/>
      <c r="FBN574" s="1831"/>
      <c r="FBO574" s="1831"/>
      <c r="FBP574" s="1831"/>
      <c r="FBQ574" s="1831"/>
      <c r="FBR574" s="1831"/>
      <c r="FBS574" s="1831"/>
      <c r="FBT574" s="1831"/>
      <c r="FBU574" s="1831"/>
      <c r="FBV574" s="1831"/>
      <c r="FBW574" s="1831"/>
      <c r="FBX574" s="1831"/>
      <c r="FBY574" s="1831"/>
      <c r="FBZ574" s="1831"/>
      <c r="FCA574" s="1831"/>
      <c r="FCB574" s="1831"/>
      <c r="FCC574" s="1831"/>
      <c r="FCD574" s="1831"/>
      <c r="FCE574" s="1831"/>
      <c r="FCF574" s="1831"/>
      <c r="FCG574" s="1831"/>
      <c r="FCH574" s="1831"/>
      <c r="FCI574" s="1831"/>
      <c r="FCJ574" s="1831"/>
      <c r="FCK574" s="1831"/>
      <c r="FCL574" s="1831"/>
      <c r="FCM574" s="1831"/>
      <c r="FCN574" s="1831"/>
      <c r="FCO574" s="1831"/>
      <c r="FCP574" s="1831"/>
      <c r="FCQ574" s="1831"/>
      <c r="FCR574" s="1831"/>
      <c r="FCS574" s="1831"/>
      <c r="FCT574" s="1831"/>
      <c r="FCU574" s="1831"/>
      <c r="FCV574" s="1831"/>
      <c r="FCW574" s="1831"/>
      <c r="FCX574" s="1831"/>
      <c r="FCY574" s="1831"/>
      <c r="FCZ574" s="1831"/>
      <c r="FDA574" s="1831"/>
      <c r="FDB574" s="1831"/>
      <c r="FDC574" s="1831"/>
      <c r="FDD574" s="1831"/>
      <c r="FDE574" s="1831"/>
      <c r="FDF574" s="1831"/>
      <c r="FDG574" s="1831"/>
      <c r="FDH574" s="1831"/>
      <c r="FDI574" s="1831"/>
      <c r="FDJ574" s="1831"/>
      <c r="FDK574" s="1831"/>
      <c r="FDL574" s="1831"/>
      <c r="FDM574" s="1831"/>
      <c r="FDN574" s="1831"/>
      <c r="FDO574" s="1831"/>
      <c r="FDP574" s="1831"/>
      <c r="FDQ574" s="1831"/>
      <c r="FDR574" s="1831"/>
      <c r="FDS574" s="1831"/>
      <c r="FDT574" s="1831"/>
      <c r="FDU574" s="1831"/>
      <c r="FDV574" s="1831"/>
      <c r="FDW574" s="1831"/>
      <c r="FDX574" s="1831"/>
      <c r="FDY574" s="1831"/>
      <c r="FDZ574" s="1831"/>
      <c r="FEA574" s="1831"/>
      <c r="FEB574" s="1831"/>
      <c r="FEC574" s="1831"/>
      <c r="FED574" s="1831"/>
      <c r="FEE574" s="1831"/>
      <c r="FEF574" s="1831"/>
      <c r="FEG574" s="1831"/>
      <c r="FEH574" s="1831"/>
      <c r="FEI574" s="1831"/>
      <c r="FEJ574" s="1831"/>
      <c r="FEK574" s="1831"/>
      <c r="FEL574" s="1831"/>
      <c r="FEM574" s="1831"/>
      <c r="FEN574" s="1831"/>
      <c r="FEO574" s="1831"/>
      <c r="FEP574" s="1831"/>
      <c r="FEQ574" s="1831"/>
      <c r="FER574" s="1831"/>
      <c r="FES574" s="1831"/>
      <c r="FET574" s="1831"/>
      <c r="FEU574" s="1831"/>
      <c r="FEV574" s="1831"/>
      <c r="FEW574" s="1831"/>
      <c r="FEX574" s="1831"/>
      <c r="FEY574" s="1831"/>
      <c r="FEZ574" s="1831"/>
      <c r="FFA574" s="1831"/>
      <c r="FFB574" s="1831"/>
      <c r="FFC574" s="1831"/>
      <c r="FFD574" s="1831"/>
      <c r="FFE574" s="1831"/>
      <c r="FFF574" s="1831"/>
      <c r="FFG574" s="1831"/>
      <c r="FFH574" s="1831"/>
      <c r="FFI574" s="1831"/>
      <c r="FFJ574" s="1831"/>
      <c r="FFK574" s="1831"/>
      <c r="FFL574" s="1831"/>
      <c r="FFM574" s="1831"/>
      <c r="FFN574" s="1831"/>
      <c r="FFO574" s="1831"/>
      <c r="FFP574" s="1831"/>
      <c r="FFQ574" s="1831"/>
      <c r="FFR574" s="1831"/>
      <c r="FFS574" s="1831"/>
      <c r="FFT574" s="1831"/>
      <c r="FFU574" s="1831"/>
      <c r="FFV574" s="1831"/>
      <c r="FFW574" s="1831"/>
      <c r="FFX574" s="1831"/>
      <c r="FFY574" s="1831"/>
      <c r="FFZ574" s="1831"/>
      <c r="FGA574" s="1831"/>
      <c r="FGB574" s="1831"/>
      <c r="FGC574" s="1831"/>
      <c r="FGD574" s="1831"/>
      <c r="FGE574" s="1831"/>
      <c r="FGF574" s="1831"/>
      <c r="FGG574" s="1831"/>
      <c r="FGH574" s="1831"/>
      <c r="FGI574" s="1831"/>
      <c r="FGJ574" s="1831"/>
      <c r="FGK574" s="1831"/>
      <c r="FGL574" s="1831"/>
      <c r="FGM574" s="1831"/>
      <c r="FGN574" s="1831"/>
      <c r="FGO574" s="1831"/>
      <c r="FGP574" s="1831"/>
      <c r="FGQ574" s="1831"/>
      <c r="FGR574" s="1831"/>
      <c r="FGS574" s="1831"/>
      <c r="FGT574" s="1831"/>
      <c r="FGU574" s="1831"/>
      <c r="FGV574" s="1831"/>
      <c r="FGW574" s="1831"/>
      <c r="FGX574" s="1831"/>
      <c r="FGY574" s="1831"/>
      <c r="FGZ574" s="1831"/>
      <c r="FHA574" s="1831"/>
      <c r="FHB574" s="1831"/>
      <c r="FHC574" s="1831"/>
      <c r="FHD574" s="1831"/>
      <c r="FHE574" s="1831"/>
      <c r="FHF574" s="1831"/>
      <c r="FHG574" s="1831"/>
      <c r="FHH574" s="1831"/>
      <c r="FHI574" s="1831"/>
      <c r="FHJ574" s="1831"/>
      <c r="FHK574" s="1831"/>
      <c r="FHL574" s="1831"/>
      <c r="FHM574" s="1831"/>
      <c r="FHN574" s="1831"/>
      <c r="FHO574" s="1831"/>
      <c r="FHP574" s="1831"/>
      <c r="FHQ574" s="1831"/>
      <c r="FHR574" s="1831"/>
      <c r="FHS574" s="1831"/>
      <c r="FHT574" s="1831"/>
      <c r="FHU574" s="1831"/>
      <c r="FHV574" s="1831"/>
      <c r="FHW574" s="1831"/>
      <c r="FHX574" s="1831"/>
      <c r="FHY574" s="1831"/>
      <c r="FHZ574" s="1831"/>
      <c r="FIA574" s="1831"/>
      <c r="FIB574" s="1831"/>
      <c r="FIC574" s="1831"/>
      <c r="FID574" s="1831"/>
      <c r="FIE574" s="1831"/>
      <c r="FIF574" s="1831"/>
      <c r="FIG574" s="1831"/>
      <c r="FIH574" s="1831"/>
      <c r="FII574" s="1831"/>
      <c r="FIJ574" s="1831"/>
      <c r="FIK574" s="1831"/>
      <c r="FIL574" s="1831"/>
      <c r="FIM574" s="1831"/>
      <c r="FIN574" s="1831"/>
      <c r="FIO574" s="1831"/>
      <c r="FIP574" s="1831"/>
      <c r="FIQ574" s="1831"/>
      <c r="FIR574" s="1831"/>
      <c r="FIS574" s="1831"/>
      <c r="FIT574" s="1831"/>
      <c r="FIU574" s="1831"/>
      <c r="FIV574" s="1831"/>
      <c r="FIW574" s="1831"/>
      <c r="FIX574" s="1831"/>
      <c r="FIY574" s="1831"/>
      <c r="FIZ574" s="1831"/>
      <c r="FJA574" s="1831"/>
      <c r="FJB574" s="1831"/>
      <c r="FJC574" s="1831"/>
      <c r="FJD574" s="1831"/>
      <c r="FJE574" s="1831"/>
      <c r="FJF574" s="1831"/>
      <c r="FJG574" s="1831"/>
      <c r="FJH574" s="1831"/>
      <c r="FJI574" s="1831"/>
      <c r="FJJ574" s="1831"/>
      <c r="FJK574" s="1831"/>
      <c r="FJL574" s="1831"/>
      <c r="FJM574" s="1831"/>
      <c r="FJN574" s="1831"/>
      <c r="FJO574" s="1831"/>
      <c r="FJP574" s="1831"/>
      <c r="FJQ574" s="1831"/>
      <c r="FJR574" s="1831"/>
      <c r="FJS574" s="1831"/>
      <c r="FJT574" s="1831"/>
      <c r="FJU574" s="1831"/>
      <c r="FJV574" s="1831"/>
      <c r="FJW574" s="1831"/>
      <c r="FJX574" s="1831"/>
      <c r="FJY574" s="1831"/>
      <c r="FJZ574" s="1831"/>
      <c r="FKA574" s="1831"/>
      <c r="FKB574" s="1831"/>
      <c r="FKC574" s="1831"/>
      <c r="FKD574" s="1831"/>
      <c r="FKE574" s="1831"/>
      <c r="FKF574" s="1831"/>
      <c r="FKG574" s="1831"/>
      <c r="FKH574" s="1831"/>
      <c r="FKI574" s="1831"/>
      <c r="FKJ574" s="1831"/>
      <c r="FKK574" s="1831"/>
      <c r="FKL574" s="1831"/>
      <c r="FKM574" s="1831"/>
      <c r="FKN574" s="1831"/>
      <c r="FKO574" s="1831"/>
      <c r="FKP574" s="1831"/>
      <c r="FKQ574" s="1831"/>
      <c r="FKR574" s="1831"/>
      <c r="FKS574" s="1831"/>
      <c r="FKT574" s="1831"/>
      <c r="FKU574" s="1831"/>
      <c r="FKV574" s="1831"/>
      <c r="FKW574" s="1831"/>
      <c r="FKX574" s="1831"/>
      <c r="FKY574" s="1831"/>
      <c r="FKZ574" s="1831"/>
      <c r="FLA574" s="1831"/>
      <c r="FLB574" s="1831"/>
      <c r="FLC574" s="1831"/>
      <c r="FLD574" s="1831"/>
      <c r="FLE574" s="1831"/>
      <c r="FLF574" s="1831"/>
      <c r="FLG574" s="1831"/>
      <c r="FLH574" s="1831"/>
      <c r="FLI574" s="1831"/>
      <c r="FLJ574" s="1831"/>
      <c r="FLK574" s="1831"/>
      <c r="FLL574" s="1831"/>
      <c r="FLM574" s="1831"/>
      <c r="FLN574" s="1831"/>
      <c r="FLO574" s="1831"/>
      <c r="FLP574" s="1831"/>
      <c r="FLQ574" s="1831"/>
      <c r="FLR574" s="1831"/>
      <c r="FLS574" s="1831"/>
      <c r="FLT574" s="1831"/>
      <c r="FLU574" s="1831"/>
      <c r="FLV574" s="1831"/>
      <c r="FLW574" s="1831"/>
      <c r="FLX574" s="1831"/>
      <c r="FLY574" s="1831"/>
      <c r="FLZ574" s="1831"/>
      <c r="FMA574" s="1831"/>
      <c r="FMB574" s="1831"/>
      <c r="FMC574" s="1831"/>
      <c r="FMD574" s="1831"/>
      <c r="FME574" s="1831"/>
      <c r="FMF574" s="1831"/>
      <c r="FMG574" s="1831"/>
      <c r="FMH574" s="1831"/>
      <c r="FMI574" s="1831"/>
      <c r="FMJ574" s="1831"/>
      <c r="FMK574" s="1831"/>
      <c r="FML574" s="1831"/>
      <c r="FMM574" s="1831"/>
      <c r="FMN574" s="1831"/>
      <c r="FMO574" s="1831"/>
      <c r="FMP574" s="1831"/>
      <c r="FMQ574" s="1831"/>
      <c r="FMR574" s="1831"/>
      <c r="FMS574" s="1831"/>
      <c r="FMT574" s="1831"/>
      <c r="FMU574" s="1831"/>
      <c r="FMV574" s="1831"/>
      <c r="FMW574" s="1831"/>
      <c r="FMX574" s="1831"/>
      <c r="FMY574" s="1831"/>
      <c r="FMZ574" s="1831"/>
      <c r="FNA574" s="1831"/>
      <c r="FNB574" s="1831"/>
      <c r="FNC574" s="1831"/>
      <c r="FND574" s="1831"/>
      <c r="FNE574" s="1831"/>
      <c r="FNF574" s="1831"/>
      <c r="FNG574" s="1831"/>
      <c r="FNH574" s="1831"/>
      <c r="FNI574" s="1831"/>
      <c r="FNJ574" s="1831"/>
      <c r="FNK574" s="1831"/>
      <c r="FNL574" s="1831"/>
      <c r="FNM574" s="1831"/>
      <c r="FNN574" s="1831"/>
      <c r="FNO574" s="1831"/>
      <c r="FNP574" s="1831"/>
      <c r="FNQ574" s="1831"/>
      <c r="FNR574" s="1831"/>
      <c r="FNS574" s="1831"/>
      <c r="FNT574" s="1831"/>
      <c r="FNU574" s="1831"/>
      <c r="FNV574" s="1831"/>
      <c r="FNW574" s="1831"/>
      <c r="FNX574" s="1831"/>
      <c r="FNY574" s="1831"/>
      <c r="FNZ574" s="1831"/>
      <c r="FOA574" s="1831"/>
      <c r="FOB574" s="1831"/>
      <c r="FOC574" s="1831"/>
      <c r="FOD574" s="1831"/>
      <c r="FOE574" s="1831"/>
      <c r="FOF574" s="1831"/>
      <c r="FOG574" s="1831"/>
      <c r="FOH574" s="1831"/>
      <c r="FOI574" s="1831"/>
      <c r="FOJ574" s="1831"/>
      <c r="FOK574" s="1831"/>
      <c r="FOL574" s="1831"/>
      <c r="FOM574" s="1831"/>
      <c r="FON574" s="1831"/>
      <c r="FOO574" s="1831"/>
      <c r="FOP574" s="1831"/>
      <c r="FOQ574" s="1831"/>
      <c r="FOR574" s="1831"/>
      <c r="FOS574" s="1831"/>
      <c r="FOT574" s="1831"/>
      <c r="FOU574" s="1831"/>
      <c r="FOV574" s="1831"/>
      <c r="FOW574" s="1831"/>
      <c r="FOX574" s="1831"/>
      <c r="FOY574" s="1831"/>
      <c r="FOZ574" s="1831"/>
      <c r="FPA574" s="1831"/>
      <c r="FPB574" s="1831"/>
      <c r="FPC574" s="1831"/>
      <c r="FPD574" s="1831"/>
      <c r="FPE574" s="1831"/>
      <c r="FPF574" s="1831"/>
      <c r="FPG574" s="1831"/>
      <c r="FPH574" s="1831"/>
      <c r="FPI574" s="1831"/>
      <c r="FPJ574" s="1831"/>
      <c r="FPK574" s="1831"/>
      <c r="FPL574" s="1831"/>
      <c r="FPM574" s="1831"/>
      <c r="FPN574" s="1831"/>
      <c r="FPO574" s="1831"/>
      <c r="FPP574" s="1831"/>
      <c r="FPQ574" s="1831"/>
      <c r="FPR574" s="1831"/>
      <c r="FPS574" s="1831"/>
      <c r="FPT574" s="1831"/>
      <c r="FPU574" s="1831"/>
      <c r="FPV574" s="1831"/>
      <c r="FPW574" s="1831"/>
      <c r="FPX574" s="1831"/>
      <c r="FPY574" s="1831"/>
      <c r="FPZ574" s="1831"/>
      <c r="FQA574" s="1831"/>
      <c r="FQB574" s="1831"/>
      <c r="FQC574" s="1831"/>
      <c r="FQD574" s="1831"/>
      <c r="FQE574" s="1831"/>
      <c r="FQF574" s="1831"/>
      <c r="FQG574" s="1831"/>
      <c r="FQH574" s="1831"/>
      <c r="FQI574" s="1831"/>
      <c r="FQJ574" s="1831"/>
      <c r="FQK574" s="1831"/>
      <c r="FQL574" s="1831"/>
      <c r="FQM574" s="1831"/>
      <c r="FQN574" s="1831"/>
      <c r="FQO574" s="1831"/>
      <c r="FQP574" s="1831"/>
      <c r="FQQ574" s="1831"/>
      <c r="FQR574" s="1831"/>
      <c r="FQS574" s="1831"/>
      <c r="FQT574" s="1831"/>
      <c r="FQU574" s="1831"/>
      <c r="FQV574" s="1831"/>
      <c r="FQW574" s="1831"/>
      <c r="FQX574" s="1831"/>
      <c r="FQY574" s="1831"/>
      <c r="FQZ574" s="1831"/>
      <c r="FRA574" s="1831"/>
      <c r="FRB574" s="1831"/>
      <c r="FRC574" s="1831"/>
      <c r="FRD574" s="1831"/>
      <c r="FRE574" s="1831"/>
      <c r="FRF574" s="1831"/>
      <c r="FRG574" s="1831"/>
      <c r="FRH574" s="1831"/>
      <c r="FRI574" s="1831"/>
      <c r="FRJ574" s="1831"/>
      <c r="FRK574" s="1831"/>
      <c r="FRL574" s="1831"/>
      <c r="FRM574" s="1831"/>
      <c r="FRN574" s="1831"/>
      <c r="FRO574" s="1831"/>
      <c r="FRP574" s="1831"/>
      <c r="FRQ574" s="1831"/>
      <c r="FRR574" s="1831"/>
      <c r="FRS574" s="1831"/>
      <c r="FRT574" s="1831"/>
      <c r="FRU574" s="1831"/>
      <c r="FRV574" s="1831"/>
      <c r="FRW574" s="1831"/>
      <c r="FRX574" s="1831"/>
      <c r="FRY574" s="1831"/>
      <c r="FRZ574" s="1831"/>
      <c r="FSA574" s="1831"/>
      <c r="FSB574" s="1831"/>
      <c r="FSC574" s="1831"/>
      <c r="FSD574" s="1831"/>
      <c r="FSE574" s="1831"/>
      <c r="FSF574" s="1831"/>
      <c r="FSG574" s="1831"/>
      <c r="FSH574" s="1831"/>
      <c r="FSI574" s="1831"/>
      <c r="FSJ574" s="1831"/>
      <c r="FSK574" s="1831"/>
      <c r="FSL574" s="1831"/>
      <c r="FSM574" s="1831"/>
      <c r="FSN574" s="1831"/>
      <c r="FSO574" s="1831"/>
      <c r="FSP574" s="1831"/>
      <c r="FSQ574" s="1831"/>
      <c r="FSR574" s="1831"/>
      <c r="FSS574" s="1831"/>
      <c r="FST574" s="1831"/>
      <c r="FSU574" s="1831"/>
      <c r="FSV574" s="1831"/>
      <c r="FSW574" s="1831"/>
      <c r="FSX574" s="1831"/>
      <c r="FSY574" s="1831"/>
      <c r="FSZ574" s="1831"/>
      <c r="FTA574" s="1831"/>
      <c r="FTB574" s="1831"/>
      <c r="FTC574" s="1831"/>
      <c r="FTD574" s="1831"/>
      <c r="FTE574" s="1831"/>
      <c r="FTF574" s="1831"/>
      <c r="FTG574" s="1831"/>
      <c r="FTH574" s="1831"/>
      <c r="FTI574" s="1831"/>
      <c r="FTJ574" s="1831"/>
      <c r="FTK574" s="1831"/>
      <c r="FTL574" s="1831"/>
      <c r="FTM574" s="1831"/>
      <c r="FTN574" s="1831"/>
      <c r="FTO574" s="1831"/>
      <c r="FTP574" s="1831"/>
      <c r="FTQ574" s="1831"/>
      <c r="FTR574" s="1831"/>
      <c r="FTS574" s="1831"/>
      <c r="FTT574" s="1831"/>
      <c r="FTU574" s="1831"/>
      <c r="FTV574" s="1831"/>
      <c r="FTW574" s="1831"/>
      <c r="FTX574" s="1831"/>
      <c r="FTY574" s="1831"/>
      <c r="FTZ574" s="1831"/>
      <c r="FUA574" s="1831"/>
      <c r="FUB574" s="1831"/>
      <c r="FUC574" s="1831"/>
      <c r="FUD574" s="1831"/>
      <c r="FUE574" s="1831"/>
      <c r="FUF574" s="1831"/>
      <c r="FUG574" s="1831"/>
      <c r="FUH574" s="1831"/>
      <c r="FUI574" s="1831"/>
      <c r="FUJ574" s="1831"/>
      <c r="FUK574" s="1831"/>
      <c r="FUL574" s="1831"/>
      <c r="FUM574" s="1831"/>
      <c r="FUN574" s="1831"/>
      <c r="FUO574" s="1831"/>
      <c r="FUP574" s="1831"/>
      <c r="FUQ574" s="1831"/>
      <c r="FUR574" s="1831"/>
      <c r="FUS574" s="1831"/>
      <c r="FUT574" s="1831"/>
      <c r="FUU574" s="1831"/>
      <c r="FUV574" s="1831"/>
      <c r="FUW574" s="1831"/>
      <c r="FUX574" s="1831"/>
      <c r="FUY574" s="1831"/>
      <c r="FUZ574" s="1831"/>
      <c r="FVA574" s="1831"/>
      <c r="FVB574" s="1831"/>
      <c r="FVC574" s="1831"/>
      <c r="FVD574" s="1831"/>
      <c r="FVE574" s="1831"/>
      <c r="FVF574" s="1831"/>
      <c r="FVG574" s="1831"/>
      <c r="FVH574" s="1831"/>
      <c r="FVI574" s="1831"/>
      <c r="FVJ574" s="1831"/>
      <c r="FVK574" s="1831"/>
      <c r="FVL574" s="1831"/>
      <c r="FVM574" s="1831"/>
      <c r="FVN574" s="1831"/>
      <c r="FVO574" s="1831"/>
      <c r="FVP574" s="1831"/>
      <c r="FVQ574" s="1831"/>
      <c r="FVR574" s="1831"/>
      <c r="FVS574" s="1831"/>
      <c r="FVT574" s="1831"/>
      <c r="FVU574" s="1831"/>
      <c r="FVV574" s="1831"/>
      <c r="FVW574" s="1831"/>
      <c r="FVX574" s="1831"/>
      <c r="FVY574" s="1831"/>
      <c r="FVZ574" s="1831"/>
      <c r="FWA574" s="1831"/>
      <c r="FWB574" s="1831"/>
      <c r="FWC574" s="1831"/>
      <c r="FWD574" s="1831"/>
      <c r="FWE574" s="1831"/>
      <c r="FWF574" s="1831"/>
      <c r="FWG574" s="1831"/>
      <c r="FWH574" s="1831"/>
      <c r="FWI574" s="1831"/>
      <c r="FWJ574" s="1831"/>
      <c r="FWK574" s="1831"/>
      <c r="FWL574" s="1831"/>
      <c r="FWM574" s="1831"/>
      <c r="FWN574" s="1831"/>
      <c r="FWO574" s="1831"/>
      <c r="FWP574" s="1831"/>
      <c r="FWQ574" s="1831"/>
      <c r="FWR574" s="1831"/>
      <c r="FWS574" s="1831"/>
      <c r="FWT574" s="1831"/>
      <c r="FWU574" s="1831"/>
      <c r="FWV574" s="1831"/>
      <c r="FWW574" s="1831"/>
      <c r="FWX574" s="1831"/>
      <c r="FWY574" s="1831"/>
      <c r="FWZ574" s="1831"/>
      <c r="FXA574" s="1831"/>
      <c r="FXB574" s="1831"/>
      <c r="FXC574" s="1831"/>
      <c r="FXD574" s="1831"/>
      <c r="FXE574" s="1831"/>
      <c r="FXF574" s="1831"/>
      <c r="FXG574" s="1831"/>
      <c r="FXH574" s="1831"/>
      <c r="FXI574" s="1831"/>
      <c r="FXJ574" s="1831"/>
      <c r="FXK574" s="1831"/>
      <c r="FXL574" s="1831"/>
      <c r="FXM574" s="1831"/>
      <c r="FXN574" s="1831"/>
      <c r="FXO574" s="1831"/>
      <c r="FXP574" s="1831"/>
      <c r="FXQ574" s="1831"/>
      <c r="FXR574" s="1831"/>
      <c r="FXS574" s="1831"/>
      <c r="FXT574" s="1831"/>
      <c r="FXU574" s="1831"/>
      <c r="FXV574" s="1831"/>
      <c r="FXW574" s="1831"/>
      <c r="FXX574" s="1831"/>
      <c r="FXY574" s="1831"/>
      <c r="FXZ574" s="1831"/>
      <c r="FYA574" s="1831"/>
      <c r="FYB574" s="1831"/>
      <c r="FYC574" s="1831"/>
      <c r="FYD574" s="1831"/>
      <c r="FYE574" s="1831"/>
      <c r="FYF574" s="1831"/>
      <c r="FYG574" s="1831"/>
      <c r="FYH574" s="1831"/>
      <c r="FYI574" s="1831"/>
      <c r="FYJ574" s="1831"/>
      <c r="FYK574" s="1831"/>
      <c r="FYL574" s="1831"/>
      <c r="FYM574" s="1831"/>
      <c r="FYN574" s="1831"/>
      <c r="FYO574" s="1831"/>
      <c r="FYP574" s="1831"/>
      <c r="FYQ574" s="1831"/>
      <c r="FYR574" s="1831"/>
      <c r="FYS574" s="1831"/>
      <c r="FYT574" s="1831"/>
      <c r="FYU574" s="1831"/>
      <c r="FYV574" s="1831"/>
      <c r="FYW574" s="1831"/>
      <c r="FYX574" s="1831"/>
      <c r="FYY574" s="1831"/>
      <c r="FYZ574" s="1831"/>
      <c r="FZA574" s="1831"/>
      <c r="FZB574" s="1831"/>
      <c r="FZC574" s="1831"/>
      <c r="FZD574" s="1831"/>
      <c r="FZE574" s="1831"/>
      <c r="FZF574" s="1831"/>
      <c r="FZG574" s="1831"/>
      <c r="FZH574" s="1831"/>
      <c r="FZI574" s="1831"/>
      <c r="FZJ574" s="1831"/>
      <c r="FZK574" s="1831"/>
      <c r="FZL574" s="1831"/>
      <c r="FZM574" s="1831"/>
      <c r="FZN574" s="1831"/>
      <c r="FZO574" s="1831"/>
      <c r="FZP574" s="1831"/>
      <c r="FZQ574" s="1831"/>
      <c r="FZR574" s="1831"/>
      <c r="FZS574" s="1831"/>
      <c r="FZT574" s="1831"/>
      <c r="FZU574" s="1831"/>
      <c r="FZV574" s="1831"/>
      <c r="FZW574" s="1831"/>
      <c r="FZX574" s="1831"/>
      <c r="FZY574" s="1831"/>
      <c r="FZZ574" s="1831"/>
      <c r="GAA574" s="1831"/>
      <c r="GAB574" s="1831"/>
      <c r="GAC574" s="1831"/>
      <c r="GAD574" s="1831"/>
      <c r="GAE574" s="1831"/>
      <c r="GAF574" s="1831"/>
      <c r="GAG574" s="1831"/>
      <c r="GAH574" s="1831"/>
      <c r="GAI574" s="1831"/>
      <c r="GAJ574" s="1831"/>
      <c r="GAK574" s="1831"/>
      <c r="GAL574" s="1831"/>
      <c r="GAM574" s="1831"/>
      <c r="GAN574" s="1831"/>
      <c r="GAO574" s="1831"/>
      <c r="GAP574" s="1831"/>
      <c r="GAQ574" s="1831"/>
      <c r="GAR574" s="1831"/>
      <c r="GAS574" s="1831"/>
      <c r="GAT574" s="1831"/>
      <c r="GAU574" s="1831"/>
      <c r="GAV574" s="1831"/>
      <c r="GAW574" s="1831"/>
      <c r="GAX574" s="1831"/>
      <c r="GAY574" s="1831"/>
      <c r="GAZ574" s="1831"/>
      <c r="GBA574" s="1831"/>
      <c r="GBB574" s="1831"/>
      <c r="GBC574" s="1831"/>
      <c r="GBD574" s="1831"/>
      <c r="GBE574" s="1831"/>
      <c r="GBF574" s="1831"/>
      <c r="GBG574" s="1831"/>
      <c r="GBH574" s="1831"/>
      <c r="GBI574" s="1831"/>
      <c r="GBJ574" s="1831"/>
      <c r="GBK574" s="1831"/>
      <c r="GBL574" s="1831"/>
      <c r="GBM574" s="1831"/>
      <c r="GBN574" s="1831"/>
      <c r="GBO574" s="1831"/>
      <c r="GBP574" s="1831"/>
      <c r="GBQ574" s="1831"/>
      <c r="GBR574" s="1831"/>
      <c r="GBS574" s="1831"/>
      <c r="GBT574" s="1831"/>
      <c r="GBU574" s="1831"/>
      <c r="GBV574" s="1831"/>
      <c r="GBW574" s="1831"/>
      <c r="GBX574" s="1831"/>
      <c r="GBY574" s="1831"/>
      <c r="GBZ574" s="1831"/>
      <c r="GCA574" s="1831"/>
      <c r="GCB574" s="1831"/>
      <c r="GCC574" s="1831"/>
      <c r="GCD574" s="1831"/>
      <c r="GCE574" s="1831"/>
      <c r="GCF574" s="1831"/>
      <c r="GCG574" s="1831"/>
      <c r="GCH574" s="1831"/>
      <c r="GCI574" s="1831"/>
      <c r="GCJ574" s="1831"/>
      <c r="GCK574" s="1831"/>
      <c r="GCL574" s="1831"/>
      <c r="GCM574" s="1831"/>
      <c r="GCN574" s="1831"/>
      <c r="GCO574" s="1831"/>
      <c r="GCP574" s="1831"/>
      <c r="GCQ574" s="1831"/>
      <c r="GCR574" s="1831"/>
      <c r="GCS574" s="1831"/>
      <c r="GCT574" s="1831"/>
      <c r="GCU574" s="1831"/>
      <c r="GCV574" s="1831"/>
      <c r="GCW574" s="1831"/>
      <c r="GCX574" s="1831"/>
      <c r="GCY574" s="1831"/>
      <c r="GCZ574" s="1831"/>
      <c r="GDA574" s="1831"/>
      <c r="GDB574" s="1831"/>
      <c r="GDC574" s="1831"/>
      <c r="GDD574" s="1831"/>
      <c r="GDE574" s="1831"/>
      <c r="GDF574" s="1831"/>
      <c r="GDG574" s="1831"/>
      <c r="GDH574" s="1831"/>
      <c r="GDI574" s="1831"/>
      <c r="GDJ574" s="1831"/>
      <c r="GDK574" s="1831"/>
      <c r="GDL574" s="1831"/>
      <c r="GDM574" s="1831"/>
      <c r="GDN574" s="1831"/>
      <c r="GDO574" s="1831"/>
      <c r="GDP574" s="1831"/>
      <c r="GDQ574" s="1831"/>
      <c r="GDR574" s="1831"/>
      <c r="GDS574" s="1831"/>
      <c r="GDT574" s="1831"/>
      <c r="GDU574" s="1831"/>
      <c r="GDV574" s="1831"/>
      <c r="GDW574" s="1831"/>
      <c r="GDX574" s="1831"/>
      <c r="GDY574" s="1831"/>
      <c r="GDZ574" s="1831"/>
      <c r="GEA574" s="1831"/>
      <c r="GEB574" s="1831"/>
      <c r="GEC574" s="1831"/>
      <c r="GED574" s="1831"/>
      <c r="GEE574" s="1831"/>
      <c r="GEF574" s="1831"/>
      <c r="GEG574" s="1831"/>
      <c r="GEH574" s="1831"/>
      <c r="GEI574" s="1831"/>
      <c r="GEJ574" s="1831"/>
      <c r="GEK574" s="1831"/>
      <c r="GEL574" s="1831"/>
      <c r="GEM574" s="1831"/>
      <c r="GEN574" s="1831"/>
      <c r="GEO574" s="1831"/>
      <c r="GEP574" s="1831"/>
      <c r="GEQ574" s="1831"/>
      <c r="GER574" s="1831"/>
      <c r="GES574" s="1831"/>
      <c r="GET574" s="1831"/>
      <c r="GEU574" s="1831"/>
      <c r="GEV574" s="1831"/>
      <c r="GEW574" s="1831"/>
      <c r="GEX574" s="1831"/>
      <c r="GEY574" s="1831"/>
      <c r="GEZ574" s="1831"/>
      <c r="GFA574" s="1831"/>
      <c r="GFB574" s="1831"/>
      <c r="GFC574" s="1831"/>
      <c r="GFD574" s="1831"/>
      <c r="GFE574" s="1831"/>
      <c r="GFF574" s="1831"/>
      <c r="GFG574" s="1831"/>
      <c r="GFH574" s="1831"/>
      <c r="GFI574" s="1831"/>
      <c r="GFJ574" s="1831"/>
      <c r="GFK574" s="1831"/>
      <c r="GFL574" s="1831"/>
      <c r="GFM574" s="1831"/>
      <c r="GFN574" s="1831"/>
      <c r="GFO574" s="1831"/>
      <c r="GFP574" s="1831"/>
      <c r="GFQ574" s="1831"/>
      <c r="GFR574" s="1831"/>
      <c r="GFS574" s="1831"/>
      <c r="GFT574" s="1831"/>
      <c r="GFU574" s="1831"/>
      <c r="GFV574" s="1831"/>
      <c r="GFW574" s="1831"/>
      <c r="GFX574" s="1831"/>
      <c r="GFY574" s="1831"/>
      <c r="GFZ574" s="1831"/>
      <c r="GGA574" s="1831"/>
      <c r="GGB574" s="1831"/>
      <c r="GGC574" s="1831"/>
      <c r="GGD574" s="1831"/>
      <c r="GGE574" s="1831"/>
      <c r="GGF574" s="1831"/>
      <c r="GGG574" s="1831"/>
      <c r="GGH574" s="1831"/>
      <c r="GGI574" s="1831"/>
      <c r="GGJ574" s="1831"/>
      <c r="GGK574" s="1831"/>
      <c r="GGL574" s="1831"/>
      <c r="GGM574" s="1831"/>
      <c r="GGN574" s="1831"/>
      <c r="GGO574" s="1831"/>
      <c r="GGP574" s="1831"/>
      <c r="GGQ574" s="1831"/>
      <c r="GGR574" s="1831"/>
      <c r="GGS574" s="1831"/>
      <c r="GGT574" s="1831"/>
      <c r="GGU574" s="1831"/>
      <c r="GGV574" s="1831"/>
      <c r="GGW574" s="1831"/>
      <c r="GGX574" s="1831"/>
      <c r="GGY574" s="1831"/>
      <c r="GGZ574" s="1831"/>
      <c r="GHA574" s="1831"/>
      <c r="GHB574" s="1831"/>
      <c r="GHC574" s="1831"/>
      <c r="GHD574" s="1831"/>
      <c r="GHE574" s="1831"/>
      <c r="GHF574" s="1831"/>
      <c r="GHG574" s="1831"/>
      <c r="GHH574" s="1831"/>
      <c r="GHI574" s="1831"/>
      <c r="GHJ574" s="1831"/>
      <c r="GHK574" s="1831"/>
      <c r="GHL574" s="1831"/>
      <c r="GHM574" s="1831"/>
      <c r="GHN574" s="1831"/>
      <c r="GHO574" s="1831"/>
      <c r="GHP574" s="1831"/>
      <c r="GHQ574" s="1831"/>
      <c r="GHR574" s="1831"/>
      <c r="GHS574" s="1831"/>
      <c r="GHT574" s="1831"/>
      <c r="GHU574" s="1831"/>
      <c r="GHV574" s="1831"/>
      <c r="GHW574" s="1831"/>
      <c r="GHX574" s="1831"/>
      <c r="GHY574" s="1831"/>
      <c r="GHZ574" s="1831"/>
      <c r="GIA574" s="1831"/>
      <c r="GIB574" s="1831"/>
      <c r="GIC574" s="1831"/>
      <c r="GID574" s="1831"/>
      <c r="GIE574" s="1831"/>
      <c r="GIF574" s="1831"/>
      <c r="GIG574" s="1831"/>
      <c r="GIH574" s="1831"/>
      <c r="GII574" s="1831"/>
      <c r="GIJ574" s="1831"/>
      <c r="GIK574" s="1831"/>
      <c r="GIL574" s="1831"/>
      <c r="GIM574" s="1831"/>
      <c r="GIN574" s="1831"/>
      <c r="GIO574" s="1831"/>
      <c r="GIP574" s="1831"/>
      <c r="GIQ574" s="1831"/>
      <c r="GIR574" s="1831"/>
      <c r="GIS574" s="1831"/>
      <c r="GIT574" s="1831"/>
      <c r="GIU574" s="1831"/>
      <c r="GIV574" s="1831"/>
      <c r="GIW574" s="1831"/>
      <c r="GIX574" s="1831"/>
      <c r="GIY574" s="1831"/>
      <c r="GIZ574" s="1831"/>
      <c r="GJA574" s="1831"/>
      <c r="GJB574" s="1831"/>
      <c r="GJC574" s="1831"/>
      <c r="GJD574" s="1831"/>
      <c r="GJE574" s="1831"/>
      <c r="GJF574" s="1831"/>
      <c r="GJG574" s="1831"/>
      <c r="GJH574" s="1831"/>
      <c r="GJI574" s="1831"/>
      <c r="GJJ574" s="1831"/>
      <c r="GJK574" s="1831"/>
      <c r="GJL574" s="1831"/>
      <c r="GJM574" s="1831"/>
      <c r="GJN574" s="1831"/>
      <c r="GJO574" s="1831"/>
      <c r="GJP574" s="1831"/>
      <c r="GJQ574" s="1831"/>
      <c r="GJR574" s="1831"/>
      <c r="GJS574" s="1831"/>
      <c r="GJT574" s="1831"/>
      <c r="GJU574" s="1831"/>
      <c r="GJV574" s="1831"/>
      <c r="GJW574" s="1831"/>
      <c r="GJX574" s="1831"/>
      <c r="GJY574" s="1831"/>
      <c r="GJZ574" s="1831"/>
      <c r="GKA574" s="1831"/>
      <c r="GKB574" s="1831"/>
      <c r="GKC574" s="1831"/>
      <c r="GKD574" s="1831"/>
      <c r="GKE574" s="1831"/>
      <c r="GKF574" s="1831"/>
      <c r="GKG574" s="1831"/>
      <c r="GKH574" s="1831"/>
      <c r="GKI574" s="1831"/>
      <c r="GKJ574" s="1831"/>
      <c r="GKK574" s="1831"/>
      <c r="GKL574" s="1831"/>
      <c r="GKM574" s="1831"/>
      <c r="GKN574" s="1831"/>
      <c r="GKO574" s="1831"/>
      <c r="GKP574" s="1831"/>
      <c r="GKQ574" s="1831"/>
      <c r="GKR574" s="1831"/>
      <c r="GKS574" s="1831"/>
      <c r="GKT574" s="1831"/>
      <c r="GKU574" s="1831"/>
      <c r="GKV574" s="1831"/>
      <c r="GKW574" s="1831"/>
      <c r="GKX574" s="1831"/>
      <c r="GKY574" s="1831"/>
      <c r="GKZ574" s="1831"/>
      <c r="GLA574" s="1831"/>
      <c r="GLB574" s="1831"/>
      <c r="GLC574" s="1831"/>
      <c r="GLD574" s="1831"/>
      <c r="GLE574" s="1831"/>
      <c r="GLF574" s="1831"/>
      <c r="GLG574" s="1831"/>
      <c r="GLH574" s="1831"/>
      <c r="GLI574" s="1831"/>
      <c r="GLJ574" s="1831"/>
      <c r="GLK574" s="1831"/>
      <c r="GLL574" s="1831"/>
      <c r="GLM574" s="1831"/>
      <c r="GLN574" s="1831"/>
      <c r="GLO574" s="1831"/>
      <c r="GLP574" s="1831"/>
      <c r="GLQ574" s="1831"/>
      <c r="GLR574" s="1831"/>
      <c r="GLS574" s="1831"/>
      <c r="GLT574" s="1831"/>
      <c r="GLU574" s="1831"/>
      <c r="GLV574" s="1831"/>
      <c r="GLW574" s="1831"/>
      <c r="GLX574" s="1831"/>
      <c r="GLY574" s="1831"/>
      <c r="GLZ574" s="1831"/>
      <c r="GMA574" s="1831"/>
      <c r="GMB574" s="1831"/>
      <c r="GMC574" s="1831"/>
      <c r="GMD574" s="1831"/>
      <c r="GME574" s="1831"/>
      <c r="GMF574" s="1831"/>
      <c r="GMG574" s="1831"/>
      <c r="GMH574" s="1831"/>
      <c r="GMI574" s="1831"/>
      <c r="GMJ574" s="1831"/>
      <c r="GMK574" s="1831"/>
      <c r="GML574" s="1831"/>
      <c r="GMM574" s="1831"/>
      <c r="GMN574" s="1831"/>
      <c r="GMO574" s="1831"/>
      <c r="GMP574" s="1831"/>
      <c r="GMQ574" s="1831"/>
      <c r="GMR574" s="1831"/>
      <c r="GMS574" s="1831"/>
      <c r="GMT574" s="1831"/>
      <c r="GMU574" s="1831"/>
      <c r="GMV574" s="1831"/>
      <c r="GMW574" s="1831"/>
      <c r="GMX574" s="1831"/>
      <c r="GMY574" s="1831"/>
      <c r="GMZ574" s="1831"/>
      <c r="GNA574" s="1831"/>
      <c r="GNB574" s="1831"/>
      <c r="GNC574" s="1831"/>
      <c r="GND574" s="1831"/>
      <c r="GNE574" s="1831"/>
      <c r="GNF574" s="1831"/>
      <c r="GNG574" s="1831"/>
      <c r="GNH574" s="1831"/>
      <c r="GNI574" s="1831"/>
      <c r="GNJ574" s="1831"/>
      <c r="GNK574" s="1831"/>
      <c r="GNL574" s="1831"/>
      <c r="GNM574" s="1831"/>
      <c r="GNN574" s="1831"/>
      <c r="GNO574" s="1831"/>
      <c r="GNP574" s="1831"/>
      <c r="GNQ574" s="1831"/>
      <c r="GNR574" s="1831"/>
      <c r="GNS574" s="1831"/>
      <c r="GNT574" s="1831"/>
      <c r="GNU574" s="1831"/>
      <c r="GNV574" s="1831"/>
      <c r="GNW574" s="1831"/>
      <c r="GNX574" s="1831"/>
      <c r="GNY574" s="1831"/>
      <c r="GNZ574" s="1831"/>
      <c r="GOA574" s="1831"/>
      <c r="GOB574" s="1831"/>
      <c r="GOC574" s="1831"/>
      <c r="GOD574" s="1831"/>
      <c r="GOE574" s="1831"/>
      <c r="GOF574" s="1831"/>
      <c r="GOG574" s="1831"/>
      <c r="GOH574" s="1831"/>
      <c r="GOI574" s="1831"/>
      <c r="GOJ574" s="1831"/>
      <c r="GOK574" s="1831"/>
      <c r="GOL574" s="1831"/>
      <c r="GOM574" s="1831"/>
      <c r="GON574" s="1831"/>
      <c r="GOO574" s="1831"/>
      <c r="GOP574" s="1831"/>
      <c r="GOQ574" s="1831"/>
      <c r="GOR574" s="1831"/>
      <c r="GOS574" s="1831"/>
      <c r="GOT574" s="1831"/>
      <c r="GOU574" s="1831"/>
      <c r="GOV574" s="1831"/>
      <c r="GOW574" s="1831"/>
      <c r="GOX574" s="1831"/>
      <c r="GOY574" s="1831"/>
      <c r="GOZ574" s="1831"/>
      <c r="GPA574" s="1831"/>
      <c r="GPB574" s="1831"/>
      <c r="GPC574" s="1831"/>
      <c r="GPD574" s="1831"/>
      <c r="GPE574" s="1831"/>
      <c r="GPF574" s="1831"/>
      <c r="GPG574" s="1831"/>
      <c r="GPH574" s="1831"/>
      <c r="GPI574" s="1831"/>
      <c r="GPJ574" s="1831"/>
      <c r="GPK574" s="1831"/>
      <c r="GPL574" s="1831"/>
      <c r="GPM574" s="1831"/>
      <c r="GPN574" s="1831"/>
      <c r="GPO574" s="1831"/>
      <c r="GPP574" s="1831"/>
      <c r="GPQ574" s="1831"/>
      <c r="GPR574" s="1831"/>
      <c r="GPS574" s="1831"/>
      <c r="GPT574" s="1831"/>
      <c r="GPU574" s="1831"/>
      <c r="GPV574" s="1831"/>
      <c r="GPW574" s="1831"/>
      <c r="GPX574" s="1831"/>
      <c r="GPY574" s="1831"/>
      <c r="GPZ574" s="1831"/>
      <c r="GQA574" s="1831"/>
      <c r="GQB574" s="1831"/>
      <c r="GQC574" s="1831"/>
      <c r="GQD574" s="1831"/>
      <c r="GQE574" s="1831"/>
      <c r="GQF574" s="1831"/>
      <c r="GQG574" s="1831"/>
      <c r="GQH574" s="1831"/>
      <c r="GQI574" s="1831"/>
      <c r="GQJ574" s="1831"/>
      <c r="GQK574" s="1831"/>
      <c r="GQL574" s="1831"/>
      <c r="GQM574" s="1831"/>
      <c r="GQN574" s="1831"/>
      <c r="GQO574" s="1831"/>
      <c r="GQP574" s="1831"/>
      <c r="GQQ574" s="1831"/>
      <c r="GQR574" s="1831"/>
      <c r="GQS574" s="1831"/>
      <c r="GQT574" s="1831"/>
      <c r="GQU574" s="1831"/>
      <c r="GQV574" s="1831"/>
      <c r="GQW574" s="1831"/>
      <c r="GQX574" s="1831"/>
      <c r="GQY574" s="1831"/>
      <c r="GQZ574" s="1831"/>
      <c r="GRA574" s="1831"/>
      <c r="GRB574" s="1831"/>
      <c r="GRC574" s="1831"/>
      <c r="GRD574" s="1831"/>
      <c r="GRE574" s="1831"/>
      <c r="GRF574" s="1831"/>
      <c r="GRG574" s="1831"/>
      <c r="GRH574" s="1831"/>
      <c r="GRI574" s="1831"/>
      <c r="GRJ574" s="1831"/>
      <c r="GRK574" s="1831"/>
      <c r="GRL574" s="1831"/>
      <c r="GRM574" s="1831"/>
      <c r="GRN574" s="1831"/>
      <c r="GRO574" s="1831"/>
      <c r="GRP574" s="1831"/>
      <c r="GRQ574" s="1831"/>
      <c r="GRR574" s="1831"/>
      <c r="GRS574" s="1831"/>
      <c r="GRT574" s="1831"/>
      <c r="GRU574" s="1831"/>
      <c r="GRV574" s="1831"/>
      <c r="GRW574" s="1831"/>
      <c r="GRX574" s="1831"/>
      <c r="GRY574" s="1831"/>
      <c r="GRZ574" s="1831"/>
      <c r="GSA574" s="1831"/>
      <c r="GSB574" s="1831"/>
      <c r="GSC574" s="1831"/>
      <c r="GSD574" s="1831"/>
      <c r="GSE574" s="1831"/>
      <c r="GSF574" s="1831"/>
      <c r="GSG574" s="1831"/>
      <c r="GSH574" s="1831"/>
      <c r="GSI574" s="1831"/>
      <c r="GSJ574" s="1831"/>
      <c r="GSK574" s="1831"/>
      <c r="GSL574" s="1831"/>
      <c r="GSM574" s="1831"/>
      <c r="GSN574" s="1831"/>
      <c r="GSO574" s="1831"/>
      <c r="GSP574" s="1831"/>
      <c r="GSQ574" s="1831"/>
      <c r="GSR574" s="1831"/>
      <c r="GSS574" s="1831"/>
      <c r="GST574" s="1831"/>
      <c r="GSU574" s="1831"/>
      <c r="GSV574" s="1831"/>
      <c r="GSW574" s="1831"/>
      <c r="GSX574" s="1831"/>
      <c r="GSY574" s="1831"/>
      <c r="GSZ574" s="1831"/>
      <c r="GTA574" s="1831"/>
      <c r="GTB574" s="1831"/>
      <c r="GTC574" s="1831"/>
      <c r="GTD574" s="1831"/>
      <c r="GTE574" s="1831"/>
      <c r="GTF574" s="1831"/>
      <c r="GTG574" s="1831"/>
      <c r="GTH574" s="1831"/>
      <c r="GTI574" s="1831"/>
      <c r="GTJ574" s="1831"/>
      <c r="GTK574" s="1831"/>
      <c r="GTL574" s="1831"/>
      <c r="GTM574" s="1831"/>
      <c r="GTN574" s="1831"/>
      <c r="GTO574" s="1831"/>
      <c r="GTP574" s="1831"/>
      <c r="GTQ574" s="1831"/>
      <c r="GTR574" s="1831"/>
      <c r="GTS574" s="1831"/>
      <c r="GTT574" s="1831"/>
      <c r="GTU574" s="1831"/>
      <c r="GTV574" s="1831"/>
      <c r="GTW574" s="1831"/>
      <c r="GTX574" s="1831"/>
      <c r="GTY574" s="1831"/>
      <c r="GTZ574" s="1831"/>
      <c r="GUA574" s="1831"/>
      <c r="GUB574" s="1831"/>
      <c r="GUC574" s="1831"/>
      <c r="GUD574" s="1831"/>
      <c r="GUE574" s="1831"/>
      <c r="GUF574" s="1831"/>
      <c r="GUG574" s="1831"/>
      <c r="GUH574" s="1831"/>
      <c r="GUI574" s="1831"/>
      <c r="GUJ574" s="1831"/>
      <c r="GUK574" s="1831"/>
      <c r="GUL574" s="1831"/>
      <c r="GUM574" s="1831"/>
      <c r="GUN574" s="1831"/>
      <c r="GUO574" s="1831"/>
      <c r="GUP574" s="1831"/>
      <c r="GUQ574" s="1831"/>
      <c r="GUR574" s="1831"/>
      <c r="GUS574" s="1831"/>
      <c r="GUT574" s="1831"/>
      <c r="GUU574" s="1831"/>
      <c r="GUV574" s="1831"/>
      <c r="GUW574" s="1831"/>
      <c r="GUX574" s="1831"/>
      <c r="GUY574" s="1831"/>
      <c r="GUZ574" s="1831"/>
      <c r="GVA574" s="1831"/>
      <c r="GVB574" s="1831"/>
      <c r="GVC574" s="1831"/>
      <c r="GVD574" s="1831"/>
      <c r="GVE574" s="1831"/>
      <c r="GVF574" s="1831"/>
      <c r="GVG574" s="1831"/>
      <c r="GVH574" s="1831"/>
      <c r="GVI574" s="1831"/>
      <c r="GVJ574" s="1831"/>
      <c r="GVK574" s="1831"/>
      <c r="GVL574" s="1831"/>
      <c r="GVM574" s="1831"/>
      <c r="GVN574" s="1831"/>
      <c r="GVO574" s="1831"/>
      <c r="GVP574" s="1831"/>
      <c r="GVQ574" s="1831"/>
      <c r="GVR574" s="1831"/>
      <c r="GVS574" s="1831"/>
      <c r="GVT574" s="1831"/>
      <c r="GVU574" s="1831"/>
      <c r="GVV574" s="1831"/>
      <c r="GVW574" s="1831"/>
      <c r="GVX574" s="1831"/>
      <c r="GVY574" s="1831"/>
      <c r="GVZ574" s="1831"/>
      <c r="GWA574" s="1831"/>
      <c r="GWB574" s="1831"/>
      <c r="GWC574" s="1831"/>
      <c r="GWD574" s="1831"/>
      <c r="GWE574" s="1831"/>
      <c r="GWF574" s="1831"/>
      <c r="GWG574" s="1831"/>
      <c r="GWH574" s="1831"/>
      <c r="GWI574" s="1831"/>
      <c r="GWJ574" s="1831"/>
      <c r="GWK574" s="1831"/>
      <c r="GWL574" s="1831"/>
      <c r="GWM574" s="1831"/>
      <c r="GWN574" s="1831"/>
      <c r="GWO574" s="1831"/>
      <c r="GWP574" s="1831"/>
      <c r="GWQ574" s="1831"/>
      <c r="GWR574" s="1831"/>
      <c r="GWS574" s="1831"/>
      <c r="GWT574" s="1831"/>
      <c r="GWU574" s="1831"/>
      <c r="GWV574" s="1831"/>
      <c r="GWW574" s="1831"/>
      <c r="GWX574" s="1831"/>
      <c r="GWY574" s="1831"/>
      <c r="GWZ574" s="1831"/>
      <c r="GXA574" s="1831"/>
      <c r="GXB574" s="1831"/>
      <c r="GXC574" s="1831"/>
      <c r="GXD574" s="1831"/>
      <c r="GXE574" s="1831"/>
      <c r="GXF574" s="1831"/>
      <c r="GXG574" s="1831"/>
      <c r="GXH574" s="1831"/>
      <c r="GXI574" s="1831"/>
      <c r="GXJ574" s="1831"/>
      <c r="GXK574" s="1831"/>
      <c r="GXL574" s="1831"/>
      <c r="GXM574" s="1831"/>
      <c r="GXN574" s="1831"/>
      <c r="GXO574" s="1831"/>
      <c r="GXP574" s="1831"/>
      <c r="GXQ574" s="1831"/>
      <c r="GXR574" s="1831"/>
      <c r="GXS574" s="1831"/>
      <c r="GXT574" s="1831"/>
      <c r="GXU574" s="1831"/>
      <c r="GXV574" s="1831"/>
      <c r="GXW574" s="1831"/>
      <c r="GXX574" s="1831"/>
      <c r="GXY574" s="1831"/>
      <c r="GXZ574" s="1831"/>
      <c r="GYA574" s="1831"/>
      <c r="GYB574" s="1831"/>
      <c r="GYC574" s="1831"/>
      <c r="GYD574" s="1831"/>
      <c r="GYE574" s="1831"/>
      <c r="GYF574" s="1831"/>
      <c r="GYG574" s="1831"/>
      <c r="GYH574" s="1831"/>
      <c r="GYI574" s="1831"/>
      <c r="GYJ574" s="1831"/>
      <c r="GYK574" s="1831"/>
      <c r="GYL574" s="1831"/>
      <c r="GYM574" s="1831"/>
      <c r="GYN574" s="1831"/>
      <c r="GYO574" s="1831"/>
      <c r="GYP574" s="1831"/>
      <c r="GYQ574" s="1831"/>
      <c r="GYR574" s="1831"/>
      <c r="GYS574" s="1831"/>
      <c r="GYT574" s="1831"/>
      <c r="GYU574" s="1831"/>
      <c r="GYV574" s="1831"/>
      <c r="GYW574" s="1831"/>
      <c r="GYX574" s="1831"/>
      <c r="GYY574" s="1831"/>
      <c r="GYZ574" s="1831"/>
      <c r="GZA574" s="1831"/>
      <c r="GZB574" s="1831"/>
      <c r="GZC574" s="1831"/>
      <c r="GZD574" s="1831"/>
      <c r="GZE574" s="1831"/>
      <c r="GZF574" s="1831"/>
      <c r="GZG574" s="1831"/>
      <c r="GZH574" s="1831"/>
      <c r="GZI574" s="1831"/>
      <c r="GZJ574" s="1831"/>
      <c r="GZK574" s="1831"/>
      <c r="GZL574" s="1831"/>
      <c r="GZM574" s="1831"/>
      <c r="GZN574" s="1831"/>
      <c r="GZO574" s="1831"/>
      <c r="GZP574" s="1831"/>
      <c r="GZQ574" s="1831"/>
      <c r="GZR574" s="1831"/>
      <c r="GZS574" s="1831"/>
      <c r="GZT574" s="1831"/>
      <c r="GZU574" s="1831"/>
      <c r="GZV574" s="1831"/>
      <c r="GZW574" s="1831"/>
      <c r="GZX574" s="1831"/>
      <c r="GZY574" s="1831"/>
      <c r="GZZ574" s="1831"/>
      <c r="HAA574" s="1831"/>
      <c r="HAB574" s="1831"/>
      <c r="HAC574" s="1831"/>
      <c r="HAD574" s="1831"/>
      <c r="HAE574" s="1831"/>
      <c r="HAF574" s="1831"/>
      <c r="HAG574" s="1831"/>
      <c r="HAH574" s="1831"/>
      <c r="HAI574" s="1831"/>
      <c r="HAJ574" s="1831"/>
      <c r="HAK574" s="1831"/>
      <c r="HAL574" s="1831"/>
      <c r="HAM574" s="1831"/>
      <c r="HAN574" s="1831"/>
      <c r="HAO574" s="1831"/>
      <c r="HAP574" s="1831"/>
      <c r="HAQ574" s="1831"/>
      <c r="HAR574" s="1831"/>
      <c r="HAS574" s="1831"/>
      <c r="HAT574" s="1831"/>
      <c r="HAU574" s="1831"/>
      <c r="HAV574" s="1831"/>
      <c r="HAW574" s="1831"/>
      <c r="HAX574" s="1831"/>
      <c r="HAY574" s="1831"/>
      <c r="HAZ574" s="1831"/>
      <c r="HBA574" s="1831"/>
      <c r="HBB574" s="1831"/>
      <c r="HBC574" s="1831"/>
      <c r="HBD574" s="1831"/>
      <c r="HBE574" s="1831"/>
      <c r="HBF574" s="1831"/>
      <c r="HBG574" s="1831"/>
      <c r="HBH574" s="1831"/>
      <c r="HBI574" s="1831"/>
      <c r="HBJ574" s="1831"/>
      <c r="HBK574" s="1831"/>
      <c r="HBL574" s="1831"/>
      <c r="HBM574" s="1831"/>
      <c r="HBN574" s="1831"/>
      <c r="HBO574" s="1831"/>
      <c r="HBP574" s="1831"/>
      <c r="HBQ574" s="1831"/>
      <c r="HBR574" s="1831"/>
      <c r="HBS574" s="1831"/>
      <c r="HBT574" s="1831"/>
      <c r="HBU574" s="1831"/>
      <c r="HBV574" s="1831"/>
      <c r="HBW574" s="1831"/>
      <c r="HBX574" s="1831"/>
      <c r="HBY574" s="1831"/>
      <c r="HBZ574" s="1831"/>
      <c r="HCA574" s="1831"/>
      <c r="HCB574" s="1831"/>
      <c r="HCC574" s="1831"/>
      <c r="HCD574" s="1831"/>
      <c r="HCE574" s="1831"/>
      <c r="HCF574" s="1831"/>
      <c r="HCG574" s="1831"/>
      <c r="HCH574" s="1831"/>
      <c r="HCI574" s="1831"/>
      <c r="HCJ574" s="1831"/>
      <c r="HCK574" s="1831"/>
      <c r="HCL574" s="1831"/>
      <c r="HCM574" s="1831"/>
      <c r="HCN574" s="1831"/>
      <c r="HCO574" s="1831"/>
      <c r="HCP574" s="1831"/>
      <c r="HCQ574" s="1831"/>
      <c r="HCR574" s="1831"/>
      <c r="HCS574" s="1831"/>
      <c r="HCT574" s="1831"/>
      <c r="HCU574" s="1831"/>
      <c r="HCV574" s="1831"/>
      <c r="HCW574" s="1831"/>
      <c r="HCX574" s="1831"/>
      <c r="HCY574" s="1831"/>
      <c r="HCZ574" s="1831"/>
      <c r="HDA574" s="1831"/>
      <c r="HDB574" s="1831"/>
      <c r="HDC574" s="1831"/>
      <c r="HDD574" s="1831"/>
      <c r="HDE574" s="1831"/>
      <c r="HDF574" s="1831"/>
      <c r="HDG574" s="1831"/>
      <c r="HDH574" s="1831"/>
      <c r="HDI574" s="1831"/>
      <c r="HDJ574" s="1831"/>
      <c r="HDK574" s="1831"/>
      <c r="HDL574" s="1831"/>
      <c r="HDM574" s="1831"/>
      <c r="HDN574" s="1831"/>
      <c r="HDO574" s="1831"/>
      <c r="HDP574" s="1831"/>
      <c r="HDQ574" s="1831"/>
      <c r="HDR574" s="1831"/>
      <c r="HDS574" s="1831"/>
      <c r="HDT574" s="1831"/>
      <c r="HDU574" s="1831"/>
      <c r="HDV574" s="1831"/>
      <c r="HDW574" s="1831"/>
      <c r="HDX574" s="1831"/>
      <c r="HDY574" s="1831"/>
      <c r="HDZ574" s="1831"/>
      <c r="HEA574" s="1831"/>
      <c r="HEB574" s="1831"/>
      <c r="HEC574" s="1831"/>
      <c r="HED574" s="1831"/>
      <c r="HEE574" s="1831"/>
      <c r="HEF574" s="1831"/>
      <c r="HEG574" s="1831"/>
      <c r="HEH574" s="1831"/>
      <c r="HEI574" s="1831"/>
      <c r="HEJ574" s="1831"/>
      <c r="HEK574" s="1831"/>
      <c r="HEL574" s="1831"/>
      <c r="HEM574" s="1831"/>
      <c r="HEN574" s="1831"/>
      <c r="HEO574" s="1831"/>
      <c r="HEP574" s="1831"/>
      <c r="HEQ574" s="1831"/>
      <c r="HER574" s="1831"/>
      <c r="HES574" s="1831"/>
      <c r="HET574" s="1831"/>
      <c r="HEU574" s="1831"/>
      <c r="HEV574" s="1831"/>
      <c r="HEW574" s="1831"/>
      <c r="HEX574" s="1831"/>
      <c r="HEY574" s="1831"/>
      <c r="HEZ574" s="1831"/>
      <c r="HFA574" s="1831"/>
      <c r="HFB574" s="1831"/>
      <c r="HFC574" s="1831"/>
      <c r="HFD574" s="1831"/>
      <c r="HFE574" s="1831"/>
      <c r="HFF574" s="1831"/>
      <c r="HFG574" s="1831"/>
      <c r="HFH574" s="1831"/>
      <c r="HFI574" s="1831"/>
      <c r="HFJ574" s="1831"/>
      <c r="HFK574" s="1831"/>
      <c r="HFL574" s="1831"/>
      <c r="HFM574" s="1831"/>
      <c r="HFN574" s="1831"/>
      <c r="HFO574" s="1831"/>
      <c r="HFP574" s="1831"/>
      <c r="HFQ574" s="1831"/>
      <c r="HFR574" s="1831"/>
      <c r="HFS574" s="1831"/>
      <c r="HFT574" s="1831"/>
      <c r="HFU574" s="1831"/>
      <c r="HFV574" s="1831"/>
      <c r="HFW574" s="1831"/>
      <c r="HFX574" s="1831"/>
      <c r="HFY574" s="1831"/>
      <c r="HFZ574" s="1831"/>
      <c r="HGA574" s="1831"/>
      <c r="HGB574" s="1831"/>
      <c r="HGC574" s="1831"/>
      <c r="HGD574" s="1831"/>
      <c r="HGE574" s="1831"/>
      <c r="HGF574" s="1831"/>
      <c r="HGG574" s="1831"/>
      <c r="HGH574" s="1831"/>
      <c r="HGI574" s="1831"/>
      <c r="HGJ574" s="1831"/>
      <c r="HGK574" s="1831"/>
      <c r="HGL574" s="1831"/>
      <c r="HGM574" s="1831"/>
      <c r="HGN574" s="1831"/>
      <c r="HGO574" s="1831"/>
      <c r="HGP574" s="1831"/>
      <c r="HGQ574" s="1831"/>
      <c r="HGR574" s="1831"/>
      <c r="HGS574" s="1831"/>
      <c r="HGT574" s="1831"/>
      <c r="HGU574" s="1831"/>
      <c r="HGV574" s="1831"/>
      <c r="HGW574" s="1831"/>
      <c r="HGX574" s="1831"/>
      <c r="HGY574" s="1831"/>
      <c r="HGZ574" s="1831"/>
      <c r="HHA574" s="1831"/>
      <c r="HHB574" s="1831"/>
      <c r="HHC574" s="1831"/>
      <c r="HHD574" s="1831"/>
      <c r="HHE574" s="1831"/>
      <c r="HHF574" s="1831"/>
      <c r="HHG574" s="1831"/>
      <c r="HHH574" s="1831"/>
      <c r="HHI574" s="1831"/>
      <c r="HHJ574" s="1831"/>
      <c r="HHK574" s="1831"/>
      <c r="HHL574" s="1831"/>
      <c r="HHM574" s="1831"/>
      <c r="HHN574" s="1831"/>
      <c r="HHO574" s="1831"/>
      <c r="HHP574" s="1831"/>
      <c r="HHQ574" s="1831"/>
      <c r="HHR574" s="1831"/>
      <c r="HHS574" s="1831"/>
      <c r="HHT574" s="1831"/>
      <c r="HHU574" s="1831"/>
      <c r="HHV574" s="1831"/>
      <c r="HHW574" s="1831"/>
      <c r="HHX574" s="1831"/>
      <c r="HHY574" s="1831"/>
      <c r="HHZ574" s="1831"/>
      <c r="HIA574" s="1831"/>
      <c r="HIB574" s="1831"/>
      <c r="HIC574" s="1831"/>
      <c r="HID574" s="1831"/>
      <c r="HIE574" s="1831"/>
      <c r="HIF574" s="1831"/>
      <c r="HIG574" s="1831"/>
      <c r="HIH574" s="1831"/>
      <c r="HII574" s="1831"/>
      <c r="HIJ574" s="1831"/>
      <c r="HIK574" s="1831"/>
      <c r="HIL574" s="1831"/>
      <c r="HIM574" s="1831"/>
      <c r="HIN574" s="1831"/>
      <c r="HIO574" s="1831"/>
      <c r="HIP574" s="1831"/>
      <c r="HIQ574" s="1831"/>
      <c r="HIR574" s="1831"/>
      <c r="HIS574" s="1831"/>
      <c r="HIT574" s="1831"/>
      <c r="HIU574" s="1831"/>
      <c r="HIV574" s="1831"/>
      <c r="HIW574" s="1831"/>
      <c r="HIX574" s="1831"/>
      <c r="HIY574" s="1831"/>
      <c r="HIZ574" s="1831"/>
      <c r="HJA574" s="1831"/>
      <c r="HJB574" s="1831"/>
      <c r="HJC574" s="1831"/>
      <c r="HJD574" s="1831"/>
      <c r="HJE574" s="1831"/>
      <c r="HJF574" s="1831"/>
      <c r="HJG574" s="1831"/>
      <c r="HJH574" s="1831"/>
      <c r="HJI574" s="1831"/>
      <c r="HJJ574" s="1831"/>
      <c r="HJK574" s="1831"/>
      <c r="HJL574" s="1831"/>
      <c r="HJM574" s="1831"/>
      <c r="HJN574" s="1831"/>
      <c r="HJO574" s="1831"/>
      <c r="HJP574" s="1831"/>
      <c r="HJQ574" s="1831"/>
      <c r="HJR574" s="1831"/>
      <c r="HJS574" s="1831"/>
      <c r="HJT574" s="1831"/>
      <c r="HJU574" s="1831"/>
      <c r="HJV574" s="1831"/>
      <c r="HJW574" s="1831"/>
      <c r="HJX574" s="1831"/>
      <c r="HJY574" s="1831"/>
      <c r="HJZ574" s="1831"/>
      <c r="HKA574" s="1831"/>
      <c r="HKB574" s="1831"/>
      <c r="HKC574" s="1831"/>
      <c r="HKD574" s="1831"/>
      <c r="HKE574" s="1831"/>
      <c r="HKF574" s="1831"/>
      <c r="HKG574" s="1831"/>
      <c r="HKH574" s="1831"/>
      <c r="HKI574" s="1831"/>
      <c r="HKJ574" s="1831"/>
      <c r="HKK574" s="1831"/>
      <c r="HKL574" s="1831"/>
      <c r="HKM574" s="1831"/>
      <c r="HKN574" s="1831"/>
      <c r="HKO574" s="1831"/>
      <c r="HKP574" s="1831"/>
      <c r="HKQ574" s="1831"/>
      <c r="HKR574" s="1831"/>
      <c r="HKS574" s="1831"/>
      <c r="HKT574" s="1831"/>
      <c r="HKU574" s="1831"/>
      <c r="HKV574" s="1831"/>
      <c r="HKW574" s="1831"/>
      <c r="HKX574" s="1831"/>
      <c r="HKY574" s="1831"/>
      <c r="HKZ574" s="1831"/>
      <c r="HLA574" s="1831"/>
      <c r="HLB574" s="1831"/>
      <c r="HLC574" s="1831"/>
      <c r="HLD574" s="1831"/>
      <c r="HLE574" s="1831"/>
      <c r="HLF574" s="1831"/>
      <c r="HLG574" s="1831"/>
      <c r="HLH574" s="1831"/>
      <c r="HLI574" s="1831"/>
      <c r="HLJ574" s="1831"/>
      <c r="HLK574" s="1831"/>
      <c r="HLL574" s="1831"/>
      <c r="HLM574" s="1831"/>
      <c r="HLN574" s="1831"/>
      <c r="HLO574" s="1831"/>
      <c r="HLP574" s="1831"/>
      <c r="HLQ574" s="1831"/>
      <c r="HLR574" s="1831"/>
      <c r="HLS574" s="1831"/>
      <c r="HLT574" s="1831"/>
      <c r="HLU574" s="1831"/>
      <c r="HLV574" s="1831"/>
      <c r="HLW574" s="1831"/>
      <c r="HLX574" s="1831"/>
      <c r="HLY574" s="1831"/>
      <c r="HLZ574" s="1831"/>
      <c r="HMA574" s="1831"/>
      <c r="HMB574" s="1831"/>
      <c r="HMC574" s="1831"/>
      <c r="HMD574" s="1831"/>
      <c r="HME574" s="1831"/>
      <c r="HMF574" s="1831"/>
      <c r="HMG574" s="1831"/>
      <c r="HMH574" s="1831"/>
      <c r="HMI574" s="1831"/>
      <c r="HMJ574" s="1831"/>
      <c r="HMK574" s="1831"/>
      <c r="HML574" s="1831"/>
      <c r="HMM574" s="1831"/>
      <c r="HMN574" s="1831"/>
      <c r="HMO574" s="1831"/>
      <c r="HMP574" s="1831"/>
      <c r="HMQ574" s="1831"/>
      <c r="HMR574" s="1831"/>
      <c r="HMS574" s="1831"/>
      <c r="HMT574" s="1831"/>
      <c r="HMU574" s="1831"/>
      <c r="HMV574" s="1831"/>
      <c r="HMW574" s="1831"/>
      <c r="HMX574" s="1831"/>
      <c r="HMY574" s="1831"/>
      <c r="HMZ574" s="1831"/>
      <c r="HNA574" s="1831"/>
      <c r="HNB574" s="1831"/>
      <c r="HNC574" s="1831"/>
      <c r="HND574" s="1831"/>
      <c r="HNE574" s="1831"/>
      <c r="HNF574" s="1831"/>
      <c r="HNG574" s="1831"/>
      <c r="HNH574" s="1831"/>
      <c r="HNI574" s="1831"/>
      <c r="HNJ574" s="1831"/>
      <c r="HNK574" s="1831"/>
      <c r="HNL574" s="1831"/>
      <c r="HNM574" s="1831"/>
      <c r="HNN574" s="1831"/>
      <c r="HNO574" s="1831"/>
      <c r="HNP574" s="1831"/>
      <c r="HNQ574" s="1831"/>
      <c r="HNR574" s="1831"/>
      <c r="HNS574" s="1831"/>
      <c r="HNT574" s="1831"/>
      <c r="HNU574" s="1831"/>
      <c r="HNV574" s="1831"/>
      <c r="HNW574" s="1831"/>
      <c r="HNX574" s="1831"/>
      <c r="HNY574" s="1831"/>
      <c r="HNZ574" s="1831"/>
      <c r="HOA574" s="1831"/>
      <c r="HOB574" s="1831"/>
      <c r="HOC574" s="1831"/>
      <c r="HOD574" s="1831"/>
      <c r="HOE574" s="1831"/>
      <c r="HOF574" s="1831"/>
      <c r="HOG574" s="1831"/>
      <c r="HOH574" s="1831"/>
      <c r="HOI574" s="1831"/>
      <c r="HOJ574" s="1831"/>
      <c r="HOK574" s="1831"/>
      <c r="HOL574" s="1831"/>
      <c r="HOM574" s="1831"/>
      <c r="HON574" s="1831"/>
      <c r="HOO574" s="1831"/>
      <c r="HOP574" s="1831"/>
      <c r="HOQ574" s="1831"/>
      <c r="HOR574" s="1831"/>
      <c r="HOS574" s="1831"/>
      <c r="HOT574" s="1831"/>
      <c r="HOU574" s="1831"/>
      <c r="HOV574" s="1831"/>
      <c r="HOW574" s="1831"/>
      <c r="HOX574" s="1831"/>
      <c r="HOY574" s="1831"/>
      <c r="HOZ574" s="1831"/>
      <c r="HPA574" s="1831"/>
      <c r="HPB574" s="1831"/>
      <c r="HPC574" s="1831"/>
      <c r="HPD574" s="1831"/>
      <c r="HPE574" s="1831"/>
      <c r="HPF574" s="1831"/>
      <c r="HPG574" s="1831"/>
      <c r="HPH574" s="1831"/>
      <c r="HPI574" s="1831"/>
      <c r="HPJ574" s="1831"/>
      <c r="HPK574" s="1831"/>
      <c r="HPL574" s="1831"/>
      <c r="HPM574" s="1831"/>
      <c r="HPN574" s="1831"/>
      <c r="HPO574" s="1831"/>
      <c r="HPP574" s="1831"/>
      <c r="HPQ574" s="1831"/>
      <c r="HPR574" s="1831"/>
      <c r="HPS574" s="1831"/>
      <c r="HPT574" s="1831"/>
      <c r="HPU574" s="1831"/>
      <c r="HPV574" s="1831"/>
      <c r="HPW574" s="1831"/>
      <c r="HPX574" s="1831"/>
      <c r="HPY574" s="1831"/>
      <c r="HPZ574" s="1831"/>
      <c r="HQA574" s="1831"/>
      <c r="HQB574" s="1831"/>
      <c r="HQC574" s="1831"/>
      <c r="HQD574" s="1831"/>
      <c r="HQE574" s="1831"/>
      <c r="HQF574" s="1831"/>
      <c r="HQG574" s="1831"/>
      <c r="HQH574" s="1831"/>
      <c r="HQI574" s="1831"/>
      <c r="HQJ574" s="1831"/>
      <c r="HQK574" s="1831"/>
      <c r="HQL574" s="1831"/>
      <c r="HQM574" s="1831"/>
      <c r="HQN574" s="1831"/>
      <c r="HQO574" s="1831"/>
      <c r="HQP574" s="1831"/>
      <c r="HQQ574" s="1831"/>
      <c r="HQR574" s="1831"/>
      <c r="HQS574" s="1831"/>
      <c r="HQT574" s="1831"/>
      <c r="HQU574" s="1831"/>
      <c r="HQV574" s="1831"/>
      <c r="HQW574" s="1831"/>
      <c r="HQX574" s="1831"/>
      <c r="HQY574" s="1831"/>
      <c r="HQZ574" s="1831"/>
      <c r="HRA574" s="1831"/>
      <c r="HRB574" s="1831"/>
      <c r="HRC574" s="1831"/>
      <c r="HRD574" s="1831"/>
      <c r="HRE574" s="1831"/>
      <c r="HRF574" s="1831"/>
      <c r="HRG574" s="1831"/>
      <c r="HRH574" s="1831"/>
      <c r="HRI574" s="1831"/>
      <c r="HRJ574" s="1831"/>
      <c r="HRK574" s="1831"/>
      <c r="HRL574" s="1831"/>
      <c r="HRM574" s="1831"/>
      <c r="HRN574" s="1831"/>
      <c r="HRO574" s="1831"/>
      <c r="HRP574" s="1831"/>
      <c r="HRQ574" s="1831"/>
      <c r="HRR574" s="1831"/>
      <c r="HRS574" s="1831"/>
      <c r="HRT574" s="1831"/>
      <c r="HRU574" s="1831"/>
      <c r="HRV574" s="1831"/>
      <c r="HRW574" s="1831"/>
      <c r="HRX574" s="1831"/>
      <c r="HRY574" s="1831"/>
      <c r="HRZ574" s="1831"/>
      <c r="HSA574" s="1831"/>
      <c r="HSB574" s="1831"/>
      <c r="HSC574" s="1831"/>
      <c r="HSD574" s="1831"/>
      <c r="HSE574" s="1831"/>
      <c r="HSF574" s="1831"/>
      <c r="HSG574" s="1831"/>
      <c r="HSH574" s="1831"/>
      <c r="HSI574" s="1831"/>
      <c r="HSJ574" s="1831"/>
      <c r="HSK574" s="1831"/>
      <c r="HSL574" s="1831"/>
      <c r="HSM574" s="1831"/>
      <c r="HSN574" s="1831"/>
      <c r="HSO574" s="1831"/>
      <c r="HSP574" s="1831"/>
      <c r="HSQ574" s="1831"/>
      <c r="HSR574" s="1831"/>
      <c r="HSS574" s="1831"/>
      <c r="HST574" s="1831"/>
      <c r="HSU574" s="1831"/>
      <c r="HSV574" s="1831"/>
      <c r="HSW574" s="1831"/>
      <c r="HSX574" s="1831"/>
      <c r="HSY574" s="1831"/>
      <c r="HSZ574" s="1831"/>
      <c r="HTA574" s="1831"/>
      <c r="HTB574" s="1831"/>
      <c r="HTC574" s="1831"/>
      <c r="HTD574" s="1831"/>
      <c r="HTE574" s="1831"/>
      <c r="HTF574" s="1831"/>
      <c r="HTG574" s="1831"/>
      <c r="HTH574" s="1831"/>
      <c r="HTI574" s="1831"/>
      <c r="HTJ574" s="1831"/>
      <c r="HTK574" s="1831"/>
      <c r="HTL574" s="1831"/>
      <c r="HTM574" s="1831"/>
      <c r="HTN574" s="1831"/>
      <c r="HTO574" s="1831"/>
      <c r="HTP574" s="1831"/>
      <c r="HTQ574" s="1831"/>
      <c r="HTR574" s="1831"/>
      <c r="HTS574" s="1831"/>
      <c r="HTT574" s="1831"/>
      <c r="HTU574" s="1831"/>
      <c r="HTV574" s="1831"/>
      <c r="HTW574" s="1831"/>
      <c r="HTX574" s="1831"/>
      <c r="HTY574" s="1831"/>
      <c r="HTZ574" s="1831"/>
      <c r="HUA574" s="1831"/>
      <c r="HUB574" s="1831"/>
      <c r="HUC574" s="1831"/>
      <c r="HUD574" s="1831"/>
      <c r="HUE574" s="1831"/>
      <c r="HUF574" s="1831"/>
      <c r="HUG574" s="1831"/>
      <c r="HUH574" s="1831"/>
      <c r="HUI574" s="1831"/>
      <c r="HUJ574" s="1831"/>
      <c r="HUK574" s="1831"/>
      <c r="HUL574" s="1831"/>
      <c r="HUM574" s="1831"/>
      <c r="HUN574" s="1831"/>
      <c r="HUO574" s="1831"/>
      <c r="HUP574" s="1831"/>
      <c r="HUQ574" s="1831"/>
      <c r="HUR574" s="1831"/>
      <c r="HUS574" s="1831"/>
      <c r="HUT574" s="1831"/>
      <c r="HUU574" s="1831"/>
      <c r="HUV574" s="1831"/>
      <c r="HUW574" s="1831"/>
      <c r="HUX574" s="1831"/>
      <c r="HUY574" s="1831"/>
      <c r="HUZ574" s="1831"/>
      <c r="HVA574" s="1831"/>
      <c r="HVB574" s="1831"/>
      <c r="HVC574" s="1831"/>
      <c r="HVD574" s="1831"/>
      <c r="HVE574" s="1831"/>
      <c r="HVF574" s="1831"/>
      <c r="HVG574" s="1831"/>
      <c r="HVH574" s="1831"/>
      <c r="HVI574" s="1831"/>
      <c r="HVJ574" s="1831"/>
      <c r="HVK574" s="1831"/>
      <c r="HVL574" s="1831"/>
      <c r="HVM574" s="1831"/>
      <c r="HVN574" s="1831"/>
      <c r="HVO574" s="1831"/>
      <c r="HVP574" s="1831"/>
      <c r="HVQ574" s="1831"/>
      <c r="HVR574" s="1831"/>
      <c r="HVS574" s="1831"/>
      <c r="HVT574" s="1831"/>
      <c r="HVU574" s="1831"/>
      <c r="HVV574" s="1831"/>
      <c r="HVW574" s="1831"/>
      <c r="HVX574" s="1831"/>
      <c r="HVY574" s="1831"/>
      <c r="HVZ574" s="1831"/>
      <c r="HWA574" s="1831"/>
      <c r="HWB574" s="1831"/>
      <c r="HWC574" s="1831"/>
      <c r="HWD574" s="1831"/>
      <c r="HWE574" s="1831"/>
      <c r="HWF574" s="1831"/>
      <c r="HWG574" s="1831"/>
      <c r="HWH574" s="1831"/>
      <c r="HWI574" s="1831"/>
      <c r="HWJ574" s="1831"/>
      <c r="HWK574" s="1831"/>
      <c r="HWL574" s="1831"/>
      <c r="HWM574" s="1831"/>
      <c r="HWN574" s="1831"/>
      <c r="HWO574" s="1831"/>
      <c r="HWP574" s="1831"/>
      <c r="HWQ574" s="1831"/>
      <c r="HWR574" s="1831"/>
      <c r="HWS574" s="1831"/>
      <c r="HWT574" s="1831"/>
      <c r="HWU574" s="1831"/>
      <c r="HWV574" s="1831"/>
      <c r="HWW574" s="1831"/>
      <c r="HWX574" s="1831"/>
      <c r="HWY574" s="1831"/>
      <c r="HWZ574" s="1831"/>
      <c r="HXA574" s="1831"/>
      <c r="HXB574" s="1831"/>
      <c r="HXC574" s="1831"/>
      <c r="HXD574" s="1831"/>
      <c r="HXE574" s="1831"/>
      <c r="HXF574" s="1831"/>
      <c r="HXG574" s="1831"/>
      <c r="HXH574" s="1831"/>
      <c r="HXI574" s="1831"/>
      <c r="HXJ574" s="1831"/>
      <c r="HXK574" s="1831"/>
      <c r="HXL574" s="1831"/>
      <c r="HXM574" s="1831"/>
      <c r="HXN574" s="1831"/>
      <c r="HXO574" s="1831"/>
      <c r="HXP574" s="1831"/>
      <c r="HXQ574" s="1831"/>
      <c r="HXR574" s="1831"/>
      <c r="HXS574" s="1831"/>
      <c r="HXT574" s="1831"/>
      <c r="HXU574" s="1831"/>
      <c r="HXV574" s="1831"/>
      <c r="HXW574" s="1831"/>
      <c r="HXX574" s="1831"/>
      <c r="HXY574" s="1831"/>
      <c r="HXZ574" s="1831"/>
      <c r="HYA574" s="1831"/>
      <c r="HYB574" s="1831"/>
      <c r="HYC574" s="1831"/>
      <c r="HYD574" s="1831"/>
      <c r="HYE574" s="1831"/>
      <c r="HYF574" s="1831"/>
      <c r="HYG574" s="1831"/>
      <c r="HYH574" s="1831"/>
      <c r="HYI574" s="1831"/>
      <c r="HYJ574" s="1831"/>
      <c r="HYK574" s="1831"/>
      <c r="HYL574" s="1831"/>
      <c r="HYM574" s="1831"/>
      <c r="HYN574" s="1831"/>
      <c r="HYO574" s="1831"/>
      <c r="HYP574" s="1831"/>
      <c r="HYQ574" s="1831"/>
      <c r="HYR574" s="1831"/>
      <c r="HYS574" s="1831"/>
      <c r="HYT574" s="1831"/>
      <c r="HYU574" s="1831"/>
      <c r="HYV574" s="1831"/>
      <c r="HYW574" s="1831"/>
      <c r="HYX574" s="1831"/>
      <c r="HYY574" s="1831"/>
      <c r="HYZ574" s="1831"/>
      <c r="HZA574" s="1831"/>
      <c r="HZB574" s="1831"/>
      <c r="HZC574" s="1831"/>
      <c r="HZD574" s="1831"/>
      <c r="HZE574" s="1831"/>
      <c r="HZF574" s="1831"/>
      <c r="HZG574" s="1831"/>
      <c r="HZH574" s="1831"/>
      <c r="HZI574" s="1831"/>
      <c r="HZJ574" s="1831"/>
      <c r="HZK574" s="1831"/>
      <c r="HZL574" s="1831"/>
      <c r="HZM574" s="1831"/>
      <c r="HZN574" s="1831"/>
      <c r="HZO574" s="1831"/>
      <c r="HZP574" s="1831"/>
      <c r="HZQ574" s="1831"/>
      <c r="HZR574" s="1831"/>
      <c r="HZS574" s="1831"/>
      <c r="HZT574" s="1831"/>
      <c r="HZU574" s="1831"/>
      <c r="HZV574" s="1831"/>
      <c r="HZW574" s="1831"/>
      <c r="HZX574" s="1831"/>
      <c r="HZY574" s="1831"/>
      <c r="HZZ574" s="1831"/>
      <c r="IAA574" s="1831"/>
      <c r="IAB574" s="1831"/>
      <c r="IAC574" s="1831"/>
      <c r="IAD574" s="1831"/>
      <c r="IAE574" s="1831"/>
      <c r="IAF574" s="1831"/>
      <c r="IAG574" s="1831"/>
      <c r="IAH574" s="1831"/>
      <c r="IAI574" s="1831"/>
      <c r="IAJ574" s="1831"/>
      <c r="IAK574" s="1831"/>
      <c r="IAL574" s="1831"/>
      <c r="IAM574" s="1831"/>
      <c r="IAN574" s="1831"/>
      <c r="IAO574" s="1831"/>
      <c r="IAP574" s="1831"/>
      <c r="IAQ574" s="1831"/>
      <c r="IAR574" s="1831"/>
      <c r="IAS574" s="1831"/>
      <c r="IAT574" s="1831"/>
      <c r="IAU574" s="1831"/>
      <c r="IAV574" s="1831"/>
      <c r="IAW574" s="1831"/>
      <c r="IAX574" s="1831"/>
      <c r="IAY574" s="1831"/>
      <c r="IAZ574" s="1831"/>
      <c r="IBA574" s="1831"/>
      <c r="IBB574" s="1831"/>
      <c r="IBC574" s="1831"/>
      <c r="IBD574" s="1831"/>
      <c r="IBE574" s="1831"/>
      <c r="IBF574" s="1831"/>
      <c r="IBG574" s="1831"/>
      <c r="IBH574" s="1831"/>
      <c r="IBI574" s="1831"/>
      <c r="IBJ574" s="1831"/>
      <c r="IBK574" s="1831"/>
      <c r="IBL574" s="1831"/>
      <c r="IBM574" s="1831"/>
      <c r="IBN574" s="1831"/>
      <c r="IBO574" s="1831"/>
      <c r="IBP574" s="1831"/>
      <c r="IBQ574" s="1831"/>
      <c r="IBR574" s="1831"/>
      <c r="IBS574" s="1831"/>
      <c r="IBT574" s="1831"/>
      <c r="IBU574" s="1831"/>
      <c r="IBV574" s="1831"/>
      <c r="IBW574" s="1831"/>
      <c r="IBX574" s="1831"/>
      <c r="IBY574" s="1831"/>
      <c r="IBZ574" s="1831"/>
      <c r="ICA574" s="1831"/>
      <c r="ICB574" s="1831"/>
      <c r="ICC574" s="1831"/>
      <c r="ICD574" s="1831"/>
      <c r="ICE574" s="1831"/>
      <c r="ICF574" s="1831"/>
      <c r="ICG574" s="1831"/>
      <c r="ICH574" s="1831"/>
      <c r="ICI574" s="1831"/>
      <c r="ICJ574" s="1831"/>
      <c r="ICK574" s="1831"/>
      <c r="ICL574" s="1831"/>
      <c r="ICM574" s="1831"/>
      <c r="ICN574" s="1831"/>
      <c r="ICO574" s="1831"/>
      <c r="ICP574" s="1831"/>
      <c r="ICQ574" s="1831"/>
      <c r="ICR574" s="1831"/>
      <c r="ICS574" s="1831"/>
      <c r="ICT574" s="1831"/>
      <c r="ICU574" s="1831"/>
      <c r="ICV574" s="1831"/>
      <c r="ICW574" s="1831"/>
      <c r="ICX574" s="1831"/>
      <c r="ICY574" s="1831"/>
      <c r="ICZ574" s="1831"/>
      <c r="IDA574" s="1831"/>
      <c r="IDB574" s="1831"/>
      <c r="IDC574" s="1831"/>
      <c r="IDD574" s="1831"/>
      <c r="IDE574" s="1831"/>
      <c r="IDF574" s="1831"/>
      <c r="IDG574" s="1831"/>
      <c r="IDH574" s="1831"/>
      <c r="IDI574" s="1831"/>
      <c r="IDJ574" s="1831"/>
      <c r="IDK574" s="1831"/>
      <c r="IDL574" s="1831"/>
      <c r="IDM574" s="1831"/>
      <c r="IDN574" s="1831"/>
      <c r="IDO574" s="1831"/>
      <c r="IDP574" s="1831"/>
      <c r="IDQ574" s="1831"/>
      <c r="IDR574" s="1831"/>
      <c r="IDS574" s="1831"/>
      <c r="IDT574" s="1831"/>
      <c r="IDU574" s="1831"/>
      <c r="IDV574" s="1831"/>
      <c r="IDW574" s="1831"/>
      <c r="IDX574" s="1831"/>
      <c r="IDY574" s="1831"/>
      <c r="IDZ574" s="1831"/>
      <c r="IEA574" s="1831"/>
      <c r="IEB574" s="1831"/>
      <c r="IEC574" s="1831"/>
      <c r="IED574" s="1831"/>
      <c r="IEE574" s="1831"/>
      <c r="IEF574" s="1831"/>
      <c r="IEG574" s="1831"/>
      <c r="IEH574" s="1831"/>
      <c r="IEI574" s="1831"/>
      <c r="IEJ574" s="1831"/>
      <c r="IEK574" s="1831"/>
      <c r="IEL574" s="1831"/>
      <c r="IEM574" s="1831"/>
      <c r="IEN574" s="1831"/>
      <c r="IEO574" s="1831"/>
      <c r="IEP574" s="1831"/>
      <c r="IEQ574" s="1831"/>
      <c r="IER574" s="1831"/>
      <c r="IES574" s="1831"/>
      <c r="IET574" s="1831"/>
      <c r="IEU574" s="1831"/>
      <c r="IEV574" s="1831"/>
      <c r="IEW574" s="1831"/>
      <c r="IEX574" s="1831"/>
      <c r="IEY574" s="1831"/>
      <c r="IEZ574" s="1831"/>
      <c r="IFA574" s="1831"/>
      <c r="IFB574" s="1831"/>
      <c r="IFC574" s="1831"/>
      <c r="IFD574" s="1831"/>
      <c r="IFE574" s="1831"/>
      <c r="IFF574" s="1831"/>
      <c r="IFG574" s="1831"/>
      <c r="IFH574" s="1831"/>
      <c r="IFI574" s="1831"/>
      <c r="IFJ574" s="1831"/>
      <c r="IFK574" s="1831"/>
      <c r="IFL574" s="1831"/>
      <c r="IFM574" s="1831"/>
      <c r="IFN574" s="1831"/>
      <c r="IFO574" s="1831"/>
      <c r="IFP574" s="1831"/>
      <c r="IFQ574" s="1831"/>
      <c r="IFR574" s="1831"/>
      <c r="IFS574" s="1831"/>
      <c r="IFT574" s="1831"/>
      <c r="IFU574" s="1831"/>
      <c r="IFV574" s="1831"/>
      <c r="IFW574" s="1831"/>
      <c r="IFX574" s="1831"/>
      <c r="IFY574" s="1831"/>
      <c r="IFZ574" s="1831"/>
      <c r="IGA574" s="1831"/>
      <c r="IGB574" s="1831"/>
      <c r="IGC574" s="1831"/>
      <c r="IGD574" s="1831"/>
      <c r="IGE574" s="1831"/>
      <c r="IGF574" s="1831"/>
      <c r="IGG574" s="1831"/>
      <c r="IGH574" s="1831"/>
      <c r="IGI574" s="1831"/>
      <c r="IGJ574" s="1831"/>
      <c r="IGK574" s="1831"/>
      <c r="IGL574" s="1831"/>
      <c r="IGM574" s="1831"/>
      <c r="IGN574" s="1831"/>
      <c r="IGO574" s="1831"/>
      <c r="IGP574" s="1831"/>
      <c r="IGQ574" s="1831"/>
      <c r="IGR574" s="1831"/>
      <c r="IGS574" s="1831"/>
      <c r="IGT574" s="1831"/>
      <c r="IGU574" s="1831"/>
      <c r="IGV574" s="1831"/>
      <c r="IGW574" s="1831"/>
      <c r="IGX574" s="1831"/>
      <c r="IGY574" s="1831"/>
      <c r="IGZ574" s="1831"/>
      <c r="IHA574" s="1831"/>
      <c r="IHB574" s="1831"/>
      <c r="IHC574" s="1831"/>
      <c r="IHD574" s="1831"/>
      <c r="IHE574" s="1831"/>
      <c r="IHF574" s="1831"/>
      <c r="IHG574" s="1831"/>
      <c r="IHH574" s="1831"/>
      <c r="IHI574" s="1831"/>
      <c r="IHJ574" s="1831"/>
      <c r="IHK574" s="1831"/>
      <c r="IHL574" s="1831"/>
      <c r="IHM574" s="1831"/>
      <c r="IHN574" s="1831"/>
      <c r="IHO574" s="1831"/>
      <c r="IHP574" s="1831"/>
      <c r="IHQ574" s="1831"/>
      <c r="IHR574" s="1831"/>
      <c r="IHS574" s="1831"/>
      <c r="IHT574" s="1831"/>
      <c r="IHU574" s="1831"/>
      <c r="IHV574" s="1831"/>
      <c r="IHW574" s="1831"/>
      <c r="IHX574" s="1831"/>
      <c r="IHY574" s="1831"/>
      <c r="IHZ574" s="1831"/>
      <c r="IIA574" s="1831"/>
      <c r="IIB574" s="1831"/>
      <c r="IIC574" s="1831"/>
      <c r="IID574" s="1831"/>
      <c r="IIE574" s="1831"/>
      <c r="IIF574" s="1831"/>
      <c r="IIG574" s="1831"/>
      <c r="IIH574" s="1831"/>
      <c r="III574" s="1831"/>
      <c r="IIJ574" s="1831"/>
      <c r="IIK574" s="1831"/>
      <c r="IIL574" s="1831"/>
      <c r="IIM574" s="1831"/>
      <c r="IIN574" s="1831"/>
      <c r="IIO574" s="1831"/>
      <c r="IIP574" s="1831"/>
      <c r="IIQ574" s="1831"/>
      <c r="IIR574" s="1831"/>
      <c r="IIS574" s="1831"/>
      <c r="IIT574" s="1831"/>
      <c r="IIU574" s="1831"/>
      <c r="IIV574" s="1831"/>
      <c r="IIW574" s="1831"/>
      <c r="IIX574" s="1831"/>
      <c r="IIY574" s="1831"/>
      <c r="IIZ574" s="1831"/>
      <c r="IJA574" s="1831"/>
      <c r="IJB574" s="1831"/>
      <c r="IJC574" s="1831"/>
      <c r="IJD574" s="1831"/>
      <c r="IJE574" s="1831"/>
      <c r="IJF574" s="1831"/>
      <c r="IJG574" s="1831"/>
      <c r="IJH574" s="1831"/>
      <c r="IJI574" s="1831"/>
      <c r="IJJ574" s="1831"/>
      <c r="IJK574" s="1831"/>
      <c r="IJL574" s="1831"/>
      <c r="IJM574" s="1831"/>
      <c r="IJN574" s="1831"/>
      <c r="IJO574" s="1831"/>
      <c r="IJP574" s="1831"/>
      <c r="IJQ574" s="1831"/>
      <c r="IJR574" s="1831"/>
      <c r="IJS574" s="1831"/>
      <c r="IJT574" s="1831"/>
      <c r="IJU574" s="1831"/>
      <c r="IJV574" s="1831"/>
      <c r="IJW574" s="1831"/>
      <c r="IJX574" s="1831"/>
      <c r="IJY574" s="1831"/>
      <c r="IJZ574" s="1831"/>
      <c r="IKA574" s="1831"/>
      <c r="IKB574" s="1831"/>
      <c r="IKC574" s="1831"/>
      <c r="IKD574" s="1831"/>
      <c r="IKE574" s="1831"/>
      <c r="IKF574" s="1831"/>
      <c r="IKG574" s="1831"/>
      <c r="IKH574" s="1831"/>
      <c r="IKI574" s="1831"/>
      <c r="IKJ574" s="1831"/>
      <c r="IKK574" s="1831"/>
      <c r="IKL574" s="1831"/>
      <c r="IKM574" s="1831"/>
      <c r="IKN574" s="1831"/>
      <c r="IKO574" s="1831"/>
      <c r="IKP574" s="1831"/>
      <c r="IKQ574" s="1831"/>
      <c r="IKR574" s="1831"/>
      <c r="IKS574" s="1831"/>
      <c r="IKT574" s="1831"/>
      <c r="IKU574" s="1831"/>
      <c r="IKV574" s="1831"/>
      <c r="IKW574" s="1831"/>
      <c r="IKX574" s="1831"/>
      <c r="IKY574" s="1831"/>
      <c r="IKZ574" s="1831"/>
      <c r="ILA574" s="1831"/>
      <c r="ILB574" s="1831"/>
      <c r="ILC574" s="1831"/>
      <c r="ILD574" s="1831"/>
      <c r="ILE574" s="1831"/>
      <c r="ILF574" s="1831"/>
      <c r="ILG574" s="1831"/>
      <c r="ILH574" s="1831"/>
      <c r="ILI574" s="1831"/>
      <c r="ILJ574" s="1831"/>
      <c r="ILK574" s="1831"/>
      <c r="ILL574" s="1831"/>
      <c r="ILM574" s="1831"/>
      <c r="ILN574" s="1831"/>
      <c r="ILO574" s="1831"/>
      <c r="ILP574" s="1831"/>
      <c r="ILQ574" s="1831"/>
      <c r="ILR574" s="1831"/>
      <c r="ILS574" s="1831"/>
      <c r="ILT574" s="1831"/>
      <c r="ILU574" s="1831"/>
      <c r="ILV574" s="1831"/>
      <c r="ILW574" s="1831"/>
      <c r="ILX574" s="1831"/>
      <c r="ILY574" s="1831"/>
      <c r="ILZ574" s="1831"/>
      <c r="IMA574" s="1831"/>
      <c r="IMB574" s="1831"/>
      <c r="IMC574" s="1831"/>
      <c r="IMD574" s="1831"/>
      <c r="IME574" s="1831"/>
      <c r="IMF574" s="1831"/>
      <c r="IMG574" s="1831"/>
      <c r="IMH574" s="1831"/>
      <c r="IMI574" s="1831"/>
      <c r="IMJ574" s="1831"/>
      <c r="IMK574" s="1831"/>
      <c r="IML574" s="1831"/>
      <c r="IMM574" s="1831"/>
      <c r="IMN574" s="1831"/>
      <c r="IMO574" s="1831"/>
      <c r="IMP574" s="1831"/>
      <c r="IMQ574" s="1831"/>
      <c r="IMR574" s="1831"/>
      <c r="IMS574" s="1831"/>
      <c r="IMT574" s="1831"/>
      <c r="IMU574" s="1831"/>
      <c r="IMV574" s="1831"/>
      <c r="IMW574" s="1831"/>
      <c r="IMX574" s="1831"/>
      <c r="IMY574" s="1831"/>
      <c r="IMZ574" s="1831"/>
      <c r="INA574" s="1831"/>
      <c r="INB574" s="1831"/>
      <c r="INC574" s="1831"/>
      <c r="IND574" s="1831"/>
      <c r="INE574" s="1831"/>
      <c r="INF574" s="1831"/>
      <c r="ING574" s="1831"/>
      <c r="INH574" s="1831"/>
      <c r="INI574" s="1831"/>
      <c r="INJ574" s="1831"/>
      <c r="INK574" s="1831"/>
      <c r="INL574" s="1831"/>
      <c r="INM574" s="1831"/>
      <c r="INN574" s="1831"/>
      <c r="INO574" s="1831"/>
      <c r="INP574" s="1831"/>
      <c r="INQ574" s="1831"/>
      <c r="INR574" s="1831"/>
      <c r="INS574" s="1831"/>
      <c r="INT574" s="1831"/>
      <c r="INU574" s="1831"/>
      <c r="INV574" s="1831"/>
      <c r="INW574" s="1831"/>
      <c r="INX574" s="1831"/>
      <c r="INY574" s="1831"/>
      <c r="INZ574" s="1831"/>
      <c r="IOA574" s="1831"/>
      <c r="IOB574" s="1831"/>
      <c r="IOC574" s="1831"/>
      <c r="IOD574" s="1831"/>
      <c r="IOE574" s="1831"/>
      <c r="IOF574" s="1831"/>
      <c r="IOG574" s="1831"/>
      <c r="IOH574" s="1831"/>
      <c r="IOI574" s="1831"/>
      <c r="IOJ574" s="1831"/>
      <c r="IOK574" s="1831"/>
      <c r="IOL574" s="1831"/>
      <c r="IOM574" s="1831"/>
      <c r="ION574" s="1831"/>
      <c r="IOO574" s="1831"/>
      <c r="IOP574" s="1831"/>
      <c r="IOQ574" s="1831"/>
      <c r="IOR574" s="1831"/>
      <c r="IOS574" s="1831"/>
      <c r="IOT574" s="1831"/>
      <c r="IOU574" s="1831"/>
      <c r="IOV574" s="1831"/>
      <c r="IOW574" s="1831"/>
      <c r="IOX574" s="1831"/>
      <c r="IOY574" s="1831"/>
      <c r="IOZ574" s="1831"/>
      <c r="IPA574" s="1831"/>
      <c r="IPB574" s="1831"/>
      <c r="IPC574" s="1831"/>
      <c r="IPD574" s="1831"/>
      <c r="IPE574" s="1831"/>
      <c r="IPF574" s="1831"/>
      <c r="IPG574" s="1831"/>
      <c r="IPH574" s="1831"/>
      <c r="IPI574" s="1831"/>
      <c r="IPJ574" s="1831"/>
      <c r="IPK574" s="1831"/>
      <c r="IPL574" s="1831"/>
      <c r="IPM574" s="1831"/>
      <c r="IPN574" s="1831"/>
      <c r="IPO574" s="1831"/>
      <c r="IPP574" s="1831"/>
      <c r="IPQ574" s="1831"/>
      <c r="IPR574" s="1831"/>
      <c r="IPS574" s="1831"/>
      <c r="IPT574" s="1831"/>
      <c r="IPU574" s="1831"/>
      <c r="IPV574" s="1831"/>
      <c r="IPW574" s="1831"/>
      <c r="IPX574" s="1831"/>
      <c r="IPY574" s="1831"/>
      <c r="IPZ574" s="1831"/>
      <c r="IQA574" s="1831"/>
      <c r="IQB574" s="1831"/>
      <c r="IQC574" s="1831"/>
      <c r="IQD574" s="1831"/>
      <c r="IQE574" s="1831"/>
      <c r="IQF574" s="1831"/>
      <c r="IQG574" s="1831"/>
      <c r="IQH574" s="1831"/>
      <c r="IQI574" s="1831"/>
      <c r="IQJ574" s="1831"/>
      <c r="IQK574" s="1831"/>
      <c r="IQL574" s="1831"/>
      <c r="IQM574" s="1831"/>
      <c r="IQN574" s="1831"/>
      <c r="IQO574" s="1831"/>
      <c r="IQP574" s="1831"/>
      <c r="IQQ574" s="1831"/>
      <c r="IQR574" s="1831"/>
      <c r="IQS574" s="1831"/>
      <c r="IQT574" s="1831"/>
      <c r="IQU574" s="1831"/>
      <c r="IQV574" s="1831"/>
      <c r="IQW574" s="1831"/>
      <c r="IQX574" s="1831"/>
      <c r="IQY574" s="1831"/>
      <c r="IQZ574" s="1831"/>
      <c r="IRA574" s="1831"/>
      <c r="IRB574" s="1831"/>
      <c r="IRC574" s="1831"/>
      <c r="IRD574" s="1831"/>
      <c r="IRE574" s="1831"/>
      <c r="IRF574" s="1831"/>
      <c r="IRG574" s="1831"/>
      <c r="IRH574" s="1831"/>
      <c r="IRI574" s="1831"/>
      <c r="IRJ574" s="1831"/>
      <c r="IRK574" s="1831"/>
      <c r="IRL574" s="1831"/>
      <c r="IRM574" s="1831"/>
      <c r="IRN574" s="1831"/>
      <c r="IRO574" s="1831"/>
      <c r="IRP574" s="1831"/>
      <c r="IRQ574" s="1831"/>
      <c r="IRR574" s="1831"/>
      <c r="IRS574" s="1831"/>
      <c r="IRT574" s="1831"/>
      <c r="IRU574" s="1831"/>
      <c r="IRV574" s="1831"/>
      <c r="IRW574" s="1831"/>
      <c r="IRX574" s="1831"/>
      <c r="IRY574" s="1831"/>
      <c r="IRZ574" s="1831"/>
      <c r="ISA574" s="1831"/>
      <c r="ISB574" s="1831"/>
      <c r="ISC574" s="1831"/>
      <c r="ISD574" s="1831"/>
      <c r="ISE574" s="1831"/>
      <c r="ISF574" s="1831"/>
      <c r="ISG574" s="1831"/>
      <c r="ISH574" s="1831"/>
      <c r="ISI574" s="1831"/>
      <c r="ISJ574" s="1831"/>
      <c r="ISK574" s="1831"/>
      <c r="ISL574" s="1831"/>
      <c r="ISM574" s="1831"/>
      <c r="ISN574" s="1831"/>
      <c r="ISO574" s="1831"/>
      <c r="ISP574" s="1831"/>
      <c r="ISQ574" s="1831"/>
      <c r="ISR574" s="1831"/>
      <c r="ISS574" s="1831"/>
      <c r="IST574" s="1831"/>
      <c r="ISU574" s="1831"/>
      <c r="ISV574" s="1831"/>
      <c r="ISW574" s="1831"/>
      <c r="ISX574" s="1831"/>
      <c r="ISY574" s="1831"/>
      <c r="ISZ574" s="1831"/>
      <c r="ITA574" s="1831"/>
      <c r="ITB574" s="1831"/>
      <c r="ITC574" s="1831"/>
      <c r="ITD574" s="1831"/>
      <c r="ITE574" s="1831"/>
      <c r="ITF574" s="1831"/>
      <c r="ITG574" s="1831"/>
      <c r="ITH574" s="1831"/>
      <c r="ITI574" s="1831"/>
      <c r="ITJ574" s="1831"/>
      <c r="ITK574" s="1831"/>
      <c r="ITL574" s="1831"/>
      <c r="ITM574" s="1831"/>
      <c r="ITN574" s="1831"/>
      <c r="ITO574" s="1831"/>
      <c r="ITP574" s="1831"/>
      <c r="ITQ574" s="1831"/>
      <c r="ITR574" s="1831"/>
      <c r="ITS574" s="1831"/>
      <c r="ITT574" s="1831"/>
      <c r="ITU574" s="1831"/>
      <c r="ITV574" s="1831"/>
      <c r="ITW574" s="1831"/>
      <c r="ITX574" s="1831"/>
      <c r="ITY574" s="1831"/>
      <c r="ITZ574" s="1831"/>
      <c r="IUA574" s="1831"/>
      <c r="IUB574" s="1831"/>
      <c r="IUC574" s="1831"/>
      <c r="IUD574" s="1831"/>
      <c r="IUE574" s="1831"/>
      <c r="IUF574" s="1831"/>
      <c r="IUG574" s="1831"/>
      <c r="IUH574" s="1831"/>
      <c r="IUI574" s="1831"/>
      <c r="IUJ574" s="1831"/>
      <c r="IUK574" s="1831"/>
      <c r="IUL574" s="1831"/>
      <c r="IUM574" s="1831"/>
      <c r="IUN574" s="1831"/>
      <c r="IUO574" s="1831"/>
      <c r="IUP574" s="1831"/>
      <c r="IUQ574" s="1831"/>
      <c r="IUR574" s="1831"/>
      <c r="IUS574" s="1831"/>
      <c r="IUT574" s="1831"/>
      <c r="IUU574" s="1831"/>
      <c r="IUV574" s="1831"/>
      <c r="IUW574" s="1831"/>
      <c r="IUX574" s="1831"/>
      <c r="IUY574" s="1831"/>
      <c r="IUZ574" s="1831"/>
      <c r="IVA574" s="1831"/>
      <c r="IVB574" s="1831"/>
      <c r="IVC574" s="1831"/>
      <c r="IVD574" s="1831"/>
      <c r="IVE574" s="1831"/>
      <c r="IVF574" s="1831"/>
      <c r="IVG574" s="1831"/>
      <c r="IVH574" s="1831"/>
      <c r="IVI574" s="1831"/>
      <c r="IVJ574" s="1831"/>
      <c r="IVK574" s="1831"/>
      <c r="IVL574" s="1831"/>
      <c r="IVM574" s="1831"/>
      <c r="IVN574" s="1831"/>
      <c r="IVO574" s="1831"/>
      <c r="IVP574" s="1831"/>
      <c r="IVQ574" s="1831"/>
      <c r="IVR574" s="1831"/>
      <c r="IVS574" s="1831"/>
      <c r="IVT574" s="1831"/>
      <c r="IVU574" s="1831"/>
      <c r="IVV574" s="1831"/>
      <c r="IVW574" s="1831"/>
      <c r="IVX574" s="1831"/>
      <c r="IVY574" s="1831"/>
      <c r="IVZ574" s="1831"/>
      <c r="IWA574" s="1831"/>
      <c r="IWB574" s="1831"/>
      <c r="IWC574" s="1831"/>
      <c r="IWD574" s="1831"/>
      <c r="IWE574" s="1831"/>
      <c r="IWF574" s="1831"/>
      <c r="IWG574" s="1831"/>
      <c r="IWH574" s="1831"/>
      <c r="IWI574" s="1831"/>
      <c r="IWJ574" s="1831"/>
      <c r="IWK574" s="1831"/>
      <c r="IWL574" s="1831"/>
      <c r="IWM574" s="1831"/>
      <c r="IWN574" s="1831"/>
      <c r="IWO574" s="1831"/>
      <c r="IWP574" s="1831"/>
      <c r="IWQ574" s="1831"/>
      <c r="IWR574" s="1831"/>
      <c r="IWS574" s="1831"/>
      <c r="IWT574" s="1831"/>
      <c r="IWU574" s="1831"/>
      <c r="IWV574" s="1831"/>
      <c r="IWW574" s="1831"/>
      <c r="IWX574" s="1831"/>
      <c r="IWY574" s="1831"/>
      <c r="IWZ574" s="1831"/>
      <c r="IXA574" s="1831"/>
      <c r="IXB574" s="1831"/>
      <c r="IXC574" s="1831"/>
      <c r="IXD574" s="1831"/>
      <c r="IXE574" s="1831"/>
      <c r="IXF574" s="1831"/>
      <c r="IXG574" s="1831"/>
      <c r="IXH574" s="1831"/>
      <c r="IXI574" s="1831"/>
      <c r="IXJ574" s="1831"/>
      <c r="IXK574" s="1831"/>
      <c r="IXL574" s="1831"/>
      <c r="IXM574" s="1831"/>
      <c r="IXN574" s="1831"/>
      <c r="IXO574" s="1831"/>
      <c r="IXP574" s="1831"/>
      <c r="IXQ574" s="1831"/>
      <c r="IXR574" s="1831"/>
      <c r="IXS574" s="1831"/>
      <c r="IXT574" s="1831"/>
      <c r="IXU574" s="1831"/>
      <c r="IXV574" s="1831"/>
      <c r="IXW574" s="1831"/>
      <c r="IXX574" s="1831"/>
      <c r="IXY574" s="1831"/>
      <c r="IXZ574" s="1831"/>
      <c r="IYA574" s="1831"/>
      <c r="IYB574" s="1831"/>
      <c r="IYC574" s="1831"/>
      <c r="IYD574" s="1831"/>
      <c r="IYE574" s="1831"/>
      <c r="IYF574" s="1831"/>
      <c r="IYG574" s="1831"/>
      <c r="IYH574" s="1831"/>
      <c r="IYI574" s="1831"/>
      <c r="IYJ574" s="1831"/>
      <c r="IYK574" s="1831"/>
      <c r="IYL574" s="1831"/>
      <c r="IYM574" s="1831"/>
      <c r="IYN574" s="1831"/>
      <c r="IYO574" s="1831"/>
      <c r="IYP574" s="1831"/>
      <c r="IYQ574" s="1831"/>
      <c r="IYR574" s="1831"/>
      <c r="IYS574" s="1831"/>
      <c r="IYT574" s="1831"/>
      <c r="IYU574" s="1831"/>
      <c r="IYV574" s="1831"/>
      <c r="IYW574" s="1831"/>
      <c r="IYX574" s="1831"/>
      <c r="IYY574" s="1831"/>
      <c r="IYZ574" s="1831"/>
      <c r="IZA574" s="1831"/>
      <c r="IZB574" s="1831"/>
      <c r="IZC574" s="1831"/>
      <c r="IZD574" s="1831"/>
      <c r="IZE574" s="1831"/>
      <c r="IZF574" s="1831"/>
      <c r="IZG574" s="1831"/>
      <c r="IZH574" s="1831"/>
      <c r="IZI574" s="1831"/>
      <c r="IZJ574" s="1831"/>
      <c r="IZK574" s="1831"/>
      <c r="IZL574" s="1831"/>
      <c r="IZM574" s="1831"/>
      <c r="IZN574" s="1831"/>
      <c r="IZO574" s="1831"/>
      <c r="IZP574" s="1831"/>
      <c r="IZQ574" s="1831"/>
      <c r="IZR574" s="1831"/>
      <c r="IZS574" s="1831"/>
      <c r="IZT574" s="1831"/>
      <c r="IZU574" s="1831"/>
      <c r="IZV574" s="1831"/>
      <c r="IZW574" s="1831"/>
      <c r="IZX574" s="1831"/>
      <c r="IZY574" s="1831"/>
      <c r="IZZ574" s="1831"/>
      <c r="JAA574" s="1831"/>
      <c r="JAB574" s="1831"/>
      <c r="JAC574" s="1831"/>
      <c r="JAD574" s="1831"/>
      <c r="JAE574" s="1831"/>
      <c r="JAF574" s="1831"/>
      <c r="JAG574" s="1831"/>
      <c r="JAH574" s="1831"/>
      <c r="JAI574" s="1831"/>
      <c r="JAJ574" s="1831"/>
      <c r="JAK574" s="1831"/>
      <c r="JAL574" s="1831"/>
      <c r="JAM574" s="1831"/>
      <c r="JAN574" s="1831"/>
      <c r="JAO574" s="1831"/>
      <c r="JAP574" s="1831"/>
      <c r="JAQ574" s="1831"/>
      <c r="JAR574" s="1831"/>
      <c r="JAS574" s="1831"/>
      <c r="JAT574" s="1831"/>
      <c r="JAU574" s="1831"/>
      <c r="JAV574" s="1831"/>
      <c r="JAW574" s="1831"/>
      <c r="JAX574" s="1831"/>
      <c r="JAY574" s="1831"/>
      <c r="JAZ574" s="1831"/>
      <c r="JBA574" s="1831"/>
      <c r="JBB574" s="1831"/>
      <c r="JBC574" s="1831"/>
      <c r="JBD574" s="1831"/>
      <c r="JBE574" s="1831"/>
      <c r="JBF574" s="1831"/>
      <c r="JBG574" s="1831"/>
      <c r="JBH574" s="1831"/>
      <c r="JBI574" s="1831"/>
      <c r="JBJ574" s="1831"/>
      <c r="JBK574" s="1831"/>
      <c r="JBL574" s="1831"/>
      <c r="JBM574" s="1831"/>
      <c r="JBN574" s="1831"/>
      <c r="JBO574" s="1831"/>
      <c r="JBP574" s="1831"/>
      <c r="JBQ574" s="1831"/>
      <c r="JBR574" s="1831"/>
      <c r="JBS574" s="1831"/>
      <c r="JBT574" s="1831"/>
      <c r="JBU574" s="1831"/>
      <c r="JBV574" s="1831"/>
      <c r="JBW574" s="1831"/>
      <c r="JBX574" s="1831"/>
      <c r="JBY574" s="1831"/>
      <c r="JBZ574" s="1831"/>
      <c r="JCA574" s="1831"/>
      <c r="JCB574" s="1831"/>
      <c r="JCC574" s="1831"/>
      <c r="JCD574" s="1831"/>
      <c r="JCE574" s="1831"/>
      <c r="JCF574" s="1831"/>
      <c r="JCG574" s="1831"/>
      <c r="JCH574" s="1831"/>
      <c r="JCI574" s="1831"/>
      <c r="JCJ574" s="1831"/>
      <c r="JCK574" s="1831"/>
      <c r="JCL574" s="1831"/>
      <c r="JCM574" s="1831"/>
      <c r="JCN574" s="1831"/>
      <c r="JCO574" s="1831"/>
      <c r="JCP574" s="1831"/>
      <c r="JCQ574" s="1831"/>
      <c r="JCR574" s="1831"/>
      <c r="JCS574" s="1831"/>
      <c r="JCT574" s="1831"/>
      <c r="JCU574" s="1831"/>
      <c r="JCV574" s="1831"/>
      <c r="JCW574" s="1831"/>
      <c r="JCX574" s="1831"/>
      <c r="JCY574" s="1831"/>
      <c r="JCZ574" s="1831"/>
      <c r="JDA574" s="1831"/>
      <c r="JDB574" s="1831"/>
      <c r="JDC574" s="1831"/>
      <c r="JDD574" s="1831"/>
      <c r="JDE574" s="1831"/>
      <c r="JDF574" s="1831"/>
      <c r="JDG574" s="1831"/>
      <c r="JDH574" s="1831"/>
      <c r="JDI574" s="1831"/>
      <c r="JDJ574" s="1831"/>
      <c r="JDK574" s="1831"/>
      <c r="JDL574" s="1831"/>
      <c r="JDM574" s="1831"/>
      <c r="JDN574" s="1831"/>
      <c r="JDO574" s="1831"/>
      <c r="JDP574" s="1831"/>
      <c r="JDQ574" s="1831"/>
      <c r="JDR574" s="1831"/>
      <c r="JDS574" s="1831"/>
      <c r="JDT574" s="1831"/>
      <c r="JDU574" s="1831"/>
      <c r="JDV574" s="1831"/>
      <c r="JDW574" s="1831"/>
      <c r="JDX574" s="1831"/>
      <c r="JDY574" s="1831"/>
      <c r="JDZ574" s="1831"/>
      <c r="JEA574" s="1831"/>
      <c r="JEB574" s="1831"/>
      <c r="JEC574" s="1831"/>
      <c r="JED574" s="1831"/>
      <c r="JEE574" s="1831"/>
      <c r="JEF574" s="1831"/>
      <c r="JEG574" s="1831"/>
      <c r="JEH574" s="1831"/>
      <c r="JEI574" s="1831"/>
      <c r="JEJ574" s="1831"/>
      <c r="JEK574" s="1831"/>
      <c r="JEL574" s="1831"/>
      <c r="JEM574" s="1831"/>
      <c r="JEN574" s="1831"/>
      <c r="JEO574" s="1831"/>
      <c r="JEP574" s="1831"/>
      <c r="JEQ574" s="1831"/>
      <c r="JER574" s="1831"/>
      <c r="JES574" s="1831"/>
      <c r="JET574" s="1831"/>
      <c r="JEU574" s="1831"/>
      <c r="JEV574" s="1831"/>
      <c r="JEW574" s="1831"/>
      <c r="JEX574" s="1831"/>
      <c r="JEY574" s="1831"/>
      <c r="JEZ574" s="1831"/>
      <c r="JFA574" s="1831"/>
      <c r="JFB574" s="1831"/>
      <c r="JFC574" s="1831"/>
      <c r="JFD574" s="1831"/>
      <c r="JFE574" s="1831"/>
      <c r="JFF574" s="1831"/>
      <c r="JFG574" s="1831"/>
      <c r="JFH574" s="1831"/>
      <c r="JFI574" s="1831"/>
      <c r="JFJ574" s="1831"/>
      <c r="JFK574" s="1831"/>
      <c r="JFL574" s="1831"/>
      <c r="JFM574" s="1831"/>
      <c r="JFN574" s="1831"/>
      <c r="JFO574" s="1831"/>
      <c r="JFP574" s="1831"/>
      <c r="JFQ574" s="1831"/>
      <c r="JFR574" s="1831"/>
      <c r="JFS574" s="1831"/>
      <c r="JFT574" s="1831"/>
      <c r="JFU574" s="1831"/>
      <c r="JFV574" s="1831"/>
      <c r="JFW574" s="1831"/>
      <c r="JFX574" s="1831"/>
      <c r="JFY574" s="1831"/>
      <c r="JFZ574" s="1831"/>
      <c r="JGA574" s="1831"/>
      <c r="JGB574" s="1831"/>
      <c r="JGC574" s="1831"/>
      <c r="JGD574" s="1831"/>
      <c r="JGE574" s="1831"/>
      <c r="JGF574" s="1831"/>
      <c r="JGG574" s="1831"/>
      <c r="JGH574" s="1831"/>
      <c r="JGI574" s="1831"/>
      <c r="JGJ574" s="1831"/>
      <c r="JGK574" s="1831"/>
      <c r="JGL574" s="1831"/>
      <c r="JGM574" s="1831"/>
      <c r="JGN574" s="1831"/>
      <c r="JGO574" s="1831"/>
      <c r="JGP574" s="1831"/>
      <c r="JGQ574" s="1831"/>
      <c r="JGR574" s="1831"/>
      <c r="JGS574" s="1831"/>
      <c r="JGT574" s="1831"/>
      <c r="JGU574" s="1831"/>
      <c r="JGV574" s="1831"/>
      <c r="JGW574" s="1831"/>
      <c r="JGX574" s="1831"/>
      <c r="JGY574" s="1831"/>
      <c r="JGZ574" s="1831"/>
      <c r="JHA574" s="1831"/>
      <c r="JHB574" s="1831"/>
      <c r="JHC574" s="1831"/>
      <c r="JHD574" s="1831"/>
      <c r="JHE574" s="1831"/>
      <c r="JHF574" s="1831"/>
      <c r="JHG574" s="1831"/>
      <c r="JHH574" s="1831"/>
      <c r="JHI574" s="1831"/>
      <c r="JHJ574" s="1831"/>
      <c r="JHK574" s="1831"/>
      <c r="JHL574" s="1831"/>
      <c r="JHM574" s="1831"/>
      <c r="JHN574" s="1831"/>
      <c r="JHO574" s="1831"/>
      <c r="JHP574" s="1831"/>
      <c r="JHQ574" s="1831"/>
      <c r="JHR574" s="1831"/>
      <c r="JHS574" s="1831"/>
      <c r="JHT574" s="1831"/>
      <c r="JHU574" s="1831"/>
      <c r="JHV574" s="1831"/>
      <c r="JHW574" s="1831"/>
      <c r="JHX574" s="1831"/>
      <c r="JHY574" s="1831"/>
      <c r="JHZ574" s="1831"/>
      <c r="JIA574" s="1831"/>
      <c r="JIB574" s="1831"/>
      <c r="JIC574" s="1831"/>
      <c r="JID574" s="1831"/>
      <c r="JIE574" s="1831"/>
      <c r="JIF574" s="1831"/>
      <c r="JIG574" s="1831"/>
      <c r="JIH574" s="1831"/>
      <c r="JII574" s="1831"/>
      <c r="JIJ574" s="1831"/>
      <c r="JIK574" s="1831"/>
      <c r="JIL574" s="1831"/>
      <c r="JIM574" s="1831"/>
      <c r="JIN574" s="1831"/>
      <c r="JIO574" s="1831"/>
      <c r="JIP574" s="1831"/>
      <c r="JIQ574" s="1831"/>
      <c r="JIR574" s="1831"/>
      <c r="JIS574" s="1831"/>
      <c r="JIT574" s="1831"/>
      <c r="JIU574" s="1831"/>
      <c r="JIV574" s="1831"/>
      <c r="JIW574" s="1831"/>
      <c r="JIX574" s="1831"/>
      <c r="JIY574" s="1831"/>
      <c r="JIZ574" s="1831"/>
      <c r="JJA574" s="1831"/>
      <c r="JJB574" s="1831"/>
      <c r="JJC574" s="1831"/>
      <c r="JJD574" s="1831"/>
      <c r="JJE574" s="1831"/>
      <c r="JJF574" s="1831"/>
      <c r="JJG574" s="1831"/>
      <c r="JJH574" s="1831"/>
      <c r="JJI574" s="1831"/>
      <c r="JJJ574" s="1831"/>
      <c r="JJK574" s="1831"/>
      <c r="JJL574" s="1831"/>
      <c r="JJM574" s="1831"/>
      <c r="JJN574" s="1831"/>
      <c r="JJO574" s="1831"/>
      <c r="JJP574" s="1831"/>
      <c r="JJQ574" s="1831"/>
      <c r="JJR574" s="1831"/>
      <c r="JJS574" s="1831"/>
      <c r="JJT574" s="1831"/>
      <c r="JJU574" s="1831"/>
      <c r="JJV574" s="1831"/>
      <c r="JJW574" s="1831"/>
      <c r="JJX574" s="1831"/>
      <c r="JJY574" s="1831"/>
      <c r="JJZ574" s="1831"/>
      <c r="JKA574" s="1831"/>
      <c r="JKB574" s="1831"/>
      <c r="JKC574" s="1831"/>
      <c r="JKD574" s="1831"/>
      <c r="JKE574" s="1831"/>
      <c r="JKF574" s="1831"/>
      <c r="JKG574" s="1831"/>
      <c r="JKH574" s="1831"/>
      <c r="JKI574" s="1831"/>
      <c r="JKJ574" s="1831"/>
      <c r="JKK574" s="1831"/>
      <c r="JKL574" s="1831"/>
      <c r="JKM574" s="1831"/>
      <c r="JKN574" s="1831"/>
      <c r="JKO574" s="1831"/>
      <c r="JKP574" s="1831"/>
      <c r="JKQ574" s="1831"/>
      <c r="JKR574" s="1831"/>
      <c r="JKS574" s="1831"/>
      <c r="JKT574" s="1831"/>
      <c r="JKU574" s="1831"/>
      <c r="JKV574" s="1831"/>
      <c r="JKW574" s="1831"/>
      <c r="JKX574" s="1831"/>
      <c r="JKY574" s="1831"/>
      <c r="JKZ574" s="1831"/>
      <c r="JLA574" s="1831"/>
      <c r="JLB574" s="1831"/>
      <c r="JLC574" s="1831"/>
      <c r="JLD574" s="1831"/>
      <c r="JLE574" s="1831"/>
      <c r="JLF574" s="1831"/>
      <c r="JLG574" s="1831"/>
      <c r="JLH574" s="1831"/>
      <c r="JLI574" s="1831"/>
      <c r="JLJ574" s="1831"/>
      <c r="JLK574" s="1831"/>
      <c r="JLL574" s="1831"/>
      <c r="JLM574" s="1831"/>
      <c r="JLN574" s="1831"/>
      <c r="JLO574" s="1831"/>
      <c r="JLP574" s="1831"/>
      <c r="JLQ574" s="1831"/>
      <c r="JLR574" s="1831"/>
      <c r="JLS574" s="1831"/>
      <c r="JLT574" s="1831"/>
      <c r="JLU574" s="1831"/>
      <c r="JLV574" s="1831"/>
      <c r="JLW574" s="1831"/>
      <c r="JLX574" s="1831"/>
      <c r="JLY574" s="1831"/>
      <c r="JLZ574" s="1831"/>
      <c r="JMA574" s="1831"/>
      <c r="JMB574" s="1831"/>
      <c r="JMC574" s="1831"/>
      <c r="JMD574" s="1831"/>
      <c r="JME574" s="1831"/>
      <c r="JMF574" s="1831"/>
      <c r="JMG574" s="1831"/>
      <c r="JMH574" s="1831"/>
      <c r="JMI574" s="1831"/>
      <c r="JMJ574" s="1831"/>
      <c r="JMK574" s="1831"/>
      <c r="JML574" s="1831"/>
      <c r="JMM574" s="1831"/>
      <c r="JMN574" s="1831"/>
      <c r="JMO574" s="1831"/>
      <c r="JMP574" s="1831"/>
      <c r="JMQ574" s="1831"/>
      <c r="JMR574" s="1831"/>
      <c r="JMS574" s="1831"/>
      <c r="JMT574" s="1831"/>
      <c r="JMU574" s="1831"/>
      <c r="JMV574" s="1831"/>
      <c r="JMW574" s="1831"/>
      <c r="JMX574" s="1831"/>
      <c r="JMY574" s="1831"/>
      <c r="JMZ574" s="1831"/>
      <c r="JNA574" s="1831"/>
      <c r="JNB574" s="1831"/>
      <c r="JNC574" s="1831"/>
      <c r="JND574" s="1831"/>
      <c r="JNE574" s="1831"/>
      <c r="JNF574" s="1831"/>
      <c r="JNG574" s="1831"/>
      <c r="JNH574" s="1831"/>
      <c r="JNI574" s="1831"/>
      <c r="JNJ574" s="1831"/>
      <c r="JNK574" s="1831"/>
      <c r="JNL574" s="1831"/>
      <c r="JNM574" s="1831"/>
      <c r="JNN574" s="1831"/>
      <c r="JNO574" s="1831"/>
      <c r="JNP574" s="1831"/>
      <c r="JNQ574" s="1831"/>
      <c r="JNR574" s="1831"/>
      <c r="JNS574" s="1831"/>
      <c r="JNT574" s="1831"/>
      <c r="JNU574" s="1831"/>
      <c r="JNV574" s="1831"/>
      <c r="JNW574" s="1831"/>
      <c r="JNX574" s="1831"/>
      <c r="JNY574" s="1831"/>
      <c r="JNZ574" s="1831"/>
      <c r="JOA574" s="1831"/>
      <c r="JOB574" s="1831"/>
      <c r="JOC574" s="1831"/>
      <c r="JOD574" s="1831"/>
      <c r="JOE574" s="1831"/>
      <c r="JOF574" s="1831"/>
      <c r="JOG574" s="1831"/>
      <c r="JOH574" s="1831"/>
      <c r="JOI574" s="1831"/>
      <c r="JOJ574" s="1831"/>
      <c r="JOK574" s="1831"/>
      <c r="JOL574" s="1831"/>
      <c r="JOM574" s="1831"/>
      <c r="JON574" s="1831"/>
      <c r="JOO574" s="1831"/>
      <c r="JOP574" s="1831"/>
      <c r="JOQ574" s="1831"/>
      <c r="JOR574" s="1831"/>
      <c r="JOS574" s="1831"/>
      <c r="JOT574" s="1831"/>
      <c r="JOU574" s="1831"/>
      <c r="JOV574" s="1831"/>
      <c r="JOW574" s="1831"/>
      <c r="JOX574" s="1831"/>
      <c r="JOY574" s="1831"/>
      <c r="JOZ574" s="1831"/>
      <c r="JPA574" s="1831"/>
      <c r="JPB574" s="1831"/>
      <c r="JPC574" s="1831"/>
      <c r="JPD574" s="1831"/>
      <c r="JPE574" s="1831"/>
      <c r="JPF574" s="1831"/>
      <c r="JPG574" s="1831"/>
      <c r="JPH574" s="1831"/>
      <c r="JPI574" s="1831"/>
      <c r="JPJ574" s="1831"/>
      <c r="JPK574" s="1831"/>
      <c r="JPL574" s="1831"/>
      <c r="JPM574" s="1831"/>
      <c r="JPN574" s="1831"/>
      <c r="JPO574" s="1831"/>
      <c r="JPP574" s="1831"/>
      <c r="JPQ574" s="1831"/>
      <c r="JPR574" s="1831"/>
      <c r="JPS574" s="1831"/>
      <c r="JPT574" s="1831"/>
      <c r="JPU574" s="1831"/>
      <c r="JPV574" s="1831"/>
      <c r="JPW574" s="1831"/>
      <c r="JPX574" s="1831"/>
      <c r="JPY574" s="1831"/>
      <c r="JPZ574" s="1831"/>
      <c r="JQA574" s="1831"/>
      <c r="JQB574" s="1831"/>
      <c r="JQC574" s="1831"/>
      <c r="JQD574" s="1831"/>
      <c r="JQE574" s="1831"/>
      <c r="JQF574" s="1831"/>
      <c r="JQG574" s="1831"/>
      <c r="JQH574" s="1831"/>
      <c r="JQI574" s="1831"/>
      <c r="JQJ574" s="1831"/>
      <c r="JQK574" s="1831"/>
      <c r="JQL574" s="1831"/>
      <c r="JQM574" s="1831"/>
      <c r="JQN574" s="1831"/>
      <c r="JQO574" s="1831"/>
      <c r="JQP574" s="1831"/>
      <c r="JQQ574" s="1831"/>
      <c r="JQR574" s="1831"/>
      <c r="JQS574" s="1831"/>
      <c r="JQT574" s="1831"/>
      <c r="JQU574" s="1831"/>
      <c r="JQV574" s="1831"/>
      <c r="JQW574" s="1831"/>
      <c r="JQX574" s="1831"/>
      <c r="JQY574" s="1831"/>
      <c r="JQZ574" s="1831"/>
      <c r="JRA574" s="1831"/>
      <c r="JRB574" s="1831"/>
      <c r="JRC574" s="1831"/>
      <c r="JRD574" s="1831"/>
      <c r="JRE574" s="1831"/>
      <c r="JRF574" s="1831"/>
      <c r="JRG574" s="1831"/>
      <c r="JRH574" s="1831"/>
      <c r="JRI574" s="1831"/>
      <c r="JRJ574" s="1831"/>
      <c r="JRK574" s="1831"/>
      <c r="JRL574" s="1831"/>
      <c r="JRM574" s="1831"/>
      <c r="JRN574" s="1831"/>
      <c r="JRO574" s="1831"/>
      <c r="JRP574" s="1831"/>
      <c r="JRQ574" s="1831"/>
      <c r="JRR574" s="1831"/>
      <c r="JRS574" s="1831"/>
      <c r="JRT574" s="1831"/>
      <c r="JRU574" s="1831"/>
      <c r="JRV574" s="1831"/>
      <c r="JRW574" s="1831"/>
      <c r="JRX574" s="1831"/>
      <c r="JRY574" s="1831"/>
      <c r="JRZ574" s="1831"/>
      <c r="JSA574" s="1831"/>
      <c r="JSB574" s="1831"/>
      <c r="JSC574" s="1831"/>
      <c r="JSD574" s="1831"/>
      <c r="JSE574" s="1831"/>
      <c r="JSF574" s="1831"/>
      <c r="JSG574" s="1831"/>
      <c r="JSH574" s="1831"/>
      <c r="JSI574" s="1831"/>
      <c r="JSJ574" s="1831"/>
      <c r="JSK574" s="1831"/>
      <c r="JSL574" s="1831"/>
      <c r="JSM574" s="1831"/>
      <c r="JSN574" s="1831"/>
      <c r="JSO574" s="1831"/>
      <c r="JSP574" s="1831"/>
      <c r="JSQ574" s="1831"/>
      <c r="JSR574" s="1831"/>
      <c r="JSS574" s="1831"/>
      <c r="JST574" s="1831"/>
      <c r="JSU574" s="1831"/>
      <c r="JSV574" s="1831"/>
      <c r="JSW574" s="1831"/>
      <c r="JSX574" s="1831"/>
      <c r="JSY574" s="1831"/>
      <c r="JSZ574" s="1831"/>
      <c r="JTA574" s="1831"/>
      <c r="JTB574" s="1831"/>
      <c r="JTC574" s="1831"/>
      <c r="JTD574" s="1831"/>
      <c r="JTE574" s="1831"/>
      <c r="JTF574" s="1831"/>
      <c r="JTG574" s="1831"/>
      <c r="JTH574" s="1831"/>
      <c r="JTI574" s="1831"/>
      <c r="JTJ574" s="1831"/>
      <c r="JTK574" s="1831"/>
      <c r="JTL574" s="1831"/>
      <c r="JTM574" s="1831"/>
      <c r="JTN574" s="1831"/>
      <c r="JTO574" s="1831"/>
      <c r="JTP574" s="1831"/>
      <c r="JTQ574" s="1831"/>
      <c r="JTR574" s="1831"/>
      <c r="JTS574" s="1831"/>
      <c r="JTT574" s="1831"/>
      <c r="JTU574" s="1831"/>
      <c r="JTV574" s="1831"/>
      <c r="JTW574" s="1831"/>
      <c r="JTX574" s="1831"/>
      <c r="JTY574" s="1831"/>
      <c r="JTZ574" s="1831"/>
      <c r="JUA574" s="1831"/>
      <c r="JUB574" s="1831"/>
      <c r="JUC574" s="1831"/>
      <c r="JUD574" s="1831"/>
      <c r="JUE574" s="1831"/>
      <c r="JUF574" s="1831"/>
      <c r="JUG574" s="1831"/>
      <c r="JUH574" s="1831"/>
      <c r="JUI574" s="1831"/>
      <c r="JUJ574" s="1831"/>
      <c r="JUK574" s="1831"/>
      <c r="JUL574" s="1831"/>
      <c r="JUM574" s="1831"/>
      <c r="JUN574" s="1831"/>
      <c r="JUO574" s="1831"/>
      <c r="JUP574" s="1831"/>
      <c r="JUQ574" s="1831"/>
      <c r="JUR574" s="1831"/>
      <c r="JUS574" s="1831"/>
      <c r="JUT574" s="1831"/>
      <c r="JUU574" s="1831"/>
      <c r="JUV574" s="1831"/>
      <c r="JUW574" s="1831"/>
      <c r="JUX574" s="1831"/>
      <c r="JUY574" s="1831"/>
      <c r="JUZ574" s="1831"/>
      <c r="JVA574" s="1831"/>
      <c r="JVB574" s="1831"/>
      <c r="JVC574" s="1831"/>
      <c r="JVD574" s="1831"/>
      <c r="JVE574" s="1831"/>
      <c r="JVF574" s="1831"/>
      <c r="JVG574" s="1831"/>
      <c r="JVH574" s="1831"/>
      <c r="JVI574" s="1831"/>
      <c r="JVJ574" s="1831"/>
      <c r="JVK574" s="1831"/>
      <c r="JVL574" s="1831"/>
      <c r="JVM574" s="1831"/>
      <c r="JVN574" s="1831"/>
      <c r="JVO574" s="1831"/>
      <c r="JVP574" s="1831"/>
      <c r="JVQ574" s="1831"/>
      <c r="JVR574" s="1831"/>
      <c r="JVS574" s="1831"/>
      <c r="JVT574" s="1831"/>
      <c r="JVU574" s="1831"/>
      <c r="JVV574" s="1831"/>
      <c r="JVW574" s="1831"/>
      <c r="JVX574" s="1831"/>
      <c r="JVY574" s="1831"/>
      <c r="JVZ574" s="1831"/>
      <c r="JWA574" s="1831"/>
      <c r="JWB574" s="1831"/>
      <c r="JWC574" s="1831"/>
      <c r="JWD574" s="1831"/>
      <c r="JWE574" s="1831"/>
      <c r="JWF574" s="1831"/>
      <c r="JWG574" s="1831"/>
      <c r="JWH574" s="1831"/>
      <c r="JWI574" s="1831"/>
      <c r="JWJ574" s="1831"/>
      <c r="JWK574" s="1831"/>
      <c r="JWL574" s="1831"/>
      <c r="JWM574" s="1831"/>
      <c r="JWN574" s="1831"/>
      <c r="JWO574" s="1831"/>
      <c r="JWP574" s="1831"/>
      <c r="JWQ574" s="1831"/>
      <c r="JWR574" s="1831"/>
      <c r="JWS574" s="1831"/>
      <c r="JWT574" s="1831"/>
      <c r="JWU574" s="1831"/>
      <c r="JWV574" s="1831"/>
      <c r="JWW574" s="1831"/>
      <c r="JWX574" s="1831"/>
      <c r="JWY574" s="1831"/>
      <c r="JWZ574" s="1831"/>
      <c r="JXA574" s="1831"/>
      <c r="JXB574" s="1831"/>
      <c r="JXC574" s="1831"/>
      <c r="JXD574" s="1831"/>
      <c r="JXE574" s="1831"/>
      <c r="JXF574" s="1831"/>
      <c r="JXG574" s="1831"/>
      <c r="JXH574" s="1831"/>
      <c r="JXI574" s="1831"/>
      <c r="JXJ574" s="1831"/>
      <c r="JXK574" s="1831"/>
      <c r="JXL574" s="1831"/>
      <c r="JXM574" s="1831"/>
      <c r="JXN574" s="1831"/>
      <c r="JXO574" s="1831"/>
      <c r="JXP574" s="1831"/>
      <c r="JXQ574" s="1831"/>
      <c r="JXR574" s="1831"/>
      <c r="JXS574" s="1831"/>
      <c r="JXT574" s="1831"/>
      <c r="JXU574" s="1831"/>
      <c r="JXV574" s="1831"/>
      <c r="JXW574" s="1831"/>
      <c r="JXX574" s="1831"/>
      <c r="JXY574" s="1831"/>
      <c r="JXZ574" s="1831"/>
      <c r="JYA574" s="1831"/>
      <c r="JYB574" s="1831"/>
      <c r="JYC574" s="1831"/>
      <c r="JYD574" s="1831"/>
      <c r="JYE574" s="1831"/>
      <c r="JYF574" s="1831"/>
      <c r="JYG574" s="1831"/>
      <c r="JYH574" s="1831"/>
      <c r="JYI574" s="1831"/>
      <c r="JYJ574" s="1831"/>
      <c r="JYK574" s="1831"/>
      <c r="JYL574" s="1831"/>
      <c r="JYM574" s="1831"/>
      <c r="JYN574" s="1831"/>
      <c r="JYO574" s="1831"/>
      <c r="JYP574" s="1831"/>
      <c r="JYQ574" s="1831"/>
      <c r="JYR574" s="1831"/>
      <c r="JYS574" s="1831"/>
      <c r="JYT574" s="1831"/>
      <c r="JYU574" s="1831"/>
      <c r="JYV574" s="1831"/>
      <c r="JYW574" s="1831"/>
      <c r="JYX574" s="1831"/>
      <c r="JYY574" s="1831"/>
      <c r="JYZ574" s="1831"/>
      <c r="JZA574" s="1831"/>
      <c r="JZB574" s="1831"/>
      <c r="JZC574" s="1831"/>
      <c r="JZD574" s="1831"/>
      <c r="JZE574" s="1831"/>
      <c r="JZF574" s="1831"/>
      <c r="JZG574" s="1831"/>
      <c r="JZH574" s="1831"/>
      <c r="JZI574" s="1831"/>
      <c r="JZJ574" s="1831"/>
      <c r="JZK574" s="1831"/>
      <c r="JZL574" s="1831"/>
      <c r="JZM574" s="1831"/>
      <c r="JZN574" s="1831"/>
      <c r="JZO574" s="1831"/>
      <c r="JZP574" s="1831"/>
      <c r="JZQ574" s="1831"/>
      <c r="JZR574" s="1831"/>
      <c r="JZS574" s="1831"/>
      <c r="JZT574" s="1831"/>
      <c r="JZU574" s="1831"/>
      <c r="JZV574" s="1831"/>
      <c r="JZW574" s="1831"/>
      <c r="JZX574" s="1831"/>
      <c r="JZY574" s="1831"/>
      <c r="JZZ574" s="1831"/>
      <c r="KAA574" s="1831"/>
      <c r="KAB574" s="1831"/>
      <c r="KAC574" s="1831"/>
      <c r="KAD574" s="1831"/>
      <c r="KAE574" s="1831"/>
      <c r="KAF574" s="1831"/>
      <c r="KAG574" s="1831"/>
      <c r="KAH574" s="1831"/>
      <c r="KAI574" s="1831"/>
      <c r="KAJ574" s="1831"/>
      <c r="KAK574" s="1831"/>
      <c r="KAL574" s="1831"/>
      <c r="KAM574" s="1831"/>
      <c r="KAN574" s="1831"/>
      <c r="KAO574" s="1831"/>
      <c r="KAP574" s="1831"/>
      <c r="KAQ574" s="1831"/>
      <c r="KAR574" s="1831"/>
      <c r="KAS574" s="1831"/>
      <c r="KAT574" s="1831"/>
      <c r="KAU574" s="1831"/>
      <c r="KAV574" s="1831"/>
      <c r="KAW574" s="1831"/>
      <c r="KAX574" s="1831"/>
      <c r="KAY574" s="1831"/>
      <c r="KAZ574" s="1831"/>
      <c r="KBA574" s="1831"/>
      <c r="KBB574" s="1831"/>
      <c r="KBC574" s="1831"/>
      <c r="KBD574" s="1831"/>
      <c r="KBE574" s="1831"/>
      <c r="KBF574" s="1831"/>
      <c r="KBG574" s="1831"/>
      <c r="KBH574" s="1831"/>
      <c r="KBI574" s="1831"/>
      <c r="KBJ574" s="1831"/>
      <c r="KBK574" s="1831"/>
      <c r="KBL574" s="1831"/>
      <c r="KBM574" s="1831"/>
      <c r="KBN574" s="1831"/>
      <c r="KBO574" s="1831"/>
      <c r="KBP574" s="1831"/>
      <c r="KBQ574" s="1831"/>
      <c r="KBR574" s="1831"/>
      <c r="KBS574" s="1831"/>
      <c r="KBT574" s="1831"/>
      <c r="KBU574" s="1831"/>
      <c r="KBV574" s="1831"/>
      <c r="KBW574" s="1831"/>
      <c r="KBX574" s="1831"/>
      <c r="KBY574" s="1831"/>
      <c r="KBZ574" s="1831"/>
      <c r="KCA574" s="1831"/>
      <c r="KCB574" s="1831"/>
      <c r="KCC574" s="1831"/>
      <c r="KCD574" s="1831"/>
      <c r="KCE574" s="1831"/>
      <c r="KCF574" s="1831"/>
      <c r="KCG574" s="1831"/>
      <c r="KCH574" s="1831"/>
      <c r="KCI574" s="1831"/>
      <c r="KCJ574" s="1831"/>
      <c r="KCK574" s="1831"/>
      <c r="KCL574" s="1831"/>
      <c r="KCM574" s="1831"/>
      <c r="KCN574" s="1831"/>
      <c r="KCO574" s="1831"/>
      <c r="KCP574" s="1831"/>
      <c r="KCQ574" s="1831"/>
      <c r="KCR574" s="1831"/>
      <c r="KCS574" s="1831"/>
      <c r="KCT574" s="1831"/>
      <c r="KCU574" s="1831"/>
      <c r="KCV574" s="1831"/>
      <c r="KCW574" s="1831"/>
      <c r="KCX574" s="1831"/>
      <c r="KCY574" s="1831"/>
      <c r="KCZ574" s="1831"/>
      <c r="KDA574" s="1831"/>
      <c r="KDB574" s="1831"/>
      <c r="KDC574" s="1831"/>
      <c r="KDD574" s="1831"/>
      <c r="KDE574" s="1831"/>
      <c r="KDF574" s="1831"/>
      <c r="KDG574" s="1831"/>
      <c r="KDH574" s="1831"/>
      <c r="KDI574" s="1831"/>
      <c r="KDJ574" s="1831"/>
      <c r="KDK574" s="1831"/>
      <c r="KDL574" s="1831"/>
      <c r="KDM574" s="1831"/>
      <c r="KDN574" s="1831"/>
      <c r="KDO574" s="1831"/>
      <c r="KDP574" s="1831"/>
      <c r="KDQ574" s="1831"/>
      <c r="KDR574" s="1831"/>
      <c r="KDS574" s="1831"/>
      <c r="KDT574" s="1831"/>
      <c r="KDU574" s="1831"/>
      <c r="KDV574" s="1831"/>
      <c r="KDW574" s="1831"/>
      <c r="KDX574" s="1831"/>
      <c r="KDY574" s="1831"/>
      <c r="KDZ574" s="1831"/>
      <c r="KEA574" s="1831"/>
      <c r="KEB574" s="1831"/>
      <c r="KEC574" s="1831"/>
      <c r="KED574" s="1831"/>
      <c r="KEE574" s="1831"/>
      <c r="KEF574" s="1831"/>
      <c r="KEG574" s="1831"/>
      <c r="KEH574" s="1831"/>
      <c r="KEI574" s="1831"/>
      <c r="KEJ574" s="1831"/>
      <c r="KEK574" s="1831"/>
      <c r="KEL574" s="1831"/>
      <c r="KEM574" s="1831"/>
      <c r="KEN574" s="1831"/>
      <c r="KEO574" s="1831"/>
      <c r="KEP574" s="1831"/>
      <c r="KEQ574" s="1831"/>
      <c r="KER574" s="1831"/>
      <c r="KES574" s="1831"/>
      <c r="KET574" s="1831"/>
      <c r="KEU574" s="1831"/>
      <c r="KEV574" s="1831"/>
      <c r="KEW574" s="1831"/>
      <c r="KEX574" s="1831"/>
      <c r="KEY574" s="1831"/>
      <c r="KEZ574" s="1831"/>
      <c r="KFA574" s="1831"/>
      <c r="KFB574" s="1831"/>
      <c r="KFC574" s="1831"/>
      <c r="KFD574" s="1831"/>
      <c r="KFE574" s="1831"/>
      <c r="KFF574" s="1831"/>
      <c r="KFG574" s="1831"/>
      <c r="KFH574" s="1831"/>
      <c r="KFI574" s="1831"/>
      <c r="KFJ574" s="1831"/>
      <c r="KFK574" s="1831"/>
      <c r="KFL574" s="1831"/>
      <c r="KFM574" s="1831"/>
      <c r="KFN574" s="1831"/>
      <c r="KFO574" s="1831"/>
      <c r="KFP574" s="1831"/>
      <c r="KFQ574" s="1831"/>
      <c r="KFR574" s="1831"/>
      <c r="KFS574" s="1831"/>
      <c r="KFT574" s="1831"/>
      <c r="KFU574" s="1831"/>
      <c r="KFV574" s="1831"/>
      <c r="KFW574" s="1831"/>
      <c r="KFX574" s="1831"/>
      <c r="KFY574" s="1831"/>
      <c r="KFZ574" s="1831"/>
      <c r="KGA574" s="1831"/>
      <c r="KGB574" s="1831"/>
      <c r="KGC574" s="1831"/>
      <c r="KGD574" s="1831"/>
      <c r="KGE574" s="1831"/>
      <c r="KGF574" s="1831"/>
      <c r="KGG574" s="1831"/>
      <c r="KGH574" s="1831"/>
      <c r="KGI574" s="1831"/>
      <c r="KGJ574" s="1831"/>
      <c r="KGK574" s="1831"/>
      <c r="KGL574" s="1831"/>
      <c r="KGM574" s="1831"/>
      <c r="KGN574" s="1831"/>
      <c r="KGO574" s="1831"/>
      <c r="KGP574" s="1831"/>
      <c r="KGQ574" s="1831"/>
      <c r="KGR574" s="1831"/>
      <c r="KGS574" s="1831"/>
      <c r="KGT574" s="1831"/>
      <c r="KGU574" s="1831"/>
      <c r="KGV574" s="1831"/>
      <c r="KGW574" s="1831"/>
      <c r="KGX574" s="1831"/>
      <c r="KGY574" s="1831"/>
      <c r="KGZ574" s="1831"/>
      <c r="KHA574" s="1831"/>
      <c r="KHB574" s="1831"/>
      <c r="KHC574" s="1831"/>
      <c r="KHD574" s="1831"/>
      <c r="KHE574" s="1831"/>
      <c r="KHF574" s="1831"/>
      <c r="KHG574" s="1831"/>
      <c r="KHH574" s="1831"/>
      <c r="KHI574" s="1831"/>
      <c r="KHJ574" s="1831"/>
      <c r="KHK574" s="1831"/>
      <c r="KHL574" s="1831"/>
      <c r="KHM574" s="1831"/>
      <c r="KHN574" s="1831"/>
      <c r="KHO574" s="1831"/>
      <c r="KHP574" s="1831"/>
      <c r="KHQ574" s="1831"/>
      <c r="KHR574" s="1831"/>
      <c r="KHS574" s="1831"/>
      <c r="KHT574" s="1831"/>
      <c r="KHU574" s="1831"/>
      <c r="KHV574" s="1831"/>
      <c r="KHW574" s="1831"/>
      <c r="KHX574" s="1831"/>
      <c r="KHY574" s="1831"/>
      <c r="KHZ574" s="1831"/>
      <c r="KIA574" s="1831"/>
      <c r="KIB574" s="1831"/>
      <c r="KIC574" s="1831"/>
      <c r="KID574" s="1831"/>
      <c r="KIE574" s="1831"/>
      <c r="KIF574" s="1831"/>
      <c r="KIG574" s="1831"/>
      <c r="KIH574" s="1831"/>
      <c r="KII574" s="1831"/>
      <c r="KIJ574" s="1831"/>
      <c r="KIK574" s="1831"/>
      <c r="KIL574" s="1831"/>
      <c r="KIM574" s="1831"/>
      <c r="KIN574" s="1831"/>
      <c r="KIO574" s="1831"/>
      <c r="KIP574" s="1831"/>
      <c r="KIQ574" s="1831"/>
      <c r="KIR574" s="1831"/>
      <c r="KIS574" s="1831"/>
      <c r="KIT574" s="1831"/>
      <c r="KIU574" s="1831"/>
      <c r="KIV574" s="1831"/>
      <c r="KIW574" s="1831"/>
      <c r="KIX574" s="1831"/>
      <c r="KIY574" s="1831"/>
      <c r="KIZ574" s="1831"/>
      <c r="KJA574" s="1831"/>
      <c r="KJB574" s="1831"/>
      <c r="KJC574" s="1831"/>
      <c r="KJD574" s="1831"/>
      <c r="KJE574" s="1831"/>
      <c r="KJF574" s="1831"/>
      <c r="KJG574" s="1831"/>
      <c r="KJH574" s="1831"/>
      <c r="KJI574" s="1831"/>
      <c r="KJJ574" s="1831"/>
      <c r="KJK574" s="1831"/>
      <c r="KJL574" s="1831"/>
      <c r="KJM574" s="1831"/>
      <c r="KJN574" s="1831"/>
      <c r="KJO574" s="1831"/>
      <c r="KJP574" s="1831"/>
      <c r="KJQ574" s="1831"/>
      <c r="KJR574" s="1831"/>
      <c r="KJS574" s="1831"/>
      <c r="KJT574" s="1831"/>
      <c r="KJU574" s="1831"/>
      <c r="KJV574" s="1831"/>
      <c r="KJW574" s="1831"/>
      <c r="KJX574" s="1831"/>
      <c r="KJY574" s="1831"/>
      <c r="KJZ574" s="1831"/>
      <c r="KKA574" s="1831"/>
      <c r="KKB574" s="1831"/>
      <c r="KKC574" s="1831"/>
      <c r="KKD574" s="1831"/>
      <c r="KKE574" s="1831"/>
      <c r="KKF574" s="1831"/>
      <c r="KKG574" s="1831"/>
      <c r="KKH574" s="1831"/>
      <c r="KKI574" s="1831"/>
      <c r="KKJ574" s="1831"/>
      <c r="KKK574" s="1831"/>
      <c r="KKL574" s="1831"/>
      <c r="KKM574" s="1831"/>
      <c r="KKN574" s="1831"/>
      <c r="KKO574" s="1831"/>
      <c r="KKP574" s="1831"/>
      <c r="KKQ574" s="1831"/>
      <c r="KKR574" s="1831"/>
      <c r="KKS574" s="1831"/>
      <c r="KKT574" s="1831"/>
      <c r="KKU574" s="1831"/>
      <c r="KKV574" s="1831"/>
      <c r="KKW574" s="1831"/>
      <c r="KKX574" s="1831"/>
      <c r="KKY574" s="1831"/>
      <c r="KKZ574" s="1831"/>
      <c r="KLA574" s="1831"/>
      <c r="KLB574" s="1831"/>
      <c r="KLC574" s="1831"/>
      <c r="KLD574" s="1831"/>
      <c r="KLE574" s="1831"/>
      <c r="KLF574" s="1831"/>
      <c r="KLG574" s="1831"/>
      <c r="KLH574" s="1831"/>
      <c r="KLI574" s="1831"/>
      <c r="KLJ574" s="1831"/>
      <c r="KLK574" s="1831"/>
      <c r="KLL574" s="1831"/>
      <c r="KLM574" s="1831"/>
      <c r="KLN574" s="1831"/>
      <c r="KLO574" s="1831"/>
      <c r="KLP574" s="1831"/>
      <c r="KLQ574" s="1831"/>
      <c r="KLR574" s="1831"/>
      <c r="KLS574" s="1831"/>
      <c r="KLT574" s="1831"/>
      <c r="KLU574" s="1831"/>
      <c r="KLV574" s="1831"/>
      <c r="KLW574" s="1831"/>
      <c r="KLX574" s="1831"/>
      <c r="KLY574" s="1831"/>
      <c r="KLZ574" s="1831"/>
      <c r="KMA574" s="1831"/>
      <c r="KMB574" s="1831"/>
      <c r="KMC574" s="1831"/>
      <c r="KMD574" s="1831"/>
      <c r="KME574" s="1831"/>
      <c r="KMF574" s="1831"/>
      <c r="KMG574" s="1831"/>
      <c r="KMH574" s="1831"/>
      <c r="KMI574" s="1831"/>
      <c r="KMJ574" s="1831"/>
      <c r="KMK574" s="1831"/>
      <c r="KML574" s="1831"/>
      <c r="KMM574" s="1831"/>
      <c r="KMN574" s="1831"/>
      <c r="KMO574" s="1831"/>
      <c r="KMP574" s="1831"/>
      <c r="KMQ574" s="1831"/>
      <c r="KMR574" s="1831"/>
      <c r="KMS574" s="1831"/>
      <c r="KMT574" s="1831"/>
      <c r="KMU574" s="1831"/>
      <c r="KMV574" s="1831"/>
      <c r="KMW574" s="1831"/>
      <c r="KMX574" s="1831"/>
      <c r="KMY574" s="1831"/>
      <c r="KMZ574" s="1831"/>
      <c r="KNA574" s="1831"/>
      <c r="KNB574" s="1831"/>
      <c r="KNC574" s="1831"/>
      <c r="KND574" s="1831"/>
      <c r="KNE574" s="1831"/>
      <c r="KNF574" s="1831"/>
      <c r="KNG574" s="1831"/>
      <c r="KNH574" s="1831"/>
      <c r="KNI574" s="1831"/>
      <c r="KNJ574" s="1831"/>
      <c r="KNK574" s="1831"/>
      <c r="KNL574" s="1831"/>
      <c r="KNM574" s="1831"/>
      <c r="KNN574" s="1831"/>
      <c r="KNO574" s="1831"/>
      <c r="KNP574" s="1831"/>
      <c r="KNQ574" s="1831"/>
      <c r="KNR574" s="1831"/>
      <c r="KNS574" s="1831"/>
      <c r="KNT574" s="1831"/>
      <c r="KNU574" s="1831"/>
      <c r="KNV574" s="1831"/>
      <c r="KNW574" s="1831"/>
      <c r="KNX574" s="1831"/>
      <c r="KNY574" s="1831"/>
      <c r="KNZ574" s="1831"/>
      <c r="KOA574" s="1831"/>
      <c r="KOB574" s="1831"/>
      <c r="KOC574" s="1831"/>
      <c r="KOD574" s="1831"/>
      <c r="KOE574" s="1831"/>
      <c r="KOF574" s="1831"/>
      <c r="KOG574" s="1831"/>
      <c r="KOH574" s="1831"/>
      <c r="KOI574" s="1831"/>
      <c r="KOJ574" s="1831"/>
      <c r="KOK574" s="1831"/>
      <c r="KOL574" s="1831"/>
      <c r="KOM574" s="1831"/>
      <c r="KON574" s="1831"/>
      <c r="KOO574" s="1831"/>
      <c r="KOP574" s="1831"/>
      <c r="KOQ574" s="1831"/>
      <c r="KOR574" s="1831"/>
      <c r="KOS574" s="1831"/>
      <c r="KOT574" s="1831"/>
      <c r="KOU574" s="1831"/>
      <c r="KOV574" s="1831"/>
      <c r="KOW574" s="1831"/>
      <c r="KOX574" s="1831"/>
      <c r="KOY574" s="1831"/>
      <c r="KOZ574" s="1831"/>
      <c r="KPA574" s="1831"/>
      <c r="KPB574" s="1831"/>
      <c r="KPC574" s="1831"/>
      <c r="KPD574" s="1831"/>
      <c r="KPE574" s="1831"/>
      <c r="KPF574" s="1831"/>
      <c r="KPG574" s="1831"/>
      <c r="KPH574" s="1831"/>
      <c r="KPI574" s="1831"/>
      <c r="KPJ574" s="1831"/>
      <c r="KPK574" s="1831"/>
      <c r="KPL574" s="1831"/>
      <c r="KPM574" s="1831"/>
      <c r="KPN574" s="1831"/>
      <c r="KPO574" s="1831"/>
      <c r="KPP574" s="1831"/>
      <c r="KPQ574" s="1831"/>
      <c r="KPR574" s="1831"/>
      <c r="KPS574" s="1831"/>
      <c r="KPT574" s="1831"/>
      <c r="KPU574" s="1831"/>
      <c r="KPV574" s="1831"/>
      <c r="KPW574" s="1831"/>
      <c r="KPX574" s="1831"/>
      <c r="KPY574" s="1831"/>
      <c r="KPZ574" s="1831"/>
      <c r="KQA574" s="1831"/>
      <c r="KQB574" s="1831"/>
      <c r="KQC574" s="1831"/>
      <c r="KQD574" s="1831"/>
      <c r="KQE574" s="1831"/>
      <c r="KQF574" s="1831"/>
      <c r="KQG574" s="1831"/>
      <c r="KQH574" s="1831"/>
      <c r="KQI574" s="1831"/>
      <c r="KQJ574" s="1831"/>
      <c r="KQK574" s="1831"/>
      <c r="KQL574" s="1831"/>
      <c r="KQM574" s="1831"/>
      <c r="KQN574" s="1831"/>
      <c r="KQO574" s="1831"/>
      <c r="KQP574" s="1831"/>
      <c r="KQQ574" s="1831"/>
      <c r="KQR574" s="1831"/>
      <c r="KQS574" s="1831"/>
      <c r="KQT574" s="1831"/>
      <c r="KQU574" s="1831"/>
      <c r="KQV574" s="1831"/>
      <c r="KQW574" s="1831"/>
      <c r="KQX574" s="1831"/>
      <c r="KQY574" s="1831"/>
      <c r="KQZ574" s="1831"/>
      <c r="KRA574" s="1831"/>
      <c r="KRB574" s="1831"/>
      <c r="KRC574" s="1831"/>
      <c r="KRD574" s="1831"/>
      <c r="KRE574" s="1831"/>
      <c r="KRF574" s="1831"/>
      <c r="KRG574" s="1831"/>
      <c r="KRH574" s="1831"/>
      <c r="KRI574" s="1831"/>
      <c r="KRJ574" s="1831"/>
      <c r="KRK574" s="1831"/>
      <c r="KRL574" s="1831"/>
      <c r="KRM574" s="1831"/>
      <c r="KRN574" s="1831"/>
      <c r="KRO574" s="1831"/>
      <c r="KRP574" s="1831"/>
      <c r="KRQ574" s="1831"/>
      <c r="KRR574" s="1831"/>
      <c r="KRS574" s="1831"/>
      <c r="KRT574" s="1831"/>
      <c r="KRU574" s="1831"/>
      <c r="KRV574" s="1831"/>
      <c r="KRW574" s="1831"/>
      <c r="KRX574" s="1831"/>
      <c r="KRY574" s="1831"/>
      <c r="KRZ574" s="1831"/>
      <c r="KSA574" s="1831"/>
      <c r="KSB574" s="1831"/>
      <c r="KSC574" s="1831"/>
      <c r="KSD574" s="1831"/>
      <c r="KSE574" s="1831"/>
      <c r="KSF574" s="1831"/>
      <c r="KSG574" s="1831"/>
      <c r="KSH574" s="1831"/>
      <c r="KSI574" s="1831"/>
      <c r="KSJ574" s="1831"/>
      <c r="KSK574" s="1831"/>
      <c r="KSL574" s="1831"/>
      <c r="KSM574" s="1831"/>
      <c r="KSN574" s="1831"/>
      <c r="KSO574" s="1831"/>
      <c r="KSP574" s="1831"/>
      <c r="KSQ574" s="1831"/>
      <c r="KSR574" s="1831"/>
      <c r="KSS574" s="1831"/>
      <c r="KST574" s="1831"/>
      <c r="KSU574" s="1831"/>
      <c r="KSV574" s="1831"/>
      <c r="KSW574" s="1831"/>
      <c r="KSX574" s="1831"/>
      <c r="KSY574" s="1831"/>
      <c r="KSZ574" s="1831"/>
      <c r="KTA574" s="1831"/>
      <c r="KTB574" s="1831"/>
      <c r="KTC574" s="1831"/>
      <c r="KTD574" s="1831"/>
      <c r="KTE574" s="1831"/>
      <c r="KTF574" s="1831"/>
      <c r="KTG574" s="1831"/>
      <c r="KTH574" s="1831"/>
      <c r="KTI574" s="1831"/>
      <c r="KTJ574" s="1831"/>
      <c r="KTK574" s="1831"/>
      <c r="KTL574" s="1831"/>
      <c r="KTM574" s="1831"/>
      <c r="KTN574" s="1831"/>
      <c r="KTO574" s="1831"/>
      <c r="KTP574" s="1831"/>
      <c r="KTQ574" s="1831"/>
      <c r="KTR574" s="1831"/>
      <c r="KTS574" s="1831"/>
      <c r="KTT574" s="1831"/>
      <c r="KTU574" s="1831"/>
      <c r="KTV574" s="1831"/>
      <c r="KTW574" s="1831"/>
      <c r="KTX574" s="1831"/>
      <c r="KTY574" s="1831"/>
      <c r="KTZ574" s="1831"/>
      <c r="KUA574" s="1831"/>
      <c r="KUB574" s="1831"/>
      <c r="KUC574" s="1831"/>
      <c r="KUD574" s="1831"/>
      <c r="KUE574" s="1831"/>
      <c r="KUF574" s="1831"/>
      <c r="KUG574" s="1831"/>
      <c r="KUH574" s="1831"/>
      <c r="KUI574" s="1831"/>
      <c r="KUJ574" s="1831"/>
      <c r="KUK574" s="1831"/>
      <c r="KUL574" s="1831"/>
      <c r="KUM574" s="1831"/>
      <c r="KUN574" s="1831"/>
      <c r="KUO574" s="1831"/>
      <c r="KUP574" s="1831"/>
      <c r="KUQ574" s="1831"/>
      <c r="KUR574" s="1831"/>
      <c r="KUS574" s="1831"/>
      <c r="KUT574" s="1831"/>
      <c r="KUU574" s="1831"/>
      <c r="KUV574" s="1831"/>
      <c r="KUW574" s="1831"/>
      <c r="KUX574" s="1831"/>
      <c r="KUY574" s="1831"/>
      <c r="KUZ574" s="1831"/>
      <c r="KVA574" s="1831"/>
      <c r="KVB574" s="1831"/>
      <c r="KVC574" s="1831"/>
      <c r="KVD574" s="1831"/>
      <c r="KVE574" s="1831"/>
      <c r="KVF574" s="1831"/>
      <c r="KVG574" s="1831"/>
      <c r="KVH574" s="1831"/>
      <c r="KVI574" s="1831"/>
      <c r="KVJ574" s="1831"/>
      <c r="KVK574" s="1831"/>
      <c r="KVL574" s="1831"/>
      <c r="KVM574" s="1831"/>
      <c r="KVN574" s="1831"/>
      <c r="KVO574" s="1831"/>
      <c r="KVP574" s="1831"/>
      <c r="KVQ574" s="1831"/>
      <c r="KVR574" s="1831"/>
      <c r="KVS574" s="1831"/>
      <c r="KVT574" s="1831"/>
      <c r="KVU574" s="1831"/>
      <c r="KVV574" s="1831"/>
      <c r="KVW574" s="1831"/>
      <c r="KVX574" s="1831"/>
      <c r="KVY574" s="1831"/>
      <c r="KVZ574" s="1831"/>
      <c r="KWA574" s="1831"/>
      <c r="KWB574" s="1831"/>
      <c r="KWC574" s="1831"/>
      <c r="KWD574" s="1831"/>
      <c r="KWE574" s="1831"/>
      <c r="KWF574" s="1831"/>
      <c r="KWG574" s="1831"/>
      <c r="KWH574" s="1831"/>
      <c r="KWI574" s="1831"/>
      <c r="KWJ574" s="1831"/>
      <c r="KWK574" s="1831"/>
      <c r="KWL574" s="1831"/>
      <c r="KWM574" s="1831"/>
      <c r="KWN574" s="1831"/>
      <c r="KWO574" s="1831"/>
      <c r="KWP574" s="1831"/>
      <c r="KWQ574" s="1831"/>
      <c r="KWR574" s="1831"/>
      <c r="KWS574" s="1831"/>
      <c r="KWT574" s="1831"/>
      <c r="KWU574" s="1831"/>
      <c r="KWV574" s="1831"/>
      <c r="KWW574" s="1831"/>
      <c r="KWX574" s="1831"/>
      <c r="KWY574" s="1831"/>
      <c r="KWZ574" s="1831"/>
      <c r="KXA574" s="1831"/>
      <c r="KXB574" s="1831"/>
      <c r="KXC574" s="1831"/>
      <c r="KXD574" s="1831"/>
      <c r="KXE574" s="1831"/>
      <c r="KXF574" s="1831"/>
      <c r="KXG574" s="1831"/>
      <c r="KXH574" s="1831"/>
      <c r="KXI574" s="1831"/>
      <c r="KXJ574" s="1831"/>
      <c r="KXK574" s="1831"/>
      <c r="KXL574" s="1831"/>
      <c r="KXM574" s="1831"/>
      <c r="KXN574" s="1831"/>
      <c r="KXO574" s="1831"/>
      <c r="KXP574" s="1831"/>
      <c r="KXQ574" s="1831"/>
      <c r="KXR574" s="1831"/>
      <c r="KXS574" s="1831"/>
      <c r="KXT574" s="1831"/>
      <c r="KXU574" s="1831"/>
      <c r="KXV574" s="1831"/>
      <c r="KXW574" s="1831"/>
      <c r="KXX574" s="1831"/>
      <c r="KXY574" s="1831"/>
      <c r="KXZ574" s="1831"/>
      <c r="KYA574" s="1831"/>
      <c r="KYB574" s="1831"/>
      <c r="KYC574" s="1831"/>
      <c r="KYD574" s="1831"/>
      <c r="KYE574" s="1831"/>
      <c r="KYF574" s="1831"/>
      <c r="KYG574" s="1831"/>
      <c r="KYH574" s="1831"/>
      <c r="KYI574" s="1831"/>
      <c r="KYJ574" s="1831"/>
      <c r="KYK574" s="1831"/>
      <c r="KYL574" s="1831"/>
      <c r="KYM574" s="1831"/>
      <c r="KYN574" s="1831"/>
      <c r="KYO574" s="1831"/>
      <c r="KYP574" s="1831"/>
      <c r="KYQ574" s="1831"/>
      <c r="KYR574" s="1831"/>
      <c r="KYS574" s="1831"/>
      <c r="KYT574" s="1831"/>
      <c r="KYU574" s="1831"/>
      <c r="KYV574" s="1831"/>
      <c r="KYW574" s="1831"/>
      <c r="KYX574" s="1831"/>
      <c r="KYY574" s="1831"/>
      <c r="KYZ574" s="1831"/>
      <c r="KZA574" s="1831"/>
      <c r="KZB574" s="1831"/>
      <c r="KZC574" s="1831"/>
      <c r="KZD574" s="1831"/>
      <c r="KZE574" s="1831"/>
      <c r="KZF574" s="1831"/>
      <c r="KZG574" s="1831"/>
      <c r="KZH574" s="1831"/>
      <c r="KZI574" s="1831"/>
      <c r="KZJ574" s="1831"/>
      <c r="KZK574" s="1831"/>
      <c r="KZL574" s="1831"/>
      <c r="KZM574" s="1831"/>
      <c r="KZN574" s="1831"/>
      <c r="KZO574" s="1831"/>
      <c r="KZP574" s="1831"/>
      <c r="KZQ574" s="1831"/>
      <c r="KZR574" s="1831"/>
      <c r="KZS574" s="1831"/>
      <c r="KZT574" s="1831"/>
      <c r="KZU574" s="1831"/>
      <c r="KZV574" s="1831"/>
      <c r="KZW574" s="1831"/>
      <c r="KZX574" s="1831"/>
      <c r="KZY574" s="1831"/>
      <c r="KZZ574" s="1831"/>
      <c r="LAA574" s="1831"/>
      <c r="LAB574" s="1831"/>
      <c r="LAC574" s="1831"/>
      <c r="LAD574" s="1831"/>
      <c r="LAE574" s="1831"/>
      <c r="LAF574" s="1831"/>
      <c r="LAG574" s="1831"/>
      <c r="LAH574" s="1831"/>
      <c r="LAI574" s="1831"/>
      <c r="LAJ574" s="1831"/>
      <c r="LAK574" s="1831"/>
      <c r="LAL574" s="1831"/>
      <c r="LAM574" s="1831"/>
      <c r="LAN574" s="1831"/>
      <c r="LAO574" s="1831"/>
      <c r="LAP574" s="1831"/>
      <c r="LAQ574" s="1831"/>
      <c r="LAR574" s="1831"/>
      <c r="LAS574" s="1831"/>
      <c r="LAT574" s="1831"/>
      <c r="LAU574" s="1831"/>
      <c r="LAV574" s="1831"/>
      <c r="LAW574" s="1831"/>
      <c r="LAX574" s="1831"/>
      <c r="LAY574" s="1831"/>
      <c r="LAZ574" s="1831"/>
      <c r="LBA574" s="1831"/>
      <c r="LBB574" s="1831"/>
      <c r="LBC574" s="1831"/>
      <c r="LBD574" s="1831"/>
      <c r="LBE574" s="1831"/>
      <c r="LBF574" s="1831"/>
      <c r="LBG574" s="1831"/>
      <c r="LBH574" s="1831"/>
      <c r="LBI574" s="1831"/>
      <c r="LBJ574" s="1831"/>
      <c r="LBK574" s="1831"/>
      <c r="LBL574" s="1831"/>
      <c r="LBM574" s="1831"/>
      <c r="LBN574" s="1831"/>
      <c r="LBO574" s="1831"/>
      <c r="LBP574" s="1831"/>
      <c r="LBQ574" s="1831"/>
      <c r="LBR574" s="1831"/>
      <c r="LBS574" s="1831"/>
      <c r="LBT574" s="1831"/>
      <c r="LBU574" s="1831"/>
      <c r="LBV574" s="1831"/>
      <c r="LBW574" s="1831"/>
      <c r="LBX574" s="1831"/>
      <c r="LBY574" s="1831"/>
      <c r="LBZ574" s="1831"/>
      <c r="LCA574" s="1831"/>
      <c r="LCB574" s="1831"/>
      <c r="LCC574" s="1831"/>
      <c r="LCD574" s="1831"/>
      <c r="LCE574" s="1831"/>
      <c r="LCF574" s="1831"/>
      <c r="LCG574" s="1831"/>
      <c r="LCH574" s="1831"/>
      <c r="LCI574" s="1831"/>
      <c r="LCJ574" s="1831"/>
      <c r="LCK574" s="1831"/>
      <c r="LCL574" s="1831"/>
      <c r="LCM574" s="1831"/>
      <c r="LCN574" s="1831"/>
      <c r="LCO574" s="1831"/>
      <c r="LCP574" s="1831"/>
      <c r="LCQ574" s="1831"/>
      <c r="LCR574" s="1831"/>
      <c r="LCS574" s="1831"/>
      <c r="LCT574" s="1831"/>
      <c r="LCU574" s="1831"/>
      <c r="LCV574" s="1831"/>
      <c r="LCW574" s="1831"/>
      <c r="LCX574" s="1831"/>
      <c r="LCY574" s="1831"/>
      <c r="LCZ574" s="1831"/>
      <c r="LDA574" s="1831"/>
      <c r="LDB574" s="1831"/>
      <c r="LDC574" s="1831"/>
      <c r="LDD574" s="1831"/>
      <c r="LDE574" s="1831"/>
      <c r="LDF574" s="1831"/>
      <c r="LDG574" s="1831"/>
      <c r="LDH574" s="1831"/>
      <c r="LDI574" s="1831"/>
      <c r="LDJ574" s="1831"/>
      <c r="LDK574" s="1831"/>
      <c r="LDL574" s="1831"/>
      <c r="LDM574" s="1831"/>
      <c r="LDN574" s="1831"/>
      <c r="LDO574" s="1831"/>
      <c r="LDP574" s="1831"/>
      <c r="LDQ574" s="1831"/>
      <c r="LDR574" s="1831"/>
      <c r="LDS574" s="1831"/>
      <c r="LDT574" s="1831"/>
      <c r="LDU574" s="1831"/>
      <c r="LDV574" s="1831"/>
      <c r="LDW574" s="1831"/>
      <c r="LDX574" s="1831"/>
      <c r="LDY574" s="1831"/>
      <c r="LDZ574" s="1831"/>
      <c r="LEA574" s="1831"/>
      <c r="LEB574" s="1831"/>
      <c r="LEC574" s="1831"/>
      <c r="LED574" s="1831"/>
      <c r="LEE574" s="1831"/>
      <c r="LEF574" s="1831"/>
      <c r="LEG574" s="1831"/>
      <c r="LEH574" s="1831"/>
      <c r="LEI574" s="1831"/>
      <c r="LEJ574" s="1831"/>
      <c r="LEK574" s="1831"/>
      <c r="LEL574" s="1831"/>
      <c r="LEM574" s="1831"/>
      <c r="LEN574" s="1831"/>
      <c r="LEO574" s="1831"/>
      <c r="LEP574" s="1831"/>
      <c r="LEQ574" s="1831"/>
      <c r="LER574" s="1831"/>
      <c r="LES574" s="1831"/>
      <c r="LET574" s="1831"/>
      <c r="LEU574" s="1831"/>
      <c r="LEV574" s="1831"/>
      <c r="LEW574" s="1831"/>
      <c r="LEX574" s="1831"/>
      <c r="LEY574" s="1831"/>
      <c r="LEZ574" s="1831"/>
      <c r="LFA574" s="1831"/>
      <c r="LFB574" s="1831"/>
      <c r="LFC574" s="1831"/>
      <c r="LFD574" s="1831"/>
      <c r="LFE574" s="1831"/>
      <c r="LFF574" s="1831"/>
      <c r="LFG574" s="1831"/>
      <c r="LFH574" s="1831"/>
      <c r="LFI574" s="1831"/>
      <c r="LFJ574" s="1831"/>
      <c r="LFK574" s="1831"/>
      <c r="LFL574" s="1831"/>
      <c r="LFM574" s="1831"/>
      <c r="LFN574" s="1831"/>
      <c r="LFO574" s="1831"/>
      <c r="LFP574" s="1831"/>
      <c r="LFQ574" s="1831"/>
      <c r="LFR574" s="1831"/>
      <c r="LFS574" s="1831"/>
      <c r="LFT574" s="1831"/>
      <c r="LFU574" s="1831"/>
      <c r="LFV574" s="1831"/>
      <c r="LFW574" s="1831"/>
      <c r="LFX574" s="1831"/>
      <c r="LFY574" s="1831"/>
      <c r="LFZ574" s="1831"/>
      <c r="LGA574" s="1831"/>
      <c r="LGB574" s="1831"/>
      <c r="LGC574" s="1831"/>
      <c r="LGD574" s="1831"/>
      <c r="LGE574" s="1831"/>
      <c r="LGF574" s="1831"/>
      <c r="LGG574" s="1831"/>
      <c r="LGH574" s="1831"/>
      <c r="LGI574" s="1831"/>
      <c r="LGJ574" s="1831"/>
      <c r="LGK574" s="1831"/>
      <c r="LGL574" s="1831"/>
      <c r="LGM574" s="1831"/>
      <c r="LGN574" s="1831"/>
      <c r="LGO574" s="1831"/>
      <c r="LGP574" s="1831"/>
      <c r="LGQ574" s="1831"/>
      <c r="LGR574" s="1831"/>
      <c r="LGS574" s="1831"/>
      <c r="LGT574" s="1831"/>
      <c r="LGU574" s="1831"/>
      <c r="LGV574" s="1831"/>
      <c r="LGW574" s="1831"/>
      <c r="LGX574" s="1831"/>
      <c r="LGY574" s="1831"/>
      <c r="LGZ574" s="1831"/>
      <c r="LHA574" s="1831"/>
      <c r="LHB574" s="1831"/>
      <c r="LHC574" s="1831"/>
      <c r="LHD574" s="1831"/>
      <c r="LHE574" s="1831"/>
      <c r="LHF574" s="1831"/>
      <c r="LHG574" s="1831"/>
      <c r="LHH574" s="1831"/>
      <c r="LHI574" s="1831"/>
      <c r="LHJ574" s="1831"/>
      <c r="LHK574" s="1831"/>
      <c r="LHL574" s="1831"/>
      <c r="LHM574" s="1831"/>
      <c r="LHN574" s="1831"/>
      <c r="LHO574" s="1831"/>
      <c r="LHP574" s="1831"/>
      <c r="LHQ574" s="1831"/>
      <c r="LHR574" s="1831"/>
      <c r="LHS574" s="1831"/>
      <c r="LHT574" s="1831"/>
      <c r="LHU574" s="1831"/>
      <c r="LHV574" s="1831"/>
      <c r="LHW574" s="1831"/>
      <c r="LHX574" s="1831"/>
      <c r="LHY574" s="1831"/>
      <c r="LHZ574" s="1831"/>
      <c r="LIA574" s="1831"/>
      <c r="LIB574" s="1831"/>
      <c r="LIC574" s="1831"/>
      <c r="LID574" s="1831"/>
      <c r="LIE574" s="1831"/>
      <c r="LIF574" s="1831"/>
      <c r="LIG574" s="1831"/>
      <c r="LIH574" s="1831"/>
      <c r="LII574" s="1831"/>
      <c r="LIJ574" s="1831"/>
      <c r="LIK574" s="1831"/>
      <c r="LIL574" s="1831"/>
      <c r="LIM574" s="1831"/>
      <c r="LIN574" s="1831"/>
      <c r="LIO574" s="1831"/>
      <c r="LIP574" s="1831"/>
      <c r="LIQ574" s="1831"/>
      <c r="LIR574" s="1831"/>
      <c r="LIS574" s="1831"/>
      <c r="LIT574" s="1831"/>
      <c r="LIU574" s="1831"/>
      <c r="LIV574" s="1831"/>
      <c r="LIW574" s="1831"/>
      <c r="LIX574" s="1831"/>
      <c r="LIY574" s="1831"/>
      <c r="LIZ574" s="1831"/>
      <c r="LJA574" s="1831"/>
      <c r="LJB574" s="1831"/>
      <c r="LJC574" s="1831"/>
      <c r="LJD574" s="1831"/>
      <c r="LJE574" s="1831"/>
      <c r="LJF574" s="1831"/>
      <c r="LJG574" s="1831"/>
      <c r="LJH574" s="1831"/>
      <c r="LJI574" s="1831"/>
      <c r="LJJ574" s="1831"/>
      <c r="LJK574" s="1831"/>
      <c r="LJL574" s="1831"/>
      <c r="LJM574" s="1831"/>
      <c r="LJN574" s="1831"/>
      <c r="LJO574" s="1831"/>
      <c r="LJP574" s="1831"/>
      <c r="LJQ574" s="1831"/>
      <c r="LJR574" s="1831"/>
      <c r="LJS574" s="1831"/>
      <c r="LJT574" s="1831"/>
      <c r="LJU574" s="1831"/>
      <c r="LJV574" s="1831"/>
      <c r="LJW574" s="1831"/>
      <c r="LJX574" s="1831"/>
      <c r="LJY574" s="1831"/>
      <c r="LJZ574" s="1831"/>
      <c r="LKA574" s="1831"/>
      <c r="LKB574" s="1831"/>
      <c r="LKC574" s="1831"/>
      <c r="LKD574" s="1831"/>
      <c r="LKE574" s="1831"/>
      <c r="LKF574" s="1831"/>
      <c r="LKG574" s="1831"/>
      <c r="LKH574" s="1831"/>
      <c r="LKI574" s="1831"/>
      <c r="LKJ574" s="1831"/>
      <c r="LKK574" s="1831"/>
      <c r="LKL574" s="1831"/>
      <c r="LKM574" s="1831"/>
      <c r="LKN574" s="1831"/>
      <c r="LKO574" s="1831"/>
      <c r="LKP574" s="1831"/>
      <c r="LKQ574" s="1831"/>
      <c r="LKR574" s="1831"/>
      <c r="LKS574" s="1831"/>
      <c r="LKT574" s="1831"/>
      <c r="LKU574" s="1831"/>
      <c r="LKV574" s="1831"/>
      <c r="LKW574" s="1831"/>
      <c r="LKX574" s="1831"/>
      <c r="LKY574" s="1831"/>
      <c r="LKZ574" s="1831"/>
      <c r="LLA574" s="1831"/>
      <c r="LLB574" s="1831"/>
      <c r="LLC574" s="1831"/>
      <c r="LLD574" s="1831"/>
      <c r="LLE574" s="1831"/>
      <c r="LLF574" s="1831"/>
      <c r="LLG574" s="1831"/>
      <c r="LLH574" s="1831"/>
      <c r="LLI574" s="1831"/>
      <c r="LLJ574" s="1831"/>
      <c r="LLK574" s="1831"/>
      <c r="LLL574" s="1831"/>
      <c r="LLM574" s="1831"/>
      <c r="LLN574" s="1831"/>
      <c r="LLO574" s="1831"/>
      <c r="LLP574" s="1831"/>
      <c r="LLQ574" s="1831"/>
      <c r="LLR574" s="1831"/>
      <c r="LLS574" s="1831"/>
      <c r="LLT574" s="1831"/>
      <c r="LLU574" s="1831"/>
      <c r="LLV574" s="1831"/>
      <c r="LLW574" s="1831"/>
      <c r="LLX574" s="1831"/>
      <c r="LLY574" s="1831"/>
      <c r="LLZ574" s="1831"/>
      <c r="LMA574" s="1831"/>
      <c r="LMB574" s="1831"/>
      <c r="LMC574" s="1831"/>
      <c r="LMD574" s="1831"/>
      <c r="LME574" s="1831"/>
      <c r="LMF574" s="1831"/>
      <c r="LMG574" s="1831"/>
      <c r="LMH574" s="1831"/>
      <c r="LMI574" s="1831"/>
      <c r="LMJ574" s="1831"/>
      <c r="LMK574" s="1831"/>
      <c r="LML574" s="1831"/>
      <c r="LMM574" s="1831"/>
      <c r="LMN574" s="1831"/>
      <c r="LMO574" s="1831"/>
      <c r="LMP574" s="1831"/>
      <c r="LMQ574" s="1831"/>
      <c r="LMR574" s="1831"/>
      <c r="LMS574" s="1831"/>
      <c r="LMT574" s="1831"/>
      <c r="LMU574" s="1831"/>
      <c r="LMV574" s="1831"/>
      <c r="LMW574" s="1831"/>
      <c r="LMX574" s="1831"/>
      <c r="LMY574" s="1831"/>
      <c r="LMZ574" s="1831"/>
      <c r="LNA574" s="1831"/>
      <c r="LNB574" s="1831"/>
      <c r="LNC574" s="1831"/>
      <c r="LND574" s="1831"/>
      <c r="LNE574" s="1831"/>
      <c r="LNF574" s="1831"/>
      <c r="LNG574" s="1831"/>
      <c r="LNH574" s="1831"/>
      <c r="LNI574" s="1831"/>
      <c r="LNJ574" s="1831"/>
      <c r="LNK574" s="1831"/>
      <c r="LNL574" s="1831"/>
      <c r="LNM574" s="1831"/>
      <c r="LNN574" s="1831"/>
      <c r="LNO574" s="1831"/>
      <c r="LNP574" s="1831"/>
      <c r="LNQ574" s="1831"/>
      <c r="LNR574" s="1831"/>
      <c r="LNS574" s="1831"/>
      <c r="LNT574" s="1831"/>
      <c r="LNU574" s="1831"/>
      <c r="LNV574" s="1831"/>
      <c r="LNW574" s="1831"/>
      <c r="LNX574" s="1831"/>
      <c r="LNY574" s="1831"/>
      <c r="LNZ574" s="1831"/>
      <c r="LOA574" s="1831"/>
      <c r="LOB574" s="1831"/>
      <c r="LOC574" s="1831"/>
      <c r="LOD574" s="1831"/>
      <c r="LOE574" s="1831"/>
      <c r="LOF574" s="1831"/>
      <c r="LOG574" s="1831"/>
      <c r="LOH574" s="1831"/>
      <c r="LOI574" s="1831"/>
      <c r="LOJ574" s="1831"/>
      <c r="LOK574" s="1831"/>
      <c r="LOL574" s="1831"/>
      <c r="LOM574" s="1831"/>
      <c r="LON574" s="1831"/>
      <c r="LOO574" s="1831"/>
      <c r="LOP574" s="1831"/>
      <c r="LOQ574" s="1831"/>
      <c r="LOR574" s="1831"/>
      <c r="LOS574" s="1831"/>
      <c r="LOT574" s="1831"/>
      <c r="LOU574" s="1831"/>
      <c r="LOV574" s="1831"/>
      <c r="LOW574" s="1831"/>
      <c r="LOX574" s="1831"/>
      <c r="LOY574" s="1831"/>
      <c r="LOZ574" s="1831"/>
      <c r="LPA574" s="1831"/>
      <c r="LPB574" s="1831"/>
      <c r="LPC574" s="1831"/>
      <c r="LPD574" s="1831"/>
      <c r="LPE574" s="1831"/>
      <c r="LPF574" s="1831"/>
      <c r="LPG574" s="1831"/>
      <c r="LPH574" s="1831"/>
      <c r="LPI574" s="1831"/>
      <c r="LPJ574" s="1831"/>
      <c r="LPK574" s="1831"/>
      <c r="LPL574" s="1831"/>
      <c r="LPM574" s="1831"/>
      <c r="LPN574" s="1831"/>
      <c r="LPO574" s="1831"/>
      <c r="LPP574" s="1831"/>
      <c r="LPQ574" s="1831"/>
      <c r="LPR574" s="1831"/>
      <c r="LPS574" s="1831"/>
      <c r="LPT574" s="1831"/>
      <c r="LPU574" s="1831"/>
      <c r="LPV574" s="1831"/>
      <c r="LPW574" s="1831"/>
      <c r="LPX574" s="1831"/>
      <c r="LPY574" s="1831"/>
      <c r="LPZ574" s="1831"/>
      <c r="LQA574" s="1831"/>
      <c r="LQB574" s="1831"/>
      <c r="LQC574" s="1831"/>
      <c r="LQD574" s="1831"/>
      <c r="LQE574" s="1831"/>
      <c r="LQF574" s="1831"/>
      <c r="LQG574" s="1831"/>
      <c r="LQH574" s="1831"/>
      <c r="LQI574" s="1831"/>
      <c r="LQJ574" s="1831"/>
      <c r="LQK574" s="1831"/>
      <c r="LQL574" s="1831"/>
      <c r="LQM574" s="1831"/>
      <c r="LQN574" s="1831"/>
      <c r="LQO574" s="1831"/>
      <c r="LQP574" s="1831"/>
      <c r="LQQ574" s="1831"/>
      <c r="LQR574" s="1831"/>
      <c r="LQS574" s="1831"/>
      <c r="LQT574" s="1831"/>
      <c r="LQU574" s="1831"/>
      <c r="LQV574" s="1831"/>
      <c r="LQW574" s="1831"/>
      <c r="LQX574" s="1831"/>
      <c r="LQY574" s="1831"/>
      <c r="LQZ574" s="1831"/>
      <c r="LRA574" s="1831"/>
      <c r="LRB574" s="1831"/>
      <c r="LRC574" s="1831"/>
      <c r="LRD574" s="1831"/>
      <c r="LRE574" s="1831"/>
      <c r="LRF574" s="1831"/>
      <c r="LRG574" s="1831"/>
      <c r="LRH574" s="1831"/>
      <c r="LRI574" s="1831"/>
      <c r="LRJ574" s="1831"/>
      <c r="LRK574" s="1831"/>
      <c r="LRL574" s="1831"/>
      <c r="LRM574" s="1831"/>
      <c r="LRN574" s="1831"/>
      <c r="LRO574" s="1831"/>
      <c r="LRP574" s="1831"/>
      <c r="LRQ574" s="1831"/>
      <c r="LRR574" s="1831"/>
      <c r="LRS574" s="1831"/>
      <c r="LRT574" s="1831"/>
      <c r="LRU574" s="1831"/>
      <c r="LRV574" s="1831"/>
      <c r="LRW574" s="1831"/>
      <c r="LRX574" s="1831"/>
      <c r="LRY574" s="1831"/>
      <c r="LRZ574" s="1831"/>
      <c r="LSA574" s="1831"/>
      <c r="LSB574" s="1831"/>
      <c r="LSC574" s="1831"/>
      <c r="LSD574" s="1831"/>
      <c r="LSE574" s="1831"/>
      <c r="LSF574" s="1831"/>
      <c r="LSG574" s="1831"/>
      <c r="LSH574" s="1831"/>
      <c r="LSI574" s="1831"/>
      <c r="LSJ574" s="1831"/>
      <c r="LSK574" s="1831"/>
      <c r="LSL574" s="1831"/>
      <c r="LSM574" s="1831"/>
      <c r="LSN574" s="1831"/>
      <c r="LSO574" s="1831"/>
      <c r="LSP574" s="1831"/>
      <c r="LSQ574" s="1831"/>
      <c r="LSR574" s="1831"/>
      <c r="LSS574" s="1831"/>
      <c r="LST574" s="1831"/>
      <c r="LSU574" s="1831"/>
      <c r="LSV574" s="1831"/>
      <c r="LSW574" s="1831"/>
      <c r="LSX574" s="1831"/>
      <c r="LSY574" s="1831"/>
      <c r="LSZ574" s="1831"/>
      <c r="LTA574" s="1831"/>
      <c r="LTB574" s="1831"/>
      <c r="LTC574" s="1831"/>
      <c r="LTD574" s="1831"/>
      <c r="LTE574" s="1831"/>
      <c r="LTF574" s="1831"/>
      <c r="LTG574" s="1831"/>
      <c r="LTH574" s="1831"/>
      <c r="LTI574" s="1831"/>
      <c r="LTJ574" s="1831"/>
      <c r="LTK574" s="1831"/>
      <c r="LTL574" s="1831"/>
      <c r="LTM574" s="1831"/>
      <c r="LTN574" s="1831"/>
      <c r="LTO574" s="1831"/>
      <c r="LTP574" s="1831"/>
      <c r="LTQ574" s="1831"/>
      <c r="LTR574" s="1831"/>
      <c r="LTS574" s="1831"/>
      <c r="LTT574" s="1831"/>
      <c r="LTU574" s="1831"/>
      <c r="LTV574" s="1831"/>
      <c r="LTW574" s="1831"/>
      <c r="LTX574" s="1831"/>
      <c r="LTY574" s="1831"/>
      <c r="LTZ574" s="1831"/>
      <c r="LUA574" s="1831"/>
      <c r="LUB574" s="1831"/>
      <c r="LUC574" s="1831"/>
      <c r="LUD574" s="1831"/>
      <c r="LUE574" s="1831"/>
      <c r="LUF574" s="1831"/>
      <c r="LUG574" s="1831"/>
      <c r="LUH574" s="1831"/>
      <c r="LUI574" s="1831"/>
      <c r="LUJ574" s="1831"/>
      <c r="LUK574" s="1831"/>
      <c r="LUL574" s="1831"/>
      <c r="LUM574" s="1831"/>
      <c r="LUN574" s="1831"/>
      <c r="LUO574" s="1831"/>
      <c r="LUP574" s="1831"/>
      <c r="LUQ574" s="1831"/>
      <c r="LUR574" s="1831"/>
      <c r="LUS574" s="1831"/>
      <c r="LUT574" s="1831"/>
      <c r="LUU574" s="1831"/>
      <c r="LUV574" s="1831"/>
      <c r="LUW574" s="1831"/>
      <c r="LUX574" s="1831"/>
      <c r="LUY574" s="1831"/>
      <c r="LUZ574" s="1831"/>
      <c r="LVA574" s="1831"/>
      <c r="LVB574" s="1831"/>
      <c r="LVC574" s="1831"/>
      <c r="LVD574" s="1831"/>
      <c r="LVE574" s="1831"/>
      <c r="LVF574" s="1831"/>
      <c r="LVG574" s="1831"/>
      <c r="LVH574" s="1831"/>
      <c r="LVI574" s="1831"/>
      <c r="LVJ574" s="1831"/>
      <c r="LVK574" s="1831"/>
      <c r="LVL574" s="1831"/>
      <c r="LVM574" s="1831"/>
      <c r="LVN574" s="1831"/>
      <c r="LVO574" s="1831"/>
      <c r="LVP574" s="1831"/>
      <c r="LVQ574" s="1831"/>
      <c r="LVR574" s="1831"/>
      <c r="LVS574" s="1831"/>
      <c r="LVT574" s="1831"/>
      <c r="LVU574" s="1831"/>
      <c r="LVV574" s="1831"/>
      <c r="LVW574" s="1831"/>
      <c r="LVX574" s="1831"/>
      <c r="LVY574" s="1831"/>
      <c r="LVZ574" s="1831"/>
      <c r="LWA574" s="1831"/>
      <c r="LWB574" s="1831"/>
      <c r="LWC574" s="1831"/>
      <c r="LWD574" s="1831"/>
      <c r="LWE574" s="1831"/>
      <c r="LWF574" s="1831"/>
      <c r="LWG574" s="1831"/>
      <c r="LWH574" s="1831"/>
      <c r="LWI574" s="1831"/>
      <c r="LWJ574" s="1831"/>
      <c r="LWK574" s="1831"/>
      <c r="LWL574" s="1831"/>
      <c r="LWM574" s="1831"/>
      <c r="LWN574" s="1831"/>
      <c r="LWO574" s="1831"/>
      <c r="LWP574" s="1831"/>
      <c r="LWQ574" s="1831"/>
      <c r="LWR574" s="1831"/>
      <c r="LWS574" s="1831"/>
      <c r="LWT574" s="1831"/>
      <c r="LWU574" s="1831"/>
      <c r="LWV574" s="1831"/>
      <c r="LWW574" s="1831"/>
      <c r="LWX574" s="1831"/>
      <c r="LWY574" s="1831"/>
      <c r="LWZ574" s="1831"/>
      <c r="LXA574" s="1831"/>
      <c r="LXB574" s="1831"/>
      <c r="LXC574" s="1831"/>
      <c r="LXD574" s="1831"/>
      <c r="LXE574" s="1831"/>
      <c r="LXF574" s="1831"/>
      <c r="LXG574" s="1831"/>
      <c r="LXH574" s="1831"/>
      <c r="LXI574" s="1831"/>
      <c r="LXJ574" s="1831"/>
      <c r="LXK574" s="1831"/>
      <c r="LXL574" s="1831"/>
      <c r="LXM574" s="1831"/>
      <c r="LXN574" s="1831"/>
      <c r="LXO574" s="1831"/>
      <c r="LXP574" s="1831"/>
      <c r="LXQ574" s="1831"/>
      <c r="LXR574" s="1831"/>
      <c r="LXS574" s="1831"/>
      <c r="LXT574" s="1831"/>
      <c r="LXU574" s="1831"/>
      <c r="LXV574" s="1831"/>
      <c r="LXW574" s="1831"/>
      <c r="LXX574" s="1831"/>
      <c r="LXY574" s="1831"/>
      <c r="LXZ574" s="1831"/>
      <c r="LYA574" s="1831"/>
      <c r="LYB574" s="1831"/>
      <c r="LYC574" s="1831"/>
      <c r="LYD574" s="1831"/>
      <c r="LYE574" s="1831"/>
      <c r="LYF574" s="1831"/>
      <c r="LYG574" s="1831"/>
      <c r="LYH574" s="1831"/>
      <c r="LYI574" s="1831"/>
      <c r="LYJ574" s="1831"/>
      <c r="LYK574" s="1831"/>
      <c r="LYL574" s="1831"/>
      <c r="LYM574" s="1831"/>
      <c r="LYN574" s="1831"/>
      <c r="LYO574" s="1831"/>
      <c r="LYP574" s="1831"/>
      <c r="LYQ574" s="1831"/>
      <c r="LYR574" s="1831"/>
      <c r="LYS574" s="1831"/>
      <c r="LYT574" s="1831"/>
      <c r="LYU574" s="1831"/>
      <c r="LYV574" s="1831"/>
      <c r="LYW574" s="1831"/>
      <c r="LYX574" s="1831"/>
      <c r="LYY574" s="1831"/>
      <c r="LYZ574" s="1831"/>
      <c r="LZA574" s="1831"/>
      <c r="LZB574" s="1831"/>
      <c r="LZC574" s="1831"/>
      <c r="LZD574" s="1831"/>
      <c r="LZE574" s="1831"/>
      <c r="LZF574" s="1831"/>
      <c r="LZG574" s="1831"/>
      <c r="LZH574" s="1831"/>
      <c r="LZI574" s="1831"/>
      <c r="LZJ574" s="1831"/>
      <c r="LZK574" s="1831"/>
      <c r="LZL574" s="1831"/>
      <c r="LZM574" s="1831"/>
      <c r="LZN574" s="1831"/>
      <c r="LZO574" s="1831"/>
      <c r="LZP574" s="1831"/>
      <c r="LZQ574" s="1831"/>
      <c r="LZR574" s="1831"/>
      <c r="LZS574" s="1831"/>
      <c r="LZT574" s="1831"/>
      <c r="LZU574" s="1831"/>
      <c r="LZV574" s="1831"/>
      <c r="LZW574" s="1831"/>
      <c r="LZX574" s="1831"/>
      <c r="LZY574" s="1831"/>
      <c r="LZZ574" s="1831"/>
      <c r="MAA574" s="1831"/>
      <c r="MAB574" s="1831"/>
      <c r="MAC574" s="1831"/>
      <c r="MAD574" s="1831"/>
      <c r="MAE574" s="1831"/>
      <c r="MAF574" s="1831"/>
      <c r="MAG574" s="1831"/>
      <c r="MAH574" s="1831"/>
      <c r="MAI574" s="1831"/>
      <c r="MAJ574" s="1831"/>
      <c r="MAK574" s="1831"/>
      <c r="MAL574" s="1831"/>
      <c r="MAM574" s="1831"/>
      <c r="MAN574" s="1831"/>
      <c r="MAO574" s="1831"/>
      <c r="MAP574" s="1831"/>
      <c r="MAQ574" s="1831"/>
      <c r="MAR574" s="1831"/>
      <c r="MAS574" s="1831"/>
      <c r="MAT574" s="1831"/>
      <c r="MAU574" s="1831"/>
      <c r="MAV574" s="1831"/>
      <c r="MAW574" s="1831"/>
      <c r="MAX574" s="1831"/>
      <c r="MAY574" s="1831"/>
      <c r="MAZ574" s="1831"/>
      <c r="MBA574" s="1831"/>
      <c r="MBB574" s="1831"/>
      <c r="MBC574" s="1831"/>
      <c r="MBD574" s="1831"/>
      <c r="MBE574" s="1831"/>
      <c r="MBF574" s="1831"/>
      <c r="MBG574" s="1831"/>
      <c r="MBH574" s="1831"/>
      <c r="MBI574" s="1831"/>
      <c r="MBJ574" s="1831"/>
      <c r="MBK574" s="1831"/>
      <c r="MBL574" s="1831"/>
      <c r="MBM574" s="1831"/>
      <c r="MBN574" s="1831"/>
      <c r="MBO574" s="1831"/>
      <c r="MBP574" s="1831"/>
      <c r="MBQ574" s="1831"/>
      <c r="MBR574" s="1831"/>
      <c r="MBS574" s="1831"/>
      <c r="MBT574" s="1831"/>
      <c r="MBU574" s="1831"/>
      <c r="MBV574" s="1831"/>
      <c r="MBW574" s="1831"/>
      <c r="MBX574" s="1831"/>
      <c r="MBY574" s="1831"/>
      <c r="MBZ574" s="1831"/>
      <c r="MCA574" s="1831"/>
      <c r="MCB574" s="1831"/>
      <c r="MCC574" s="1831"/>
      <c r="MCD574" s="1831"/>
      <c r="MCE574" s="1831"/>
      <c r="MCF574" s="1831"/>
      <c r="MCG574" s="1831"/>
      <c r="MCH574" s="1831"/>
      <c r="MCI574" s="1831"/>
      <c r="MCJ574" s="1831"/>
      <c r="MCK574" s="1831"/>
      <c r="MCL574" s="1831"/>
      <c r="MCM574" s="1831"/>
      <c r="MCN574" s="1831"/>
      <c r="MCO574" s="1831"/>
      <c r="MCP574" s="1831"/>
      <c r="MCQ574" s="1831"/>
      <c r="MCR574" s="1831"/>
      <c r="MCS574" s="1831"/>
      <c r="MCT574" s="1831"/>
      <c r="MCU574" s="1831"/>
      <c r="MCV574" s="1831"/>
      <c r="MCW574" s="1831"/>
      <c r="MCX574" s="1831"/>
      <c r="MCY574" s="1831"/>
      <c r="MCZ574" s="1831"/>
      <c r="MDA574" s="1831"/>
      <c r="MDB574" s="1831"/>
      <c r="MDC574" s="1831"/>
      <c r="MDD574" s="1831"/>
      <c r="MDE574" s="1831"/>
      <c r="MDF574" s="1831"/>
      <c r="MDG574" s="1831"/>
      <c r="MDH574" s="1831"/>
      <c r="MDI574" s="1831"/>
      <c r="MDJ574" s="1831"/>
      <c r="MDK574" s="1831"/>
      <c r="MDL574" s="1831"/>
      <c r="MDM574" s="1831"/>
      <c r="MDN574" s="1831"/>
      <c r="MDO574" s="1831"/>
      <c r="MDP574" s="1831"/>
      <c r="MDQ574" s="1831"/>
      <c r="MDR574" s="1831"/>
      <c r="MDS574" s="1831"/>
      <c r="MDT574" s="1831"/>
      <c r="MDU574" s="1831"/>
      <c r="MDV574" s="1831"/>
      <c r="MDW574" s="1831"/>
      <c r="MDX574" s="1831"/>
      <c r="MDY574" s="1831"/>
      <c r="MDZ574" s="1831"/>
      <c r="MEA574" s="1831"/>
      <c r="MEB574" s="1831"/>
      <c r="MEC574" s="1831"/>
      <c r="MED574" s="1831"/>
      <c r="MEE574" s="1831"/>
      <c r="MEF574" s="1831"/>
      <c r="MEG574" s="1831"/>
      <c r="MEH574" s="1831"/>
      <c r="MEI574" s="1831"/>
      <c r="MEJ574" s="1831"/>
      <c r="MEK574" s="1831"/>
      <c r="MEL574" s="1831"/>
      <c r="MEM574" s="1831"/>
      <c r="MEN574" s="1831"/>
      <c r="MEO574" s="1831"/>
      <c r="MEP574" s="1831"/>
      <c r="MEQ574" s="1831"/>
      <c r="MER574" s="1831"/>
      <c r="MES574" s="1831"/>
      <c r="MET574" s="1831"/>
      <c r="MEU574" s="1831"/>
      <c r="MEV574" s="1831"/>
      <c r="MEW574" s="1831"/>
      <c r="MEX574" s="1831"/>
      <c r="MEY574" s="1831"/>
      <c r="MEZ574" s="1831"/>
      <c r="MFA574" s="1831"/>
      <c r="MFB574" s="1831"/>
      <c r="MFC574" s="1831"/>
      <c r="MFD574" s="1831"/>
      <c r="MFE574" s="1831"/>
      <c r="MFF574" s="1831"/>
      <c r="MFG574" s="1831"/>
      <c r="MFH574" s="1831"/>
      <c r="MFI574" s="1831"/>
      <c r="MFJ574" s="1831"/>
      <c r="MFK574" s="1831"/>
      <c r="MFL574" s="1831"/>
      <c r="MFM574" s="1831"/>
      <c r="MFN574" s="1831"/>
      <c r="MFO574" s="1831"/>
      <c r="MFP574" s="1831"/>
      <c r="MFQ574" s="1831"/>
      <c r="MFR574" s="1831"/>
      <c r="MFS574" s="1831"/>
      <c r="MFT574" s="1831"/>
      <c r="MFU574" s="1831"/>
      <c r="MFV574" s="1831"/>
      <c r="MFW574" s="1831"/>
      <c r="MFX574" s="1831"/>
      <c r="MFY574" s="1831"/>
      <c r="MFZ574" s="1831"/>
      <c r="MGA574" s="1831"/>
      <c r="MGB574" s="1831"/>
      <c r="MGC574" s="1831"/>
      <c r="MGD574" s="1831"/>
      <c r="MGE574" s="1831"/>
      <c r="MGF574" s="1831"/>
      <c r="MGG574" s="1831"/>
      <c r="MGH574" s="1831"/>
      <c r="MGI574" s="1831"/>
      <c r="MGJ574" s="1831"/>
      <c r="MGK574" s="1831"/>
      <c r="MGL574" s="1831"/>
      <c r="MGM574" s="1831"/>
      <c r="MGN574" s="1831"/>
      <c r="MGO574" s="1831"/>
      <c r="MGP574" s="1831"/>
      <c r="MGQ574" s="1831"/>
      <c r="MGR574" s="1831"/>
      <c r="MGS574" s="1831"/>
      <c r="MGT574" s="1831"/>
      <c r="MGU574" s="1831"/>
      <c r="MGV574" s="1831"/>
      <c r="MGW574" s="1831"/>
      <c r="MGX574" s="1831"/>
      <c r="MGY574" s="1831"/>
      <c r="MGZ574" s="1831"/>
      <c r="MHA574" s="1831"/>
      <c r="MHB574" s="1831"/>
      <c r="MHC574" s="1831"/>
      <c r="MHD574" s="1831"/>
      <c r="MHE574" s="1831"/>
      <c r="MHF574" s="1831"/>
      <c r="MHG574" s="1831"/>
      <c r="MHH574" s="1831"/>
      <c r="MHI574" s="1831"/>
      <c r="MHJ574" s="1831"/>
      <c r="MHK574" s="1831"/>
      <c r="MHL574" s="1831"/>
      <c r="MHM574" s="1831"/>
      <c r="MHN574" s="1831"/>
      <c r="MHO574" s="1831"/>
      <c r="MHP574" s="1831"/>
      <c r="MHQ574" s="1831"/>
      <c r="MHR574" s="1831"/>
      <c r="MHS574" s="1831"/>
      <c r="MHT574" s="1831"/>
      <c r="MHU574" s="1831"/>
      <c r="MHV574" s="1831"/>
      <c r="MHW574" s="1831"/>
      <c r="MHX574" s="1831"/>
      <c r="MHY574" s="1831"/>
      <c r="MHZ574" s="1831"/>
      <c r="MIA574" s="1831"/>
      <c r="MIB574" s="1831"/>
      <c r="MIC574" s="1831"/>
      <c r="MID574" s="1831"/>
      <c r="MIE574" s="1831"/>
      <c r="MIF574" s="1831"/>
      <c r="MIG574" s="1831"/>
      <c r="MIH574" s="1831"/>
      <c r="MII574" s="1831"/>
      <c r="MIJ574" s="1831"/>
      <c r="MIK574" s="1831"/>
      <c r="MIL574" s="1831"/>
      <c r="MIM574" s="1831"/>
      <c r="MIN574" s="1831"/>
      <c r="MIO574" s="1831"/>
      <c r="MIP574" s="1831"/>
      <c r="MIQ574" s="1831"/>
      <c r="MIR574" s="1831"/>
      <c r="MIS574" s="1831"/>
      <c r="MIT574" s="1831"/>
      <c r="MIU574" s="1831"/>
      <c r="MIV574" s="1831"/>
      <c r="MIW574" s="1831"/>
      <c r="MIX574" s="1831"/>
      <c r="MIY574" s="1831"/>
      <c r="MIZ574" s="1831"/>
      <c r="MJA574" s="1831"/>
      <c r="MJB574" s="1831"/>
      <c r="MJC574" s="1831"/>
      <c r="MJD574" s="1831"/>
      <c r="MJE574" s="1831"/>
      <c r="MJF574" s="1831"/>
      <c r="MJG574" s="1831"/>
      <c r="MJH574" s="1831"/>
      <c r="MJI574" s="1831"/>
      <c r="MJJ574" s="1831"/>
      <c r="MJK574" s="1831"/>
      <c r="MJL574" s="1831"/>
      <c r="MJM574" s="1831"/>
      <c r="MJN574" s="1831"/>
      <c r="MJO574" s="1831"/>
      <c r="MJP574" s="1831"/>
      <c r="MJQ574" s="1831"/>
      <c r="MJR574" s="1831"/>
      <c r="MJS574" s="1831"/>
      <c r="MJT574" s="1831"/>
      <c r="MJU574" s="1831"/>
      <c r="MJV574" s="1831"/>
      <c r="MJW574" s="1831"/>
      <c r="MJX574" s="1831"/>
      <c r="MJY574" s="1831"/>
      <c r="MJZ574" s="1831"/>
      <c r="MKA574" s="1831"/>
      <c r="MKB574" s="1831"/>
      <c r="MKC574" s="1831"/>
      <c r="MKD574" s="1831"/>
      <c r="MKE574" s="1831"/>
      <c r="MKF574" s="1831"/>
      <c r="MKG574" s="1831"/>
      <c r="MKH574" s="1831"/>
      <c r="MKI574" s="1831"/>
      <c r="MKJ574" s="1831"/>
      <c r="MKK574" s="1831"/>
      <c r="MKL574" s="1831"/>
      <c r="MKM574" s="1831"/>
      <c r="MKN574" s="1831"/>
      <c r="MKO574" s="1831"/>
      <c r="MKP574" s="1831"/>
      <c r="MKQ574" s="1831"/>
      <c r="MKR574" s="1831"/>
      <c r="MKS574" s="1831"/>
      <c r="MKT574" s="1831"/>
      <c r="MKU574" s="1831"/>
      <c r="MKV574" s="1831"/>
      <c r="MKW574" s="1831"/>
      <c r="MKX574" s="1831"/>
      <c r="MKY574" s="1831"/>
      <c r="MKZ574" s="1831"/>
      <c r="MLA574" s="1831"/>
      <c r="MLB574" s="1831"/>
      <c r="MLC574" s="1831"/>
      <c r="MLD574" s="1831"/>
      <c r="MLE574" s="1831"/>
      <c r="MLF574" s="1831"/>
      <c r="MLG574" s="1831"/>
      <c r="MLH574" s="1831"/>
      <c r="MLI574" s="1831"/>
      <c r="MLJ574" s="1831"/>
      <c r="MLK574" s="1831"/>
      <c r="MLL574" s="1831"/>
      <c r="MLM574" s="1831"/>
      <c r="MLN574" s="1831"/>
      <c r="MLO574" s="1831"/>
      <c r="MLP574" s="1831"/>
      <c r="MLQ574" s="1831"/>
      <c r="MLR574" s="1831"/>
      <c r="MLS574" s="1831"/>
      <c r="MLT574" s="1831"/>
      <c r="MLU574" s="1831"/>
      <c r="MLV574" s="1831"/>
      <c r="MLW574" s="1831"/>
      <c r="MLX574" s="1831"/>
      <c r="MLY574" s="1831"/>
      <c r="MLZ574" s="1831"/>
      <c r="MMA574" s="1831"/>
      <c r="MMB574" s="1831"/>
      <c r="MMC574" s="1831"/>
      <c r="MMD574" s="1831"/>
      <c r="MME574" s="1831"/>
      <c r="MMF574" s="1831"/>
      <c r="MMG574" s="1831"/>
      <c r="MMH574" s="1831"/>
      <c r="MMI574" s="1831"/>
      <c r="MMJ574" s="1831"/>
      <c r="MMK574" s="1831"/>
      <c r="MML574" s="1831"/>
      <c r="MMM574" s="1831"/>
      <c r="MMN574" s="1831"/>
      <c r="MMO574" s="1831"/>
      <c r="MMP574" s="1831"/>
      <c r="MMQ574" s="1831"/>
      <c r="MMR574" s="1831"/>
      <c r="MMS574" s="1831"/>
      <c r="MMT574" s="1831"/>
      <c r="MMU574" s="1831"/>
      <c r="MMV574" s="1831"/>
      <c r="MMW574" s="1831"/>
      <c r="MMX574" s="1831"/>
      <c r="MMY574" s="1831"/>
      <c r="MMZ574" s="1831"/>
      <c r="MNA574" s="1831"/>
      <c r="MNB574" s="1831"/>
      <c r="MNC574" s="1831"/>
      <c r="MND574" s="1831"/>
      <c r="MNE574" s="1831"/>
      <c r="MNF574" s="1831"/>
      <c r="MNG574" s="1831"/>
      <c r="MNH574" s="1831"/>
      <c r="MNI574" s="1831"/>
      <c r="MNJ574" s="1831"/>
      <c r="MNK574" s="1831"/>
      <c r="MNL574" s="1831"/>
      <c r="MNM574" s="1831"/>
      <c r="MNN574" s="1831"/>
      <c r="MNO574" s="1831"/>
      <c r="MNP574" s="1831"/>
      <c r="MNQ574" s="1831"/>
      <c r="MNR574" s="1831"/>
      <c r="MNS574" s="1831"/>
      <c r="MNT574" s="1831"/>
      <c r="MNU574" s="1831"/>
      <c r="MNV574" s="1831"/>
      <c r="MNW574" s="1831"/>
      <c r="MNX574" s="1831"/>
      <c r="MNY574" s="1831"/>
      <c r="MNZ574" s="1831"/>
      <c r="MOA574" s="1831"/>
      <c r="MOB574" s="1831"/>
      <c r="MOC574" s="1831"/>
      <c r="MOD574" s="1831"/>
      <c r="MOE574" s="1831"/>
      <c r="MOF574" s="1831"/>
      <c r="MOG574" s="1831"/>
      <c r="MOH574" s="1831"/>
      <c r="MOI574" s="1831"/>
      <c r="MOJ574" s="1831"/>
      <c r="MOK574" s="1831"/>
      <c r="MOL574" s="1831"/>
      <c r="MOM574" s="1831"/>
      <c r="MON574" s="1831"/>
      <c r="MOO574" s="1831"/>
      <c r="MOP574" s="1831"/>
      <c r="MOQ574" s="1831"/>
      <c r="MOR574" s="1831"/>
      <c r="MOS574" s="1831"/>
      <c r="MOT574" s="1831"/>
      <c r="MOU574" s="1831"/>
      <c r="MOV574" s="1831"/>
      <c r="MOW574" s="1831"/>
      <c r="MOX574" s="1831"/>
      <c r="MOY574" s="1831"/>
      <c r="MOZ574" s="1831"/>
      <c r="MPA574" s="1831"/>
      <c r="MPB574" s="1831"/>
      <c r="MPC574" s="1831"/>
      <c r="MPD574" s="1831"/>
      <c r="MPE574" s="1831"/>
      <c r="MPF574" s="1831"/>
      <c r="MPG574" s="1831"/>
      <c r="MPH574" s="1831"/>
      <c r="MPI574" s="1831"/>
      <c r="MPJ574" s="1831"/>
      <c r="MPK574" s="1831"/>
      <c r="MPL574" s="1831"/>
      <c r="MPM574" s="1831"/>
      <c r="MPN574" s="1831"/>
      <c r="MPO574" s="1831"/>
      <c r="MPP574" s="1831"/>
      <c r="MPQ574" s="1831"/>
      <c r="MPR574" s="1831"/>
      <c r="MPS574" s="1831"/>
      <c r="MPT574" s="1831"/>
      <c r="MPU574" s="1831"/>
      <c r="MPV574" s="1831"/>
      <c r="MPW574" s="1831"/>
      <c r="MPX574" s="1831"/>
      <c r="MPY574" s="1831"/>
      <c r="MPZ574" s="1831"/>
      <c r="MQA574" s="1831"/>
      <c r="MQB574" s="1831"/>
      <c r="MQC574" s="1831"/>
      <c r="MQD574" s="1831"/>
      <c r="MQE574" s="1831"/>
      <c r="MQF574" s="1831"/>
      <c r="MQG574" s="1831"/>
      <c r="MQH574" s="1831"/>
      <c r="MQI574" s="1831"/>
      <c r="MQJ574" s="1831"/>
      <c r="MQK574" s="1831"/>
      <c r="MQL574" s="1831"/>
      <c r="MQM574" s="1831"/>
      <c r="MQN574" s="1831"/>
      <c r="MQO574" s="1831"/>
      <c r="MQP574" s="1831"/>
      <c r="MQQ574" s="1831"/>
      <c r="MQR574" s="1831"/>
      <c r="MQS574" s="1831"/>
      <c r="MQT574" s="1831"/>
      <c r="MQU574" s="1831"/>
      <c r="MQV574" s="1831"/>
      <c r="MQW574" s="1831"/>
      <c r="MQX574" s="1831"/>
      <c r="MQY574" s="1831"/>
      <c r="MQZ574" s="1831"/>
      <c r="MRA574" s="1831"/>
      <c r="MRB574" s="1831"/>
      <c r="MRC574" s="1831"/>
      <c r="MRD574" s="1831"/>
      <c r="MRE574" s="1831"/>
      <c r="MRF574" s="1831"/>
      <c r="MRG574" s="1831"/>
      <c r="MRH574" s="1831"/>
      <c r="MRI574" s="1831"/>
      <c r="MRJ574" s="1831"/>
      <c r="MRK574" s="1831"/>
      <c r="MRL574" s="1831"/>
      <c r="MRM574" s="1831"/>
      <c r="MRN574" s="1831"/>
      <c r="MRO574" s="1831"/>
      <c r="MRP574" s="1831"/>
      <c r="MRQ574" s="1831"/>
      <c r="MRR574" s="1831"/>
      <c r="MRS574" s="1831"/>
      <c r="MRT574" s="1831"/>
      <c r="MRU574" s="1831"/>
      <c r="MRV574" s="1831"/>
      <c r="MRW574" s="1831"/>
      <c r="MRX574" s="1831"/>
      <c r="MRY574" s="1831"/>
      <c r="MRZ574" s="1831"/>
      <c r="MSA574" s="1831"/>
      <c r="MSB574" s="1831"/>
      <c r="MSC574" s="1831"/>
      <c r="MSD574" s="1831"/>
      <c r="MSE574" s="1831"/>
      <c r="MSF574" s="1831"/>
      <c r="MSG574" s="1831"/>
      <c r="MSH574" s="1831"/>
      <c r="MSI574" s="1831"/>
      <c r="MSJ574" s="1831"/>
      <c r="MSK574" s="1831"/>
      <c r="MSL574" s="1831"/>
      <c r="MSM574" s="1831"/>
      <c r="MSN574" s="1831"/>
      <c r="MSO574" s="1831"/>
      <c r="MSP574" s="1831"/>
      <c r="MSQ574" s="1831"/>
      <c r="MSR574" s="1831"/>
      <c r="MSS574" s="1831"/>
      <c r="MST574" s="1831"/>
      <c r="MSU574" s="1831"/>
      <c r="MSV574" s="1831"/>
      <c r="MSW574" s="1831"/>
      <c r="MSX574" s="1831"/>
      <c r="MSY574" s="1831"/>
      <c r="MSZ574" s="1831"/>
      <c r="MTA574" s="1831"/>
      <c r="MTB574" s="1831"/>
      <c r="MTC574" s="1831"/>
      <c r="MTD574" s="1831"/>
      <c r="MTE574" s="1831"/>
      <c r="MTF574" s="1831"/>
      <c r="MTG574" s="1831"/>
      <c r="MTH574" s="1831"/>
      <c r="MTI574" s="1831"/>
      <c r="MTJ574" s="1831"/>
      <c r="MTK574" s="1831"/>
      <c r="MTL574" s="1831"/>
      <c r="MTM574" s="1831"/>
      <c r="MTN574" s="1831"/>
      <c r="MTO574" s="1831"/>
      <c r="MTP574" s="1831"/>
      <c r="MTQ574" s="1831"/>
      <c r="MTR574" s="1831"/>
      <c r="MTS574" s="1831"/>
      <c r="MTT574" s="1831"/>
      <c r="MTU574" s="1831"/>
      <c r="MTV574" s="1831"/>
      <c r="MTW574" s="1831"/>
      <c r="MTX574" s="1831"/>
      <c r="MTY574" s="1831"/>
      <c r="MTZ574" s="1831"/>
      <c r="MUA574" s="1831"/>
      <c r="MUB574" s="1831"/>
      <c r="MUC574" s="1831"/>
      <c r="MUD574" s="1831"/>
      <c r="MUE574" s="1831"/>
      <c r="MUF574" s="1831"/>
      <c r="MUG574" s="1831"/>
      <c r="MUH574" s="1831"/>
      <c r="MUI574" s="1831"/>
      <c r="MUJ574" s="1831"/>
      <c r="MUK574" s="1831"/>
      <c r="MUL574" s="1831"/>
      <c r="MUM574" s="1831"/>
      <c r="MUN574" s="1831"/>
      <c r="MUO574" s="1831"/>
      <c r="MUP574" s="1831"/>
      <c r="MUQ574" s="1831"/>
      <c r="MUR574" s="1831"/>
      <c r="MUS574" s="1831"/>
      <c r="MUT574" s="1831"/>
      <c r="MUU574" s="1831"/>
      <c r="MUV574" s="1831"/>
      <c r="MUW574" s="1831"/>
      <c r="MUX574" s="1831"/>
      <c r="MUY574" s="1831"/>
      <c r="MUZ574" s="1831"/>
      <c r="MVA574" s="1831"/>
      <c r="MVB574" s="1831"/>
      <c r="MVC574" s="1831"/>
      <c r="MVD574" s="1831"/>
      <c r="MVE574" s="1831"/>
      <c r="MVF574" s="1831"/>
      <c r="MVG574" s="1831"/>
      <c r="MVH574" s="1831"/>
      <c r="MVI574" s="1831"/>
      <c r="MVJ574" s="1831"/>
      <c r="MVK574" s="1831"/>
      <c r="MVL574" s="1831"/>
      <c r="MVM574" s="1831"/>
      <c r="MVN574" s="1831"/>
      <c r="MVO574" s="1831"/>
      <c r="MVP574" s="1831"/>
      <c r="MVQ574" s="1831"/>
      <c r="MVR574" s="1831"/>
      <c r="MVS574" s="1831"/>
      <c r="MVT574" s="1831"/>
      <c r="MVU574" s="1831"/>
      <c r="MVV574" s="1831"/>
      <c r="MVW574" s="1831"/>
      <c r="MVX574" s="1831"/>
      <c r="MVY574" s="1831"/>
      <c r="MVZ574" s="1831"/>
      <c r="MWA574" s="1831"/>
      <c r="MWB574" s="1831"/>
      <c r="MWC574" s="1831"/>
      <c r="MWD574" s="1831"/>
      <c r="MWE574" s="1831"/>
      <c r="MWF574" s="1831"/>
      <c r="MWG574" s="1831"/>
      <c r="MWH574" s="1831"/>
      <c r="MWI574" s="1831"/>
      <c r="MWJ574" s="1831"/>
      <c r="MWK574" s="1831"/>
      <c r="MWL574" s="1831"/>
      <c r="MWM574" s="1831"/>
      <c r="MWN574" s="1831"/>
      <c r="MWO574" s="1831"/>
      <c r="MWP574" s="1831"/>
      <c r="MWQ574" s="1831"/>
      <c r="MWR574" s="1831"/>
      <c r="MWS574" s="1831"/>
      <c r="MWT574" s="1831"/>
      <c r="MWU574" s="1831"/>
      <c r="MWV574" s="1831"/>
      <c r="MWW574" s="1831"/>
      <c r="MWX574" s="1831"/>
      <c r="MWY574" s="1831"/>
      <c r="MWZ574" s="1831"/>
      <c r="MXA574" s="1831"/>
      <c r="MXB574" s="1831"/>
      <c r="MXC574" s="1831"/>
      <c r="MXD574" s="1831"/>
      <c r="MXE574" s="1831"/>
      <c r="MXF574" s="1831"/>
      <c r="MXG574" s="1831"/>
      <c r="MXH574" s="1831"/>
      <c r="MXI574" s="1831"/>
      <c r="MXJ574" s="1831"/>
      <c r="MXK574" s="1831"/>
      <c r="MXL574" s="1831"/>
      <c r="MXM574" s="1831"/>
      <c r="MXN574" s="1831"/>
      <c r="MXO574" s="1831"/>
      <c r="MXP574" s="1831"/>
      <c r="MXQ574" s="1831"/>
      <c r="MXR574" s="1831"/>
      <c r="MXS574" s="1831"/>
      <c r="MXT574" s="1831"/>
      <c r="MXU574" s="1831"/>
      <c r="MXV574" s="1831"/>
      <c r="MXW574" s="1831"/>
      <c r="MXX574" s="1831"/>
      <c r="MXY574" s="1831"/>
      <c r="MXZ574" s="1831"/>
      <c r="MYA574" s="1831"/>
      <c r="MYB574" s="1831"/>
      <c r="MYC574" s="1831"/>
      <c r="MYD574" s="1831"/>
      <c r="MYE574" s="1831"/>
      <c r="MYF574" s="1831"/>
      <c r="MYG574" s="1831"/>
      <c r="MYH574" s="1831"/>
      <c r="MYI574" s="1831"/>
      <c r="MYJ574" s="1831"/>
      <c r="MYK574" s="1831"/>
      <c r="MYL574" s="1831"/>
      <c r="MYM574" s="1831"/>
      <c r="MYN574" s="1831"/>
      <c r="MYO574" s="1831"/>
      <c r="MYP574" s="1831"/>
      <c r="MYQ574" s="1831"/>
      <c r="MYR574" s="1831"/>
      <c r="MYS574" s="1831"/>
      <c r="MYT574" s="1831"/>
      <c r="MYU574" s="1831"/>
      <c r="MYV574" s="1831"/>
      <c r="MYW574" s="1831"/>
      <c r="MYX574" s="1831"/>
      <c r="MYY574" s="1831"/>
      <c r="MYZ574" s="1831"/>
      <c r="MZA574" s="1831"/>
      <c r="MZB574" s="1831"/>
      <c r="MZC574" s="1831"/>
      <c r="MZD574" s="1831"/>
      <c r="MZE574" s="1831"/>
      <c r="MZF574" s="1831"/>
      <c r="MZG574" s="1831"/>
      <c r="MZH574" s="1831"/>
      <c r="MZI574" s="1831"/>
      <c r="MZJ574" s="1831"/>
      <c r="MZK574" s="1831"/>
      <c r="MZL574" s="1831"/>
      <c r="MZM574" s="1831"/>
      <c r="MZN574" s="1831"/>
      <c r="MZO574" s="1831"/>
      <c r="MZP574" s="1831"/>
      <c r="MZQ574" s="1831"/>
      <c r="MZR574" s="1831"/>
      <c r="MZS574" s="1831"/>
      <c r="MZT574" s="1831"/>
      <c r="MZU574" s="1831"/>
      <c r="MZV574" s="1831"/>
      <c r="MZW574" s="1831"/>
      <c r="MZX574" s="1831"/>
      <c r="MZY574" s="1831"/>
      <c r="MZZ574" s="1831"/>
      <c r="NAA574" s="1831"/>
      <c r="NAB574" s="1831"/>
      <c r="NAC574" s="1831"/>
      <c r="NAD574" s="1831"/>
      <c r="NAE574" s="1831"/>
      <c r="NAF574" s="1831"/>
      <c r="NAG574" s="1831"/>
      <c r="NAH574" s="1831"/>
      <c r="NAI574" s="1831"/>
      <c r="NAJ574" s="1831"/>
      <c r="NAK574" s="1831"/>
      <c r="NAL574" s="1831"/>
      <c r="NAM574" s="1831"/>
      <c r="NAN574" s="1831"/>
      <c r="NAO574" s="1831"/>
      <c r="NAP574" s="1831"/>
      <c r="NAQ574" s="1831"/>
      <c r="NAR574" s="1831"/>
      <c r="NAS574" s="1831"/>
      <c r="NAT574" s="1831"/>
      <c r="NAU574" s="1831"/>
      <c r="NAV574" s="1831"/>
      <c r="NAW574" s="1831"/>
      <c r="NAX574" s="1831"/>
      <c r="NAY574" s="1831"/>
      <c r="NAZ574" s="1831"/>
      <c r="NBA574" s="1831"/>
      <c r="NBB574" s="1831"/>
      <c r="NBC574" s="1831"/>
      <c r="NBD574" s="1831"/>
      <c r="NBE574" s="1831"/>
      <c r="NBF574" s="1831"/>
      <c r="NBG574" s="1831"/>
      <c r="NBH574" s="1831"/>
      <c r="NBI574" s="1831"/>
      <c r="NBJ574" s="1831"/>
      <c r="NBK574" s="1831"/>
      <c r="NBL574" s="1831"/>
      <c r="NBM574" s="1831"/>
      <c r="NBN574" s="1831"/>
      <c r="NBO574" s="1831"/>
      <c r="NBP574" s="1831"/>
      <c r="NBQ574" s="1831"/>
      <c r="NBR574" s="1831"/>
      <c r="NBS574" s="1831"/>
      <c r="NBT574" s="1831"/>
      <c r="NBU574" s="1831"/>
      <c r="NBV574" s="1831"/>
      <c r="NBW574" s="1831"/>
      <c r="NBX574" s="1831"/>
      <c r="NBY574" s="1831"/>
      <c r="NBZ574" s="1831"/>
      <c r="NCA574" s="1831"/>
      <c r="NCB574" s="1831"/>
      <c r="NCC574" s="1831"/>
      <c r="NCD574" s="1831"/>
      <c r="NCE574" s="1831"/>
      <c r="NCF574" s="1831"/>
      <c r="NCG574" s="1831"/>
      <c r="NCH574" s="1831"/>
      <c r="NCI574" s="1831"/>
      <c r="NCJ574" s="1831"/>
      <c r="NCK574" s="1831"/>
      <c r="NCL574" s="1831"/>
      <c r="NCM574" s="1831"/>
      <c r="NCN574" s="1831"/>
      <c r="NCO574" s="1831"/>
      <c r="NCP574" s="1831"/>
      <c r="NCQ574" s="1831"/>
      <c r="NCR574" s="1831"/>
      <c r="NCS574" s="1831"/>
      <c r="NCT574" s="1831"/>
      <c r="NCU574" s="1831"/>
      <c r="NCV574" s="1831"/>
      <c r="NCW574" s="1831"/>
      <c r="NCX574" s="1831"/>
      <c r="NCY574" s="1831"/>
      <c r="NCZ574" s="1831"/>
      <c r="NDA574" s="1831"/>
      <c r="NDB574" s="1831"/>
      <c r="NDC574" s="1831"/>
      <c r="NDD574" s="1831"/>
      <c r="NDE574" s="1831"/>
      <c r="NDF574" s="1831"/>
      <c r="NDG574" s="1831"/>
      <c r="NDH574" s="1831"/>
      <c r="NDI574" s="1831"/>
      <c r="NDJ574" s="1831"/>
      <c r="NDK574" s="1831"/>
      <c r="NDL574" s="1831"/>
      <c r="NDM574" s="1831"/>
      <c r="NDN574" s="1831"/>
      <c r="NDO574" s="1831"/>
      <c r="NDP574" s="1831"/>
      <c r="NDQ574" s="1831"/>
      <c r="NDR574" s="1831"/>
      <c r="NDS574" s="1831"/>
      <c r="NDT574" s="1831"/>
      <c r="NDU574" s="1831"/>
      <c r="NDV574" s="1831"/>
      <c r="NDW574" s="1831"/>
      <c r="NDX574" s="1831"/>
      <c r="NDY574" s="1831"/>
      <c r="NDZ574" s="1831"/>
      <c r="NEA574" s="1831"/>
      <c r="NEB574" s="1831"/>
      <c r="NEC574" s="1831"/>
      <c r="NED574" s="1831"/>
      <c r="NEE574" s="1831"/>
      <c r="NEF574" s="1831"/>
      <c r="NEG574" s="1831"/>
      <c r="NEH574" s="1831"/>
      <c r="NEI574" s="1831"/>
      <c r="NEJ574" s="1831"/>
      <c r="NEK574" s="1831"/>
      <c r="NEL574" s="1831"/>
      <c r="NEM574" s="1831"/>
      <c r="NEN574" s="1831"/>
      <c r="NEO574" s="1831"/>
      <c r="NEP574" s="1831"/>
      <c r="NEQ574" s="1831"/>
      <c r="NER574" s="1831"/>
      <c r="NES574" s="1831"/>
      <c r="NET574" s="1831"/>
      <c r="NEU574" s="1831"/>
      <c r="NEV574" s="1831"/>
      <c r="NEW574" s="1831"/>
      <c r="NEX574" s="1831"/>
      <c r="NEY574" s="1831"/>
      <c r="NEZ574" s="1831"/>
      <c r="NFA574" s="1831"/>
      <c r="NFB574" s="1831"/>
      <c r="NFC574" s="1831"/>
      <c r="NFD574" s="1831"/>
      <c r="NFE574" s="1831"/>
      <c r="NFF574" s="1831"/>
      <c r="NFG574" s="1831"/>
      <c r="NFH574" s="1831"/>
      <c r="NFI574" s="1831"/>
      <c r="NFJ574" s="1831"/>
      <c r="NFK574" s="1831"/>
      <c r="NFL574" s="1831"/>
      <c r="NFM574" s="1831"/>
      <c r="NFN574" s="1831"/>
      <c r="NFO574" s="1831"/>
      <c r="NFP574" s="1831"/>
      <c r="NFQ574" s="1831"/>
      <c r="NFR574" s="1831"/>
      <c r="NFS574" s="1831"/>
      <c r="NFT574" s="1831"/>
      <c r="NFU574" s="1831"/>
      <c r="NFV574" s="1831"/>
      <c r="NFW574" s="1831"/>
      <c r="NFX574" s="1831"/>
      <c r="NFY574" s="1831"/>
      <c r="NFZ574" s="1831"/>
      <c r="NGA574" s="1831"/>
      <c r="NGB574" s="1831"/>
      <c r="NGC574" s="1831"/>
      <c r="NGD574" s="1831"/>
      <c r="NGE574" s="1831"/>
      <c r="NGF574" s="1831"/>
      <c r="NGG574" s="1831"/>
      <c r="NGH574" s="1831"/>
      <c r="NGI574" s="1831"/>
      <c r="NGJ574" s="1831"/>
      <c r="NGK574" s="1831"/>
      <c r="NGL574" s="1831"/>
      <c r="NGM574" s="1831"/>
      <c r="NGN574" s="1831"/>
      <c r="NGO574" s="1831"/>
      <c r="NGP574" s="1831"/>
      <c r="NGQ574" s="1831"/>
      <c r="NGR574" s="1831"/>
      <c r="NGS574" s="1831"/>
      <c r="NGT574" s="1831"/>
      <c r="NGU574" s="1831"/>
      <c r="NGV574" s="1831"/>
      <c r="NGW574" s="1831"/>
      <c r="NGX574" s="1831"/>
      <c r="NGY574" s="1831"/>
      <c r="NGZ574" s="1831"/>
      <c r="NHA574" s="1831"/>
      <c r="NHB574" s="1831"/>
      <c r="NHC574" s="1831"/>
      <c r="NHD574" s="1831"/>
      <c r="NHE574" s="1831"/>
      <c r="NHF574" s="1831"/>
      <c r="NHG574" s="1831"/>
      <c r="NHH574" s="1831"/>
      <c r="NHI574" s="1831"/>
      <c r="NHJ574" s="1831"/>
      <c r="NHK574" s="1831"/>
      <c r="NHL574" s="1831"/>
      <c r="NHM574" s="1831"/>
      <c r="NHN574" s="1831"/>
      <c r="NHO574" s="1831"/>
      <c r="NHP574" s="1831"/>
      <c r="NHQ574" s="1831"/>
      <c r="NHR574" s="1831"/>
      <c r="NHS574" s="1831"/>
      <c r="NHT574" s="1831"/>
      <c r="NHU574" s="1831"/>
      <c r="NHV574" s="1831"/>
      <c r="NHW574" s="1831"/>
      <c r="NHX574" s="1831"/>
      <c r="NHY574" s="1831"/>
      <c r="NHZ574" s="1831"/>
      <c r="NIA574" s="1831"/>
      <c r="NIB574" s="1831"/>
      <c r="NIC574" s="1831"/>
      <c r="NID574" s="1831"/>
      <c r="NIE574" s="1831"/>
      <c r="NIF574" s="1831"/>
      <c r="NIG574" s="1831"/>
      <c r="NIH574" s="1831"/>
      <c r="NII574" s="1831"/>
      <c r="NIJ574" s="1831"/>
      <c r="NIK574" s="1831"/>
      <c r="NIL574" s="1831"/>
      <c r="NIM574" s="1831"/>
      <c r="NIN574" s="1831"/>
      <c r="NIO574" s="1831"/>
      <c r="NIP574" s="1831"/>
      <c r="NIQ574" s="1831"/>
      <c r="NIR574" s="1831"/>
      <c r="NIS574" s="1831"/>
      <c r="NIT574" s="1831"/>
      <c r="NIU574" s="1831"/>
      <c r="NIV574" s="1831"/>
      <c r="NIW574" s="1831"/>
      <c r="NIX574" s="1831"/>
      <c r="NIY574" s="1831"/>
      <c r="NIZ574" s="1831"/>
      <c r="NJA574" s="1831"/>
      <c r="NJB574" s="1831"/>
      <c r="NJC574" s="1831"/>
      <c r="NJD574" s="1831"/>
      <c r="NJE574" s="1831"/>
      <c r="NJF574" s="1831"/>
      <c r="NJG574" s="1831"/>
      <c r="NJH574" s="1831"/>
      <c r="NJI574" s="1831"/>
      <c r="NJJ574" s="1831"/>
      <c r="NJK574" s="1831"/>
      <c r="NJL574" s="1831"/>
      <c r="NJM574" s="1831"/>
      <c r="NJN574" s="1831"/>
      <c r="NJO574" s="1831"/>
      <c r="NJP574" s="1831"/>
      <c r="NJQ574" s="1831"/>
      <c r="NJR574" s="1831"/>
      <c r="NJS574" s="1831"/>
      <c r="NJT574" s="1831"/>
      <c r="NJU574" s="1831"/>
      <c r="NJV574" s="1831"/>
      <c r="NJW574" s="1831"/>
      <c r="NJX574" s="1831"/>
      <c r="NJY574" s="1831"/>
      <c r="NJZ574" s="1831"/>
      <c r="NKA574" s="1831"/>
      <c r="NKB574" s="1831"/>
      <c r="NKC574" s="1831"/>
      <c r="NKD574" s="1831"/>
      <c r="NKE574" s="1831"/>
      <c r="NKF574" s="1831"/>
      <c r="NKG574" s="1831"/>
      <c r="NKH574" s="1831"/>
      <c r="NKI574" s="1831"/>
      <c r="NKJ574" s="1831"/>
      <c r="NKK574" s="1831"/>
      <c r="NKL574" s="1831"/>
      <c r="NKM574" s="1831"/>
      <c r="NKN574" s="1831"/>
      <c r="NKO574" s="1831"/>
      <c r="NKP574" s="1831"/>
      <c r="NKQ574" s="1831"/>
      <c r="NKR574" s="1831"/>
      <c r="NKS574" s="1831"/>
      <c r="NKT574" s="1831"/>
      <c r="NKU574" s="1831"/>
      <c r="NKV574" s="1831"/>
      <c r="NKW574" s="1831"/>
      <c r="NKX574" s="1831"/>
      <c r="NKY574" s="1831"/>
      <c r="NKZ574" s="1831"/>
      <c r="NLA574" s="1831"/>
      <c r="NLB574" s="1831"/>
      <c r="NLC574" s="1831"/>
      <c r="NLD574" s="1831"/>
      <c r="NLE574" s="1831"/>
      <c r="NLF574" s="1831"/>
      <c r="NLG574" s="1831"/>
      <c r="NLH574" s="1831"/>
      <c r="NLI574" s="1831"/>
      <c r="NLJ574" s="1831"/>
      <c r="NLK574" s="1831"/>
      <c r="NLL574" s="1831"/>
      <c r="NLM574" s="1831"/>
      <c r="NLN574" s="1831"/>
      <c r="NLO574" s="1831"/>
      <c r="NLP574" s="1831"/>
      <c r="NLQ574" s="1831"/>
      <c r="NLR574" s="1831"/>
      <c r="NLS574" s="1831"/>
      <c r="NLT574" s="1831"/>
      <c r="NLU574" s="1831"/>
      <c r="NLV574" s="1831"/>
      <c r="NLW574" s="1831"/>
      <c r="NLX574" s="1831"/>
      <c r="NLY574" s="1831"/>
      <c r="NLZ574" s="1831"/>
      <c r="NMA574" s="1831"/>
      <c r="NMB574" s="1831"/>
      <c r="NMC574" s="1831"/>
      <c r="NMD574" s="1831"/>
      <c r="NME574" s="1831"/>
      <c r="NMF574" s="1831"/>
      <c r="NMG574" s="1831"/>
      <c r="NMH574" s="1831"/>
      <c r="NMI574" s="1831"/>
      <c r="NMJ574" s="1831"/>
      <c r="NMK574" s="1831"/>
      <c r="NML574" s="1831"/>
      <c r="NMM574" s="1831"/>
      <c r="NMN574" s="1831"/>
      <c r="NMO574" s="1831"/>
      <c r="NMP574" s="1831"/>
      <c r="NMQ574" s="1831"/>
      <c r="NMR574" s="1831"/>
      <c r="NMS574" s="1831"/>
      <c r="NMT574" s="1831"/>
      <c r="NMU574" s="1831"/>
      <c r="NMV574" s="1831"/>
      <c r="NMW574" s="1831"/>
      <c r="NMX574" s="1831"/>
      <c r="NMY574" s="1831"/>
      <c r="NMZ574" s="1831"/>
      <c r="NNA574" s="1831"/>
      <c r="NNB574" s="1831"/>
      <c r="NNC574" s="1831"/>
      <c r="NND574" s="1831"/>
      <c r="NNE574" s="1831"/>
      <c r="NNF574" s="1831"/>
      <c r="NNG574" s="1831"/>
      <c r="NNH574" s="1831"/>
      <c r="NNI574" s="1831"/>
      <c r="NNJ574" s="1831"/>
      <c r="NNK574" s="1831"/>
      <c r="NNL574" s="1831"/>
      <c r="NNM574" s="1831"/>
      <c r="NNN574" s="1831"/>
      <c r="NNO574" s="1831"/>
      <c r="NNP574" s="1831"/>
      <c r="NNQ574" s="1831"/>
      <c r="NNR574" s="1831"/>
      <c r="NNS574" s="1831"/>
      <c r="NNT574" s="1831"/>
      <c r="NNU574" s="1831"/>
      <c r="NNV574" s="1831"/>
      <c r="NNW574" s="1831"/>
      <c r="NNX574" s="1831"/>
      <c r="NNY574" s="1831"/>
      <c r="NNZ574" s="1831"/>
      <c r="NOA574" s="1831"/>
      <c r="NOB574" s="1831"/>
      <c r="NOC574" s="1831"/>
      <c r="NOD574" s="1831"/>
      <c r="NOE574" s="1831"/>
      <c r="NOF574" s="1831"/>
      <c r="NOG574" s="1831"/>
      <c r="NOH574" s="1831"/>
      <c r="NOI574" s="1831"/>
      <c r="NOJ574" s="1831"/>
      <c r="NOK574" s="1831"/>
      <c r="NOL574" s="1831"/>
      <c r="NOM574" s="1831"/>
      <c r="NON574" s="1831"/>
      <c r="NOO574" s="1831"/>
      <c r="NOP574" s="1831"/>
      <c r="NOQ574" s="1831"/>
      <c r="NOR574" s="1831"/>
      <c r="NOS574" s="1831"/>
      <c r="NOT574" s="1831"/>
      <c r="NOU574" s="1831"/>
      <c r="NOV574" s="1831"/>
      <c r="NOW574" s="1831"/>
      <c r="NOX574" s="1831"/>
      <c r="NOY574" s="1831"/>
      <c r="NOZ574" s="1831"/>
      <c r="NPA574" s="1831"/>
      <c r="NPB574" s="1831"/>
      <c r="NPC574" s="1831"/>
      <c r="NPD574" s="1831"/>
      <c r="NPE574" s="1831"/>
      <c r="NPF574" s="1831"/>
      <c r="NPG574" s="1831"/>
      <c r="NPH574" s="1831"/>
      <c r="NPI574" s="1831"/>
      <c r="NPJ574" s="1831"/>
      <c r="NPK574" s="1831"/>
      <c r="NPL574" s="1831"/>
      <c r="NPM574" s="1831"/>
      <c r="NPN574" s="1831"/>
      <c r="NPO574" s="1831"/>
      <c r="NPP574" s="1831"/>
      <c r="NPQ574" s="1831"/>
      <c r="NPR574" s="1831"/>
      <c r="NPS574" s="1831"/>
      <c r="NPT574" s="1831"/>
      <c r="NPU574" s="1831"/>
      <c r="NPV574" s="1831"/>
      <c r="NPW574" s="1831"/>
      <c r="NPX574" s="1831"/>
      <c r="NPY574" s="1831"/>
      <c r="NPZ574" s="1831"/>
      <c r="NQA574" s="1831"/>
      <c r="NQB574" s="1831"/>
      <c r="NQC574" s="1831"/>
      <c r="NQD574" s="1831"/>
      <c r="NQE574" s="1831"/>
      <c r="NQF574" s="1831"/>
      <c r="NQG574" s="1831"/>
      <c r="NQH574" s="1831"/>
      <c r="NQI574" s="1831"/>
      <c r="NQJ574" s="1831"/>
      <c r="NQK574" s="1831"/>
      <c r="NQL574" s="1831"/>
      <c r="NQM574" s="1831"/>
      <c r="NQN574" s="1831"/>
      <c r="NQO574" s="1831"/>
      <c r="NQP574" s="1831"/>
      <c r="NQQ574" s="1831"/>
      <c r="NQR574" s="1831"/>
      <c r="NQS574" s="1831"/>
      <c r="NQT574" s="1831"/>
      <c r="NQU574" s="1831"/>
      <c r="NQV574" s="1831"/>
      <c r="NQW574" s="1831"/>
      <c r="NQX574" s="1831"/>
      <c r="NQY574" s="1831"/>
      <c r="NQZ574" s="1831"/>
      <c r="NRA574" s="1831"/>
      <c r="NRB574" s="1831"/>
      <c r="NRC574" s="1831"/>
      <c r="NRD574" s="1831"/>
      <c r="NRE574" s="1831"/>
      <c r="NRF574" s="1831"/>
      <c r="NRG574" s="1831"/>
      <c r="NRH574" s="1831"/>
      <c r="NRI574" s="1831"/>
      <c r="NRJ574" s="1831"/>
      <c r="NRK574" s="1831"/>
      <c r="NRL574" s="1831"/>
      <c r="NRM574" s="1831"/>
      <c r="NRN574" s="1831"/>
      <c r="NRO574" s="1831"/>
      <c r="NRP574" s="1831"/>
      <c r="NRQ574" s="1831"/>
      <c r="NRR574" s="1831"/>
      <c r="NRS574" s="1831"/>
      <c r="NRT574" s="1831"/>
      <c r="NRU574" s="1831"/>
      <c r="NRV574" s="1831"/>
      <c r="NRW574" s="1831"/>
      <c r="NRX574" s="1831"/>
      <c r="NRY574" s="1831"/>
      <c r="NRZ574" s="1831"/>
      <c r="NSA574" s="1831"/>
      <c r="NSB574" s="1831"/>
      <c r="NSC574" s="1831"/>
      <c r="NSD574" s="1831"/>
      <c r="NSE574" s="1831"/>
      <c r="NSF574" s="1831"/>
      <c r="NSG574" s="1831"/>
      <c r="NSH574" s="1831"/>
      <c r="NSI574" s="1831"/>
      <c r="NSJ574" s="1831"/>
      <c r="NSK574" s="1831"/>
      <c r="NSL574" s="1831"/>
      <c r="NSM574" s="1831"/>
      <c r="NSN574" s="1831"/>
      <c r="NSO574" s="1831"/>
      <c r="NSP574" s="1831"/>
      <c r="NSQ574" s="1831"/>
      <c r="NSR574" s="1831"/>
      <c r="NSS574" s="1831"/>
      <c r="NST574" s="1831"/>
      <c r="NSU574" s="1831"/>
      <c r="NSV574" s="1831"/>
      <c r="NSW574" s="1831"/>
      <c r="NSX574" s="1831"/>
      <c r="NSY574" s="1831"/>
      <c r="NSZ574" s="1831"/>
      <c r="NTA574" s="1831"/>
      <c r="NTB574" s="1831"/>
      <c r="NTC574" s="1831"/>
      <c r="NTD574" s="1831"/>
      <c r="NTE574" s="1831"/>
      <c r="NTF574" s="1831"/>
      <c r="NTG574" s="1831"/>
      <c r="NTH574" s="1831"/>
      <c r="NTI574" s="1831"/>
      <c r="NTJ574" s="1831"/>
      <c r="NTK574" s="1831"/>
      <c r="NTL574" s="1831"/>
      <c r="NTM574" s="1831"/>
      <c r="NTN574" s="1831"/>
      <c r="NTO574" s="1831"/>
      <c r="NTP574" s="1831"/>
      <c r="NTQ574" s="1831"/>
      <c r="NTR574" s="1831"/>
      <c r="NTS574" s="1831"/>
      <c r="NTT574" s="1831"/>
      <c r="NTU574" s="1831"/>
      <c r="NTV574" s="1831"/>
      <c r="NTW574" s="1831"/>
      <c r="NTX574" s="1831"/>
      <c r="NTY574" s="1831"/>
      <c r="NTZ574" s="1831"/>
      <c r="NUA574" s="1831"/>
      <c r="NUB574" s="1831"/>
      <c r="NUC574" s="1831"/>
      <c r="NUD574" s="1831"/>
      <c r="NUE574" s="1831"/>
      <c r="NUF574" s="1831"/>
      <c r="NUG574" s="1831"/>
      <c r="NUH574" s="1831"/>
      <c r="NUI574" s="1831"/>
      <c r="NUJ574" s="1831"/>
      <c r="NUK574" s="1831"/>
      <c r="NUL574" s="1831"/>
      <c r="NUM574" s="1831"/>
      <c r="NUN574" s="1831"/>
      <c r="NUO574" s="1831"/>
      <c r="NUP574" s="1831"/>
      <c r="NUQ574" s="1831"/>
      <c r="NUR574" s="1831"/>
      <c r="NUS574" s="1831"/>
      <c r="NUT574" s="1831"/>
      <c r="NUU574" s="1831"/>
      <c r="NUV574" s="1831"/>
      <c r="NUW574" s="1831"/>
      <c r="NUX574" s="1831"/>
      <c r="NUY574" s="1831"/>
      <c r="NUZ574" s="1831"/>
      <c r="NVA574" s="1831"/>
      <c r="NVB574" s="1831"/>
      <c r="NVC574" s="1831"/>
      <c r="NVD574" s="1831"/>
      <c r="NVE574" s="1831"/>
      <c r="NVF574" s="1831"/>
      <c r="NVG574" s="1831"/>
      <c r="NVH574" s="1831"/>
      <c r="NVI574" s="1831"/>
      <c r="NVJ574" s="1831"/>
      <c r="NVK574" s="1831"/>
      <c r="NVL574" s="1831"/>
      <c r="NVM574" s="1831"/>
      <c r="NVN574" s="1831"/>
      <c r="NVO574" s="1831"/>
      <c r="NVP574" s="1831"/>
      <c r="NVQ574" s="1831"/>
      <c r="NVR574" s="1831"/>
      <c r="NVS574" s="1831"/>
      <c r="NVT574" s="1831"/>
      <c r="NVU574" s="1831"/>
      <c r="NVV574" s="1831"/>
      <c r="NVW574" s="1831"/>
      <c r="NVX574" s="1831"/>
      <c r="NVY574" s="1831"/>
      <c r="NVZ574" s="1831"/>
      <c r="NWA574" s="1831"/>
      <c r="NWB574" s="1831"/>
      <c r="NWC574" s="1831"/>
      <c r="NWD574" s="1831"/>
      <c r="NWE574" s="1831"/>
      <c r="NWF574" s="1831"/>
      <c r="NWG574" s="1831"/>
      <c r="NWH574" s="1831"/>
      <c r="NWI574" s="1831"/>
      <c r="NWJ574" s="1831"/>
      <c r="NWK574" s="1831"/>
      <c r="NWL574" s="1831"/>
      <c r="NWM574" s="1831"/>
      <c r="NWN574" s="1831"/>
      <c r="NWO574" s="1831"/>
      <c r="NWP574" s="1831"/>
      <c r="NWQ574" s="1831"/>
      <c r="NWR574" s="1831"/>
      <c r="NWS574" s="1831"/>
      <c r="NWT574" s="1831"/>
      <c r="NWU574" s="1831"/>
      <c r="NWV574" s="1831"/>
      <c r="NWW574" s="1831"/>
      <c r="NWX574" s="1831"/>
      <c r="NWY574" s="1831"/>
      <c r="NWZ574" s="1831"/>
      <c r="NXA574" s="1831"/>
      <c r="NXB574" s="1831"/>
      <c r="NXC574" s="1831"/>
      <c r="NXD574" s="1831"/>
      <c r="NXE574" s="1831"/>
      <c r="NXF574" s="1831"/>
      <c r="NXG574" s="1831"/>
      <c r="NXH574" s="1831"/>
      <c r="NXI574" s="1831"/>
      <c r="NXJ574" s="1831"/>
      <c r="NXK574" s="1831"/>
      <c r="NXL574" s="1831"/>
      <c r="NXM574" s="1831"/>
      <c r="NXN574" s="1831"/>
      <c r="NXO574" s="1831"/>
      <c r="NXP574" s="1831"/>
      <c r="NXQ574" s="1831"/>
      <c r="NXR574" s="1831"/>
      <c r="NXS574" s="1831"/>
      <c r="NXT574" s="1831"/>
      <c r="NXU574" s="1831"/>
      <c r="NXV574" s="1831"/>
      <c r="NXW574" s="1831"/>
      <c r="NXX574" s="1831"/>
      <c r="NXY574" s="1831"/>
      <c r="NXZ574" s="1831"/>
      <c r="NYA574" s="1831"/>
      <c r="NYB574" s="1831"/>
      <c r="NYC574" s="1831"/>
      <c r="NYD574" s="1831"/>
      <c r="NYE574" s="1831"/>
      <c r="NYF574" s="1831"/>
      <c r="NYG574" s="1831"/>
      <c r="NYH574" s="1831"/>
      <c r="NYI574" s="1831"/>
      <c r="NYJ574" s="1831"/>
      <c r="NYK574" s="1831"/>
      <c r="NYL574" s="1831"/>
      <c r="NYM574" s="1831"/>
      <c r="NYN574" s="1831"/>
      <c r="NYO574" s="1831"/>
      <c r="NYP574" s="1831"/>
      <c r="NYQ574" s="1831"/>
      <c r="NYR574" s="1831"/>
      <c r="NYS574" s="1831"/>
      <c r="NYT574" s="1831"/>
      <c r="NYU574" s="1831"/>
      <c r="NYV574" s="1831"/>
      <c r="NYW574" s="1831"/>
      <c r="NYX574" s="1831"/>
      <c r="NYY574" s="1831"/>
      <c r="NYZ574" s="1831"/>
      <c r="NZA574" s="1831"/>
      <c r="NZB574" s="1831"/>
      <c r="NZC574" s="1831"/>
      <c r="NZD574" s="1831"/>
      <c r="NZE574" s="1831"/>
      <c r="NZF574" s="1831"/>
      <c r="NZG574" s="1831"/>
      <c r="NZH574" s="1831"/>
      <c r="NZI574" s="1831"/>
      <c r="NZJ574" s="1831"/>
      <c r="NZK574" s="1831"/>
      <c r="NZL574" s="1831"/>
      <c r="NZM574" s="1831"/>
      <c r="NZN574" s="1831"/>
      <c r="NZO574" s="1831"/>
      <c r="NZP574" s="1831"/>
      <c r="NZQ574" s="1831"/>
      <c r="NZR574" s="1831"/>
      <c r="NZS574" s="1831"/>
      <c r="NZT574" s="1831"/>
      <c r="NZU574" s="1831"/>
      <c r="NZV574" s="1831"/>
      <c r="NZW574" s="1831"/>
      <c r="NZX574" s="1831"/>
      <c r="NZY574" s="1831"/>
      <c r="NZZ574" s="1831"/>
      <c r="OAA574" s="1831"/>
      <c r="OAB574" s="1831"/>
      <c r="OAC574" s="1831"/>
      <c r="OAD574" s="1831"/>
      <c r="OAE574" s="1831"/>
      <c r="OAF574" s="1831"/>
      <c r="OAG574" s="1831"/>
      <c r="OAH574" s="1831"/>
      <c r="OAI574" s="1831"/>
      <c r="OAJ574" s="1831"/>
      <c r="OAK574" s="1831"/>
      <c r="OAL574" s="1831"/>
      <c r="OAM574" s="1831"/>
      <c r="OAN574" s="1831"/>
      <c r="OAO574" s="1831"/>
      <c r="OAP574" s="1831"/>
      <c r="OAQ574" s="1831"/>
      <c r="OAR574" s="1831"/>
      <c r="OAS574" s="1831"/>
      <c r="OAT574" s="1831"/>
      <c r="OAU574" s="1831"/>
      <c r="OAV574" s="1831"/>
      <c r="OAW574" s="1831"/>
      <c r="OAX574" s="1831"/>
      <c r="OAY574" s="1831"/>
      <c r="OAZ574" s="1831"/>
      <c r="OBA574" s="1831"/>
      <c r="OBB574" s="1831"/>
      <c r="OBC574" s="1831"/>
      <c r="OBD574" s="1831"/>
      <c r="OBE574" s="1831"/>
      <c r="OBF574" s="1831"/>
      <c r="OBG574" s="1831"/>
      <c r="OBH574" s="1831"/>
      <c r="OBI574" s="1831"/>
      <c r="OBJ574" s="1831"/>
      <c r="OBK574" s="1831"/>
      <c r="OBL574" s="1831"/>
      <c r="OBM574" s="1831"/>
      <c r="OBN574" s="1831"/>
      <c r="OBO574" s="1831"/>
      <c r="OBP574" s="1831"/>
      <c r="OBQ574" s="1831"/>
      <c r="OBR574" s="1831"/>
      <c r="OBS574" s="1831"/>
      <c r="OBT574" s="1831"/>
      <c r="OBU574" s="1831"/>
      <c r="OBV574" s="1831"/>
      <c r="OBW574" s="1831"/>
      <c r="OBX574" s="1831"/>
      <c r="OBY574" s="1831"/>
      <c r="OBZ574" s="1831"/>
      <c r="OCA574" s="1831"/>
      <c r="OCB574" s="1831"/>
      <c r="OCC574" s="1831"/>
      <c r="OCD574" s="1831"/>
      <c r="OCE574" s="1831"/>
      <c r="OCF574" s="1831"/>
      <c r="OCG574" s="1831"/>
      <c r="OCH574" s="1831"/>
      <c r="OCI574" s="1831"/>
      <c r="OCJ574" s="1831"/>
      <c r="OCK574" s="1831"/>
      <c r="OCL574" s="1831"/>
      <c r="OCM574" s="1831"/>
      <c r="OCN574" s="1831"/>
      <c r="OCO574" s="1831"/>
      <c r="OCP574" s="1831"/>
      <c r="OCQ574" s="1831"/>
      <c r="OCR574" s="1831"/>
      <c r="OCS574" s="1831"/>
      <c r="OCT574" s="1831"/>
      <c r="OCU574" s="1831"/>
      <c r="OCV574" s="1831"/>
      <c r="OCW574" s="1831"/>
      <c r="OCX574" s="1831"/>
      <c r="OCY574" s="1831"/>
      <c r="OCZ574" s="1831"/>
      <c r="ODA574" s="1831"/>
      <c r="ODB574" s="1831"/>
      <c r="ODC574" s="1831"/>
      <c r="ODD574" s="1831"/>
      <c r="ODE574" s="1831"/>
      <c r="ODF574" s="1831"/>
      <c r="ODG574" s="1831"/>
      <c r="ODH574" s="1831"/>
      <c r="ODI574" s="1831"/>
      <c r="ODJ574" s="1831"/>
      <c r="ODK574" s="1831"/>
      <c r="ODL574" s="1831"/>
      <c r="ODM574" s="1831"/>
      <c r="ODN574" s="1831"/>
      <c r="ODO574" s="1831"/>
      <c r="ODP574" s="1831"/>
      <c r="ODQ574" s="1831"/>
      <c r="ODR574" s="1831"/>
      <c r="ODS574" s="1831"/>
      <c r="ODT574" s="1831"/>
      <c r="ODU574" s="1831"/>
      <c r="ODV574" s="1831"/>
      <c r="ODW574" s="1831"/>
      <c r="ODX574" s="1831"/>
      <c r="ODY574" s="1831"/>
      <c r="ODZ574" s="1831"/>
      <c r="OEA574" s="1831"/>
      <c r="OEB574" s="1831"/>
      <c r="OEC574" s="1831"/>
      <c r="OED574" s="1831"/>
      <c r="OEE574" s="1831"/>
      <c r="OEF574" s="1831"/>
      <c r="OEG574" s="1831"/>
      <c r="OEH574" s="1831"/>
      <c r="OEI574" s="1831"/>
      <c r="OEJ574" s="1831"/>
      <c r="OEK574" s="1831"/>
      <c r="OEL574" s="1831"/>
      <c r="OEM574" s="1831"/>
      <c r="OEN574" s="1831"/>
      <c r="OEO574" s="1831"/>
      <c r="OEP574" s="1831"/>
      <c r="OEQ574" s="1831"/>
      <c r="OER574" s="1831"/>
      <c r="OES574" s="1831"/>
      <c r="OET574" s="1831"/>
      <c r="OEU574" s="1831"/>
      <c r="OEV574" s="1831"/>
      <c r="OEW574" s="1831"/>
      <c r="OEX574" s="1831"/>
      <c r="OEY574" s="1831"/>
      <c r="OEZ574" s="1831"/>
      <c r="OFA574" s="1831"/>
      <c r="OFB574" s="1831"/>
      <c r="OFC574" s="1831"/>
      <c r="OFD574" s="1831"/>
      <c r="OFE574" s="1831"/>
      <c r="OFF574" s="1831"/>
      <c r="OFG574" s="1831"/>
      <c r="OFH574" s="1831"/>
      <c r="OFI574" s="1831"/>
      <c r="OFJ574" s="1831"/>
      <c r="OFK574" s="1831"/>
      <c r="OFL574" s="1831"/>
      <c r="OFM574" s="1831"/>
      <c r="OFN574" s="1831"/>
      <c r="OFO574" s="1831"/>
      <c r="OFP574" s="1831"/>
      <c r="OFQ574" s="1831"/>
      <c r="OFR574" s="1831"/>
      <c r="OFS574" s="1831"/>
      <c r="OFT574" s="1831"/>
      <c r="OFU574" s="1831"/>
      <c r="OFV574" s="1831"/>
      <c r="OFW574" s="1831"/>
      <c r="OFX574" s="1831"/>
      <c r="OFY574" s="1831"/>
      <c r="OFZ574" s="1831"/>
      <c r="OGA574" s="1831"/>
      <c r="OGB574" s="1831"/>
      <c r="OGC574" s="1831"/>
      <c r="OGD574" s="1831"/>
      <c r="OGE574" s="1831"/>
      <c r="OGF574" s="1831"/>
      <c r="OGG574" s="1831"/>
      <c r="OGH574" s="1831"/>
      <c r="OGI574" s="1831"/>
      <c r="OGJ574" s="1831"/>
      <c r="OGK574" s="1831"/>
      <c r="OGL574" s="1831"/>
      <c r="OGM574" s="1831"/>
      <c r="OGN574" s="1831"/>
      <c r="OGO574" s="1831"/>
      <c r="OGP574" s="1831"/>
      <c r="OGQ574" s="1831"/>
      <c r="OGR574" s="1831"/>
      <c r="OGS574" s="1831"/>
      <c r="OGT574" s="1831"/>
      <c r="OGU574" s="1831"/>
      <c r="OGV574" s="1831"/>
      <c r="OGW574" s="1831"/>
      <c r="OGX574" s="1831"/>
      <c r="OGY574" s="1831"/>
      <c r="OGZ574" s="1831"/>
      <c r="OHA574" s="1831"/>
      <c r="OHB574" s="1831"/>
      <c r="OHC574" s="1831"/>
      <c r="OHD574" s="1831"/>
      <c r="OHE574" s="1831"/>
      <c r="OHF574" s="1831"/>
      <c r="OHG574" s="1831"/>
      <c r="OHH574" s="1831"/>
      <c r="OHI574" s="1831"/>
      <c r="OHJ574" s="1831"/>
      <c r="OHK574" s="1831"/>
      <c r="OHL574" s="1831"/>
      <c r="OHM574" s="1831"/>
      <c r="OHN574" s="1831"/>
      <c r="OHO574" s="1831"/>
      <c r="OHP574" s="1831"/>
      <c r="OHQ574" s="1831"/>
      <c r="OHR574" s="1831"/>
      <c r="OHS574" s="1831"/>
      <c r="OHT574" s="1831"/>
      <c r="OHU574" s="1831"/>
      <c r="OHV574" s="1831"/>
      <c r="OHW574" s="1831"/>
      <c r="OHX574" s="1831"/>
      <c r="OHY574" s="1831"/>
      <c r="OHZ574" s="1831"/>
      <c r="OIA574" s="1831"/>
      <c r="OIB574" s="1831"/>
      <c r="OIC574" s="1831"/>
      <c r="OID574" s="1831"/>
      <c r="OIE574" s="1831"/>
      <c r="OIF574" s="1831"/>
      <c r="OIG574" s="1831"/>
      <c r="OIH574" s="1831"/>
      <c r="OII574" s="1831"/>
      <c r="OIJ574" s="1831"/>
      <c r="OIK574" s="1831"/>
      <c r="OIL574" s="1831"/>
      <c r="OIM574" s="1831"/>
      <c r="OIN574" s="1831"/>
      <c r="OIO574" s="1831"/>
      <c r="OIP574" s="1831"/>
      <c r="OIQ574" s="1831"/>
      <c r="OIR574" s="1831"/>
      <c r="OIS574" s="1831"/>
      <c r="OIT574" s="1831"/>
      <c r="OIU574" s="1831"/>
      <c r="OIV574" s="1831"/>
      <c r="OIW574" s="1831"/>
      <c r="OIX574" s="1831"/>
      <c r="OIY574" s="1831"/>
      <c r="OIZ574" s="1831"/>
      <c r="OJA574" s="1831"/>
      <c r="OJB574" s="1831"/>
      <c r="OJC574" s="1831"/>
      <c r="OJD574" s="1831"/>
      <c r="OJE574" s="1831"/>
      <c r="OJF574" s="1831"/>
      <c r="OJG574" s="1831"/>
      <c r="OJH574" s="1831"/>
      <c r="OJI574" s="1831"/>
      <c r="OJJ574" s="1831"/>
      <c r="OJK574" s="1831"/>
      <c r="OJL574" s="1831"/>
      <c r="OJM574" s="1831"/>
      <c r="OJN574" s="1831"/>
      <c r="OJO574" s="1831"/>
      <c r="OJP574" s="1831"/>
      <c r="OJQ574" s="1831"/>
      <c r="OJR574" s="1831"/>
      <c r="OJS574" s="1831"/>
      <c r="OJT574" s="1831"/>
      <c r="OJU574" s="1831"/>
      <c r="OJV574" s="1831"/>
      <c r="OJW574" s="1831"/>
      <c r="OJX574" s="1831"/>
      <c r="OJY574" s="1831"/>
      <c r="OJZ574" s="1831"/>
      <c r="OKA574" s="1831"/>
      <c r="OKB574" s="1831"/>
      <c r="OKC574" s="1831"/>
      <c r="OKD574" s="1831"/>
      <c r="OKE574" s="1831"/>
      <c r="OKF574" s="1831"/>
      <c r="OKG574" s="1831"/>
      <c r="OKH574" s="1831"/>
      <c r="OKI574" s="1831"/>
      <c r="OKJ574" s="1831"/>
      <c r="OKK574" s="1831"/>
      <c r="OKL574" s="1831"/>
      <c r="OKM574" s="1831"/>
      <c r="OKN574" s="1831"/>
      <c r="OKO574" s="1831"/>
      <c r="OKP574" s="1831"/>
      <c r="OKQ574" s="1831"/>
      <c r="OKR574" s="1831"/>
      <c r="OKS574" s="1831"/>
      <c r="OKT574" s="1831"/>
      <c r="OKU574" s="1831"/>
      <c r="OKV574" s="1831"/>
      <c r="OKW574" s="1831"/>
      <c r="OKX574" s="1831"/>
      <c r="OKY574" s="1831"/>
      <c r="OKZ574" s="1831"/>
      <c r="OLA574" s="1831"/>
      <c r="OLB574" s="1831"/>
      <c r="OLC574" s="1831"/>
      <c r="OLD574" s="1831"/>
      <c r="OLE574" s="1831"/>
      <c r="OLF574" s="1831"/>
      <c r="OLG574" s="1831"/>
      <c r="OLH574" s="1831"/>
      <c r="OLI574" s="1831"/>
      <c r="OLJ574" s="1831"/>
      <c r="OLK574" s="1831"/>
      <c r="OLL574" s="1831"/>
      <c r="OLM574" s="1831"/>
      <c r="OLN574" s="1831"/>
      <c r="OLO574" s="1831"/>
      <c r="OLP574" s="1831"/>
      <c r="OLQ574" s="1831"/>
      <c r="OLR574" s="1831"/>
      <c r="OLS574" s="1831"/>
      <c r="OLT574" s="1831"/>
      <c r="OLU574" s="1831"/>
      <c r="OLV574" s="1831"/>
      <c r="OLW574" s="1831"/>
      <c r="OLX574" s="1831"/>
      <c r="OLY574" s="1831"/>
      <c r="OLZ574" s="1831"/>
      <c r="OMA574" s="1831"/>
      <c r="OMB574" s="1831"/>
      <c r="OMC574" s="1831"/>
      <c r="OMD574" s="1831"/>
      <c r="OME574" s="1831"/>
      <c r="OMF574" s="1831"/>
      <c r="OMG574" s="1831"/>
      <c r="OMH574" s="1831"/>
      <c r="OMI574" s="1831"/>
      <c r="OMJ574" s="1831"/>
      <c r="OMK574" s="1831"/>
      <c r="OML574" s="1831"/>
      <c r="OMM574" s="1831"/>
      <c r="OMN574" s="1831"/>
      <c r="OMO574" s="1831"/>
      <c r="OMP574" s="1831"/>
      <c r="OMQ574" s="1831"/>
      <c r="OMR574" s="1831"/>
      <c r="OMS574" s="1831"/>
      <c r="OMT574" s="1831"/>
      <c r="OMU574" s="1831"/>
      <c r="OMV574" s="1831"/>
      <c r="OMW574" s="1831"/>
      <c r="OMX574" s="1831"/>
      <c r="OMY574" s="1831"/>
      <c r="OMZ574" s="1831"/>
      <c r="ONA574" s="1831"/>
      <c r="ONB574" s="1831"/>
      <c r="ONC574" s="1831"/>
      <c r="OND574" s="1831"/>
      <c r="ONE574" s="1831"/>
      <c r="ONF574" s="1831"/>
      <c r="ONG574" s="1831"/>
      <c r="ONH574" s="1831"/>
      <c r="ONI574" s="1831"/>
      <c r="ONJ574" s="1831"/>
      <c r="ONK574" s="1831"/>
      <c r="ONL574" s="1831"/>
      <c r="ONM574" s="1831"/>
      <c r="ONN574" s="1831"/>
      <c r="ONO574" s="1831"/>
      <c r="ONP574" s="1831"/>
      <c r="ONQ574" s="1831"/>
      <c r="ONR574" s="1831"/>
      <c r="ONS574" s="1831"/>
      <c r="ONT574" s="1831"/>
      <c r="ONU574" s="1831"/>
      <c r="ONV574" s="1831"/>
      <c r="ONW574" s="1831"/>
      <c r="ONX574" s="1831"/>
      <c r="ONY574" s="1831"/>
      <c r="ONZ574" s="1831"/>
      <c r="OOA574" s="1831"/>
      <c r="OOB574" s="1831"/>
      <c r="OOC574" s="1831"/>
      <c r="OOD574" s="1831"/>
      <c r="OOE574" s="1831"/>
      <c r="OOF574" s="1831"/>
      <c r="OOG574" s="1831"/>
      <c r="OOH574" s="1831"/>
      <c r="OOI574" s="1831"/>
      <c r="OOJ574" s="1831"/>
      <c r="OOK574" s="1831"/>
      <c r="OOL574" s="1831"/>
      <c r="OOM574" s="1831"/>
      <c r="OON574" s="1831"/>
      <c r="OOO574" s="1831"/>
      <c r="OOP574" s="1831"/>
      <c r="OOQ574" s="1831"/>
      <c r="OOR574" s="1831"/>
      <c r="OOS574" s="1831"/>
      <c r="OOT574" s="1831"/>
      <c r="OOU574" s="1831"/>
      <c r="OOV574" s="1831"/>
      <c r="OOW574" s="1831"/>
      <c r="OOX574" s="1831"/>
      <c r="OOY574" s="1831"/>
      <c r="OOZ574" s="1831"/>
      <c r="OPA574" s="1831"/>
      <c r="OPB574" s="1831"/>
      <c r="OPC574" s="1831"/>
      <c r="OPD574" s="1831"/>
      <c r="OPE574" s="1831"/>
      <c r="OPF574" s="1831"/>
      <c r="OPG574" s="1831"/>
      <c r="OPH574" s="1831"/>
      <c r="OPI574" s="1831"/>
      <c r="OPJ574" s="1831"/>
      <c r="OPK574" s="1831"/>
      <c r="OPL574" s="1831"/>
      <c r="OPM574" s="1831"/>
      <c r="OPN574" s="1831"/>
      <c r="OPO574" s="1831"/>
      <c r="OPP574" s="1831"/>
      <c r="OPQ574" s="1831"/>
      <c r="OPR574" s="1831"/>
      <c r="OPS574" s="1831"/>
      <c r="OPT574" s="1831"/>
      <c r="OPU574" s="1831"/>
      <c r="OPV574" s="1831"/>
      <c r="OPW574" s="1831"/>
      <c r="OPX574" s="1831"/>
      <c r="OPY574" s="1831"/>
      <c r="OPZ574" s="1831"/>
      <c r="OQA574" s="1831"/>
      <c r="OQB574" s="1831"/>
      <c r="OQC574" s="1831"/>
      <c r="OQD574" s="1831"/>
      <c r="OQE574" s="1831"/>
      <c r="OQF574" s="1831"/>
      <c r="OQG574" s="1831"/>
      <c r="OQH574" s="1831"/>
      <c r="OQI574" s="1831"/>
      <c r="OQJ574" s="1831"/>
      <c r="OQK574" s="1831"/>
      <c r="OQL574" s="1831"/>
      <c r="OQM574" s="1831"/>
      <c r="OQN574" s="1831"/>
      <c r="OQO574" s="1831"/>
      <c r="OQP574" s="1831"/>
      <c r="OQQ574" s="1831"/>
      <c r="OQR574" s="1831"/>
      <c r="OQS574" s="1831"/>
      <c r="OQT574" s="1831"/>
      <c r="OQU574" s="1831"/>
      <c r="OQV574" s="1831"/>
      <c r="OQW574" s="1831"/>
      <c r="OQX574" s="1831"/>
      <c r="OQY574" s="1831"/>
      <c r="OQZ574" s="1831"/>
      <c r="ORA574" s="1831"/>
      <c r="ORB574" s="1831"/>
      <c r="ORC574" s="1831"/>
      <c r="ORD574" s="1831"/>
      <c r="ORE574" s="1831"/>
      <c r="ORF574" s="1831"/>
      <c r="ORG574" s="1831"/>
      <c r="ORH574" s="1831"/>
      <c r="ORI574" s="1831"/>
      <c r="ORJ574" s="1831"/>
      <c r="ORK574" s="1831"/>
      <c r="ORL574" s="1831"/>
      <c r="ORM574" s="1831"/>
      <c r="ORN574" s="1831"/>
      <c r="ORO574" s="1831"/>
      <c r="ORP574" s="1831"/>
      <c r="ORQ574" s="1831"/>
      <c r="ORR574" s="1831"/>
      <c r="ORS574" s="1831"/>
      <c r="ORT574" s="1831"/>
      <c r="ORU574" s="1831"/>
      <c r="ORV574" s="1831"/>
      <c r="ORW574" s="1831"/>
      <c r="ORX574" s="1831"/>
      <c r="ORY574" s="1831"/>
      <c r="ORZ574" s="1831"/>
      <c r="OSA574" s="1831"/>
      <c r="OSB574" s="1831"/>
      <c r="OSC574" s="1831"/>
      <c r="OSD574" s="1831"/>
      <c r="OSE574" s="1831"/>
      <c r="OSF574" s="1831"/>
      <c r="OSG574" s="1831"/>
      <c r="OSH574" s="1831"/>
      <c r="OSI574" s="1831"/>
      <c r="OSJ574" s="1831"/>
      <c r="OSK574" s="1831"/>
      <c r="OSL574" s="1831"/>
      <c r="OSM574" s="1831"/>
      <c r="OSN574" s="1831"/>
      <c r="OSO574" s="1831"/>
      <c r="OSP574" s="1831"/>
      <c r="OSQ574" s="1831"/>
      <c r="OSR574" s="1831"/>
      <c r="OSS574" s="1831"/>
      <c r="OST574" s="1831"/>
      <c r="OSU574" s="1831"/>
      <c r="OSV574" s="1831"/>
      <c r="OSW574" s="1831"/>
      <c r="OSX574" s="1831"/>
      <c r="OSY574" s="1831"/>
      <c r="OSZ574" s="1831"/>
      <c r="OTA574" s="1831"/>
      <c r="OTB574" s="1831"/>
      <c r="OTC574" s="1831"/>
      <c r="OTD574" s="1831"/>
      <c r="OTE574" s="1831"/>
      <c r="OTF574" s="1831"/>
      <c r="OTG574" s="1831"/>
      <c r="OTH574" s="1831"/>
      <c r="OTI574" s="1831"/>
      <c r="OTJ574" s="1831"/>
      <c r="OTK574" s="1831"/>
      <c r="OTL574" s="1831"/>
      <c r="OTM574" s="1831"/>
      <c r="OTN574" s="1831"/>
      <c r="OTO574" s="1831"/>
      <c r="OTP574" s="1831"/>
      <c r="OTQ574" s="1831"/>
      <c r="OTR574" s="1831"/>
      <c r="OTS574" s="1831"/>
      <c r="OTT574" s="1831"/>
      <c r="OTU574" s="1831"/>
      <c r="OTV574" s="1831"/>
      <c r="OTW574" s="1831"/>
      <c r="OTX574" s="1831"/>
      <c r="OTY574" s="1831"/>
      <c r="OTZ574" s="1831"/>
      <c r="OUA574" s="1831"/>
      <c r="OUB574" s="1831"/>
      <c r="OUC574" s="1831"/>
      <c r="OUD574" s="1831"/>
      <c r="OUE574" s="1831"/>
      <c r="OUF574" s="1831"/>
      <c r="OUG574" s="1831"/>
      <c r="OUH574" s="1831"/>
      <c r="OUI574" s="1831"/>
      <c r="OUJ574" s="1831"/>
      <c r="OUK574" s="1831"/>
      <c r="OUL574" s="1831"/>
      <c r="OUM574" s="1831"/>
      <c r="OUN574" s="1831"/>
      <c r="OUO574" s="1831"/>
      <c r="OUP574" s="1831"/>
      <c r="OUQ574" s="1831"/>
      <c r="OUR574" s="1831"/>
      <c r="OUS574" s="1831"/>
      <c r="OUT574" s="1831"/>
      <c r="OUU574" s="1831"/>
      <c r="OUV574" s="1831"/>
      <c r="OUW574" s="1831"/>
      <c r="OUX574" s="1831"/>
      <c r="OUY574" s="1831"/>
      <c r="OUZ574" s="1831"/>
      <c r="OVA574" s="1831"/>
      <c r="OVB574" s="1831"/>
      <c r="OVC574" s="1831"/>
      <c r="OVD574" s="1831"/>
      <c r="OVE574" s="1831"/>
      <c r="OVF574" s="1831"/>
      <c r="OVG574" s="1831"/>
      <c r="OVH574" s="1831"/>
      <c r="OVI574" s="1831"/>
      <c r="OVJ574" s="1831"/>
      <c r="OVK574" s="1831"/>
      <c r="OVL574" s="1831"/>
      <c r="OVM574" s="1831"/>
      <c r="OVN574" s="1831"/>
      <c r="OVO574" s="1831"/>
      <c r="OVP574" s="1831"/>
      <c r="OVQ574" s="1831"/>
      <c r="OVR574" s="1831"/>
      <c r="OVS574" s="1831"/>
      <c r="OVT574" s="1831"/>
      <c r="OVU574" s="1831"/>
      <c r="OVV574" s="1831"/>
      <c r="OVW574" s="1831"/>
      <c r="OVX574" s="1831"/>
      <c r="OVY574" s="1831"/>
      <c r="OVZ574" s="1831"/>
      <c r="OWA574" s="1831"/>
      <c r="OWB574" s="1831"/>
      <c r="OWC574" s="1831"/>
      <c r="OWD574" s="1831"/>
      <c r="OWE574" s="1831"/>
      <c r="OWF574" s="1831"/>
      <c r="OWG574" s="1831"/>
      <c r="OWH574" s="1831"/>
      <c r="OWI574" s="1831"/>
      <c r="OWJ574" s="1831"/>
      <c r="OWK574" s="1831"/>
      <c r="OWL574" s="1831"/>
      <c r="OWM574" s="1831"/>
      <c r="OWN574" s="1831"/>
      <c r="OWO574" s="1831"/>
      <c r="OWP574" s="1831"/>
      <c r="OWQ574" s="1831"/>
      <c r="OWR574" s="1831"/>
      <c r="OWS574" s="1831"/>
      <c r="OWT574" s="1831"/>
      <c r="OWU574" s="1831"/>
      <c r="OWV574" s="1831"/>
      <c r="OWW574" s="1831"/>
      <c r="OWX574" s="1831"/>
      <c r="OWY574" s="1831"/>
      <c r="OWZ574" s="1831"/>
      <c r="OXA574" s="1831"/>
      <c r="OXB574" s="1831"/>
      <c r="OXC574" s="1831"/>
      <c r="OXD574" s="1831"/>
      <c r="OXE574" s="1831"/>
      <c r="OXF574" s="1831"/>
      <c r="OXG574" s="1831"/>
      <c r="OXH574" s="1831"/>
      <c r="OXI574" s="1831"/>
      <c r="OXJ574" s="1831"/>
      <c r="OXK574" s="1831"/>
      <c r="OXL574" s="1831"/>
      <c r="OXM574" s="1831"/>
      <c r="OXN574" s="1831"/>
      <c r="OXO574" s="1831"/>
      <c r="OXP574" s="1831"/>
      <c r="OXQ574" s="1831"/>
      <c r="OXR574" s="1831"/>
      <c r="OXS574" s="1831"/>
      <c r="OXT574" s="1831"/>
      <c r="OXU574" s="1831"/>
      <c r="OXV574" s="1831"/>
      <c r="OXW574" s="1831"/>
      <c r="OXX574" s="1831"/>
      <c r="OXY574" s="1831"/>
      <c r="OXZ574" s="1831"/>
      <c r="OYA574" s="1831"/>
      <c r="OYB574" s="1831"/>
      <c r="OYC574" s="1831"/>
      <c r="OYD574" s="1831"/>
      <c r="OYE574" s="1831"/>
      <c r="OYF574" s="1831"/>
      <c r="OYG574" s="1831"/>
      <c r="OYH574" s="1831"/>
      <c r="OYI574" s="1831"/>
      <c r="OYJ574" s="1831"/>
      <c r="OYK574" s="1831"/>
      <c r="OYL574" s="1831"/>
      <c r="OYM574" s="1831"/>
      <c r="OYN574" s="1831"/>
      <c r="OYO574" s="1831"/>
      <c r="OYP574" s="1831"/>
      <c r="OYQ574" s="1831"/>
      <c r="OYR574" s="1831"/>
      <c r="OYS574" s="1831"/>
      <c r="OYT574" s="1831"/>
      <c r="OYU574" s="1831"/>
      <c r="OYV574" s="1831"/>
      <c r="OYW574" s="1831"/>
      <c r="OYX574" s="1831"/>
      <c r="OYY574" s="1831"/>
      <c r="OYZ574" s="1831"/>
      <c r="OZA574" s="1831"/>
      <c r="OZB574" s="1831"/>
      <c r="OZC574" s="1831"/>
      <c r="OZD574" s="1831"/>
      <c r="OZE574" s="1831"/>
      <c r="OZF574" s="1831"/>
      <c r="OZG574" s="1831"/>
      <c r="OZH574" s="1831"/>
      <c r="OZI574" s="1831"/>
      <c r="OZJ574" s="1831"/>
      <c r="OZK574" s="1831"/>
      <c r="OZL574" s="1831"/>
      <c r="OZM574" s="1831"/>
      <c r="OZN574" s="1831"/>
      <c r="OZO574" s="1831"/>
      <c r="OZP574" s="1831"/>
      <c r="OZQ574" s="1831"/>
      <c r="OZR574" s="1831"/>
      <c r="OZS574" s="1831"/>
      <c r="OZT574" s="1831"/>
      <c r="OZU574" s="1831"/>
      <c r="OZV574" s="1831"/>
      <c r="OZW574" s="1831"/>
      <c r="OZX574" s="1831"/>
      <c r="OZY574" s="1831"/>
      <c r="OZZ574" s="1831"/>
      <c r="PAA574" s="1831"/>
      <c r="PAB574" s="1831"/>
      <c r="PAC574" s="1831"/>
      <c r="PAD574" s="1831"/>
      <c r="PAE574" s="1831"/>
      <c r="PAF574" s="1831"/>
      <c r="PAG574" s="1831"/>
      <c r="PAH574" s="1831"/>
      <c r="PAI574" s="1831"/>
      <c r="PAJ574" s="1831"/>
      <c r="PAK574" s="1831"/>
      <c r="PAL574" s="1831"/>
      <c r="PAM574" s="1831"/>
      <c r="PAN574" s="1831"/>
      <c r="PAO574" s="1831"/>
      <c r="PAP574" s="1831"/>
      <c r="PAQ574" s="1831"/>
      <c r="PAR574" s="1831"/>
      <c r="PAS574" s="1831"/>
      <c r="PAT574" s="1831"/>
      <c r="PAU574" s="1831"/>
      <c r="PAV574" s="1831"/>
      <c r="PAW574" s="1831"/>
      <c r="PAX574" s="1831"/>
      <c r="PAY574" s="1831"/>
      <c r="PAZ574" s="1831"/>
      <c r="PBA574" s="1831"/>
      <c r="PBB574" s="1831"/>
      <c r="PBC574" s="1831"/>
      <c r="PBD574" s="1831"/>
      <c r="PBE574" s="1831"/>
      <c r="PBF574" s="1831"/>
      <c r="PBG574" s="1831"/>
      <c r="PBH574" s="1831"/>
      <c r="PBI574" s="1831"/>
      <c r="PBJ574" s="1831"/>
      <c r="PBK574" s="1831"/>
      <c r="PBL574" s="1831"/>
      <c r="PBM574" s="1831"/>
      <c r="PBN574" s="1831"/>
      <c r="PBO574" s="1831"/>
      <c r="PBP574" s="1831"/>
      <c r="PBQ574" s="1831"/>
      <c r="PBR574" s="1831"/>
      <c r="PBS574" s="1831"/>
      <c r="PBT574" s="1831"/>
      <c r="PBU574" s="1831"/>
      <c r="PBV574" s="1831"/>
      <c r="PBW574" s="1831"/>
      <c r="PBX574" s="1831"/>
      <c r="PBY574" s="1831"/>
      <c r="PBZ574" s="1831"/>
      <c r="PCA574" s="1831"/>
      <c r="PCB574" s="1831"/>
      <c r="PCC574" s="1831"/>
      <c r="PCD574" s="1831"/>
      <c r="PCE574" s="1831"/>
      <c r="PCF574" s="1831"/>
      <c r="PCG574" s="1831"/>
      <c r="PCH574" s="1831"/>
      <c r="PCI574" s="1831"/>
      <c r="PCJ574" s="1831"/>
      <c r="PCK574" s="1831"/>
      <c r="PCL574" s="1831"/>
      <c r="PCM574" s="1831"/>
      <c r="PCN574" s="1831"/>
      <c r="PCO574" s="1831"/>
      <c r="PCP574" s="1831"/>
      <c r="PCQ574" s="1831"/>
      <c r="PCR574" s="1831"/>
      <c r="PCS574" s="1831"/>
      <c r="PCT574" s="1831"/>
      <c r="PCU574" s="1831"/>
      <c r="PCV574" s="1831"/>
      <c r="PCW574" s="1831"/>
      <c r="PCX574" s="1831"/>
      <c r="PCY574" s="1831"/>
      <c r="PCZ574" s="1831"/>
      <c r="PDA574" s="1831"/>
      <c r="PDB574" s="1831"/>
      <c r="PDC574" s="1831"/>
      <c r="PDD574" s="1831"/>
      <c r="PDE574" s="1831"/>
      <c r="PDF574" s="1831"/>
      <c r="PDG574" s="1831"/>
      <c r="PDH574" s="1831"/>
      <c r="PDI574" s="1831"/>
      <c r="PDJ574" s="1831"/>
      <c r="PDK574" s="1831"/>
      <c r="PDL574" s="1831"/>
      <c r="PDM574" s="1831"/>
      <c r="PDN574" s="1831"/>
      <c r="PDO574" s="1831"/>
      <c r="PDP574" s="1831"/>
      <c r="PDQ574" s="1831"/>
      <c r="PDR574" s="1831"/>
      <c r="PDS574" s="1831"/>
      <c r="PDT574" s="1831"/>
      <c r="PDU574" s="1831"/>
      <c r="PDV574" s="1831"/>
      <c r="PDW574" s="1831"/>
      <c r="PDX574" s="1831"/>
      <c r="PDY574" s="1831"/>
      <c r="PDZ574" s="1831"/>
      <c r="PEA574" s="1831"/>
      <c r="PEB574" s="1831"/>
      <c r="PEC574" s="1831"/>
      <c r="PED574" s="1831"/>
      <c r="PEE574" s="1831"/>
      <c r="PEF574" s="1831"/>
      <c r="PEG574" s="1831"/>
      <c r="PEH574" s="1831"/>
      <c r="PEI574" s="1831"/>
      <c r="PEJ574" s="1831"/>
      <c r="PEK574" s="1831"/>
      <c r="PEL574" s="1831"/>
      <c r="PEM574" s="1831"/>
      <c r="PEN574" s="1831"/>
      <c r="PEO574" s="1831"/>
      <c r="PEP574" s="1831"/>
      <c r="PEQ574" s="1831"/>
      <c r="PER574" s="1831"/>
      <c r="PES574" s="1831"/>
      <c r="PET574" s="1831"/>
      <c r="PEU574" s="1831"/>
      <c r="PEV574" s="1831"/>
      <c r="PEW574" s="1831"/>
      <c r="PEX574" s="1831"/>
      <c r="PEY574" s="1831"/>
      <c r="PEZ574" s="1831"/>
      <c r="PFA574" s="1831"/>
      <c r="PFB574" s="1831"/>
      <c r="PFC574" s="1831"/>
      <c r="PFD574" s="1831"/>
      <c r="PFE574" s="1831"/>
      <c r="PFF574" s="1831"/>
      <c r="PFG574" s="1831"/>
      <c r="PFH574" s="1831"/>
      <c r="PFI574" s="1831"/>
      <c r="PFJ574" s="1831"/>
      <c r="PFK574" s="1831"/>
      <c r="PFL574" s="1831"/>
      <c r="PFM574" s="1831"/>
      <c r="PFN574" s="1831"/>
      <c r="PFO574" s="1831"/>
      <c r="PFP574" s="1831"/>
      <c r="PFQ574" s="1831"/>
      <c r="PFR574" s="1831"/>
      <c r="PFS574" s="1831"/>
      <c r="PFT574" s="1831"/>
      <c r="PFU574" s="1831"/>
      <c r="PFV574" s="1831"/>
      <c r="PFW574" s="1831"/>
      <c r="PFX574" s="1831"/>
      <c r="PFY574" s="1831"/>
      <c r="PFZ574" s="1831"/>
      <c r="PGA574" s="1831"/>
      <c r="PGB574" s="1831"/>
      <c r="PGC574" s="1831"/>
      <c r="PGD574" s="1831"/>
      <c r="PGE574" s="1831"/>
      <c r="PGF574" s="1831"/>
      <c r="PGG574" s="1831"/>
      <c r="PGH574" s="1831"/>
      <c r="PGI574" s="1831"/>
      <c r="PGJ574" s="1831"/>
      <c r="PGK574" s="1831"/>
      <c r="PGL574" s="1831"/>
      <c r="PGM574" s="1831"/>
      <c r="PGN574" s="1831"/>
      <c r="PGO574" s="1831"/>
      <c r="PGP574" s="1831"/>
      <c r="PGQ574" s="1831"/>
      <c r="PGR574" s="1831"/>
      <c r="PGS574" s="1831"/>
      <c r="PGT574" s="1831"/>
      <c r="PGU574" s="1831"/>
      <c r="PGV574" s="1831"/>
      <c r="PGW574" s="1831"/>
      <c r="PGX574" s="1831"/>
      <c r="PGY574" s="1831"/>
      <c r="PGZ574" s="1831"/>
      <c r="PHA574" s="1831"/>
      <c r="PHB574" s="1831"/>
      <c r="PHC574" s="1831"/>
      <c r="PHD574" s="1831"/>
      <c r="PHE574" s="1831"/>
      <c r="PHF574" s="1831"/>
      <c r="PHG574" s="1831"/>
      <c r="PHH574" s="1831"/>
      <c r="PHI574" s="1831"/>
      <c r="PHJ574" s="1831"/>
      <c r="PHK574" s="1831"/>
      <c r="PHL574" s="1831"/>
      <c r="PHM574" s="1831"/>
      <c r="PHN574" s="1831"/>
      <c r="PHO574" s="1831"/>
      <c r="PHP574" s="1831"/>
      <c r="PHQ574" s="1831"/>
      <c r="PHR574" s="1831"/>
      <c r="PHS574" s="1831"/>
      <c r="PHT574" s="1831"/>
      <c r="PHU574" s="1831"/>
      <c r="PHV574" s="1831"/>
      <c r="PHW574" s="1831"/>
      <c r="PHX574" s="1831"/>
      <c r="PHY574" s="1831"/>
      <c r="PHZ574" s="1831"/>
      <c r="PIA574" s="1831"/>
      <c r="PIB574" s="1831"/>
      <c r="PIC574" s="1831"/>
      <c r="PID574" s="1831"/>
      <c r="PIE574" s="1831"/>
      <c r="PIF574" s="1831"/>
      <c r="PIG574" s="1831"/>
      <c r="PIH574" s="1831"/>
      <c r="PII574" s="1831"/>
      <c r="PIJ574" s="1831"/>
      <c r="PIK574" s="1831"/>
      <c r="PIL574" s="1831"/>
      <c r="PIM574" s="1831"/>
      <c r="PIN574" s="1831"/>
      <c r="PIO574" s="1831"/>
      <c r="PIP574" s="1831"/>
      <c r="PIQ574" s="1831"/>
      <c r="PIR574" s="1831"/>
      <c r="PIS574" s="1831"/>
      <c r="PIT574" s="1831"/>
      <c r="PIU574" s="1831"/>
      <c r="PIV574" s="1831"/>
      <c r="PIW574" s="1831"/>
      <c r="PIX574" s="1831"/>
      <c r="PIY574" s="1831"/>
      <c r="PIZ574" s="1831"/>
      <c r="PJA574" s="1831"/>
      <c r="PJB574" s="1831"/>
      <c r="PJC574" s="1831"/>
      <c r="PJD574" s="1831"/>
      <c r="PJE574" s="1831"/>
      <c r="PJF574" s="1831"/>
      <c r="PJG574" s="1831"/>
      <c r="PJH574" s="1831"/>
      <c r="PJI574" s="1831"/>
      <c r="PJJ574" s="1831"/>
      <c r="PJK574" s="1831"/>
      <c r="PJL574" s="1831"/>
      <c r="PJM574" s="1831"/>
      <c r="PJN574" s="1831"/>
      <c r="PJO574" s="1831"/>
      <c r="PJP574" s="1831"/>
      <c r="PJQ574" s="1831"/>
      <c r="PJR574" s="1831"/>
      <c r="PJS574" s="1831"/>
      <c r="PJT574" s="1831"/>
      <c r="PJU574" s="1831"/>
      <c r="PJV574" s="1831"/>
      <c r="PJW574" s="1831"/>
      <c r="PJX574" s="1831"/>
      <c r="PJY574" s="1831"/>
      <c r="PJZ574" s="1831"/>
      <c r="PKA574" s="1831"/>
      <c r="PKB574" s="1831"/>
      <c r="PKC574" s="1831"/>
      <c r="PKD574" s="1831"/>
      <c r="PKE574" s="1831"/>
      <c r="PKF574" s="1831"/>
      <c r="PKG574" s="1831"/>
      <c r="PKH574" s="1831"/>
      <c r="PKI574" s="1831"/>
      <c r="PKJ574" s="1831"/>
      <c r="PKK574" s="1831"/>
      <c r="PKL574" s="1831"/>
      <c r="PKM574" s="1831"/>
      <c r="PKN574" s="1831"/>
      <c r="PKO574" s="1831"/>
      <c r="PKP574" s="1831"/>
      <c r="PKQ574" s="1831"/>
      <c r="PKR574" s="1831"/>
      <c r="PKS574" s="1831"/>
      <c r="PKT574" s="1831"/>
      <c r="PKU574" s="1831"/>
      <c r="PKV574" s="1831"/>
      <c r="PKW574" s="1831"/>
      <c r="PKX574" s="1831"/>
      <c r="PKY574" s="1831"/>
      <c r="PKZ574" s="1831"/>
      <c r="PLA574" s="1831"/>
      <c r="PLB574" s="1831"/>
      <c r="PLC574" s="1831"/>
      <c r="PLD574" s="1831"/>
      <c r="PLE574" s="1831"/>
      <c r="PLF574" s="1831"/>
      <c r="PLG574" s="1831"/>
      <c r="PLH574" s="1831"/>
      <c r="PLI574" s="1831"/>
      <c r="PLJ574" s="1831"/>
      <c r="PLK574" s="1831"/>
      <c r="PLL574" s="1831"/>
      <c r="PLM574" s="1831"/>
      <c r="PLN574" s="1831"/>
      <c r="PLO574" s="1831"/>
      <c r="PLP574" s="1831"/>
      <c r="PLQ574" s="1831"/>
      <c r="PLR574" s="1831"/>
      <c r="PLS574" s="1831"/>
      <c r="PLT574" s="1831"/>
      <c r="PLU574" s="1831"/>
      <c r="PLV574" s="1831"/>
      <c r="PLW574" s="1831"/>
      <c r="PLX574" s="1831"/>
      <c r="PLY574" s="1831"/>
      <c r="PLZ574" s="1831"/>
      <c r="PMA574" s="1831"/>
      <c r="PMB574" s="1831"/>
      <c r="PMC574" s="1831"/>
      <c r="PMD574" s="1831"/>
      <c r="PME574" s="1831"/>
      <c r="PMF574" s="1831"/>
      <c r="PMG574" s="1831"/>
      <c r="PMH574" s="1831"/>
      <c r="PMI574" s="1831"/>
      <c r="PMJ574" s="1831"/>
      <c r="PMK574" s="1831"/>
      <c r="PML574" s="1831"/>
      <c r="PMM574" s="1831"/>
      <c r="PMN574" s="1831"/>
      <c r="PMO574" s="1831"/>
      <c r="PMP574" s="1831"/>
      <c r="PMQ574" s="1831"/>
      <c r="PMR574" s="1831"/>
      <c r="PMS574" s="1831"/>
      <c r="PMT574" s="1831"/>
      <c r="PMU574" s="1831"/>
      <c r="PMV574" s="1831"/>
      <c r="PMW574" s="1831"/>
      <c r="PMX574" s="1831"/>
      <c r="PMY574" s="1831"/>
      <c r="PMZ574" s="1831"/>
      <c r="PNA574" s="1831"/>
      <c r="PNB574" s="1831"/>
      <c r="PNC574" s="1831"/>
      <c r="PND574" s="1831"/>
      <c r="PNE574" s="1831"/>
      <c r="PNF574" s="1831"/>
      <c r="PNG574" s="1831"/>
      <c r="PNH574" s="1831"/>
      <c r="PNI574" s="1831"/>
      <c r="PNJ574" s="1831"/>
      <c r="PNK574" s="1831"/>
      <c r="PNL574" s="1831"/>
      <c r="PNM574" s="1831"/>
      <c r="PNN574" s="1831"/>
      <c r="PNO574" s="1831"/>
      <c r="PNP574" s="1831"/>
      <c r="PNQ574" s="1831"/>
      <c r="PNR574" s="1831"/>
      <c r="PNS574" s="1831"/>
      <c r="PNT574" s="1831"/>
      <c r="PNU574" s="1831"/>
      <c r="PNV574" s="1831"/>
      <c r="PNW574" s="1831"/>
      <c r="PNX574" s="1831"/>
      <c r="PNY574" s="1831"/>
      <c r="PNZ574" s="1831"/>
      <c r="POA574" s="1831"/>
      <c r="POB574" s="1831"/>
      <c r="POC574" s="1831"/>
      <c r="POD574" s="1831"/>
      <c r="POE574" s="1831"/>
      <c r="POF574" s="1831"/>
      <c r="POG574" s="1831"/>
      <c r="POH574" s="1831"/>
      <c r="POI574" s="1831"/>
      <c r="POJ574" s="1831"/>
      <c r="POK574" s="1831"/>
      <c r="POL574" s="1831"/>
      <c r="POM574" s="1831"/>
      <c r="PON574" s="1831"/>
      <c r="POO574" s="1831"/>
      <c r="POP574" s="1831"/>
      <c r="POQ574" s="1831"/>
      <c r="POR574" s="1831"/>
      <c r="POS574" s="1831"/>
      <c r="POT574" s="1831"/>
      <c r="POU574" s="1831"/>
      <c r="POV574" s="1831"/>
      <c r="POW574" s="1831"/>
      <c r="POX574" s="1831"/>
      <c r="POY574" s="1831"/>
      <c r="POZ574" s="1831"/>
      <c r="PPA574" s="1831"/>
      <c r="PPB574" s="1831"/>
      <c r="PPC574" s="1831"/>
      <c r="PPD574" s="1831"/>
      <c r="PPE574" s="1831"/>
      <c r="PPF574" s="1831"/>
      <c r="PPG574" s="1831"/>
      <c r="PPH574" s="1831"/>
      <c r="PPI574" s="1831"/>
      <c r="PPJ574" s="1831"/>
      <c r="PPK574" s="1831"/>
      <c r="PPL574" s="1831"/>
      <c r="PPM574" s="1831"/>
      <c r="PPN574" s="1831"/>
      <c r="PPO574" s="1831"/>
      <c r="PPP574" s="1831"/>
      <c r="PPQ574" s="1831"/>
      <c r="PPR574" s="1831"/>
      <c r="PPS574" s="1831"/>
      <c r="PPT574" s="1831"/>
      <c r="PPU574" s="1831"/>
      <c r="PPV574" s="1831"/>
      <c r="PPW574" s="1831"/>
      <c r="PPX574" s="1831"/>
      <c r="PPY574" s="1831"/>
      <c r="PPZ574" s="1831"/>
      <c r="PQA574" s="1831"/>
      <c r="PQB574" s="1831"/>
      <c r="PQC574" s="1831"/>
      <c r="PQD574" s="1831"/>
      <c r="PQE574" s="1831"/>
      <c r="PQF574" s="1831"/>
      <c r="PQG574" s="1831"/>
      <c r="PQH574" s="1831"/>
      <c r="PQI574" s="1831"/>
      <c r="PQJ574" s="1831"/>
      <c r="PQK574" s="1831"/>
      <c r="PQL574" s="1831"/>
      <c r="PQM574" s="1831"/>
      <c r="PQN574" s="1831"/>
      <c r="PQO574" s="1831"/>
      <c r="PQP574" s="1831"/>
      <c r="PQQ574" s="1831"/>
      <c r="PQR574" s="1831"/>
      <c r="PQS574" s="1831"/>
      <c r="PQT574" s="1831"/>
      <c r="PQU574" s="1831"/>
      <c r="PQV574" s="1831"/>
      <c r="PQW574" s="1831"/>
      <c r="PQX574" s="1831"/>
      <c r="PQY574" s="1831"/>
      <c r="PQZ574" s="1831"/>
      <c r="PRA574" s="1831"/>
      <c r="PRB574" s="1831"/>
      <c r="PRC574" s="1831"/>
      <c r="PRD574" s="1831"/>
      <c r="PRE574" s="1831"/>
      <c r="PRF574" s="1831"/>
      <c r="PRG574" s="1831"/>
      <c r="PRH574" s="1831"/>
      <c r="PRI574" s="1831"/>
      <c r="PRJ574" s="1831"/>
      <c r="PRK574" s="1831"/>
      <c r="PRL574" s="1831"/>
      <c r="PRM574" s="1831"/>
      <c r="PRN574" s="1831"/>
      <c r="PRO574" s="1831"/>
      <c r="PRP574" s="1831"/>
      <c r="PRQ574" s="1831"/>
      <c r="PRR574" s="1831"/>
      <c r="PRS574" s="1831"/>
      <c r="PRT574" s="1831"/>
      <c r="PRU574" s="1831"/>
      <c r="PRV574" s="1831"/>
      <c r="PRW574" s="1831"/>
      <c r="PRX574" s="1831"/>
      <c r="PRY574" s="1831"/>
      <c r="PRZ574" s="1831"/>
      <c r="PSA574" s="1831"/>
      <c r="PSB574" s="1831"/>
      <c r="PSC574" s="1831"/>
      <c r="PSD574" s="1831"/>
      <c r="PSE574" s="1831"/>
      <c r="PSF574" s="1831"/>
      <c r="PSG574" s="1831"/>
      <c r="PSH574" s="1831"/>
      <c r="PSI574" s="1831"/>
      <c r="PSJ574" s="1831"/>
      <c r="PSK574" s="1831"/>
      <c r="PSL574" s="1831"/>
      <c r="PSM574" s="1831"/>
      <c r="PSN574" s="1831"/>
      <c r="PSO574" s="1831"/>
      <c r="PSP574" s="1831"/>
      <c r="PSQ574" s="1831"/>
      <c r="PSR574" s="1831"/>
      <c r="PSS574" s="1831"/>
      <c r="PST574" s="1831"/>
      <c r="PSU574" s="1831"/>
      <c r="PSV574" s="1831"/>
      <c r="PSW574" s="1831"/>
      <c r="PSX574" s="1831"/>
      <c r="PSY574" s="1831"/>
      <c r="PSZ574" s="1831"/>
      <c r="PTA574" s="1831"/>
      <c r="PTB574" s="1831"/>
      <c r="PTC574" s="1831"/>
      <c r="PTD574" s="1831"/>
      <c r="PTE574" s="1831"/>
      <c r="PTF574" s="1831"/>
      <c r="PTG574" s="1831"/>
      <c r="PTH574" s="1831"/>
      <c r="PTI574" s="1831"/>
      <c r="PTJ574" s="1831"/>
      <c r="PTK574" s="1831"/>
      <c r="PTL574" s="1831"/>
      <c r="PTM574" s="1831"/>
      <c r="PTN574" s="1831"/>
      <c r="PTO574" s="1831"/>
      <c r="PTP574" s="1831"/>
      <c r="PTQ574" s="1831"/>
      <c r="PTR574" s="1831"/>
      <c r="PTS574" s="1831"/>
      <c r="PTT574" s="1831"/>
      <c r="PTU574" s="1831"/>
      <c r="PTV574" s="1831"/>
      <c r="PTW574" s="1831"/>
      <c r="PTX574" s="1831"/>
      <c r="PTY574" s="1831"/>
      <c r="PTZ574" s="1831"/>
      <c r="PUA574" s="1831"/>
      <c r="PUB574" s="1831"/>
      <c r="PUC574" s="1831"/>
      <c r="PUD574" s="1831"/>
      <c r="PUE574" s="1831"/>
      <c r="PUF574" s="1831"/>
      <c r="PUG574" s="1831"/>
      <c r="PUH574" s="1831"/>
      <c r="PUI574" s="1831"/>
      <c r="PUJ574" s="1831"/>
      <c r="PUK574" s="1831"/>
      <c r="PUL574" s="1831"/>
      <c r="PUM574" s="1831"/>
      <c r="PUN574" s="1831"/>
      <c r="PUO574" s="1831"/>
      <c r="PUP574" s="1831"/>
      <c r="PUQ574" s="1831"/>
      <c r="PUR574" s="1831"/>
      <c r="PUS574" s="1831"/>
      <c r="PUT574" s="1831"/>
      <c r="PUU574" s="1831"/>
      <c r="PUV574" s="1831"/>
      <c r="PUW574" s="1831"/>
      <c r="PUX574" s="1831"/>
      <c r="PUY574" s="1831"/>
      <c r="PUZ574" s="1831"/>
      <c r="PVA574" s="1831"/>
      <c r="PVB574" s="1831"/>
      <c r="PVC574" s="1831"/>
      <c r="PVD574" s="1831"/>
      <c r="PVE574" s="1831"/>
      <c r="PVF574" s="1831"/>
      <c r="PVG574" s="1831"/>
      <c r="PVH574" s="1831"/>
      <c r="PVI574" s="1831"/>
      <c r="PVJ574" s="1831"/>
      <c r="PVK574" s="1831"/>
      <c r="PVL574" s="1831"/>
      <c r="PVM574" s="1831"/>
      <c r="PVN574" s="1831"/>
      <c r="PVO574" s="1831"/>
      <c r="PVP574" s="1831"/>
      <c r="PVQ574" s="1831"/>
      <c r="PVR574" s="1831"/>
      <c r="PVS574" s="1831"/>
      <c r="PVT574" s="1831"/>
      <c r="PVU574" s="1831"/>
      <c r="PVV574" s="1831"/>
      <c r="PVW574" s="1831"/>
      <c r="PVX574" s="1831"/>
      <c r="PVY574" s="1831"/>
      <c r="PVZ574" s="1831"/>
      <c r="PWA574" s="1831"/>
      <c r="PWB574" s="1831"/>
      <c r="PWC574" s="1831"/>
      <c r="PWD574" s="1831"/>
      <c r="PWE574" s="1831"/>
      <c r="PWF574" s="1831"/>
      <c r="PWG574" s="1831"/>
      <c r="PWH574" s="1831"/>
      <c r="PWI574" s="1831"/>
      <c r="PWJ574" s="1831"/>
      <c r="PWK574" s="1831"/>
      <c r="PWL574" s="1831"/>
      <c r="PWM574" s="1831"/>
      <c r="PWN574" s="1831"/>
      <c r="PWO574" s="1831"/>
      <c r="PWP574" s="1831"/>
      <c r="PWQ574" s="1831"/>
      <c r="PWR574" s="1831"/>
      <c r="PWS574" s="1831"/>
      <c r="PWT574" s="1831"/>
      <c r="PWU574" s="1831"/>
      <c r="PWV574" s="1831"/>
      <c r="PWW574" s="1831"/>
      <c r="PWX574" s="1831"/>
      <c r="PWY574" s="1831"/>
      <c r="PWZ574" s="1831"/>
      <c r="PXA574" s="1831"/>
      <c r="PXB574" s="1831"/>
      <c r="PXC574" s="1831"/>
      <c r="PXD574" s="1831"/>
      <c r="PXE574" s="1831"/>
      <c r="PXF574" s="1831"/>
      <c r="PXG574" s="1831"/>
      <c r="PXH574" s="1831"/>
      <c r="PXI574" s="1831"/>
      <c r="PXJ574" s="1831"/>
      <c r="PXK574" s="1831"/>
      <c r="PXL574" s="1831"/>
      <c r="PXM574" s="1831"/>
      <c r="PXN574" s="1831"/>
      <c r="PXO574" s="1831"/>
      <c r="PXP574" s="1831"/>
      <c r="PXQ574" s="1831"/>
      <c r="PXR574" s="1831"/>
      <c r="PXS574" s="1831"/>
      <c r="PXT574" s="1831"/>
      <c r="PXU574" s="1831"/>
      <c r="PXV574" s="1831"/>
      <c r="PXW574" s="1831"/>
      <c r="PXX574" s="1831"/>
      <c r="PXY574" s="1831"/>
      <c r="PXZ574" s="1831"/>
      <c r="PYA574" s="1831"/>
      <c r="PYB574" s="1831"/>
      <c r="PYC574" s="1831"/>
      <c r="PYD574" s="1831"/>
      <c r="PYE574" s="1831"/>
      <c r="PYF574" s="1831"/>
      <c r="PYG574" s="1831"/>
      <c r="PYH574" s="1831"/>
      <c r="PYI574" s="1831"/>
      <c r="PYJ574" s="1831"/>
      <c r="PYK574" s="1831"/>
      <c r="PYL574" s="1831"/>
      <c r="PYM574" s="1831"/>
      <c r="PYN574" s="1831"/>
      <c r="PYO574" s="1831"/>
      <c r="PYP574" s="1831"/>
      <c r="PYQ574" s="1831"/>
      <c r="PYR574" s="1831"/>
      <c r="PYS574" s="1831"/>
      <c r="PYT574" s="1831"/>
      <c r="PYU574" s="1831"/>
      <c r="PYV574" s="1831"/>
      <c r="PYW574" s="1831"/>
      <c r="PYX574" s="1831"/>
      <c r="PYY574" s="1831"/>
      <c r="PYZ574" s="1831"/>
      <c r="PZA574" s="1831"/>
      <c r="PZB574" s="1831"/>
      <c r="PZC574" s="1831"/>
      <c r="PZD574" s="1831"/>
      <c r="PZE574" s="1831"/>
      <c r="PZF574" s="1831"/>
      <c r="PZG574" s="1831"/>
      <c r="PZH574" s="1831"/>
      <c r="PZI574" s="1831"/>
      <c r="PZJ574" s="1831"/>
      <c r="PZK574" s="1831"/>
      <c r="PZL574" s="1831"/>
      <c r="PZM574" s="1831"/>
      <c r="PZN574" s="1831"/>
      <c r="PZO574" s="1831"/>
      <c r="PZP574" s="1831"/>
      <c r="PZQ574" s="1831"/>
      <c r="PZR574" s="1831"/>
      <c r="PZS574" s="1831"/>
      <c r="PZT574" s="1831"/>
      <c r="PZU574" s="1831"/>
      <c r="PZV574" s="1831"/>
      <c r="PZW574" s="1831"/>
      <c r="PZX574" s="1831"/>
      <c r="PZY574" s="1831"/>
      <c r="PZZ574" s="1831"/>
      <c r="QAA574" s="1831"/>
      <c r="QAB574" s="1831"/>
      <c r="QAC574" s="1831"/>
      <c r="QAD574" s="1831"/>
      <c r="QAE574" s="1831"/>
      <c r="QAF574" s="1831"/>
      <c r="QAG574" s="1831"/>
      <c r="QAH574" s="1831"/>
      <c r="QAI574" s="1831"/>
      <c r="QAJ574" s="1831"/>
      <c r="QAK574" s="1831"/>
      <c r="QAL574" s="1831"/>
      <c r="QAM574" s="1831"/>
      <c r="QAN574" s="1831"/>
      <c r="QAO574" s="1831"/>
      <c r="QAP574" s="1831"/>
      <c r="QAQ574" s="1831"/>
      <c r="QAR574" s="1831"/>
      <c r="QAS574" s="1831"/>
      <c r="QAT574" s="1831"/>
      <c r="QAU574" s="1831"/>
      <c r="QAV574" s="1831"/>
      <c r="QAW574" s="1831"/>
      <c r="QAX574" s="1831"/>
      <c r="QAY574" s="1831"/>
      <c r="QAZ574" s="1831"/>
      <c r="QBA574" s="1831"/>
      <c r="QBB574" s="1831"/>
      <c r="QBC574" s="1831"/>
      <c r="QBD574" s="1831"/>
      <c r="QBE574" s="1831"/>
      <c r="QBF574" s="1831"/>
      <c r="QBG574" s="1831"/>
      <c r="QBH574" s="1831"/>
      <c r="QBI574" s="1831"/>
      <c r="QBJ574" s="1831"/>
      <c r="QBK574" s="1831"/>
      <c r="QBL574" s="1831"/>
      <c r="QBM574" s="1831"/>
      <c r="QBN574" s="1831"/>
      <c r="QBO574" s="1831"/>
      <c r="QBP574" s="1831"/>
      <c r="QBQ574" s="1831"/>
      <c r="QBR574" s="1831"/>
      <c r="QBS574" s="1831"/>
      <c r="QBT574" s="1831"/>
      <c r="QBU574" s="1831"/>
      <c r="QBV574" s="1831"/>
      <c r="QBW574" s="1831"/>
      <c r="QBX574" s="1831"/>
      <c r="QBY574" s="1831"/>
      <c r="QBZ574" s="1831"/>
      <c r="QCA574" s="1831"/>
      <c r="QCB574" s="1831"/>
      <c r="QCC574" s="1831"/>
      <c r="QCD574" s="1831"/>
      <c r="QCE574" s="1831"/>
      <c r="QCF574" s="1831"/>
      <c r="QCG574" s="1831"/>
      <c r="QCH574" s="1831"/>
      <c r="QCI574" s="1831"/>
      <c r="QCJ574" s="1831"/>
      <c r="QCK574" s="1831"/>
      <c r="QCL574" s="1831"/>
      <c r="QCM574" s="1831"/>
      <c r="QCN574" s="1831"/>
      <c r="QCO574" s="1831"/>
      <c r="QCP574" s="1831"/>
      <c r="QCQ574" s="1831"/>
      <c r="QCR574" s="1831"/>
      <c r="QCS574" s="1831"/>
      <c r="QCT574" s="1831"/>
      <c r="QCU574" s="1831"/>
      <c r="QCV574" s="1831"/>
      <c r="QCW574" s="1831"/>
      <c r="QCX574" s="1831"/>
      <c r="QCY574" s="1831"/>
      <c r="QCZ574" s="1831"/>
      <c r="QDA574" s="1831"/>
      <c r="QDB574" s="1831"/>
      <c r="QDC574" s="1831"/>
      <c r="QDD574" s="1831"/>
      <c r="QDE574" s="1831"/>
      <c r="QDF574" s="1831"/>
      <c r="QDG574" s="1831"/>
      <c r="QDH574" s="1831"/>
      <c r="QDI574" s="1831"/>
      <c r="QDJ574" s="1831"/>
      <c r="QDK574" s="1831"/>
      <c r="QDL574" s="1831"/>
      <c r="QDM574" s="1831"/>
      <c r="QDN574" s="1831"/>
      <c r="QDO574" s="1831"/>
      <c r="QDP574" s="1831"/>
      <c r="QDQ574" s="1831"/>
      <c r="QDR574" s="1831"/>
      <c r="QDS574" s="1831"/>
      <c r="QDT574" s="1831"/>
      <c r="QDU574" s="1831"/>
      <c r="QDV574" s="1831"/>
      <c r="QDW574" s="1831"/>
      <c r="QDX574" s="1831"/>
      <c r="QDY574" s="1831"/>
      <c r="QDZ574" s="1831"/>
      <c r="QEA574" s="1831"/>
      <c r="QEB574" s="1831"/>
      <c r="QEC574" s="1831"/>
      <c r="QED574" s="1831"/>
      <c r="QEE574" s="1831"/>
      <c r="QEF574" s="1831"/>
      <c r="QEG574" s="1831"/>
      <c r="QEH574" s="1831"/>
      <c r="QEI574" s="1831"/>
      <c r="QEJ574" s="1831"/>
      <c r="QEK574" s="1831"/>
      <c r="QEL574" s="1831"/>
      <c r="QEM574" s="1831"/>
      <c r="QEN574" s="1831"/>
      <c r="QEO574" s="1831"/>
      <c r="QEP574" s="1831"/>
      <c r="QEQ574" s="1831"/>
      <c r="QER574" s="1831"/>
      <c r="QES574" s="1831"/>
      <c r="QET574" s="1831"/>
      <c r="QEU574" s="1831"/>
      <c r="QEV574" s="1831"/>
      <c r="QEW574" s="1831"/>
      <c r="QEX574" s="1831"/>
      <c r="QEY574" s="1831"/>
      <c r="QEZ574" s="1831"/>
      <c r="QFA574" s="1831"/>
      <c r="QFB574" s="1831"/>
      <c r="QFC574" s="1831"/>
      <c r="QFD574" s="1831"/>
      <c r="QFE574" s="1831"/>
      <c r="QFF574" s="1831"/>
      <c r="QFG574" s="1831"/>
      <c r="QFH574" s="1831"/>
      <c r="QFI574" s="1831"/>
      <c r="QFJ574" s="1831"/>
      <c r="QFK574" s="1831"/>
      <c r="QFL574" s="1831"/>
      <c r="QFM574" s="1831"/>
      <c r="QFN574" s="1831"/>
      <c r="QFO574" s="1831"/>
      <c r="QFP574" s="1831"/>
      <c r="QFQ574" s="1831"/>
      <c r="QFR574" s="1831"/>
      <c r="QFS574" s="1831"/>
      <c r="QFT574" s="1831"/>
      <c r="QFU574" s="1831"/>
      <c r="QFV574" s="1831"/>
      <c r="QFW574" s="1831"/>
      <c r="QFX574" s="1831"/>
      <c r="QFY574" s="1831"/>
      <c r="QFZ574" s="1831"/>
      <c r="QGA574" s="1831"/>
      <c r="QGB574" s="1831"/>
      <c r="QGC574" s="1831"/>
      <c r="QGD574" s="1831"/>
      <c r="QGE574" s="1831"/>
      <c r="QGF574" s="1831"/>
      <c r="QGG574" s="1831"/>
      <c r="QGH574" s="1831"/>
      <c r="QGI574" s="1831"/>
      <c r="QGJ574" s="1831"/>
      <c r="QGK574" s="1831"/>
      <c r="QGL574" s="1831"/>
      <c r="QGM574" s="1831"/>
      <c r="QGN574" s="1831"/>
      <c r="QGO574" s="1831"/>
      <c r="QGP574" s="1831"/>
      <c r="QGQ574" s="1831"/>
      <c r="QGR574" s="1831"/>
      <c r="QGS574" s="1831"/>
      <c r="QGT574" s="1831"/>
      <c r="QGU574" s="1831"/>
      <c r="QGV574" s="1831"/>
      <c r="QGW574" s="1831"/>
      <c r="QGX574" s="1831"/>
      <c r="QGY574" s="1831"/>
      <c r="QGZ574" s="1831"/>
      <c r="QHA574" s="1831"/>
      <c r="QHB574" s="1831"/>
      <c r="QHC574" s="1831"/>
      <c r="QHD574" s="1831"/>
      <c r="QHE574" s="1831"/>
      <c r="QHF574" s="1831"/>
      <c r="QHG574" s="1831"/>
      <c r="QHH574" s="1831"/>
      <c r="QHI574" s="1831"/>
      <c r="QHJ574" s="1831"/>
      <c r="QHK574" s="1831"/>
      <c r="QHL574" s="1831"/>
      <c r="QHM574" s="1831"/>
      <c r="QHN574" s="1831"/>
      <c r="QHO574" s="1831"/>
      <c r="QHP574" s="1831"/>
      <c r="QHQ574" s="1831"/>
      <c r="QHR574" s="1831"/>
      <c r="QHS574" s="1831"/>
      <c r="QHT574" s="1831"/>
      <c r="QHU574" s="1831"/>
      <c r="QHV574" s="1831"/>
      <c r="QHW574" s="1831"/>
      <c r="QHX574" s="1831"/>
      <c r="QHY574" s="1831"/>
      <c r="QHZ574" s="1831"/>
      <c r="QIA574" s="1831"/>
      <c r="QIB574" s="1831"/>
      <c r="QIC574" s="1831"/>
      <c r="QID574" s="1831"/>
      <c r="QIE574" s="1831"/>
      <c r="QIF574" s="1831"/>
      <c r="QIG574" s="1831"/>
      <c r="QIH574" s="1831"/>
      <c r="QII574" s="1831"/>
      <c r="QIJ574" s="1831"/>
      <c r="QIK574" s="1831"/>
      <c r="QIL574" s="1831"/>
      <c r="QIM574" s="1831"/>
      <c r="QIN574" s="1831"/>
      <c r="QIO574" s="1831"/>
      <c r="QIP574" s="1831"/>
      <c r="QIQ574" s="1831"/>
      <c r="QIR574" s="1831"/>
      <c r="QIS574" s="1831"/>
      <c r="QIT574" s="1831"/>
      <c r="QIU574" s="1831"/>
      <c r="QIV574" s="1831"/>
      <c r="QIW574" s="1831"/>
      <c r="QIX574" s="1831"/>
      <c r="QIY574" s="1831"/>
      <c r="QIZ574" s="1831"/>
      <c r="QJA574" s="1831"/>
      <c r="QJB574" s="1831"/>
      <c r="QJC574" s="1831"/>
      <c r="QJD574" s="1831"/>
      <c r="QJE574" s="1831"/>
      <c r="QJF574" s="1831"/>
      <c r="QJG574" s="1831"/>
      <c r="QJH574" s="1831"/>
      <c r="QJI574" s="1831"/>
      <c r="QJJ574" s="1831"/>
      <c r="QJK574" s="1831"/>
      <c r="QJL574" s="1831"/>
      <c r="QJM574" s="1831"/>
      <c r="QJN574" s="1831"/>
      <c r="QJO574" s="1831"/>
      <c r="QJP574" s="1831"/>
      <c r="QJQ574" s="1831"/>
      <c r="QJR574" s="1831"/>
      <c r="QJS574" s="1831"/>
      <c r="QJT574" s="1831"/>
      <c r="QJU574" s="1831"/>
      <c r="QJV574" s="1831"/>
      <c r="QJW574" s="1831"/>
      <c r="QJX574" s="1831"/>
      <c r="QJY574" s="1831"/>
      <c r="QJZ574" s="1831"/>
      <c r="QKA574" s="1831"/>
      <c r="QKB574" s="1831"/>
      <c r="QKC574" s="1831"/>
      <c r="QKD574" s="1831"/>
      <c r="QKE574" s="1831"/>
      <c r="QKF574" s="1831"/>
      <c r="QKG574" s="1831"/>
      <c r="QKH574" s="1831"/>
      <c r="QKI574" s="1831"/>
      <c r="QKJ574" s="1831"/>
      <c r="QKK574" s="1831"/>
      <c r="QKL574" s="1831"/>
      <c r="QKM574" s="1831"/>
      <c r="QKN574" s="1831"/>
      <c r="QKO574" s="1831"/>
      <c r="QKP574" s="1831"/>
      <c r="QKQ574" s="1831"/>
      <c r="QKR574" s="1831"/>
      <c r="QKS574" s="1831"/>
      <c r="QKT574" s="1831"/>
      <c r="QKU574" s="1831"/>
      <c r="QKV574" s="1831"/>
      <c r="QKW574" s="1831"/>
      <c r="QKX574" s="1831"/>
      <c r="QKY574" s="1831"/>
      <c r="QKZ574" s="1831"/>
      <c r="QLA574" s="1831"/>
      <c r="QLB574" s="1831"/>
      <c r="QLC574" s="1831"/>
      <c r="QLD574" s="1831"/>
      <c r="QLE574" s="1831"/>
      <c r="QLF574" s="1831"/>
      <c r="QLG574" s="1831"/>
      <c r="QLH574" s="1831"/>
      <c r="QLI574" s="1831"/>
      <c r="QLJ574" s="1831"/>
      <c r="QLK574" s="1831"/>
      <c r="QLL574" s="1831"/>
      <c r="QLM574" s="1831"/>
      <c r="QLN574" s="1831"/>
      <c r="QLO574" s="1831"/>
      <c r="QLP574" s="1831"/>
      <c r="QLQ574" s="1831"/>
      <c r="QLR574" s="1831"/>
      <c r="QLS574" s="1831"/>
      <c r="QLT574" s="1831"/>
      <c r="QLU574" s="1831"/>
      <c r="QLV574" s="1831"/>
      <c r="QLW574" s="1831"/>
      <c r="QLX574" s="1831"/>
      <c r="QLY574" s="1831"/>
      <c r="QLZ574" s="1831"/>
      <c r="QMA574" s="1831"/>
      <c r="QMB574" s="1831"/>
      <c r="QMC574" s="1831"/>
      <c r="QMD574" s="1831"/>
      <c r="QME574" s="1831"/>
      <c r="QMF574" s="1831"/>
      <c r="QMG574" s="1831"/>
      <c r="QMH574" s="1831"/>
      <c r="QMI574" s="1831"/>
      <c r="QMJ574" s="1831"/>
      <c r="QMK574" s="1831"/>
      <c r="QML574" s="1831"/>
      <c r="QMM574" s="1831"/>
      <c r="QMN574" s="1831"/>
      <c r="QMO574" s="1831"/>
      <c r="QMP574" s="1831"/>
      <c r="QMQ574" s="1831"/>
      <c r="QMR574" s="1831"/>
      <c r="QMS574" s="1831"/>
      <c r="QMT574" s="1831"/>
      <c r="QMU574" s="1831"/>
      <c r="QMV574" s="1831"/>
      <c r="QMW574" s="1831"/>
      <c r="QMX574" s="1831"/>
      <c r="QMY574" s="1831"/>
      <c r="QMZ574" s="1831"/>
      <c r="QNA574" s="1831"/>
      <c r="QNB574" s="1831"/>
      <c r="QNC574" s="1831"/>
      <c r="QND574" s="1831"/>
      <c r="QNE574" s="1831"/>
      <c r="QNF574" s="1831"/>
      <c r="QNG574" s="1831"/>
      <c r="QNH574" s="1831"/>
      <c r="QNI574" s="1831"/>
      <c r="QNJ574" s="1831"/>
      <c r="QNK574" s="1831"/>
      <c r="QNL574" s="1831"/>
      <c r="QNM574" s="1831"/>
      <c r="QNN574" s="1831"/>
      <c r="QNO574" s="1831"/>
      <c r="QNP574" s="1831"/>
      <c r="QNQ574" s="1831"/>
      <c r="QNR574" s="1831"/>
      <c r="QNS574" s="1831"/>
      <c r="QNT574" s="1831"/>
      <c r="QNU574" s="1831"/>
      <c r="QNV574" s="1831"/>
      <c r="QNW574" s="1831"/>
      <c r="QNX574" s="1831"/>
      <c r="QNY574" s="1831"/>
      <c r="QNZ574" s="1831"/>
      <c r="QOA574" s="1831"/>
      <c r="QOB574" s="1831"/>
      <c r="QOC574" s="1831"/>
      <c r="QOD574" s="1831"/>
      <c r="QOE574" s="1831"/>
      <c r="QOF574" s="1831"/>
      <c r="QOG574" s="1831"/>
      <c r="QOH574" s="1831"/>
      <c r="QOI574" s="1831"/>
      <c r="QOJ574" s="1831"/>
      <c r="QOK574" s="1831"/>
      <c r="QOL574" s="1831"/>
      <c r="QOM574" s="1831"/>
      <c r="QON574" s="1831"/>
      <c r="QOO574" s="1831"/>
      <c r="QOP574" s="1831"/>
      <c r="QOQ574" s="1831"/>
      <c r="QOR574" s="1831"/>
      <c r="QOS574" s="1831"/>
      <c r="QOT574" s="1831"/>
      <c r="QOU574" s="1831"/>
      <c r="QOV574" s="1831"/>
      <c r="QOW574" s="1831"/>
      <c r="QOX574" s="1831"/>
      <c r="QOY574" s="1831"/>
      <c r="QOZ574" s="1831"/>
      <c r="QPA574" s="1831"/>
      <c r="QPB574" s="1831"/>
      <c r="QPC574" s="1831"/>
      <c r="QPD574" s="1831"/>
      <c r="QPE574" s="1831"/>
      <c r="QPF574" s="1831"/>
      <c r="QPG574" s="1831"/>
      <c r="QPH574" s="1831"/>
      <c r="QPI574" s="1831"/>
      <c r="QPJ574" s="1831"/>
      <c r="QPK574" s="1831"/>
      <c r="QPL574" s="1831"/>
      <c r="QPM574" s="1831"/>
      <c r="QPN574" s="1831"/>
      <c r="QPO574" s="1831"/>
      <c r="QPP574" s="1831"/>
      <c r="QPQ574" s="1831"/>
      <c r="QPR574" s="1831"/>
      <c r="QPS574" s="1831"/>
      <c r="QPT574" s="1831"/>
      <c r="QPU574" s="1831"/>
      <c r="QPV574" s="1831"/>
      <c r="QPW574" s="1831"/>
      <c r="QPX574" s="1831"/>
      <c r="QPY574" s="1831"/>
      <c r="QPZ574" s="1831"/>
      <c r="QQA574" s="1831"/>
      <c r="QQB574" s="1831"/>
      <c r="QQC574" s="1831"/>
      <c r="QQD574" s="1831"/>
      <c r="QQE574" s="1831"/>
      <c r="QQF574" s="1831"/>
      <c r="QQG574" s="1831"/>
      <c r="QQH574" s="1831"/>
      <c r="QQI574" s="1831"/>
      <c r="QQJ574" s="1831"/>
      <c r="QQK574" s="1831"/>
      <c r="QQL574" s="1831"/>
      <c r="QQM574" s="1831"/>
      <c r="QQN574" s="1831"/>
      <c r="QQO574" s="1831"/>
      <c r="QQP574" s="1831"/>
      <c r="QQQ574" s="1831"/>
      <c r="QQR574" s="1831"/>
      <c r="QQS574" s="1831"/>
      <c r="QQT574" s="1831"/>
      <c r="QQU574" s="1831"/>
      <c r="QQV574" s="1831"/>
      <c r="QQW574" s="1831"/>
      <c r="QQX574" s="1831"/>
      <c r="QQY574" s="1831"/>
      <c r="QQZ574" s="1831"/>
      <c r="QRA574" s="1831"/>
      <c r="QRB574" s="1831"/>
      <c r="QRC574" s="1831"/>
      <c r="QRD574" s="1831"/>
      <c r="QRE574" s="1831"/>
      <c r="QRF574" s="1831"/>
      <c r="QRG574" s="1831"/>
      <c r="QRH574" s="1831"/>
      <c r="QRI574" s="1831"/>
      <c r="QRJ574" s="1831"/>
      <c r="QRK574" s="1831"/>
      <c r="QRL574" s="1831"/>
      <c r="QRM574" s="1831"/>
      <c r="QRN574" s="1831"/>
      <c r="QRO574" s="1831"/>
      <c r="QRP574" s="1831"/>
      <c r="QRQ574" s="1831"/>
      <c r="QRR574" s="1831"/>
      <c r="QRS574" s="1831"/>
      <c r="QRT574" s="1831"/>
      <c r="QRU574" s="1831"/>
      <c r="QRV574" s="1831"/>
      <c r="QRW574" s="1831"/>
      <c r="QRX574" s="1831"/>
      <c r="QRY574" s="1831"/>
      <c r="QRZ574" s="1831"/>
      <c r="QSA574" s="1831"/>
      <c r="QSB574" s="1831"/>
      <c r="QSC574" s="1831"/>
      <c r="QSD574" s="1831"/>
      <c r="QSE574" s="1831"/>
      <c r="QSF574" s="1831"/>
      <c r="QSG574" s="1831"/>
      <c r="QSH574" s="1831"/>
      <c r="QSI574" s="1831"/>
      <c r="QSJ574" s="1831"/>
      <c r="QSK574" s="1831"/>
      <c r="QSL574" s="1831"/>
      <c r="QSM574" s="1831"/>
      <c r="QSN574" s="1831"/>
      <c r="QSO574" s="1831"/>
      <c r="QSP574" s="1831"/>
      <c r="QSQ574" s="1831"/>
      <c r="QSR574" s="1831"/>
      <c r="QSS574" s="1831"/>
      <c r="QST574" s="1831"/>
      <c r="QSU574" s="1831"/>
      <c r="QSV574" s="1831"/>
      <c r="QSW574" s="1831"/>
      <c r="QSX574" s="1831"/>
      <c r="QSY574" s="1831"/>
      <c r="QSZ574" s="1831"/>
      <c r="QTA574" s="1831"/>
      <c r="QTB574" s="1831"/>
      <c r="QTC574" s="1831"/>
      <c r="QTD574" s="1831"/>
      <c r="QTE574" s="1831"/>
      <c r="QTF574" s="1831"/>
      <c r="QTG574" s="1831"/>
      <c r="QTH574" s="1831"/>
      <c r="QTI574" s="1831"/>
      <c r="QTJ574" s="1831"/>
      <c r="QTK574" s="1831"/>
      <c r="QTL574" s="1831"/>
      <c r="QTM574" s="1831"/>
      <c r="QTN574" s="1831"/>
      <c r="QTO574" s="1831"/>
      <c r="QTP574" s="1831"/>
      <c r="QTQ574" s="1831"/>
      <c r="QTR574" s="1831"/>
      <c r="QTS574" s="1831"/>
      <c r="QTT574" s="1831"/>
      <c r="QTU574" s="1831"/>
      <c r="QTV574" s="1831"/>
      <c r="QTW574" s="1831"/>
      <c r="QTX574" s="1831"/>
      <c r="QTY574" s="1831"/>
      <c r="QTZ574" s="1831"/>
      <c r="QUA574" s="1831"/>
      <c r="QUB574" s="1831"/>
      <c r="QUC574" s="1831"/>
      <c r="QUD574" s="1831"/>
      <c r="QUE574" s="1831"/>
      <c r="QUF574" s="1831"/>
      <c r="QUG574" s="1831"/>
      <c r="QUH574" s="1831"/>
      <c r="QUI574" s="1831"/>
      <c r="QUJ574" s="1831"/>
      <c r="QUK574" s="1831"/>
      <c r="QUL574" s="1831"/>
      <c r="QUM574" s="1831"/>
      <c r="QUN574" s="1831"/>
      <c r="QUO574" s="1831"/>
      <c r="QUP574" s="1831"/>
      <c r="QUQ574" s="1831"/>
      <c r="QUR574" s="1831"/>
      <c r="QUS574" s="1831"/>
      <c r="QUT574" s="1831"/>
      <c r="QUU574" s="1831"/>
      <c r="QUV574" s="1831"/>
      <c r="QUW574" s="1831"/>
      <c r="QUX574" s="1831"/>
      <c r="QUY574" s="1831"/>
      <c r="QUZ574" s="1831"/>
      <c r="QVA574" s="1831"/>
      <c r="QVB574" s="1831"/>
      <c r="QVC574" s="1831"/>
      <c r="QVD574" s="1831"/>
      <c r="QVE574" s="1831"/>
      <c r="QVF574" s="1831"/>
      <c r="QVG574" s="1831"/>
      <c r="QVH574" s="1831"/>
      <c r="QVI574" s="1831"/>
      <c r="QVJ574" s="1831"/>
      <c r="QVK574" s="1831"/>
      <c r="QVL574" s="1831"/>
      <c r="QVM574" s="1831"/>
      <c r="QVN574" s="1831"/>
      <c r="QVO574" s="1831"/>
      <c r="QVP574" s="1831"/>
      <c r="QVQ574" s="1831"/>
      <c r="QVR574" s="1831"/>
      <c r="QVS574" s="1831"/>
      <c r="QVT574" s="1831"/>
      <c r="QVU574" s="1831"/>
      <c r="QVV574" s="1831"/>
      <c r="QVW574" s="1831"/>
      <c r="QVX574" s="1831"/>
      <c r="QVY574" s="1831"/>
      <c r="QVZ574" s="1831"/>
      <c r="QWA574" s="1831"/>
      <c r="QWB574" s="1831"/>
      <c r="QWC574" s="1831"/>
      <c r="QWD574" s="1831"/>
      <c r="QWE574" s="1831"/>
      <c r="QWF574" s="1831"/>
      <c r="QWG574" s="1831"/>
      <c r="QWH574" s="1831"/>
      <c r="QWI574" s="1831"/>
      <c r="QWJ574" s="1831"/>
      <c r="QWK574" s="1831"/>
      <c r="QWL574" s="1831"/>
      <c r="QWM574" s="1831"/>
      <c r="QWN574" s="1831"/>
      <c r="QWO574" s="1831"/>
      <c r="QWP574" s="1831"/>
      <c r="QWQ574" s="1831"/>
      <c r="QWR574" s="1831"/>
      <c r="QWS574" s="1831"/>
      <c r="QWT574" s="1831"/>
      <c r="QWU574" s="1831"/>
      <c r="QWV574" s="1831"/>
      <c r="QWW574" s="1831"/>
      <c r="QWX574" s="1831"/>
      <c r="QWY574" s="1831"/>
      <c r="QWZ574" s="1831"/>
      <c r="QXA574" s="1831"/>
      <c r="QXB574" s="1831"/>
      <c r="QXC574" s="1831"/>
      <c r="QXD574" s="1831"/>
      <c r="QXE574" s="1831"/>
      <c r="QXF574" s="1831"/>
      <c r="QXG574" s="1831"/>
      <c r="QXH574" s="1831"/>
      <c r="QXI574" s="1831"/>
      <c r="QXJ574" s="1831"/>
      <c r="QXK574" s="1831"/>
      <c r="QXL574" s="1831"/>
      <c r="QXM574" s="1831"/>
      <c r="QXN574" s="1831"/>
      <c r="QXO574" s="1831"/>
      <c r="QXP574" s="1831"/>
      <c r="QXQ574" s="1831"/>
      <c r="QXR574" s="1831"/>
      <c r="QXS574" s="1831"/>
      <c r="QXT574" s="1831"/>
      <c r="QXU574" s="1831"/>
      <c r="QXV574" s="1831"/>
      <c r="QXW574" s="1831"/>
      <c r="QXX574" s="1831"/>
      <c r="QXY574" s="1831"/>
      <c r="QXZ574" s="1831"/>
      <c r="QYA574" s="1831"/>
      <c r="QYB574" s="1831"/>
      <c r="QYC574" s="1831"/>
      <c r="QYD574" s="1831"/>
      <c r="QYE574" s="1831"/>
      <c r="QYF574" s="1831"/>
      <c r="QYG574" s="1831"/>
      <c r="QYH574" s="1831"/>
      <c r="QYI574" s="1831"/>
      <c r="QYJ574" s="1831"/>
      <c r="QYK574" s="1831"/>
      <c r="QYL574" s="1831"/>
      <c r="QYM574" s="1831"/>
      <c r="QYN574" s="1831"/>
      <c r="QYO574" s="1831"/>
      <c r="QYP574" s="1831"/>
      <c r="QYQ574" s="1831"/>
      <c r="QYR574" s="1831"/>
      <c r="QYS574" s="1831"/>
      <c r="QYT574" s="1831"/>
      <c r="QYU574" s="1831"/>
      <c r="QYV574" s="1831"/>
      <c r="QYW574" s="1831"/>
      <c r="QYX574" s="1831"/>
      <c r="QYY574" s="1831"/>
      <c r="QYZ574" s="1831"/>
      <c r="QZA574" s="1831"/>
      <c r="QZB574" s="1831"/>
      <c r="QZC574" s="1831"/>
      <c r="QZD574" s="1831"/>
      <c r="QZE574" s="1831"/>
      <c r="QZF574" s="1831"/>
      <c r="QZG574" s="1831"/>
      <c r="QZH574" s="1831"/>
      <c r="QZI574" s="1831"/>
      <c r="QZJ574" s="1831"/>
      <c r="QZK574" s="1831"/>
      <c r="QZL574" s="1831"/>
      <c r="QZM574" s="1831"/>
      <c r="QZN574" s="1831"/>
      <c r="QZO574" s="1831"/>
      <c r="QZP574" s="1831"/>
      <c r="QZQ574" s="1831"/>
      <c r="QZR574" s="1831"/>
      <c r="QZS574" s="1831"/>
      <c r="QZT574" s="1831"/>
      <c r="QZU574" s="1831"/>
      <c r="QZV574" s="1831"/>
      <c r="QZW574" s="1831"/>
      <c r="QZX574" s="1831"/>
      <c r="QZY574" s="1831"/>
      <c r="QZZ574" s="1831"/>
      <c r="RAA574" s="1831"/>
      <c r="RAB574" s="1831"/>
      <c r="RAC574" s="1831"/>
      <c r="RAD574" s="1831"/>
      <c r="RAE574" s="1831"/>
      <c r="RAF574" s="1831"/>
      <c r="RAG574" s="1831"/>
      <c r="RAH574" s="1831"/>
      <c r="RAI574" s="1831"/>
      <c r="RAJ574" s="1831"/>
      <c r="RAK574" s="1831"/>
      <c r="RAL574" s="1831"/>
      <c r="RAM574" s="1831"/>
      <c r="RAN574" s="1831"/>
      <c r="RAO574" s="1831"/>
      <c r="RAP574" s="1831"/>
      <c r="RAQ574" s="1831"/>
      <c r="RAR574" s="1831"/>
      <c r="RAS574" s="1831"/>
      <c r="RAT574" s="1831"/>
      <c r="RAU574" s="1831"/>
      <c r="RAV574" s="1831"/>
      <c r="RAW574" s="1831"/>
      <c r="RAX574" s="1831"/>
      <c r="RAY574" s="1831"/>
      <c r="RAZ574" s="1831"/>
      <c r="RBA574" s="1831"/>
      <c r="RBB574" s="1831"/>
      <c r="RBC574" s="1831"/>
      <c r="RBD574" s="1831"/>
      <c r="RBE574" s="1831"/>
      <c r="RBF574" s="1831"/>
      <c r="RBG574" s="1831"/>
      <c r="RBH574" s="1831"/>
      <c r="RBI574" s="1831"/>
      <c r="RBJ574" s="1831"/>
      <c r="RBK574" s="1831"/>
      <c r="RBL574" s="1831"/>
      <c r="RBM574" s="1831"/>
      <c r="RBN574" s="1831"/>
      <c r="RBO574" s="1831"/>
      <c r="RBP574" s="1831"/>
      <c r="RBQ574" s="1831"/>
      <c r="RBR574" s="1831"/>
      <c r="RBS574" s="1831"/>
      <c r="RBT574" s="1831"/>
      <c r="RBU574" s="1831"/>
      <c r="RBV574" s="1831"/>
      <c r="RBW574" s="1831"/>
      <c r="RBX574" s="1831"/>
      <c r="RBY574" s="1831"/>
      <c r="RBZ574" s="1831"/>
      <c r="RCA574" s="1831"/>
      <c r="RCB574" s="1831"/>
      <c r="RCC574" s="1831"/>
      <c r="RCD574" s="1831"/>
      <c r="RCE574" s="1831"/>
      <c r="RCF574" s="1831"/>
      <c r="RCG574" s="1831"/>
      <c r="RCH574" s="1831"/>
      <c r="RCI574" s="1831"/>
      <c r="RCJ574" s="1831"/>
      <c r="RCK574" s="1831"/>
      <c r="RCL574" s="1831"/>
      <c r="RCM574" s="1831"/>
      <c r="RCN574" s="1831"/>
      <c r="RCO574" s="1831"/>
      <c r="RCP574" s="1831"/>
      <c r="RCQ574" s="1831"/>
      <c r="RCR574" s="1831"/>
      <c r="RCS574" s="1831"/>
      <c r="RCT574" s="1831"/>
      <c r="RCU574" s="1831"/>
      <c r="RCV574" s="1831"/>
      <c r="RCW574" s="1831"/>
      <c r="RCX574" s="1831"/>
      <c r="RCY574" s="1831"/>
      <c r="RCZ574" s="1831"/>
      <c r="RDA574" s="1831"/>
      <c r="RDB574" s="1831"/>
      <c r="RDC574" s="1831"/>
      <c r="RDD574" s="1831"/>
      <c r="RDE574" s="1831"/>
      <c r="RDF574" s="1831"/>
      <c r="RDG574" s="1831"/>
      <c r="RDH574" s="1831"/>
      <c r="RDI574" s="1831"/>
      <c r="RDJ574" s="1831"/>
      <c r="RDK574" s="1831"/>
      <c r="RDL574" s="1831"/>
      <c r="RDM574" s="1831"/>
      <c r="RDN574" s="1831"/>
      <c r="RDO574" s="1831"/>
      <c r="RDP574" s="1831"/>
      <c r="RDQ574" s="1831"/>
      <c r="RDR574" s="1831"/>
      <c r="RDS574" s="1831"/>
      <c r="RDT574" s="1831"/>
      <c r="RDU574" s="1831"/>
      <c r="RDV574" s="1831"/>
      <c r="RDW574" s="1831"/>
      <c r="RDX574" s="1831"/>
      <c r="RDY574" s="1831"/>
      <c r="RDZ574" s="1831"/>
      <c r="REA574" s="1831"/>
      <c r="REB574" s="1831"/>
      <c r="REC574" s="1831"/>
      <c r="RED574" s="1831"/>
      <c r="REE574" s="1831"/>
      <c r="REF574" s="1831"/>
      <c r="REG574" s="1831"/>
      <c r="REH574" s="1831"/>
      <c r="REI574" s="1831"/>
      <c r="REJ574" s="1831"/>
      <c r="REK574" s="1831"/>
      <c r="REL574" s="1831"/>
      <c r="REM574" s="1831"/>
      <c r="REN574" s="1831"/>
      <c r="REO574" s="1831"/>
      <c r="REP574" s="1831"/>
      <c r="REQ574" s="1831"/>
      <c r="RER574" s="1831"/>
      <c r="RES574" s="1831"/>
      <c r="RET574" s="1831"/>
      <c r="REU574" s="1831"/>
      <c r="REV574" s="1831"/>
      <c r="REW574" s="1831"/>
      <c r="REX574" s="1831"/>
      <c r="REY574" s="1831"/>
      <c r="REZ574" s="1831"/>
      <c r="RFA574" s="1831"/>
      <c r="RFB574" s="1831"/>
      <c r="RFC574" s="1831"/>
      <c r="RFD574" s="1831"/>
      <c r="RFE574" s="1831"/>
      <c r="RFF574" s="1831"/>
      <c r="RFG574" s="1831"/>
      <c r="RFH574" s="1831"/>
      <c r="RFI574" s="1831"/>
      <c r="RFJ574" s="1831"/>
      <c r="RFK574" s="1831"/>
      <c r="RFL574" s="1831"/>
      <c r="RFM574" s="1831"/>
      <c r="RFN574" s="1831"/>
      <c r="RFO574" s="1831"/>
      <c r="RFP574" s="1831"/>
      <c r="RFQ574" s="1831"/>
      <c r="RFR574" s="1831"/>
      <c r="RFS574" s="1831"/>
      <c r="RFT574" s="1831"/>
      <c r="RFU574" s="1831"/>
      <c r="RFV574" s="1831"/>
      <c r="RFW574" s="1831"/>
      <c r="RFX574" s="1831"/>
      <c r="RFY574" s="1831"/>
      <c r="RFZ574" s="1831"/>
      <c r="RGA574" s="1831"/>
      <c r="RGB574" s="1831"/>
      <c r="RGC574" s="1831"/>
      <c r="RGD574" s="1831"/>
      <c r="RGE574" s="1831"/>
      <c r="RGF574" s="1831"/>
      <c r="RGG574" s="1831"/>
      <c r="RGH574" s="1831"/>
      <c r="RGI574" s="1831"/>
      <c r="RGJ574" s="1831"/>
      <c r="RGK574" s="1831"/>
      <c r="RGL574" s="1831"/>
      <c r="RGM574" s="1831"/>
      <c r="RGN574" s="1831"/>
      <c r="RGO574" s="1831"/>
      <c r="RGP574" s="1831"/>
      <c r="RGQ574" s="1831"/>
      <c r="RGR574" s="1831"/>
      <c r="RGS574" s="1831"/>
      <c r="RGT574" s="1831"/>
      <c r="RGU574" s="1831"/>
      <c r="RGV574" s="1831"/>
      <c r="RGW574" s="1831"/>
      <c r="RGX574" s="1831"/>
      <c r="RGY574" s="1831"/>
      <c r="RGZ574" s="1831"/>
      <c r="RHA574" s="1831"/>
      <c r="RHB574" s="1831"/>
      <c r="RHC574" s="1831"/>
      <c r="RHD574" s="1831"/>
      <c r="RHE574" s="1831"/>
      <c r="RHF574" s="1831"/>
      <c r="RHG574" s="1831"/>
      <c r="RHH574" s="1831"/>
      <c r="RHI574" s="1831"/>
      <c r="RHJ574" s="1831"/>
      <c r="RHK574" s="1831"/>
      <c r="RHL574" s="1831"/>
      <c r="RHM574" s="1831"/>
      <c r="RHN574" s="1831"/>
      <c r="RHO574" s="1831"/>
      <c r="RHP574" s="1831"/>
      <c r="RHQ574" s="1831"/>
      <c r="RHR574" s="1831"/>
      <c r="RHS574" s="1831"/>
      <c r="RHT574" s="1831"/>
      <c r="RHU574" s="1831"/>
      <c r="RHV574" s="1831"/>
      <c r="RHW574" s="1831"/>
      <c r="RHX574" s="1831"/>
      <c r="RHY574" s="1831"/>
      <c r="RHZ574" s="1831"/>
      <c r="RIA574" s="1831"/>
      <c r="RIB574" s="1831"/>
      <c r="RIC574" s="1831"/>
      <c r="RID574" s="1831"/>
      <c r="RIE574" s="1831"/>
      <c r="RIF574" s="1831"/>
      <c r="RIG574" s="1831"/>
      <c r="RIH574" s="1831"/>
      <c r="RII574" s="1831"/>
      <c r="RIJ574" s="1831"/>
      <c r="RIK574" s="1831"/>
      <c r="RIL574" s="1831"/>
      <c r="RIM574" s="1831"/>
      <c r="RIN574" s="1831"/>
      <c r="RIO574" s="1831"/>
      <c r="RIP574" s="1831"/>
      <c r="RIQ574" s="1831"/>
      <c r="RIR574" s="1831"/>
      <c r="RIS574" s="1831"/>
      <c r="RIT574" s="1831"/>
      <c r="RIU574" s="1831"/>
      <c r="RIV574" s="1831"/>
      <c r="RIW574" s="1831"/>
      <c r="RIX574" s="1831"/>
      <c r="RIY574" s="1831"/>
      <c r="RIZ574" s="1831"/>
      <c r="RJA574" s="1831"/>
      <c r="RJB574" s="1831"/>
      <c r="RJC574" s="1831"/>
      <c r="RJD574" s="1831"/>
      <c r="RJE574" s="1831"/>
      <c r="RJF574" s="1831"/>
      <c r="RJG574" s="1831"/>
      <c r="RJH574" s="1831"/>
      <c r="RJI574" s="1831"/>
      <c r="RJJ574" s="1831"/>
      <c r="RJK574" s="1831"/>
      <c r="RJL574" s="1831"/>
      <c r="RJM574" s="1831"/>
      <c r="RJN574" s="1831"/>
      <c r="RJO574" s="1831"/>
      <c r="RJP574" s="1831"/>
      <c r="RJQ574" s="1831"/>
      <c r="RJR574" s="1831"/>
      <c r="RJS574" s="1831"/>
      <c r="RJT574" s="1831"/>
      <c r="RJU574" s="1831"/>
      <c r="RJV574" s="1831"/>
      <c r="RJW574" s="1831"/>
      <c r="RJX574" s="1831"/>
      <c r="RJY574" s="1831"/>
      <c r="RJZ574" s="1831"/>
      <c r="RKA574" s="1831"/>
      <c r="RKB574" s="1831"/>
      <c r="RKC574" s="1831"/>
      <c r="RKD574" s="1831"/>
      <c r="RKE574" s="1831"/>
      <c r="RKF574" s="1831"/>
      <c r="RKG574" s="1831"/>
      <c r="RKH574" s="1831"/>
      <c r="RKI574" s="1831"/>
      <c r="RKJ574" s="1831"/>
      <c r="RKK574" s="1831"/>
      <c r="RKL574" s="1831"/>
      <c r="RKM574" s="1831"/>
      <c r="RKN574" s="1831"/>
      <c r="RKO574" s="1831"/>
      <c r="RKP574" s="1831"/>
      <c r="RKQ574" s="1831"/>
      <c r="RKR574" s="1831"/>
      <c r="RKS574" s="1831"/>
      <c r="RKT574" s="1831"/>
      <c r="RKU574" s="1831"/>
      <c r="RKV574" s="1831"/>
      <c r="RKW574" s="1831"/>
      <c r="RKX574" s="1831"/>
      <c r="RKY574" s="1831"/>
      <c r="RKZ574" s="1831"/>
      <c r="RLA574" s="1831"/>
      <c r="RLB574" s="1831"/>
      <c r="RLC574" s="1831"/>
      <c r="RLD574" s="1831"/>
      <c r="RLE574" s="1831"/>
      <c r="RLF574" s="1831"/>
      <c r="RLG574" s="1831"/>
      <c r="RLH574" s="1831"/>
      <c r="RLI574" s="1831"/>
      <c r="RLJ574" s="1831"/>
      <c r="RLK574" s="1831"/>
      <c r="RLL574" s="1831"/>
      <c r="RLM574" s="1831"/>
      <c r="RLN574" s="1831"/>
      <c r="RLO574" s="1831"/>
      <c r="RLP574" s="1831"/>
      <c r="RLQ574" s="1831"/>
      <c r="RLR574" s="1831"/>
      <c r="RLS574" s="1831"/>
      <c r="RLT574" s="1831"/>
      <c r="RLU574" s="1831"/>
      <c r="RLV574" s="1831"/>
      <c r="RLW574" s="1831"/>
      <c r="RLX574" s="1831"/>
      <c r="RLY574" s="1831"/>
      <c r="RLZ574" s="1831"/>
      <c r="RMA574" s="1831"/>
      <c r="RMB574" s="1831"/>
      <c r="RMC574" s="1831"/>
      <c r="RMD574" s="1831"/>
      <c r="RME574" s="1831"/>
      <c r="RMF574" s="1831"/>
      <c r="RMG574" s="1831"/>
      <c r="RMH574" s="1831"/>
      <c r="RMI574" s="1831"/>
      <c r="RMJ574" s="1831"/>
      <c r="RMK574" s="1831"/>
      <c r="RML574" s="1831"/>
      <c r="RMM574" s="1831"/>
      <c r="RMN574" s="1831"/>
      <c r="RMO574" s="1831"/>
      <c r="RMP574" s="1831"/>
      <c r="RMQ574" s="1831"/>
      <c r="RMR574" s="1831"/>
      <c r="RMS574" s="1831"/>
      <c r="RMT574" s="1831"/>
      <c r="RMU574" s="1831"/>
      <c r="RMV574" s="1831"/>
      <c r="RMW574" s="1831"/>
      <c r="RMX574" s="1831"/>
      <c r="RMY574" s="1831"/>
      <c r="RMZ574" s="1831"/>
      <c r="RNA574" s="1831"/>
      <c r="RNB574" s="1831"/>
      <c r="RNC574" s="1831"/>
      <c r="RND574" s="1831"/>
      <c r="RNE574" s="1831"/>
      <c r="RNF574" s="1831"/>
      <c r="RNG574" s="1831"/>
      <c r="RNH574" s="1831"/>
      <c r="RNI574" s="1831"/>
      <c r="RNJ574" s="1831"/>
      <c r="RNK574" s="1831"/>
      <c r="RNL574" s="1831"/>
      <c r="RNM574" s="1831"/>
      <c r="RNN574" s="1831"/>
      <c r="RNO574" s="1831"/>
      <c r="RNP574" s="1831"/>
      <c r="RNQ574" s="1831"/>
      <c r="RNR574" s="1831"/>
      <c r="RNS574" s="1831"/>
      <c r="RNT574" s="1831"/>
      <c r="RNU574" s="1831"/>
      <c r="RNV574" s="1831"/>
      <c r="RNW574" s="1831"/>
      <c r="RNX574" s="1831"/>
      <c r="RNY574" s="1831"/>
      <c r="RNZ574" s="1831"/>
      <c r="ROA574" s="1831"/>
      <c r="ROB574" s="1831"/>
      <c r="ROC574" s="1831"/>
      <c r="ROD574" s="1831"/>
      <c r="ROE574" s="1831"/>
      <c r="ROF574" s="1831"/>
      <c r="ROG574" s="1831"/>
      <c r="ROH574" s="1831"/>
      <c r="ROI574" s="1831"/>
      <c r="ROJ574" s="1831"/>
      <c r="ROK574" s="1831"/>
      <c r="ROL574" s="1831"/>
      <c r="ROM574" s="1831"/>
      <c r="RON574" s="1831"/>
      <c r="ROO574" s="1831"/>
      <c r="ROP574" s="1831"/>
      <c r="ROQ574" s="1831"/>
      <c r="ROR574" s="1831"/>
      <c r="ROS574" s="1831"/>
      <c r="ROT574" s="1831"/>
      <c r="ROU574" s="1831"/>
      <c r="ROV574" s="1831"/>
      <c r="ROW574" s="1831"/>
      <c r="ROX574" s="1831"/>
      <c r="ROY574" s="1831"/>
      <c r="ROZ574" s="1831"/>
      <c r="RPA574" s="1831"/>
      <c r="RPB574" s="1831"/>
      <c r="RPC574" s="1831"/>
      <c r="RPD574" s="1831"/>
      <c r="RPE574" s="1831"/>
      <c r="RPF574" s="1831"/>
      <c r="RPG574" s="1831"/>
      <c r="RPH574" s="1831"/>
      <c r="RPI574" s="1831"/>
      <c r="RPJ574" s="1831"/>
      <c r="RPK574" s="1831"/>
      <c r="RPL574" s="1831"/>
      <c r="RPM574" s="1831"/>
      <c r="RPN574" s="1831"/>
      <c r="RPO574" s="1831"/>
      <c r="RPP574" s="1831"/>
      <c r="RPQ574" s="1831"/>
      <c r="RPR574" s="1831"/>
      <c r="RPS574" s="1831"/>
      <c r="RPT574" s="1831"/>
      <c r="RPU574" s="1831"/>
      <c r="RPV574" s="1831"/>
      <c r="RPW574" s="1831"/>
      <c r="RPX574" s="1831"/>
      <c r="RPY574" s="1831"/>
      <c r="RPZ574" s="1831"/>
      <c r="RQA574" s="1831"/>
      <c r="RQB574" s="1831"/>
      <c r="RQC574" s="1831"/>
      <c r="RQD574" s="1831"/>
      <c r="RQE574" s="1831"/>
      <c r="RQF574" s="1831"/>
      <c r="RQG574" s="1831"/>
      <c r="RQH574" s="1831"/>
      <c r="RQI574" s="1831"/>
      <c r="RQJ574" s="1831"/>
      <c r="RQK574" s="1831"/>
      <c r="RQL574" s="1831"/>
      <c r="RQM574" s="1831"/>
      <c r="RQN574" s="1831"/>
      <c r="RQO574" s="1831"/>
      <c r="RQP574" s="1831"/>
      <c r="RQQ574" s="1831"/>
      <c r="RQR574" s="1831"/>
      <c r="RQS574" s="1831"/>
      <c r="RQT574" s="1831"/>
      <c r="RQU574" s="1831"/>
      <c r="RQV574" s="1831"/>
      <c r="RQW574" s="1831"/>
      <c r="RQX574" s="1831"/>
      <c r="RQY574" s="1831"/>
      <c r="RQZ574" s="1831"/>
      <c r="RRA574" s="1831"/>
      <c r="RRB574" s="1831"/>
      <c r="RRC574" s="1831"/>
      <c r="RRD574" s="1831"/>
      <c r="RRE574" s="1831"/>
      <c r="RRF574" s="1831"/>
      <c r="RRG574" s="1831"/>
      <c r="RRH574" s="1831"/>
      <c r="RRI574" s="1831"/>
      <c r="RRJ574" s="1831"/>
      <c r="RRK574" s="1831"/>
      <c r="RRL574" s="1831"/>
      <c r="RRM574" s="1831"/>
      <c r="RRN574" s="1831"/>
      <c r="RRO574" s="1831"/>
      <c r="RRP574" s="1831"/>
      <c r="RRQ574" s="1831"/>
      <c r="RRR574" s="1831"/>
      <c r="RRS574" s="1831"/>
      <c r="RRT574" s="1831"/>
      <c r="RRU574" s="1831"/>
      <c r="RRV574" s="1831"/>
      <c r="RRW574" s="1831"/>
      <c r="RRX574" s="1831"/>
      <c r="RRY574" s="1831"/>
      <c r="RRZ574" s="1831"/>
      <c r="RSA574" s="1831"/>
      <c r="RSB574" s="1831"/>
      <c r="RSC574" s="1831"/>
      <c r="RSD574" s="1831"/>
      <c r="RSE574" s="1831"/>
      <c r="RSF574" s="1831"/>
      <c r="RSG574" s="1831"/>
      <c r="RSH574" s="1831"/>
      <c r="RSI574" s="1831"/>
      <c r="RSJ574" s="1831"/>
      <c r="RSK574" s="1831"/>
      <c r="RSL574" s="1831"/>
      <c r="RSM574" s="1831"/>
      <c r="RSN574" s="1831"/>
      <c r="RSO574" s="1831"/>
      <c r="RSP574" s="1831"/>
      <c r="RSQ574" s="1831"/>
      <c r="RSR574" s="1831"/>
      <c r="RSS574" s="1831"/>
      <c r="RST574" s="1831"/>
      <c r="RSU574" s="1831"/>
      <c r="RSV574" s="1831"/>
      <c r="RSW574" s="1831"/>
      <c r="RSX574" s="1831"/>
      <c r="RSY574" s="1831"/>
      <c r="RSZ574" s="1831"/>
      <c r="RTA574" s="1831"/>
      <c r="RTB574" s="1831"/>
      <c r="RTC574" s="1831"/>
      <c r="RTD574" s="1831"/>
      <c r="RTE574" s="1831"/>
      <c r="RTF574" s="1831"/>
      <c r="RTG574" s="1831"/>
      <c r="RTH574" s="1831"/>
      <c r="RTI574" s="1831"/>
      <c r="RTJ574" s="1831"/>
      <c r="RTK574" s="1831"/>
      <c r="RTL574" s="1831"/>
      <c r="RTM574" s="1831"/>
      <c r="RTN574" s="1831"/>
      <c r="RTO574" s="1831"/>
      <c r="RTP574" s="1831"/>
      <c r="RTQ574" s="1831"/>
      <c r="RTR574" s="1831"/>
      <c r="RTS574" s="1831"/>
      <c r="RTT574" s="1831"/>
      <c r="RTU574" s="1831"/>
      <c r="RTV574" s="1831"/>
      <c r="RTW574" s="1831"/>
      <c r="RTX574" s="1831"/>
      <c r="RTY574" s="1831"/>
      <c r="RTZ574" s="1831"/>
      <c r="RUA574" s="1831"/>
      <c r="RUB574" s="1831"/>
      <c r="RUC574" s="1831"/>
      <c r="RUD574" s="1831"/>
      <c r="RUE574" s="1831"/>
      <c r="RUF574" s="1831"/>
      <c r="RUG574" s="1831"/>
      <c r="RUH574" s="1831"/>
      <c r="RUI574" s="1831"/>
      <c r="RUJ574" s="1831"/>
      <c r="RUK574" s="1831"/>
      <c r="RUL574" s="1831"/>
      <c r="RUM574" s="1831"/>
      <c r="RUN574" s="1831"/>
      <c r="RUO574" s="1831"/>
      <c r="RUP574" s="1831"/>
      <c r="RUQ574" s="1831"/>
      <c r="RUR574" s="1831"/>
      <c r="RUS574" s="1831"/>
      <c r="RUT574" s="1831"/>
      <c r="RUU574" s="1831"/>
      <c r="RUV574" s="1831"/>
      <c r="RUW574" s="1831"/>
      <c r="RUX574" s="1831"/>
      <c r="RUY574" s="1831"/>
      <c r="RUZ574" s="1831"/>
      <c r="RVA574" s="1831"/>
      <c r="RVB574" s="1831"/>
      <c r="RVC574" s="1831"/>
      <c r="RVD574" s="1831"/>
      <c r="RVE574" s="1831"/>
      <c r="RVF574" s="1831"/>
      <c r="RVG574" s="1831"/>
      <c r="RVH574" s="1831"/>
      <c r="RVI574" s="1831"/>
      <c r="RVJ574" s="1831"/>
      <c r="RVK574" s="1831"/>
      <c r="RVL574" s="1831"/>
      <c r="RVM574" s="1831"/>
      <c r="RVN574" s="1831"/>
      <c r="RVO574" s="1831"/>
      <c r="RVP574" s="1831"/>
      <c r="RVQ574" s="1831"/>
      <c r="RVR574" s="1831"/>
      <c r="RVS574" s="1831"/>
      <c r="RVT574" s="1831"/>
      <c r="RVU574" s="1831"/>
      <c r="RVV574" s="1831"/>
      <c r="RVW574" s="1831"/>
      <c r="RVX574" s="1831"/>
      <c r="RVY574" s="1831"/>
      <c r="RVZ574" s="1831"/>
      <c r="RWA574" s="1831"/>
      <c r="RWB574" s="1831"/>
      <c r="RWC574" s="1831"/>
      <c r="RWD574" s="1831"/>
      <c r="RWE574" s="1831"/>
      <c r="RWF574" s="1831"/>
      <c r="RWG574" s="1831"/>
      <c r="RWH574" s="1831"/>
      <c r="RWI574" s="1831"/>
      <c r="RWJ574" s="1831"/>
      <c r="RWK574" s="1831"/>
      <c r="RWL574" s="1831"/>
      <c r="RWM574" s="1831"/>
      <c r="RWN574" s="1831"/>
      <c r="RWO574" s="1831"/>
      <c r="RWP574" s="1831"/>
      <c r="RWQ574" s="1831"/>
      <c r="RWR574" s="1831"/>
      <c r="RWS574" s="1831"/>
      <c r="RWT574" s="1831"/>
      <c r="RWU574" s="1831"/>
      <c r="RWV574" s="1831"/>
      <c r="RWW574" s="1831"/>
      <c r="RWX574" s="1831"/>
      <c r="RWY574" s="1831"/>
      <c r="RWZ574" s="1831"/>
      <c r="RXA574" s="1831"/>
      <c r="RXB574" s="1831"/>
      <c r="RXC574" s="1831"/>
      <c r="RXD574" s="1831"/>
      <c r="RXE574" s="1831"/>
      <c r="RXF574" s="1831"/>
      <c r="RXG574" s="1831"/>
      <c r="RXH574" s="1831"/>
      <c r="RXI574" s="1831"/>
      <c r="RXJ574" s="1831"/>
      <c r="RXK574" s="1831"/>
      <c r="RXL574" s="1831"/>
      <c r="RXM574" s="1831"/>
      <c r="RXN574" s="1831"/>
      <c r="RXO574" s="1831"/>
      <c r="RXP574" s="1831"/>
      <c r="RXQ574" s="1831"/>
      <c r="RXR574" s="1831"/>
      <c r="RXS574" s="1831"/>
      <c r="RXT574" s="1831"/>
      <c r="RXU574" s="1831"/>
      <c r="RXV574" s="1831"/>
      <c r="RXW574" s="1831"/>
      <c r="RXX574" s="1831"/>
      <c r="RXY574" s="1831"/>
      <c r="RXZ574" s="1831"/>
      <c r="RYA574" s="1831"/>
      <c r="RYB574" s="1831"/>
      <c r="RYC574" s="1831"/>
      <c r="RYD574" s="1831"/>
      <c r="RYE574" s="1831"/>
      <c r="RYF574" s="1831"/>
      <c r="RYG574" s="1831"/>
      <c r="RYH574" s="1831"/>
      <c r="RYI574" s="1831"/>
      <c r="RYJ574" s="1831"/>
      <c r="RYK574" s="1831"/>
      <c r="RYL574" s="1831"/>
      <c r="RYM574" s="1831"/>
      <c r="RYN574" s="1831"/>
      <c r="RYO574" s="1831"/>
      <c r="RYP574" s="1831"/>
      <c r="RYQ574" s="1831"/>
      <c r="RYR574" s="1831"/>
      <c r="RYS574" s="1831"/>
      <c r="RYT574" s="1831"/>
      <c r="RYU574" s="1831"/>
      <c r="RYV574" s="1831"/>
      <c r="RYW574" s="1831"/>
      <c r="RYX574" s="1831"/>
      <c r="RYY574" s="1831"/>
      <c r="RYZ574" s="1831"/>
      <c r="RZA574" s="1831"/>
      <c r="RZB574" s="1831"/>
      <c r="RZC574" s="1831"/>
      <c r="RZD574" s="1831"/>
      <c r="RZE574" s="1831"/>
      <c r="RZF574" s="1831"/>
      <c r="RZG574" s="1831"/>
      <c r="RZH574" s="1831"/>
      <c r="RZI574" s="1831"/>
      <c r="RZJ574" s="1831"/>
      <c r="RZK574" s="1831"/>
      <c r="RZL574" s="1831"/>
      <c r="RZM574" s="1831"/>
      <c r="RZN574" s="1831"/>
      <c r="RZO574" s="1831"/>
      <c r="RZP574" s="1831"/>
      <c r="RZQ574" s="1831"/>
      <c r="RZR574" s="1831"/>
      <c r="RZS574" s="1831"/>
      <c r="RZT574" s="1831"/>
      <c r="RZU574" s="1831"/>
      <c r="RZV574" s="1831"/>
      <c r="RZW574" s="1831"/>
      <c r="RZX574" s="1831"/>
      <c r="RZY574" s="1831"/>
      <c r="RZZ574" s="1831"/>
      <c r="SAA574" s="1831"/>
      <c r="SAB574" s="1831"/>
      <c r="SAC574" s="1831"/>
      <c r="SAD574" s="1831"/>
      <c r="SAE574" s="1831"/>
      <c r="SAF574" s="1831"/>
      <c r="SAG574" s="1831"/>
      <c r="SAH574" s="1831"/>
      <c r="SAI574" s="1831"/>
      <c r="SAJ574" s="1831"/>
      <c r="SAK574" s="1831"/>
      <c r="SAL574" s="1831"/>
      <c r="SAM574" s="1831"/>
      <c r="SAN574" s="1831"/>
      <c r="SAO574" s="1831"/>
      <c r="SAP574" s="1831"/>
      <c r="SAQ574" s="1831"/>
      <c r="SAR574" s="1831"/>
      <c r="SAS574" s="1831"/>
      <c r="SAT574" s="1831"/>
      <c r="SAU574" s="1831"/>
      <c r="SAV574" s="1831"/>
      <c r="SAW574" s="1831"/>
      <c r="SAX574" s="1831"/>
      <c r="SAY574" s="1831"/>
      <c r="SAZ574" s="1831"/>
      <c r="SBA574" s="1831"/>
      <c r="SBB574" s="1831"/>
      <c r="SBC574" s="1831"/>
      <c r="SBD574" s="1831"/>
      <c r="SBE574" s="1831"/>
      <c r="SBF574" s="1831"/>
      <c r="SBG574" s="1831"/>
      <c r="SBH574" s="1831"/>
      <c r="SBI574" s="1831"/>
      <c r="SBJ574" s="1831"/>
      <c r="SBK574" s="1831"/>
      <c r="SBL574" s="1831"/>
      <c r="SBM574" s="1831"/>
      <c r="SBN574" s="1831"/>
      <c r="SBO574" s="1831"/>
      <c r="SBP574" s="1831"/>
      <c r="SBQ574" s="1831"/>
      <c r="SBR574" s="1831"/>
      <c r="SBS574" s="1831"/>
      <c r="SBT574" s="1831"/>
      <c r="SBU574" s="1831"/>
      <c r="SBV574" s="1831"/>
      <c r="SBW574" s="1831"/>
      <c r="SBX574" s="1831"/>
      <c r="SBY574" s="1831"/>
      <c r="SBZ574" s="1831"/>
      <c r="SCA574" s="1831"/>
      <c r="SCB574" s="1831"/>
      <c r="SCC574" s="1831"/>
      <c r="SCD574" s="1831"/>
      <c r="SCE574" s="1831"/>
      <c r="SCF574" s="1831"/>
      <c r="SCG574" s="1831"/>
      <c r="SCH574" s="1831"/>
      <c r="SCI574" s="1831"/>
      <c r="SCJ574" s="1831"/>
      <c r="SCK574" s="1831"/>
      <c r="SCL574" s="1831"/>
      <c r="SCM574" s="1831"/>
      <c r="SCN574" s="1831"/>
      <c r="SCO574" s="1831"/>
      <c r="SCP574" s="1831"/>
      <c r="SCQ574" s="1831"/>
      <c r="SCR574" s="1831"/>
      <c r="SCS574" s="1831"/>
      <c r="SCT574" s="1831"/>
      <c r="SCU574" s="1831"/>
      <c r="SCV574" s="1831"/>
      <c r="SCW574" s="1831"/>
      <c r="SCX574" s="1831"/>
      <c r="SCY574" s="1831"/>
      <c r="SCZ574" s="1831"/>
      <c r="SDA574" s="1831"/>
      <c r="SDB574" s="1831"/>
      <c r="SDC574" s="1831"/>
      <c r="SDD574" s="1831"/>
      <c r="SDE574" s="1831"/>
      <c r="SDF574" s="1831"/>
      <c r="SDG574" s="1831"/>
      <c r="SDH574" s="1831"/>
      <c r="SDI574" s="1831"/>
      <c r="SDJ574" s="1831"/>
      <c r="SDK574" s="1831"/>
      <c r="SDL574" s="1831"/>
      <c r="SDM574" s="1831"/>
      <c r="SDN574" s="1831"/>
      <c r="SDO574" s="1831"/>
      <c r="SDP574" s="1831"/>
      <c r="SDQ574" s="1831"/>
      <c r="SDR574" s="1831"/>
      <c r="SDS574" s="1831"/>
      <c r="SDT574" s="1831"/>
      <c r="SDU574" s="1831"/>
      <c r="SDV574" s="1831"/>
      <c r="SDW574" s="1831"/>
      <c r="SDX574" s="1831"/>
      <c r="SDY574" s="1831"/>
      <c r="SDZ574" s="1831"/>
      <c r="SEA574" s="1831"/>
      <c r="SEB574" s="1831"/>
      <c r="SEC574" s="1831"/>
      <c r="SED574" s="1831"/>
      <c r="SEE574" s="1831"/>
      <c r="SEF574" s="1831"/>
      <c r="SEG574" s="1831"/>
      <c r="SEH574" s="1831"/>
      <c r="SEI574" s="1831"/>
      <c r="SEJ574" s="1831"/>
      <c r="SEK574" s="1831"/>
      <c r="SEL574" s="1831"/>
      <c r="SEM574" s="1831"/>
      <c r="SEN574" s="1831"/>
      <c r="SEO574" s="1831"/>
      <c r="SEP574" s="1831"/>
      <c r="SEQ574" s="1831"/>
      <c r="SER574" s="1831"/>
      <c r="SES574" s="1831"/>
      <c r="SET574" s="1831"/>
      <c r="SEU574" s="1831"/>
      <c r="SEV574" s="1831"/>
      <c r="SEW574" s="1831"/>
      <c r="SEX574" s="1831"/>
      <c r="SEY574" s="1831"/>
      <c r="SEZ574" s="1831"/>
      <c r="SFA574" s="1831"/>
      <c r="SFB574" s="1831"/>
      <c r="SFC574" s="1831"/>
      <c r="SFD574" s="1831"/>
      <c r="SFE574" s="1831"/>
      <c r="SFF574" s="1831"/>
      <c r="SFG574" s="1831"/>
      <c r="SFH574" s="1831"/>
      <c r="SFI574" s="1831"/>
      <c r="SFJ574" s="1831"/>
      <c r="SFK574" s="1831"/>
      <c r="SFL574" s="1831"/>
      <c r="SFM574" s="1831"/>
      <c r="SFN574" s="1831"/>
      <c r="SFO574" s="1831"/>
      <c r="SFP574" s="1831"/>
      <c r="SFQ574" s="1831"/>
      <c r="SFR574" s="1831"/>
      <c r="SFS574" s="1831"/>
      <c r="SFT574" s="1831"/>
      <c r="SFU574" s="1831"/>
      <c r="SFV574" s="1831"/>
      <c r="SFW574" s="1831"/>
      <c r="SFX574" s="1831"/>
      <c r="SFY574" s="1831"/>
      <c r="SFZ574" s="1831"/>
      <c r="SGA574" s="1831"/>
      <c r="SGB574" s="1831"/>
      <c r="SGC574" s="1831"/>
      <c r="SGD574" s="1831"/>
      <c r="SGE574" s="1831"/>
      <c r="SGF574" s="1831"/>
      <c r="SGG574" s="1831"/>
      <c r="SGH574" s="1831"/>
      <c r="SGI574" s="1831"/>
      <c r="SGJ574" s="1831"/>
      <c r="SGK574" s="1831"/>
      <c r="SGL574" s="1831"/>
      <c r="SGM574" s="1831"/>
      <c r="SGN574" s="1831"/>
      <c r="SGO574" s="1831"/>
      <c r="SGP574" s="1831"/>
      <c r="SGQ574" s="1831"/>
      <c r="SGR574" s="1831"/>
      <c r="SGS574" s="1831"/>
      <c r="SGT574" s="1831"/>
      <c r="SGU574" s="1831"/>
      <c r="SGV574" s="1831"/>
      <c r="SGW574" s="1831"/>
      <c r="SGX574" s="1831"/>
      <c r="SGY574" s="1831"/>
      <c r="SGZ574" s="1831"/>
      <c r="SHA574" s="1831"/>
      <c r="SHB574" s="1831"/>
      <c r="SHC574" s="1831"/>
      <c r="SHD574" s="1831"/>
      <c r="SHE574" s="1831"/>
      <c r="SHF574" s="1831"/>
      <c r="SHG574" s="1831"/>
      <c r="SHH574" s="1831"/>
      <c r="SHI574" s="1831"/>
      <c r="SHJ574" s="1831"/>
      <c r="SHK574" s="1831"/>
      <c r="SHL574" s="1831"/>
      <c r="SHM574" s="1831"/>
      <c r="SHN574" s="1831"/>
      <c r="SHO574" s="1831"/>
      <c r="SHP574" s="1831"/>
      <c r="SHQ574" s="1831"/>
      <c r="SHR574" s="1831"/>
      <c r="SHS574" s="1831"/>
      <c r="SHT574" s="1831"/>
      <c r="SHU574" s="1831"/>
      <c r="SHV574" s="1831"/>
      <c r="SHW574" s="1831"/>
      <c r="SHX574" s="1831"/>
      <c r="SHY574" s="1831"/>
      <c r="SHZ574" s="1831"/>
      <c r="SIA574" s="1831"/>
      <c r="SIB574" s="1831"/>
      <c r="SIC574" s="1831"/>
      <c r="SID574" s="1831"/>
      <c r="SIE574" s="1831"/>
      <c r="SIF574" s="1831"/>
      <c r="SIG574" s="1831"/>
      <c r="SIH574" s="1831"/>
      <c r="SII574" s="1831"/>
      <c r="SIJ574" s="1831"/>
      <c r="SIK574" s="1831"/>
      <c r="SIL574" s="1831"/>
      <c r="SIM574" s="1831"/>
      <c r="SIN574" s="1831"/>
      <c r="SIO574" s="1831"/>
      <c r="SIP574" s="1831"/>
      <c r="SIQ574" s="1831"/>
      <c r="SIR574" s="1831"/>
      <c r="SIS574" s="1831"/>
      <c r="SIT574" s="1831"/>
      <c r="SIU574" s="1831"/>
      <c r="SIV574" s="1831"/>
      <c r="SIW574" s="1831"/>
      <c r="SIX574" s="1831"/>
      <c r="SIY574" s="1831"/>
      <c r="SIZ574" s="1831"/>
      <c r="SJA574" s="1831"/>
      <c r="SJB574" s="1831"/>
      <c r="SJC574" s="1831"/>
      <c r="SJD574" s="1831"/>
      <c r="SJE574" s="1831"/>
      <c r="SJF574" s="1831"/>
      <c r="SJG574" s="1831"/>
      <c r="SJH574" s="1831"/>
      <c r="SJI574" s="1831"/>
      <c r="SJJ574" s="1831"/>
      <c r="SJK574" s="1831"/>
      <c r="SJL574" s="1831"/>
      <c r="SJM574" s="1831"/>
      <c r="SJN574" s="1831"/>
      <c r="SJO574" s="1831"/>
      <c r="SJP574" s="1831"/>
      <c r="SJQ574" s="1831"/>
      <c r="SJR574" s="1831"/>
      <c r="SJS574" s="1831"/>
      <c r="SJT574" s="1831"/>
      <c r="SJU574" s="1831"/>
      <c r="SJV574" s="1831"/>
      <c r="SJW574" s="1831"/>
      <c r="SJX574" s="1831"/>
      <c r="SJY574" s="1831"/>
      <c r="SJZ574" s="1831"/>
      <c r="SKA574" s="1831"/>
      <c r="SKB574" s="1831"/>
      <c r="SKC574" s="1831"/>
      <c r="SKD574" s="1831"/>
      <c r="SKE574" s="1831"/>
      <c r="SKF574" s="1831"/>
      <c r="SKG574" s="1831"/>
      <c r="SKH574" s="1831"/>
      <c r="SKI574" s="1831"/>
      <c r="SKJ574" s="1831"/>
      <c r="SKK574" s="1831"/>
      <c r="SKL574" s="1831"/>
      <c r="SKM574" s="1831"/>
      <c r="SKN574" s="1831"/>
      <c r="SKO574" s="1831"/>
      <c r="SKP574" s="1831"/>
      <c r="SKQ574" s="1831"/>
      <c r="SKR574" s="1831"/>
      <c r="SKS574" s="1831"/>
      <c r="SKT574" s="1831"/>
      <c r="SKU574" s="1831"/>
      <c r="SKV574" s="1831"/>
      <c r="SKW574" s="1831"/>
      <c r="SKX574" s="1831"/>
      <c r="SKY574" s="1831"/>
      <c r="SKZ574" s="1831"/>
      <c r="SLA574" s="1831"/>
      <c r="SLB574" s="1831"/>
      <c r="SLC574" s="1831"/>
      <c r="SLD574" s="1831"/>
      <c r="SLE574" s="1831"/>
      <c r="SLF574" s="1831"/>
      <c r="SLG574" s="1831"/>
      <c r="SLH574" s="1831"/>
      <c r="SLI574" s="1831"/>
      <c r="SLJ574" s="1831"/>
      <c r="SLK574" s="1831"/>
      <c r="SLL574" s="1831"/>
      <c r="SLM574" s="1831"/>
      <c r="SLN574" s="1831"/>
      <c r="SLO574" s="1831"/>
      <c r="SLP574" s="1831"/>
      <c r="SLQ574" s="1831"/>
      <c r="SLR574" s="1831"/>
      <c r="SLS574" s="1831"/>
      <c r="SLT574" s="1831"/>
      <c r="SLU574" s="1831"/>
      <c r="SLV574" s="1831"/>
      <c r="SLW574" s="1831"/>
      <c r="SLX574" s="1831"/>
      <c r="SLY574" s="1831"/>
      <c r="SLZ574" s="1831"/>
      <c r="SMA574" s="1831"/>
      <c r="SMB574" s="1831"/>
      <c r="SMC574" s="1831"/>
      <c r="SMD574" s="1831"/>
      <c r="SME574" s="1831"/>
      <c r="SMF574" s="1831"/>
      <c r="SMG574" s="1831"/>
      <c r="SMH574" s="1831"/>
      <c r="SMI574" s="1831"/>
      <c r="SMJ574" s="1831"/>
      <c r="SMK574" s="1831"/>
      <c r="SML574" s="1831"/>
      <c r="SMM574" s="1831"/>
      <c r="SMN574" s="1831"/>
      <c r="SMO574" s="1831"/>
      <c r="SMP574" s="1831"/>
      <c r="SMQ574" s="1831"/>
      <c r="SMR574" s="1831"/>
      <c r="SMS574" s="1831"/>
      <c r="SMT574" s="1831"/>
      <c r="SMU574" s="1831"/>
      <c r="SMV574" s="1831"/>
      <c r="SMW574" s="1831"/>
      <c r="SMX574" s="1831"/>
      <c r="SMY574" s="1831"/>
      <c r="SMZ574" s="1831"/>
      <c r="SNA574" s="1831"/>
      <c r="SNB574" s="1831"/>
      <c r="SNC574" s="1831"/>
      <c r="SND574" s="1831"/>
      <c r="SNE574" s="1831"/>
      <c r="SNF574" s="1831"/>
      <c r="SNG574" s="1831"/>
      <c r="SNH574" s="1831"/>
      <c r="SNI574" s="1831"/>
      <c r="SNJ574" s="1831"/>
      <c r="SNK574" s="1831"/>
      <c r="SNL574" s="1831"/>
      <c r="SNM574" s="1831"/>
      <c r="SNN574" s="1831"/>
      <c r="SNO574" s="1831"/>
      <c r="SNP574" s="1831"/>
      <c r="SNQ574" s="1831"/>
      <c r="SNR574" s="1831"/>
      <c r="SNS574" s="1831"/>
      <c r="SNT574" s="1831"/>
      <c r="SNU574" s="1831"/>
      <c r="SNV574" s="1831"/>
      <c r="SNW574" s="1831"/>
      <c r="SNX574" s="1831"/>
      <c r="SNY574" s="1831"/>
      <c r="SNZ574" s="1831"/>
      <c r="SOA574" s="1831"/>
      <c r="SOB574" s="1831"/>
      <c r="SOC574" s="1831"/>
      <c r="SOD574" s="1831"/>
      <c r="SOE574" s="1831"/>
      <c r="SOF574" s="1831"/>
      <c r="SOG574" s="1831"/>
      <c r="SOH574" s="1831"/>
      <c r="SOI574" s="1831"/>
      <c r="SOJ574" s="1831"/>
      <c r="SOK574" s="1831"/>
      <c r="SOL574" s="1831"/>
      <c r="SOM574" s="1831"/>
      <c r="SON574" s="1831"/>
      <c r="SOO574" s="1831"/>
      <c r="SOP574" s="1831"/>
      <c r="SOQ574" s="1831"/>
      <c r="SOR574" s="1831"/>
      <c r="SOS574" s="1831"/>
      <c r="SOT574" s="1831"/>
      <c r="SOU574" s="1831"/>
      <c r="SOV574" s="1831"/>
      <c r="SOW574" s="1831"/>
      <c r="SOX574" s="1831"/>
      <c r="SOY574" s="1831"/>
      <c r="SOZ574" s="1831"/>
      <c r="SPA574" s="1831"/>
      <c r="SPB574" s="1831"/>
      <c r="SPC574" s="1831"/>
      <c r="SPD574" s="1831"/>
      <c r="SPE574" s="1831"/>
      <c r="SPF574" s="1831"/>
      <c r="SPG574" s="1831"/>
      <c r="SPH574" s="1831"/>
      <c r="SPI574" s="1831"/>
      <c r="SPJ574" s="1831"/>
      <c r="SPK574" s="1831"/>
      <c r="SPL574" s="1831"/>
      <c r="SPM574" s="1831"/>
      <c r="SPN574" s="1831"/>
      <c r="SPO574" s="1831"/>
      <c r="SPP574" s="1831"/>
      <c r="SPQ574" s="1831"/>
      <c r="SPR574" s="1831"/>
      <c r="SPS574" s="1831"/>
      <c r="SPT574" s="1831"/>
      <c r="SPU574" s="1831"/>
      <c r="SPV574" s="1831"/>
      <c r="SPW574" s="1831"/>
      <c r="SPX574" s="1831"/>
      <c r="SPY574" s="1831"/>
      <c r="SPZ574" s="1831"/>
      <c r="SQA574" s="1831"/>
      <c r="SQB574" s="1831"/>
      <c r="SQC574" s="1831"/>
      <c r="SQD574" s="1831"/>
      <c r="SQE574" s="1831"/>
      <c r="SQF574" s="1831"/>
      <c r="SQG574" s="1831"/>
      <c r="SQH574" s="1831"/>
      <c r="SQI574" s="1831"/>
      <c r="SQJ574" s="1831"/>
      <c r="SQK574" s="1831"/>
      <c r="SQL574" s="1831"/>
      <c r="SQM574" s="1831"/>
      <c r="SQN574" s="1831"/>
      <c r="SQO574" s="1831"/>
      <c r="SQP574" s="1831"/>
      <c r="SQQ574" s="1831"/>
      <c r="SQR574" s="1831"/>
      <c r="SQS574" s="1831"/>
      <c r="SQT574" s="1831"/>
      <c r="SQU574" s="1831"/>
      <c r="SQV574" s="1831"/>
      <c r="SQW574" s="1831"/>
      <c r="SQX574" s="1831"/>
      <c r="SQY574" s="1831"/>
      <c r="SQZ574" s="1831"/>
      <c r="SRA574" s="1831"/>
      <c r="SRB574" s="1831"/>
      <c r="SRC574" s="1831"/>
      <c r="SRD574" s="1831"/>
      <c r="SRE574" s="1831"/>
      <c r="SRF574" s="1831"/>
      <c r="SRG574" s="1831"/>
      <c r="SRH574" s="1831"/>
      <c r="SRI574" s="1831"/>
      <c r="SRJ574" s="1831"/>
      <c r="SRK574" s="1831"/>
      <c r="SRL574" s="1831"/>
      <c r="SRM574" s="1831"/>
      <c r="SRN574" s="1831"/>
      <c r="SRO574" s="1831"/>
      <c r="SRP574" s="1831"/>
      <c r="SRQ574" s="1831"/>
      <c r="SRR574" s="1831"/>
      <c r="SRS574" s="1831"/>
      <c r="SRT574" s="1831"/>
      <c r="SRU574" s="1831"/>
      <c r="SRV574" s="1831"/>
      <c r="SRW574" s="1831"/>
      <c r="SRX574" s="1831"/>
      <c r="SRY574" s="1831"/>
      <c r="SRZ574" s="1831"/>
      <c r="SSA574" s="1831"/>
      <c r="SSB574" s="1831"/>
      <c r="SSC574" s="1831"/>
      <c r="SSD574" s="1831"/>
      <c r="SSE574" s="1831"/>
      <c r="SSF574" s="1831"/>
      <c r="SSG574" s="1831"/>
      <c r="SSH574" s="1831"/>
      <c r="SSI574" s="1831"/>
      <c r="SSJ574" s="1831"/>
      <c r="SSK574" s="1831"/>
      <c r="SSL574" s="1831"/>
      <c r="SSM574" s="1831"/>
      <c r="SSN574" s="1831"/>
      <c r="SSO574" s="1831"/>
      <c r="SSP574" s="1831"/>
      <c r="SSQ574" s="1831"/>
      <c r="SSR574" s="1831"/>
      <c r="SSS574" s="1831"/>
      <c r="SST574" s="1831"/>
      <c r="SSU574" s="1831"/>
      <c r="SSV574" s="1831"/>
      <c r="SSW574" s="1831"/>
      <c r="SSX574" s="1831"/>
      <c r="SSY574" s="1831"/>
      <c r="SSZ574" s="1831"/>
      <c r="STA574" s="1831"/>
      <c r="STB574" s="1831"/>
      <c r="STC574" s="1831"/>
      <c r="STD574" s="1831"/>
      <c r="STE574" s="1831"/>
      <c r="STF574" s="1831"/>
      <c r="STG574" s="1831"/>
      <c r="STH574" s="1831"/>
      <c r="STI574" s="1831"/>
      <c r="STJ574" s="1831"/>
      <c r="STK574" s="1831"/>
      <c r="STL574" s="1831"/>
      <c r="STM574" s="1831"/>
      <c r="STN574" s="1831"/>
      <c r="STO574" s="1831"/>
      <c r="STP574" s="1831"/>
      <c r="STQ574" s="1831"/>
      <c r="STR574" s="1831"/>
      <c r="STS574" s="1831"/>
      <c r="STT574" s="1831"/>
      <c r="STU574" s="1831"/>
      <c r="STV574" s="1831"/>
      <c r="STW574" s="1831"/>
      <c r="STX574" s="1831"/>
      <c r="STY574" s="1831"/>
      <c r="STZ574" s="1831"/>
      <c r="SUA574" s="1831"/>
      <c r="SUB574" s="1831"/>
      <c r="SUC574" s="1831"/>
      <c r="SUD574" s="1831"/>
      <c r="SUE574" s="1831"/>
      <c r="SUF574" s="1831"/>
      <c r="SUG574" s="1831"/>
      <c r="SUH574" s="1831"/>
      <c r="SUI574" s="1831"/>
      <c r="SUJ574" s="1831"/>
      <c r="SUK574" s="1831"/>
      <c r="SUL574" s="1831"/>
      <c r="SUM574" s="1831"/>
      <c r="SUN574" s="1831"/>
      <c r="SUO574" s="1831"/>
      <c r="SUP574" s="1831"/>
      <c r="SUQ574" s="1831"/>
      <c r="SUR574" s="1831"/>
      <c r="SUS574" s="1831"/>
      <c r="SUT574" s="1831"/>
      <c r="SUU574" s="1831"/>
      <c r="SUV574" s="1831"/>
      <c r="SUW574" s="1831"/>
      <c r="SUX574" s="1831"/>
      <c r="SUY574" s="1831"/>
      <c r="SUZ574" s="1831"/>
      <c r="SVA574" s="1831"/>
      <c r="SVB574" s="1831"/>
      <c r="SVC574" s="1831"/>
      <c r="SVD574" s="1831"/>
      <c r="SVE574" s="1831"/>
      <c r="SVF574" s="1831"/>
      <c r="SVG574" s="1831"/>
      <c r="SVH574" s="1831"/>
      <c r="SVI574" s="1831"/>
      <c r="SVJ574" s="1831"/>
      <c r="SVK574" s="1831"/>
      <c r="SVL574" s="1831"/>
      <c r="SVM574" s="1831"/>
      <c r="SVN574" s="1831"/>
      <c r="SVO574" s="1831"/>
      <c r="SVP574" s="1831"/>
      <c r="SVQ574" s="1831"/>
      <c r="SVR574" s="1831"/>
      <c r="SVS574" s="1831"/>
      <c r="SVT574" s="1831"/>
      <c r="SVU574" s="1831"/>
      <c r="SVV574" s="1831"/>
      <c r="SVW574" s="1831"/>
      <c r="SVX574" s="1831"/>
      <c r="SVY574" s="1831"/>
      <c r="SVZ574" s="1831"/>
      <c r="SWA574" s="1831"/>
      <c r="SWB574" s="1831"/>
      <c r="SWC574" s="1831"/>
      <c r="SWD574" s="1831"/>
      <c r="SWE574" s="1831"/>
      <c r="SWF574" s="1831"/>
      <c r="SWG574" s="1831"/>
      <c r="SWH574" s="1831"/>
      <c r="SWI574" s="1831"/>
      <c r="SWJ574" s="1831"/>
      <c r="SWK574" s="1831"/>
      <c r="SWL574" s="1831"/>
      <c r="SWM574" s="1831"/>
      <c r="SWN574" s="1831"/>
      <c r="SWO574" s="1831"/>
      <c r="SWP574" s="1831"/>
      <c r="SWQ574" s="1831"/>
      <c r="SWR574" s="1831"/>
      <c r="SWS574" s="1831"/>
      <c r="SWT574" s="1831"/>
      <c r="SWU574" s="1831"/>
      <c r="SWV574" s="1831"/>
      <c r="SWW574" s="1831"/>
      <c r="SWX574" s="1831"/>
      <c r="SWY574" s="1831"/>
      <c r="SWZ574" s="1831"/>
      <c r="SXA574" s="1831"/>
      <c r="SXB574" s="1831"/>
      <c r="SXC574" s="1831"/>
      <c r="SXD574" s="1831"/>
      <c r="SXE574" s="1831"/>
      <c r="SXF574" s="1831"/>
      <c r="SXG574" s="1831"/>
      <c r="SXH574" s="1831"/>
      <c r="SXI574" s="1831"/>
      <c r="SXJ574" s="1831"/>
      <c r="SXK574" s="1831"/>
      <c r="SXL574" s="1831"/>
      <c r="SXM574" s="1831"/>
      <c r="SXN574" s="1831"/>
      <c r="SXO574" s="1831"/>
      <c r="SXP574" s="1831"/>
      <c r="SXQ574" s="1831"/>
      <c r="SXR574" s="1831"/>
      <c r="SXS574" s="1831"/>
      <c r="SXT574" s="1831"/>
      <c r="SXU574" s="1831"/>
      <c r="SXV574" s="1831"/>
      <c r="SXW574" s="1831"/>
      <c r="SXX574" s="1831"/>
      <c r="SXY574" s="1831"/>
      <c r="SXZ574" s="1831"/>
      <c r="SYA574" s="1831"/>
      <c r="SYB574" s="1831"/>
      <c r="SYC574" s="1831"/>
      <c r="SYD574" s="1831"/>
      <c r="SYE574" s="1831"/>
      <c r="SYF574" s="1831"/>
      <c r="SYG574" s="1831"/>
      <c r="SYH574" s="1831"/>
      <c r="SYI574" s="1831"/>
      <c r="SYJ574" s="1831"/>
      <c r="SYK574" s="1831"/>
      <c r="SYL574" s="1831"/>
      <c r="SYM574" s="1831"/>
      <c r="SYN574" s="1831"/>
      <c r="SYO574" s="1831"/>
      <c r="SYP574" s="1831"/>
      <c r="SYQ574" s="1831"/>
      <c r="SYR574" s="1831"/>
      <c r="SYS574" s="1831"/>
      <c r="SYT574" s="1831"/>
      <c r="SYU574" s="1831"/>
      <c r="SYV574" s="1831"/>
      <c r="SYW574" s="1831"/>
      <c r="SYX574" s="1831"/>
      <c r="SYY574" s="1831"/>
      <c r="SYZ574" s="1831"/>
      <c r="SZA574" s="1831"/>
      <c r="SZB574" s="1831"/>
      <c r="SZC574" s="1831"/>
      <c r="SZD574" s="1831"/>
      <c r="SZE574" s="1831"/>
      <c r="SZF574" s="1831"/>
      <c r="SZG574" s="1831"/>
      <c r="SZH574" s="1831"/>
      <c r="SZI574" s="1831"/>
      <c r="SZJ574" s="1831"/>
      <c r="SZK574" s="1831"/>
      <c r="SZL574" s="1831"/>
      <c r="SZM574" s="1831"/>
      <c r="SZN574" s="1831"/>
      <c r="SZO574" s="1831"/>
      <c r="SZP574" s="1831"/>
      <c r="SZQ574" s="1831"/>
      <c r="SZR574" s="1831"/>
      <c r="SZS574" s="1831"/>
      <c r="SZT574" s="1831"/>
      <c r="SZU574" s="1831"/>
      <c r="SZV574" s="1831"/>
      <c r="SZW574" s="1831"/>
      <c r="SZX574" s="1831"/>
      <c r="SZY574" s="1831"/>
      <c r="SZZ574" s="1831"/>
      <c r="TAA574" s="1831"/>
      <c r="TAB574" s="1831"/>
      <c r="TAC574" s="1831"/>
      <c r="TAD574" s="1831"/>
      <c r="TAE574" s="1831"/>
      <c r="TAF574" s="1831"/>
      <c r="TAG574" s="1831"/>
      <c r="TAH574" s="1831"/>
      <c r="TAI574" s="1831"/>
      <c r="TAJ574" s="1831"/>
      <c r="TAK574" s="1831"/>
      <c r="TAL574" s="1831"/>
      <c r="TAM574" s="1831"/>
      <c r="TAN574" s="1831"/>
      <c r="TAO574" s="1831"/>
      <c r="TAP574" s="1831"/>
      <c r="TAQ574" s="1831"/>
      <c r="TAR574" s="1831"/>
      <c r="TAS574" s="1831"/>
      <c r="TAT574" s="1831"/>
      <c r="TAU574" s="1831"/>
      <c r="TAV574" s="1831"/>
      <c r="TAW574" s="1831"/>
      <c r="TAX574" s="1831"/>
      <c r="TAY574" s="1831"/>
      <c r="TAZ574" s="1831"/>
      <c r="TBA574" s="1831"/>
      <c r="TBB574" s="1831"/>
      <c r="TBC574" s="1831"/>
      <c r="TBD574" s="1831"/>
      <c r="TBE574" s="1831"/>
      <c r="TBF574" s="1831"/>
      <c r="TBG574" s="1831"/>
      <c r="TBH574" s="1831"/>
      <c r="TBI574" s="1831"/>
      <c r="TBJ574" s="1831"/>
      <c r="TBK574" s="1831"/>
      <c r="TBL574" s="1831"/>
      <c r="TBM574" s="1831"/>
      <c r="TBN574" s="1831"/>
      <c r="TBO574" s="1831"/>
      <c r="TBP574" s="1831"/>
      <c r="TBQ574" s="1831"/>
      <c r="TBR574" s="1831"/>
      <c r="TBS574" s="1831"/>
      <c r="TBT574" s="1831"/>
      <c r="TBU574" s="1831"/>
      <c r="TBV574" s="1831"/>
      <c r="TBW574" s="1831"/>
      <c r="TBX574" s="1831"/>
      <c r="TBY574" s="1831"/>
      <c r="TBZ574" s="1831"/>
      <c r="TCA574" s="1831"/>
      <c r="TCB574" s="1831"/>
      <c r="TCC574" s="1831"/>
      <c r="TCD574" s="1831"/>
      <c r="TCE574" s="1831"/>
      <c r="TCF574" s="1831"/>
      <c r="TCG574" s="1831"/>
      <c r="TCH574" s="1831"/>
      <c r="TCI574" s="1831"/>
      <c r="TCJ574" s="1831"/>
      <c r="TCK574" s="1831"/>
      <c r="TCL574" s="1831"/>
      <c r="TCM574" s="1831"/>
      <c r="TCN574" s="1831"/>
      <c r="TCO574" s="1831"/>
      <c r="TCP574" s="1831"/>
      <c r="TCQ574" s="1831"/>
      <c r="TCR574" s="1831"/>
      <c r="TCS574" s="1831"/>
      <c r="TCT574" s="1831"/>
      <c r="TCU574" s="1831"/>
      <c r="TCV574" s="1831"/>
      <c r="TCW574" s="1831"/>
      <c r="TCX574" s="1831"/>
      <c r="TCY574" s="1831"/>
      <c r="TCZ574" s="1831"/>
      <c r="TDA574" s="1831"/>
      <c r="TDB574" s="1831"/>
      <c r="TDC574" s="1831"/>
      <c r="TDD574" s="1831"/>
      <c r="TDE574" s="1831"/>
      <c r="TDF574" s="1831"/>
      <c r="TDG574" s="1831"/>
      <c r="TDH574" s="1831"/>
      <c r="TDI574" s="1831"/>
      <c r="TDJ574" s="1831"/>
      <c r="TDK574" s="1831"/>
      <c r="TDL574" s="1831"/>
      <c r="TDM574" s="1831"/>
      <c r="TDN574" s="1831"/>
      <c r="TDO574" s="1831"/>
      <c r="TDP574" s="1831"/>
      <c r="TDQ574" s="1831"/>
      <c r="TDR574" s="1831"/>
      <c r="TDS574" s="1831"/>
      <c r="TDT574" s="1831"/>
      <c r="TDU574" s="1831"/>
      <c r="TDV574" s="1831"/>
      <c r="TDW574" s="1831"/>
      <c r="TDX574" s="1831"/>
      <c r="TDY574" s="1831"/>
      <c r="TDZ574" s="1831"/>
      <c r="TEA574" s="1831"/>
      <c r="TEB574" s="1831"/>
      <c r="TEC574" s="1831"/>
      <c r="TED574" s="1831"/>
      <c r="TEE574" s="1831"/>
      <c r="TEF574" s="1831"/>
      <c r="TEG574" s="1831"/>
      <c r="TEH574" s="1831"/>
      <c r="TEI574" s="1831"/>
      <c r="TEJ574" s="1831"/>
      <c r="TEK574" s="1831"/>
      <c r="TEL574" s="1831"/>
      <c r="TEM574" s="1831"/>
      <c r="TEN574" s="1831"/>
      <c r="TEO574" s="1831"/>
      <c r="TEP574" s="1831"/>
      <c r="TEQ574" s="1831"/>
      <c r="TER574" s="1831"/>
      <c r="TES574" s="1831"/>
      <c r="TET574" s="1831"/>
      <c r="TEU574" s="1831"/>
      <c r="TEV574" s="1831"/>
      <c r="TEW574" s="1831"/>
      <c r="TEX574" s="1831"/>
      <c r="TEY574" s="1831"/>
      <c r="TEZ574" s="1831"/>
      <c r="TFA574" s="1831"/>
      <c r="TFB574" s="1831"/>
      <c r="TFC574" s="1831"/>
      <c r="TFD574" s="1831"/>
      <c r="TFE574" s="1831"/>
      <c r="TFF574" s="1831"/>
      <c r="TFG574" s="1831"/>
      <c r="TFH574" s="1831"/>
      <c r="TFI574" s="1831"/>
      <c r="TFJ574" s="1831"/>
      <c r="TFK574" s="1831"/>
      <c r="TFL574" s="1831"/>
      <c r="TFM574" s="1831"/>
      <c r="TFN574" s="1831"/>
      <c r="TFO574" s="1831"/>
      <c r="TFP574" s="1831"/>
      <c r="TFQ574" s="1831"/>
      <c r="TFR574" s="1831"/>
      <c r="TFS574" s="1831"/>
      <c r="TFT574" s="1831"/>
      <c r="TFU574" s="1831"/>
      <c r="TFV574" s="1831"/>
      <c r="TFW574" s="1831"/>
      <c r="TFX574" s="1831"/>
      <c r="TFY574" s="1831"/>
      <c r="TFZ574" s="1831"/>
      <c r="TGA574" s="1831"/>
      <c r="TGB574" s="1831"/>
      <c r="TGC574" s="1831"/>
      <c r="TGD574" s="1831"/>
      <c r="TGE574" s="1831"/>
      <c r="TGF574" s="1831"/>
      <c r="TGG574" s="1831"/>
      <c r="TGH574" s="1831"/>
      <c r="TGI574" s="1831"/>
      <c r="TGJ574" s="1831"/>
      <c r="TGK574" s="1831"/>
      <c r="TGL574" s="1831"/>
      <c r="TGM574" s="1831"/>
      <c r="TGN574" s="1831"/>
      <c r="TGO574" s="1831"/>
      <c r="TGP574" s="1831"/>
      <c r="TGQ574" s="1831"/>
      <c r="TGR574" s="1831"/>
      <c r="TGS574" s="1831"/>
      <c r="TGT574" s="1831"/>
      <c r="TGU574" s="1831"/>
      <c r="TGV574" s="1831"/>
      <c r="TGW574" s="1831"/>
      <c r="TGX574" s="1831"/>
      <c r="TGY574" s="1831"/>
      <c r="TGZ574" s="1831"/>
      <c r="THA574" s="1831"/>
      <c r="THB574" s="1831"/>
      <c r="THC574" s="1831"/>
      <c r="THD574" s="1831"/>
      <c r="THE574" s="1831"/>
      <c r="THF574" s="1831"/>
      <c r="THG574" s="1831"/>
      <c r="THH574" s="1831"/>
      <c r="THI574" s="1831"/>
      <c r="THJ574" s="1831"/>
      <c r="THK574" s="1831"/>
      <c r="THL574" s="1831"/>
      <c r="THM574" s="1831"/>
      <c r="THN574" s="1831"/>
      <c r="THO574" s="1831"/>
      <c r="THP574" s="1831"/>
      <c r="THQ574" s="1831"/>
      <c r="THR574" s="1831"/>
      <c r="THS574" s="1831"/>
      <c r="THT574" s="1831"/>
      <c r="THU574" s="1831"/>
      <c r="THV574" s="1831"/>
      <c r="THW574" s="1831"/>
      <c r="THX574" s="1831"/>
      <c r="THY574" s="1831"/>
      <c r="THZ574" s="1831"/>
      <c r="TIA574" s="1831"/>
      <c r="TIB574" s="1831"/>
      <c r="TIC574" s="1831"/>
      <c r="TID574" s="1831"/>
      <c r="TIE574" s="1831"/>
      <c r="TIF574" s="1831"/>
      <c r="TIG574" s="1831"/>
      <c r="TIH574" s="1831"/>
      <c r="TII574" s="1831"/>
      <c r="TIJ574" s="1831"/>
      <c r="TIK574" s="1831"/>
      <c r="TIL574" s="1831"/>
      <c r="TIM574" s="1831"/>
      <c r="TIN574" s="1831"/>
      <c r="TIO574" s="1831"/>
      <c r="TIP574" s="1831"/>
      <c r="TIQ574" s="1831"/>
      <c r="TIR574" s="1831"/>
      <c r="TIS574" s="1831"/>
      <c r="TIT574" s="1831"/>
      <c r="TIU574" s="1831"/>
      <c r="TIV574" s="1831"/>
      <c r="TIW574" s="1831"/>
      <c r="TIX574" s="1831"/>
      <c r="TIY574" s="1831"/>
      <c r="TIZ574" s="1831"/>
      <c r="TJA574" s="1831"/>
      <c r="TJB574" s="1831"/>
      <c r="TJC574" s="1831"/>
      <c r="TJD574" s="1831"/>
      <c r="TJE574" s="1831"/>
      <c r="TJF574" s="1831"/>
      <c r="TJG574" s="1831"/>
      <c r="TJH574" s="1831"/>
      <c r="TJI574" s="1831"/>
      <c r="TJJ574" s="1831"/>
      <c r="TJK574" s="1831"/>
      <c r="TJL574" s="1831"/>
      <c r="TJM574" s="1831"/>
      <c r="TJN574" s="1831"/>
      <c r="TJO574" s="1831"/>
      <c r="TJP574" s="1831"/>
      <c r="TJQ574" s="1831"/>
      <c r="TJR574" s="1831"/>
      <c r="TJS574" s="1831"/>
      <c r="TJT574" s="1831"/>
      <c r="TJU574" s="1831"/>
      <c r="TJV574" s="1831"/>
      <c r="TJW574" s="1831"/>
      <c r="TJX574" s="1831"/>
      <c r="TJY574" s="1831"/>
      <c r="TJZ574" s="1831"/>
      <c r="TKA574" s="1831"/>
      <c r="TKB574" s="1831"/>
      <c r="TKC574" s="1831"/>
      <c r="TKD574" s="1831"/>
      <c r="TKE574" s="1831"/>
      <c r="TKF574" s="1831"/>
      <c r="TKG574" s="1831"/>
      <c r="TKH574" s="1831"/>
      <c r="TKI574" s="1831"/>
      <c r="TKJ574" s="1831"/>
      <c r="TKK574" s="1831"/>
      <c r="TKL574" s="1831"/>
      <c r="TKM574" s="1831"/>
      <c r="TKN574" s="1831"/>
      <c r="TKO574" s="1831"/>
      <c r="TKP574" s="1831"/>
      <c r="TKQ574" s="1831"/>
      <c r="TKR574" s="1831"/>
      <c r="TKS574" s="1831"/>
      <c r="TKT574" s="1831"/>
      <c r="TKU574" s="1831"/>
      <c r="TKV574" s="1831"/>
      <c r="TKW574" s="1831"/>
      <c r="TKX574" s="1831"/>
      <c r="TKY574" s="1831"/>
      <c r="TKZ574" s="1831"/>
      <c r="TLA574" s="1831"/>
      <c r="TLB574" s="1831"/>
      <c r="TLC574" s="1831"/>
      <c r="TLD574" s="1831"/>
      <c r="TLE574" s="1831"/>
      <c r="TLF574" s="1831"/>
      <c r="TLG574" s="1831"/>
      <c r="TLH574" s="1831"/>
      <c r="TLI574" s="1831"/>
      <c r="TLJ574" s="1831"/>
      <c r="TLK574" s="1831"/>
      <c r="TLL574" s="1831"/>
      <c r="TLM574" s="1831"/>
      <c r="TLN574" s="1831"/>
      <c r="TLO574" s="1831"/>
      <c r="TLP574" s="1831"/>
      <c r="TLQ574" s="1831"/>
      <c r="TLR574" s="1831"/>
      <c r="TLS574" s="1831"/>
      <c r="TLT574" s="1831"/>
      <c r="TLU574" s="1831"/>
      <c r="TLV574" s="1831"/>
      <c r="TLW574" s="1831"/>
      <c r="TLX574" s="1831"/>
      <c r="TLY574" s="1831"/>
      <c r="TLZ574" s="1831"/>
      <c r="TMA574" s="1831"/>
      <c r="TMB574" s="1831"/>
      <c r="TMC574" s="1831"/>
      <c r="TMD574" s="1831"/>
      <c r="TME574" s="1831"/>
      <c r="TMF574" s="1831"/>
      <c r="TMG574" s="1831"/>
      <c r="TMH574" s="1831"/>
      <c r="TMI574" s="1831"/>
      <c r="TMJ574" s="1831"/>
      <c r="TMK574" s="1831"/>
      <c r="TML574" s="1831"/>
      <c r="TMM574" s="1831"/>
      <c r="TMN574" s="1831"/>
      <c r="TMO574" s="1831"/>
      <c r="TMP574" s="1831"/>
      <c r="TMQ574" s="1831"/>
      <c r="TMR574" s="1831"/>
      <c r="TMS574" s="1831"/>
      <c r="TMT574" s="1831"/>
      <c r="TMU574" s="1831"/>
      <c r="TMV574" s="1831"/>
      <c r="TMW574" s="1831"/>
      <c r="TMX574" s="1831"/>
      <c r="TMY574" s="1831"/>
      <c r="TMZ574" s="1831"/>
      <c r="TNA574" s="1831"/>
      <c r="TNB574" s="1831"/>
      <c r="TNC574" s="1831"/>
      <c r="TND574" s="1831"/>
      <c r="TNE574" s="1831"/>
      <c r="TNF574" s="1831"/>
      <c r="TNG574" s="1831"/>
      <c r="TNH574" s="1831"/>
      <c r="TNI574" s="1831"/>
      <c r="TNJ574" s="1831"/>
      <c r="TNK574" s="1831"/>
      <c r="TNL574" s="1831"/>
      <c r="TNM574" s="1831"/>
      <c r="TNN574" s="1831"/>
      <c r="TNO574" s="1831"/>
      <c r="TNP574" s="1831"/>
      <c r="TNQ574" s="1831"/>
      <c r="TNR574" s="1831"/>
      <c r="TNS574" s="1831"/>
      <c r="TNT574" s="1831"/>
      <c r="TNU574" s="1831"/>
      <c r="TNV574" s="1831"/>
      <c r="TNW574" s="1831"/>
      <c r="TNX574" s="1831"/>
      <c r="TNY574" s="1831"/>
      <c r="TNZ574" s="1831"/>
      <c r="TOA574" s="1831"/>
      <c r="TOB574" s="1831"/>
      <c r="TOC574" s="1831"/>
      <c r="TOD574" s="1831"/>
      <c r="TOE574" s="1831"/>
      <c r="TOF574" s="1831"/>
      <c r="TOG574" s="1831"/>
      <c r="TOH574" s="1831"/>
      <c r="TOI574" s="1831"/>
      <c r="TOJ574" s="1831"/>
      <c r="TOK574" s="1831"/>
      <c r="TOL574" s="1831"/>
      <c r="TOM574" s="1831"/>
      <c r="TON574" s="1831"/>
      <c r="TOO574" s="1831"/>
      <c r="TOP574" s="1831"/>
      <c r="TOQ574" s="1831"/>
      <c r="TOR574" s="1831"/>
      <c r="TOS574" s="1831"/>
      <c r="TOT574" s="1831"/>
      <c r="TOU574" s="1831"/>
      <c r="TOV574" s="1831"/>
      <c r="TOW574" s="1831"/>
      <c r="TOX574" s="1831"/>
      <c r="TOY574" s="1831"/>
      <c r="TOZ574" s="1831"/>
      <c r="TPA574" s="1831"/>
      <c r="TPB574" s="1831"/>
      <c r="TPC574" s="1831"/>
      <c r="TPD574" s="1831"/>
      <c r="TPE574" s="1831"/>
      <c r="TPF574" s="1831"/>
      <c r="TPG574" s="1831"/>
      <c r="TPH574" s="1831"/>
      <c r="TPI574" s="1831"/>
      <c r="TPJ574" s="1831"/>
      <c r="TPK574" s="1831"/>
      <c r="TPL574" s="1831"/>
      <c r="TPM574" s="1831"/>
      <c r="TPN574" s="1831"/>
      <c r="TPO574" s="1831"/>
      <c r="TPP574" s="1831"/>
      <c r="TPQ574" s="1831"/>
      <c r="TPR574" s="1831"/>
      <c r="TPS574" s="1831"/>
      <c r="TPT574" s="1831"/>
      <c r="TPU574" s="1831"/>
      <c r="TPV574" s="1831"/>
      <c r="TPW574" s="1831"/>
      <c r="TPX574" s="1831"/>
      <c r="TPY574" s="1831"/>
      <c r="TPZ574" s="1831"/>
      <c r="TQA574" s="1831"/>
      <c r="TQB574" s="1831"/>
      <c r="TQC574" s="1831"/>
      <c r="TQD574" s="1831"/>
      <c r="TQE574" s="1831"/>
      <c r="TQF574" s="1831"/>
      <c r="TQG574" s="1831"/>
      <c r="TQH574" s="1831"/>
      <c r="TQI574" s="1831"/>
      <c r="TQJ574" s="1831"/>
      <c r="TQK574" s="1831"/>
      <c r="TQL574" s="1831"/>
      <c r="TQM574" s="1831"/>
      <c r="TQN574" s="1831"/>
      <c r="TQO574" s="1831"/>
      <c r="TQP574" s="1831"/>
      <c r="TQQ574" s="1831"/>
      <c r="TQR574" s="1831"/>
      <c r="TQS574" s="1831"/>
      <c r="TQT574" s="1831"/>
      <c r="TQU574" s="1831"/>
      <c r="TQV574" s="1831"/>
      <c r="TQW574" s="1831"/>
      <c r="TQX574" s="1831"/>
      <c r="TQY574" s="1831"/>
      <c r="TQZ574" s="1831"/>
      <c r="TRA574" s="1831"/>
      <c r="TRB574" s="1831"/>
      <c r="TRC574" s="1831"/>
      <c r="TRD574" s="1831"/>
      <c r="TRE574" s="1831"/>
      <c r="TRF574" s="1831"/>
      <c r="TRG574" s="1831"/>
      <c r="TRH574" s="1831"/>
      <c r="TRI574" s="1831"/>
      <c r="TRJ574" s="1831"/>
      <c r="TRK574" s="1831"/>
      <c r="TRL574" s="1831"/>
      <c r="TRM574" s="1831"/>
      <c r="TRN574" s="1831"/>
      <c r="TRO574" s="1831"/>
      <c r="TRP574" s="1831"/>
      <c r="TRQ574" s="1831"/>
      <c r="TRR574" s="1831"/>
      <c r="TRS574" s="1831"/>
      <c r="TRT574" s="1831"/>
      <c r="TRU574" s="1831"/>
      <c r="TRV574" s="1831"/>
      <c r="TRW574" s="1831"/>
      <c r="TRX574" s="1831"/>
      <c r="TRY574" s="1831"/>
      <c r="TRZ574" s="1831"/>
      <c r="TSA574" s="1831"/>
      <c r="TSB574" s="1831"/>
      <c r="TSC574" s="1831"/>
      <c r="TSD574" s="1831"/>
      <c r="TSE574" s="1831"/>
      <c r="TSF574" s="1831"/>
      <c r="TSG574" s="1831"/>
      <c r="TSH574" s="1831"/>
      <c r="TSI574" s="1831"/>
      <c r="TSJ574" s="1831"/>
      <c r="TSK574" s="1831"/>
      <c r="TSL574" s="1831"/>
      <c r="TSM574" s="1831"/>
      <c r="TSN574" s="1831"/>
      <c r="TSO574" s="1831"/>
      <c r="TSP574" s="1831"/>
      <c r="TSQ574" s="1831"/>
      <c r="TSR574" s="1831"/>
      <c r="TSS574" s="1831"/>
      <c r="TST574" s="1831"/>
      <c r="TSU574" s="1831"/>
      <c r="TSV574" s="1831"/>
      <c r="TSW574" s="1831"/>
      <c r="TSX574" s="1831"/>
      <c r="TSY574" s="1831"/>
      <c r="TSZ574" s="1831"/>
      <c r="TTA574" s="1831"/>
      <c r="TTB574" s="1831"/>
      <c r="TTC574" s="1831"/>
      <c r="TTD574" s="1831"/>
      <c r="TTE574" s="1831"/>
      <c r="TTF574" s="1831"/>
      <c r="TTG574" s="1831"/>
      <c r="TTH574" s="1831"/>
      <c r="TTI574" s="1831"/>
      <c r="TTJ574" s="1831"/>
      <c r="TTK574" s="1831"/>
      <c r="TTL574" s="1831"/>
      <c r="TTM574" s="1831"/>
      <c r="TTN574" s="1831"/>
      <c r="TTO574" s="1831"/>
      <c r="TTP574" s="1831"/>
      <c r="TTQ574" s="1831"/>
      <c r="TTR574" s="1831"/>
      <c r="TTS574" s="1831"/>
      <c r="TTT574" s="1831"/>
      <c r="TTU574" s="1831"/>
      <c r="TTV574" s="1831"/>
      <c r="TTW574" s="1831"/>
      <c r="TTX574" s="1831"/>
      <c r="TTY574" s="1831"/>
      <c r="TTZ574" s="1831"/>
      <c r="TUA574" s="1831"/>
      <c r="TUB574" s="1831"/>
      <c r="TUC574" s="1831"/>
      <c r="TUD574" s="1831"/>
      <c r="TUE574" s="1831"/>
      <c r="TUF574" s="1831"/>
      <c r="TUG574" s="1831"/>
      <c r="TUH574" s="1831"/>
      <c r="TUI574" s="1831"/>
      <c r="TUJ574" s="1831"/>
      <c r="TUK574" s="1831"/>
      <c r="TUL574" s="1831"/>
      <c r="TUM574" s="1831"/>
      <c r="TUN574" s="1831"/>
      <c r="TUO574" s="1831"/>
      <c r="TUP574" s="1831"/>
      <c r="TUQ574" s="1831"/>
      <c r="TUR574" s="1831"/>
      <c r="TUS574" s="1831"/>
      <c r="TUT574" s="1831"/>
      <c r="TUU574" s="1831"/>
      <c r="TUV574" s="1831"/>
      <c r="TUW574" s="1831"/>
      <c r="TUX574" s="1831"/>
      <c r="TUY574" s="1831"/>
      <c r="TUZ574" s="1831"/>
      <c r="TVA574" s="1831"/>
      <c r="TVB574" s="1831"/>
      <c r="TVC574" s="1831"/>
      <c r="TVD574" s="1831"/>
      <c r="TVE574" s="1831"/>
      <c r="TVF574" s="1831"/>
      <c r="TVG574" s="1831"/>
      <c r="TVH574" s="1831"/>
      <c r="TVI574" s="1831"/>
      <c r="TVJ574" s="1831"/>
      <c r="TVK574" s="1831"/>
      <c r="TVL574" s="1831"/>
      <c r="TVM574" s="1831"/>
      <c r="TVN574" s="1831"/>
      <c r="TVO574" s="1831"/>
      <c r="TVP574" s="1831"/>
      <c r="TVQ574" s="1831"/>
      <c r="TVR574" s="1831"/>
      <c r="TVS574" s="1831"/>
      <c r="TVT574" s="1831"/>
      <c r="TVU574" s="1831"/>
      <c r="TVV574" s="1831"/>
      <c r="TVW574" s="1831"/>
      <c r="TVX574" s="1831"/>
      <c r="TVY574" s="1831"/>
      <c r="TVZ574" s="1831"/>
      <c r="TWA574" s="1831"/>
      <c r="TWB574" s="1831"/>
      <c r="TWC574" s="1831"/>
      <c r="TWD574" s="1831"/>
      <c r="TWE574" s="1831"/>
      <c r="TWF574" s="1831"/>
      <c r="TWG574" s="1831"/>
      <c r="TWH574" s="1831"/>
      <c r="TWI574" s="1831"/>
      <c r="TWJ574" s="1831"/>
      <c r="TWK574" s="1831"/>
      <c r="TWL574" s="1831"/>
      <c r="TWM574" s="1831"/>
      <c r="TWN574" s="1831"/>
      <c r="TWO574" s="1831"/>
      <c r="TWP574" s="1831"/>
      <c r="TWQ574" s="1831"/>
      <c r="TWR574" s="1831"/>
      <c r="TWS574" s="1831"/>
      <c r="TWT574" s="1831"/>
      <c r="TWU574" s="1831"/>
      <c r="TWV574" s="1831"/>
      <c r="TWW574" s="1831"/>
      <c r="TWX574" s="1831"/>
      <c r="TWY574" s="1831"/>
      <c r="TWZ574" s="1831"/>
      <c r="TXA574" s="1831"/>
      <c r="TXB574" s="1831"/>
      <c r="TXC574" s="1831"/>
      <c r="TXD574" s="1831"/>
      <c r="TXE574" s="1831"/>
      <c r="TXF574" s="1831"/>
      <c r="TXG574" s="1831"/>
      <c r="TXH574" s="1831"/>
      <c r="TXI574" s="1831"/>
      <c r="TXJ574" s="1831"/>
      <c r="TXK574" s="1831"/>
      <c r="TXL574" s="1831"/>
      <c r="TXM574" s="1831"/>
      <c r="TXN574" s="1831"/>
      <c r="TXO574" s="1831"/>
      <c r="TXP574" s="1831"/>
      <c r="TXQ574" s="1831"/>
      <c r="TXR574" s="1831"/>
      <c r="TXS574" s="1831"/>
      <c r="TXT574" s="1831"/>
      <c r="TXU574" s="1831"/>
      <c r="TXV574" s="1831"/>
      <c r="TXW574" s="1831"/>
      <c r="TXX574" s="1831"/>
      <c r="TXY574" s="1831"/>
      <c r="TXZ574" s="1831"/>
      <c r="TYA574" s="1831"/>
      <c r="TYB574" s="1831"/>
      <c r="TYC574" s="1831"/>
      <c r="TYD574" s="1831"/>
      <c r="TYE574" s="1831"/>
      <c r="TYF574" s="1831"/>
      <c r="TYG574" s="1831"/>
      <c r="TYH574" s="1831"/>
      <c r="TYI574" s="1831"/>
      <c r="TYJ574" s="1831"/>
      <c r="TYK574" s="1831"/>
      <c r="TYL574" s="1831"/>
      <c r="TYM574" s="1831"/>
      <c r="TYN574" s="1831"/>
      <c r="TYO574" s="1831"/>
      <c r="TYP574" s="1831"/>
      <c r="TYQ574" s="1831"/>
      <c r="TYR574" s="1831"/>
      <c r="TYS574" s="1831"/>
      <c r="TYT574" s="1831"/>
      <c r="TYU574" s="1831"/>
      <c r="TYV574" s="1831"/>
      <c r="TYW574" s="1831"/>
      <c r="TYX574" s="1831"/>
      <c r="TYY574" s="1831"/>
      <c r="TYZ574" s="1831"/>
      <c r="TZA574" s="1831"/>
      <c r="TZB574" s="1831"/>
      <c r="TZC574" s="1831"/>
      <c r="TZD574" s="1831"/>
      <c r="TZE574" s="1831"/>
      <c r="TZF574" s="1831"/>
      <c r="TZG574" s="1831"/>
      <c r="TZH574" s="1831"/>
      <c r="TZI574" s="1831"/>
      <c r="TZJ574" s="1831"/>
      <c r="TZK574" s="1831"/>
      <c r="TZL574" s="1831"/>
      <c r="TZM574" s="1831"/>
      <c r="TZN574" s="1831"/>
      <c r="TZO574" s="1831"/>
      <c r="TZP574" s="1831"/>
      <c r="TZQ574" s="1831"/>
      <c r="TZR574" s="1831"/>
      <c r="TZS574" s="1831"/>
      <c r="TZT574" s="1831"/>
      <c r="TZU574" s="1831"/>
      <c r="TZV574" s="1831"/>
      <c r="TZW574" s="1831"/>
      <c r="TZX574" s="1831"/>
      <c r="TZY574" s="1831"/>
      <c r="TZZ574" s="1831"/>
      <c r="UAA574" s="1831"/>
      <c r="UAB574" s="1831"/>
      <c r="UAC574" s="1831"/>
      <c r="UAD574" s="1831"/>
      <c r="UAE574" s="1831"/>
      <c r="UAF574" s="1831"/>
      <c r="UAG574" s="1831"/>
      <c r="UAH574" s="1831"/>
      <c r="UAI574" s="1831"/>
      <c r="UAJ574" s="1831"/>
      <c r="UAK574" s="1831"/>
      <c r="UAL574" s="1831"/>
      <c r="UAM574" s="1831"/>
      <c r="UAN574" s="1831"/>
      <c r="UAO574" s="1831"/>
      <c r="UAP574" s="1831"/>
      <c r="UAQ574" s="1831"/>
      <c r="UAR574" s="1831"/>
      <c r="UAS574" s="1831"/>
      <c r="UAT574" s="1831"/>
      <c r="UAU574" s="1831"/>
      <c r="UAV574" s="1831"/>
      <c r="UAW574" s="1831"/>
      <c r="UAX574" s="1831"/>
      <c r="UAY574" s="1831"/>
      <c r="UAZ574" s="1831"/>
      <c r="UBA574" s="1831"/>
      <c r="UBB574" s="1831"/>
      <c r="UBC574" s="1831"/>
      <c r="UBD574" s="1831"/>
      <c r="UBE574" s="1831"/>
      <c r="UBF574" s="1831"/>
      <c r="UBG574" s="1831"/>
      <c r="UBH574" s="1831"/>
      <c r="UBI574" s="1831"/>
      <c r="UBJ574" s="1831"/>
      <c r="UBK574" s="1831"/>
      <c r="UBL574" s="1831"/>
      <c r="UBM574" s="1831"/>
      <c r="UBN574" s="1831"/>
      <c r="UBO574" s="1831"/>
      <c r="UBP574" s="1831"/>
      <c r="UBQ574" s="1831"/>
      <c r="UBR574" s="1831"/>
      <c r="UBS574" s="1831"/>
      <c r="UBT574" s="1831"/>
      <c r="UBU574" s="1831"/>
      <c r="UBV574" s="1831"/>
      <c r="UBW574" s="1831"/>
      <c r="UBX574" s="1831"/>
      <c r="UBY574" s="1831"/>
      <c r="UBZ574" s="1831"/>
      <c r="UCA574" s="1831"/>
      <c r="UCB574" s="1831"/>
      <c r="UCC574" s="1831"/>
      <c r="UCD574" s="1831"/>
      <c r="UCE574" s="1831"/>
      <c r="UCF574" s="1831"/>
      <c r="UCG574" s="1831"/>
      <c r="UCH574" s="1831"/>
      <c r="UCI574" s="1831"/>
      <c r="UCJ574" s="1831"/>
      <c r="UCK574" s="1831"/>
      <c r="UCL574" s="1831"/>
      <c r="UCM574" s="1831"/>
      <c r="UCN574" s="1831"/>
      <c r="UCO574" s="1831"/>
      <c r="UCP574" s="1831"/>
      <c r="UCQ574" s="1831"/>
      <c r="UCR574" s="1831"/>
      <c r="UCS574" s="1831"/>
      <c r="UCT574" s="1831"/>
      <c r="UCU574" s="1831"/>
      <c r="UCV574" s="1831"/>
      <c r="UCW574" s="1831"/>
      <c r="UCX574" s="1831"/>
      <c r="UCY574" s="1831"/>
      <c r="UCZ574" s="1831"/>
      <c r="UDA574" s="1831"/>
      <c r="UDB574" s="1831"/>
      <c r="UDC574" s="1831"/>
      <c r="UDD574" s="1831"/>
      <c r="UDE574" s="1831"/>
      <c r="UDF574" s="1831"/>
      <c r="UDG574" s="1831"/>
      <c r="UDH574" s="1831"/>
      <c r="UDI574" s="1831"/>
      <c r="UDJ574" s="1831"/>
      <c r="UDK574" s="1831"/>
      <c r="UDL574" s="1831"/>
      <c r="UDM574" s="1831"/>
      <c r="UDN574" s="1831"/>
      <c r="UDO574" s="1831"/>
      <c r="UDP574" s="1831"/>
      <c r="UDQ574" s="1831"/>
      <c r="UDR574" s="1831"/>
      <c r="UDS574" s="1831"/>
      <c r="UDT574" s="1831"/>
      <c r="UDU574" s="1831"/>
      <c r="UDV574" s="1831"/>
      <c r="UDW574" s="1831"/>
      <c r="UDX574" s="1831"/>
      <c r="UDY574" s="1831"/>
      <c r="UDZ574" s="1831"/>
      <c r="UEA574" s="1831"/>
      <c r="UEB574" s="1831"/>
      <c r="UEC574" s="1831"/>
      <c r="UED574" s="1831"/>
      <c r="UEE574" s="1831"/>
      <c r="UEF574" s="1831"/>
      <c r="UEG574" s="1831"/>
      <c r="UEH574" s="1831"/>
      <c r="UEI574" s="1831"/>
      <c r="UEJ574" s="1831"/>
      <c r="UEK574" s="1831"/>
      <c r="UEL574" s="1831"/>
      <c r="UEM574" s="1831"/>
      <c r="UEN574" s="1831"/>
      <c r="UEO574" s="1831"/>
      <c r="UEP574" s="1831"/>
      <c r="UEQ574" s="1831"/>
      <c r="UER574" s="1831"/>
      <c r="UES574" s="1831"/>
      <c r="UET574" s="1831"/>
      <c r="UEU574" s="1831"/>
      <c r="UEV574" s="1831"/>
      <c r="UEW574" s="1831"/>
      <c r="UEX574" s="1831"/>
      <c r="UEY574" s="1831"/>
      <c r="UEZ574" s="1831"/>
      <c r="UFA574" s="1831"/>
      <c r="UFB574" s="1831"/>
      <c r="UFC574" s="1831"/>
      <c r="UFD574" s="1831"/>
      <c r="UFE574" s="1831"/>
      <c r="UFF574" s="1831"/>
      <c r="UFG574" s="1831"/>
      <c r="UFH574" s="1831"/>
      <c r="UFI574" s="1831"/>
      <c r="UFJ574" s="1831"/>
      <c r="UFK574" s="1831"/>
      <c r="UFL574" s="1831"/>
      <c r="UFM574" s="1831"/>
      <c r="UFN574" s="1831"/>
      <c r="UFO574" s="1831"/>
      <c r="UFP574" s="1831"/>
      <c r="UFQ574" s="1831"/>
      <c r="UFR574" s="1831"/>
      <c r="UFS574" s="1831"/>
      <c r="UFT574" s="1831"/>
      <c r="UFU574" s="1831"/>
      <c r="UFV574" s="1831"/>
      <c r="UFW574" s="1831"/>
      <c r="UFX574" s="1831"/>
      <c r="UFY574" s="1831"/>
      <c r="UFZ574" s="1831"/>
      <c r="UGA574" s="1831"/>
      <c r="UGB574" s="1831"/>
      <c r="UGC574" s="1831"/>
      <c r="UGD574" s="1831"/>
      <c r="UGE574" s="1831"/>
      <c r="UGF574" s="1831"/>
      <c r="UGG574" s="1831"/>
      <c r="UGH574" s="1831"/>
      <c r="UGI574" s="1831"/>
      <c r="UGJ574" s="1831"/>
      <c r="UGK574" s="1831"/>
      <c r="UGL574" s="1831"/>
      <c r="UGM574" s="1831"/>
      <c r="UGN574" s="1831"/>
      <c r="UGO574" s="1831"/>
      <c r="UGP574" s="1831"/>
      <c r="UGQ574" s="1831"/>
      <c r="UGR574" s="1831"/>
      <c r="UGS574" s="1831"/>
      <c r="UGT574" s="1831"/>
      <c r="UGU574" s="1831"/>
      <c r="UGV574" s="1831"/>
      <c r="UGW574" s="1831"/>
      <c r="UGX574" s="1831"/>
      <c r="UGY574" s="1831"/>
      <c r="UGZ574" s="1831"/>
      <c r="UHA574" s="1831"/>
      <c r="UHB574" s="1831"/>
      <c r="UHC574" s="1831"/>
      <c r="UHD574" s="1831"/>
      <c r="UHE574" s="1831"/>
      <c r="UHF574" s="1831"/>
      <c r="UHG574" s="1831"/>
      <c r="UHH574" s="1831"/>
      <c r="UHI574" s="1831"/>
      <c r="UHJ574" s="1831"/>
      <c r="UHK574" s="1831"/>
      <c r="UHL574" s="1831"/>
      <c r="UHM574" s="1831"/>
      <c r="UHN574" s="1831"/>
      <c r="UHO574" s="1831"/>
      <c r="UHP574" s="1831"/>
      <c r="UHQ574" s="1831"/>
      <c r="UHR574" s="1831"/>
      <c r="UHS574" s="1831"/>
      <c r="UHT574" s="1831"/>
      <c r="UHU574" s="1831"/>
      <c r="UHV574" s="1831"/>
      <c r="UHW574" s="1831"/>
      <c r="UHX574" s="1831"/>
      <c r="UHY574" s="1831"/>
      <c r="UHZ574" s="1831"/>
      <c r="UIA574" s="1831"/>
      <c r="UIB574" s="1831"/>
      <c r="UIC574" s="1831"/>
      <c r="UID574" s="1831"/>
      <c r="UIE574" s="1831"/>
      <c r="UIF574" s="1831"/>
      <c r="UIG574" s="1831"/>
      <c r="UIH574" s="1831"/>
      <c r="UII574" s="1831"/>
      <c r="UIJ574" s="1831"/>
      <c r="UIK574" s="1831"/>
      <c r="UIL574" s="1831"/>
      <c r="UIM574" s="1831"/>
      <c r="UIN574" s="1831"/>
      <c r="UIO574" s="1831"/>
      <c r="UIP574" s="1831"/>
      <c r="UIQ574" s="1831"/>
      <c r="UIR574" s="1831"/>
      <c r="UIS574" s="1831"/>
      <c r="UIT574" s="1831"/>
      <c r="UIU574" s="1831"/>
      <c r="UIV574" s="1831"/>
      <c r="UIW574" s="1831"/>
      <c r="UIX574" s="1831"/>
      <c r="UIY574" s="1831"/>
      <c r="UIZ574" s="1831"/>
      <c r="UJA574" s="1831"/>
      <c r="UJB574" s="1831"/>
      <c r="UJC574" s="1831"/>
      <c r="UJD574" s="1831"/>
      <c r="UJE574" s="1831"/>
      <c r="UJF574" s="1831"/>
      <c r="UJG574" s="1831"/>
      <c r="UJH574" s="1831"/>
      <c r="UJI574" s="1831"/>
      <c r="UJJ574" s="1831"/>
      <c r="UJK574" s="1831"/>
      <c r="UJL574" s="1831"/>
      <c r="UJM574" s="1831"/>
      <c r="UJN574" s="1831"/>
      <c r="UJO574" s="1831"/>
      <c r="UJP574" s="1831"/>
      <c r="UJQ574" s="1831"/>
      <c r="UJR574" s="1831"/>
      <c r="UJS574" s="1831"/>
      <c r="UJT574" s="1831"/>
      <c r="UJU574" s="1831"/>
      <c r="UJV574" s="1831"/>
      <c r="UJW574" s="1831"/>
      <c r="UJX574" s="1831"/>
      <c r="UJY574" s="1831"/>
      <c r="UJZ574" s="1831"/>
      <c r="UKA574" s="1831"/>
      <c r="UKB574" s="1831"/>
      <c r="UKC574" s="1831"/>
      <c r="UKD574" s="1831"/>
      <c r="UKE574" s="1831"/>
      <c r="UKF574" s="1831"/>
      <c r="UKG574" s="1831"/>
      <c r="UKH574" s="1831"/>
      <c r="UKI574" s="1831"/>
      <c r="UKJ574" s="1831"/>
      <c r="UKK574" s="1831"/>
      <c r="UKL574" s="1831"/>
      <c r="UKM574" s="1831"/>
      <c r="UKN574" s="1831"/>
      <c r="UKO574" s="1831"/>
      <c r="UKP574" s="1831"/>
      <c r="UKQ574" s="1831"/>
      <c r="UKR574" s="1831"/>
      <c r="UKS574" s="1831"/>
      <c r="UKT574" s="1831"/>
      <c r="UKU574" s="1831"/>
      <c r="UKV574" s="1831"/>
      <c r="UKW574" s="1831"/>
      <c r="UKX574" s="1831"/>
      <c r="UKY574" s="1831"/>
      <c r="UKZ574" s="1831"/>
      <c r="ULA574" s="1831"/>
      <c r="ULB574" s="1831"/>
      <c r="ULC574" s="1831"/>
      <c r="ULD574" s="1831"/>
      <c r="ULE574" s="1831"/>
      <c r="ULF574" s="1831"/>
      <c r="ULG574" s="1831"/>
      <c r="ULH574" s="1831"/>
      <c r="ULI574" s="1831"/>
      <c r="ULJ574" s="1831"/>
      <c r="ULK574" s="1831"/>
      <c r="ULL574" s="1831"/>
      <c r="ULM574" s="1831"/>
      <c r="ULN574" s="1831"/>
      <c r="ULO574" s="1831"/>
      <c r="ULP574" s="1831"/>
      <c r="ULQ574" s="1831"/>
      <c r="ULR574" s="1831"/>
      <c r="ULS574" s="1831"/>
      <c r="ULT574" s="1831"/>
      <c r="ULU574" s="1831"/>
      <c r="ULV574" s="1831"/>
      <c r="ULW574" s="1831"/>
      <c r="ULX574" s="1831"/>
      <c r="ULY574" s="1831"/>
      <c r="ULZ574" s="1831"/>
      <c r="UMA574" s="1831"/>
      <c r="UMB574" s="1831"/>
      <c r="UMC574" s="1831"/>
      <c r="UMD574" s="1831"/>
      <c r="UME574" s="1831"/>
      <c r="UMF574" s="1831"/>
      <c r="UMG574" s="1831"/>
      <c r="UMH574" s="1831"/>
      <c r="UMI574" s="1831"/>
      <c r="UMJ574" s="1831"/>
      <c r="UMK574" s="1831"/>
      <c r="UML574" s="1831"/>
      <c r="UMM574" s="1831"/>
      <c r="UMN574" s="1831"/>
      <c r="UMO574" s="1831"/>
      <c r="UMP574" s="1831"/>
      <c r="UMQ574" s="1831"/>
      <c r="UMR574" s="1831"/>
      <c r="UMS574" s="1831"/>
      <c r="UMT574" s="1831"/>
      <c r="UMU574" s="1831"/>
      <c r="UMV574" s="1831"/>
      <c r="UMW574" s="1831"/>
      <c r="UMX574" s="1831"/>
      <c r="UMY574" s="1831"/>
      <c r="UMZ574" s="1831"/>
      <c r="UNA574" s="1831"/>
      <c r="UNB574" s="1831"/>
      <c r="UNC574" s="1831"/>
      <c r="UND574" s="1831"/>
      <c r="UNE574" s="1831"/>
      <c r="UNF574" s="1831"/>
      <c r="UNG574" s="1831"/>
      <c r="UNH574" s="1831"/>
      <c r="UNI574" s="1831"/>
      <c r="UNJ574" s="1831"/>
      <c r="UNK574" s="1831"/>
      <c r="UNL574" s="1831"/>
      <c r="UNM574" s="1831"/>
      <c r="UNN574" s="1831"/>
      <c r="UNO574" s="1831"/>
      <c r="UNP574" s="1831"/>
      <c r="UNQ574" s="1831"/>
      <c r="UNR574" s="1831"/>
      <c r="UNS574" s="1831"/>
      <c r="UNT574" s="1831"/>
      <c r="UNU574" s="1831"/>
      <c r="UNV574" s="1831"/>
      <c r="UNW574" s="1831"/>
      <c r="UNX574" s="1831"/>
      <c r="UNY574" s="1831"/>
      <c r="UNZ574" s="1831"/>
      <c r="UOA574" s="1831"/>
      <c r="UOB574" s="1831"/>
      <c r="UOC574" s="1831"/>
      <c r="UOD574" s="1831"/>
      <c r="UOE574" s="1831"/>
      <c r="UOF574" s="1831"/>
      <c r="UOG574" s="1831"/>
      <c r="UOH574" s="1831"/>
      <c r="UOI574" s="1831"/>
      <c r="UOJ574" s="1831"/>
      <c r="UOK574" s="1831"/>
      <c r="UOL574" s="1831"/>
      <c r="UOM574" s="1831"/>
      <c r="UON574" s="1831"/>
      <c r="UOO574" s="1831"/>
      <c r="UOP574" s="1831"/>
      <c r="UOQ574" s="1831"/>
      <c r="UOR574" s="1831"/>
      <c r="UOS574" s="1831"/>
      <c r="UOT574" s="1831"/>
      <c r="UOU574" s="1831"/>
      <c r="UOV574" s="1831"/>
      <c r="UOW574" s="1831"/>
      <c r="UOX574" s="1831"/>
      <c r="UOY574" s="1831"/>
      <c r="UOZ574" s="1831"/>
      <c r="UPA574" s="1831"/>
      <c r="UPB574" s="1831"/>
      <c r="UPC574" s="1831"/>
      <c r="UPD574" s="1831"/>
      <c r="UPE574" s="1831"/>
      <c r="UPF574" s="1831"/>
      <c r="UPG574" s="1831"/>
      <c r="UPH574" s="1831"/>
      <c r="UPI574" s="1831"/>
      <c r="UPJ574" s="1831"/>
      <c r="UPK574" s="1831"/>
      <c r="UPL574" s="1831"/>
      <c r="UPM574" s="1831"/>
      <c r="UPN574" s="1831"/>
      <c r="UPO574" s="1831"/>
      <c r="UPP574" s="1831"/>
      <c r="UPQ574" s="1831"/>
      <c r="UPR574" s="1831"/>
      <c r="UPS574" s="1831"/>
      <c r="UPT574" s="1831"/>
      <c r="UPU574" s="1831"/>
      <c r="UPV574" s="1831"/>
      <c r="UPW574" s="1831"/>
      <c r="UPX574" s="1831"/>
      <c r="UPY574" s="1831"/>
      <c r="UPZ574" s="1831"/>
      <c r="UQA574" s="1831"/>
      <c r="UQB574" s="1831"/>
      <c r="UQC574" s="1831"/>
      <c r="UQD574" s="1831"/>
      <c r="UQE574" s="1831"/>
      <c r="UQF574" s="1831"/>
      <c r="UQG574" s="1831"/>
      <c r="UQH574" s="1831"/>
      <c r="UQI574" s="1831"/>
      <c r="UQJ574" s="1831"/>
      <c r="UQK574" s="1831"/>
      <c r="UQL574" s="1831"/>
      <c r="UQM574" s="1831"/>
      <c r="UQN574" s="1831"/>
      <c r="UQO574" s="1831"/>
      <c r="UQP574" s="1831"/>
      <c r="UQQ574" s="1831"/>
      <c r="UQR574" s="1831"/>
      <c r="UQS574" s="1831"/>
      <c r="UQT574" s="1831"/>
      <c r="UQU574" s="1831"/>
      <c r="UQV574" s="1831"/>
      <c r="UQW574" s="1831"/>
      <c r="UQX574" s="1831"/>
      <c r="UQY574" s="1831"/>
      <c r="UQZ574" s="1831"/>
      <c r="URA574" s="1831"/>
      <c r="URB574" s="1831"/>
      <c r="URC574" s="1831"/>
      <c r="URD574" s="1831"/>
      <c r="URE574" s="1831"/>
      <c r="URF574" s="1831"/>
      <c r="URG574" s="1831"/>
      <c r="URH574" s="1831"/>
      <c r="URI574" s="1831"/>
      <c r="URJ574" s="1831"/>
      <c r="URK574" s="1831"/>
      <c r="URL574" s="1831"/>
      <c r="URM574" s="1831"/>
      <c r="URN574" s="1831"/>
      <c r="URO574" s="1831"/>
      <c r="URP574" s="1831"/>
      <c r="URQ574" s="1831"/>
      <c r="URR574" s="1831"/>
      <c r="URS574" s="1831"/>
      <c r="URT574" s="1831"/>
      <c r="URU574" s="1831"/>
      <c r="URV574" s="1831"/>
      <c r="URW574" s="1831"/>
      <c r="URX574" s="1831"/>
      <c r="URY574" s="1831"/>
      <c r="URZ574" s="1831"/>
      <c r="USA574" s="1831"/>
      <c r="USB574" s="1831"/>
      <c r="USC574" s="1831"/>
      <c r="USD574" s="1831"/>
      <c r="USE574" s="1831"/>
      <c r="USF574" s="1831"/>
      <c r="USG574" s="1831"/>
      <c r="USH574" s="1831"/>
      <c r="USI574" s="1831"/>
      <c r="USJ574" s="1831"/>
      <c r="USK574" s="1831"/>
      <c r="USL574" s="1831"/>
      <c r="USM574" s="1831"/>
      <c r="USN574" s="1831"/>
      <c r="USO574" s="1831"/>
      <c r="USP574" s="1831"/>
      <c r="USQ574" s="1831"/>
      <c r="USR574" s="1831"/>
      <c r="USS574" s="1831"/>
      <c r="UST574" s="1831"/>
      <c r="USU574" s="1831"/>
      <c r="USV574" s="1831"/>
      <c r="USW574" s="1831"/>
      <c r="USX574" s="1831"/>
      <c r="USY574" s="1831"/>
      <c r="USZ574" s="1831"/>
      <c r="UTA574" s="1831"/>
      <c r="UTB574" s="1831"/>
      <c r="UTC574" s="1831"/>
      <c r="UTD574" s="1831"/>
      <c r="UTE574" s="1831"/>
      <c r="UTF574" s="1831"/>
      <c r="UTG574" s="1831"/>
      <c r="UTH574" s="1831"/>
      <c r="UTI574" s="1831"/>
      <c r="UTJ574" s="1831"/>
      <c r="UTK574" s="1831"/>
      <c r="UTL574" s="1831"/>
      <c r="UTM574" s="1831"/>
      <c r="UTN574" s="1831"/>
      <c r="UTO574" s="1831"/>
      <c r="UTP574" s="1831"/>
      <c r="UTQ574" s="1831"/>
      <c r="UTR574" s="1831"/>
      <c r="UTS574" s="1831"/>
      <c r="UTT574" s="1831"/>
      <c r="UTU574" s="1831"/>
      <c r="UTV574" s="1831"/>
      <c r="UTW574" s="1831"/>
      <c r="UTX574" s="1831"/>
      <c r="UTY574" s="1831"/>
      <c r="UTZ574" s="1831"/>
      <c r="UUA574" s="1831"/>
      <c r="UUB574" s="1831"/>
      <c r="UUC574" s="1831"/>
      <c r="UUD574" s="1831"/>
      <c r="UUE574" s="1831"/>
      <c r="UUF574" s="1831"/>
      <c r="UUG574" s="1831"/>
      <c r="UUH574" s="1831"/>
      <c r="UUI574" s="1831"/>
      <c r="UUJ574" s="1831"/>
      <c r="UUK574" s="1831"/>
      <c r="UUL574" s="1831"/>
      <c r="UUM574" s="1831"/>
      <c r="UUN574" s="1831"/>
      <c r="UUO574" s="1831"/>
      <c r="UUP574" s="1831"/>
      <c r="UUQ574" s="1831"/>
      <c r="UUR574" s="1831"/>
      <c r="UUS574" s="1831"/>
      <c r="UUT574" s="1831"/>
      <c r="UUU574" s="1831"/>
      <c r="UUV574" s="1831"/>
      <c r="UUW574" s="1831"/>
      <c r="UUX574" s="1831"/>
      <c r="UUY574" s="1831"/>
      <c r="UUZ574" s="1831"/>
      <c r="UVA574" s="1831"/>
      <c r="UVB574" s="1831"/>
      <c r="UVC574" s="1831"/>
      <c r="UVD574" s="1831"/>
      <c r="UVE574" s="1831"/>
      <c r="UVF574" s="1831"/>
      <c r="UVG574" s="1831"/>
      <c r="UVH574" s="1831"/>
      <c r="UVI574" s="1831"/>
      <c r="UVJ574" s="1831"/>
      <c r="UVK574" s="1831"/>
      <c r="UVL574" s="1831"/>
      <c r="UVM574" s="1831"/>
      <c r="UVN574" s="1831"/>
      <c r="UVO574" s="1831"/>
      <c r="UVP574" s="1831"/>
      <c r="UVQ574" s="1831"/>
      <c r="UVR574" s="1831"/>
      <c r="UVS574" s="1831"/>
      <c r="UVT574" s="1831"/>
      <c r="UVU574" s="1831"/>
      <c r="UVV574" s="1831"/>
      <c r="UVW574" s="1831"/>
      <c r="UVX574" s="1831"/>
      <c r="UVY574" s="1831"/>
      <c r="UVZ574" s="1831"/>
      <c r="UWA574" s="1831"/>
      <c r="UWB574" s="1831"/>
      <c r="UWC574" s="1831"/>
      <c r="UWD574" s="1831"/>
      <c r="UWE574" s="1831"/>
      <c r="UWF574" s="1831"/>
      <c r="UWG574" s="1831"/>
      <c r="UWH574" s="1831"/>
      <c r="UWI574" s="1831"/>
      <c r="UWJ574" s="1831"/>
      <c r="UWK574" s="1831"/>
      <c r="UWL574" s="1831"/>
      <c r="UWM574" s="1831"/>
      <c r="UWN574" s="1831"/>
      <c r="UWO574" s="1831"/>
      <c r="UWP574" s="1831"/>
      <c r="UWQ574" s="1831"/>
      <c r="UWR574" s="1831"/>
      <c r="UWS574" s="1831"/>
      <c r="UWT574" s="1831"/>
      <c r="UWU574" s="1831"/>
      <c r="UWV574" s="1831"/>
      <c r="UWW574" s="1831"/>
      <c r="UWX574" s="1831"/>
      <c r="UWY574" s="1831"/>
      <c r="UWZ574" s="1831"/>
      <c r="UXA574" s="1831"/>
      <c r="UXB574" s="1831"/>
      <c r="UXC574" s="1831"/>
      <c r="UXD574" s="1831"/>
      <c r="UXE574" s="1831"/>
      <c r="UXF574" s="1831"/>
      <c r="UXG574" s="1831"/>
      <c r="UXH574" s="1831"/>
      <c r="UXI574" s="1831"/>
      <c r="UXJ574" s="1831"/>
      <c r="UXK574" s="1831"/>
      <c r="UXL574" s="1831"/>
      <c r="UXM574" s="1831"/>
      <c r="UXN574" s="1831"/>
      <c r="UXO574" s="1831"/>
      <c r="UXP574" s="1831"/>
      <c r="UXQ574" s="1831"/>
      <c r="UXR574" s="1831"/>
      <c r="UXS574" s="1831"/>
      <c r="UXT574" s="1831"/>
      <c r="UXU574" s="1831"/>
      <c r="UXV574" s="1831"/>
      <c r="UXW574" s="1831"/>
      <c r="UXX574" s="1831"/>
      <c r="UXY574" s="1831"/>
      <c r="UXZ574" s="1831"/>
      <c r="UYA574" s="1831"/>
      <c r="UYB574" s="1831"/>
      <c r="UYC574" s="1831"/>
      <c r="UYD574" s="1831"/>
      <c r="UYE574" s="1831"/>
      <c r="UYF574" s="1831"/>
      <c r="UYG574" s="1831"/>
      <c r="UYH574" s="1831"/>
      <c r="UYI574" s="1831"/>
      <c r="UYJ574" s="1831"/>
      <c r="UYK574" s="1831"/>
      <c r="UYL574" s="1831"/>
      <c r="UYM574" s="1831"/>
      <c r="UYN574" s="1831"/>
      <c r="UYO574" s="1831"/>
      <c r="UYP574" s="1831"/>
      <c r="UYQ574" s="1831"/>
      <c r="UYR574" s="1831"/>
      <c r="UYS574" s="1831"/>
      <c r="UYT574" s="1831"/>
      <c r="UYU574" s="1831"/>
      <c r="UYV574" s="1831"/>
      <c r="UYW574" s="1831"/>
      <c r="UYX574" s="1831"/>
      <c r="UYY574" s="1831"/>
      <c r="UYZ574" s="1831"/>
      <c r="UZA574" s="1831"/>
      <c r="UZB574" s="1831"/>
      <c r="UZC574" s="1831"/>
      <c r="UZD574" s="1831"/>
      <c r="UZE574" s="1831"/>
      <c r="UZF574" s="1831"/>
      <c r="UZG574" s="1831"/>
      <c r="UZH574" s="1831"/>
      <c r="UZI574" s="1831"/>
      <c r="UZJ574" s="1831"/>
      <c r="UZK574" s="1831"/>
      <c r="UZL574" s="1831"/>
      <c r="UZM574" s="1831"/>
      <c r="UZN574" s="1831"/>
      <c r="UZO574" s="1831"/>
      <c r="UZP574" s="1831"/>
      <c r="UZQ574" s="1831"/>
      <c r="UZR574" s="1831"/>
      <c r="UZS574" s="1831"/>
      <c r="UZT574" s="1831"/>
      <c r="UZU574" s="1831"/>
      <c r="UZV574" s="1831"/>
      <c r="UZW574" s="1831"/>
      <c r="UZX574" s="1831"/>
      <c r="UZY574" s="1831"/>
      <c r="UZZ574" s="1831"/>
      <c r="VAA574" s="1831"/>
      <c r="VAB574" s="1831"/>
      <c r="VAC574" s="1831"/>
      <c r="VAD574" s="1831"/>
      <c r="VAE574" s="1831"/>
      <c r="VAF574" s="1831"/>
      <c r="VAG574" s="1831"/>
      <c r="VAH574" s="1831"/>
      <c r="VAI574" s="1831"/>
      <c r="VAJ574" s="1831"/>
      <c r="VAK574" s="1831"/>
      <c r="VAL574" s="1831"/>
      <c r="VAM574" s="1831"/>
      <c r="VAN574" s="1831"/>
      <c r="VAO574" s="1831"/>
      <c r="VAP574" s="1831"/>
      <c r="VAQ574" s="1831"/>
      <c r="VAR574" s="1831"/>
      <c r="VAS574" s="1831"/>
      <c r="VAT574" s="1831"/>
      <c r="VAU574" s="1831"/>
      <c r="VAV574" s="1831"/>
      <c r="VAW574" s="1831"/>
      <c r="VAX574" s="1831"/>
      <c r="VAY574" s="1831"/>
      <c r="VAZ574" s="1831"/>
      <c r="VBA574" s="1831"/>
      <c r="VBB574" s="1831"/>
      <c r="VBC574" s="1831"/>
      <c r="VBD574" s="1831"/>
      <c r="VBE574" s="1831"/>
      <c r="VBF574" s="1831"/>
      <c r="VBG574" s="1831"/>
      <c r="VBH574" s="1831"/>
      <c r="VBI574" s="1831"/>
      <c r="VBJ574" s="1831"/>
      <c r="VBK574" s="1831"/>
      <c r="VBL574" s="1831"/>
      <c r="VBM574" s="1831"/>
      <c r="VBN574" s="1831"/>
      <c r="VBO574" s="1831"/>
      <c r="VBP574" s="1831"/>
      <c r="VBQ574" s="1831"/>
      <c r="VBR574" s="1831"/>
      <c r="VBS574" s="1831"/>
      <c r="VBT574" s="1831"/>
      <c r="VBU574" s="1831"/>
      <c r="VBV574" s="1831"/>
      <c r="VBW574" s="1831"/>
      <c r="VBX574" s="1831"/>
      <c r="VBY574" s="1831"/>
      <c r="VBZ574" s="1831"/>
      <c r="VCA574" s="1831"/>
      <c r="VCB574" s="1831"/>
      <c r="VCC574" s="1831"/>
      <c r="VCD574" s="1831"/>
      <c r="VCE574" s="1831"/>
      <c r="VCF574" s="1831"/>
      <c r="VCG574" s="1831"/>
      <c r="VCH574" s="1831"/>
      <c r="VCI574" s="1831"/>
      <c r="VCJ574" s="1831"/>
      <c r="VCK574" s="1831"/>
      <c r="VCL574" s="1831"/>
      <c r="VCM574" s="1831"/>
      <c r="VCN574" s="1831"/>
      <c r="VCO574" s="1831"/>
      <c r="VCP574" s="1831"/>
      <c r="VCQ574" s="1831"/>
      <c r="VCR574" s="1831"/>
      <c r="VCS574" s="1831"/>
      <c r="VCT574" s="1831"/>
      <c r="VCU574" s="1831"/>
      <c r="VCV574" s="1831"/>
      <c r="VCW574" s="1831"/>
      <c r="VCX574" s="1831"/>
      <c r="VCY574" s="1831"/>
      <c r="VCZ574" s="1831"/>
      <c r="VDA574" s="1831"/>
      <c r="VDB574" s="1831"/>
      <c r="VDC574" s="1831"/>
      <c r="VDD574" s="1831"/>
      <c r="VDE574" s="1831"/>
      <c r="VDF574" s="1831"/>
      <c r="VDG574" s="1831"/>
      <c r="VDH574" s="1831"/>
      <c r="VDI574" s="1831"/>
      <c r="VDJ574" s="1831"/>
      <c r="VDK574" s="1831"/>
      <c r="VDL574" s="1831"/>
      <c r="VDM574" s="1831"/>
      <c r="VDN574" s="1831"/>
      <c r="VDO574" s="1831"/>
      <c r="VDP574" s="1831"/>
      <c r="VDQ574" s="1831"/>
      <c r="VDR574" s="1831"/>
      <c r="VDS574" s="1831"/>
      <c r="VDT574" s="1831"/>
      <c r="VDU574" s="1831"/>
      <c r="VDV574" s="1831"/>
      <c r="VDW574" s="1831"/>
      <c r="VDX574" s="1831"/>
      <c r="VDY574" s="1831"/>
      <c r="VDZ574" s="1831"/>
      <c r="VEA574" s="1831"/>
      <c r="VEB574" s="1831"/>
      <c r="VEC574" s="1831"/>
      <c r="VED574" s="1831"/>
      <c r="VEE574" s="1831"/>
      <c r="VEF574" s="1831"/>
      <c r="VEG574" s="1831"/>
      <c r="VEH574" s="1831"/>
      <c r="VEI574" s="1831"/>
      <c r="VEJ574" s="1831"/>
      <c r="VEK574" s="1831"/>
      <c r="VEL574" s="1831"/>
      <c r="VEM574" s="1831"/>
      <c r="VEN574" s="1831"/>
      <c r="VEO574" s="1831"/>
      <c r="VEP574" s="1831"/>
      <c r="VEQ574" s="1831"/>
      <c r="VER574" s="1831"/>
      <c r="VES574" s="1831"/>
      <c r="VET574" s="1831"/>
      <c r="VEU574" s="1831"/>
      <c r="VEV574" s="1831"/>
      <c r="VEW574" s="1831"/>
      <c r="VEX574" s="1831"/>
      <c r="VEY574" s="1831"/>
      <c r="VEZ574" s="1831"/>
      <c r="VFA574" s="1831"/>
      <c r="VFB574" s="1831"/>
      <c r="VFC574" s="1831"/>
      <c r="VFD574" s="1831"/>
      <c r="VFE574" s="1831"/>
      <c r="VFF574" s="1831"/>
      <c r="VFG574" s="1831"/>
      <c r="VFH574" s="1831"/>
      <c r="VFI574" s="1831"/>
      <c r="VFJ574" s="1831"/>
      <c r="VFK574" s="1831"/>
      <c r="VFL574" s="1831"/>
      <c r="VFM574" s="1831"/>
      <c r="VFN574" s="1831"/>
      <c r="VFO574" s="1831"/>
      <c r="VFP574" s="1831"/>
      <c r="VFQ574" s="1831"/>
      <c r="VFR574" s="1831"/>
      <c r="VFS574" s="1831"/>
      <c r="VFT574" s="1831"/>
      <c r="VFU574" s="1831"/>
      <c r="VFV574" s="1831"/>
      <c r="VFW574" s="1831"/>
      <c r="VFX574" s="1831"/>
      <c r="VFY574" s="1831"/>
      <c r="VFZ574" s="1831"/>
      <c r="VGA574" s="1831"/>
      <c r="VGB574" s="1831"/>
      <c r="VGC574" s="1831"/>
      <c r="VGD574" s="1831"/>
      <c r="VGE574" s="1831"/>
      <c r="VGF574" s="1831"/>
      <c r="VGG574" s="1831"/>
      <c r="VGH574" s="1831"/>
      <c r="VGI574" s="1831"/>
      <c r="VGJ574" s="1831"/>
      <c r="VGK574" s="1831"/>
      <c r="VGL574" s="1831"/>
      <c r="VGM574" s="1831"/>
      <c r="VGN574" s="1831"/>
      <c r="VGO574" s="1831"/>
      <c r="VGP574" s="1831"/>
      <c r="VGQ574" s="1831"/>
      <c r="VGR574" s="1831"/>
      <c r="VGS574" s="1831"/>
      <c r="VGT574" s="1831"/>
      <c r="VGU574" s="1831"/>
      <c r="VGV574" s="1831"/>
      <c r="VGW574" s="1831"/>
      <c r="VGX574" s="1831"/>
      <c r="VGY574" s="1831"/>
      <c r="VGZ574" s="1831"/>
      <c r="VHA574" s="1831"/>
      <c r="VHB574" s="1831"/>
      <c r="VHC574" s="1831"/>
      <c r="VHD574" s="1831"/>
      <c r="VHE574" s="1831"/>
      <c r="VHF574" s="1831"/>
      <c r="VHG574" s="1831"/>
      <c r="VHH574" s="1831"/>
      <c r="VHI574" s="1831"/>
      <c r="VHJ574" s="1831"/>
      <c r="VHK574" s="1831"/>
      <c r="VHL574" s="1831"/>
      <c r="VHM574" s="1831"/>
      <c r="VHN574" s="1831"/>
      <c r="VHO574" s="1831"/>
      <c r="VHP574" s="1831"/>
      <c r="VHQ574" s="1831"/>
      <c r="VHR574" s="1831"/>
      <c r="VHS574" s="1831"/>
      <c r="VHT574" s="1831"/>
      <c r="VHU574" s="1831"/>
      <c r="VHV574" s="1831"/>
      <c r="VHW574" s="1831"/>
      <c r="VHX574" s="1831"/>
      <c r="VHY574" s="1831"/>
      <c r="VHZ574" s="1831"/>
      <c r="VIA574" s="1831"/>
      <c r="VIB574" s="1831"/>
      <c r="VIC574" s="1831"/>
      <c r="VID574" s="1831"/>
      <c r="VIE574" s="1831"/>
      <c r="VIF574" s="1831"/>
      <c r="VIG574" s="1831"/>
      <c r="VIH574" s="1831"/>
      <c r="VII574" s="1831"/>
      <c r="VIJ574" s="1831"/>
      <c r="VIK574" s="1831"/>
      <c r="VIL574" s="1831"/>
      <c r="VIM574" s="1831"/>
      <c r="VIN574" s="1831"/>
      <c r="VIO574" s="1831"/>
      <c r="VIP574" s="1831"/>
      <c r="VIQ574" s="1831"/>
      <c r="VIR574" s="1831"/>
      <c r="VIS574" s="1831"/>
      <c r="VIT574" s="1831"/>
      <c r="VIU574" s="1831"/>
      <c r="VIV574" s="1831"/>
      <c r="VIW574" s="1831"/>
      <c r="VIX574" s="1831"/>
      <c r="VIY574" s="1831"/>
      <c r="VIZ574" s="1831"/>
      <c r="VJA574" s="1831"/>
      <c r="VJB574" s="1831"/>
      <c r="VJC574" s="1831"/>
      <c r="VJD574" s="1831"/>
      <c r="VJE574" s="1831"/>
      <c r="VJF574" s="1831"/>
      <c r="VJG574" s="1831"/>
      <c r="VJH574" s="1831"/>
      <c r="VJI574" s="1831"/>
      <c r="VJJ574" s="1831"/>
      <c r="VJK574" s="1831"/>
      <c r="VJL574" s="1831"/>
      <c r="VJM574" s="1831"/>
      <c r="VJN574" s="1831"/>
      <c r="VJO574" s="1831"/>
      <c r="VJP574" s="1831"/>
      <c r="VJQ574" s="1831"/>
      <c r="VJR574" s="1831"/>
      <c r="VJS574" s="1831"/>
      <c r="VJT574" s="1831"/>
      <c r="VJU574" s="1831"/>
      <c r="VJV574" s="1831"/>
      <c r="VJW574" s="1831"/>
      <c r="VJX574" s="1831"/>
      <c r="VJY574" s="1831"/>
      <c r="VJZ574" s="1831"/>
      <c r="VKA574" s="1831"/>
      <c r="VKB574" s="1831"/>
      <c r="VKC574" s="1831"/>
      <c r="VKD574" s="1831"/>
      <c r="VKE574" s="1831"/>
      <c r="VKF574" s="1831"/>
      <c r="VKG574" s="1831"/>
      <c r="VKH574" s="1831"/>
      <c r="VKI574" s="1831"/>
      <c r="VKJ574" s="1831"/>
      <c r="VKK574" s="1831"/>
      <c r="VKL574" s="1831"/>
      <c r="VKM574" s="1831"/>
      <c r="VKN574" s="1831"/>
      <c r="VKO574" s="1831"/>
      <c r="VKP574" s="1831"/>
      <c r="VKQ574" s="1831"/>
      <c r="VKR574" s="1831"/>
      <c r="VKS574" s="1831"/>
      <c r="VKT574" s="1831"/>
      <c r="VKU574" s="1831"/>
      <c r="VKV574" s="1831"/>
      <c r="VKW574" s="1831"/>
      <c r="VKX574" s="1831"/>
      <c r="VKY574" s="1831"/>
      <c r="VKZ574" s="1831"/>
      <c r="VLA574" s="1831"/>
      <c r="VLB574" s="1831"/>
      <c r="VLC574" s="1831"/>
      <c r="VLD574" s="1831"/>
      <c r="VLE574" s="1831"/>
      <c r="VLF574" s="1831"/>
      <c r="VLG574" s="1831"/>
      <c r="VLH574" s="1831"/>
      <c r="VLI574" s="1831"/>
      <c r="VLJ574" s="1831"/>
      <c r="VLK574" s="1831"/>
      <c r="VLL574" s="1831"/>
      <c r="VLM574" s="1831"/>
      <c r="VLN574" s="1831"/>
      <c r="VLO574" s="1831"/>
      <c r="VLP574" s="1831"/>
      <c r="VLQ574" s="1831"/>
      <c r="VLR574" s="1831"/>
      <c r="VLS574" s="1831"/>
      <c r="VLT574" s="1831"/>
      <c r="VLU574" s="1831"/>
      <c r="VLV574" s="1831"/>
      <c r="VLW574" s="1831"/>
      <c r="VLX574" s="1831"/>
      <c r="VLY574" s="1831"/>
      <c r="VLZ574" s="1831"/>
      <c r="VMA574" s="1831"/>
      <c r="VMB574" s="1831"/>
      <c r="VMC574" s="1831"/>
      <c r="VMD574" s="1831"/>
      <c r="VME574" s="1831"/>
      <c r="VMF574" s="1831"/>
      <c r="VMG574" s="1831"/>
      <c r="VMH574" s="1831"/>
      <c r="VMI574" s="1831"/>
      <c r="VMJ574" s="1831"/>
      <c r="VMK574" s="1831"/>
      <c r="VML574" s="1831"/>
      <c r="VMM574" s="1831"/>
      <c r="VMN574" s="1831"/>
      <c r="VMO574" s="1831"/>
      <c r="VMP574" s="1831"/>
      <c r="VMQ574" s="1831"/>
      <c r="VMR574" s="1831"/>
      <c r="VMS574" s="1831"/>
      <c r="VMT574" s="1831"/>
      <c r="VMU574" s="1831"/>
      <c r="VMV574" s="1831"/>
      <c r="VMW574" s="1831"/>
      <c r="VMX574" s="1831"/>
      <c r="VMY574" s="1831"/>
      <c r="VMZ574" s="1831"/>
      <c r="VNA574" s="1831"/>
      <c r="VNB574" s="1831"/>
      <c r="VNC574" s="1831"/>
      <c r="VND574" s="1831"/>
      <c r="VNE574" s="1831"/>
      <c r="VNF574" s="1831"/>
      <c r="VNG574" s="1831"/>
      <c r="VNH574" s="1831"/>
      <c r="VNI574" s="1831"/>
      <c r="VNJ574" s="1831"/>
      <c r="VNK574" s="1831"/>
      <c r="VNL574" s="1831"/>
      <c r="VNM574" s="1831"/>
      <c r="VNN574" s="1831"/>
      <c r="VNO574" s="1831"/>
      <c r="VNP574" s="1831"/>
      <c r="VNQ574" s="1831"/>
      <c r="VNR574" s="1831"/>
      <c r="VNS574" s="1831"/>
      <c r="VNT574" s="1831"/>
      <c r="VNU574" s="1831"/>
      <c r="VNV574" s="1831"/>
      <c r="VNW574" s="1831"/>
      <c r="VNX574" s="1831"/>
      <c r="VNY574" s="1831"/>
      <c r="VNZ574" s="1831"/>
      <c r="VOA574" s="1831"/>
      <c r="VOB574" s="1831"/>
      <c r="VOC574" s="1831"/>
      <c r="VOD574" s="1831"/>
      <c r="VOE574" s="1831"/>
      <c r="VOF574" s="1831"/>
      <c r="VOG574" s="1831"/>
      <c r="VOH574" s="1831"/>
      <c r="VOI574" s="1831"/>
      <c r="VOJ574" s="1831"/>
      <c r="VOK574" s="1831"/>
      <c r="VOL574" s="1831"/>
      <c r="VOM574" s="1831"/>
      <c r="VON574" s="1831"/>
      <c r="VOO574" s="1831"/>
      <c r="VOP574" s="1831"/>
      <c r="VOQ574" s="1831"/>
      <c r="VOR574" s="1831"/>
      <c r="VOS574" s="1831"/>
      <c r="VOT574" s="1831"/>
      <c r="VOU574" s="1831"/>
      <c r="VOV574" s="1831"/>
      <c r="VOW574" s="1831"/>
      <c r="VOX574" s="1831"/>
      <c r="VOY574" s="1831"/>
      <c r="VOZ574" s="1831"/>
      <c r="VPA574" s="1831"/>
      <c r="VPB574" s="1831"/>
      <c r="VPC574" s="1831"/>
      <c r="VPD574" s="1831"/>
      <c r="VPE574" s="1831"/>
      <c r="VPF574" s="1831"/>
      <c r="VPG574" s="1831"/>
      <c r="VPH574" s="1831"/>
      <c r="VPI574" s="1831"/>
      <c r="VPJ574" s="1831"/>
      <c r="VPK574" s="1831"/>
      <c r="VPL574" s="1831"/>
      <c r="VPM574" s="1831"/>
      <c r="VPN574" s="1831"/>
      <c r="VPO574" s="1831"/>
      <c r="VPP574" s="1831"/>
      <c r="VPQ574" s="1831"/>
      <c r="VPR574" s="1831"/>
      <c r="VPS574" s="1831"/>
      <c r="VPT574" s="1831"/>
      <c r="VPU574" s="1831"/>
      <c r="VPV574" s="1831"/>
      <c r="VPW574" s="1831"/>
      <c r="VPX574" s="1831"/>
      <c r="VPY574" s="1831"/>
      <c r="VPZ574" s="1831"/>
      <c r="VQA574" s="1831"/>
      <c r="VQB574" s="1831"/>
      <c r="VQC574" s="1831"/>
      <c r="VQD574" s="1831"/>
      <c r="VQE574" s="1831"/>
      <c r="VQF574" s="1831"/>
      <c r="VQG574" s="1831"/>
      <c r="VQH574" s="1831"/>
      <c r="VQI574" s="1831"/>
      <c r="VQJ574" s="1831"/>
      <c r="VQK574" s="1831"/>
      <c r="VQL574" s="1831"/>
      <c r="VQM574" s="1831"/>
      <c r="VQN574" s="1831"/>
      <c r="VQO574" s="1831"/>
      <c r="VQP574" s="1831"/>
      <c r="VQQ574" s="1831"/>
      <c r="VQR574" s="1831"/>
      <c r="VQS574" s="1831"/>
      <c r="VQT574" s="1831"/>
      <c r="VQU574" s="1831"/>
      <c r="VQV574" s="1831"/>
      <c r="VQW574" s="1831"/>
      <c r="VQX574" s="1831"/>
      <c r="VQY574" s="1831"/>
      <c r="VQZ574" s="1831"/>
      <c r="VRA574" s="1831"/>
      <c r="VRB574" s="1831"/>
      <c r="VRC574" s="1831"/>
      <c r="VRD574" s="1831"/>
      <c r="VRE574" s="1831"/>
      <c r="VRF574" s="1831"/>
      <c r="VRG574" s="1831"/>
      <c r="VRH574" s="1831"/>
      <c r="VRI574" s="1831"/>
      <c r="VRJ574" s="1831"/>
      <c r="VRK574" s="1831"/>
      <c r="VRL574" s="1831"/>
      <c r="VRM574" s="1831"/>
      <c r="VRN574" s="1831"/>
      <c r="VRO574" s="1831"/>
      <c r="VRP574" s="1831"/>
      <c r="VRQ574" s="1831"/>
      <c r="VRR574" s="1831"/>
      <c r="VRS574" s="1831"/>
      <c r="VRT574" s="1831"/>
      <c r="VRU574" s="1831"/>
      <c r="VRV574" s="1831"/>
      <c r="VRW574" s="1831"/>
      <c r="VRX574" s="1831"/>
      <c r="VRY574" s="1831"/>
      <c r="VRZ574" s="1831"/>
      <c r="VSA574" s="1831"/>
      <c r="VSB574" s="1831"/>
      <c r="VSC574" s="1831"/>
      <c r="VSD574" s="1831"/>
      <c r="VSE574" s="1831"/>
      <c r="VSF574" s="1831"/>
      <c r="VSG574" s="1831"/>
      <c r="VSH574" s="1831"/>
      <c r="VSI574" s="1831"/>
      <c r="VSJ574" s="1831"/>
      <c r="VSK574" s="1831"/>
      <c r="VSL574" s="1831"/>
      <c r="VSM574" s="1831"/>
      <c r="VSN574" s="1831"/>
      <c r="VSO574" s="1831"/>
      <c r="VSP574" s="1831"/>
      <c r="VSQ574" s="1831"/>
      <c r="VSR574" s="1831"/>
      <c r="VSS574" s="1831"/>
      <c r="VST574" s="1831"/>
      <c r="VSU574" s="1831"/>
      <c r="VSV574" s="1831"/>
      <c r="VSW574" s="1831"/>
      <c r="VSX574" s="1831"/>
      <c r="VSY574" s="1831"/>
      <c r="VSZ574" s="1831"/>
      <c r="VTA574" s="1831"/>
      <c r="VTB574" s="1831"/>
      <c r="VTC574" s="1831"/>
      <c r="VTD574" s="1831"/>
      <c r="VTE574" s="1831"/>
      <c r="VTF574" s="1831"/>
      <c r="VTG574" s="1831"/>
      <c r="VTH574" s="1831"/>
      <c r="VTI574" s="1831"/>
      <c r="VTJ574" s="1831"/>
      <c r="VTK574" s="1831"/>
      <c r="VTL574" s="1831"/>
      <c r="VTM574" s="1831"/>
      <c r="VTN574" s="1831"/>
      <c r="VTO574" s="1831"/>
      <c r="VTP574" s="1831"/>
      <c r="VTQ574" s="1831"/>
      <c r="VTR574" s="1831"/>
      <c r="VTS574" s="1831"/>
      <c r="VTT574" s="1831"/>
      <c r="VTU574" s="1831"/>
      <c r="VTV574" s="1831"/>
      <c r="VTW574" s="1831"/>
      <c r="VTX574" s="1831"/>
      <c r="VTY574" s="1831"/>
      <c r="VTZ574" s="1831"/>
      <c r="VUA574" s="1831"/>
      <c r="VUB574" s="1831"/>
      <c r="VUC574" s="1831"/>
      <c r="VUD574" s="1831"/>
      <c r="VUE574" s="1831"/>
      <c r="VUF574" s="1831"/>
      <c r="VUG574" s="1831"/>
      <c r="VUH574" s="1831"/>
      <c r="VUI574" s="1831"/>
      <c r="VUJ574" s="1831"/>
      <c r="VUK574" s="1831"/>
      <c r="VUL574" s="1831"/>
      <c r="VUM574" s="1831"/>
      <c r="VUN574" s="1831"/>
      <c r="VUO574" s="1831"/>
      <c r="VUP574" s="1831"/>
      <c r="VUQ574" s="1831"/>
      <c r="VUR574" s="1831"/>
      <c r="VUS574" s="1831"/>
      <c r="VUT574" s="1831"/>
      <c r="VUU574" s="1831"/>
      <c r="VUV574" s="1831"/>
      <c r="VUW574" s="1831"/>
      <c r="VUX574" s="1831"/>
      <c r="VUY574" s="1831"/>
      <c r="VUZ574" s="1831"/>
      <c r="VVA574" s="1831"/>
      <c r="VVB574" s="1831"/>
      <c r="VVC574" s="1831"/>
      <c r="VVD574" s="1831"/>
      <c r="VVE574" s="1831"/>
      <c r="VVF574" s="1831"/>
      <c r="VVG574" s="1831"/>
      <c r="VVH574" s="1831"/>
      <c r="VVI574" s="1831"/>
      <c r="VVJ574" s="1831"/>
      <c r="VVK574" s="1831"/>
      <c r="VVL574" s="1831"/>
      <c r="VVM574" s="1831"/>
      <c r="VVN574" s="1831"/>
      <c r="VVO574" s="1831"/>
      <c r="VVP574" s="1831"/>
      <c r="VVQ574" s="1831"/>
      <c r="VVR574" s="1831"/>
      <c r="VVS574" s="1831"/>
      <c r="VVT574" s="1831"/>
      <c r="VVU574" s="1831"/>
      <c r="VVV574" s="1831"/>
      <c r="VVW574" s="1831"/>
      <c r="VVX574" s="1831"/>
      <c r="VVY574" s="1831"/>
      <c r="VVZ574" s="1831"/>
      <c r="VWA574" s="1831"/>
      <c r="VWB574" s="1831"/>
      <c r="VWC574" s="1831"/>
      <c r="VWD574" s="1831"/>
      <c r="VWE574" s="1831"/>
      <c r="VWF574" s="1831"/>
      <c r="VWG574" s="1831"/>
      <c r="VWH574" s="1831"/>
      <c r="VWI574" s="1831"/>
      <c r="VWJ574" s="1831"/>
      <c r="VWK574" s="1831"/>
      <c r="VWL574" s="1831"/>
      <c r="VWM574" s="1831"/>
      <c r="VWN574" s="1831"/>
      <c r="VWO574" s="1831"/>
      <c r="VWP574" s="1831"/>
      <c r="VWQ574" s="1831"/>
      <c r="VWR574" s="1831"/>
      <c r="VWS574" s="1831"/>
      <c r="VWT574" s="1831"/>
      <c r="VWU574" s="1831"/>
      <c r="VWV574" s="1831"/>
      <c r="VWW574" s="1831"/>
      <c r="VWX574" s="1831"/>
      <c r="VWY574" s="1831"/>
      <c r="VWZ574" s="1831"/>
      <c r="VXA574" s="1831"/>
      <c r="VXB574" s="1831"/>
      <c r="VXC574" s="1831"/>
      <c r="VXD574" s="1831"/>
      <c r="VXE574" s="1831"/>
      <c r="VXF574" s="1831"/>
      <c r="VXG574" s="1831"/>
      <c r="VXH574" s="1831"/>
      <c r="VXI574" s="1831"/>
      <c r="VXJ574" s="1831"/>
      <c r="VXK574" s="1831"/>
      <c r="VXL574" s="1831"/>
      <c r="VXM574" s="1831"/>
      <c r="VXN574" s="1831"/>
      <c r="VXO574" s="1831"/>
      <c r="VXP574" s="1831"/>
      <c r="VXQ574" s="1831"/>
      <c r="VXR574" s="1831"/>
      <c r="VXS574" s="1831"/>
      <c r="VXT574" s="1831"/>
      <c r="VXU574" s="1831"/>
      <c r="VXV574" s="1831"/>
      <c r="VXW574" s="1831"/>
      <c r="VXX574" s="1831"/>
      <c r="VXY574" s="1831"/>
      <c r="VXZ574" s="1831"/>
      <c r="VYA574" s="1831"/>
      <c r="VYB574" s="1831"/>
      <c r="VYC574" s="1831"/>
      <c r="VYD574" s="1831"/>
      <c r="VYE574" s="1831"/>
      <c r="VYF574" s="1831"/>
      <c r="VYG574" s="1831"/>
      <c r="VYH574" s="1831"/>
      <c r="VYI574" s="1831"/>
      <c r="VYJ574" s="1831"/>
      <c r="VYK574" s="1831"/>
      <c r="VYL574" s="1831"/>
      <c r="VYM574" s="1831"/>
      <c r="VYN574" s="1831"/>
      <c r="VYO574" s="1831"/>
      <c r="VYP574" s="1831"/>
      <c r="VYQ574" s="1831"/>
      <c r="VYR574" s="1831"/>
      <c r="VYS574" s="1831"/>
      <c r="VYT574" s="1831"/>
      <c r="VYU574" s="1831"/>
      <c r="VYV574" s="1831"/>
      <c r="VYW574" s="1831"/>
      <c r="VYX574" s="1831"/>
      <c r="VYY574" s="1831"/>
      <c r="VYZ574" s="1831"/>
      <c r="VZA574" s="1831"/>
      <c r="VZB574" s="1831"/>
      <c r="VZC574" s="1831"/>
      <c r="VZD574" s="1831"/>
      <c r="VZE574" s="1831"/>
      <c r="VZF574" s="1831"/>
      <c r="VZG574" s="1831"/>
      <c r="VZH574" s="1831"/>
      <c r="VZI574" s="1831"/>
      <c r="VZJ574" s="1831"/>
      <c r="VZK574" s="1831"/>
      <c r="VZL574" s="1831"/>
      <c r="VZM574" s="1831"/>
      <c r="VZN574" s="1831"/>
      <c r="VZO574" s="1831"/>
      <c r="VZP574" s="1831"/>
      <c r="VZQ574" s="1831"/>
      <c r="VZR574" s="1831"/>
      <c r="VZS574" s="1831"/>
      <c r="VZT574" s="1831"/>
      <c r="VZU574" s="1831"/>
      <c r="VZV574" s="1831"/>
      <c r="VZW574" s="1831"/>
      <c r="VZX574" s="1831"/>
      <c r="VZY574" s="1831"/>
      <c r="VZZ574" s="1831"/>
      <c r="WAA574" s="1831"/>
      <c r="WAB574" s="1831"/>
      <c r="WAC574" s="1831"/>
      <c r="WAD574" s="1831"/>
      <c r="WAE574" s="1831"/>
      <c r="WAF574" s="1831"/>
      <c r="WAG574" s="1831"/>
      <c r="WAH574" s="1831"/>
      <c r="WAI574" s="1831"/>
      <c r="WAJ574" s="1831"/>
      <c r="WAK574" s="1831"/>
      <c r="WAL574" s="1831"/>
      <c r="WAM574" s="1831"/>
      <c r="WAN574" s="1831"/>
      <c r="WAO574" s="1831"/>
      <c r="WAP574" s="1831"/>
      <c r="WAQ574" s="1831"/>
      <c r="WAR574" s="1831"/>
      <c r="WAS574" s="1831"/>
      <c r="WAT574" s="1831"/>
      <c r="WAU574" s="1831"/>
      <c r="WAV574" s="1831"/>
      <c r="WAW574" s="1831"/>
      <c r="WAX574" s="1831"/>
      <c r="WAY574" s="1831"/>
      <c r="WAZ574" s="1831"/>
      <c r="WBA574" s="1831"/>
      <c r="WBB574" s="1831"/>
      <c r="WBC574" s="1831"/>
      <c r="WBD574" s="1831"/>
      <c r="WBE574" s="1831"/>
      <c r="WBF574" s="1831"/>
      <c r="WBG574" s="1831"/>
      <c r="WBH574" s="1831"/>
      <c r="WBI574" s="1831"/>
      <c r="WBJ574" s="1831"/>
      <c r="WBK574" s="1831"/>
      <c r="WBL574" s="1831"/>
      <c r="WBM574" s="1831"/>
      <c r="WBN574" s="1831"/>
      <c r="WBO574" s="1831"/>
      <c r="WBP574" s="1831"/>
      <c r="WBQ574" s="1831"/>
      <c r="WBR574" s="1831"/>
      <c r="WBS574" s="1831"/>
      <c r="WBT574" s="1831"/>
      <c r="WBU574" s="1831"/>
      <c r="WBV574" s="1831"/>
      <c r="WBW574" s="1831"/>
      <c r="WBX574" s="1831"/>
      <c r="WBY574" s="1831"/>
      <c r="WBZ574" s="1831"/>
      <c r="WCA574" s="1831"/>
      <c r="WCB574" s="1831"/>
      <c r="WCC574" s="1831"/>
      <c r="WCD574" s="1831"/>
      <c r="WCE574" s="1831"/>
      <c r="WCF574" s="1831"/>
      <c r="WCG574" s="1831"/>
      <c r="WCH574" s="1831"/>
      <c r="WCI574" s="1831"/>
      <c r="WCJ574" s="1831"/>
      <c r="WCK574" s="1831"/>
      <c r="WCL574" s="1831"/>
      <c r="WCM574" s="1831"/>
      <c r="WCN574" s="1831"/>
      <c r="WCO574" s="1831"/>
      <c r="WCP574" s="1831"/>
      <c r="WCQ574" s="1831"/>
      <c r="WCR574" s="1831"/>
      <c r="WCS574" s="1831"/>
      <c r="WCT574" s="1831"/>
      <c r="WCU574" s="1831"/>
      <c r="WCV574" s="1831"/>
      <c r="WCW574" s="1831"/>
      <c r="WCX574" s="1831"/>
      <c r="WCY574" s="1831"/>
      <c r="WCZ574" s="1831"/>
      <c r="WDA574" s="1831"/>
      <c r="WDB574" s="1831"/>
      <c r="WDC574" s="1831"/>
      <c r="WDD574" s="1831"/>
      <c r="WDE574" s="1831"/>
      <c r="WDF574" s="1831"/>
      <c r="WDG574" s="1831"/>
      <c r="WDH574" s="1831"/>
      <c r="WDI574" s="1831"/>
      <c r="WDJ574" s="1831"/>
      <c r="WDK574" s="1831"/>
      <c r="WDL574" s="1831"/>
      <c r="WDM574" s="1831"/>
      <c r="WDN574" s="1831"/>
      <c r="WDO574" s="1831"/>
      <c r="WDP574" s="1831"/>
      <c r="WDQ574" s="1831"/>
      <c r="WDR574" s="1831"/>
      <c r="WDS574" s="1831"/>
      <c r="WDT574" s="1831"/>
      <c r="WDU574" s="1831"/>
      <c r="WDV574" s="1831"/>
      <c r="WDW574" s="1831"/>
      <c r="WDX574" s="1831"/>
      <c r="WDY574" s="1831"/>
      <c r="WDZ574" s="1831"/>
      <c r="WEA574" s="1831"/>
      <c r="WEB574" s="1831"/>
      <c r="WEC574" s="1831"/>
      <c r="WED574" s="1831"/>
      <c r="WEE574" s="1831"/>
      <c r="WEF574" s="1831"/>
      <c r="WEG574" s="1831"/>
      <c r="WEH574" s="1831"/>
      <c r="WEI574" s="1831"/>
      <c r="WEJ574" s="1831"/>
      <c r="WEK574" s="1831"/>
      <c r="WEL574" s="1831"/>
      <c r="WEM574" s="1831"/>
      <c r="WEN574" s="1831"/>
      <c r="WEO574" s="1831"/>
      <c r="WEP574" s="1831"/>
      <c r="WEQ574" s="1831"/>
      <c r="WER574" s="1831"/>
      <c r="WES574" s="1831"/>
      <c r="WET574" s="1831"/>
      <c r="WEU574" s="1831"/>
      <c r="WEV574" s="1831"/>
      <c r="WEW574" s="1831"/>
      <c r="WEX574" s="1831"/>
      <c r="WEY574" s="1831"/>
      <c r="WEZ574" s="1831"/>
      <c r="WFA574" s="1831"/>
      <c r="WFB574" s="1831"/>
      <c r="WFC574" s="1831"/>
      <c r="WFD574" s="1831"/>
      <c r="WFE574" s="1831"/>
      <c r="WFF574" s="1831"/>
      <c r="WFG574" s="1831"/>
      <c r="WFH574" s="1831"/>
      <c r="WFI574" s="1831"/>
      <c r="WFJ574" s="1831"/>
      <c r="WFK574" s="1831"/>
      <c r="WFL574" s="1831"/>
      <c r="WFM574" s="1831"/>
      <c r="WFN574" s="1831"/>
      <c r="WFO574" s="1831"/>
      <c r="WFP574" s="1831"/>
      <c r="WFQ574" s="1831"/>
      <c r="WFR574" s="1831"/>
      <c r="WFS574" s="1831"/>
      <c r="WFT574" s="1831"/>
      <c r="WFU574" s="1831"/>
      <c r="WFV574" s="1831"/>
      <c r="WFW574" s="1831"/>
      <c r="WFX574" s="1831"/>
      <c r="WFY574" s="1831"/>
      <c r="WFZ574" s="1831"/>
      <c r="WGA574" s="1831"/>
      <c r="WGB574" s="1831"/>
      <c r="WGC574" s="1831"/>
      <c r="WGD574" s="1831"/>
      <c r="WGE574" s="1831"/>
      <c r="WGF574" s="1831"/>
      <c r="WGG574" s="1831"/>
      <c r="WGH574" s="1831"/>
      <c r="WGI574" s="1831"/>
      <c r="WGJ574" s="1831"/>
      <c r="WGK574" s="1831"/>
      <c r="WGL574" s="1831"/>
      <c r="WGM574" s="1831"/>
      <c r="WGN574" s="1831"/>
      <c r="WGO574" s="1831"/>
      <c r="WGP574" s="1831"/>
      <c r="WGQ574" s="1831"/>
      <c r="WGR574" s="1831"/>
      <c r="WGS574" s="1831"/>
      <c r="WGT574" s="1831"/>
      <c r="WGU574" s="1831"/>
      <c r="WGV574" s="1831"/>
      <c r="WGW574" s="1831"/>
      <c r="WGX574" s="1831"/>
      <c r="WGY574" s="1831"/>
      <c r="WGZ574" s="1831"/>
      <c r="WHA574" s="1831"/>
      <c r="WHB574" s="1831"/>
      <c r="WHC574" s="1831"/>
      <c r="WHD574" s="1831"/>
      <c r="WHE574" s="1831"/>
      <c r="WHF574" s="1831"/>
      <c r="WHG574" s="1831"/>
      <c r="WHH574" s="1831"/>
      <c r="WHI574" s="1831"/>
      <c r="WHJ574" s="1831"/>
      <c r="WHK574" s="1831"/>
      <c r="WHL574" s="1831"/>
      <c r="WHM574" s="1831"/>
      <c r="WHN574" s="1831"/>
      <c r="WHO574" s="1831"/>
      <c r="WHP574" s="1831"/>
      <c r="WHQ574" s="1831"/>
      <c r="WHR574" s="1831"/>
      <c r="WHS574" s="1831"/>
      <c r="WHT574" s="1831"/>
      <c r="WHU574" s="1831"/>
      <c r="WHV574" s="1831"/>
      <c r="WHW574" s="1831"/>
      <c r="WHX574" s="1831"/>
      <c r="WHY574" s="1831"/>
      <c r="WHZ574" s="1831"/>
      <c r="WIA574" s="1831"/>
      <c r="WIB574" s="1831"/>
      <c r="WIC574" s="1831"/>
      <c r="WID574" s="1831"/>
      <c r="WIE574" s="1831"/>
      <c r="WIF574" s="1831"/>
      <c r="WIG574" s="1831"/>
      <c r="WIH574" s="1831"/>
      <c r="WII574" s="1831"/>
      <c r="WIJ574" s="1831"/>
      <c r="WIK574" s="1831"/>
      <c r="WIL574" s="1831"/>
      <c r="WIM574" s="1831"/>
      <c r="WIN574" s="1831"/>
      <c r="WIO574" s="1831"/>
      <c r="WIP574" s="1831"/>
      <c r="WIQ574" s="1831"/>
      <c r="WIR574" s="1831"/>
      <c r="WIS574" s="1831"/>
      <c r="WIT574" s="1831"/>
      <c r="WIU574" s="1831"/>
      <c r="WIV574" s="1831"/>
      <c r="WIW574" s="1831"/>
      <c r="WIX574" s="1831"/>
      <c r="WIY574" s="1831"/>
      <c r="WIZ574" s="1831"/>
      <c r="WJA574" s="1831"/>
      <c r="WJB574" s="1831"/>
      <c r="WJC574" s="1831"/>
      <c r="WJD574" s="1831"/>
      <c r="WJE574" s="1831"/>
      <c r="WJF574" s="1831"/>
      <c r="WJG574" s="1831"/>
      <c r="WJH574" s="1831"/>
      <c r="WJI574" s="1831"/>
      <c r="WJJ574" s="1831"/>
      <c r="WJK574" s="1831"/>
      <c r="WJL574" s="1831"/>
      <c r="WJM574" s="1831"/>
      <c r="WJN574" s="1831"/>
      <c r="WJO574" s="1831"/>
      <c r="WJP574" s="1831"/>
      <c r="WJQ574" s="1831"/>
      <c r="WJR574" s="1831"/>
      <c r="WJS574" s="1831"/>
      <c r="WJT574" s="1831"/>
      <c r="WJU574" s="1831"/>
      <c r="WJV574" s="1831"/>
      <c r="WJW574" s="1831"/>
      <c r="WJX574" s="1831"/>
      <c r="WJY574" s="1831"/>
      <c r="WJZ574" s="1831"/>
      <c r="WKA574" s="1831"/>
      <c r="WKB574" s="1831"/>
      <c r="WKC574" s="1831"/>
      <c r="WKD574" s="1831"/>
      <c r="WKE574" s="1831"/>
      <c r="WKF574" s="1831"/>
      <c r="WKG574" s="1831"/>
      <c r="WKH574" s="1831"/>
      <c r="WKI574" s="1831"/>
      <c r="WKJ574" s="1831"/>
      <c r="WKK574" s="1831"/>
      <c r="WKL574" s="1831"/>
      <c r="WKM574" s="1831"/>
      <c r="WKN574" s="1831"/>
      <c r="WKO574" s="1831"/>
      <c r="WKP574" s="1831"/>
      <c r="WKQ574" s="1831"/>
      <c r="WKR574" s="1831"/>
      <c r="WKS574" s="1831"/>
      <c r="WKT574" s="1831"/>
      <c r="WKU574" s="1831"/>
      <c r="WKV574" s="1831"/>
      <c r="WKW574" s="1831"/>
      <c r="WKX574" s="1831"/>
      <c r="WKY574" s="1831"/>
      <c r="WKZ574" s="1831"/>
      <c r="WLA574" s="1831"/>
      <c r="WLB574" s="1831"/>
      <c r="WLC574" s="1831"/>
      <c r="WLD574" s="1831"/>
      <c r="WLE574" s="1831"/>
      <c r="WLF574" s="1831"/>
      <c r="WLG574" s="1831"/>
      <c r="WLH574" s="1831"/>
      <c r="WLI574" s="1831"/>
      <c r="WLJ574" s="1831"/>
      <c r="WLK574" s="1831"/>
      <c r="WLL574" s="1831"/>
      <c r="WLM574" s="1831"/>
      <c r="WLN574" s="1831"/>
      <c r="WLO574" s="1831"/>
      <c r="WLP574" s="1831"/>
      <c r="WLQ574" s="1831"/>
      <c r="WLR574" s="1831"/>
      <c r="WLS574" s="1831"/>
      <c r="WLT574" s="1831"/>
      <c r="WLU574" s="1831"/>
      <c r="WLV574" s="1831"/>
      <c r="WLW574" s="1831"/>
      <c r="WLX574" s="1831"/>
      <c r="WLY574" s="1831"/>
      <c r="WLZ574" s="1831"/>
      <c r="WMA574" s="1831"/>
      <c r="WMB574" s="1831"/>
      <c r="WMC574" s="1831"/>
      <c r="WMD574" s="1831"/>
      <c r="WME574" s="1831"/>
      <c r="WMF574" s="1831"/>
      <c r="WMG574" s="1831"/>
      <c r="WMH574" s="1831"/>
      <c r="WMI574" s="1831"/>
      <c r="WMJ574" s="1831"/>
      <c r="WMK574" s="1831"/>
      <c r="WML574" s="1831"/>
      <c r="WMM574" s="1831"/>
      <c r="WMN574" s="1831"/>
      <c r="WMO574" s="1831"/>
      <c r="WMP574" s="1831"/>
      <c r="WMQ574" s="1831"/>
      <c r="WMR574" s="1831"/>
      <c r="WMS574" s="1831"/>
      <c r="WMT574" s="1831"/>
      <c r="WMU574" s="1831"/>
      <c r="WMV574" s="1831"/>
      <c r="WMW574" s="1831"/>
      <c r="WMX574" s="1831"/>
      <c r="WMY574" s="1831"/>
      <c r="WMZ574" s="1831"/>
      <c r="WNA574" s="1831"/>
      <c r="WNB574" s="1831"/>
      <c r="WNC574" s="1831"/>
      <c r="WND574" s="1831"/>
      <c r="WNE574" s="1831"/>
      <c r="WNF574" s="1831"/>
      <c r="WNG574" s="1831"/>
      <c r="WNH574" s="1831"/>
      <c r="WNI574" s="1831"/>
      <c r="WNJ574" s="1831"/>
      <c r="WNK574" s="1831"/>
      <c r="WNL574" s="1831"/>
      <c r="WNM574" s="1831"/>
      <c r="WNN574" s="1831"/>
      <c r="WNO574" s="1831"/>
      <c r="WNP574" s="1831"/>
      <c r="WNQ574" s="1831"/>
      <c r="WNR574" s="1831"/>
      <c r="WNS574" s="1831"/>
      <c r="WNT574" s="1831"/>
      <c r="WNU574" s="1831"/>
      <c r="WNV574" s="1831"/>
      <c r="WNW574" s="1831"/>
      <c r="WNX574" s="1831"/>
      <c r="WNY574" s="1831"/>
      <c r="WNZ574" s="1831"/>
      <c r="WOA574" s="1831"/>
      <c r="WOB574" s="1831"/>
      <c r="WOC574" s="1831"/>
      <c r="WOD574" s="1831"/>
      <c r="WOE574" s="1831"/>
      <c r="WOF574" s="1831"/>
      <c r="WOG574" s="1831"/>
      <c r="WOH574" s="1831"/>
      <c r="WOI574" s="1831"/>
      <c r="WOJ574" s="1831"/>
      <c r="WOK574" s="1831"/>
      <c r="WOL574" s="1831"/>
      <c r="WOM574" s="1831"/>
      <c r="WON574" s="1831"/>
      <c r="WOO574" s="1831"/>
      <c r="WOP574" s="1831"/>
      <c r="WOQ574" s="1831"/>
      <c r="WOR574" s="1831"/>
      <c r="WOS574" s="1831"/>
      <c r="WOT574" s="1831"/>
      <c r="WOU574" s="1831"/>
      <c r="WOV574" s="1831"/>
      <c r="WOW574" s="1831"/>
      <c r="WOX574" s="1831"/>
      <c r="WOY574" s="1831"/>
      <c r="WOZ574" s="1831"/>
      <c r="WPA574" s="1831"/>
      <c r="WPB574" s="1831"/>
      <c r="WPC574" s="1831"/>
      <c r="WPD574" s="1831"/>
      <c r="WPE574" s="1831"/>
      <c r="WPF574" s="1831"/>
      <c r="WPG574" s="1831"/>
      <c r="WPH574" s="1831"/>
      <c r="WPI574" s="1831"/>
      <c r="WPJ574" s="1831"/>
      <c r="WPK574" s="1831"/>
      <c r="WPL574" s="1831"/>
      <c r="WPM574" s="1831"/>
      <c r="WPN574" s="1831"/>
      <c r="WPO574" s="1831"/>
      <c r="WPP574" s="1831"/>
      <c r="WPQ574" s="1831"/>
      <c r="WPR574" s="1831"/>
      <c r="WPS574" s="1831"/>
      <c r="WPT574" s="1831"/>
      <c r="WPU574" s="1831"/>
      <c r="WPV574" s="1831"/>
      <c r="WPW574" s="1831"/>
      <c r="WPX574" s="1831"/>
      <c r="WPY574" s="1831"/>
      <c r="WPZ574" s="1831"/>
      <c r="WQA574" s="1831"/>
      <c r="WQB574" s="1831"/>
      <c r="WQC574" s="1831"/>
      <c r="WQD574" s="1831"/>
      <c r="WQE574" s="1831"/>
      <c r="WQF574" s="1831"/>
      <c r="WQG574" s="1831"/>
      <c r="WQH574" s="1831"/>
      <c r="WQI574" s="1831"/>
      <c r="WQJ574" s="1831"/>
      <c r="WQK574" s="1831"/>
      <c r="WQL574" s="1831"/>
      <c r="WQM574" s="1831"/>
      <c r="WQN574" s="1831"/>
      <c r="WQO574" s="1831"/>
      <c r="WQP574" s="1831"/>
      <c r="WQQ574" s="1831"/>
      <c r="WQR574" s="1831"/>
      <c r="WQS574" s="1831"/>
      <c r="WQT574" s="1831"/>
      <c r="WQU574" s="1831"/>
      <c r="WQV574" s="1831"/>
      <c r="WQW574" s="1831"/>
      <c r="WQX574" s="1831"/>
      <c r="WQY574" s="1831"/>
      <c r="WQZ574" s="1831"/>
      <c r="WRA574" s="1831"/>
      <c r="WRB574" s="1831"/>
      <c r="WRC574" s="1831"/>
      <c r="WRD574" s="1831"/>
      <c r="WRE574" s="1831"/>
      <c r="WRF574" s="1831"/>
      <c r="WRG574" s="1831"/>
      <c r="WRH574" s="1831"/>
      <c r="WRI574" s="1831"/>
      <c r="WRJ574" s="1831"/>
      <c r="WRK574" s="1831"/>
      <c r="WRL574" s="1831"/>
      <c r="WRM574" s="1831"/>
      <c r="WRN574" s="1831"/>
      <c r="WRO574" s="1831"/>
      <c r="WRP574" s="1831"/>
      <c r="WRQ574" s="1831"/>
      <c r="WRR574" s="1831"/>
      <c r="WRS574" s="1831"/>
      <c r="WRT574" s="1831"/>
      <c r="WRU574" s="1831"/>
      <c r="WRV574" s="1831"/>
      <c r="WRW574" s="1831"/>
      <c r="WRX574" s="1831"/>
      <c r="WRY574" s="1831"/>
      <c r="WRZ574" s="1831"/>
      <c r="WSA574" s="1831"/>
      <c r="WSB574" s="1831"/>
      <c r="WSC574" s="1831"/>
      <c r="WSD574" s="1831"/>
      <c r="WSE574" s="1831"/>
      <c r="WSF574" s="1831"/>
      <c r="WSG574" s="1831"/>
      <c r="WSH574" s="1831"/>
      <c r="WSI574" s="1831"/>
      <c r="WSJ574" s="1831"/>
      <c r="WSK574" s="1831"/>
      <c r="WSL574" s="1831"/>
      <c r="WSM574" s="1831"/>
      <c r="WSN574" s="1831"/>
      <c r="WSO574" s="1831"/>
      <c r="WSP574" s="1831"/>
      <c r="WSQ574" s="1831"/>
      <c r="WSR574" s="1831"/>
      <c r="WSS574" s="1831"/>
      <c r="WST574" s="1831"/>
      <c r="WSU574" s="1831"/>
      <c r="WSV574" s="1831"/>
      <c r="WSW574" s="1831"/>
      <c r="WSX574" s="1831"/>
      <c r="WSY574" s="1831"/>
      <c r="WSZ574" s="1831"/>
      <c r="WTA574" s="1831"/>
      <c r="WTB574" s="1831"/>
      <c r="WTC574" s="1831"/>
      <c r="WTD574" s="1831"/>
      <c r="WTE574" s="1831"/>
      <c r="WTF574" s="1831"/>
      <c r="WTG574" s="1831"/>
      <c r="WTH574" s="1831"/>
      <c r="WTI574" s="1831"/>
      <c r="WTJ574" s="1831"/>
      <c r="WTK574" s="1831"/>
      <c r="WTL574" s="1831"/>
      <c r="WTM574" s="1831"/>
      <c r="WTN574" s="1831"/>
      <c r="WTO574" s="1831"/>
      <c r="WTP574" s="1831"/>
      <c r="WTQ574" s="1831"/>
      <c r="WTR574" s="1831"/>
      <c r="WTS574" s="1831"/>
      <c r="WTT574" s="1831"/>
      <c r="WTU574" s="1831"/>
      <c r="WTV574" s="1831"/>
      <c r="WTW574" s="1831"/>
      <c r="WTX574" s="1831"/>
      <c r="WTY574" s="1831"/>
      <c r="WTZ574" s="1831"/>
      <c r="WUA574" s="1831"/>
      <c r="WUB574" s="1831"/>
      <c r="WUC574" s="1831"/>
      <c r="WUD574" s="1831"/>
      <c r="WUE574" s="1831"/>
      <c r="WUF574" s="1831"/>
      <c r="WUG574" s="1831"/>
      <c r="WUH574" s="1831"/>
      <c r="WUI574" s="1831"/>
      <c r="WUJ574" s="1831"/>
      <c r="WUK574" s="1831"/>
      <c r="WUL574" s="1831"/>
      <c r="WUM574" s="1831"/>
      <c r="WUN574" s="1831"/>
      <c r="WUO574" s="1831"/>
      <c r="WUP574" s="1831"/>
      <c r="WUQ574" s="1831"/>
      <c r="WUR574" s="1831"/>
      <c r="WUS574" s="1831"/>
      <c r="WUT574" s="1831"/>
      <c r="WUU574" s="1831"/>
      <c r="WUV574" s="1831"/>
      <c r="WUW574" s="1831"/>
      <c r="WUX574" s="1831"/>
      <c r="WUY574" s="1831"/>
      <c r="WUZ574" s="1831"/>
      <c r="WVA574" s="1831"/>
      <c r="WVB574" s="1831"/>
      <c r="WVC574" s="1831"/>
      <c r="WVD574" s="1831"/>
      <c r="WVE574" s="1831"/>
      <c r="WVF574" s="1831"/>
      <c r="WVG574" s="1831"/>
      <c r="WVH574" s="1831"/>
      <c r="WVI574" s="1831"/>
      <c r="WVJ574" s="1831"/>
      <c r="WVK574" s="1831"/>
      <c r="WVL574" s="1831"/>
      <c r="WVM574" s="1831"/>
      <c r="WVN574" s="1831"/>
      <c r="WVO574" s="1831"/>
      <c r="WVP574" s="1831"/>
      <c r="WVQ574" s="1831"/>
      <c r="WVR574" s="1831"/>
      <c r="WVS574" s="1831"/>
      <c r="WVT574" s="1831"/>
      <c r="WVU574" s="1831"/>
      <c r="WVV574" s="1831"/>
      <c r="WVW574" s="1831"/>
      <c r="WVX574" s="1831"/>
      <c r="WVY574" s="1831"/>
      <c r="WVZ574" s="1831"/>
      <c r="WWA574" s="1831"/>
      <c r="WWB574" s="1831"/>
      <c r="WWC574" s="1831"/>
      <c r="WWD574" s="1831"/>
      <c r="WWE574" s="1831"/>
      <c r="WWF574" s="1831"/>
      <c r="WWG574" s="1831"/>
      <c r="WWH574" s="1831"/>
      <c r="WWI574" s="1831"/>
      <c r="WWJ574" s="1831"/>
      <c r="WWK574" s="1831"/>
      <c r="WWL574" s="1831"/>
      <c r="WWM574" s="1831"/>
      <c r="WWN574" s="1831"/>
      <c r="WWO574" s="1831"/>
      <c r="WWP574" s="1831"/>
      <c r="WWQ574" s="1831"/>
      <c r="WWR574" s="1831"/>
      <c r="WWS574" s="1831"/>
      <c r="WWT574" s="1831"/>
      <c r="WWU574" s="1831"/>
      <c r="WWV574" s="1831"/>
      <c r="WWW574" s="1831"/>
      <c r="WWX574" s="1831"/>
      <c r="WWY574" s="1831"/>
      <c r="WWZ574" s="1831"/>
      <c r="WXA574" s="1831"/>
      <c r="WXB574" s="1831"/>
      <c r="WXC574" s="1831"/>
      <c r="WXD574" s="1831"/>
      <c r="WXE574" s="1831"/>
      <c r="WXF574" s="1831"/>
      <c r="WXG574" s="1831"/>
      <c r="WXH574" s="1831"/>
      <c r="WXI574" s="1831"/>
      <c r="WXJ574" s="1831"/>
      <c r="WXK574" s="1831"/>
      <c r="WXL574" s="1831"/>
      <c r="WXM574" s="1831"/>
      <c r="WXN574" s="1831"/>
      <c r="WXO574" s="1831"/>
      <c r="WXP574" s="1831"/>
      <c r="WXQ574" s="1831"/>
      <c r="WXR574" s="1831"/>
      <c r="WXS574" s="1831"/>
      <c r="WXT574" s="1831"/>
      <c r="WXU574" s="1831"/>
      <c r="WXV574" s="1831"/>
      <c r="WXW574" s="1831"/>
      <c r="WXX574" s="1831"/>
      <c r="WXY574" s="1831"/>
      <c r="WXZ574" s="1831"/>
      <c r="WYA574" s="1831"/>
      <c r="WYB574" s="1831"/>
      <c r="WYC574" s="1831"/>
      <c r="WYD574" s="1831"/>
      <c r="WYE574" s="1831"/>
      <c r="WYF574" s="1831"/>
      <c r="WYG574" s="1831"/>
      <c r="WYH574" s="1831"/>
      <c r="WYI574" s="1831"/>
      <c r="WYJ574" s="1831"/>
      <c r="WYK574" s="1831"/>
      <c r="WYL574" s="1831"/>
      <c r="WYM574" s="1831"/>
      <c r="WYN574" s="1831"/>
      <c r="WYO574" s="1831"/>
      <c r="WYP574" s="1831"/>
      <c r="WYQ574" s="1831"/>
      <c r="WYR574" s="1831"/>
      <c r="WYS574" s="1831"/>
      <c r="WYT574" s="1831"/>
      <c r="WYU574" s="1831"/>
      <c r="WYV574" s="1831"/>
      <c r="WYW574" s="1831"/>
      <c r="WYX574" s="1831"/>
      <c r="WYY574" s="1831"/>
      <c r="WYZ574" s="1831"/>
      <c r="WZA574" s="1831"/>
      <c r="WZB574" s="1831"/>
      <c r="WZC574" s="1831"/>
      <c r="WZD574" s="1831"/>
      <c r="WZE574" s="1831"/>
      <c r="WZF574" s="1831"/>
      <c r="WZG574" s="1831"/>
      <c r="WZH574" s="1831"/>
      <c r="WZI574" s="1831"/>
      <c r="WZJ574" s="1831"/>
      <c r="WZK574" s="1831"/>
      <c r="WZL574" s="1831"/>
      <c r="WZM574" s="1831"/>
      <c r="WZN574" s="1831"/>
      <c r="WZO574" s="1831"/>
      <c r="WZP574" s="1831"/>
      <c r="WZQ574" s="1831"/>
      <c r="WZR574" s="1831"/>
      <c r="WZS574" s="1831"/>
      <c r="WZT574" s="1831"/>
      <c r="WZU574" s="1831"/>
      <c r="WZV574" s="1831"/>
      <c r="WZW574" s="1831"/>
      <c r="WZX574" s="1831"/>
      <c r="WZY574" s="1831"/>
      <c r="WZZ574" s="1831"/>
      <c r="XAA574" s="1831"/>
      <c r="XAB574" s="1831"/>
      <c r="XAC574" s="1831"/>
      <c r="XAD574" s="1831"/>
      <c r="XAE574" s="1831"/>
      <c r="XAF574" s="1831"/>
      <c r="XAG574" s="1831"/>
      <c r="XAH574" s="1831"/>
      <c r="XAI574" s="1831"/>
      <c r="XAJ574" s="1831"/>
      <c r="XAK574" s="1831"/>
      <c r="XAL574" s="1831"/>
      <c r="XAM574" s="1831"/>
      <c r="XAN574" s="1831"/>
      <c r="XAO574" s="1831"/>
      <c r="XAP574" s="1831"/>
      <c r="XAQ574" s="1831"/>
      <c r="XAR574" s="1831"/>
      <c r="XAS574" s="1831"/>
      <c r="XAT574" s="1831"/>
      <c r="XAU574" s="1831"/>
      <c r="XAV574" s="1831"/>
      <c r="XAW574" s="1831"/>
      <c r="XAX574" s="1831"/>
      <c r="XAY574" s="1831"/>
      <c r="XAZ574" s="1831"/>
      <c r="XBA574" s="1831"/>
      <c r="XBB574" s="1831"/>
      <c r="XBC574" s="1831"/>
      <c r="XBD574" s="1831"/>
      <c r="XBE574" s="1831"/>
      <c r="XBF574" s="1831"/>
      <c r="XBG574" s="1831"/>
      <c r="XBH574" s="1831"/>
      <c r="XBI574" s="1831"/>
      <c r="XBJ574" s="1831"/>
      <c r="XBK574" s="1831"/>
      <c r="XBL574" s="1831"/>
      <c r="XBM574" s="1831"/>
      <c r="XBN574" s="1831"/>
      <c r="XBO574" s="1831"/>
      <c r="XBP574" s="1831"/>
      <c r="XBQ574" s="1831"/>
      <c r="XBR574" s="1831"/>
      <c r="XBS574" s="1831"/>
      <c r="XBT574" s="1831"/>
      <c r="XBU574" s="1831"/>
      <c r="XBV574" s="1831"/>
      <c r="XBW574" s="1831"/>
      <c r="XBX574" s="1831"/>
      <c r="XBY574" s="1831"/>
      <c r="XBZ574" s="1831"/>
      <c r="XCA574" s="1831"/>
      <c r="XCB574" s="1831"/>
      <c r="XCC574" s="1831"/>
      <c r="XCD574" s="1831"/>
      <c r="XCE574" s="1831"/>
      <c r="XCF574" s="1831"/>
      <c r="XCG574" s="1831"/>
      <c r="XCH574" s="1831"/>
      <c r="XCI574" s="1831"/>
      <c r="XCJ574" s="1831"/>
      <c r="XCK574" s="1831"/>
      <c r="XCL574" s="1831"/>
      <c r="XCM574" s="1831"/>
      <c r="XCN574" s="1831"/>
      <c r="XCO574" s="1831"/>
      <c r="XCP574" s="1831"/>
      <c r="XCQ574" s="1831"/>
      <c r="XCR574" s="1831"/>
      <c r="XCS574" s="1831"/>
      <c r="XCT574" s="1831"/>
      <c r="XCU574" s="1831"/>
      <c r="XCV574" s="1831"/>
      <c r="XCW574" s="1831"/>
      <c r="XCX574" s="1831"/>
      <c r="XCY574" s="1831"/>
      <c r="XCZ574" s="1831"/>
      <c r="XDA574" s="1831"/>
      <c r="XDB574" s="1831"/>
      <c r="XDC574" s="1831"/>
      <c r="XDD574" s="1831"/>
      <c r="XDE574" s="1831"/>
      <c r="XDF574" s="1831"/>
      <c r="XDG574" s="1831"/>
      <c r="XDH574" s="1831"/>
      <c r="XDI574" s="1831"/>
      <c r="XDJ574" s="1831"/>
      <c r="XDK574" s="1831"/>
      <c r="XDL574" s="1831"/>
      <c r="XDM574" s="1831"/>
      <c r="XDN574" s="1831"/>
      <c r="XDO574" s="1831"/>
      <c r="XDP574" s="1831"/>
      <c r="XDQ574" s="1831"/>
      <c r="XDR574" s="1831"/>
      <c r="XDS574" s="1831"/>
      <c r="XDT574" s="1831"/>
      <c r="XDU574" s="1831"/>
      <c r="XDV574" s="1831"/>
      <c r="XDW574" s="1831"/>
      <c r="XDX574" s="1831"/>
      <c r="XDY574" s="1831"/>
      <c r="XDZ574" s="1831"/>
      <c r="XEA574" s="1831"/>
      <c r="XEB574" s="1831"/>
      <c r="XEC574" s="1831"/>
      <c r="XED574" s="1831"/>
      <c r="XEE574" s="1831"/>
      <c r="XEF574" s="1831"/>
      <c r="XEG574" s="1831"/>
      <c r="XEH574" s="1831"/>
      <c r="XEI574" s="1831"/>
      <c r="XEJ574" s="1831"/>
      <c r="XEK574" s="1831"/>
      <c r="XEL574" s="1831"/>
      <c r="XEM574" s="1831"/>
      <c r="XEN574" s="1831"/>
      <c r="XEO574" s="1831"/>
      <c r="XEP574" s="1831"/>
      <c r="XEQ574" s="1831"/>
      <c r="XER574" s="1831"/>
      <c r="XES574" s="1831"/>
      <c r="XET574" s="1831"/>
      <c r="XEU574" s="1831"/>
      <c r="XEV574" s="1831"/>
      <c r="XEW574" s="1831"/>
      <c r="XEX574" s="1831"/>
    </row>
    <row r="575" spans="1:16378" hidden="1" outlineLevel="1" x14ac:dyDescent="0.3">
      <c r="A575" s="1070"/>
      <c r="B575" s="1070"/>
      <c r="C575" s="1070"/>
      <c r="D575" s="1070"/>
      <c r="E575" s="1070"/>
      <c r="F575" s="1070"/>
      <c r="G575" s="1070"/>
      <c r="H575" s="1070"/>
      <c r="I575" s="1070"/>
      <c r="J575" s="1070"/>
      <c r="K575" s="1070"/>
      <c r="L575" s="1070"/>
      <c r="M575" s="1070"/>
      <c r="N575" s="1070"/>
      <c r="O575" s="1070"/>
      <c r="P575" s="1070"/>
      <c r="Q575" s="1070"/>
      <c r="R575" s="1070"/>
      <c r="S575" s="1070"/>
      <c r="T575" s="1070"/>
      <c r="U575" s="1070"/>
      <c r="V575" s="1070"/>
      <c r="W575" s="1070"/>
      <c r="X575" s="1070"/>
      <c r="Y575" s="1070"/>
      <c r="Z575" s="1070"/>
      <c r="AA575" s="1070"/>
      <c r="AB575" s="1070"/>
      <c r="AC575" s="1070"/>
      <c r="AD575" s="1070"/>
      <c r="AE575" s="1070"/>
      <c r="AF575" s="1070"/>
      <c r="AG575" s="1070"/>
      <c r="AH575" s="1070"/>
      <c r="AI575" s="1070"/>
      <c r="AJ575" s="1070"/>
      <c r="AK575" s="1070"/>
      <c r="AL575" s="1070"/>
      <c r="AM575" s="1070"/>
      <c r="AN575" s="1070"/>
    </row>
    <row r="576" spans="1:16378" hidden="1" outlineLevel="1" x14ac:dyDescent="0.3">
      <c r="A576" s="1070"/>
      <c r="B576" s="1734" t="str">
        <f>B621</f>
        <v>Definition Exit Rebaseline 3 (RB3)</v>
      </c>
      <c r="C576" s="1070"/>
      <c r="D576" s="1070"/>
      <c r="E576" s="1070"/>
      <c r="F576" s="1070"/>
      <c r="G576" s="2057" t="s">
        <v>1525</v>
      </c>
      <c r="H576" s="1070"/>
      <c r="I576" s="1070"/>
      <c r="J576" s="1070"/>
      <c r="K576" s="1070"/>
      <c r="L576" s="1070"/>
      <c r="M576" s="1070"/>
      <c r="N576" s="1070"/>
      <c r="O576" s="1070"/>
      <c r="P576" s="1070"/>
      <c r="Q576" s="1070"/>
      <c r="R576" s="1070"/>
      <c r="S576" s="1070"/>
      <c r="T576" s="1070"/>
      <c r="U576" s="1070"/>
      <c r="V576" s="1070"/>
      <c r="W576" s="1070"/>
      <c r="X576" s="1070"/>
      <c r="Y576" s="1070"/>
      <c r="Z576" s="1070"/>
      <c r="AA576" s="1070"/>
      <c r="AB576" s="1070"/>
      <c r="AC576" s="1070"/>
      <c r="AD576" s="1070"/>
      <c r="AE576" s="1070"/>
      <c r="AF576" s="1070"/>
      <c r="AG576" s="1070"/>
      <c r="AH576" s="1070"/>
      <c r="AI576" s="1070"/>
      <c r="AJ576" s="1070"/>
      <c r="AK576" s="1070"/>
      <c r="AL576" s="1070"/>
      <c r="AM576" s="1070"/>
      <c r="AN576" s="1070"/>
    </row>
    <row r="577" spans="1:40" hidden="1" outlineLevel="1" x14ac:dyDescent="0.3">
      <c r="A577" s="1082"/>
      <c r="B577" s="1237"/>
      <c r="C577" s="1082"/>
      <c r="D577" s="1082"/>
      <c r="E577" s="1082"/>
      <c r="F577" s="1070"/>
      <c r="G577" s="1070"/>
      <c r="H577" s="1070"/>
      <c r="I577" s="1070"/>
      <c r="J577" s="1070"/>
      <c r="K577" s="1070"/>
      <c r="L577" s="1070"/>
      <c r="M577" s="1070"/>
      <c r="N577" s="1070"/>
      <c r="O577" s="1070"/>
      <c r="P577" s="1070"/>
      <c r="Q577" s="1070"/>
      <c r="R577" s="1070"/>
      <c r="S577" s="1070"/>
      <c r="T577" s="1070"/>
      <c r="U577" s="1070"/>
      <c r="V577" s="1070"/>
      <c r="W577" s="1070"/>
      <c r="X577" s="1070"/>
      <c r="Y577" s="1070"/>
      <c r="Z577" s="1070"/>
      <c r="AA577" s="1070"/>
      <c r="AB577" s="1070"/>
      <c r="AC577" s="1070"/>
      <c r="AD577" s="1070"/>
      <c r="AE577" s="1070"/>
      <c r="AF577" s="1070"/>
      <c r="AG577" s="1070"/>
      <c r="AH577" s="1070"/>
      <c r="AI577" s="1070"/>
      <c r="AJ577" s="1070"/>
      <c r="AK577" s="1070"/>
      <c r="AL577" s="1070"/>
      <c r="AM577" s="1070"/>
      <c r="AN577" s="1070"/>
    </row>
    <row r="578" spans="1:40" hidden="1" outlineLevel="1" x14ac:dyDescent="0.3">
      <c r="A578" s="1082"/>
      <c r="B578" s="1734" t="s">
        <v>1442</v>
      </c>
      <c r="C578" s="1070"/>
      <c r="D578" s="1070"/>
      <c r="E578" s="1070"/>
      <c r="F578" s="1070"/>
      <c r="G578" s="1070"/>
      <c r="H578" s="1070"/>
      <c r="I578" s="1070"/>
      <c r="J578" s="1070"/>
      <c r="K578" s="1070"/>
      <c r="L578" s="1070"/>
      <c r="M578" s="1070"/>
      <c r="N578" s="1070"/>
      <c r="O578" s="1070"/>
      <c r="P578" s="1070"/>
      <c r="Q578" s="1070"/>
      <c r="R578" s="1070"/>
      <c r="S578" s="1070"/>
      <c r="T578" s="1070"/>
      <c r="U578" s="1070"/>
      <c r="V578" s="1070"/>
      <c r="W578" s="1070"/>
      <c r="X578" s="1070"/>
      <c r="Y578" s="1070"/>
      <c r="Z578" s="1070"/>
      <c r="AA578" s="1070"/>
      <c r="AB578" s="1070"/>
      <c r="AC578" s="1070"/>
      <c r="AD578" s="1070"/>
      <c r="AE578" s="1070"/>
      <c r="AF578" s="1070"/>
      <c r="AG578" s="1070"/>
      <c r="AH578" s="1070"/>
      <c r="AI578" s="1070"/>
      <c r="AJ578" s="1070"/>
      <c r="AK578" s="1070"/>
      <c r="AL578" s="1070"/>
      <c r="AM578" s="1070"/>
      <c r="AN578" s="1070"/>
    </row>
    <row r="579" spans="1:40" hidden="1" outlineLevel="1" x14ac:dyDescent="0.3">
      <c r="A579" s="1082"/>
      <c r="B579" s="1070"/>
      <c r="C579" s="1070"/>
      <c r="D579" s="1739" t="s">
        <v>1432</v>
      </c>
      <c r="E579" s="1740" t="s">
        <v>682</v>
      </c>
      <c r="F579" s="1070"/>
      <c r="G579" s="1070"/>
      <c r="H579" s="1070"/>
      <c r="I579" s="1070"/>
      <c r="J579" s="1070"/>
      <c r="K579" s="1070"/>
      <c r="L579" s="1070"/>
      <c r="M579" s="1070"/>
      <c r="N579" s="1070"/>
      <c r="O579" s="1070"/>
      <c r="P579" s="1070"/>
      <c r="Q579" s="1070"/>
      <c r="R579" s="1070"/>
      <c r="S579" s="1070"/>
      <c r="T579" s="1070"/>
      <c r="U579" s="1070"/>
      <c r="V579" s="1070"/>
      <c r="W579" s="1070"/>
      <c r="X579" s="1070"/>
      <c r="Y579" s="1070"/>
      <c r="Z579" s="1070"/>
      <c r="AA579" s="1070"/>
      <c r="AB579" s="1070"/>
      <c r="AC579" s="1070"/>
      <c r="AD579" s="1070"/>
      <c r="AE579" s="1070"/>
      <c r="AF579" s="1070"/>
      <c r="AG579" s="1070"/>
      <c r="AH579" s="1070"/>
      <c r="AI579" s="1070"/>
      <c r="AJ579" s="1070"/>
      <c r="AK579" s="1070"/>
      <c r="AL579" s="1070"/>
      <c r="AM579" s="1070"/>
      <c r="AN579" s="1070"/>
    </row>
    <row r="580" spans="1:40" hidden="1" outlineLevel="1" x14ac:dyDescent="0.3">
      <c r="A580" s="1082"/>
      <c r="B580" s="1164" t="s">
        <v>1531</v>
      </c>
      <c r="C580" s="1146"/>
      <c r="D580" s="1743" t="s">
        <v>1445</v>
      </c>
      <c r="E580" s="1744" t="s">
        <v>1445</v>
      </c>
      <c r="F580" s="1070"/>
      <c r="G580" s="1153" t="s">
        <v>1532</v>
      </c>
      <c r="H580" s="1070"/>
      <c r="I580" s="1070"/>
      <c r="J580" s="1070"/>
      <c r="K580" s="1070"/>
      <c r="L580" s="1070"/>
      <c r="M580" s="1070"/>
      <c r="N580" s="1070"/>
      <c r="O580" s="1070"/>
      <c r="P580" s="1070"/>
      <c r="Q580" s="1070"/>
      <c r="R580" s="1070"/>
      <c r="S580" s="1070"/>
      <c r="T580" s="1070"/>
      <c r="U580" s="1070"/>
      <c r="V580" s="1070"/>
      <c r="W580" s="1070"/>
      <c r="X580" s="1070"/>
      <c r="Y580" s="1070"/>
      <c r="Z580" s="1070"/>
      <c r="AA580" s="1070"/>
      <c r="AB580" s="1070"/>
      <c r="AC580" s="1070"/>
      <c r="AD580" s="1070"/>
      <c r="AE580" s="1070"/>
      <c r="AF580" s="1070"/>
      <c r="AG580" s="1070"/>
      <c r="AH580" s="1070"/>
      <c r="AI580" s="1070"/>
      <c r="AJ580" s="1070"/>
      <c r="AK580" s="1070"/>
      <c r="AL580" s="1070"/>
      <c r="AM580" s="1070"/>
      <c r="AN580" s="1070"/>
    </row>
    <row r="581" spans="1:40" hidden="1" outlineLevel="1" x14ac:dyDescent="0.3">
      <c r="A581" s="1082"/>
      <c r="B581" s="1070"/>
      <c r="C581" s="1070"/>
      <c r="D581" s="1070"/>
      <c r="E581" s="1070"/>
      <c r="F581" s="1070"/>
      <c r="G581" s="1070"/>
      <c r="H581" s="1070"/>
      <c r="I581" s="1070"/>
      <c r="J581" s="1070"/>
      <c r="K581" s="1070"/>
      <c r="L581" s="1070"/>
      <c r="M581" s="1070"/>
      <c r="N581" s="1070"/>
      <c r="O581" s="1070"/>
      <c r="P581" s="1070"/>
      <c r="Q581" s="1070"/>
      <c r="R581" s="1070"/>
      <c r="S581" s="1070"/>
      <c r="T581" s="1070"/>
      <c r="U581" s="1070"/>
      <c r="V581" s="1070"/>
      <c r="W581" s="1070"/>
      <c r="X581" s="1070"/>
      <c r="Y581" s="1070"/>
      <c r="Z581" s="1070"/>
      <c r="AA581" s="1070"/>
      <c r="AB581" s="1070"/>
      <c r="AC581" s="1070"/>
      <c r="AD581" s="1070"/>
      <c r="AE581" s="1070"/>
      <c r="AF581" s="1070"/>
      <c r="AG581" s="1070"/>
      <c r="AH581" s="1070"/>
      <c r="AI581" s="1070"/>
      <c r="AJ581" s="1070"/>
      <c r="AK581" s="1070"/>
      <c r="AL581" s="1070"/>
      <c r="AM581" s="1070"/>
      <c r="AN581" s="1070"/>
    </row>
    <row r="582" spans="1:40" hidden="1" outlineLevel="1" x14ac:dyDescent="0.3">
      <c r="A582" s="1082"/>
      <c r="B582" s="1070"/>
      <c r="C582" s="1070"/>
      <c r="D582" s="1070"/>
      <c r="E582" s="1070"/>
      <c r="F582" s="1070"/>
      <c r="G582" s="1070"/>
      <c r="H582" s="1070"/>
      <c r="I582" s="1070"/>
      <c r="J582" s="1070"/>
      <c r="K582" s="1070"/>
      <c r="L582" s="1070"/>
      <c r="M582" s="1070"/>
      <c r="N582" s="1070"/>
      <c r="O582" s="1070"/>
      <c r="P582" s="1070"/>
      <c r="Q582" s="1070"/>
      <c r="R582" s="1070"/>
      <c r="S582" s="1070"/>
      <c r="T582" s="1070"/>
      <c r="U582" s="1070"/>
      <c r="V582" s="1070"/>
      <c r="W582" s="1070"/>
      <c r="X582" s="1070"/>
      <c r="Y582" s="1070"/>
      <c r="Z582" s="1070"/>
      <c r="AA582" s="1070"/>
      <c r="AB582" s="1070"/>
      <c r="AC582" s="1070"/>
      <c r="AD582" s="1070"/>
      <c r="AE582" s="1070"/>
      <c r="AF582" s="1070"/>
      <c r="AG582" s="1070"/>
      <c r="AH582" s="1070"/>
      <c r="AI582" s="1070"/>
      <c r="AJ582" s="1070"/>
      <c r="AK582" s="1070"/>
      <c r="AL582" s="1070"/>
      <c r="AM582" s="1070"/>
      <c r="AN582" s="1070"/>
    </row>
    <row r="583" spans="1:40" ht="17.25" hidden="1" customHeight="1" outlineLevel="1" x14ac:dyDescent="0.3">
      <c r="A583" s="1082"/>
      <c r="B583" s="1240"/>
      <c r="C583" s="1241"/>
      <c r="D583" s="1241"/>
      <c r="E583" s="1241"/>
      <c r="F583" s="1746" t="s">
        <v>739</v>
      </c>
      <c r="G583" s="1746" t="s">
        <v>1461</v>
      </c>
      <c r="H583" s="1746" t="s">
        <v>1461</v>
      </c>
      <c r="I583" s="1746" t="s">
        <v>1461</v>
      </c>
      <c r="J583" s="1746" t="s">
        <v>1461</v>
      </c>
      <c r="K583" s="1747" t="s">
        <v>1461</v>
      </c>
      <c r="L583" s="1747" t="s">
        <v>1461</v>
      </c>
      <c r="M583" s="1747" t="s">
        <v>1461</v>
      </c>
      <c r="N583" s="1747" t="s">
        <v>1461</v>
      </c>
      <c r="O583" s="1747" t="s">
        <v>1461</v>
      </c>
      <c r="P583" s="1747" t="s">
        <v>1461</v>
      </c>
      <c r="Q583" s="1747" t="s">
        <v>1461</v>
      </c>
      <c r="R583" s="1747" t="s">
        <v>1461</v>
      </c>
      <c r="S583" s="1747" t="s">
        <v>1461</v>
      </c>
      <c r="T583" s="1747" t="s">
        <v>1461</v>
      </c>
      <c r="U583" s="1747" t="s">
        <v>1461</v>
      </c>
      <c r="V583" s="1747" t="s">
        <v>1461</v>
      </c>
      <c r="W583" s="1747" t="s">
        <v>1461</v>
      </c>
      <c r="X583" s="1747" t="s">
        <v>1461</v>
      </c>
      <c r="Y583" s="1747" t="s">
        <v>1461</v>
      </c>
      <c r="Z583" s="1747" t="s">
        <v>1461</v>
      </c>
      <c r="AA583" s="1747" t="s">
        <v>1461</v>
      </c>
      <c r="AB583" s="1747" t="s">
        <v>1461</v>
      </c>
      <c r="AC583" s="1747" t="s">
        <v>1461</v>
      </c>
      <c r="AD583" s="1747" t="s">
        <v>1461</v>
      </c>
      <c r="AE583" s="1747" t="s">
        <v>1461</v>
      </c>
      <c r="AF583" s="1747" t="s">
        <v>1461</v>
      </c>
      <c r="AG583" s="1747" t="s">
        <v>1461</v>
      </c>
      <c r="AH583" s="1747" t="s">
        <v>1461</v>
      </c>
      <c r="AI583" s="1747" t="s">
        <v>1461</v>
      </c>
      <c r="AJ583" s="1748" t="s">
        <v>1316</v>
      </c>
      <c r="AK583" s="1749" t="s">
        <v>1315</v>
      </c>
      <c r="AL583" s="1750"/>
      <c r="AM583" s="1746" t="s">
        <v>1316</v>
      </c>
      <c r="AN583" s="1070"/>
    </row>
    <row r="584" spans="1:40" hidden="1" outlineLevel="1" x14ac:dyDescent="0.3">
      <c r="A584" s="1082"/>
      <c r="B584" s="1149"/>
      <c r="C584" s="1142"/>
      <c r="D584" s="1142"/>
      <c r="E584" s="1142"/>
      <c r="F584" s="1753"/>
      <c r="G584" s="1754"/>
      <c r="H584" s="1754"/>
      <c r="I584" s="1754"/>
      <c r="J584" s="1754"/>
      <c r="K584" s="1754"/>
      <c r="L584" s="1754"/>
      <c r="M584" s="1754"/>
      <c r="N584" s="1755"/>
      <c r="O584" s="1756"/>
      <c r="P584" s="1756"/>
      <c r="Q584" s="1756"/>
      <c r="R584" s="1756"/>
      <c r="S584" s="1756"/>
      <c r="T584" s="1756"/>
      <c r="U584" s="1756"/>
      <c r="V584" s="1756"/>
      <c r="W584" s="1756"/>
      <c r="X584" s="1756"/>
      <c r="Y584" s="1756"/>
      <c r="Z584" s="1756"/>
      <c r="AA584" s="1756"/>
      <c r="AB584" s="1756"/>
      <c r="AC584" s="1756"/>
      <c r="AD584" s="1756"/>
      <c r="AE584" s="1756"/>
      <c r="AF584" s="1756"/>
      <c r="AG584" s="1756"/>
      <c r="AH584" s="1756"/>
      <c r="AI584" s="1756"/>
      <c r="AJ584" s="1251"/>
      <c r="AK584" s="1252"/>
      <c r="AL584" s="1757"/>
      <c r="AN584" s="1070"/>
    </row>
    <row r="585" spans="1:40" ht="18" hidden="1" outlineLevel="1" x14ac:dyDescent="0.3">
      <c r="A585" s="1082"/>
      <c r="B585" s="1253" t="s">
        <v>784</v>
      </c>
      <c r="C585" s="1254"/>
      <c r="D585" s="1254"/>
      <c r="E585" s="1255"/>
      <c r="F585" s="1261">
        <v>0</v>
      </c>
      <c r="G585" s="1263">
        <v>0</v>
      </c>
      <c r="H585" s="1262">
        <v>0</v>
      </c>
      <c r="I585" s="1262">
        <v>0</v>
      </c>
      <c r="J585" s="1262">
        <v>0</v>
      </c>
      <c r="K585" s="1262">
        <v>0</v>
      </c>
      <c r="L585" s="1262">
        <v>0</v>
      </c>
      <c r="M585" s="1262">
        <v>0</v>
      </c>
      <c r="N585" s="1262">
        <v>0</v>
      </c>
      <c r="O585" s="1262">
        <v>0</v>
      </c>
      <c r="P585" s="1262">
        <v>0</v>
      </c>
      <c r="Q585" s="1262">
        <v>0</v>
      </c>
      <c r="R585" s="1262">
        <v>0</v>
      </c>
      <c r="S585" s="1262">
        <v>0</v>
      </c>
      <c r="T585" s="1262">
        <v>0</v>
      </c>
      <c r="U585" s="1262">
        <v>0</v>
      </c>
      <c r="V585" s="1262">
        <v>0</v>
      </c>
      <c r="W585" s="1262">
        <v>0</v>
      </c>
      <c r="X585" s="1262">
        <v>0</v>
      </c>
      <c r="Y585" s="1262">
        <v>0</v>
      </c>
      <c r="Z585" s="1262">
        <v>0</v>
      </c>
      <c r="AA585" s="1262">
        <v>0</v>
      </c>
      <c r="AB585" s="1262">
        <v>0</v>
      </c>
      <c r="AC585" s="1262">
        <v>0</v>
      </c>
      <c r="AD585" s="1262">
        <v>0</v>
      </c>
      <c r="AE585" s="1262">
        <v>0</v>
      </c>
      <c r="AF585" s="1262">
        <v>0</v>
      </c>
      <c r="AG585" s="1262">
        <v>0</v>
      </c>
      <c r="AH585" s="1262">
        <v>0</v>
      </c>
      <c r="AI585" s="1262">
        <v>0</v>
      </c>
      <c r="AJ585" s="1263">
        <v>0</v>
      </c>
      <c r="AK585" s="1264"/>
      <c r="AL585" s="1761"/>
      <c r="AM585" s="1261">
        <v>0</v>
      </c>
      <c r="AN585" s="1070"/>
    </row>
    <row r="586" spans="1:40" hidden="1" outlineLevel="1" x14ac:dyDescent="0.3">
      <c r="A586" s="1082"/>
      <c r="B586" s="1266" t="s">
        <v>1317</v>
      </c>
      <c r="C586" s="1267"/>
      <c r="D586" s="1267"/>
      <c r="E586" s="1267"/>
      <c r="F586" s="1274"/>
      <c r="G586" s="1276">
        <v>0</v>
      </c>
      <c r="H586" s="1275">
        <v>0</v>
      </c>
      <c r="I586" s="1275">
        <v>0</v>
      </c>
      <c r="J586" s="1275">
        <v>0</v>
      </c>
      <c r="K586" s="1275">
        <v>0</v>
      </c>
      <c r="L586" s="1275">
        <v>0</v>
      </c>
      <c r="M586" s="1275">
        <v>0</v>
      </c>
      <c r="N586" s="1275">
        <v>0</v>
      </c>
      <c r="O586" s="1275">
        <v>0</v>
      </c>
      <c r="P586" s="1275">
        <v>0</v>
      </c>
      <c r="Q586" s="1275">
        <v>0</v>
      </c>
      <c r="R586" s="1275">
        <v>0</v>
      </c>
      <c r="S586" s="1275">
        <v>0</v>
      </c>
      <c r="T586" s="1275">
        <v>0</v>
      </c>
      <c r="U586" s="1275">
        <v>0</v>
      </c>
      <c r="V586" s="1275">
        <v>0</v>
      </c>
      <c r="W586" s="1275">
        <v>0</v>
      </c>
      <c r="X586" s="1275">
        <v>0</v>
      </c>
      <c r="Y586" s="1275">
        <v>0</v>
      </c>
      <c r="Z586" s="1275">
        <v>0</v>
      </c>
      <c r="AA586" s="1275">
        <v>0</v>
      </c>
      <c r="AB586" s="1275">
        <v>0</v>
      </c>
      <c r="AC586" s="1275">
        <v>0</v>
      </c>
      <c r="AD586" s="1275">
        <v>0</v>
      </c>
      <c r="AE586" s="1275">
        <v>0</v>
      </c>
      <c r="AF586" s="1275">
        <v>0</v>
      </c>
      <c r="AG586" s="1275">
        <v>0</v>
      </c>
      <c r="AH586" s="1275">
        <v>0</v>
      </c>
      <c r="AI586" s="1275">
        <v>0</v>
      </c>
      <c r="AJ586" s="1276">
        <v>0</v>
      </c>
      <c r="AK586" s="1277" t="s">
        <v>1318</v>
      </c>
      <c r="AL586" s="1762"/>
      <c r="AM586" s="1279"/>
      <c r="AN586" s="1070"/>
    </row>
    <row r="587" spans="1:40" hidden="1" outlineLevel="1" x14ac:dyDescent="0.3">
      <c r="A587" s="1082"/>
      <c r="B587" s="1266" t="s">
        <v>1319</v>
      </c>
      <c r="C587" s="1766" t="s">
        <v>1449</v>
      </c>
      <c r="D587" s="1767"/>
      <c r="E587" s="1267"/>
      <c r="F587" s="1274"/>
      <c r="G587" s="1276">
        <v>0</v>
      </c>
      <c r="H587" s="1275">
        <v>0</v>
      </c>
      <c r="I587" s="1275">
        <v>0</v>
      </c>
      <c r="J587" s="1275">
        <v>0</v>
      </c>
      <c r="K587" s="1275">
        <v>0</v>
      </c>
      <c r="L587" s="1275">
        <v>0</v>
      </c>
      <c r="M587" s="1275">
        <v>0</v>
      </c>
      <c r="N587" s="1275">
        <v>0</v>
      </c>
      <c r="O587" s="1275">
        <v>0</v>
      </c>
      <c r="P587" s="1275">
        <v>0</v>
      </c>
      <c r="Q587" s="1275">
        <v>0</v>
      </c>
      <c r="R587" s="1275">
        <v>0</v>
      </c>
      <c r="S587" s="1275">
        <v>0</v>
      </c>
      <c r="T587" s="1275">
        <v>0</v>
      </c>
      <c r="U587" s="1275">
        <v>0</v>
      </c>
      <c r="V587" s="1275">
        <v>0</v>
      </c>
      <c r="W587" s="1275">
        <v>0</v>
      </c>
      <c r="X587" s="1275">
        <v>0</v>
      </c>
      <c r="Y587" s="1275">
        <v>0</v>
      </c>
      <c r="Z587" s="1275">
        <v>0</v>
      </c>
      <c r="AA587" s="1275">
        <v>0</v>
      </c>
      <c r="AB587" s="1275">
        <v>0</v>
      </c>
      <c r="AC587" s="1275">
        <v>0</v>
      </c>
      <c r="AD587" s="1275">
        <v>0</v>
      </c>
      <c r="AE587" s="1275">
        <v>0</v>
      </c>
      <c r="AF587" s="1275">
        <v>0</v>
      </c>
      <c r="AG587" s="1275">
        <v>0</v>
      </c>
      <c r="AH587" s="1275">
        <v>0</v>
      </c>
      <c r="AI587" s="1275">
        <v>0</v>
      </c>
      <c r="AJ587" s="1276">
        <v>0</v>
      </c>
      <c r="AK587" s="1277"/>
      <c r="AL587" s="1762"/>
      <c r="AM587" s="1279"/>
      <c r="AN587" s="1070"/>
    </row>
    <row r="588" spans="1:40" ht="18" hidden="1" outlineLevel="1" x14ac:dyDescent="0.3">
      <c r="A588" s="1082"/>
      <c r="B588" s="1283" t="s">
        <v>1320</v>
      </c>
      <c r="C588" s="1284"/>
      <c r="D588" s="1284"/>
      <c r="E588" s="1286"/>
      <c r="F588" s="1292"/>
      <c r="G588" s="1768">
        <v>0</v>
      </c>
      <c r="H588" s="1769">
        <v>0</v>
      </c>
      <c r="I588" s="1769">
        <v>0</v>
      </c>
      <c r="J588" s="1769">
        <v>0</v>
      </c>
      <c r="K588" s="1769">
        <v>0</v>
      </c>
      <c r="L588" s="1769">
        <v>0</v>
      </c>
      <c r="M588" s="1769">
        <v>0</v>
      </c>
      <c r="N588" s="1769">
        <v>0</v>
      </c>
      <c r="O588" s="1769">
        <v>0</v>
      </c>
      <c r="P588" s="1769">
        <v>0</v>
      </c>
      <c r="Q588" s="1769">
        <v>0</v>
      </c>
      <c r="R588" s="1769">
        <v>0</v>
      </c>
      <c r="S588" s="1769">
        <v>0</v>
      </c>
      <c r="T588" s="1769">
        <v>0</v>
      </c>
      <c r="U588" s="1769">
        <v>0</v>
      </c>
      <c r="V588" s="1769">
        <v>0</v>
      </c>
      <c r="W588" s="1769">
        <v>0</v>
      </c>
      <c r="X588" s="1769">
        <v>0</v>
      </c>
      <c r="Y588" s="1769">
        <v>0</v>
      </c>
      <c r="Z588" s="1769">
        <v>0</v>
      </c>
      <c r="AA588" s="1769">
        <v>0</v>
      </c>
      <c r="AB588" s="1769">
        <v>0</v>
      </c>
      <c r="AC588" s="1769">
        <v>0</v>
      </c>
      <c r="AD588" s="1769">
        <v>0</v>
      </c>
      <c r="AE588" s="1769">
        <v>0</v>
      </c>
      <c r="AF588" s="1769">
        <v>0</v>
      </c>
      <c r="AG588" s="1769">
        <v>0</v>
      </c>
      <c r="AH588" s="1769">
        <v>0</v>
      </c>
      <c r="AI588" s="1769">
        <v>0</v>
      </c>
      <c r="AJ588" s="1768">
        <v>0</v>
      </c>
      <c r="AK588" s="1295"/>
      <c r="AL588" s="1761"/>
      <c r="AM588" s="1296">
        <v>0</v>
      </c>
      <c r="AN588" s="1070"/>
    </row>
    <row r="589" spans="1:40" ht="18" hidden="1" outlineLevel="1" x14ac:dyDescent="0.3">
      <c r="A589" s="1082"/>
      <c r="B589" s="1297" t="s">
        <v>1321</v>
      </c>
      <c r="C589" s="1298"/>
      <c r="D589" s="1298"/>
      <c r="E589" s="1298"/>
      <c r="F589" s="1304">
        <v>0</v>
      </c>
      <c r="G589" s="1306">
        <v>0</v>
      </c>
      <c r="H589" s="1305">
        <v>0</v>
      </c>
      <c r="I589" s="1305">
        <v>0</v>
      </c>
      <c r="J589" s="1305">
        <v>0</v>
      </c>
      <c r="K589" s="1305">
        <v>0</v>
      </c>
      <c r="L589" s="1305">
        <v>0</v>
      </c>
      <c r="M589" s="1305">
        <v>0</v>
      </c>
      <c r="N589" s="1305">
        <v>0</v>
      </c>
      <c r="O589" s="1305">
        <v>0</v>
      </c>
      <c r="P589" s="1305">
        <v>0</v>
      </c>
      <c r="Q589" s="1305">
        <v>0</v>
      </c>
      <c r="R589" s="1305">
        <v>0</v>
      </c>
      <c r="S589" s="1305">
        <v>0</v>
      </c>
      <c r="T589" s="1305">
        <v>0</v>
      </c>
      <c r="U589" s="1305">
        <v>0</v>
      </c>
      <c r="V589" s="1305">
        <v>0</v>
      </c>
      <c r="W589" s="1305">
        <v>0</v>
      </c>
      <c r="X589" s="1305">
        <v>0</v>
      </c>
      <c r="Y589" s="1305">
        <v>0</v>
      </c>
      <c r="Z589" s="1305">
        <v>0</v>
      </c>
      <c r="AA589" s="1305">
        <v>0</v>
      </c>
      <c r="AB589" s="1305">
        <v>0</v>
      </c>
      <c r="AC589" s="1305">
        <v>0</v>
      </c>
      <c r="AD589" s="1305">
        <v>0</v>
      </c>
      <c r="AE589" s="1305">
        <v>0</v>
      </c>
      <c r="AF589" s="1305">
        <v>0</v>
      </c>
      <c r="AG589" s="1305">
        <v>0</v>
      </c>
      <c r="AH589" s="1305">
        <v>0</v>
      </c>
      <c r="AI589" s="1305">
        <v>0</v>
      </c>
      <c r="AJ589" s="1306">
        <v>0</v>
      </c>
      <c r="AK589" s="1307">
        <v>0</v>
      </c>
      <c r="AL589" s="1770"/>
      <c r="AM589" s="1304">
        <v>0</v>
      </c>
      <c r="AN589" s="1070"/>
    </row>
    <row r="590" spans="1:40" ht="18" hidden="1" outlineLevel="1" x14ac:dyDescent="0.3">
      <c r="A590" s="1082"/>
      <c r="B590" s="1297" t="s">
        <v>1322</v>
      </c>
      <c r="C590" s="1298"/>
      <c r="D590" s="1298"/>
      <c r="E590" s="1298"/>
      <c r="F590" s="1304">
        <v>0</v>
      </c>
      <c r="G590" s="1306">
        <v>0</v>
      </c>
      <c r="H590" s="1305">
        <v>0</v>
      </c>
      <c r="I590" s="1305">
        <v>0</v>
      </c>
      <c r="J590" s="1305">
        <v>0</v>
      </c>
      <c r="K590" s="1305">
        <v>0</v>
      </c>
      <c r="L590" s="1305">
        <v>0</v>
      </c>
      <c r="M590" s="1305">
        <v>0</v>
      </c>
      <c r="N590" s="1305">
        <v>0</v>
      </c>
      <c r="O590" s="1305">
        <v>0</v>
      </c>
      <c r="P590" s="1305">
        <v>0</v>
      </c>
      <c r="Q590" s="1305">
        <v>0</v>
      </c>
      <c r="R590" s="1305">
        <v>0</v>
      </c>
      <c r="S590" s="1305">
        <v>0</v>
      </c>
      <c r="T590" s="1305">
        <v>0</v>
      </c>
      <c r="U590" s="1305">
        <v>0</v>
      </c>
      <c r="V590" s="1305">
        <v>0</v>
      </c>
      <c r="W590" s="1305">
        <v>0</v>
      </c>
      <c r="X590" s="1305">
        <v>0</v>
      </c>
      <c r="Y590" s="1305">
        <v>0</v>
      </c>
      <c r="Z590" s="1305">
        <v>0</v>
      </c>
      <c r="AA590" s="1305">
        <v>0</v>
      </c>
      <c r="AB590" s="1305">
        <v>0</v>
      </c>
      <c r="AC590" s="1305">
        <v>0</v>
      </c>
      <c r="AD590" s="1305">
        <v>0</v>
      </c>
      <c r="AE590" s="1305">
        <v>0</v>
      </c>
      <c r="AF590" s="1305">
        <v>0</v>
      </c>
      <c r="AG590" s="1305">
        <v>0</v>
      </c>
      <c r="AH590" s="1305">
        <v>0</v>
      </c>
      <c r="AI590" s="1305">
        <v>0</v>
      </c>
      <c r="AJ590" s="1306">
        <v>0</v>
      </c>
      <c r="AK590" s="1307">
        <v>0</v>
      </c>
      <c r="AL590" s="1770"/>
      <c r="AM590" s="1304">
        <v>0</v>
      </c>
      <c r="AN590" s="1070"/>
    </row>
    <row r="591" spans="1:40" ht="18" hidden="1" outlineLevel="1" x14ac:dyDescent="0.3">
      <c r="A591" s="1082"/>
      <c r="B591" s="1308" t="s">
        <v>286</v>
      </c>
      <c r="C591" s="1309"/>
      <c r="D591" s="1309"/>
      <c r="E591" s="1309"/>
      <c r="F591" s="1315">
        <v>0</v>
      </c>
      <c r="G591" s="1317">
        <v>0</v>
      </c>
      <c r="H591" s="1316">
        <v>0</v>
      </c>
      <c r="I591" s="1316">
        <v>0</v>
      </c>
      <c r="J591" s="1316">
        <v>0</v>
      </c>
      <c r="K591" s="1316">
        <v>0</v>
      </c>
      <c r="L591" s="1316">
        <v>0</v>
      </c>
      <c r="M591" s="1316">
        <v>0</v>
      </c>
      <c r="N591" s="1316">
        <v>0</v>
      </c>
      <c r="O591" s="1316">
        <v>0</v>
      </c>
      <c r="P591" s="1316">
        <v>0</v>
      </c>
      <c r="Q591" s="1316">
        <v>0</v>
      </c>
      <c r="R591" s="1316">
        <v>0</v>
      </c>
      <c r="S591" s="1316">
        <v>0</v>
      </c>
      <c r="T591" s="1316">
        <v>0</v>
      </c>
      <c r="U591" s="1316">
        <v>0</v>
      </c>
      <c r="V591" s="1316">
        <v>0</v>
      </c>
      <c r="W591" s="1316">
        <v>0</v>
      </c>
      <c r="X591" s="1316">
        <v>0</v>
      </c>
      <c r="Y591" s="1316">
        <v>0</v>
      </c>
      <c r="Z591" s="1316">
        <v>0</v>
      </c>
      <c r="AA591" s="1316">
        <v>0</v>
      </c>
      <c r="AB591" s="1316">
        <v>0</v>
      </c>
      <c r="AC591" s="1316">
        <v>0</v>
      </c>
      <c r="AD591" s="1316">
        <v>0</v>
      </c>
      <c r="AE591" s="1316">
        <v>0</v>
      </c>
      <c r="AF591" s="1316">
        <v>0</v>
      </c>
      <c r="AG591" s="1316">
        <v>0</v>
      </c>
      <c r="AH591" s="1316">
        <v>0</v>
      </c>
      <c r="AI591" s="1316">
        <v>0</v>
      </c>
      <c r="AJ591" s="1317">
        <v>0</v>
      </c>
      <c r="AK591" s="1318"/>
      <c r="AL591" s="1761"/>
      <c r="AM591" s="1315">
        <v>0</v>
      </c>
      <c r="AN591" s="1070"/>
    </row>
    <row r="592" spans="1:40" hidden="1" outlineLevel="1" x14ac:dyDescent="0.3">
      <c r="A592" s="1082"/>
      <c r="B592" s="1320"/>
      <c r="C592" s="1321" t="s">
        <v>1323</v>
      </c>
      <c r="D592" s="1321"/>
      <c r="E592" s="1323"/>
      <c r="F592" s="1330"/>
      <c r="G592" s="1332">
        <v>0</v>
      </c>
      <c r="H592" s="1331">
        <v>0</v>
      </c>
      <c r="I592" s="1331">
        <v>0</v>
      </c>
      <c r="J592" s="1331">
        <v>0</v>
      </c>
      <c r="K592" s="1331">
        <v>0</v>
      </c>
      <c r="L592" s="1331">
        <v>0</v>
      </c>
      <c r="M592" s="1331">
        <v>0</v>
      </c>
      <c r="N592" s="1331">
        <v>0</v>
      </c>
      <c r="O592" s="1331">
        <v>0</v>
      </c>
      <c r="P592" s="1331">
        <v>0</v>
      </c>
      <c r="Q592" s="1331">
        <v>0</v>
      </c>
      <c r="R592" s="1331">
        <v>0</v>
      </c>
      <c r="S592" s="1331">
        <v>0</v>
      </c>
      <c r="T592" s="1331">
        <v>0</v>
      </c>
      <c r="U592" s="1331">
        <v>0</v>
      </c>
      <c r="V592" s="1331">
        <v>0</v>
      </c>
      <c r="W592" s="1331">
        <v>0</v>
      </c>
      <c r="X592" s="1331">
        <v>0</v>
      </c>
      <c r="Y592" s="1331">
        <v>0</v>
      </c>
      <c r="Z592" s="1331">
        <v>0</v>
      </c>
      <c r="AA592" s="1331">
        <v>0</v>
      </c>
      <c r="AB592" s="1331">
        <v>0</v>
      </c>
      <c r="AC592" s="1331">
        <v>0</v>
      </c>
      <c r="AD592" s="1331">
        <v>0</v>
      </c>
      <c r="AE592" s="1331">
        <v>0</v>
      </c>
      <c r="AF592" s="1331">
        <v>0</v>
      </c>
      <c r="AG592" s="1331">
        <v>0</v>
      </c>
      <c r="AH592" s="1331">
        <v>0</v>
      </c>
      <c r="AI592" s="1331">
        <v>0</v>
      </c>
      <c r="AJ592" s="1332">
        <v>0</v>
      </c>
      <c r="AK592" s="1333"/>
      <c r="AL592" s="1771"/>
      <c r="AM592" s="1335"/>
      <c r="AN592" s="1070"/>
    </row>
    <row r="593" spans="1:40" ht="18" hidden="1" outlineLevel="1" x14ac:dyDescent="0.3">
      <c r="A593" s="1082"/>
      <c r="B593" s="1336" t="s">
        <v>1324</v>
      </c>
      <c r="C593" s="1337"/>
      <c r="D593" s="1337"/>
      <c r="E593" s="1337"/>
      <c r="F593" s="1304">
        <v>0</v>
      </c>
      <c r="G593" s="1306">
        <v>0</v>
      </c>
      <c r="H593" s="1305">
        <v>0</v>
      </c>
      <c r="I593" s="1305">
        <v>0</v>
      </c>
      <c r="J593" s="1305">
        <v>0</v>
      </c>
      <c r="K593" s="1305">
        <v>0</v>
      </c>
      <c r="L593" s="1305">
        <v>0</v>
      </c>
      <c r="M593" s="1305">
        <v>0</v>
      </c>
      <c r="N593" s="1305">
        <v>0</v>
      </c>
      <c r="O593" s="1305">
        <v>0</v>
      </c>
      <c r="P593" s="1305">
        <v>0</v>
      </c>
      <c r="Q593" s="1305">
        <v>0</v>
      </c>
      <c r="R593" s="1305">
        <v>0</v>
      </c>
      <c r="S593" s="1305">
        <v>0</v>
      </c>
      <c r="T593" s="1305">
        <v>0</v>
      </c>
      <c r="U593" s="1305">
        <v>0</v>
      </c>
      <c r="V593" s="1305">
        <v>0</v>
      </c>
      <c r="W593" s="1305">
        <v>0</v>
      </c>
      <c r="X593" s="1305">
        <v>0</v>
      </c>
      <c r="Y593" s="1305">
        <v>0</v>
      </c>
      <c r="Z593" s="1305">
        <v>0</v>
      </c>
      <c r="AA593" s="1305">
        <v>0</v>
      </c>
      <c r="AB593" s="1305">
        <v>0</v>
      </c>
      <c r="AC593" s="1305">
        <v>0</v>
      </c>
      <c r="AD593" s="1305">
        <v>0</v>
      </c>
      <c r="AE593" s="1305">
        <v>0</v>
      </c>
      <c r="AF593" s="1305">
        <v>0</v>
      </c>
      <c r="AG593" s="1305">
        <v>0</v>
      </c>
      <c r="AH593" s="1305">
        <v>0</v>
      </c>
      <c r="AI593" s="1305">
        <v>0</v>
      </c>
      <c r="AJ593" s="1306">
        <v>0</v>
      </c>
      <c r="AK593" s="1307">
        <v>0</v>
      </c>
      <c r="AL593" s="1770"/>
      <c r="AM593" s="1304">
        <v>0</v>
      </c>
      <c r="AN593" s="1070"/>
    </row>
    <row r="594" spans="1:40" ht="18" hidden="1" outlineLevel="1" x14ac:dyDescent="0.3">
      <c r="A594" s="1082"/>
      <c r="B594" s="1336" t="s">
        <v>1325</v>
      </c>
      <c r="C594" s="1337"/>
      <c r="D594" s="1337"/>
      <c r="E594" s="1337"/>
      <c r="F594" s="1304">
        <v>0</v>
      </c>
      <c r="G594" s="1306">
        <v>0</v>
      </c>
      <c r="H594" s="1305">
        <v>0</v>
      </c>
      <c r="I594" s="1305">
        <v>0</v>
      </c>
      <c r="J594" s="1305">
        <v>0</v>
      </c>
      <c r="K594" s="1305">
        <v>0</v>
      </c>
      <c r="L594" s="1305">
        <v>0</v>
      </c>
      <c r="M594" s="1305">
        <v>0</v>
      </c>
      <c r="N594" s="1305">
        <v>0</v>
      </c>
      <c r="O594" s="1305">
        <v>0</v>
      </c>
      <c r="P594" s="1305">
        <v>0</v>
      </c>
      <c r="Q594" s="1305">
        <v>0</v>
      </c>
      <c r="R594" s="1305">
        <v>0</v>
      </c>
      <c r="S594" s="1305">
        <v>0</v>
      </c>
      <c r="T594" s="1305">
        <v>0</v>
      </c>
      <c r="U594" s="1305">
        <v>0</v>
      </c>
      <c r="V594" s="1305">
        <v>0</v>
      </c>
      <c r="W594" s="1305">
        <v>0</v>
      </c>
      <c r="X594" s="1305">
        <v>0</v>
      </c>
      <c r="Y594" s="1305">
        <v>0</v>
      </c>
      <c r="Z594" s="1305">
        <v>0</v>
      </c>
      <c r="AA594" s="1305">
        <v>0</v>
      </c>
      <c r="AB594" s="1305">
        <v>0</v>
      </c>
      <c r="AC594" s="1305">
        <v>0</v>
      </c>
      <c r="AD594" s="1305">
        <v>0</v>
      </c>
      <c r="AE594" s="1305">
        <v>0</v>
      </c>
      <c r="AF594" s="1305">
        <v>0</v>
      </c>
      <c r="AG594" s="1305">
        <v>0</v>
      </c>
      <c r="AH594" s="1305">
        <v>0</v>
      </c>
      <c r="AI594" s="1305">
        <v>0</v>
      </c>
      <c r="AJ594" s="1306">
        <v>0</v>
      </c>
      <c r="AK594" s="1307">
        <v>0</v>
      </c>
      <c r="AL594" s="1770"/>
      <c r="AM594" s="1304">
        <v>0</v>
      </c>
      <c r="AN594" s="1070"/>
    </row>
    <row r="595" spans="1:40" ht="18.600000000000001" hidden="1" outlineLevel="1" thickBot="1" x14ac:dyDescent="0.35">
      <c r="A595" s="1082"/>
      <c r="B595" s="1338" t="s">
        <v>660</v>
      </c>
      <c r="C595" s="1339"/>
      <c r="D595" s="1339"/>
      <c r="E595" s="1339"/>
      <c r="F595" s="1345">
        <v>0</v>
      </c>
      <c r="G595" s="1347">
        <v>0</v>
      </c>
      <c r="H595" s="1346">
        <v>0</v>
      </c>
      <c r="I595" s="1346">
        <v>0</v>
      </c>
      <c r="J595" s="1346">
        <v>0</v>
      </c>
      <c r="K595" s="1346">
        <v>0</v>
      </c>
      <c r="L595" s="1346">
        <v>0</v>
      </c>
      <c r="M595" s="1346">
        <v>0</v>
      </c>
      <c r="N595" s="1346">
        <v>0</v>
      </c>
      <c r="O595" s="1346">
        <v>0</v>
      </c>
      <c r="P595" s="1346">
        <v>0</v>
      </c>
      <c r="Q595" s="1346">
        <v>0</v>
      </c>
      <c r="R595" s="1346">
        <v>0</v>
      </c>
      <c r="S595" s="1346">
        <v>0</v>
      </c>
      <c r="T595" s="1346">
        <v>0</v>
      </c>
      <c r="U595" s="1346">
        <v>0</v>
      </c>
      <c r="V595" s="1346">
        <v>0</v>
      </c>
      <c r="W595" s="1346">
        <v>0</v>
      </c>
      <c r="X595" s="1346">
        <v>0</v>
      </c>
      <c r="Y595" s="1346">
        <v>0</v>
      </c>
      <c r="Z595" s="1346">
        <v>0</v>
      </c>
      <c r="AA595" s="1346">
        <v>0</v>
      </c>
      <c r="AB595" s="1346">
        <v>0</v>
      </c>
      <c r="AC595" s="1346">
        <v>0</v>
      </c>
      <c r="AD595" s="1346">
        <v>0</v>
      </c>
      <c r="AE595" s="1346">
        <v>0</v>
      </c>
      <c r="AF595" s="1346">
        <v>0</v>
      </c>
      <c r="AG595" s="1346">
        <v>0</v>
      </c>
      <c r="AH595" s="1346">
        <v>0</v>
      </c>
      <c r="AI595" s="1346">
        <v>0</v>
      </c>
      <c r="AJ595" s="1347">
        <v>0</v>
      </c>
      <c r="AK595" s="1348"/>
      <c r="AL595" s="1761"/>
      <c r="AM595" s="1345">
        <v>0</v>
      </c>
      <c r="AN595" s="1070"/>
    </row>
    <row r="596" spans="1:40" hidden="1" outlineLevel="1" x14ac:dyDescent="0.3">
      <c r="A596" s="1082"/>
      <c r="B596" s="1350"/>
      <c r="C596" s="1351" t="s">
        <v>1323</v>
      </c>
      <c r="D596" s="1351"/>
      <c r="E596" s="1353"/>
      <c r="F596" s="1357"/>
      <c r="G596" s="1276">
        <v>0</v>
      </c>
      <c r="H596" s="1275">
        <v>0</v>
      </c>
      <c r="I596" s="1275">
        <v>0</v>
      </c>
      <c r="J596" s="1275">
        <v>0</v>
      </c>
      <c r="K596" s="1275">
        <v>0</v>
      </c>
      <c r="L596" s="1275">
        <v>0</v>
      </c>
      <c r="M596" s="1275">
        <v>0</v>
      </c>
      <c r="N596" s="1275">
        <v>0</v>
      </c>
      <c r="O596" s="1275">
        <v>0</v>
      </c>
      <c r="P596" s="1275">
        <v>0</v>
      </c>
      <c r="Q596" s="1275">
        <v>0</v>
      </c>
      <c r="R596" s="1275">
        <v>0</v>
      </c>
      <c r="S596" s="1275">
        <v>0</v>
      </c>
      <c r="T596" s="1275">
        <v>0</v>
      </c>
      <c r="U596" s="1275">
        <v>0</v>
      </c>
      <c r="V596" s="1275">
        <v>0</v>
      </c>
      <c r="W596" s="1275">
        <v>0</v>
      </c>
      <c r="X596" s="1275">
        <v>0</v>
      </c>
      <c r="Y596" s="1275">
        <v>0</v>
      </c>
      <c r="Z596" s="1275">
        <v>0</v>
      </c>
      <c r="AA596" s="1275">
        <v>0</v>
      </c>
      <c r="AB596" s="1275">
        <v>0</v>
      </c>
      <c r="AC596" s="1275">
        <v>0</v>
      </c>
      <c r="AD596" s="1275">
        <v>0</v>
      </c>
      <c r="AE596" s="1275">
        <v>0</v>
      </c>
      <c r="AF596" s="1275">
        <v>0</v>
      </c>
      <c r="AG596" s="1275">
        <v>0</v>
      </c>
      <c r="AH596" s="1275">
        <v>0</v>
      </c>
      <c r="AI596" s="1275">
        <v>0</v>
      </c>
      <c r="AJ596" s="1276">
        <v>0</v>
      </c>
      <c r="AK596" s="1358"/>
      <c r="AL596" s="1771"/>
      <c r="AM596" s="1279"/>
      <c r="AN596" s="1070"/>
    </row>
    <row r="597" spans="1:40" ht="18" hidden="1" outlineLevel="1" x14ac:dyDescent="0.3">
      <c r="A597" s="1082"/>
      <c r="B597" s="1336" t="s">
        <v>1326</v>
      </c>
      <c r="C597" s="1351"/>
      <c r="D597" s="1351"/>
      <c r="E597" s="1353"/>
      <c r="F597" s="1304">
        <v>0</v>
      </c>
      <c r="G597" s="1306">
        <v>0</v>
      </c>
      <c r="H597" s="1305">
        <v>0</v>
      </c>
      <c r="I597" s="1305">
        <v>0</v>
      </c>
      <c r="J597" s="1305">
        <v>0</v>
      </c>
      <c r="K597" s="1305">
        <v>0</v>
      </c>
      <c r="L597" s="1305">
        <v>0</v>
      </c>
      <c r="M597" s="1305">
        <v>0</v>
      </c>
      <c r="N597" s="1305">
        <v>0</v>
      </c>
      <c r="O597" s="1305">
        <v>0</v>
      </c>
      <c r="P597" s="1305">
        <v>0</v>
      </c>
      <c r="Q597" s="1305">
        <v>0</v>
      </c>
      <c r="R597" s="1305">
        <v>0</v>
      </c>
      <c r="S597" s="1305">
        <v>0</v>
      </c>
      <c r="T597" s="1305">
        <v>0</v>
      </c>
      <c r="U597" s="1305">
        <v>0</v>
      </c>
      <c r="V597" s="1305">
        <v>0</v>
      </c>
      <c r="W597" s="1305">
        <v>0</v>
      </c>
      <c r="X597" s="1305">
        <v>0</v>
      </c>
      <c r="Y597" s="1305">
        <v>0</v>
      </c>
      <c r="Z597" s="1305">
        <v>0</v>
      </c>
      <c r="AA597" s="1305">
        <v>0</v>
      </c>
      <c r="AB597" s="1305">
        <v>0</v>
      </c>
      <c r="AC597" s="1305">
        <v>0</v>
      </c>
      <c r="AD597" s="1305">
        <v>0</v>
      </c>
      <c r="AE597" s="1305">
        <v>0</v>
      </c>
      <c r="AF597" s="1305">
        <v>0</v>
      </c>
      <c r="AG597" s="1305">
        <v>0</v>
      </c>
      <c r="AH597" s="1305">
        <v>0</v>
      </c>
      <c r="AI597" s="1305">
        <v>0</v>
      </c>
      <c r="AJ597" s="1306">
        <v>0</v>
      </c>
      <c r="AK597" s="1358" t="s">
        <v>3</v>
      </c>
      <c r="AL597" s="1771"/>
      <c r="AM597" s="1304">
        <v>0</v>
      </c>
      <c r="AN597" s="1070"/>
    </row>
    <row r="598" spans="1:40" ht="18" hidden="1" outlineLevel="1" x14ac:dyDescent="0.3">
      <c r="A598" s="1082"/>
      <c r="B598" s="1336" t="s">
        <v>1327</v>
      </c>
      <c r="C598" s="1360"/>
      <c r="D598" s="1360"/>
      <c r="E598" s="1360"/>
      <c r="F598" s="1304">
        <v>0</v>
      </c>
      <c r="G598" s="1306">
        <v>0</v>
      </c>
      <c r="H598" s="1305">
        <v>0</v>
      </c>
      <c r="I598" s="1305">
        <v>0</v>
      </c>
      <c r="J598" s="1305">
        <v>0</v>
      </c>
      <c r="K598" s="1305">
        <v>0</v>
      </c>
      <c r="L598" s="1305">
        <v>0</v>
      </c>
      <c r="M598" s="1305">
        <v>0</v>
      </c>
      <c r="N598" s="1305">
        <v>0</v>
      </c>
      <c r="O598" s="1305">
        <v>0</v>
      </c>
      <c r="P598" s="1305">
        <v>0</v>
      </c>
      <c r="Q598" s="1305">
        <v>0</v>
      </c>
      <c r="R598" s="1305">
        <v>0</v>
      </c>
      <c r="S598" s="1305">
        <v>0</v>
      </c>
      <c r="T598" s="1305">
        <v>0</v>
      </c>
      <c r="U598" s="1305">
        <v>0</v>
      </c>
      <c r="V598" s="1305">
        <v>0</v>
      </c>
      <c r="W598" s="1305">
        <v>0</v>
      </c>
      <c r="X598" s="1305">
        <v>0</v>
      </c>
      <c r="Y598" s="1305">
        <v>0</v>
      </c>
      <c r="Z598" s="1305">
        <v>0</v>
      </c>
      <c r="AA598" s="1305">
        <v>0</v>
      </c>
      <c r="AB598" s="1305">
        <v>0</v>
      </c>
      <c r="AC598" s="1305">
        <v>0</v>
      </c>
      <c r="AD598" s="1305">
        <v>0</v>
      </c>
      <c r="AE598" s="1305">
        <v>0</v>
      </c>
      <c r="AF598" s="1305">
        <v>0</v>
      </c>
      <c r="AG598" s="1305">
        <v>0</v>
      </c>
      <c r="AH598" s="1305">
        <v>0</v>
      </c>
      <c r="AI598" s="1305">
        <v>0</v>
      </c>
      <c r="AJ598" s="1306">
        <v>0</v>
      </c>
      <c r="AK598" s="1307">
        <v>0</v>
      </c>
      <c r="AL598" s="1770"/>
      <c r="AM598" s="1304">
        <v>0</v>
      </c>
      <c r="AN598" s="1070"/>
    </row>
    <row r="599" spans="1:40" ht="18" hidden="1" outlineLevel="1" x14ac:dyDescent="0.3">
      <c r="A599" s="1082"/>
      <c r="B599" s="1308" t="s">
        <v>674</v>
      </c>
      <c r="C599" s="1362"/>
      <c r="D599" s="1362"/>
      <c r="E599" s="1362"/>
      <c r="F599" s="1315">
        <v>0</v>
      </c>
      <c r="G599" s="1317">
        <v>0</v>
      </c>
      <c r="H599" s="1316">
        <v>0</v>
      </c>
      <c r="I599" s="1316">
        <v>0</v>
      </c>
      <c r="J599" s="1316">
        <v>0</v>
      </c>
      <c r="K599" s="1316">
        <v>0</v>
      </c>
      <c r="L599" s="1316">
        <v>0</v>
      </c>
      <c r="M599" s="1316">
        <v>0</v>
      </c>
      <c r="N599" s="1316">
        <v>0</v>
      </c>
      <c r="O599" s="1316">
        <v>0</v>
      </c>
      <c r="P599" s="1316">
        <v>0</v>
      </c>
      <c r="Q599" s="1316">
        <v>0</v>
      </c>
      <c r="R599" s="1316">
        <v>0</v>
      </c>
      <c r="S599" s="1316">
        <v>0</v>
      </c>
      <c r="T599" s="1316">
        <v>0</v>
      </c>
      <c r="U599" s="1316">
        <v>0</v>
      </c>
      <c r="V599" s="1316">
        <v>0</v>
      </c>
      <c r="W599" s="1316">
        <v>0</v>
      </c>
      <c r="X599" s="1316">
        <v>0</v>
      </c>
      <c r="Y599" s="1316">
        <v>0</v>
      </c>
      <c r="Z599" s="1316">
        <v>0</v>
      </c>
      <c r="AA599" s="1316">
        <v>0</v>
      </c>
      <c r="AB599" s="1316">
        <v>0</v>
      </c>
      <c r="AC599" s="1316">
        <v>0</v>
      </c>
      <c r="AD599" s="1316">
        <v>0</v>
      </c>
      <c r="AE599" s="1316">
        <v>0</v>
      </c>
      <c r="AF599" s="1316">
        <v>0</v>
      </c>
      <c r="AG599" s="1316">
        <v>0</v>
      </c>
      <c r="AH599" s="1316">
        <v>0</v>
      </c>
      <c r="AI599" s="1316">
        <v>0</v>
      </c>
      <c r="AJ599" s="1317">
        <v>0</v>
      </c>
      <c r="AK599" s="1318"/>
      <c r="AL599" s="1761"/>
      <c r="AM599" s="1315">
        <v>0</v>
      </c>
      <c r="AN599" s="1070"/>
    </row>
    <row r="600" spans="1:40" hidden="1" outlineLevel="1" x14ac:dyDescent="0.3">
      <c r="A600" s="1082"/>
      <c r="B600" s="1363"/>
      <c r="C600" s="1321" t="s">
        <v>1323</v>
      </c>
      <c r="D600" s="1321"/>
      <c r="E600" s="1364"/>
      <c r="F600" s="1367"/>
      <c r="G600" s="1332">
        <v>0</v>
      </c>
      <c r="H600" s="1331">
        <v>0</v>
      </c>
      <c r="I600" s="1331">
        <v>0</v>
      </c>
      <c r="J600" s="1331">
        <v>0</v>
      </c>
      <c r="K600" s="1331">
        <v>0</v>
      </c>
      <c r="L600" s="1331">
        <v>0</v>
      </c>
      <c r="M600" s="1331">
        <v>0</v>
      </c>
      <c r="N600" s="1331">
        <v>0</v>
      </c>
      <c r="O600" s="1331">
        <v>0</v>
      </c>
      <c r="P600" s="1331">
        <v>0</v>
      </c>
      <c r="Q600" s="1331">
        <v>0</v>
      </c>
      <c r="R600" s="1331">
        <v>0</v>
      </c>
      <c r="S600" s="1331">
        <v>0</v>
      </c>
      <c r="T600" s="1331">
        <v>0</v>
      </c>
      <c r="U600" s="1331">
        <v>0</v>
      </c>
      <c r="V600" s="1331">
        <v>0</v>
      </c>
      <c r="W600" s="1331">
        <v>0</v>
      </c>
      <c r="X600" s="1331">
        <v>0</v>
      </c>
      <c r="Y600" s="1331">
        <v>0</v>
      </c>
      <c r="Z600" s="1331">
        <v>0</v>
      </c>
      <c r="AA600" s="1331">
        <v>0</v>
      </c>
      <c r="AB600" s="1331">
        <v>0</v>
      </c>
      <c r="AC600" s="1331">
        <v>0</v>
      </c>
      <c r="AD600" s="1331">
        <v>0</v>
      </c>
      <c r="AE600" s="1331">
        <v>0</v>
      </c>
      <c r="AF600" s="1331">
        <v>0</v>
      </c>
      <c r="AG600" s="1331">
        <v>0</v>
      </c>
      <c r="AH600" s="1331">
        <v>0</v>
      </c>
      <c r="AI600" s="1331">
        <v>0</v>
      </c>
      <c r="AJ600" s="1332">
        <v>0</v>
      </c>
      <c r="AK600" s="1368"/>
      <c r="AL600" s="1776"/>
      <c r="AM600" s="1335"/>
      <c r="AN600" s="1070"/>
    </row>
    <row r="601" spans="1:40" ht="18" hidden="1" outlineLevel="1" x14ac:dyDescent="0.3">
      <c r="A601" s="1082"/>
      <c r="B601" s="1336" t="s">
        <v>1328</v>
      </c>
      <c r="C601" s="1337"/>
      <c r="D601" s="1337"/>
      <c r="E601" s="1337"/>
      <c r="F601" s="1304">
        <v>0</v>
      </c>
      <c r="G601" s="1306">
        <v>0</v>
      </c>
      <c r="H601" s="1305">
        <v>0</v>
      </c>
      <c r="I601" s="1305">
        <v>0</v>
      </c>
      <c r="J601" s="1305">
        <v>0</v>
      </c>
      <c r="K601" s="1305">
        <v>0</v>
      </c>
      <c r="L601" s="1305">
        <v>0</v>
      </c>
      <c r="M601" s="1305">
        <v>0</v>
      </c>
      <c r="N601" s="1305">
        <v>0</v>
      </c>
      <c r="O601" s="1305">
        <v>0</v>
      </c>
      <c r="P601" s="1305">
        <v>0</v>
      </c>
      <c r="Q601" s="1305">
        <v>0</v>
      </c>
      <c r="R601" s="1305">
        <v>0</v>
      </c>
      <c r="S601" s="1305">
        <v>0</v>
      </c>
      <c r="T601" s="1305">
        <v>0</v>
      </c>
      <c r="U601" s="1305">
        <v>0</v>
      </c>
      <c r="V601" s="1305">
        <v>0</v>
      </c>
      <c r="W601" s="1305">
        <v>0</v>
      </c>
      <c r="X601" s="1305">
        <v>0</v>
      </c>
      <c r="Y601" s="1305">
        <v>0</v>
      </c>
      <c r="Z601" s="1305">
        <v>0</v>
      </c>
      <c r="AA601" s="1305">
        <v>0</v>
      </c>
      <c r="AB601" s="1305">
        <v>0</v>
      </c>
      <c r="AC601" s="1305">
        <v>0</v>
      </c>
      <c r="AD601" s="1305">
        <v>0</v>
      </c>
      <c r="AE601" s="1305">
        <v>0</v>
      </c>
      <c r="AF601" s="1305">
        <v>0</v>
      </c>
      <c r="AG601" s="1305">
        <v>0</v>
      </c>
      <c r="AH601" s="1305">
        <v>0</v>
      </c>
      <c r="AI601" s="1305">
        <v>0</v>
      </c>
      <c r="AJ601" s="1306">
        <v>0</v>
      </c>
      <c r="AK601" s="1307">
        <v>0</v>
      </c>
      <c r="AL601" s="1770"/>
      <c r="AM601" s="1304">
        <v>0</v>
      </c>
      <c r="AN601" s="1070"/>
    </row>
    <row r="602" spans="1:40" ht="18" hidden="1" outlineLevel="1" x14ac:dyDescent="0.3">
      <c r="A602" s="1082"/>
      <c r="B602" s="1336" t="s">
        <v>1329</v>
      </c>
      <c r="C602" s="1337"/>
      <c r="D602" s="1337"/>
      <c r="E602" s="1337"/>
      <c r="F602" s="1304">
        <v>0</v>
      </c>
      <c r="G602" s="1306">
        <v>0</v>
      </c>
      <c r="H602" s="1305">
        <v>0</v>
      </c>
      <c r="I602" s="1305">
        <v>0</v>
      </c>
      <c r="J602" s="1305">
        <v>0</v>
      </c>
      <c r="K602" s="1305">
        <v>0</v>
      </c>
      <c r="L602" s="1305">
        <v>0</v>
      </c>
      <c r="M602" s="1305">
        <v>0</v>
      </c>
      <c r="N602" s="1305">
        <v>0</v>
      </c>
      <c r="O602" s="1305">
        <v>0</v>
      </c>
      <c r="P602" s="1305">
        <v>0</v>
      </c>
      <c r="Q602" s="1305">
        <v>0</v>
      </c>
      <c r="R602" s="1305">
        <v>0</v>
      </c>
      <c r="S602" s="1305">
        <v>0</v>
      </c>
      <c r="T602" s="1305">
        <v>0</v>
      </c>
      <c r="U602" s="1305">
        <v>0</v>
      </c>
      <c r="V602" s="1305">
        <v>0</v>
      </c>
      <c r="W602" s="1305">
        <v>0</v>
      </c>
      <c r="X602" s="1305">
        <v>0</v>
      </c>
      <c r="Y602" s="1305">
        <v>0</v>
      </c>
      <c r="Z602" s="1305">
        <v>0</v>
      </c>
      <c r="AA602" s="1305">
        <v>0</v>
      </c>
      <c r="AB602" s="1305">
        <v>0</v>
      </c>
      <c r="AC602" s="1305">
        <v>0</v>
      </c>
      <c r="AD602" s="1305">
        <v>0</v>
      </c>
      <c r="AE602" s="1305">
        <v>0</v>
      </c>
      <c r="AF602" s="1305">
        <v>0</v>
      </c>
      <c r="AG602" s="1305">
        <v>0</v>
      </c>
      <c r="AH602" s="1305">
        <v>0</v>
      </c>
      <c r="AI602" s="1777">
        <v>0</v>
      </c>
      <c r="AJ602" s="1306">
        <v>0</v>
      </c>
      <c r="AK602" s="1307">
        <v>0</v>
      </c>
      <c r="AL602" s="1770"/>
      <c r="AM602" s="1304">
        <v>0</v>
      </c>
      <c r="AN602" s="1070"/>
    </row>
    <row r="603" spans="1:40" ht="18" hidden="1" outlineLevel="1" x14ac:dyDescent="0.3">
      <c r="A603" s="1082"/>
      <c r="B603" s="1369" t="s">
        <v>1450</v>
      </c>
      <c r="C603" s="1298"/>
      <c r="D603" s="1298"/>
      <c r="E603" s="1298"/>
      <c r="F603" s="1374">
        <v>0</v>
      </c>
      <c r="G603" s="1376">
        <v>0</v>
      </c>
      <c r="H603" s="1375">
        <v>0</v>
      </c>
      <c r="I603" s="1375">
        <v>0</v>
      </c>
      <c r="J603" s="1375">
        <v>0</v>
      </c>
      <c r="K603" s="1375">
        <v>0</v>
      </c>
      <c r="L603" s="1375">
        <v>0</v>
      </c>
      <c r="M603" s="1375">
        <v>0</v>
      </c>
      <c r="N603" s="1375">
        <v>0</v>
      </c>
      <c r="O603" s="1375">
        <v>0</v>
      </c>
      <c r="P603" s="1375">
        <v>0</v>
      </c>
      <c r="Q603" s="1375">
        <v>0</v>
      </c>
      <c r="R603" s="1375">
        <v>0</v>
      </c>
      <c r="S603" s="1375">
        <v>0</v>
      </c>
      <c r="T603" s="1375">
        <v>0</v>
      </c>
      <c r="U603" s="1375">
        <v>0</v>
      </c>
      <c r="V603" s="1375">
        <v>0</v>
      </c>
      <c r="W603" s="1375">
        <v>0</v>
      </c>
      <c r="X603" s="1375">
        <v>0</v>
      </c>
      <c r="Y603" s="1375">
        <v>0</v>
      </c>
      <c r="Z603" s="1375">
        <v>0</v>
      </c>
      <c r="AA603" s="1375">
        <v>0</v>
      </c>
      <c r="AB603" s="1375">
        <v>0</v>
      </c>
      <c r="AC603" s="1375">
        <v>0</v>
      </c>
      <c r="AD603" s="1375">
        <v>0</v>
      </c>
      <c r="AE603" s="1375">
        <v>0</v>
      </c>
      <c r="AF603" s="1375">
        <v>0</v>
      </c>
      <c r="AG603" s="1375">
        <v>0</v>
      </c>
      <c r="AH603" s="1375">
        <v>0</v>
      </c>
      <c r="AI603" s="1375">
        <v>0</v>
      </c>
      <c r="AJ603" s="1376">
        <v>0</v>
      </c>
      <c r="AK603" s="1377"/>
      <c r="AL603" s="1761"/>
      <c r="AM603" s="1374">
        <v>0</v>
      </c>
      <c r="AN603" s="1070"/>
    </row>
    <row r="604" spans="1:40" ht="18" hidden="1" outlineLevel="1" x14ac:dyDescent="0.3">
      <c r="A604" s="1082"/>
      <c r="B604" s="1369"/>
      <c r="C604" s="1351" t="s">
        <v>1323</v>
      </c>
      <c r="D604" s="1351"/>
      <c r="E604" s="1351"/>
      <c r="F604" s="1381"/>
      <c r="G604" s="1276">
        <v>0</v>
      </c>
      <c r="H604" s="1275">
        <v>0</v>
      </c>
      <c r="I604" s="1275">
        <v>0</v>
      </c>
      <c r="J604" s="1275">
        <v>0</v>
      </c>
      <c r="K604" s="1275">
        <v>0</v>
      </c>
      <c r="L604" s="1275">
        <v>0</v>
      </c>
      <c r="M604" s="1275">
        <v>0</v>
      </c>
      <c r="N604" s="1275">
        <v>0</v>
      </c>
      <c r="O604" s="1275">
        <v>0</v>
      </c>
      <c r="P604" s="1275">
        <v>0</v>
      </c>
      <c r="Q604" s="1275">
        <v>0</v>
      </c>
      <c r="R604" s="1275">
        <v>0</v>
      </c>
      <c r="S604" s="1275">
        <v>0</v>
      </c>
      <c r="T604" s="1275">
        <v>0</v>
      </c>
      <c r="U604" s="1275">
        <v>0</v>
      </c>
      <c r="V604" s="1275">
        <v>0</v>
      </c>
      <c r="W604" s="1275">
        <v>0</v>
      </c>
      <c r="X604" s="1275">
        <v>0</v>
      </c>
      <c r="Y604" s="1275">
        <v>0</v>
      </c>
      <c r="Z604" s="1275">
        <v>0</v>
      </c>
      <c r="AA604" s="1275">
        <v>0</v>
      </c>
      <c r="AB604" s="1275">
        <v>0</v>
      </c>
      <c r="AC604" s="1275">
        <v>0</v>
      </c>
      <c r="AD604" s="1275">
        <v>0</v>
      </c>
      <c r="AE604" s="1275">
        <v>0</v>
      </c>
      <c r="AF604" s="1275">
        <v>0</v>
      </c>
      <c r="AG604" s="1275">
        <v>0</v>
      </c>
      <c r="AH604" s="1275">
        <v>0</v>
      </c>
      <c r="AI604" s="1275">
        <v>0</v>
      </c>
      <c r="AJ604" s="1276">
        <v>0</v>
      </c>
      <c r="AK604" s="1377"/>
      <c r="AL604" s="1761"/>
      <c r="AM604" s="1279"/>
      <c r="AN604" s="1070"/>
    </row>
    <row r="605" spans="1:40" ht="18.600000000000001" hidden="1" outlineLevel="1" thickBot="1" x14ac:dyDescent="0.35">
      <c r="A605" s="1082"/>
      <c r="B605" s="1778"/>
      <c r="C605" s="1779"/>
      <c r="D605" s="1779"/>
      <c r="E605" s="1779"/>
      <c r="F605" s="1780"/>
      <c r="G605" s="1781"/>
      <c r="H605" s="1781"/>
      <c r="I605" s="1781"/>
      <c r="J605" s="1781"/>
      <c r="K605" s="1781"/>
      <c r="L605" s="1781"/>
      <c r="M605" s="1781"/>
      <c r="N605" s="1781"/>
      <c r="O605" s="1781"/>
      <c r="P605" s="1781"/>
      <c r="Q605" s="1781"/>
      <c r="R605" s="1781"/>
      <c r="S605" s="1781"/>
      <c r="T605" s="1781"/>
      <c r="U605" s="1781"/>
      <c r="V605" s="1781"/>
      <c r="W605" s="1781"/>
      <c r="X605" s="1781"/>
      <c r="Y605" s="1781"/>
      <c r="Z605" s="1781"/>
      <c r="AA605" s="1781"/>
      <c r="AB605" s="1781"/>
      <c r="AC605" s="1781"/>
      <c r="AD605" s="1781"/>
      <c r="AE605" s="1781"/>
      <c r="AF605" s="1781"/>
      <c r="AG605" s="1781"/>
      <c r="AH605" s="1781"/>
      <c r="AI605" s="1781"/>
      <c r="AJ605" s="1782"/>
      <c r="AK605" s="1783"/>
      <c r="AL605" s="1784"/>
      <c r="AM605" s="1785"/>
      <c r="AN605" s="1070"/>
    </row>
    <row r="606" spans="1:40" ht="18" hidden="1" outlineLevel="1" x14ac:dyDescent="0.3">
      <c r="A606" s="1070"/>
      <c r="B606" s="1082"/>
      <c r="C606" s="1082"/>
      <c r="D606" s="1082"/>
      <c r="E606" s="1082"/>
      <c r="F606" s="1371"/>
      <c r="G606" s="1300"/>
      <c r="H606" s="1300"/>
      <c r="I606" s="1300"/>
      <c r="J606" s="1300"/>
      <c r="K606" s="1300"/>
      <c r="L606" s="1300"/>
      <c r="M606" s="1300"/>
      <c r="N606" s="1300"/>
      <c r="O606" s="1300"/>
      <c r="P606" s="1300"/>
      <c r="Q606" s="1300"/>
      <c r="R606" s="1300"/>
      <c r="S606" s="1300"/>
      <c r="T606" s="1300"/>
      <c r="U606" s="1300"/>
      <c r="V606" s="1300"/>
      <c r="W606" s="1300"/>
      <c r="X606" s="1300"/>
      <c r="Y606" s="1300"/>
      <c r="Z606" s="1300"/>
      <c r="AA606" s="1300"/>
      <c r="AB606" s="1300"/>
      <c r="AC606" s="1300"/>
      <c r="AD606" s="1300"/>
      <c r="AE606" s="1300"/>
      <c r="AF606" s="1300"/>
      <c r="AG606" s="1300"/>
      <c r="AH606" s="1300"/>
      <c r="AI606" s="1300"/>
      <c r="AJ606" s="1300"/>
      <c r="AK606" s="1791"/>
      <c r="AL606" s="1791"/>
      <c r="AM606" s="1300"/>
      <c r="AN606" s="1070"/>
    </row>
    <row r="607" spans="1:40" s="1236" customFormat="1" ht="18" hidden="1" outlineLevel="1" x14ac:dyDescent="0.3">
      <c r="A607" s="1082"/>
      <c r="B607" s="1082"/>
      <c r="C607" s="1082"/>
      <c r="D607" s="1082"/>
      <c r="E607" s="1082"/>
      <c r="F607" s="1371"/>
      <c r="G607" s="1300"/>
      <c r="H607" s="1300"/>
      <c r="I607" s="1300"/>
      <c r="J607" s="1300"/>
      <c r="K607" s="1300"/>
      <c r="L607" s="1300"/>
      <c r="M607" s="1300"/>
      <c r="N607" s="1300"/>
      <c r="O607" s="1300"/>
      <c r="P607" s="1300"/>
      <c r="Q607" s="1300"/>
      <c r="R607" s="1300"/>
      <c r="S607" s="1300"/>
      <c r="T607" s="1300"/>
      <c r="U607" s="1300"/>
      <c r="V607" s="1300"/>
      <c r="W607" s="1300"/>
      <c r="X607" s="1300"/>
      <c r="Y607" s="1300"/>
      <c r="Z607" s="1300"/>
      <c r="AA607" s="1795"/>
      <c r="AB607" s="1795"/>
      <c r="AC607" s="1795"/>
      <c r="AD607" s="1795"/>
      <c r="AE607" s="1795"/>
      <c r="AF607" s="1795"/>
      <c r="AG607" s="1795"/>
      <c r="AH607" s="1795"/>
      <c r="AI607" s="1795"/>
      <c r="AJ607" s="1795"/>
      <c r="AK607" s="1796"/>
      <c r="AL607" s="1796"/>
      <c r="AM607" s="1795"/>
    </row>
    <row r="608" spans="1:40" ht="15" hidden="1" customHeight="1" outlineLevel="1" x14ac:dyDescent="0.3">
      <c r="A608" s="1070"/>
      <c r="B608" s="1070"/>
      <c r="C608" s="1070"/>
      <c r="D608" s="1070"/>
      <c r="E608" s="1070"/>
      <c r="F608" s="1070"/>
      <c r="G608" s="1070"/>
      <c r="H608" s="3144" t="s">
        <v>1521</v>
      </c>
      <c r="I608" s="3145"/>
      <c r="J608" s="3145"/>
      <c r="K608" s="3145"/>
      <c r="L608" s="3146"/>
      <c r="M608" s="1070"/>
      <c r="N608" s="1070"/>
      <c r="O608" s="3274" t="s">
        <v>1533</v>
      </c>
      <c r="P608" s="3275"/>
      <c r="Q608" s="3275"/>
      <c r="R608" s="3276"/>
      <c r="T608" s="1070"/>
      <c r="U608" s="1082"/>
      <c r="V608" s="3277" t="s">
        <v>1534</v>
      </c>
      <c r="W608" s="3278"/>
      <c r="X608" s="3278"/>
      <c r="Y608" s="3279"/>
      <c r="Z608" s="1082"/>
    </row>
    <row r="609" spans="1:16378" hidden="1" outlineLevel="1" x14ac:dyDescent="0.3">
      <c r="A609" s="1070"/>
      <c r="B609" s="1070"/>
      <c r="C609" s="1070"/>
      <c r="D609" s="1070"/>
      <c r="E609" s="1070"/>
      <c r="F609" s="1070"/>
      <c r="G609" s="1070"/>
      <c r="H609" s="1217" t="s">
        <v>1299</v>
      </c>
      <c r="I609" s="1218"/>
      <c r="J609" s="1218"/>
      <c r="K609" s="1218"/>
      <c r="L609" s="1412"/>
      <c r="M609" s="1070"/>
      <c r="N609" s="1070"/>
      <c r="O609" s="1797"/>
      <c r="P609" s="1798"/>
      <c r="Q609" s="1799" t="s">
        <v>1313</v>
      </c>
      <c r="R609" s="1799" t="s">
        <v>1314</v>
      </c>
      <c r="T609" s="1070"/>
      <c r="U609" s="1082"/>
      <c r="V609" s="3280"/>
      <c r="W609" s="3281"/>
      <c r="X609" s="3281"/>
      <c r="Y609" s="3282"/>
      <c r="Z609" s="1082"/>
    </row>
    <row r="610" spans="1:16378" hidden="1" outlineLevel="1" x14ac:dyDescent="0.3">
      <c r="A610" s="1070"/>
      <c r="B610" s="1070"/>
      <c r="C610" s="1070"/>
      <c r="D610" s="1070"/>
      <c r="E610" s="1070"/>
      <c r="F610" s="1070"/>
      <c r="G610" s="1070"/>
      <c r="H610" s="1800" t="s">
        <v>1301</v>
      </c>
      <c r="I610" s="1801"/>
      <c r="J610" s="1801"/>
      <c r="K610" s="1802" t="s">
        <v>1432</v>
      </c>
      <c r="L610" s="1803" t="s">
        <v>682</v>
      </c>
      <c r="M610" s="1070"/>
      <c r="N610" s="1070"/>
      <c r="O610" s="1804"/>
      <c r="P610" s="1805"/>
      <c r="Q610" s="1806" t="s">
        <v>1465</v>
      </c>
      <c r="R610" s="1806" t="s">
        <v>1465</v>
      </c>
      <c r="T610" s="1070"/>
      <c r="U610" s="1082"/>
      <c r="V610" s="1807" t="s">
        <v>1454</v>
      </c>
      <c r="W610" s="1143"/>
      <c r="X610" s="1414" t="s">
        <v>1432</v>
      </c>
      <c r="Y610" s="1415" t="s">
        <v>682</v>
      </c>
      <c r="Z610" s="1082"/>
    </row>
    <row r="611" spans="1:16378" hidden="1" outlineLevel="1" x14ac:dyDescent="0.3">
      <c r="A611" s="1070"/>
      <c r="B611" s="1070"/>
      <c r="C611" s="1070"/>
      <c r="D611" s="1070"/>
      <c r="E611" s="1070"/>
      <c r="F611" s="1070"/>
      <c r="G611" s="1070"/>
      <c r="H611" s="1440" t="s">
        <v>1456</v>
      </c>
      <c r="I611" s="1441"/>
      <c r="J611" s="1441"/>
      <c r="K611" s="1809" t="s">
        <v>1445</v>
      </c>
      <c r="L611" s="1443" t="s">
        <v>1445</v>
      </c>
      <c r="M611" s="1070"/>
      <c r="N611" s="1070"/>
      <c r="O611" s="1422" t="s">
        <v>794</v>
      </c>
      <c r="P611" s="1412"/>
      <c r="Q611" s="1840"/>
      <c r="R611" s="2058"/>
      <c r="T611" s="1070"/>
      <c r="U611" s="1082"/>
      <c r="V611" s="1147" t="s">
        <v>756</v>
      </c>
      <c r="W611" s="1186"/>
      <c r="X611" s="1811" t="s">
        <v>1445</v>
      </c>
      <c r="Y611" s="1812" t="s">
        <v>1445</v>
      </c>
      <c r="Z611" s="1082"/>
    </row>
    <row r="612" spans="1:16378" hidden="1" outlineLevel="1" x14ac:dyDescent="0.3">
      <c r="A612" s="1070"/>
      <c r="B612" s="1070"/>
      <c r="C612" s="1070"/>
      <c r="D612" s="1070"/>
      <c r="E612" s="1070"/>
      <c r="F612" s="1070"/>
      <c r="G612" s="1070"/>
      <c r="H612" s="1800" t="s">
        <v>730</v>
      </c>
      <c r="I612" s="1801"/>
      <c r="J612" s="1801"/>
      <c r="K612" s="1813"/>
      <c r="L612" s="1814"/>
      <c r="M612" s="1070"/>
      <c r="N612" s="1070"/>
      <c r="O612" s="1434" t="s">
        <v>725</v>
      </c>
      <c r="P612" s="1435"/>
      <c r="Q612" s="1842"/>
      <c r="R612" s="2059"/>
      <c r="T612" s="1070"/>
      <c r="U612" s="1082"/>
      <c r="V612" s="1149" t="s">
        <v>757</v>
      </c>
      <c r="W612" s="1437"/>
      <c r="X612" s="1816" t="s">
        <v>1445</v>
      </c>
      <c r="Y612" s="1817" t="s">
        <v>1445</v>
      </c>
      <c r="Z612" s="1082"/>
    </row>
    <row r="613" spans="1:16378" hidden="1" outlineLevel="1" x14ac:dyDescent="0.3">
      <c r="A613" s="1070"/>
      <c r="B613" s="1070"/>
      <c r="C613" s="1070"/>
      <c r="D613" s="1070"/>
      <c r="E613" s="1070"/>
      <c r="F613" s="1070"/>
      <c r="G613" s="1070"/>
      <c r="H613" s="1440" t="s">
        <v>1456</v>
      </c>
      <c r="I613" s="1441"/>
      <c r="J613" s="1441"/>
      <c r="K613" s="1809" t="s">
        <v>1445</v>
      </c>
      <c r="L613" s="1443" t="s">
        <v>1445</v>
      </c>
      <c r="M613" s="1070"/>
      <c r="N613" s="1070"/>
      <c r="O613" s="1422" t="s">
        <v>1348</v>
      </c>
      <c r="P613" s="1412"/>
      <c r="Q613" s="2060"/>
      <c r="R613" s="1070"/>
      <c r="T613" s="1070"/>
      <c r="U613" s="1082"/>
      <c r="V613" s="1149"/>
      <c r="W613" s="1437"/>
      <c r="X613" s="3182" t="s">
        <v>1457</v>
      </c>
      <c r="Y613" s="3183"/>
      <c r="Z613" s="1082"/>
    </row>
    <row r="614" spans="1:16378" hidden="1" outlineLevel="1" x14ac:dyDescent="0.3">
      <c r="A614" s="1070"/>
      <c r="B614" s="1070"/>
      <c r="C614" s="1070"/>
      <c r="D614" s="1070"/>
      <c r="E614" s="1070"/>
      <c r="F614" s="1070"/>
      <c r="G614" s="1070"/>
      <c r="H614" s="1800" t="s">
        <v>446</v>
      </c>
      <c r="I614" s="1801"/>
      <c r="J614" s="1801"/>
      <c r="K614" s="1813"/>
      <c r="L614" s="1814"/>
      <c r="M614" s="1070"/>
      <c r="N614" s="1070"/>
      <c r="O614" s="1434" t="s">
        <v>1349</v>
      </c>
      <c r="P614" s="1435"/>
      <c r="Q614" s="2061"/>
      <c r="R614" s="1070"/>
      <c r="T614" s="1070"/>
      <c r="U614" s="1082"/>
      <c r="V614" s="1149" t="s">
        <v>758</v>
      </c>
      <c r="W614" s="1437"/>
      <c r="X614" s="1811" t="s">
        <v>1445</v>
      </c>
      <c r="Y614" s="1812" t="s">
        <v>1445</v>
      </c>
      <c r="Z614" s="1082"/>
    </row>
    <row r="615" spans="1:16378" hidden="1" outlineLevel="1" x14ac:dyDescent="0.3">
      <c r="A615" s="1070"/>
      <c r="B615" s="1070"/>
      <c r="C615" s="1070"/>
      <c r="D615" s="1070"/>
      <c r="E615" s="1070"/>
      <c r="F615" s="1070"/>
      <c r="G615" s="1070"/>
      <c r="H615" s="1440" t="s">
        <v>1456</v>
      </c>
      <c r="I615" s="1441"/>
      <c r="J615" s="1441"/>
      <c r="K615" s="1809" t="s">
        <v>1445</v>
      </c>
      <c r="L615" s="1443" t="s">
        <v>1445</v>
      </c>
      <c r="M615" s="1070"/>
      <c r="N615" s="1070"/>
      <c r="O615" s="1070"/>
      <c r="P615" s="1070"/>
      <c r="Q615" s="1070"/>
      <c r="R615" s="1070"/>
      <c r="S615" s="1070"/>
      <c r="T615" s="1070"/>
      <c r="U615" s="1082"/>
      <c r="V615" s="1149" t="s">
        <v>759</v>
      </c>
      <c r="W615" s="1437"/>
      <c r="X615" s="1811" t="s">
        <v>1445</v>
      </c>
      <c r="Y615" s="1812" t="s">
        <v>1445</v>
      </c>
      <c r="Z615" s="1082"/>
    </row>
    <row r="616" spans="1:16378" hidden="1" outlineLevel="1" x14ac:dyDescent="0.3">
      <c r="A616" s="1070"/>
      <c r="B616" s="1070"/>
      <c r="C616" s="1070"/>
      <c r="D616" s="1070"/>
      <c r="E616" s="1070"/>
      <c r="F616" s="1070"/>
      <c r="G616" s="1070"/>
      <c r="H616" s="1800" t="s">
        <v>1305</v>
      </c>
      <c r="I616" s="1801"/>
      <c r="J616" s="1801"/>
      <c r="K616" s="1813"/>
      <c r="L616" s="1814"/>
      <c r="M616" s="1070"/>
      <c r="N616" s="1070"/>
      <c r="O616" s="1422" t="s">
        <v>3</v>
      </c>
      <c r="P616" s="1186"/>
      <c r="Q616" s="1848"/>
      <c r="R616" s="1070"/>
      <c r="S616" s="1070"/>
      <c r="T616" s="1070"/>
      <c r="U616" s="1082"/>
      <c r="V616" s="1184" t="s">
        <v>1268</v>
      </c>
      <c r="W616" s="1459"/>
      <c r="X616" s="1816" t="s">
        <v>1445</v>
      </c>
      <c r="Y616" s="1817" t="s">
        <v>1445</v>
      </c>
      <c r="Z616" s="1082"/>
    </row>
    <row r="617" spans="1:16378" hidden="1" outlineLevel="1" x14ac:dyDescent="0.3">
      <c r="A617" s="1070"/>
      <c r="B617" s="1070"/>
      <c r="C617" s="1070"/>
      <c r="D617" s="1070"/>
      <c r="E617" s="1070"/>
      <c r="F617" s="1070"/>
      <c r="G617" s="1070"/>
      <c r="H617" s="1465" t="s">
        <v>1456</v>
      </c>
      <c r="I617" s="1466"/>
      <c r="J617" s="1466"/>
      <c r="K617" s="1822" t="s">
        <v>1445</v>
      </c>
      <c r="L617" s="1448" t="s">
        <v>1445</v>
      </c>
      <c r="M617" s="1070"/>
      <c r="N617" s="1070"/>
      <c r="O617" s="1434" t="s">
        <v>1458</v>
      </c>
      <c r="P617" s="1459"/>
      <c r="Q617" s="1849"/>
      <c r="R617" s="1070"/>
      <c r="S617" s="1070"/>
      <c r="T617" s="1070"/>
      <c r="U617" s="1082"/>
      <c r="V617" s="1082"/>
      <c r="W617" s="1082"/>
      <c r="X617" s="1082"/>
      <c r="Y617" s="1082"/>
      <c r="Z617" s="1082"/>
    </row>
    <row r="618" spans="1:16378" s="1236" customFormat="1" hidden="1" outlineLevel="1" x14ac:dyDescent="0.3">
      <c r="A618" s="1082"/>
      <c r="B618" s="1082"/>
      <c r="C618" s="1082"/>
      <c r="D618" s="1082"/>
      <c r="E618" s="1082"/>
      <c r="F618" s="1082"/>
      <c r="G618" s="1116"/>
      <c r="H618" s="1116"/>
      <c r="I618" s="1116"/>
      <c r="J618" s="1116"/>
      <c r="K618" s="1116"/>
      <c r="L618" s="1116"/>
      <c r="M618" s="1116"/>
      <c r="N618" s="1116"/>
      <c r="O618" s="1070"/>
      <c r="P618" s="1070"/>
      <c r="Q618" s="1070"/>
      <c r="R618" s="1070"/>
      <c r="S618" s="1116"/>
      <c r="T618" s="1082"/>
      <c r="U618" s="1082"/>
      <c r="V618" s="1082"/>
      <c r="W618" s="1082"/>
      <c r="X618" s="1082"/>
      <c r="Y618" s="1082"/>
      <c r="Z618" s="1082"/>
    </row>
    <row r="619" spans="1:16378" s="1236" customFormat="1" hidden="1" outlineLevel="1" x14ac:dyDescent="0.3">
      <c r="A619" s="1082"/>
      <c r="B619" s="1082"/>
      <c r="C619" s="1082"/>
      <c r="D619" s="1082"/>
      <c r="E619" s="1082"/>
      <c r="F619" s="1082"/>
      <c r="G619" s="1116"/>
      <c r="H619" s="1116"/>
      <c r="I619" s="1116"/>
      <c r="J619" s="1116"/>
      <c r="K619" s="1116"/>
      <c r="L619" s="1116"/>
      <c r="M619" s="1116"/>
      <c r="N619" s="1116"/>
      <c r="R619" s="1070"/>
      <c r="S619" s="1116"/>
      <c r="T619" s="1082"/>
      <c r="U619" s="1082"/>
      <c r="V619" s="1082"/>
      <c r="W619" s="1082"/>
      <c r="X619" s="1082"/>
      <c r="Y619" s="1082"/>
      <c r="Z619" s="1082"/>
    </row>
    <row r="620" spans="1:16378" s="1236" customFormat="1" hidden="1" outlineLevel="1" x14ac:dyDescent="0.3">
      <c r="A620" s="1082"/>
      <c r="B620" s="1082"/>
      <c r="C620" s="1082"/>
      <c r="D620" s="1082"/>
      <c r="E620" s="1082"/>
      <c r="F620" s="1082"/>
      <c r="G620" s="1116"/>
      <c r="H620" s="1116"/>
      <c r="I620" s="1116"/>
      <c r="J620" s="1116"/>
      <c r="K620" s="1116"/>
      <c r="L620" s="1116"/>
      <c r="M620" s="1116"/>
      <c r="N620" s="1116"/>
      <c r="R620" s="1070"/>
      <c r="S620" s="1116"/>
      <c r="T620" s="1082"/>
      <c r="U620" s="1082"/>
      <c r="V620" s="1082"/>
      <c r="W620" s="1082"/>
      <c r="X620" s="1082"/>
      <c r="Y620" s="1082"/>
      <c r="Z620" s="1082"/>
    </row>
    <row r="621" spans="1:16378" collapsed="1" x14ac:dyDescent="0.3">
      <c r="A621" s="1070"/>
      <c r="B621" s="1734" t="s">
        <v>1535</v>
      </c>
      <c r="C621" s="1070"/>
      <c r="D621" s="1070"/>
      <c r="E621" s="1070"/>
      <c r="F621" s="1070"/>
      <c r="G621" s="1070"/>
      <c r="H621" s="1070"/>
      <c r="I621" s="1070"/>
      <c r="J621" s="1070"/>
      <c r="K621" s="1070"/>
      <c r="L621" s="1070"/>
      <c r="M621" s="1070"/>
      <c r="N621" s="1070"/>
      <c r="O621" s="1070"/>
      <c r="P621" s="1070"/>
      <c r="Q621" s="1070"/>
      <c r="R621" s="1070"/>
      <c r="S621" s="1070"/>
      <c r="T621" s="1070"/>
      <c r="U621" s="1070"/>
      <c r="V621" s="1070"/>
      <c r="W621" s="1070"/>
      <c r="X621" s="1070"/>
      <c r="Y621" s="1070"/>
      <c r="Z621" s="1070"/>
    </row>
    <row r="622" spans="1:16378" ht="9.9" customHeight="1" x14ac:dyDescent="0.3">
      <c r="A622" s="1831"/>
      <c r="B622" s="1831"/>
      <c r="C622" s="1831"/>
      <c r="D622" s="1831"/>
      <c r="E622" s="1831"/>
      <c r="F622" s="1831"/>
      <c r="G622" s="1831"/>
      <c r="H622" s="1831"/>
      <c r="I622" s="1831"/>
      <c r="J622" s="1831"/>
      <c r="K622" s="1831"/>
      <c r="L622" s="1831"/>
      <c r="M622" s="1831"/>
      <c r="N622" s="1831"/>
      <c r="O622" s="1831"/>
      <c r="P622" s="1831"/>
      <c r="Q622" s="1831"/>
      <c r="R622" s="1831"/>
      <c r="S622" s="1831"/>
      <c r="T622" s="1831"/>
      <c r="U622" s="1831"/>
      <c r="V622" s="1831"/>
      <c r="W622" s="1831"/>
      <c r="X622" s="1831"/>
      <c r="Y622" s="1831"/>
      <c r="Z622" s="1831"/>
      <c r="AA622" s="1831"/>
      <c r="AB622" s="1831"/>
      <c r="AC622" s="1831"/>
      <c r="AD622" s="1831"/>
      <c r="AE622" s="1831"/>
      <c r="AF622" s="1831"/>
      <c r="AG622" s="1831"/>
      <c r="AH622" s="1831"/>
      <c r="AI622" s="1831"/>
      <c r="AJ622" s="1831"/>
      <c r="AK622" s="1831"/>
      <c r="AL622" s="1831"/>
      <c r="AM622" s="1831"/>
      <c r="AN622" s="1831"/>
      <c r="AO622" s="1831"/>
      <c r="AP622" s="1831"/>
      <c r="AQ622" s="1831"/>
      <c r="AR622" s="1831"/>
      <c r="AS622" s="1831"/>
      <c r="AT622" s="1831"/>
      <c r="AU622" s="1831"/>
      <c r="AV622" s="1831"/>
      <c r="AW622" s="1831"/>
      <c r="AX622" s="1831"/>
      <c r="AY622" s="1831"/>
      <c r="AZ622" s="1831"/>
      <c r="BA622" s="1831"/>
      <c r="BB622" s="1831"/>
      <c r="BC622" s="1831"/>
      <c r="BD622" s="1831"/>
      <c r="BE622" s="1831"/>
      <c r="BF622" s="1831"/>
      <c r="BG622" s="1831"/>
      <c r="BH622" s="1831"/>
      <c r="BI622" s="1831"/>
      <c r="BJ622" s="1831"/>
      <c r="BK622" s="1831"/>
      <c r="BL622" s="1831"/>
      <c r="BM622" s="1831"/>
      <c r="BN622" s="1831"/>
      <c r="BO622" s="1831"/>
      <c r="BP622" s="1831"/>
      <c r="BQ622" s="1831"/>
      <c r="BR622" s="1831"/>
      <c r="BS622" s="1831"/>
      <c r="BT622" s="1831"/>
      <c r="BU622" s="1831"/>
      <c r="BV622" s="1831"/>
      <c r="BW622" s="1831"/>
      <c r="BX622" s="1831"/>
      <c r="BY622" s="1831"/>
      <c r="BZ622" s="1831"/>
      <c r="CA622" s="1831"/>
      <c r="CB622" s="1831"/>
      <c r="CC622" s="1831"/>
      <c r="CD622" s="1831"/>
      <c r="CE622" s="1831"/>
      <c r="CF622" s="1831"/>
      <c r="CG622" s="1831"/>
      <c r="CH622" s="1831"/>
      <c r="CI622" s="1831"/>
      <c r="CJ622" s="1831"/>
      <c r="CK622" s="1831"/>
      <c r="CL622" s="1831"/>
      <c r="CM622" s="1831"/>
      <c r="CN622" s="1831"/>
      <c r="CO622" s="1831"/>
      <c r="CP622" s="1831"/>
      <c r="CQ622" s="1831"/>
      <c r="CR622" s="1831"/>
      <c r="CS622" s="1831"/>
      <c r="CT622" s="1831"/>
      <c r="CU622" s="1831"/>
      <c r="CV622" s="1831"/>
      <c r="CW622" s="1831"/>
      <c r="CX622" s="1831"/>
      <c r="CY622" s="1831"/>
      <c r="CZ622" s="1831"/>
      <c r="DA622" s="1831"/>
      <c r="DB622" s="1831"/>
      <c r="DC622" s="1831"/>
      <c r="DD622" s="1831"/>
      <c r="DE622" s="1831"/>
      <c r="DF622" s="1831"/>
      <c r="DG622" s="1831"/>
      <c r="DH622" s="1831"/>
      <c r="DI622" s="1831"/>
      <c r="DJ622" s="1831"/>
      <c r="DK622" s="1831"/>
      <c r="DL622" s="1831"/>
      <c r="DM622" s="1831"/>
      <c r="DN622" s="1831"/>
      <c r="DO622" s="1831"/>
      <c r="DP622" s="1831"/>
      <c r="DQ622" s="1831"/>
      <c r="DR622" s="1831"/>
      <c r="DS622" s="1831"/>
      <c r="DT622" s="1831"/>
      <c r="DU622" s="1831"/>
      <c r="DV622" s="1831"/>
      <c r="DW622" s="1831"/>
      <c r="DX622" s="1831"/>
      <c r="DY622" s="1831"/>
      <c r="DZ622" s="1831"/>
      <c r="EA622" s="1831"/>
      <c r="EB622" s="1831"/>
      <c r="EC622" s="1831"/>
      <c r="ED622" s="1831"/>
      <c r="EE622" s="1831"/>
      <c r="EF622" s="1831"/>
      <c r="EG622" s="1831"/>
      <c r="EH622" s="1831"/>
      <c r="EI622" s="1831"/>
      <c r="EJ622" s="1831"/>
      <c r="EK622" s="1831"/>
      <c r="EL622" s="1831"/>
      <c r="EM622" s="1831"/>
      <c r="EN622" s="1831"/>
      <c r="EO622" s="1831"/>
      <c r="EP622" s="1831"/>
      <c r="EQ622" s="1831"/>
      <c r="ER622" s="1831"/>
      <c r="ES622" s="1831"/>
      <c r="ET622" s="1831"/>
      <c r="EU622" s="1831"/>
      <c r="EV622" s="1831"/>
      <c r="EW622" s="1831"/>
      <c r="EX622" s="1831"/>
      <c r="EY622" s="1831"/>
      <c r="EZ622" s="1831"/>
      <c r="FA622" s="1831"/>
      <c r="FB622" s="1831"/>
      <c r="FC622" s="1831"/>
      <c r="FD622" s="1831"/>
      <c r="FE622" s="1831"/>
      <c r="FF622" s="1831"/>
      <c r="FG622" s="1831"/>
      <c r="FH622" s="1831"/>
      <c r="FI622" s="1831"/>
      <c r="FJ622" s="1831"/>
      <c r="FK622" s="1831"/>
      <c r="FL622" s="1831"/>
      <c r="FM622" s="1831"/>
      <c r="FN622" s="1831"/>
      <c r="FO622" s="1831"/>
      <c r="FP622" s="1831"/>
      <c r="FQ622" s="1831"/>
      <c r="FR622" s="1831"/>
      <c r="FS622" s="1831"/>
      <c r="FT622" s="1831"/>
      <c r="FU622" s="1831"/>
      <c r="FV622" s="1831"/>
      <c r="FW622" s="1831"/>
      <c r="FX622" s="1831"/>
      <c r="FY622" s="1831"/>
      <c r="FZ622" s="1831"/>
      <c r="GA622" s="1831"/>
      <c r="GB622" s="1831"/>
      <c r="GC622" s="1831"/>
      <c r="GD622" s="1831"/>
      <c r="GE622" s="1831"/>
      <c r="GF622" s="1831"/>
      <c r="GG622" s="1831"/>
      <c r="GH622" s="1831"/>
      <c r="GI622" s="1831"/>
      <c r="GJ622" s="1831"/>
      <c r="GK622" s="1831"/>
      <c r="GL622" s="1831"/>
      <c r="GM622" s="1831"/>
      <c r="GN622" s="1831"/>
      <c r="GO622" s="1831"/>
      <c r="GP622" s="1831"/>
      <c r="GQ622" s="1831"/>
      <c r="GR622" s="1831"/>
      <c r="GS622" s="1831"/>
      <c r="GT622" s="1831"/>
      <c r="GU622" s="1831"/>
      <c r="GV622" s="1831"/>
      <c r="GW622" s="1831"/>
      <c r="GX622" s="1831"/>
      <c r="GY622" s="1831"/>
      <c r="GZ622" s="1831"/>
      <c r="HA622" s="1831"/>
      <c r="HB622" s="1831"/>
      <c r="HC622" s="1831"/>
      <c r="HD622" s="1831"/>
      <c r="HE622" s="1831"/>
      <c r="HF622" s="1831"/>
      <c r="HG622" s="1831"/>
      <c r="HH622" s="1831"/>
      <c r="HI622" s="1831"/>
      <c r="HJ622" s="1831"/>
      <c r="HK622" s="1831"/>
      <c r="HL622" s="1831"/>
      <c r="HM622" s="1831"/>
      <c r="HN622" s="1831"/>
      <c r="HO622" s="1831"/>
      <c r="HP622" s="1831"/>
      <c r="HQ622" s="1831"/>
      <c r="HR622" s="1831"/>
      <c r="HS622" s="1831"/>
      <c r="HT622" s="1831"/>
      <c r="HU622" s="1831"/>
      <c r="HV622" s="1831"/>
      <c r="HW622" s="1831"/>
      <c r="HX622" s="1831"/>
      <c r="HY622" s="1831"/>
      <c r="HZ622" s="1831"/>
      <c r="IA622" s="1831"/>
      <c r="IB622" s="1831"/>
      <c r="IC622" s="1831"/>
      <c r="ID622" s="1831"/>
      <c r="IE622" s="1831"/>
      <c r="IF622" s="1831"/>
      <c r="IG622" s="1831"/>
      <c r="IH622" s="1831"/>
      <c r="II622" s="1831"/>
      <c r="IJ622" s="1831"/>
      <c r="IK622" s="1831"/>
      <c r="IL622" s="1831"/>
      <c r="IM622" s="1831"/>
      <c r="IN622" s="1831"/>
      <c r="IO622" s="1831"/>
      <c r="IP622" s="1831"/>
      <c r="IQ622" s="1831"/>
      <c r="IR622" s="1831"/>
      <c r="IS622" s="1831"/>
      <c r="IT622" s="1831"/>
      <c r="IU622" s="1831"/>
      <c r="IV622" s="1831"/>
      <c r="IW622" s="1831"/>
      <c r="IX622" s="1831"/>
      <c r="IY622" s="1831"/>
      <c r="IZ622" s="1831"/>
      <c r="JA622" s="1831"/>
      <c r="JB622" s="1831"/>
      <c r="JC622" s="1831"/>
      <c r="JD622" s="1831"/>
      <c r="JE622" s="1831"/>
      <c r="JF622" s="1831"/>
      <c r="JG622" s="1831"/>
      <c r="JH622" s="1831"/>
      <c r="JI622" s="1831"/>
      <c r="JJ622" s="1831"/>
      <c r="JK622" s="1831"/>
      <c r="JL622" s="1831"/>
      <c r="JM622" s="1831"/>
      <c r="JN622" s="1831"/>
      <c r="JO622" s="1831"/>
      <c r="JP622" s="1831"/>
      <c r="JQ622" s="1831"/>
      <c r="JR622" s="1831"/>
      <c r="JS622" s="1831"/>
      <c r="JT622" s="1831"/>
      <c r="JU622" s="1831"/>
      <c r="JV622" s="1831"/>
      <c r="JW622" s="1831"/>
      <c r="JX622" s="1831"/>
      <c r="JY622" s="1831"/>
      <c r="JZ622" s="1831"/>
      <c r="KA622" s="1831"/>
      <c r="KB622" s="1831"/>
      <c r="KC622" s="1831"/>
      <c r="KD622" s="1831"/>
      <c r="KE622" s="1831"/>
      <c r="KF622" s="1831"/>
      <c r="KG622" s="1831"/>
      <c r="KH622" s="1831"/>
      <c r="KI622" s="1831"/>
      <c r="KJ622" s="1831"/>
      <c r="KK622" s="1831"/>
      <c r="KL622" s="1831"/>
      <c r="KM622" s="1831"/>
      <c r="KN622" s="1831"/>
      <c r="KO622" s="1831"/>
      <c r="KP622" s="1831"/>
      <c r="KQ622" s="1831"/>
      <c r="KR622" s="1831"/>
      <c r="KS622" s="1831"/>
      <c r="KT622" s="1831"/>
      <c r="KU622" s="1831"/>
      <c r="KV622" s="1831"/>
      <c r="KW622" s="1831"/>
      <c r="KX622" s="1831"/>
      <c r="KY622" s="1831"/>
      <c r="KZ622" s="1831"/>
      <c r="LA622" s="1831"/>
      <c r="LB622" s="1831"/>
      <c r="LC622" s="1831"/>
      <c r="LD622" s="1831"/>
      <c r="LE622" s="1831"/>
      <c r="LF622" s="1831"/>
      <c r="LG622" s="1831"/>
      <c r="LH622" s="1831"/>
      <c r="LI622" s="1831"/>
      <c r="LJ622" s="1831"/>
      <c r="LK622" s="1831"/>
      <c r="LL622" s="1831"/>
      <c r="LM622" s="1831"/>
      <c r="LN622" s="1831"/>
      <c r="LO622" s="1831"/>
      <c r="LP622" s="1831"/>
      <c r="LQ622" s="1831"/>
      <c r="LR622" s="1831"/>
      <c r="LS622" s="1831"/>
      <c r="LT622" s="1831"/>
      <c r="LU622" s="1831"/>
      <c r="LV622" s="1831"/>
      <c r="LW622" s="1831"/>
      <c r="LX622" s="1831"/>
      <c r="LY622" s="1831"/>
      <c r="LZ622" s="1831"/>
      <c r="MA622" s="1831"/>
      <c r="MB622" s="1831"/>
      <c r="MC622" s="1831"/>
      <c r="MD622" s="1831"/>
      <c r="ME622" s="1831"/>
      <c r="MF622" s="1831"/>
      <c r="MG622" s="1831"/>
      <c r="MH622" s="1831"/>
      <c r="MI622" s="1831"/>
      <c r="MJ622" s="1831"/>
      <c r="MK622" s="1831"/>
      <c r="ML622" s="1831"/>
      <c r="MM622" s="1831"/>
      <c r="MN622" s="1831"/>
      <c r="MO622" s="1831"/>
      <c r="MP622" s="1831"/>
      <c r="MQ622" s="1831"/>
      <c r="MR622" s="1831"/>
      <c r="MS622" s="1831"/>
      <c r="MT622" s="1831"/>
      <c r="MU622" s="1831"/>
      <c r="MV622" s="1831"/>
      <c r="MW622" s="1831"/>
      <c r="MX622" s="1831"/>
      <c r="MY622" s="1831"/>
      <c r="MZ622" s="1831"/>
      <c r="NA622" s="1831"/>
      <c r="NB622" s="1831"/>
      <c r="NC622" s="1831"/>
      <c r="ND622" s="1831"/>
      <c r="NE622" s="1831"/>
      <c r="NF622" s="1831"/>
      <c r="NG622" s="1831"/>
      <c r="NH622" s="1831"/>
      <c r="NI622" s="1831"/>
      <c r="NJ622" s="1831"/>
      <c r="NK622" s="1831"/>
      <c r="NL622" s="1831"/>
      <c r="NM622" s="1831"/>
      <c r="NN622" s="1831"/>
      <c r="NO622" s="1831"/>
      <c r="NP622" s="1831"/>
      <c r="NQ622" s="1831"/>
      <c r="NR622" s="1831"/>
      <c r="NS622" s="1831"/>
      <c r="NT622" s="1831"/>
      <c r="NU622" s="1831"/>
      <c r="NV622" s="1831"/>
      <c r="NW622" s="1831"/>
      <c r="NX622" s="1831"/>
      <c r="NY622" s="1831"/>
      <c r="NZ622" s="1831"/>
      <c r="OA622" s="1831"/>
      <c r="OB622" s="1831"/>
      <c r="OC622" s="1831"/>
      <c r="OD622" s="1831"/>
      <c r="OE622" s="1831"/>
      <c r="OF622" s="1831"/>
      <c r="OG622" s="1831"/>
      <c r="OH622" s="1831"/>
      <c r="OI622" s="1831"/>
      <c r="OJ622" s="1831"/>
      <c r="OK622" s="1831"/>
      <c r="OL622" s="1831"/>
      <c r="OM622" s="1831"/>
      <c r="ON622" s="1831"/>
      <c r="OO622" s="1831"/>
      <c r="OP622" s="1831"/>
      <c r="OQ622" s="1831"/>
      <c r="OR622" s="1831"/>
      <c r="OS622" s="1831"/>
      <c r="OT622" s="1831"/>
      <c r="OU622" s="1831"/>
      <c r="OV622" s="1831"/>
      <c r="OW622" s="1831"/>
      <c r="OX622" s="1831"/>
      <c r="OY622" s="1831"/>
      <c r="OZ622" s="1831"/>
      <c r="PA622" s="1831"/>
      <c r="PB622" s="1831"/>
      <c r="PC622" s="1831"/>
      <c r="PD622" s="1831"/>
      <c r="PE622" s="1831"/>
      <c r="PF622" s="1831"/>
      <c r="PG622" s="1831"/>
      <c r="PH622" s="1831"/>
      <c r="PI622" s="1831"/>
      <c r="PJ622" s="1831"/>
      <c r="PK622" s="1831"/>
      <c r="PL622" s="1831"/>
      <c r="PM622" s="1831"/>
      <c r="PN622" s="1831"/>
      <c r="PO622" s="1831"/>
      <c r="PP622" s="1831"/>
      <c r="PQ622" s="1831"/>
      <c r="PR622" s="1831"/>
      <c r="PS622" s="1831"/>
      <c r="PT622" s="1831"/>
      <c r="PU622" s="1831"/>
      <c r="PV622" s="1831"/>
      <c r="PW622" s="1831"/>
      <c r="PX622" s="1831"/>
      <c r="PY622" s="1831"/>
      <c r="PZ622" s="1831"/>
      <c r="QA622" s="1831"/>
      <c r="QB622" s="1831"/>
      <c r="QC622" s="1831"/>
      <c r="QD622" s="1831"/>
      <c r="QE622" s="1831"/>
      <c r="QF622" s="1831"/>
      <c r="QG622" s="1831"/>
      <c r="QH622" s="1831"/>
      <c r="QI622" s="1831"/>
      <c r="QJ622" s="1831"/>
      <c r="QK622" s="1831"/>
      <c r="QL622" s="1831"/>
      <c r="QM622" s="1831"/>
      <c r="QN622" s="1831"/>
      <c r="QO622" s="1831"/>
      <c r="QP622" s="1831"/>
      <c r="QQ622" s="1831"/>
      <c r="QR622" s="1831"/>
      <c r="QS622" s="1831"/>
      <c r="QT622" s="1831"/>
      <c r="QU622" s="1831"/>
      <c r="QV622" s="1831"/>
      <c r="QW622" s="1831"/>
      <c r="QX622" s="1831"/>
      <c r="QY622" s="1831"/>
      <c r="QZ622" s="1831"/>
      <c r="RA622" s="1831"/>
      <c r="RB622" s="1831"/>
      <c r="RC622" s="1831"/>
      <c r="RD622" s="1831"/>
      <c r="RE622" s="1831"/>
      <c r="RF622" s="1831"/>
      <c r="RG622" s="1831"/>
      <c r="RH622" s="1831"/>
      <c r="RI622" s="1831"/>
      <c r="RJ622" s="1831"/>
      <c r="RK622" s="1831"/>
      <c r="RL622" s="1831"/>
      <c r="RM622" s="1831"/>
      <c r="RN622" s="1831"/>
      <c r="RO622" s="1831"/>
      <c r="RP622" s="1831"/>
      <c r="RQ622" s="1831"/>
      <c r="RR622" s="1831"/>
      <c r="RS622" s="1831"/>
      <c r="RT622" s="1831"/>
      <c r="RU622" s="1831"/>
      <c r="RV622" s="1831"/>
      <c r="RW622" s="1831"/>
      <c r="RX622" s="1831"/>
      <c r="RY622" s="1831"/>
      <c r="RZ622" s="1831"/>
      <c r="SA622" s="1831"/>
      <c r="SB622" s="1831"/>
      <c r="SC622" s="1831"/>
      <c r="SD622" s="1831"/>
      <c r="SE622" s="1831"/>
      <c r="SF622" s="1831"/>
      <c r="SG622" s="1831"/>
      <c r="SH622" s="1831"/>
      <c r="SI622" s="1831"/>
      <c r="SJ622" s="1831"/>
      <c r="SK622" s="1831"/>
      <c r="SL622" s="1831"/>
      <c r="SM622" s="1831"/>
      <c r="SN622" s="1831"/>
      <c r="SO622" s="1831"/>
      <c r="SP622" s="1831"/>
      <c r="SQ622" s="1831"/>
      <c r="SR622" s="1831"/>
      <c r="SS622" s="1831"/>
      <c r="ST622" s="1831"/>
      <c r="SU622" s="1831"/>
      <c r="SV622" s="1831"/>
      <c r="SW622" s="1831"/>
      <c r="SX622" s="1831"/>
      <c r="SY622" s="1831"/>
      <c r="SZ622" s="1831"/>
      <c r="TA622" s="1831"/>
      <c r="TB622" s="1831"/>
      <c r="TC622" s="1831"/>
      <c r="TD622" s="1831"/>
      <c r="TE622" s="1831"/>
      <c r="TF622" s="1831"/>
      <c r="TG622" s="1831"/>
      <c r="TH622" s="1831"/>
      <c r="TI622" s="1831"/>
      <c r="TJ622" s="1831"/>
      <c r="TK622" s="1831"/>
      <c r="TL622" s="1831"/>
      <c r="TM622" s="1831"/>
      <c r="TN622" s="1831"/>
      <c r="TO622" s="1831"/>
      <c r="TP622" s="1831"/>
      <c r="TQ622" s="1831"/>
      <c r="TR622" s="1831"/>
      <c r="TS622" s="1831"/>
      <c r="TT622" s="1831"/>
      <c r="TU622" s="1831"/>
      <c r="TV622" s="1831"/>
      <c r="TW622" s="1831"/>
      <c r="TX622" s="1831"/>
      <c r="TY622" s="1831"/>
      <c r="TZ622" s="1831"/>
      <c r="UA622" s="1831"/>
      <c r="UB622" s="1831"/>
      <c r="UC622" s="1831"/>
      <c r="UD622" s="1831"/>
      <c r="UE622" s="1831"/>
      <c r="UF622" s="1831"/>
      <c r="UG622" s="1831"/>
      <c r="UH622" s="1831"/>
      <c r="UI622" s="1831"/>
      <c r="UJ622" s="1831"/>
      <c r="UK622" s="1831"/>
      <c r="UL622" s="1831"/>
      <c r="UM622" s="1831"/>
      <c r="UN622" s="1831"/>
      <c r="UO622" s="1831"/>
      <c r="UP622" s="1831"/>
      <c r="UQ622" s="1831"/>
      <c r="UR622" s="1831"/>
      <c r="US622" s="1831"/>
      <c r="UT622" s="1831"/>
      <c r="UU622" s="1831"/>
      <c r="UV622" s="1831"/>
      <c r="UW622" s="1831"/>
      <c r="UX622" s="1831"/>
      <c r="UY622" s="1831"/>
      <c r="UZ622" s="1831"/>
      <c r="VA622" s="1831"/>
      <c r="VB622" s="1831"/>
      <c r="VC622" s="1831"/>
      <c r="VD622" s="1831"/>
      <c r="VE622" s="1831"/>
      <c r="VF622" s="1831"/>
      <c r="VG622" s="1831"/>
      <c r="VH622" s="1831"/>
      <c r="VI622" s="1831"/>
      <c r="VJ622" s="1831"/>
      <c r="VK622" s="1831"/>
      <c r="VL622" s="1831"/>
      <c r="VM622" s="1831"/>
      <c r="VN622" s="1831"/>
      <c r="VO622" s="1831"/>
      <c r="VP622" s="1831"/>
      <c r="VQ622" s="1831"/>
      <c r="VR622" s="1831"/>
      <c r="VS622" s="1831"/>
      <c r="VT622" s="1831"/>
      <c r="VU622" s="1831"/>
      <c r="VV622" s="1831"/>
      <c r="VW622" s="1831"/>
      <c r="VX622" s="1831"/>
      <c r="VY622" s="1831"/>
      <c r="VZ622" s="1831"/>
      <c r="WA622" s="1831"/>
      <c r="WB622" s="1831"/>
      <c r="WC622" s="1831"/>
      <c r="WD622" s="1831"/>
      <c r="WE622" s="1831"/>
      <c r="WF622" s="1831"/>
      <c r="WG622" s="1831"/>
      <c r="WH622" s="1831"/>
      <c r="WI622" s="1831"/>
      <c r="WJ622" s="1831"/>
      <c r="WK622" s="1831"/>
      <c r="WL622" s="1831"/>
      <c r="WM622" s="1831"/>
      <c r="WN622" s="1831"/>
      <c r="WO622" s="1831"/>
      <c r="WP622" s="1831"/>
      <c r="WQ622" s="1831"/>
      <c r="WR622" s="1831"/>
      <c r="WS622" s="1831"/>
      <c r="WT622" s="1831"/>
      <c r="WU622" s="1831"/>
      <c r="WV622" s="1831"/>
      <c r="WW622" s="1831"/>
      <c r="WX622" s="1831"/>
      <c r="WY622" s="1831"/>
      <c r="WZ622" s="1831"/>
      <c r="XA622" s="1831"/>
      <c r="XB622" s="1831"/>
      <c r="XC622" s="1831"/>
      <c r="XD622" s="1831"/>
      <c r="XE622" s="1831"/>
      <c r="XF622" s="1831"/>
      <c r="XG622" s="1831"/>
      <c r="XH622" s="1831"/>
      <c r="XI622" s="1831"/>
      <c r="XJ622" s="1831"/>
      <c r="XK622" s="1831"/>
      <c r="XL622" s="1831"/>
      <c r="XM622" s="1831"/>
      <c r="XN622" s="1831"/>
      <c r="XO622" s="1831"/>
      <c r="XP622" s="1831"/>
      <c r="XQ622" s="1831"/>
      <c r="XR622" s="1831"/>
      <c r="XS622" s="1831"/>
      <c r="XT622" s="1831"/>
      <c r="XU622" s="1831"/>
      <c r="XV622" s="1831"/>
      <c r="XW622" s="1831"/>
      <c r="XX622" s="1831"/>
      <c r="XY622" s="1831"/>
      <c r="XZ622" s="1831"/>
      <c r="YA622" s="1831"/>
      <c r="YB622" s="1831"/>
      <c r="YC622" s="1831"/>
      <c r="YD622" s="1831"/>
      <c r="YE622" s="1831"/>
      <c r="YF622" s="1831"/>
      <c r="YG622" s="1831"/>
      <c r="YH622" s="1831"/>
      <c r="YI622" s="1831"/>
      <c r="YJ622" s="1831"/>
      <c r="YK622" s="1831"/>
      <c r="YL622" s="1831"/>
      <c r="YM622" s="1831"/>
      <c r="YN622" s="1831"/>
      <c r="YO622" s="1831"/>
      <c r="YP622" s="1831"/>
      <c r="YQ622" s="1831"/>
      <c r="YR622" s="1831"/>
      <c r="YS622" s="1831"/>
      <c r="YT622" s="1831"/>
      <c r="YU622" s="1831"/>
      <c r="YV622" s="1831"/>
      <c r="YW622" s="1831"/>
      <c r="YX622" s="1831"/>
      <c r="YY622" s="1831"/>
      <c r="YZ622" s="1831"/>
      <c r="ZA622" s="1831"/>
      <c r="ZB622" s="1831"/>
      <c r="ZC622" s="1831"/>
      <c r="ZD622" s="1831"/>
      <c r="ZE622" s="1831"/>
      <c r="ZF622" s="1831"/>
      <c r="ZG622" s="1831"/>
      <c r="ZH622" s="1831"/>
      <c r="ZI622" s="1831"/>
      <c r="ZJ622" s="1831"/>
      <c r="ZK622" s="1831"/>
      <c r="ZL622" s="1831"/>
      <c r="ZM622" s="1831"/>
      <c r="ZN622" s="1831"/>
      <c r="ZO622" s="1831"/>
      <c r="ZP622" s="1831"/>
      <c r="ZQ622" s="1831"/>
      <c r="ZR622" s="1831"/>
      <c r="ZS622" s="1831"/>
      <c r="ZT622" s="1831"/>
      <c r="ZU622" s="1831"/>
      <c r="ZV622" s="1831"/>
      <c r="ZW622" s="1831"/>
      <c r="ZX622" s="1831"/>
      <c r="ZY622" s="1831"/>
      <c r="ZZ622" s="1831"/>
      <c r="AAA622" s="1831"/>
      <c r="AAB622" s="1831"/>
      <c r="AAC622" s="1831"/>
      <c r="AAD622" s="1831"/>
      <c r="AAE622" s="1831"/>
      <c r="AAF622" s="1831"/>
      <c r="AAG622" s="1831"/>
      <c r="AAH622" s="1831"/>
      <c r="AAI622" s="1831"/>
      <c r="AAJ622" s="1831"/>
      <c r="AAK622" s="1831"/>
      <c r="AAL622" s="1831"/>
      <c r="AAM622" s="1831"/>
      <c r="AAN622" s="1831"/>
      <c r="AAO622" s="1831"/>
      <c r="AAP622" s="1831"/>
      <c r="AAQ622" s="1831"/>
      <c r="AAR622" s="1831"/>
      <c r="AAS622" s="1831"/>
      <c r="AAT622" s="1831"/>
      <c r="AAU622" s="1831"/>
      <c r="AAV622" s="1831"/>
      <c r="AAW622" s="1831"/>
      <c r="AAX622" s="1831"/>
      <c r="AAY622" s="1831"/>
      <c r="AAZ622" s="1831"/>
      <c r="ABA622" s="1831"/>
      <c r="ABB622" s="1831"/>
      <c r="ABC622" s="1831"/>
      <c r="ABD622" s="1831"/>
      <c r="ABE622" s="1831"/>
      <c r="ABF622" s="1831"/>
      <c r="ABG622" s="1831"/>
      <c r="ABH622" s="1831"/>
      <c r="ABI622" s="1831"/>
      <c r="ABJ622" s="1831"/>
      <c r="ABK622" s="1831"/>
      <c r="ABL622" s="1831"/>
      <c r="ABM622" s="1831"/>
      <c r="ABN622" s="1831"/>
      <c r="ABO622" s="1831"/>
      <c r="ABP622" s="1831"/>
      <c r="ABQ622" s="1831"/>
      <c r="ABR622" s="1831"/>
      <c r="ABS622" s="1831"/>
      <c r="ABT622" s="1831"/>
      <c r="ABU622" s="1831"/>
      <c r="ABV622" s="1831"/>
      <c r="ABW622" s="1831"/>
      <c r="ABX622" s="1831"/>
      <c r="ABY622" s="1831"/>
      <c r="ABZ622" s="1831"/>
      <c r="ACA622" s="1831"/>
      <c r="ACB622" s="1831"/>
      <c r="ACC622" s="1831"/>
      <c r="ACD622" s="1831"/>
      <c r="ACE622" s="1831"/>
      <c r="ACF622" s="1831"/>
      <c r="ACG622" s="1831"/>
      <c r="ACH622" s="1831"/>
      <c r="ACI622" s="1831"/>
      <c r="ACJ622" s="1831"/>
      <c r="ACK622" s="1831"/>
      <c r="ACL622" s="1831"/>
      <c r="ACM622" s="1831"/>
      <c r="ACN622" s="1831"/>
      <c r="ACO622" s="1831"/>
      <c r="ACP622" s="1831"/>
      <c r="ACQ622" s="1831"/>
      <c r="ACR622" s="1831"/>
      <c r="ACS622" s="1831"/>
      <c r="ACT622" s="1831"/>
      <c r="ACU622" s="1831"/>
      <c r="ACV622" s="1831"/>
      <c r="ACW622" s="1831"/>
      <c r="ACX622" s="1831"/>
      <c r="ACY622" s="1831"/>
      <c r="ACZ622" s="1831"/>
      <c r="ADA622" s="1831"/>
      <c r="ADB622" s="1831"/>
      <c r="ADC622" s="1831"/>
      <c r="ADD622" s="1831"/>
      <c r="ADE622" s="1831"/>
      <c r="ADF622" s="1831"/>
      <c r="ADG622" s="1831"/>
      <c r="ADH622" s="1831"/>
      <c r="ADI622" s="1831"/>
      <c r="ADJ622" s="1831"/>
      <c r="ADK622" s="1831"/>
      <c r="ADL622" s="1831"/>
      <c r="ADM622" s="1831"/>
      <c r="ADN622" s="1831"/>
      <c r="ADO622" s="1831"/>
      <c r="ADP622" s="1831"/>
      <c r="ADQ622" s="1831"/>
      <c r="ADR622" s="1831"/>
      <c r="ADS622" s="1831"/>
      <c r="ADT622" s="1831"/>
      <c r="ADU622" s="1831"/>
      <c r="ADV622" s="1831"/>
      <c r="ADW622" s="1831"/>
      <c r="ADX622" s="1831"/>
      <c r="ADY622" s="1831"/>
      <c r="ADZ622" s="1831"/>
      <c r="AEA622" s="1831"/>
      <c r="AEB622" s="1831"/>
      <c r="AEC622" s="1831"/>
      <c r="AED622" s="1831"/>
      <c r="AEE622" s="1831"/>
      <c r="AEF622" s="1831"/>
      <c r="AEG622" s="1831"/>
      <c r="AEH622" s="1831"/>
      <c r="AEI622" s="1831"/>
      <c r="AEJ622" s="1831"/>
      <c r="AEK622" s="1831"/>
      <c r="AEL622" s="1831"/>
      <c r="AEM622" s="1831"/>
      <c r="AEN622" s="1831"/>
      <c r="AEO622" s="1831"/>
      <c r="AEP622" s="1831"/>
      <c r="AEQ622" s="1831"/>
      <c r="AER622" s="1831"/>
      <c r="AES622" s="1831"/>
      <c r="AET622" s="1831"/>
      <c r="AEU622" s="1831"/>
      <c r="AEV622" s="1831"/>
      <c r="AEW622" s="1831"/>
      <c r="AEX622" s="1831"/>
      <c r="AEY622" s="1831"/>
      <c r="AEZ622" s="1831"/>
      <c r="AFA622" s="1831"/>
      <c r="AFB622" s="1831"/>
      <c r="AFC622" s="1831"/>
      <c r="AFD622" s="1831"/>
      <c r="AFE622" s="1831"/>
      <c r="AFF622" s="1831"/>
      <c r="AFG622" s="1831"/>
      <c r="AFH622" s="1831"/>
      <c r="AFI622" s="1831"/>
      <c r="AFJ622" s="1831"/>
      <c r="AFK622" s="1831"/>
      <c r="AFL622" s="1831"/>
      <c r="AFM622" s="1831"/>
      <c r="AFN622" s="1831"/>
      <c r="AFO622" s="1831"/>
      <c r="AFP622" s="1831"/>
      <c r="AFQ622" s="1831"/>
      <c r="AFR622" s="1831"/>
      <c r="AFS622" s="1831"/>
      <c r="AFT622" s="1831"/>
      <c r="AFU622" s="1831"/>
      <c r="AFV622" s="1831"/>
      <c r="AFW622" s="1831"/>
      <c r="AFX622" s="1831"/>
      <c r="AFY622" s="1831"/>
      <c r="AFZ622" s="1831"/>
      <c r="AGA622" s="1831"/>
      <c r="AGB622" s="1831"/>
      <c r="AGC622" s="1831"/>
      <c r="AGD622" s="1831"/>
      <c r="AGE622" s="1831"/>
      <c r="AGF622" s="1831"/>
      <c r="AGG622" s="1831"/>
      <c r="AGH622" s="1831"/>
      <c r="AGI622" s="1831"/>
      <c r="AGJ622" s="1831"/>
      <c r="AGK622" s="1831"/>
      <c r="AGL622" s="1831"/>
      <c r="AGM622" s="1831"/>
      <c r="AGN622" s="1831"/>
      <c r="AGO622" s="1831"/>
      <c r="AGP622" s="1831"/>
      <c r="AGQ622" s="1831"/>
      <c r="AGR622" s="1831"/>
      <c r="AGS622" s="1831"/>
      <c r="AGT622" s="1831"/>
      <c r="AGU622" s="1831"/>
      <c r="AGV622" s="1831"/>
      <c r="AGW622" s="1831"/>
      <c r="AGX622" s="1831"/>
      <c r="AGY622" s="1831"/>
      <c r="AGZ622" s="1831"/>
      <c r="AHA622" s="1831"/>
      <c r="AHB622" s="1831"/>
      <c r="AHC622" s="1831"/>
      <c r="AHD622" s="1831"/>
      <c r="AHE622" s="1831"/>
      <c r="AHF622" s="1831"/>
      <c r="AHG622" s="1831"/>
      <c r="AHH622" s="1831"/>
      <c r="AHI622" s="1831"/>
      <c r="AHJ622" s="1831"/>
      <c r="AHK622" s="1831"/>
      <c r="AHL622" s="1831"/>
      <c r="AHM622" s="1831"/>
      <c r="AHN622" s="1831"/>
      <c r="AHO622" s="1831"/>
      <c r="AHP622" s="1831"/>
      <c r="AHQ622" s="1831"/>
      <c r="AHR622" s="1831"/>
      <c r="AHS622" s="1831"/>
      <c r="AHT622" s="1831"/>
      <c r="AHU622" s="1831"/>
      <c r="AHV622" s="1831"/>
      <c r="AHW622" s="1831"/>
      <c r="AHX622" s="1831"/>
      <c r="AHY622" s="1831"/>
      <c r="AHZ622" s="1831"/>
      <c r="AIA622" s="1831"/>
      <c r="AIB622" s="1831"/>
      <c r="AIC622" s="1831"/>
      <c r="AID622" s="1831"/>
      <c r="AIE622" s="1831"/>
      <c r="AIF622" s="1831"/>
      <c r="AIG622" s="1831"/>
      <c r="AIH622" s="1831"/>
      <c r="AII622" s="1831"/>
      <c r="AIJ622" s="1831"/>
      <c r="AIK622" s="1831"/>
      <c r="AIL622" s="1831"/>
      <c r="AIM622" s="1831"/>
      <c r="AIN622" s="1831"/>
      <c r="AIO622" s="1831"/>
      <c r="AIP622" s="1831"/>
      <c r="AIQ622" s="1831"/>
      <c r="AIR622" s="1831"/>
      <c r="AIS622" s="1831"/>
      <c r="AIT622" s="1831"/>
      <c r="AIU622" s="1831"/>
      <c r="AIV622" s="1831"/>
      <c r="AIW622" s="1831"/>
      <c r="AIX622" s="1831"/>
      <c r="AIY622" s="1831"/>
      <c r="AIZ622" s="1831"/>
      <c r="AJA622" s="1831"/>
      <c r="AJB622" s="1831"/>
      <c r="AJC622" s="1831"/>
      <c r="AJD622" s="1831"/>
      <c r="AJE622" s="1831"/>
      <c r="AJF622" s="1831"/>
      <c r="AJG622" s="1831"/>
      <c r="AJH622" s="1831"/>
      <c r="AJI622" s="1831"/>
      <c r="AJJ622" s="1831"/>
      <c r="AJK622" s="1831"/>
      <c r="AJL622" s="1831"/>
      <c r="AJM622" s="1831"/>
      <c r="AJN622" s="1831"/>
      <c r="AJO622" s="1831"/>
      <c r="AJP622" s="1831"/>
      <c r="AJQ622" s="1831"/>
      <c r="AJR622" s="1831"/>
      <c r="AJS622" s="1831"/>
      <c r="AJT622" s="1831"/>
      <c r="AJU622" s="1831"/>
      <c r="AJV622" s="1831"/>
      <c r="AJW622" s="1831"/>
      <c r="AJX622" s="1831"/>
      <c r="AJY622" s="1831"/>
      <c r="AJZ622" s="1831"/>
      <c r="AKA622" s="1831"/>
      <c r="AKB622" s="1831"/>
      <c r="AKC622" s="1831"/>
      <c r="AKD622" s="1831"/>
      <c r="AKE622" s="1831"/>
      <c r="AKF622" s="1831"/>
      <c r="AKG622" s="1831"/>
      <c r="AKH622" s="1831"/>
      <c r="AKI622" s="1831"/>
      <c r="AKJ622" s="1831"/>
      <c r="AKK622" s="1831"/>
      <c r="AKL622" s="1831"/>
      <c r="AKM622" s="1831"/>
      <c r="AKN622" s="1831"/>
      <c r="AKO622" s="1831"/>
      <c r="AKP622" s="1831"/>
      <c r="AKQ622" s="1831"/>
      <c r="AKR622" s="1831"/>
      <c r="AKS622" s="1831"/>
      <c r="AKT622" s="1831"/>
      <c r="AKU622" s="1831"/>
      <c r="AKV622" s="1831"/>
      <c r="AKW622" s="1831"/>
      <c r="AKX622" s="1831"/>
      <c r="AKY622" s="1831"/>
      <c r="AKZ622" s="1831"/>
      <c r="ALA622" s="1831"/>
      <c r="ALB622" s="1831"/>
      <c r="ALC622" s="1831"/>
      <c r="ALD622" s="1831"/>
      <c r="ALE622" s="1831"/>
      <c r="ALF622" s="1831"/>
      <c r="ALG622" s="1831"/>
      <c r="ALH622" s="1831"/>
      <c r="ALI622" s="1831"/>
      <c r="ALJ622" s="1831"/>
      <c r="ALK622" s="1831"/>
      <c r="ALL622" s="1831"/>
      <c r="ALM622" s="1831"/>
      <c r="ALN622" s="1831"/>
      <c r="ALO622" s="1831"/>
      <c r="ALP622" s="1831"/>
      <c r="ALQ622" s="1831"/>
      <c r="ALR622" s="1831"/>
      <c r="ALS622" s="1831"/>
      <c r="ALT622" s="1831"/>
      <c r="ALU622" s="1831"/>
      <c r="ALV622" s="1831"/>
      <c r="ALW622" s="1831"/>
      <c r="ALX622" s="1831"/>
      <c r="ALY622" s="1831"/>
      <c r="ALZ622" s="1831"/>
      <c r="AMA622" s="1831"/>
      <c r="AMB622" s="1831"/>
      <c r="AMC622" s="1831"/>
      <c r="AMD622" s="1831"/>
      <c r="AME622" s="1831"/>
      <c r="AMF622" s="1831"/>
      <c r="AMG622" s="1831"/>
      <c r="AMH622" s="1831"/>
      <c r="AMI622" s="1831"/>
      <c r="AMJ622" s="1831"/>
      <c r="AMK622" s="1831"/>
      <c r="AML622" s="1831"/>
      <c r="AMM622" s="1831"/>
      <c r="AMN622" s="1831"/>
      <c r="AMO622" s="1831"/>
      <c r="AMP622" s="1831"/>
      <c r="AMQ622" s="1831"/>
      <c r="AMR622" s="1831"/>
      <c r="AMS622" s="1831"/>
      <c r="AMT622" s="1831"/>
      <c r="AMU622" s="1831"/>
      <c r="AMV622" s="1831"/>
      <c r="AMW622" s="1831"/>
      <c r="AMX622" s="1831"/>
      <c r="AMY622" s="1831"/>
      <c r="AMZ622" s="1831"/>
      <c r="ANA622" s="1831"/>
      <c r="ANB622" s="1831"/>
      <c r="ANC622" s="1831"/>
      <c r="AND622" s="1831"/>
      <c r="ANE622" s="1831"/>
      <c r="ANF622" s="1831"/>
      <c r="ANG622" s="1831"/>
      <c r="ANH622" s="1831"/>
      <c r="ANI622" s="1831"/>
      <c r="ANJ622" s="1831"/>
      <c r="ANK622" s="1831"/>
      <c r="ANL622" s="1831"/>
      <c r="ANM622" s="1831"/>
      <c r="ANN622" s="1831"/>
      <c r="ANO622" s="1831"/>
      <c r="ANP622" s="1831"/>
      <c r="ANQ622" s="1831"/>
      <c r="ANR622" s="1831"/>
      <c r="ANS622" s="1831"/>
      <c r="ANT622" s="1831"/>
      <c r="ANU622" s="1831"/>
      <c r="ANV622" s="1831"/>
      <c r="ANW622" s="1831"/>
      <c r="ANX622" s="1831"/>
      <c r="ANY622" s="1831"/>
      <c r="ANZ622" s="1831"/>
      <c r="AOA622" s="1831"/>
      <c r="AOB622" s="1831"/>
      <c r="AOC622" s="1831"/>
      <c r="AOD622" s="1831"/>
      <c r="AOE622" s="1831"/>
      <c r="AOF622" s="1831"/>
      <c r="AOG622" s="1831"/>
      <c r="AOH622" s="1831"/>
      <c r="AOI622" s="1831"/>
      <c r="AOJ622" s="1831"/>
      <c r="AOK622" s="1831"/>
      <c r="AOL622" s="1831"/>
      <c r="AOM622" s="1831"/>
      <c r="AON622" s="1831"/>
      <c r="AOO622" s="1831"/>
      <c r="AOP622" s="1831"/>
      <c r="AOQ622" s="1831"/>
      <c r="AOR622" s="1831"/>
      <c r="AOS622" s="1831"/>
      <c r="AOT622" s="1831"/>
      <c r="AOU622" s="1831"/>
      <c r="AOV622" s="1831"/>
      <c r="AOW622" s="1831"/>
      <c r="AOX622" s="1831"/>
      <c r="AOY622" s="1831"/>
      <c r="AOZ622" s="1831"/>
      <c r="APA622" s="1831"/>
      <c r="APB622" s="1831"/>
      <c r="APC622" s="1831"/>
      <c r="APD622" s="1831"/>
      <c r="APE622" s="1831"/>
      <c r="APF622" s="1831"/>
      <c r="APG622" s="1831"/>
      <c r="APH622" s="1831"/>
      <c r="API622" s="1831"/>
      <c r="APJ622" s="1831"/>
      <c r="APK622" s="1831"/>
      <c r="APL622" s="1831"/>
      <c r="APM622" s="1831"/>
      <c r="APN622" s="1831"/>
      <c r="APO622" s="1831"/>
      <c r="APP622" s="1831"/>
      <c r="APQ622" s="1831"/>
      <c r="APR622" s="1831"/>
      <c r="APS622" s="1831"/>
      <c r="APT622" s="1831"/>
      <c r="APU622" s="1831"/>
      <c r="APV622" s="1831"/>
      <c r="APW622" s="1831"/>
      <c r="APX622" s="1831"/>
      <c r="APY622" s="1831"/>
      <c r="APZ622" s="1831"/>
      <c r="AQA622" s="1831"/>
      <c r="AQB622" s="1831"/>
      <c r="AQC622" s="1831"/>
      <c r="AQD622" s="1831"/>
      <c r="AQE622" s="1831"/>
      <c r="AQF622" s="1831"/>
      <c r="AQG622" s="1831"/>
      <c r="AQH622" s="1831"/>
      <c r="AQI622" s="1831"/>
      <c r="AQJ622" s="1831"/>
      <c r="AQK622" s="1831"/>
      <c r="AQL622" s="1831"/>
      <c r="AQM622" s="1831"/>
      <c r="AQN622" s="1831"/>
      <c r="AQO622" s="1831"/>
      <c r="AQP622" s="1831"/>
      <c r="AQQ622" s="1831"/>
      <c r="AQR622" s="1831"/>
      <c r="AQS622" s="1831"/>
      <c r="AQT622" s="1831"/>
      <c r="AQU622" s="1831"/>
      <c r="AQV622" s="1831"/>
      <c r="AQW622" s="1831"/>
      <c r="AQX622" s="1831"/>
      <c r="AQY622" s="1831"/>
      <c r="AQZ622" s="1831"/>
      <c r="ARA622" s="1831"/>
      <c r="ARB622" s="1831"/>
      <c r="ARC622" s="1831"/>
      <c r="ARD622" s="1831"/>
      <c r="ARE622" s="1831"/>
      <c r="ARF622" s="1831"/>
      <c r="ARG622" s="1831"/>
      <c r="ARH622" s="1831"/>
      <c r="ARI622" s="1831"/>
      <c r="ARJ622" s="1831"/>
      <c r="ARK622" s="1831"/>
      <c r="ARL622" s="1831"/>
      <c r="ARM622" s="1831"/>
      <c r="ARN622" s="1831"/>
      <c r="ARO622" s="1831"/>
      <c r="ARP622" s="1831"/>
      <c r="ARQ622" s="1831"/>
      <c r="ARR622" s="1831"/>
      <c r="ARS622" s="1831"/>
      <c r="ART622" s="1831"/>
      <c r="ARU622" s="1831"/>
      <c r="ARV622" s="1831"/>
      <c r="ARW622" s="1831"/>
      <c r="ARX622" s="1831"/>
      <c r="ARY622" s="1831"/>
      <c r="ARZ622" s="1831"/>
      <c r="ASA622" s="1831"/>
      <c r="ASB622" s="1831"/>
      <c r="ASC622" s="1831"/>
      <c r="ASD622" s="1831"/>
      <c r="ASE622" s="1831"/>
      <c r="ASF622" s="1831"/>
      <c r="ASG622" s="1831"/>
      <c r="ASH622" s="1831"/>
      <c r="ASI622" s="1831"/>
      <c r="ASJ622" s="1831"/>
      <c r="ASK622" s="1831"/>
      <c r="ASL622" s="1831"/>
      <c r="ASM622" s="1831"/>
      <c r="ASN622" s="1831"/>
      <c r="ASO622" s="1831"/>
      <c r="ASP622" s="1831"/>
      <c r="ASQ622" s="1831"/>
      <c r="ASR622" s="1831"/>
      <c r="ASS622" s="1831"/>
      <c r="AST622" s="1831"/>
      <c r="ASU622" s="1831"/>
      <c r="ASV622" s="1831"/>
      <c r="ASW622" s="1831"/>
      <c r="ASX622" s="1831"/>
      <c r="ASY622" s="1831"/>
      <c r="ASZ622" s="1831"/>
      <c r="ATA622" s="1831"/>
      <c r="ATB622" s="1831"/>
      <c r="ATC622" s="1831"/>
      <c r="ATD622" s="1831"/>
      <c r="ATE622" s="1831"/>
      <c r="ATF622" s="1831"/>
      <c r="ATG622" s="1831"/>
      <c r="ATH622" s="1831"/>
      <c r="ATI622" s="1831"/>
      <c r="ATJ622" s="1831"/>
      <c r="ATK622" s="1831"/>
      <c r="ATL622" s="1831"/>
      <c r="ATM622" s="1831"/>
      <c r="ATN622" s="1831"/>
      <c r="ATO622" s="1831"/>
      <c r="ATP622" s="1831"/>
      <c r="ATQ622" s="1831"/>
      <c r="ATR622" s="1831"/>
      <c r="ATS622" s="1831"/>
      <c r="ATT622" s="1831"/>
      <c r="ATU622" s="1831"/>
      <c r="ATV622" s="1831"/>
      <c r="ATW622" s="1831"/>
      <c r="ATX622" s="1831"/>
      <c r="ATY622" s="1831"/>
      <c r="ATZ622" s="1831"/>
      <c r="AUA622" s="1831"/>
      <c r="AUB622" s="1831"/>
      <c r="AUC622" s="1831"/>
      <c r="AUD622" s="1831"/>
      <c r="AUE622" s="1831"/>
      <c r="AUF622" s="1831"/>
      <c r="AUG622" s="1831"/>
      <c r="AUH622" s="1831"/>
      <c r="AUI622" s="1831"/>
      <c r="AUJ622" s="1831"/>
      <c r="AUK622" s="1831"/>
      <c r="AUL622" s="1831"/>
      <c r="AUM622" s="1831"/>
      <c r="AUN622" s="1831"/>
      <c r="AUO622" s="1831"/>
      <c r="AUP622" s="1831"/>
      <c r="AUQ622" s="1831"/>
      <c r="AUR622" s="1831"/>
      <c r="AUS622" s="1831"/>
      <c r="AUT622" s="1831"/>
      <c r="AUU622" s="1831"/>
      <c r="AUV622" s="1831"/>
      <c r="AUW622" s="1831"/>
      <c r="AUX622" s="1831"/>
      <c r="AUY622" s="1831"/>
      <c r="AUZ622" s="1831"/>
      <c r="AVA622" s="1831"/>
      <c r="AVB622" s="1831"/>
      <c r="AVC622" s="1831"/>
      <c r="AVD622" s="1831"/>
      <c r="AVE622" s="1831"/>
      <c r="AVF622" s="1831"/>
      <c r="AVG622" s="1831"/>
      <c r="AVH622" s="1831"/>
      <c r="AVI622" s="1831"/>
      <c r="AVJ622" s="1831"/>
      <c r="AVK622" s="1831"/>
      <c r="AVL622" s="1831"/>
      <c r="AVM622" s="1831"/>
      <c r="AVN622" s="1831"/>
      <c r="AVO622" s="1831"/>
      <c r="AVP622" s="1831"/>
      <c r="AVQ622" s="1831"/>
      <c r="AVR622" s="1831"/>
      <c r="AVS622" s="1831"/>
      <c r="AVT622" s="1831"/>
      <c r="AVU622" s="1831"/>
      <c r="AVV622" s="1831"/>
      <c r="AVW622" s="1831"/>
      <c r="AVX622" s="1831"/>
      <c r="AVY622" s="1831"/>
      <c r="AVZ622" s="1831"/>
      <c r="AWA622" s="1831"/>
      <c r="AWB622" s="1831"/>
      <c r="AWC622" s="1831"/>
      <c r="AWD622" s="1831"/>
      <c r="AWE622" s="1831"/>
      <c r="AWF622" s="1831"/>
      <c r="AWG622" s="1831"/>
      <c r="AWH622" s="1831"/>
      <c r="AWI622" s="1831"/>
      <c r="AWJ622" s="1831"/>
      <c r="AWK622" s="1831"/>
      <c r="AWL622" s="1831"/>
      <c r="AWM622" s="1831"/>
      <c r="AWN622" s="1831"/>
      <c r="AWO622" s="1831"/>
      <c r="AWP622" s="1831"/>
      <c r="AWQ622" s="1831"/>
      <c r="AWR622" s="1831"/>
      <c r="AWS622" s="1831"/>
      <c r="AWT622" s="1831"/>
      <c r="AWU622" s="1831"/>
      <c r="AWV622" s="1831"/>
      <c r="AWW622" s="1831"/>
      <c r="AWX622" s="1831"/>
      <c r="AWY622" s="1831"/>
      <c r="AWZ622" s="1831"/>
      <c r="AXA622" s="1831"/>
      <c r="AXB622" s="1831"/>
      <c r="AXC622" s="1831"/>
      <c r="AXD622" s="1831"/>
      <c r="AXE622" s="1831"/>
      <c r="AXF622" s="1831"/>
      <c r="AXG622" s="1831"/>
      <c r="AXH622" s="1831"/>
      <c r="AXI622" s="1831"/>
      <c r="AXJ622" s="1831"/>
      <c r="AXK622" s="1831"/>
      <c r="AXL622" s="1831"/>
      <c r="AXM622" s="1831"/>
      <c r="AXN622" s="1831"/>
      <c r="AXO622" s="1831"/>
      <c r="AXP622" s="1831"/>
      <c r="AXQ622" s="1831"/>
      <c r="AXR622" s="1831"/>
      <c r="AXS622" s="1831"/>
      <c r="AXT622" s="1831"/>
      <c r="AXU622" s="1831"/>
      <c r="AXV622" s="1831"/>
      <c r="AXW622" s="1831"/>
      <c r="AXX622" s="1831"/>
      <c r="AXY622" s="1831"/>
      <c r="AXZ622" s="1831"/>
      <c r="AYA622" s="1831"/>
      <c r="AYB622" s="1831"/>
      <c r="AYC622" s="1831"/>
      <c r="AYD622" s="1831"/>
      <c r="AYE622" s="1831"/>
      <c r="AYF622" s="1831"/>
      <c r="AYG622" s="1831"/>
      <c r="AYH622" s="1831"/>
      <c r="AYI622" s="1831"/>
      <c r="AYJ622" s="1831"/>
      <c r="AYK622" s="1831"/>
      <c r="AYL622" s="1831"/>
      <c r="AYM622" s="1831"/>
      <c r="AYN622" s="1831"/>
      <c r="AYO622" s="1831"/>
      <c r="AYP622" s="1831"/>
      <c r="AYQ622" s="1831"/>
      <c r="AYR622" s="1831"/>
      <c r="AYS622" s="1831"/>
      <c r="AYT622" s="1831"/>
      <c r="AYU622" s="1831"/>
      <c r="AYV622" s="1831"/>
      <c r="AYW622" s="1831"/>
      <c r="AYX622" s="1831"/>
      <c r="AYY622" s="1831"/>
      <c r="AYZ622" s="1831"/>
      <c r="AZA622" s="1831"/>
      <c r="AZB622" s="1831"/>
      <c r="AZC622" s="1831"/>
      <c r="AZD622" s="1831"/>
      <c r="AZE622" s="1831"/>
      <c r="AZF622" s="1831"/>
      <c r="AZG622" s="1831"/>
      <c r="AZH622" s="1831"/>
      <c r="AZI622" s="1831"/>
      <c r="AZJ622" s="1831"/>
      <c r="AZK622" s="1831"/>
      <c r="AZL622" s="1831"/>
      <c r="AZM622" s="1831"/>
      <c r="AZN622" s="1831"/>
      <c r="AZO622" s="1831"/>
      <c r="AZP622" s="1831"/>
      <c r="AZQ622" s="1831"/>
      <c r="AZR622" s="1831"/>
      <c r="AZS622" s="1831"/>
      <c r="AZT622" s="1831"/>
      <c r="AZU622" s="1831"/>
      <c r="AZV622" s="1831"/>
      <c r="AZW622" s="1831"/>
      <c r="AZX622" s="1831"/>
      <c r="AZY622" s="1831"/>
      <c r="AZZ622" s="1831"/>
      <c r="BAA622" s="1831"/>
      <c r="BAB622" s="1831"/>
      <c r="BAC622" s="1831"/>
      <c r="BAD622" s="1831"/>
      <c r="BAE622" s="1831"/>
      <c r="BAF622" s="1831"/>
      <c r="BAG622" s="1831"/>
      <c r="BAH622" s="1831"/>
      <c r="BAI622" s="1831"/>
      <c r="BAJ622" s="1831"/>
      <c r="BAK622" s="1831"/>
      <c r="BAL622" s="1831"/>
      <c r="BAM622" s="1831"/>
      <c r="BAN622" s="1831"/>
      <c r="BAO622" s="1831"/>
      <c r="BAP622" s="1831"/>
      <c r="BAQ622" s="1831"/>
      <c r="BAR622" s="1831"/>
      <c r="BAS622" s="1831"/>
      <c r="BAT622" s="1831"/>
      <c r="BAU622" s="1831"/>
      <c r="BAV622" s="1831"/>
      <c r="BAW622" s="1831"/>
      <c r="BAX622" s="1831"/>
      <c r="BAY622" s="1831"/>
      <c r="BAZ622" s="1831"/>
      <c r="BBA622" s="1831"/>
      <c r="BBB622" s="1831"/>
      <c r="BBC622" s="1831"/>
      <c r="BBD622" s="1831"/>
      <c r="BBE622" s="1831"/>
      <c r="BBF622" s="1831"/>
      <c r="BBG622" s="1831"/>
      <c r="BBH622" s="1831"/>
      <c r="BBI622" s="1831"/>
      <c r="BBJ622" s="1831"/>
      <c r="BBK622" s="1831"/>
      <c r="BBL622" s="1831"/>
      <c r="BBM622" s="1831"/>
      <c r="BBN622" s="1831"/>
      <c r="BBO622" s="1831"/>
      <c r="BBP622" s="1831"/>
      <c r="BBQ622" s="1831"/>
      <c r="BBR622" s="1831"/>
      <c r="BBS622" s="1831"/>
      <c r="BBT622" s="1831"/>
      <c r="BBU622" s="1831"/>
      <c r="BBV622" s="1831"/>
      <c r="BBW622" s="1831"/>
      <c r="BBX622" s="1831"/>
      <c r="BBY622" s="1831"/>
      <c r="BBZ622" s="1831"/>
      <c r="BCA622" s="1831"/>
      <c r="BCB622" s="1831"/>
      <c r="BCC622" s="1831"/>
      <c r="BCD622" s="1831"/>
      <c r="BCE622" s="1831"/>
      <c r="BCF622" s="1831"/>
      <c r="BCG622" s="1831"/>
      <c r="BCH622" s="1831"/>
      <c r="BCI622" s="1831"/>
      <c r="BCJ622" s="1831"/>
      <c r="BCK622" s="1831"/>
      <c r="BCL622" s="1831"/>
      <c r="BCM622" s="1831"/>
      <c r="BCN622" s="1831"/>
      <c r="BCO622" s="1831"/>
      <c r="BCP622" s="1831"/>
      <c r="BCQ622" s="1831"/>
      <c r="BCR622" s="1831"/>
      <c r="BCS622" s="1831"/>
      <c r="BCT622" s="1831"/>
      <c r="BCU622" s="1831"/>
      <c r="BCV622" s="1831"/>
      <c r="BCW622" s="1831"/>
      <c r="BCX622" s="1831"/>
      <c r="BCY622" s="1831"/>
      <c r="BCZ622" s="1831"/>
      <c r="BDA622" s="1831"/>
      <c r="BDB622" s="1831"/>
      <c r="BDC622" s="1831"/>
      <c r="BDD622" s="1831"/>
      <c r="BDE622" s="1831"/>
      <c r="BDF622" s="1831"/>
      <c r="BDG622" s="1831"/>
      <c r="BDH622" s="1831"/>
      <c r="BDI622" s="1831"/>
      <c r="BDJ622" s="1831"/>
      <c r="BDK622" s="1831"/>
      <c r="BDL622" s="1831"/>
      <c r="BDM622" s="1831"/>
      <c r="BDN622" s="1831"/>
      <c r="BDO622" s="1831"/>
      <c r="BDP622" s="1831"/>
      <c r="BDQ622" s="1831"/>
      <c r="BDR622" s="1831"/>
      <c r="BDS622" s="1831"/>
      <c r="BDT622" s="1831"/>
      <c r="BDU622" s="1831"/>
      <c r="BDV622" s="1831"/>
      <c r="BDW622" s="1831"/>
      <c r="BDX622" s="1831"/>
      <c r="BDY622" s="1831"/>
      <c r="BDZ622" s="1831"/>
      <c r="BEA622" s="1831"/>
      <c r="BEB622" s="1831"/>
      <c r="BEC622" s="1831"/>
      <c r="BED622" s="1831"/>
      <c r="BEE622" s="1831"/>
      <c r="BEF622" s="1831"/>
      <c r="BEG622" s="1831"/>
      <c r="BEH622" s="1831"/>
      <c r="BEI622" s="1831"/>
      <c r="BEJ622" s="1831"/>
      <c r="BEK622" s="1831"/>
      <c r="BEL622" s="1831"/>
      <c r="BEM622" s="1831"/>
      <c r="BEN622" s="1831"/>
      <c r="BEO622" s="1831"/>
      <c r="BEP622" s="1831"/>
      <c r="BEQ622" s="1831"/>
      <c r="BER622" s="1831"/>
      <c r="BES622" s="1831"/>
      <c r="BET622" s="1831"/>
      <c r="BEU622" s="1831"/>
      <c r="BEV622" s="1831"/>
      <c r="BEW622" s="1831"/>
      <c r="BEX622" s="1831"/>
      <c r="BEY622" s="1831"/>
      <c r="BEZ622" s="1831"/>
      <c r="BFA622" s="1831"/>
      <c r="BFB622" s="1831"/>
      <c r="BFC622" s="1831"/>
      <c r="BFD622" s="1831"/>
      <c r="BFE622" s="1831"/>
      <c r="BFF622" s="1831"/>
      <c r="BFG622" s="1831"/>
      <c r="BFH622" s="1831"/>
      <c r="BFI622" s="1831"/>
      <c r="BFJ622" s="1831"/>
      <c r="BFK622" s="1831"/>
      <c r="BFL622" s="1831"/>
      <c r="BFM622" s="1831"/>
      <c r="BFN622" s="1831"/>
      <c r="BFO622" s="1831"/>
      <c r="BFP622" s="1831"/>
      <c r="BFQ622" s="1831"/>
      <c r="BFR622" s="1831"/>
      <c r="BFS622" s="1831"/>
      <c r="BFT622" s="1831"/>
      <c r="BFU622" s="1831"/>
      <c r="BFV622" s="1831"/>
      <c r="BFW622" s="1831"/>
      <c r="BFX622" s="1831"/>
      <c r="BFY622" s="1831"/>
      <c r="BFZ622" s="1831"/>
      <c r="BGA622" s="1831"/>
      <c r="BGB622" s="1831"/>
      <c r="BGC622" s="1831"/>
      <c r="BGD622" s="1831"/>
      <c r="BGE622" s="1831"/>
      <c r="BGF622" s="1831"/>
      <c r="BGG622" s="1831"/>
      <c r="BGH622" s="1831"/>
      <c r="BGI622" s="1831"/>
      <c r="BGJ622" s="1831"/>
      <c r="BGK622" s="1831"/>
      <c r="BGL622" s="1831"/>
      <c r="BGM622" s="1831"/>
      <c r="BGN622" s="1831"/>
      <c r="BGO622" s="1831"/>
      <c r="BGP622" s="1831"/>
      <c r="BGQ622" s="1831"/>
      <c r="BGR622" s="1831"/>
      <c r="BGS622" s="1831"/>
      <c r="BGT622" s="1831"/>
      <c r="BGU622" s="1831"/>
      <c r="BGV622" s="1831"/>
      <c r="BGW622" s="1831"/>
      <c r="BGX622" s="1831"/>
      <c r="BGY622" s="1831"/>
      <c r="BGZ622" s="1831"/>
      <c r="BHA622" s="1831"/>
      <c r="BHB622" s="1831"/>
      <c r="BHC622" s="1831"/>
      <c r="BHD622" s="1831"/>
      <c r="BHE622" s="1831"/>
      <c r="BHF622" s="1831"/>
      <c r="BHG622" s="1831"/>
      <c r="BHH622" s="1831"/>
      <c r="BHI622" s="1831"/>
      <c r="BHJ622" s="1831"/>
      <c r="BHK622" s="1831"/>
      <c r="BHL622" s="1831"/>
      <c r="BHM622" s="1831"/>
      <c r="BHN622" s="1831"/>
      <c r="BHO622" s="1831"/>
      <c r="BHP622" s="1831"/>
      <c r="BHQ622" s="1831"/>
      <c r="BHR622" s="1831"/>
      <c r="BHS622" s="1831"/>
      <c r="BHT622" s="1831"/>
      <c r="BHU622" s="1831"/>
      <c r="BHV622" s="1831"/>
      <c r="BHW622" s="1831"/>
      <c r="BHX622" s="1831"/>
      <c r="BHY622" s="1831"/>
      <c r="BHZ622" s="1831"/>
      <c r="BIA622" s="1831"/>
      <c r="BIB622" s="1831"/>
      <c r="BIC622" s="1831"/>
      <c r="BID622" s="1831"/>
      <c r="BIE622" s="1831"/>
      <c r="BIF622" s="1831"/>
      <c r="BIG622" s="1831"/>
      <c r="BIH622" s="1831"/>
      <c r="BII622" s="1831"/>
      <c r="BIJ622" s="1831"/>
      <c r="BIK622" s="1831"/>
      <c r="BIL622" s="1831"/>
      <c r="BIM622" s="1831"/>
      <c r="BIN622" s="1831"/>
      <c r="BIO622" s="1831"/>
      <c r="BIP622" s="1831"/>
      <c r="BIQ622" s="1831"/>
      <c r="BIR622" s="1831"/>
      <c r="BIS622" s="1831"/>
      <c r="BIT622" s="1831"/>
      <c r="BIU622" s="1831"/>
      <c r="BIV622" s="1831"/>
      <c r="BIW622" s="1831"/>
      <c r="BIX622" s="1831"/>
      <c r="BIY622" s="1831"/>
      <c r="BIZ622" s="1831"/>
      <c r="BJA622" s="1831"/>
      <c r="BJB622" s="1831"/>
      <c r="BJC622" s="1831"/>
      <c r="BJD622" s="1831"/>
      <c r="BJE622" s="1831"/>
      <c r="BJF622" s="1831"/>
      <c r="BJG622" s="1831"/>
      <c r="BJH622" s="1831"/>
      <c r="BJI622" s="1831"/>
      <c r="BJJ622" s="1831"/>
      <c r="BJK622" s="1831"/>
      <c r="BJL622" s="1831"/>
      <c r="BJM622" s="1831"/>
      <c r="BJN622" s="1831"/>
      <c r="BJO622" s="1831"/>
      <c r="BJP622" s="1831"/>
      <c r="BJQ622" s="1831"/>
      <c r="BJR622" s="1831"/>
      <c r="BJS622" s="1831"/>
      <c r="BJT622" s="1831"/>
      <c r="BJU622" s="1831"/>
      <c r="BJV622" s="1831"/>
      <c r="BJW622" s="1831"/>
      <c r="BJX622" s="1831"/>
      <c r="BJY622" s="1831"/>
      <c r="BJZ622" s="1831"/>
      <c r="BKA622" s="1831"/>
      <c r="BKB622" s="1831"/>
      <c r="BKC622" s="1831"/>
      <c r="BKD622" s="1831"/>
      <c r="BKE622" s="1831"/>
      <c r="BKF622" s="1831"/>
      <c r="BKG622" s="1831"/>
      <c r="BKH622" s="1831"/>
      <c r="BKI622" s="1831"/>
      <c r="BKJ622" s="1831"/>
      <c r="BKK622" s="1831"/>
      <c r="BKL622" s="1831"/>
      <c r="BKM622" s="1831"/>
      <c r="BKN622" s="1831"/>
      <c r="BKO622" s="1831"/>
      <c r="BKP622" s="1831"/>
      <c r="BKQ622" s="1831"/>
      <c r="BKR622" s="1831"/>
      <c r="BKS622" s="1831"/>
      <c r="BKT622" s="1831"/>
      <c r="BKU622" s="1831"/>
      <c r="BKV622" s="1831"/>
      <c r="BKW622" s="1831"/>
      <c r="BKX622" s="1831"/>
      <c r="BKY622" s="1831"/>
      <c r="BKZ622" s="1831"/>
      <c r="BLA622" s="1831"/>
      <c r="BLB622" s="1831"/>
      <c r="BLC622" s="1831"/>
      <c r="BLD622" s="1831"/>
      <c r="BLE622" s="1831"/>
      <c r="BLF622" s="1831"/>
      <c r="BLG622" s="1831"/>
      <c r="BLH622" s="1831"/>
      <c r="BLI622" s="1831"/>
      <c r="BLJ622" s="1831"/>
      <c r="BLK622" s="1831"/>
      <c r="BLL622" s="1831"/>
      <c r="BLM622" s="1831"/>
      <c r="BLN622" s="1831"/>
      <c r="BLO622" s="1831"/>
      <c r="BLP622" s="1831"/>
      <c r="BLQ622" s="1831"/>
      <c r="BLR622" s="1831"/>
      <c r="BLS622" s="1831"/>
      <c r="BLT622" s="1831"/>
      <c r="BLU622" s="1831"/>
      <c r="BLV622" s="1831"/>
      <c r="BLW622" s="1831"/>
      <c r="BLX622" s="1831"/>
      <c r="BLY622" s="1831"/>
      <c r="BLZ622" s="1831"/>
      <c r="BMA622" s="1831"/>
      <c r="BMB622" s="1831"/>
      <c r="BMC622" s="1831"/>
      <c r="BMD622" s="1831"/>
      <c r="BME622" s="1831"/>
      <c r="BMF622" s="1831"/>
      <c r="BMG622" s="1831"/>
      <c r="BMH622" s="1831"/>
      <c r="BMI622" s="1831"/>
      <c r="BMJ622" s="1831"/>
      <c r="BMK622" s="1831"/>
      <c r="BML622" s="1831"/>
      <c r="BMM622" s="1831"/>
      <c r="BMN622" s="1831"/>
      <c r="BMO622" s="1831"/>
      <c r="BMP622" s="1831"/>
      <c r="BMQ622" s="1831"/>
      <c r="BMR622" s="1831"/>
      <c r="BMS622" s="1831"/>
      <c r="BMT622" s="1831"/>
      <c r="BMU622" s="1831"/>
      <c r="BMV622" s="1831"/>
      <c r="BMW622" s="1831"/>
      <c r="BMX622" s="1831"/>
      <c r="BMY622" s="1831"/>
      <c r="BMZ622" s="1831"/>
      <c r="BNA622" s="1831"/>
      <c r="BNB622" s="1831"/>
      <c r="BNC622" s="1831"/>
      <c r="BND622" s="1831"/>
      <c r="BNE622" s="1831"/>
      <c r="BNF622" s="1831"/>
      <c r="BNG622" s="1831"/>
      <c r="BNH622" s="1831"/>
      <c r="BNI622" s="1831"/>
      <c r="BNJ622" s="1831"/>
      <c r="BNK622" s="1831"/>
      <c r="BNL622" s="1831"/>
      <c r="BNM622" s="1831"/>
      <c r="BNN622" s="1831"/>
      <c r="BNO622" s="1831"/>
      <c r="BNP622" s="1831"/>
      <c r="BNQ622" s="1831"/>
      <c r="BNR622" s="1831"/>
      <c r="BNS622" s="1831"/>
      <c r="BNT622" s="1831"/>
      <c r="BNU622" s="1831"/>
      <c r="BNV622" s="1831"/>
      <c r="BNW622" s="1831"/>
      <c r="BNX622" s="1831"/>
      <c r="BNY622" s="1831"/>
      <c r="BNZ622" s="1831"/>
      <c r="BOA622" s="1831"/>
      <c r="BOB622" s="1831"/>
      <c r="BOC622" s="1831"/>
      <c r="BOD622" s="1831"/>
      <c r="BOE622" s="1831"/>
      <c r="BOF622" s="1831"/>
      <c r="BOG622" s="1831"/>
      <c r="BOH622" s="1831"/>
      <c r="BOI622" s="1831"/>
      <c r="BOJ622" s="1831"/>
      <c r="BOK622" s="1831"/>
      <c r="BOL622" s="1831"/>
      <c r="BOM622" s="1831"/>
      <c r="BON622" s="1831"/>
      <c r="BOO622" s="1831"/>
      <c r="BOP622" s="1831"/>
      <c r="BOQ622" s="1831"/>
      <c r="BOR622" s="1831"/>
      <c r="BOS622" s="1831"/>
      <c r="BOT622" s="1831"/>
      <c r="BOU622" s="1831"/>
      <c r="BOV622" s="1831"/>
      <c r="BOW622" s="1831"/>
      <c r="BOX622" s="1831"/>
      <c r="BOY622" s="1831"/>
      <c r="BOZ622" s="1831"/>
      <c r="BPA622" s="1831"/>
      <c r="BPB622" s="1831"/>
      <c r="BPC622" s="1831"/>
      <c r="BPD622" s="1831"/>
      <c r="BPE622" s="1831"/>
      <c r="BPF622" s="1831"/>
      <c r="BPG622" s="1831"/>
      <c r="BPH622" s="1831"/>
      <c r="BPI622" s="1831"/>
      <c r="BPJ622" s="1831"/>
      <c r="BPK622" s="1831"/>
      <c r="BPL622" s="1831"/>
      <c r="BPM622" s="1831"/>
      <c r="BPN622" s="1831"/>
      <c r="BPO622" s="1831"/>
      <c r="BPP622" s="1831"/>
      <c r="BPQ622" s="1831"/>
      <c r="BPR622" s="1831"/>
      <c r="BPS622" s="1831"/>
      <c r="BPT622" s="1831"/>
      <c r="BPU622" s="1831"/>
      <c r="BPV622" s="1831"/>
      <c r="BPW622" s="1831"/>
      <c r="BPX622" s="1831"/>
      <c r="BPY622" s="1831"/>
      <c r="BPZ622" s="1831"/>
      <c r="BQA622" s="1831"/>
      <c r="BQB622" s="1831"/>
      <c r="BQC622" s="1831"/>
      <c r="BQD622" s="1831"/>
      <c r="BQE622" s="1831"/>
      <c r="BQF622" s="1831"/>
      <c r="BQG622" s="1831"/>
      <c r="BQH622" s="1831"/>
      <c r="BQI622" s="1831"/>
      <c r="BQJ622" s="1831"/>
      <c r="BQK622" s="1831"/>
      <c r="BQL622" s="1831"/>
      <c r="BQM622" s="1831"/>
      <c r="BQN622" s="1831"/>
      <c r="BQO622" s="1831"/>
      <c r="BQP622" s="1831"/>
      <c r="BQQ622" s="1831"/>
      <c r="BQR622" s="1831"/>
      <c r="BQS622" s="1831"/>
      <c r="BQT622" s="1831"/>
      <c r="BQU622" s="1831"/>
      <c r="BQV622" s="1831"/>
      <c r="BQW622" s="1831"/>
      <c r="BQX622" s="1831"/>
      <c r="BQY622" s="1831"/>
      <c r="BQZ622" s="1831"/>
      <c r="BRA622" s="1831"/>
      <c r="BRB622" s="1831"/>
      <c r="BRC622" s="1831"/>
      <c r="BRD622" s="1831"/>
      <c r="BRE622" s="1831"/>
      <c r="BRF622" s="1831"/>
      <c r="BRG622" s="1831"/>
      <c r="BRH622" s="1831"/>
      <c r="BRI622" s="1831"/>
      <c r="BRJ622" s="1831"/>
      <c r="BRK622" s="1831"/>
      <c r="BRL622" s="1831"/>
      <c r="BRM622" s="1831"/>
      <c r="BRN622" s="1831"/>
      <c r="BRO622" s="1831"/>
      <c r="BRP622" s="1831"/>
      <c r="BRQ622" s="1831"/>
      <c r="BRR622" s="1831"/>
      <c r="BRS622" s="1831"/>
      <c r="BRT622" s="1831"/>
      <c r="BRU622" s="1831"/>
      <c r="BRV622" s="1831"/>
      <c r="BRW622" s="1831"/>
      <c r="BRX622" s="1831"/>
      <c r="BRY622" s="1831"/>
      <c r="BRZ622" s="1831"/>
      <c r="BSA622" s="1831"/>
      <c r="BSB622" s="1831"/>
      <c r="BSC622" s="1831"/>
      <c r="BSD622" s="1831"/>
      <c r="BSE622" s="1831"/>
      <c r="BSF622" s="1831"/>
      <c r="BSG622" s="1831"/>
      <c r="BSH622" s="1831"/>
      <c r="BSI622" s="1831"/>
      <c r="BSJ622" s="1831"/>
      <c r="BSK622" s="1831"/>
      <c r="BSL622" s="1831"/>
      <c r="BSM622" s="1831"/>
      <c r="BSN622" s="1831"/>
      <c r="BSO622" s="1831"/>
      <c r="BSP622" s="1831"/>
      <c r="BSQ622" s="1831"/>
      <c r="BSR622" s="1831"/>
      <c r="BSS622" s="1831"/>
      <c r="BST622" s="1831"/>
      <c r="BSU622" s="1831"/>
      <c r="BSV622" s="1831"/>
      <c r="BSW622" s="1831"/>
      <c r="BSX622" s="1831"/>
      <c r="BSY622" s="1831"/>
      <c r="BSZ622" s="1831"/>
      <c r="BTA622" s="1831"/>
      <c r="BTB622" s="1831"/>
      <c r="BTC622" s="1831"/>
      <c r="BTD622" s="1831"/>
      <c r="BTE622" s="1831"/>
      <c r="BTF622" s="1831"/>
      <c r="BTG622" s="1831"/>
      <c r="BTH622" s="1831"/>
      <c r="BTI622" s="1831"/>
      <c r="BTJ622" s="1831"/>
      <c r="BTK622" s="1831"/>
      <c r="BTL622" s="1831"/>
      <c r="BTM622" s="1831"/>
      <c r="BTN622" s="1831"/>
      <c r="BTO622" s="1831"/>
      <c r="BTP622" s="1831"/>
      <c r="BTQ622" s="1831"/>
      <c r="BTR622" s="1831"/>
      <c r="BTS622" s="1831"/>
      <c r="BTT622" s="1831"/>
      <c r="BTU622" s="1831"/>
      <c r="BTV622" s="1831"/>
      <c r="BTW622" s="1831"/>
      <c r="BTX622" s="1831"/>
      <c r="BTY622" s="1831"/>
      <c r="BTZ622" s="1831"/>
      <c r="BUA622" s="1831"/>
      <c r="BUB622" s="1831"/>
      <c r="BUC622" s="1831"/>
      <c r="BUD622" s="1831"/>
      <c r="BUE622" s="1831"/>
      <c r="BUF622" s="1831"/>
      <c r="BUG622" s="1831"/>
      <c r="BUH622" s="1831"/>
      <c r="BUI622" s="1831"/>
      <c r="BUJ622" s="1831"/>
      <c r="BUK622" s="1831"/>
      <c r="BUL622" s="1831"/>
      <c r="BUM622" s="1831"/>
      <c r="BUN622" s="1831"/>
      <c r="BUO622" s="1831"/>
      <c r="BUP622" s="1831"/>
      <c r="BUQ622" s="1831"/>
      <c r="BUR622" s="1831"/>
      <c r="BUS622" s="1831"/>
      <c r="BUT622" s="1831"/>
      <c r="BUU622" s="1831"/>
      <c r="BUV622" s="1831"/>
      <c r="BUW622" s="1831"/>
      <c r="BUX622" s="1831"/>
      <c r="BUY622" s="1831"/>
      <c r="BUZ622" s="1831"/>
      <c r="BVA622" s="1831"/>
      <c r="BVB622" s="1831"/>
      <c r="BVC622" s="1831"/>
      <c r="BVD622" s="1831"/>
      <c r="BVE622" s="1831"/>
      <c r="BVF622" s="1831"/>
      <c r="BVG622" s="1831"/>
      <c r="BVH622" s="1831"/>
      <c r="BVI622" s="1831"/>
      <c r="BVJ622" s="1831"/>
      <c r="BVK622" s="1831"/>
      <c r="BVL622" s="1831"/>
      <c r="BVM622" s="1831"/>
      <c r="BVN622" s="1831"/>
      <c r="BVO622" s="1831"/>
      <c r="BVP622" s="1831"/>
      <c r="BVQ622" s="1831"/>
      <c r="BVR622" s="1831"/>
      <c r="BVS622" s="1831"/>
      <c r="BVT622" s="1831"/>
      <c r="BVU622" s="1831"/>
      <c r="BVV622" s="1831"/>
      <c r="BVW622" s="1831"/>
      <c r="BVX622" s="1831"/>
      <c r="BVY622" s="1831"/>
      <c r="BVZ622" s="1831"/>
      <c r="BWA622" s="1831"/>
      <c r="BWB622" s="1831"/>
      <c r="BWC622" s="1831"/>
      <c r="BWD622" s="1831"/>
      <c r="BWE622" s="1831"/>
      <c r="BWF622" s="1831"/>
      <c r="BWG622" s="1831"/>
      <c r="BWH622" s="1831"/>
      <c r="BWI622" s="1831"/>
      <c r="BWJ622" s="1831"/>
      <c r="BWK622" s="1831"/>
      <c r="BWL622" s="1831"/>
      <c r="BWM622" s="1831"/>
      <c r="BWN622" s="1831"/>
      <c r="BWO622" s="1831"/>
      <c r="BWP622" s="1831"/>
      <c r="BWQ622" s="1831"/>
      <c r="BWR622" s="1831"/>
      <c r="BWS622" s="1831"/>
      <c r="BWT622" s="1831"/>
      <c r="BWU622" s="1831"/>
      <c r="BWV622" s="1831"/>
      <c r="BWW622" s="1831"/>
      <c r="BWX622" s="1831"/>
      <c r="BWY622" s="1831"/>
      <c r="BWZ622" s="1831"/>
      <c r="BXA622" s="1831"/>
      <c r="BXB622" s="1831"/>
      <c r="BXC622" s="1831"/>
      <c r="BXD622" s="1831"/>
      <c r="BXE622" s="1831"/>
      <c r="BXF622" s="1831"/>
      <c r="BXG622" s="1831"/>
      <c r="BXH622" s="1831"/>
      <c r="BXI622" s="1831"/>
      <c r="BXJ622" s="1831"/>
      <c r="BXK622" s="1831"/>
      <c r="BXL622" s="1831"/>
      <c r="BXM622" s="1831"/>
      <c r="BXN622" s="1831"/>
      <c r="BXO622" s="1831"/>
      <c r="BXP622" s="1831"/>
      <c r="BXQ622" s="1831"/>
      <c r="BXR622" s="1831"/>
      <c r="BXS622" s="1831"/>
      <c r="BXT622" s="1831"/>
      <c r="BXU622" s="1831"/>
      <c r="BXV622" s="1831"/>
      <c r="BXW622" s="1831"/>
      <c r="BXX622" s="1831"/>
      <c r="BXY622" s="1831"/>
      <c r="BXZ622" s="1831"/>
      <c r="BYA622" s="1831"/>
      <c r="BYB622" s="1831"/>
      <c r="BYC622" s="1831"/>
      <c r="BYD622" s="1831"/>
      <c r="BYE622" s="1831"/>
      <c r="BYF622" s="1831"/>
      <c r="BYG622" s="1831"/>
      <c r="BYH622" s="1831"/>
      <c r="BYI622" s="1831"/>
      <c r="BYJ622" s="1831"/>
      <c r="BYK622" s="1831"/>
      <c r="BYL622" s="1831"/>
      <c r="BYM622" s="1831"/>
      <c r="BYN622" s="1831"/>
      <c r="BYO622" s="1831"/>
      <c r="BYP622" s="1831"/>
      <c r="BYQ622" s="1831"/>
      <c r="BYR622" s="1831"/>
      <c r="BYS622" s="1831"/>
      <c r="BYT622" s="1831"/>
      <c r="BYU622" s="1831"/>
      <c r="BYV622" s="1831"/>
      <c r="BYW622" s="1831"/>
      <c r="BYX622" s="1831"/>
      <c r="BYY622" s="1831"/>
      <c r="BYZ622" s="1831"/>
      <c r="BZA622" s="1831"/>
      <c r="BZB622" s="1831"/>
      <c r="BZC622" s="1831"/>
      <c r="BZD622" s="1831"/>
      <c r="BZE622" s="1831"/>
      <c r="BZF622" s="1831"/>
      <c r="BZG622" s="1831"/>
      <c r="BZH622" s="1831"/>
      <c r="BZI622" s="1831"/>
      <c r="BZJ622" s="1831"/>
      <c r="BZK622" s="1831"/>
      <c r="BZL622" s="1831"/>
      <c r="BZM622" s="1831"/>
      <c r="BZN622" s="1831"/>
      <c r="BZO622" s="1831"/>
      <c r="BZP622" s="1831"/>
      <c r="BZQ622" s="1831"/>
      <c r="BZR622" s="1831"/>
      <c r="BZS622" s="1831"/>
      <c r="BZT622" s="1831"/>
      <c r="BZU622" s="1831"/>
      <c r="BZV622" s="1831"/>
      <c r="BZW622" s="1831"/>
      <c r="BZX622" s="1831"/>
      <c r="BZY622" s="1831"/>
      <c r="BZZ622" s="1831"/>
      <c r="CAA622" s="1831"/>
      <c r="CAB622" s="1831"/>
      <c r="CAC622" s="1831"/>
      <c r="CAD622" s="1831"/>
      <c r="CAE622" s="1831"/>
      <c r="CAF622" s="1831"/>
      <c r="CAG622" s="1831"/>
      <c r="CAH622" s="1831"/>
      <c r="CAI622" s="1831"/>
      <c r="CAJ622" s="1831"/>
      <c r="CAK622" s="1831"/>
      <c r="CAL622" s="1831"/>
      <c r="CAM622" s="1831"/>
      <c r="CAN622" s="1831"/>
      <c r="CAO622" s="1831"/>
      <c r="CAP622" s="1831"/>
      <c r="CAQ622" s="1831"/>
      <c r="CAR622" s="1831"/>
      <c r="CAS622" s="1831"/>
      <c r="CAT622" s="1831"/>
      <c r="CAU622" s="1831"/>
      <c r="CAV622" s="1831"/>
      <c r="CAW622" s="1831"/>
      <c r="CAX622" s="1831"/>
      <c r="CAY622" s="1831"/>
      <c r="CAZ622" s="1831"/>
      <c r="CBA622" s="1831"/>
      <c r="CBB622" s="1831"/>
      <c r="CBC622" s="1831"/>
      <c r="CBD622" s="1831"/>
      <c r="CBE622" s="1831"/>
      <c r="CBF622" s="1831"/>
      <c r="CBG622" s="1831"/>
      <c r="CBH622" s="1831"/>
      <c r="CBI622" s="1831"/>
      <c r="CBJ622" s="1831"/>
      <c r="CBK622" s="1831"/>
      <c r="CBL622" s="1831"/>
      <c r="CBM622" s="1831"/>
      <c r="CBN622" s="1831"/>
      <c r="CBO622" s="1831"/>
      <c r="CBP622" s="1831"/>
      <c r="CBQ622" s="1831"/>
      <c r="CBR622" s="1831"/>
      <c r="CBS622" s="1831"/>
      <c r="CBT622" s="1831"/>
      <c r="CBU622" s="1831"/>
      <c r="CBV622" s="1831"/>
      <c r="CBW622" s="1831"/>
      <c r="CBX622" s="1831"/>
      <c r="CBY622" s="1831"/>
      <c r="CBZ622" s="1831"/>
      <c r="CCA622" s="1831"/>
      <c r="CCB622" s="1831"/>
      <c r="CCC622" s="1831"/>
      <c r="CCD622" s="1831"/>
      <c r="CCE622" s="1831"/>
      <c r="CCF622" s="1831"/>
      <c r="CCG622" s="1831"/>
      <c r="CCH622" s="1831"/>
      <c r="CCI622" s="1831"/>
      <c r="CCJ622" s="1831"/>
      <c r="CCK622" s="1831"/>
      <c r="CCL622" s="1831"/>
      <c r="CCM622" s="1831"/>
      <c r="CCN622" s="1831"/>
      <c r="CCO622" s="1831"/>
      <c r="CCP622" s="1831"/>
      <c r="CCQ622" s="1831"/>
      <c r="CCR622" s="1831"/>
      <c r="CCS622" s="1831"/>
      <c r="CCT622" s="1831"/>
      <c r="CCU622" s="1831"/>
      <c r="CCV622" s="1831"/>
      <c r="CCW622" s="1831"/>
      <c r="CCX622" s="1831"/>
      <c r="CCY622" s="1831"/>
      <c r="CCZ622" s="1831"/>
      <c r="CDA622" s="1831"/>
      <c r="CDB622" s="1831"/>
      <c r="CDC622" s="1831"/>
      <c r="CDD622" s="1831"/>
      <c r="CDE622" s="1831"/>
      <c r="CDF622" s="1831"/>
      <c r="CDG622" s="1831"/>
      <c r="CDH622" s="1831"/>
      <c r="CDI622" s="1831"/>
      <c r="CDJ622" s="1831"/>
      <c r="CDK622" s="1831"/>
      <c r="CDL622" s="1831"/>
      <c r="CDM622" s="1831"/>
      <c r="CDN622" s="1831"/>
      <c r="CDO622" s="1831"/>
      <c r="CDP622" s="1831"/>
      <c r="CDQ622" s="1831"/>
      <c r="CDR622" s="1831"/>
      <c r="CDS622" s="1831"/>
      <c r="CDT622" s="1831"/>
      <c r="CDU622" s="1831"/>
      <c r="CDV622" s="1831"/>
      <c r="CDW622" s="1831"/>
      <c r="CDX622" s="1831"/>
      <c r="CDY622" s="1831"/>
      <c r="CDZ622" s="1831"/>
      <c r="CEA622" s="1831"/>
      <c r="CEB622" s="1831"/>
      <c r="CEC622" s="1831"/>
      <c r="CED622" s="1831"/>
      <c r="CEE622" s="1831"/>
      <c r="CEF622" s="1831"/>
      <c r="CEG622" s="1831"/>
      <c r="CEH622" s="1831"/>
      <c r="CEI622" s="1831"/>
      <c r="CEJ622" s="1831"/>
      <c r="CEK622" s="1831"/>
      <c r="CEL622" s="1831"/>
      <c r="CEM622" s="1831"/>
      <c r="CEN622" s="1831"/>
      <c r="CEO622" s="1831"/>
      <c r="CEP622" s="1831"/>
      <c r="CEQ622" s="1831"/>
      <c r="CER622" s="1831"/>
      <c r="CES622" s="1831"/>
      <c r="CET622" s="1831"/>
      <c r="CEU622" s="1831"/>
      <c r="CEV622" s="1831"/>
      <c r="CEW622" s="1831"/>
      <c r="CEX622" s="1831"/>
      <c r="CEY622" s="1831"/>
      <c r="CEZ622" s="1831"/>
      <c r="CFA622" s="1831"/>
      <c r="CFB622" s="1831"/>
      <c r="CFC622" s="1831"/>
      <c r="CFD622" s="1831"/>
      <c r="CFE622" s="1831"/>
      <c r="CFF622" s="1831"/>
      <c r="CFG622" s="1831"/>
      <c r="CFH622" s="1831"/>
      <c r="CFI622" s="1831"/>
      <c r="CFJ622" s="1831"/>
      <c r="CFK622" s="1831"/>
      <c r="CFL622" s="1831"/>
      <c r="CFM622" s="1831"/>
      <c r="CFN622" s="1831"/>
      <c r="CFO622" s="1831"/>
      <c r="CFP622" s="1831"/>
      <c r="CFQ622" s="1831"/>
      <c r="CFR622" s="1831"/>
      <c r="CFS622" s="1831"/>
      <c r="CFT622" s="1831"/>
      <c r="CFU622" s="1831"/>
      <c r="CFV622" s="1831"/>
      <c r="CFW622" s="1831"/>
      <c r="CFX622" s="1831"/>
      <c r="CFY622" s="1831"/>
      <c r="CFZ622" s="1831"/>
      <c r="CGA622" s="1831"/>
      <c r="CGB622" s="1831"/>
      <c r="CGC622" s="1831"/>
      <c r="CGD622" s="1831"/>
      <c r="CGE622" s="1831"/>
      <c r="CGF622" s="1831"/>
      <c r="CGG622" s="1831"/>
      <c r="CGH622" s="1831"/>
      <c r="CGI622" s="1831"/>
      <c r="CGJ622" s="1831"/>
      <c r="CGK622" s="1831"/>
      <c r="CGL622" s="1831"/>
      <c r="CGM622" s="1831"/>
      <c r="CGN622" s="1831"/>
      <c r="CGO622" s="1831"/>
      <c r="CGP622" s="1831"/>
      <c r="CGQ622" s="1831"/>
      <c r="CGR622" s="1831"/>
      <c r="CGS622" s="1831"/>
      <c r="CGT622" s="1831"/>
      <c r="CGU622" s="1831"/>
      <c r="CGV622" s="1831"/>
      <c r="CGW622" s="1831"/>
      <c r="CGX622" s="1831"/>
      <c r="CGY622" s="1831"/>
      <c r="CGZ622" s="1831"/>
      <c r="CHA622" s="1831"/>
      <c r="CHB622" s="1831"/>
      <c r="CHC622" s="1831"/>
      <c r="CHD622" s="1831"/>
      <c r="CHE622" s="1831"/>
      <c r="CHF622" s="1831"/>
      <c r="CHG622" s="1831"/>
      <c r="CHH622" s="1831"/>
      <c r="CHI622" s="1831"/>
      <c r="CHJ622" s="1831"/>
      <c r="CHK622" s="1831"/>
      <c r="CHL622" s="1831"/>
      <c r="CHM622" s="1831"/>
      <c r="CHN622" s="1831"/>
      <c r="CHO622" s="1831"/>
      <c r="CHP622" s="1831"/>
      <c r="CHQ622" s="1831"/>
      <c r="CHR622" s="1831"/>
      <c r="CHS622" s="1831"/>
      <c r="CHT622" s="1831"/>
      <c r="CHU622" s="1831"/>
      <c r="CHV622" s="1831"/>
      <c r="CHW622" s="1831"/>
      <c r="CHX622" s="1831"/>
      <c r="CHY622" s="1831"/>
      <c r="CHZ622" s="1831"/>
      <c r="CIA622" s="1831"/>
      <c r="CIB622" s="1831"/>
      <c r="CIC622" s="1831"/>
      <c r="CID622" s="1831"/>
      <c r="CIE622" s="1831"/>
      <c r="CIF622" s="1831"/>
      <c r="CIG622" s="1831"/>
      <c r="CIH622" s="1831"/>
      <c r="CII622" s="1831"/>
      <c r="CIJ622" s="1831"/>
      <c r="CIK622" s="1831"/>
      <c r="CIL622" s="1831"/>
      <c r="CIM622" s="1831"/>
      <c r="CIN622" s="1831"/>
      <c r="CIO622" s="1831"/>
      <c r="CIP622" s="1831"/>
      <c r="CIQ622" s="1831"/>
      <c r="CIR622" s="1831"/>
      <c r="CIS622" s="1831"/>
      <c r="CIT622" s="1831"/>
      <c r="CIU622" s="1831"/>
      <c r="CIV622" s="1831"/>
      <c r="CIW622" s="1831"/>
      <c r="CIX622" s="1831"/>
      <c r="CIY622" s="1831"/>
      <c r="CIZ622" s="1831"/>
      <c r="CJA622" s="1831"/>
      <c r="CJB622" s="1831"/>
      <c r="CJC622" s="1831"/>
      <c r="CJD622" s="1831"/>
      <c r="CJE622" s="1831"/>
      <c r="CJF622" s="1831"/>
      <c r="CJG622" s="1831"/>
      <c r="CJH622" s="1831"/>
      <c r="CJI622" s="1831"/>
      <c r="CJJ622" s="1831"/>
      <c r="CJK622" s="1831"/>
      <c r="CJL622" s="1831"/>
      <c r="CJM622" s="1831"/>
      <c r="CJN622" s="1831"/>
      <c r="CJO622" s="1831"/>
      <c r="CJP622" s="1831"/>
      <c r="CJQ622" s="1831"/>
      <c r="CJR622" s="1831"/>
      <c r="CJS622" s="1831"/>
      <c r="CJT622" s="1831"/>
      <c r="CJU622" s="1831"/>
      <c r="CJV622" s="1831"/>
      <c r="CJW622" s="1831"/>
      <c r="CJX622" s="1831"/>
      <c r="CJY622" s="1831"/>
      <c r="CJZ622" s="1831"/>
      <c r="CKA622" s="1831"/>
      <c r="CKB622" s="1831"/>
      <c r="CKC622" s="1831"/>
      <c r="CKD622" s="1831"/>
      <c r="CKE622" s="1831"/>
      <c r="CKF622" s="1831"/>
      <c r="CKG622" s="1831"/>
      <c r="CKH622" s="1831"/>
      <c r="CKI622" s="1831"/>
      <c r="CKJ622" s="1831"/>
      <c r="CKK622" s="1831"/>
      <c r="CKL622" s="1831"/>
      <c r="CKM622" s="1831"/>
      <c r="CKN622" s="1831"/>
      <c r="CKO622" s="1831"/>
      <c r="CKP622" s="1831"/>
      <c r="CKQ622" s="1831"/>
      <c r="CKR622" s="1831"/>
      <c r="CKS622" s="1831"/>
      <c r="CKT622" s="1831"/>
      <c r="CKU622" s="1831"/>
      <c r="CKV622" s="1831"/>
      <c r="CKW622" s="1831"/>
      <c r="CKX622" s="1831"/>
      <c r="CKY622" s="1831"/>
      <c r="CKZ622" s="1831"/>
      <c r="CLA622" s="1831"/>
      <c r="CLB622" s="1831"/>
      <c r="CLC622" s="1831"/>
      <c r="CLD622" s="1831"/>
      <c r="CLE622" s="1831"/>
      <c r="CLF622" s="1831"/>
      <c r="CLG622" s="1831"/>
      <c r="CLH622" s="1831"/>
      <c r="CLI622" s="1831"/>
      <c r="CLJ622" s="1831"/>
      <c r="CLK622" s="1831"/>
      <c r="CLL622" s="1831"/>
      <c r="CLM622" s="1831"/>
      <c r="CLN622" s="1831"/>
      <c r="CLO622" s="1831"/>
      <c r="CLP622" s="1831"/>
      <c r="CLQ622" s="1831"/>
      <c r="CLR622" s="1831"/>
      <c r="CLS622" s="1831"/>
      <c r="CLT622" s="1831"/>
      <c r="CLU622" s="1831"/>
      <c r="CLV622" s="1831"/>
      <c r="CLW622" s="1831"/>
      <c r="CLX622" s="1831"/>
      <c r="CLY622" s="1831"/>
      <c r="CLZ622" s="1831"/>
      <c r="CMA622" s="1831"/>
      <c r="CMB622" s="1831"/>
      <c r="CMC622" s="1831"/>
      <c r="CMD622" s="1831"/>
      <c r="CME622" s="1831"/>
      <c r="CMF622" s="1831"/>
      <c r="CMG622" s="1831"/>
      <c r="CMH622" s="1831"/>
      <c r="CMI622" s="1831"/>
      <c r="CMJ622" s="1831"/>
      <c r="CMK622" s="1831"/>
      <c r="CML622" s="1831"/>
      <c r="CMM622" s="1831"/>
      <c r="CMN622" s="1831"/>
      <c r="CMO622" s="1831"/>
      <c r="CMP622" s="1831"/>
      <c r="CMQ622" s="1831"/>
      <c r="CMR622" s="1831"/>
      <c r="CMS622" s="1831"/>
      <c r="CMT622" s="1831"/>
      <c r="CMU622" s="1831"/>
      <c r="CMV622" s="1831"/>
      <c r="CMW622" s="1831"/>
      <c r="CMX622" s="1831"/>
      <c r="CMY622" s="1831"/>
      <c r="CMZ622" s="1831"/>
      <c r="CNA622" s="1831"/>
      <c r="CNB622" s="1831"/>
      <c r="CNC622" s="1831"/>
      <c r="CND622" s="1831"/>
      <c r="CNE622" s="1831"/>
      <c r="CNF622" s="1831"/>
      <c r="CNG622" s="1831"/>
      <c r="CNH622" s="1831"/>
      <c r="CNI622" s="1831"/>
      <c r="CNJ622" s="1831"/>
      <c r="CNK622" s="1831"/>
      <c r="CNL622" s="1831"/>
      <c r="CNM622" s="1831"/>
      <c r="CNN622" s="1831"/>
      <c r="CNO622" s="1831"/>
      <c r="CNP622" s="1831"/>
      <c r="CNQ622" s="1831"/>
      <c r="CNR622" s="1831"/>
      <c r="CNS622" s="1831"/>
      <c r="CNT622" s="1831"/>
      <c r="CNU622" s="1831"/>
      <c r="CNV622" s="1831"/>
      <c r="CNW622" s="1831"/>
      <c r="CNX622" s="1831"/>
      <c r="CNY622" s="1831"/>
      <c r="CNZ622" s="1831"/>
      <c r="COA622" s="1831"/>
      <c r="COB622" s="1831"/>
      <c r="COC622" s="1831"/>
      <c r="COD622" s="1831"/>
      <c r="COE622" s="1831"/>
      <c r="COF622" s="1831"/>
      <c r="COG622" s="1831"/>
      <c r="COH622" s="1831"/>
      <c r="COI622" s="1831"/>
      <c r="COJ622" s="1831"/>
      <c r="COK622" s="1831"/>
      <c r="COL622" s="1831"/>
      <c r="COM622" s="1831"/>
      <c r="CON622" s="1831"/>
      <c r="COO622" s="1831"/>
      <c r="COP622" s="1831"/>
      <c r="COQ622" s="1831"/>
      <c r="COR622" s="1831"/>
      <c r="COS622" s="1831"/>
      <c r="COT622" s="1831"/>
      <c r="COU622" s="1831"/>
      <c r="COV622" s="1831"/>
      <c r="COW622" s="1831"/>
      <c r="COX622" s="1831"/>
      <c r="COY622" s="1831"/>
      <c r="COZ622" s="1831"/>
      <c r="CPA622" s="1831"/>
      <c r="CPB622" s="1831"/>
      <c r="CPC622" s="1831"/>
      <c r="CPD622" s="1831"/>
      <c r="CPE622" s="1831"/>
      <c r="CPF622" s="1831"/>
      <c r="CPG622" s="1831"/>
      <c r="CPH622" s="1831"/>
      <c r="CPI622" s="1831"/>
      <c r="CPJ622" s="1831"/>
      <c r="CPK622" s="1831"/>
      <c r="CPL622" s="1831"/>
      <c r="CPM622" s="1831"/>
      <c r="CPN622" s="1831"/>
      <c r="CPO622" s="1831"/>
      <c r="CPP622" s="1831"/>
      <c r="CPQ622" s="1831"/>
      <c r="CPR622" s="1831"/>
      <c r="CPS622" s="1831"/>
      <c r="CPT622" s="1831"/>
      <c r="CPU622" s="1831"/>
      <c r="CPV622" s="1831"/>
      <c r="CPW622" s="1831"/>
      <c r="CPX622" s="1831"/>
      <c r="CPY622" s="1831"/>
      <c r="CPZ622" s="1831"/>
      <c r="CQA622" s="1831"/>
      <c r="CQB622" s="1831"/>
      <c r="CQC622" s="1831"/>
      <c r="CQD622" s="1831"/>
      <c r="CQE622" s="1831"/>
      <c r="CQF622" s="1831"/>
      <c r="CQG622" s="1831"/>
      <c r="CQH622" s="1831"/>
      <c r="CQI622" s="1831"/>
      <c r="CQJ622" s="1831"/>
      <c r="CQK622" s="1831"/>
      <c r="CQL622" s="1831"/>
      <c r="CQM622" s="1831"/>
      <c r="CQN622" s="1831"/>
      <c r="CQO622" s="1831"/>
      <c r="CQP622" s="1831"/>
      <c r="CQQ622" s="1831"/>
      <c r="CQR622" s="1831"/>
      <c r="CQS622" s="1831"/>
      <c r="CQT622" s="1831"/>
      <c r="CQU622" s="1831"/>
      <c r="CQV622" s="1831"/>
      <c r="CQW622" s="1831"/>
      <c r="CQX622" s="1831"/>
      <c r="CQY622" s="1831"/>
      <c r="CQZ622" s="1831"/>
      <c r="CRA622" s="1831"/>
      <c r="CRB622" s="1831"/>
      <c r="CRC622" s="1831"/>
      <c r="CRD622" s="1831"/>
      <c r="CRE622" s="1831"/>
      <c r="CRF622" s="1831"/>
      <c r="CRG622" s="1831"/>
      <c r="CRH622" s="1831"/>
      <c r="CRI622" s="1831"/>
      <c r="CRJ622" s="1831"/>
      <c r="CRK622" s="1831"/>
      <c r="CRL622" s="1831"/>
      <c r="CRM622" s="1831"/>
      <c r="CRN622" s="1831"/>
      <c r="CRO622" s="1831"/>
      <c r="CRP622" s="1831"/>
      <c r="CRQ622" s="1831"/>
      <c r="CRR622" s="1831"/>
      <c r="CRS622" s="1831"/>
      <c r="CRT622" s="1831"/>
      <c r="CRU622" s="1831"/>
      <c r="CRV622" s="1831"/>
      <c r="CRW622" s="1831"/>
      <c r="CRX622" s="1831"/>
      <c r="CRY622" s="1831"/>
      <c r="CRZ622" s="1831"/>
      <c r="CSA622" s="1831"/>
      <c r="CSB622" s="1831"/>
      <c r="CSC622" s="1831"/>
      <c r="CSD622" s="1831"/>
      <c r="CSE622" s="1831"/>
      <c r="CSF622" s="1831"/>
      <c r="CSG622" s="1831"/>
      <c r="CSH622" s="1831"/>
      <c r="CSI622" s="1831"/>
      <c r="CSJ622" s="1831"/>
      <c r="CSK622" s="1831"/>
      <c r="CSL622" s="1831"/>
      <c r="CSM622" s="1831"/>
      <c r="CSN622" s="1831"/>
      <c r="CSO622" s="1831"/>
      <c r="CSP622" s="1831"/>
      <c r="CSQ622" s="1831"/>
      <c r="CSR622" s="1831"/>
      <c r="CSS622" s="1831"/>
      <c r="CST622" s="1831"/>
      <c r="CSU622" s="1831"/>
      <c r="CSV622" s="1831"/>
      <c r="CSW622" s="1831"/>
      <c r="CSX622" s="1831"/>
      <c r="CSY622" s="1831"/>
      <c r="CSZ622" s="1831"/>
      <c r="CTA622" s="1831"/>
      <c r="CTB622" s="1831"/>
      <c r="CTC622" s="1831"/>
      <c r="CTD622" s="1831"/>
      <c r="CTE622" s="1831"/>
      <c r="CTF622" s="1831"/>
      <c r="CTG622" s="1831"/>
      <c r="CTH622" s="1831"/>
      <c r="CTI622" s="1831"/>
      <c r="CTJ622" s="1831"/>
      <c r="CTK622" s="1831"/>
      <c r="CTL622" s="1831"/>
      <c r="CTM622" s="1831"/>
      <c r="CTN622" s="1831"/>
      <c r="CTO622" s="1831"/>
      <c r="CTP622" s="1831"/>
      <c r="CTQ622" s="1831"/>
      <c r="CTR622" s="1831"/>
      <c r="CTS622" s="1831"/>
      <c r="CTT622" s="1831"/>
      <c r="CTU622" s="1831"/>
      <c r="CTV622" s="1831"/>
      <c r="CTW622" s="1831"/>
      <c r="CTX622" s="1831"/>
      <c r="CTY622" s="1831"/>
      <c r="CTZ622" s="1831"/>
      <c r="CUA622" s="1831"/>
      <c r="CUB622" s="1831"/>
      <c r="CUC622" s="1831"/>
      <c r="CUD622" s="1831"/>
      <c r="CUE622" s="1831"/>
      <c r="CUF622" s="1831"/>
      <c r="CUG622" s="1831"/>
      <c r="CUH622" s="1831"/>
      <c r="CUI622" s="1831"/>
      <c r="CUJ622" s="1831"/>
      <c r="CUK622" s="1831"/>
      <c r="CUL622" s="1831"/>
      <c r="CUM622" s="1831"/>
      <c r="CUN622" s="1831"/>
      <c r="CUO622" s="1831"/>
      <c r="CUP622" s="1831"/>
      <c r="CUQ622" s="1831"/>
      <c r="CUR622" s="1831"/>
      <c r="CUS622" s="1831"/>
      <c r="CUT622" s="1831"/>
      <c r="CUU622" s="1831"/>
      <c r="CUV622" s="1831"/>
      <c r="CUW622" s="1831"/>
      <c r="CUX622" s="1831"/>
      <c r="CUY622" s="1831"/>
      <c r="CUZ622" s="1831"/>
      <c r="CVA622" s="1831"/>
      <c r="CVB622" s="1831"/>
      <c r="CVC622" s="1831"/>
      <c r="CVD622" s="1831"/>
      <c r="CVE622" s="1831"/>
      <c r="CVF622" s="1831"/>
      <c r="CVG622" s="1831"/>
      <c r="CVH622" s="1831"/>
      <c r="CVI622" s="1831"/>
      <c r="CVJ622" s="1831"/>
      <c r="CVK622" s="1831"/>
      <c r="CVL622" s="1831"/>
      <c r="CVM622" s="1831"/>
      <c r="CVN622" s="1831"/>
      <c r="CVO622" s="1831"/>
      <c r="CVP622" s="1831"/>
      <c r="CVQ622" s="1831"/>
      <c r="CVR622" s="1831"/>
      <c r="CVS622" s="1831"/>
      <c r="CVT622" s="1831"/>
      <c r="CVU622" s="1831"/>
      <c r="CVV622" s="1831"/>
      <c r="CVW622" s="1831"/>
      <c r="CVX622" s="1831"/>
      <c r="CVY622" s="1831"/>
      <c r="CVZ622" s="1831"/>
      <c r="CWA622" s="1831"/>
      <c r="CWB622" s="1831"/>
      <c r="CWC622" s="1831"/>
      <c r="CWD622" s="1831"/>
      <c r="CWE622" s="1831"/>
      <c r="CWF622" s="1831"/>
      <c r="CWG622" s="1831"/>
      <c r="CWH622" s="1831"/>
      <c r="CWI622" s="1831"/>
      <c r="CWJ622" s="1831"/>
      <c r="CWK622" s="1831"/>
      <c r="CWL622" s="1831"/>
      <c r="CWM622" s="1831"/>
      <c r="CWN622" s="1831"/>
      <c r="CWO622" s="1831"/>
      <c r="CWP622" s="1831"/>
      <c r="CWQ622" s="1831"/>
      <c r="CWR622" s="1831"/>
      <c r="CWS622" s="1831"/>
      <c r="CWT622" s="1831"/>
      <c r="CWU622" s="1831"/>
      <c r="CWV622" s="1831"/>
      <c r="CWW622" s="1831"/>
      <c r="CWX622" s="1831"/>
      <c r="CWY622" s="1831"/>
      <c r="CWZ622" s="1831"/>
      <c r="CXA622" s="1831"/>
      <c r="CXB622" s="1831"/>
      <c r="CXC622" s="1831"/>
      <c r="CXD622" s="1831"/>
      <c r="CXE622" s="1831"/>
      <c r="CXF622" s="1831"/>
      <c r="CXG622" s="1831"/>
      <c r="CXH622" s="1831"/>
      <c r="CXI622" s="1831"/>
      <c r="CXJ622" s="1831"/>
      <c r="CXK622" s="1831"/>
      <c r="CXL622" s="1831"/>
      <c r="CXM622" s="1831"/>
      <c r="CXN622" s="1831"/>
      <c r="CXO622" s="1831"/>
      <c r="CXP622" s="1831"/>
      <c r="CXQ622" s="1831"/>
      <c r="CXR622" s="1831"/>
      <c r="CXS622" s="1831"/>
      <c r="CXT622" s="1831"/>
      <c r="CXU622" s="1831"/>
      <c r="CXV622" s="1831"/>
      <c r="CXW622" s="1831"/>
      <c r="CXX622" s="1831"/>
      <c r="CXY622" s="1831"/>
      <c r="CXZ622" s="1831"/>
      <c r="CYA622" s="1831"/>
      <c r="CYB622" s="1831"/>
      <c r="CYC622" s="1831"/>
      <c r="CYD622" s="1831"/>
      <c r="CYE622" s="1831"/>
      <c r="CYF622" s="1831"/>
      <c r="CYG622" s="1831"/>
      <c r="CYH622" s="1831"/>
      <c r="CYI622" s="1831"/>
      <c r="CYJ622" s="1831"/>
      <c r="CYK622" s="1831"/>
      <c r="CYL622" s="1831"/>
      <c r="CYM622" s="1831"/>
      <c r="CYN622" s="1831"/>
      <c r="CYO622" s="1831"/>
      <c r="CYP622" s="1831"/>
      <c r="CYQ622" s="1831"/>
      <c r="CYR622" s="1831"/>
      <c r="CYS622" s="1831"/>
      <c r="CYT622" s="1831"/>
      <c r="CYU622" s="1831"/>
      <c r="CYV622" s="1831"/>
      <c r="CYW622" s="1831"/>
      <c r="CYX622" s="1831"/>
      <c r="CYY622" s="1831"/>
      <c r="CYZ622" s="1831"/>
      <c r="CZA622" s="1831"/>
      <c r="CZB622" s="1831"/>
      <c r="CZC622" s="1831"/>
      <c r="CZD622" s="1831"/>
      <c r="CZE622" s="1831"/>
      <c r="CZF622" s="1831"/>
      <c r="CZG622" s="1831"/>
      <c r="CZH622" s="1831"/>
      <c r="CZI622" s="1831"/>
      <c r="CZJ622" s="1831"/>
      <c r="CZK622" s="1831"/>
      <c r="CZL622" s="1831"/>
      <c r="CZM622" s="1831"/>
      <c r="CZN622" s="1831"/>
      <c r="CZO622" s="1831"/>
      <c r="CZP622" s="1831"/>
      <c r="CZQ622" s="1831"/>
      <c r="CZR622" s="1831"/>
      <c r="CZS622" s="1831"/>
      <c r="CZT622" s="1831"/>
      <c r="CZU622" s="1831"/>
      <c r="CZV622" s="1831"/>
      <c r="CZW622" s="1831"/>
      <c r="CZX622" s="1831"/>
      <c r="CZY622" s="1831"/>
      <c r="CZZ622" s="1831"/>
      <c r="DAA622" s="1831"/>
      <c r="DAB622" s="1831"/>
      <c r="DAC622" s="1831"/>
      <c r="DAD622" s="1831"/>
      <c r="DAE622" s="1831"/>
      <c r="DAF622" s="1831"/>
      <c r="DAG622" s="1831"/>
      <c r="DAH622" s="1831"/>
      <c r="DAI622" s="1831"/>
      <c r="DAJ622" s="1831"/>
      <c r="DAK622" s="1831"/>
      <c r="DAL622" s="1831"/>
      <c r="DAM622" s="1831"/>
      <c r="DAN622" s="1831"/>
      <c r="DAO622" s="1831"/>
      <c r="DAP622" s="1831"/>
      <c r="DAQ622" s="1831"/>
      <c r="DAR622" s="1831"/>
      <c r="DAS622" s="1831"/>
      <c r="DAT622" s="1831"/>
      <c r="DAU622" s="1831"/>
      <c r="DAV622" s="1831"/>
      <c r="DAW622" s="1831"/>
      <c r="DAX622" s="1831"/>
      <c r="DAY622" s="1831"/>
      <c r="DAZ622" s="1831"/>
      <c r="DBA622" s="1831"/>
      <c r="DBB622" s="1831"/>
      <c r="DBC622" s="1831"/>
      <c r="DBD622" s="1831"/>
      <c r="DBE622" s="1831"/>
      <c r="DBF622" s="1831"/>
      <c r="DBG622" s="1831"/>
      <c r="DBH622" s="1831"/>
      <c r="DBI622" s="1831"/>
      <c r="DBJ622" s="1831"/>
      <c r="DBK622" s="1831"/>
      <c r="DBL622" s="1831"/>
      <c r="DBM622" s="1831"/>
      <c r="DBN622" s="1831"/>
      <c r="DBO622" s="1831"/>
      <c r="DBP622" s="1831"/>
      <c r="DBQ622" s="1831"/>
      <c r="DBR622" s="1831"/>
      <c r="DBS622" s="1831"/>
      <c r="DBT622" s="1831"/>
      <c r="DBU622" s="1831"/>
      <c r="DBV622" s="1831"/>
      <c r="DBW622" s="1831"/>
      <c r="DBX622" s="1831"/>
      <c r="DBY622" s="1831"/>
      <c r="DBZ622" s="1831"/>
      <c r="DCA622" s="1831"/>
      <c r="DCB622" s="1831"/>
      <c r="DCC622" s="1831"/>
      <c r="DCD622" s="1831"/>
      <c r="DCE622" s="1831"/>
      <c r="DCF622" s="1831"/>
      <c r="DCG622" s="1831"/>
      <c r="DCH622" s="1831"/>
      <c r="DCI622" s="1831"/>
      <c r="DCJ622" s="1831"/>
      <c r="DCK622" s="1831"/>
      <c r="DCL622" s="1831"/>
      <c r="DCM622" s="1831"/>
      <c r="DCN622" s="1831"/>
      <c r="DCO622" s="1831"/>
      <c r="DCP622" s="1831"/>
      <c r="DCQ622" s="1831"/>
      <c r="DCR622" s="1831"/>
      <c r="DCS622" s="1831"/>
      <c r="DCT622" s="1831"/>
      <c r="DCU622" s="1831"/>
      <c r="DCV622" s="1831"/>
      <c r="DCW622" s="1831"/>
      <c r="DCX622" s="1831"/>
      <c r="DCY622" s="1831"/>
      <c r="DCZ622" s="1831"/>
      <c r="DDA622" s="1831"/>
      <c r="DDB622" s="1831"/>
      <c r="DDC622" s="1831"/>
      <c r="DDD622" s="1831"/>
      <c r="DDE622" s="1831"/>
      <c r="DDF622" s="1831"/>
      <c r="DDG622" s="1831"/>
      <c r="DDH622" s="1831"/>
      <c r="DDI622" s="1831"/>
      <c r="DDJ622" s="1831"/>
      <c r="DDK622" s="1831"/>
      <c r="DDL622" s="1831"/>
      <c r="DDM622" s="1831"/>
      <c r="DDN622" s="1831"/>
      <c r="DDO622" s="1831"/>
      <c r="DDP622" s="1831"/>
      <c r="DDQ622" s="1831"/>
      <c r="DDR622" s="1831"/>
      <c r="DDS622" s="1831"/>
      <c r="DDT622" s="1831"/>
      <c r="DDU622" s="1831"/>
      <c r="DDV622" s="1831"/>
      <c r="DDW622" s="1831"/>
      <c r="DDX622" s="1831"/>
      <c r="DDY622" s="1831"/>
      <c r="DDZ622" s="1831"/>
      <c r="DEA622" s="1831"/>
      <c r="DEB622" s="1831"/>
      <c r="DEC622" s="1831"/>
      <c r="DED622" s="1831"/>
      <c r="DEE622" s="1831"/>
      <c r="DEF622" s="1831"/>
      <c r="DEG622" s="1831"/>
      <c r="DEH622" s="1831"/>
      <c r="DEI622" s="1831"/>
      <c r="DEJ622" s="1831"/>
      <c r="DEK622" s="1831"/>
      <c r="DEL622" s="1831"/>
      <c r="DEM622" s="1831"/>
      <c r="DEN622" s="1831"/>
      <c r="DEO622" s="1831"/>
      <c r="DEP622" s="1831"/>
      <c r="DEQ622" s="1831"/>
      <c r="DER622" s="1831"/>
      <c r="DES622" s="1831"/>
      <c r="DET622" s="1831"/>
      <c r="DEU622" s="1831"/>
      <c r="DEV622" s="1831"/>
      <c r="DEW622" s="1831"/>
      <c r="DEX622" s="1831"/>
      <c r="DEY622" s="1831"/>
      <c r="DEZ622" s="1831"/>
      <c r="DFA622" s="1831"/>
      <c r="DFB622" s="1831"/>
      <c r="DFC622" s="1831"/>
      <c r="DFD622" s="1831"/>
      <c r="DFE622" s="1831"/>
      <c r="DFF622" s="1831"/>
      <c r="DFG622" s="1831"/>
      <c r="DFH622" s="1831"/>
      <c r="DFI622" s="1831"/>
      <c r="DFJ622" s="1831"/>
      <c r="DFK622" s="1831"/>
      <c r="DFL622" s="1831"/>
      <c r="DFM622" s="1831"/>
      <c r="DFN622" s="1831"/>
      <c r="DFO622" s="1831"/>
      <c r="DFP622" s="1831"/>
      <c r="DFQ622" s="1831"/>
      <c r="DFR622" s="1831"/>
      <c r="DFS622" s="1831"/>
      <c r="DFT622" s="1831"/>
      <c r="DFU622" s="1831"/>
      <c r="DFV622" s="1831"/>
      <c r="DFW622" s="1831"/>
      <c r="DFX622" s="1831"/>
      <c r="DFY622" s="1831"/>
      <c r="DFZ622" s="1831"/>
      <c r="DGA622" s="1831"/>
      <c r="DGB622" s="1831"/>
      <c r="DGC622" s="1831"/>
      <c r="DGD622" s="1831"/>
      <c r="DGE622" s="1831"/>
      <c r="DGF622" s="1831"/>
      <c r="DGG622" s="1831"/>
      <c r="DGH622" s="1831"/>
      <c r="DGI622" s="1831"/>
      <c r="DGJ622" s="1831"/>
      <c r="DGK622" s="1831"/>
      <c r="DGL622" s="1831"/>
      <c r="DGM622" s="1831"/>
      <c r="DGN622" s="1831"/>
      <c r="DGO622" s="1831"/>
      <c r="DGP622" s="1831"/>
      <c r="DGQ622" s="1831"/>
      <c r="DGR622" s="1831"/>
      <c r="DGS622" s="1831"/>
      <c r="DGT622" s="1831"/>
      <c r="DGU622" s="1831"/>
      <c r="DGV622" s="1831"/>
      <c r="DGW622" s="1831"/>
      <c r="DGX622" s="1831"/>
      <c r="DGY622" s="1831"/>
      <c r="DGZ622" s="1831"/>
      <c r="DHA622" s="1831"/>
      <c r="DHB622" s="1831"/>
      <c r="DHC622" s="1831"/>
      <c r="DHD622" s="1831"/>
      <c r="DHE622" s="1831"/>
      <c r="DHF622" s="1831"/>
      <c r="DHG622" s="1831"/>
      <c r="DHH622" s="1831"/>
      <c r="DHI622" s="1831"/>
      <c r="DHJ622" s="1831"/>
      <c r="DHK622" s="1831"/>
      <c r="DHL622" s="1831"/>
      <c r="DHM622" s="1831"/>
      <c r="DHN622" s="1831"/>
      <c r="DHO622" s="1831"/>
      <c r="DHP622" s="1831"/>
      <c r="DHQ622" s="1831"/>
      <c r="DHR622" s="1831"/>
      <c r="DHS622" s="1831"/>
      <c r="DHT622" s="1831"/>
      <c r="DHU622" s="1831"/>
      <c r="DHV622" s="1831"/>
      <c r="DHW622" s="1831"/>
      <c r="DHX622" s="1831"/>
      <c r="DHY622" s="1831"/>
      <c r="DHZ622" s="1831"/>
      <c r="DIA622" s="1831"/>
      <c r="DIB622" s="1831"/>
      <c r="DIC622" s="1831"/>
      <c r="DID622" s="1831"/>
      <c r="DIE622" s="1831"/>
      <c r="DIF622" s="1831"/>
      <c r="DIG622" s="1831"/>
      <c r="DIH622" s="1831"/>
      <c r="DII622" s="1831"/>
      <c r="DIJ622" s="1831"/>
      <c r="DIK622" s="1831"/>
      <c r="DIL622" s="1831"/>
      <c r="DIM622" s="1831"/>
      <c r="DIN622" s="1831"/>
      <c r="DIO622" s="1831"/>
      <c r="DIP622" s="1831"/>
      <c r="DIQ622" s="1831"/>
      <c r="DIR622" s="1831"/>
      <c r="DIS622" s="1831"/>
      <c r="DIT622" s="1831"/>
      <c r="DIU622" s="1831"/>
      <c r="DIV622" s="1831"/>
      <c r="DIW622" s="1831"/>
      <c r="DIX622" s="1831"/>
      <c r="DIY622" s="1831"/>
      <c r="DIZ622" s="1831"/>
      <c r="DJA622" s="1831"/>
      <c r="DJB622" s="1831"/>
      <c r="DJC622" s="1831"/>
      <c r="DJD622" s="1831"/>
      <c r="DJE622" s="1831"/>
      <c r="DJF622" s="1831"/>
      <c r="DJG622" s="1831"/>
      <c r="DJH622" s="1831"/>
      <c r="DJI622" s="1831"/>
      <c r="DJJ622" s="1831"/>
      <c r="DJK622" s="1831"/>
      <c r="DJL622" s="1831"/>
      <c r="DJM622" s="1831"/>
      <c r="DJN622" s="1831"/>
      <c r="DJO622" s="1831"/>
      <c r="DJP622" s="1831"/>
      <c r="DJQ622" s="1831"/>
      <c r="DJR622" s="1831"/>
      <c r="DJS622" s="1831"/>
      <c r="DJT622" s="1831"/>
      <c r="DJU622" s="1831"/>
      <c r="DJV622" s="1831"/>
      <c r="DJW622" s="1831"/>
      <c r="DJX622" s="1831"/>
      <c r="DJY622" s="1831"/>
      <c r="DJZ622" s="1831"/>
      <c r="DKA622" s="1831"/>
      <c r="DKB622" s="1831"/>
      <c r="DKC622" s="1831"/>
      <c r="DKD622" s="1831"/>
      <c r="DKE622" s="1831"/>
      <c r="DKF622" s="1831"/>
      <c r="DKG622" s="1831"/>
      <c r="DKH622" s="1831"/>
      <c r="DKI622" s="1831"/>
      <c r="DKJ622" s="1831"/>
      <c r="DKK622" s="1831"/>
      <c r="DKL622" s="1831"/>
      <c r="DKM622" s="1831"/>
      <c r="DKN622" s="1831"/>
      <c r="DKO622" s="1831"/>
      <c r="DKP622" s="1831"/>
      <c r="DKQ622" s="1831"/>
      <c r="DKR622" s="1831"/>
      <c r="DKS622" s="1831"/>
      <c r="DKT622" s="1831"/>
      <c r="DKU622" s="1831"/>
      <c r="DKV622" s="1831"/>
      <c r="DKW622" s="1831"/>
      <c r="DKX622" s="1831"/>
      <c r="DKY622" s="1831"/>
      <c r="DKZ622" s="1831"/>
      <c r="DLA622" s="1831"/>
      <c r="DLB622" s="1831"/>
      <c r="DLC622" s="1831"/>
      <c r="DLD622" s="1831"/>
      <c r="DLE622" s="1831"/>
      <c r="DLF622" s="1831"/>
      <c r="DLG622" s="1831"/>
      <c r="DLH622" s="1831"/>
      <c r="DLI622" s="1831"/>
      <c r="DLJ622" s="1831"/>
      <c r="DLK622" s="1831"/>
      <c r="DLL622" s="1831"/>
      <c r="DLM622" s="1831"/>
      <c r="DLN622" s="1831"/>
      <c r="DLO622" s="1831"/>
      <c r="DLP622" s="1831"/>
      <c r="DLQ622" s="1831"/>
      <c r="DLR622" s="1831"/>
      <c r="DLS622" s="1831"/>
      <c r="DLT622" s="1831"/>
      <c r="DLU622" s="1831"/>
      <c r="DLV622" s="1831"/>
      <c r="DLW622" s="1831"/>
      <c r="DLX622" s="1831"/>
      <c r="DLY622" s="1831"/>
      <c r="DLZ622" s="1831"/>
      <c r="DMA622" s="1831"/>
      <c r="DMB622" s="1831"/>
      <c r="DMC622" s="1831"/>
      <c r="DMD622" s="1831"/>
      <c r="DME622" s="1831"/>
      <c r="DMF622" s="1831"/>
      <c r="DMG622" s="1831"/>
      <c r="DMH622" s="1831"/>
      <c r="DMI622" s="1831"/>
      <c r="DMJ622" s="1831"/>
      <c r="DMK622" s="1831"/>
      <c r="DML622" s="1831"/>
      <c r="DMM622" s="1831"/>
      <c r="DMN622" s="1831"/>
      <c r="DMO622" s="1831"/>
      <c r="DMP622" s="1831"/>
      <c r="DMQ622" s="1831"/>
      <c r="DMR622" s="1831"/>
      <c r="DMS622" s="1831"/>
      <c r="DMT622" s="1831"/>
      <c r="DMU622" s="1831"/>
      <c r="DMV622" s="1831"/>
      <c r="DMW622" s="1831"/>
      <c r="DMX622" s="1831"/>
      <c r="DMY622" s="1831"/>
      <c r="DMZ622" s="1831"/>
      <c r="DNA622" s="1831"/>
      <c r="DNB622" s="1831"/>
      <c r="DNC622" s="1831"/>
      <c r="DND622" s="1831"/>
      <c r="DNE622" s="1831"/>
      <c r="DNF622" s="1831"/>
      <c r="DNG622" s="1831"/>
      <c r="DNH622" s="1831"/>
      <c r="DNI622" s="1831"/>
      <c r="DNJ622" s="1831"/>
      <c r="DNK622" s="1831"/>
      <c r="DNL622" s="1831"/>
      <c r="DNM622" s="1831"/>
      <c r="DNN622" s="1831"/>
      <c r="DNO622" s="1831"/>
      <c r="DNP622" s="1831"/>
      <c r="DNQ622" s="1831"/>
      <c r="DNR622" s="1831"/>
      <c r="DNS622" s="1831"/>
      <c r="DNT622" s="1831"/>
      <c r="DNU622" s="1831"/>
      <c r="DNV622" s="1831"/>
      <c r="DNW622" s="1831"/>
      <c r="DNX622" s="1831"/>
      <c r="DNY622" s="1831"/>
      <c r="DNZ622" s="1831"/>
      <c r="DOA622" s="1831"/>
      <c r="DOB622" s="1831"/>
      <c r="DOC622" s="1831"/>
      <c r="DOD622" s="1831"/>
      <c r="DOE622" s="1831"/>
      <c r="DOF622" s="1831"/>
      <c r="DOG622" s="1831"/>
      <c r="DOH622" s="1831"/>
      <c r="DOI622" s="1831"/>
      <c r="DOJ622" s="1831"/>
      <c r="DOK622" s="1831"/>
      <c r="DOL622" s="1831"/>
      <c r="DOM622" s="1831"/>
      <c r="DON622" s="1831"/>
      <c r="DOO622" s="1831"/>
      <c r="DOP622" s="1831"/>
      <c r="DOQ622" s="1831"/>
      <c r="DOR622" s="1831"/>
      <c r="DOS622" s="1831"/>
      <c r="DOT622" s="1831"/>
      <c r="DOU622" s="1831"/>
      <c r="DOV622" s="1831"/>
      <c r="DOW622" s="1831"/>
      <c r="DOX622" s="1831"/>
      <c r="DOY622" s="1831"/>
      <c r="DOZ622" s="1831"/>
      <c r="DPA622" s="1831"/>
      <c r="DPB622" s="1831"/>
      <c r="DPC622" s="1831"/>
      <c r="DPD622" s="1831"/>
      <c r="DPE622" s="1831"/>
      <c r="DPF622" s="1831"/>
      <c r="DPG622" s="1831"/>
      <c r="DPH622" s="1831"/>
      <c r="DPI622" s="1831"/>
      <c r="DPJ622" s="1831"/>
      <c r="DPK622" s="1831"/>
      <c r="DPL622" s="1831"/>
      <c r="DPM622" s="1831"/>
      <c r="DPN622" s="1831"/>
      <c r="DPO622" s="1831"/>
      <c r="DPP622" s="1831"/>
      <c r="DPQ622" s="1831"/>
      <c r="DPR622" s="1831"/>
      <c r="DPS622" s="1831"/>
      <c r="DPT622" s="1831"/>
      <c r="DPU622" s="1831"/>
      <c r="DPV622" s="1831"/>
      <c r="DPW622" s="1831"/>
      <c r="DPX622" s="1831"/>
      <c r="DPY622" s="1831"/>
      <c r="DPZ622" s="1831"/>
      <c r="DQA622" s="1831"/>
      <c r="DQB622" s="1831"/>
      <c r="DQC622" s="1831"/>
      <c r="DQD622" s="1831"/>
      <c r="DQE622" s="1831"/>
      <c r="DQF622" s="1831"/>
      <c r="DQG622" s="1831"/>
      <c r="DQH622" s="1831"/>
      <c r="DQI622" s="1831"/>
      <c r="DQJ622" s="1831"/>
      <c r="DQK622" s="1831"/>
      <c r="DQL622" s="1831"/>
      <c r="DQM622" s="1831"/>
      <c r="DQN622" s="1831"/>
      <c r="DQO622" s="1831"/>
      <c r="DQP622" s="1831"/>
      <c r="DQQ622" s="1831"/>
      <c r="DQR622" s="1831"/>
      <c r="DQS622" s="1831"/>
      <c r="DQT622" s="1831"/>
      <c r="DQU622" s="1831"/>
      <c r="DQV622" s="1831"/>
      <c r="DQW622" s="1831"/>
      <c r="DQX622" s="1831"/>
      <c r="DQY622" s="1831"/>
      <c r="DQZ622" s="1831"/>
      <c r="DRA622" s="1831"/>
      <c r="DRB622" s="1831"/>
      <c r="DRC622" s="1831"/>
      <c r="DRD622" s="1831"/>
      <c r="DRE622" s="1831"/>
      <c r="DRF622" s="1831"/>
      <c r="DRG622" s="1831"/>
      <c r="DRH622" s="1831"/>
      <c r="DRI622" s="1831"/>
      <c r="DRJ622" s="1831"/>
      <c r="DRK622" s="1831"/>
      <c r="DRL622" s="1831"/>
      <c r="DRM622" s="1831"/>
      <c r="DRN622" s="1831"/>
      <c r="DRO622" s="1831"/>
      <c r="DRP622" s="1831"/>
      <c r="DRQ622" s="1831"/>
      <c r="DRR622" s="1831"/>
      <c r="DRS622" s="1831"/>
      <c r="DRT622" s="1831"/>
      <c r="DRU622" s="1831"/>
      <c r="DRV622" s="1831"/>
      <c r="DRW622" s="1831"/>
      <c r="DRX622" s="1831"/>
      <c r="DRY622" s="1831"/>
      <c r="DRZ622" s="1831"/>
      <c r="DSA622" s="1831"/>
      <c r="DSB622" s="1831"/>
      <c r="DSC622" s="1831"/>
      <c r="DSD622" s="1831"/>
      <c r="DSE622" s="1831"/>
      <c r="DSF622" s="1831"/>
      <c r="DSG622" s="1831"/>
      <c r="DSH622" s="1831"/>
      <c r="DSI622" s="1831"/>
      <c r="DSJ622" s="1831"/>
      <c r="DSK622" s="1831"/>
      <c r="DSL622" s="1831"/>
      <c r="DSM622" s="1831"/>
      <c r="DSN622" s="1831"/>
      <c r="DSO622" s="1831"/>
      <c r="DSP622" s="1831"/>
      <c r="DSQ622" s="1831"/>
      <c r="DSR622" s="1831"/>
      <c r="DSS622" s="1831"/>
      <c r="DST622" s="1831"/>
      <c r="DSU622" s="1831"/>
      <c r="DSV622" s="1831"/>
      <c r="DSW622" s="1831"/>
      <c r="DSX622" s="1831"/>
      <c r="DSY622" s="1831"/>
      <c r="DSZ622" s="1831"/>
      <c r="DTA622" s="1831"/>
      <c r="DTB622" s="1831"/>
      <c r="DTC622" s="1831"/>
      <c r="DTD622" s="1831"/>
      <c r="DTE622" s="1831"/>
      <c r="DTF622" s="1831"/>
      <c r="DTG622" s="1831"/>
      <c r="DTH622" s="1831"/>
      <c r="DTI622" s="1831"/>
      <c r="DTJ622" s="1831"/>
      <c r="DTK622" s="1831"/>
      <c r="DTL622" s="1831"/>
      <c r="DTM622" s="1831"/>
      <c r="DTN622" s="1831"/>
      <c r="DTO622" s="1831"/>
      <c r="DTP622" s="1831"/>
      <c r="DTQ622" s="1831"/>
      <c r="DTR622" s="1831"/>
      <c r="DTS622" s="1831"/>
      <c r="DTT622" s="1831"/>
      <c r="DTU622" s="1831"/>
      <c r="DTV622" s="1831"/>
      <c r="DTW622" s="1831"/>
      <c r="DTX622" s="1831"/>
      <c r="DTY622" s="1831"/>
      <c r="DTZ622" s="1831"/>
      <c r="DUA622" s="1831"/>
      <c r="DUB622" s="1831"/>
      <c r="DUC622" s="1831"/>
      <c r="DUD622" s="1831"/>
      <c r="DUE622" s="1831"/>
      <c r="DUF622" s="1831"/>
      <c r="DUG622" s="1831"/>
      <c r="DUH622" s="1831"/>
      <c r="DUI622" s="1831"/>
      <c r="DUJ622" s="1831"/>
      <c r="DUK622" s="1831"/>
      <c r="DUL622" s="1831"/>
      <c r="DUM622" s="1831"/>
      <c r="DUN622" s="1831"/>
      <c r="DUO622" s="1831"/>
      <c r="DUP622" s="1831"/>
      <c r="DUQ622" s="1831"/>
      <c r="DUR622" s="1831"/>
      <c r="DUS622" s="1831"/>
      <c r="DUT622" s="1831"/>
      <c r="DUU622" s="1831"/>
      <c r="DUV622" s="1831"/>
      <c r="DUW622" s="1831"/>
      <c r="DUX622" s="1831"/>
      <c r="DUY622" s="1831"/>
      <c r="DUZ622" s="1831"/>
      <c r="DVA622" s="1831"/>
      <c r="DVB622" s="1831"/>
      <c r="DVC622" s="1831"/>
      <c r="DVD622" s="1831"/>
      <c r="DVE622" s="1831"/>
      <c r="DVF622" s="1831"/>
      <c r="DVG622" s="1831"/>
      <c r="DVH622" s="1831"/>
      <c r="DVI622" s="1831"/>
      <c r="DVJ622" s="1831"/>
      <c r="DVK622" s="1831"/>
      <c r="DVL622" s="1831"/>
      <c r="DVM622" s="1831"/>
      <c r="DVN622" s="1831"/>
      <c r="DVO622" s="1831"/>
      <c r="DVP622" s="1831"/>
      <c r="DVQ622" s="1831"/>
      <c r="DVR622" s="1831"/>
      <c r="DVS622" s="1831"/>
      <c r="DVT622" s="1831"/>
      <c r="DVU622" s="1831"/>
      <c r="DVV622" s="1831"/>
      <c r="DVW622" s="1831"/>
      <c r="DVX622" s="1831"/>
      <c r="DVY622" s="1831"/>
      <c r="DVZ622" s="1831"/>
      <c r="DWA622" s="1831"/>
      <c r="DWB622" s="1831"/>
      <c r="DWC622" s="1831"/>
      <c r="DWD622" s="1831"/>
      <c r="DWE622" s="1831"/>
      <c r="DWF622" s="1831"/>
      <c r="DWG622" s="1831"/>
      <c r="DWH622" s="1831"/>
      <c r="DWI622" s="1831"/>
      <c r="DWJ622" s="1831"/>
      <c r="DWK622" s="1831"/>
      <c r="DWL622" s="1831"/>
      <c r="DWM622" s="1831"/>
      <c r="DWN622" s="1831"/>
      <c r="DWO622" s="1831"/>
      <c r="DWP622" s="1831"/>
      <c r="DWQ622" s="1831"/>
      <c r="DWR622" s="1831"/>
      <c r="DWS622" s="1831"/>
      <c r="DWT622" s="1831"/>
      <c r="DWU622" s="1831"/>
      <c r="DWV622" s="1831"/>
      <c r="DWW622" s="1831"/>
      <c r="DWX622" s="1831"/>
      <c r="DWY622" s="1831"/>
      <c r="DWZ622" s="1831"/>
      <c r="DXA622" s="1831"/>
      <c r="DXB622" s="1831"/>
      <c r="DXC622" s="1831"/>
      <c r="DXD622" s="1831"/>
      <c r="DXE622" s="1831"/>
      <c r="DXF622" s="1831"/>
      <c r="DXG622" s="1831"/>
      <c r="DXH622" s="1831"/>
      <c r="DXI622" s="1831"/>
      <c r="DXJ622" s="1831"/>
      <c r="DXK622" s="1831"/>
      <c r="DXL622" s="1831"/>
      <c r="DXM622" s="1831"/>
      <c r="DXN622" s="1831"/>
      <c r="DXO622" s="1831"/>
      <c r="DXP622" s="1831"/>
      <c r="DXQ622" s="1831"/>
      <c r="DXR622" s="1831"/>
      <c r="DXS622" s="1831"/>
      <c r="DXT622" s="1831"/>
      <c r="DXU622" s="1831"/>
      <c r="DXV622" s="1831"/>
      <c r="DXW622" s="1831"/>
      <c r="DXX622" s="1831"/>
      <c r="DXY622" s="1831"/>
      <c r="DXZ622" s="1831"/>
      <c r="DYA622" s="1831"/>
      <c r="DYB622" s="1831"/>
      <c r="DYC622" s="1831"/>
      <c r="DYD622" s="1831"/>
      <c r="DYE622" s="1831"/>
      <c r="DYF622" s="1831"/>
      <c r="DYG622" s="1831"/>
      <c r="DYH622" s="1831"/>
      <c r="DYI622" s="1831"/>
      <c r="DYJ622" s="1831"/>
      <c r="DYK622" s="1831"/>
      <c r="DYL622" s="1831"/>
      <c r="DYM622" s="1831"/>
      <c r="DYN622" s="1831"/>
      <c r="DYO622" s="1831"/>
      <c r="DYP622" s="1831"/>
      <c r="DYQ622" s="1831"/>
      <c r="DYR622" s="1831"/>
      <c r="DYS622" s="1831"/>
      <c r="DYT622" s="1831"/>
      <c r="DYU622" s="1831"/>
      <c r="DYV622" s="1831"/>
      <c r="DYW622" s="1831"/>
      <c r="DYX622" s="1831"/>
      <c r="DYY622" s="1831"/>
      <c r="DYZ622" s="1831"/>
      <c r="DZA622" s="1831"/>
      <c r="DZB622" s="1831"/>
      <c r="DZC622" s="1831"/>
      <c r="DZD622" s="1831"/>
      <c r="DZE622" s="1831"/>
      <c r="DZF622" s="1831"/>
      <c r="DZG622" s="1831"/>
      <c r="DZH622" s="1831"/>
      <c r="DZI622" s="1831"/>
      <c r="DZJ622" s="1831"/>
      <c r="DZK622" s="1831"/>
      <c r="DZL622" s="1831"/>
      <c r="DZM622" s="1831"/>
      <c r="DZN622" s="1831"/>
      <c r="DZO622" s="1831"/>
      <c r="DZP622" s="1831"/>
      <c r="DZQ622" s="1831"/>
      <c r="DZR622" s="1831"/>
      <c r="DZS622" s="1831"/>
      <c r="DZT622" s="1831"/>
      <c r="DZU622" s="1831"/>
      <c r="DZV622" s="1831"/>
      <c r="DZW622" s="1831"/>
      <c r="DZX622" s="1831"/>
      <c r="DZY622" s="1831"/>
      <c r="DZZ622" s="1831"/>
      <c r="EAA622" s="1831"/>
      <c r="EAB622" s="1831"/>
      <c r="EAC622" s="1831"/>
      <c r="EAD622" s="1831"/>
      <c r="EAE622" s="1831"/>
      <c r="EAF622" s="1831"/>
      <c r="EAG622" s="1831"/>
      <c r="EAH622" s="1831"/>
      <c r="EAI622" s="1831"/>
      <c r="EAJ622" s="1831"/>
      <c r="EAK622" s="1831"/>
      <c r="EAL622" s="1831"/>
      <c r="EAM622" s="1831"/>
      <c r="EAN622" s="1831"/>
      <c r="EAO622" s="1831"/>
      <c r="EAP622" s="1831"/>
      <c r="EAQ622" s="1831"/>
      <c r="EAR622" s="1831"/>
      <c r="EAS622" s="1831"/>
      <c r="EAT622" s="1831"/>
      <c r="EAU622" s="1831"/>
      <c r="EAV622" s="1831"/>
      <c r="EAW622" s="1831"/>
      <c r="EAX622" s="1831"/>
      <c r="EAY622" s="1831"/>
      <c r="EAZ622" s="1831"/>
      <c r="EBA622" s="1831"/>
      <c r="EBB622" s="1831"/>
      <c r="EBC622" s="1831"/>
      <c r="EBD622" s="1831"/>
      <c r="EBE622" s="1831"/>
      <c r="EBF622" s="1831"/>
      <c r="EBG622" s="1831"/>
      <c r="EBH622" s="1831"/>
      <c r="EBI622" s="1831"/>
      <c r="EBJ622" s="1831"/>
      <c r="EBK622" s="1831"/>
      <c r="EBL622" s="1831"/>
      <c r="EBM622" s="1831"/>
      <c r="EBN622" s="1831"/>
      <c r="EBO622" s="1831"/>
      <c r="EBP622" s="1831"/>
      <c r="EBQ622" s="1831"/>
      <c r="EBR622" s="1831"/>
      <c r="EBS622" s="1831"/>
      <c r="EBT622" s="1831"/>
      <c r="EBU622" s="1831"/>
      <c r="EBV622" s="1831"/>
      <c r="EBW622" s="1831"/>
      <c r="EBX622" s="1831"/>
      <c r="EBY622" s="1831"/>
      <c r="EBZ622" s="1831"/>
      <c r="ECA622" s="1831"/>
      <c r="ECB622" s="1831"/>
      <c r="ECC622" s="1831"/>
      <c r="ECD622" s="1831"/>
      <c r="ECE622" s="1831"/>
      <c r="ECF622" s="1831"/>
      <c r="ECG622" s="1831"/>
      <c r="ECH622" s="1831"/>
      <c r="ECI622" s="1831"/>
      <c r="ECJ622" s="1831"/>
      <c r="ECK622" s="1831"/>
      <c r="ECL622" s="1831"/>
      <c r="ECM622" s="1831"/>
      <c r="ECN622" s="1831"/>
      <c r="ECO622" s="1831"/>
      <c r="ECP622" s="1831"/>
      <c r="ECQ622" s="1831"/>
      <c r="ECR622" s="1831"/>
      <c r="ECS622" s="1831"/>
      <c r="ECT622" s="1831"/>
      <c r="ECU622" s="1831"/>
      <c r="ECV622" s="1831"/>
      <c r="ECW622" s="1831"/>
      <c r="ECX622" s="1831"/>
      <c r="ECY622" s="1831"/>
      <c r="ECZ622" s="1831"/>
      <c r="EDA622" s="1831"/>
      <c r="EDB622" s="1831"/>
      <c r="EDC622" s="1831"/>
      <c r="EDD622" s="1831"/>
      <c r="EDE622" s="1831"/>
      <c r="EDF622" s="1831"/>
      <c r="EDG622" s="1831"/>
      <c r="EDH622" s="1831"/>
      <c r="EDI622" s="1831"/>
      <c r="EDJ622" s="1831"/>
      <c r="EDK622" s="1831"/>
      <c r="EDL622" s="1831"/>
      <c r="EDM622" s="1831"/>
      <c r="EDN622" s="1831"/>
      <c r="EDO622" s="1831"/>
      <c r="EDP622" s="1831"/>
      <c r="EDQ622" s="1831"/>
      <c r="EDR622" s="1831"/>
      <c r="EDS622" s="1831"/>
      <c r="EDT622" s="1831"/>
      <c r="EDU622" s="1831"/>
      <c r="EDV622" s="1831"/>
      <c r="EDW622" s="1831"/>
      <c r="EDX622" s="1831"/>
      <c r="EDY622" s="1831"/>
      <c r="EDZ622" s="1831"/>
      <c r="EEA622" s="1831"/>
      <c r="EEB622" s="1831"/>
      <c r="EEC622" s="1831"/>
      <c r="EED622" s="1831"/>
      <c r="EEE622" s="1831"/>
      <c r="EEF622" s="1831"/>
      <c r="EEG622" s="1831"/>
      <c r="EEH622" s="1831"/>
      <c r="EEI622" s="1831"/>
      <c r="EEJ622" s="1831"/>
      <c r="EEK622" s="1831"/>
      <c r="EEL622" s="1831"/>
      <c r="EEM622" s="1831"/>
      <c r="EEN622" s="1831"/>
      <c r="EEO622" s="1831"/>
      <c r="EEP622" s="1831"/>
      <c r="EEQ622" s="1831"/>
      <c r="EER622" s="1831"/>
      <c r="EES622" s="1831"/>
      <c r="EET622" s="1831"/>
      <c r="EEU622" s="1831"/>
      <c r="EEV622" s="1831"/>
      <c r="EEW622" s="1831"/>
      <c r="EEX622" s="1831"/>
      <c r="EEY622" s="1831"/>
      <c r="EEZ622" s="1831"/>
      <c r="EFA622" s="1831"/>
      <c r="EFB622" s="1831"/>
      <c r="EFC622" s="1831"/>
      <c r="EFD622" s="1831"/>
      <c r="EFE622" s="1831"/>
      <c r="EFF622" s="1831"/>
      <c r="EFG622" s="1831"/>
      <c r="EFH622" s="1831"/>
      <c r="EFI622" s="1831"/>
      <c r="EFJ622" s="1831"/>
      <c r="EFK622" s="1831"/>
      <c r="EFL622" s="1831"/>
      <c r="EFM622" s="1831"/>
      <c r="EFN622" s="1831"/>
      <c r="EFO622" s="1831"/>
      <c r="EFP622" s="1831"/>
      <c r="EFQ622" s="1831"/>
      <c r="EFR622" s="1831"/>
      <c r="EFS622" s="1831"/>
      <c r="EFT622" s="1831"/>
      <c r="EFU622" s="1831"/>
      <c r="EFV622" s="1831"/>
      <c r="EFW622" s="1831"/>
      <c r="EFX622" s="1831"/>
      <c r="EFY622" s="1831"/>
      <c r="EFZ622" s="1831"/>
      <c r="EGA622" s="1831"/>
      <c r="EGB622" s="1831"/>
      <c r="EGC622" s="1831"/>
      <c r="EGD622" s="1831"/>
      <c r="EGE622" s="1831"/>
      <c r="EGF622" s="1831"/>
      <c r="EGG622" s="1831"/>
      <c r="EGH622" s="1831"/>
      <c r="EGI622" s="1831"/>
      <c r="EGJ622" s="1831"/>
      <c r="EGK622" s="1831"/>
      <c r="EGL622" s="1831"/>
      <c r="EGM622" s="1831"/>
      <c r="EGN622" s="1831"/>
      <c r="EGO622" s="1831"/>
      <c r="EGP622" s="1831"/>
      <c r="EGQ622" s="1831"/>
      <c r="EGR622" s="1831"/>
      <c r="EGS622" s="1831"/>
      <c r="EGT622" s="1831"/>
      <c r="EGU622" s="1831"/>
      <c r="EGV622" s="1831"/>
      <c r="EGW622" s="1831"/>
      <c r="EGX622" s="1831"/>
      <c r="EGY622" s="1831"/>
      <c r="EGZ622" s="1831"/>
      <c r="EHA622" s="1831"/>
      <c r="EHB622" s="1831"/>
      <c r="EHC622" s="1831"/>
      <c r="EHD622" s="1831"/>
      <c r="EHE622" s="1831"/>
      <c r="EHF622" s="1831"/>
      <c r="EHG622" s="1831"/>
      <c r="EHH622" s="1831"/>
      <c r="EHI622" s="1831"/>
      <c r="EHJ622" s="1831"/>
      <c r="EHK622" s="1831"/>
      <c r="EHL622" s="1831"/>
      <c r="EHM622" s="1831"/>
      <c r="EHN622" s="1831"/>
      <c r="EHO622" s="1831"/>
      <c r="EHP622" s="1831"/>
      <c r="EHQ622" s="1831"/>
      <c r="EHR622" s="1831"/>
      <c r="EHS622" s="1831"/>
      <c r="EHT622" s="1831"/>
      <c r="EHU622" s="1831"/>
      <c r="EHV622" s="1831"/>
      <c r="EHW622" s="1831"/>
      <c r="EHX622" s="1831"/>
      <c r="EHY622" s="1831"/>
      <c r="EHZ622" s="1831"/>
      <c r="EIA622" s="1831"/>
      <c r="EIB622" s="1831"/>
      <c r="EIC622" s="1831"/>
      <c r="EID622" s="1831"/>
      <c r="EIE622" s="1831"/>
      <c r="EIF622" s="1831"/>
      <c r="EIG622" s="1831"/>
      <c r="EIH622" s="1831"/>
      <c r="EII622" s="1831"/>
      <c r="EIJ622" s="1831"/>
      <c r="EIK622" s="1831"/>
      <c r="EIL622" s="1831"/>
      <c r="EIM622" s="1831"/>
      <c r="EIN622" s="1831"/>
      <c r="EIO622" s="1831"/>
      <c r="EIP622" s="1831"/>
      <c r="EIQ622" s="1831"/>
      <c r="EIR622" s="1831"/>
      <c r="EIS622" s="1831"/>
      <c r="EIT622" s="1831"/>
      <c r="EIU622" s="1831"/>
      <c r="EIV622" s="1831"/>
      <c r="EIW622" s="1831"/>
      <c r="EIX622" s="1831"/>
      <c r="EIY622" s="1831"/>
      <c r="EIZ622" s="1831"/>
      <c r="EJA622" s="1831"/>
      <c r="EJB622" s="1831"/>
      <c r="EJC622" s="1831"/>
      <c r="EJD622" s="1831"/>
      <c r="EJE622" s="1831"/>
      <c r="EJF622" s="1831"/>
      <c r="EJG622" s="1831"/>
      <c r="EJH622" s="1831"/>
      <c r="EJI622" s="1831"/>
      <c r="EJJ622" s="1831"/>
      <c r="EJK622" s="1831"/>
      <c r="EJL622" s="1831"/>
      <c r="EJM622" s="1831"/>
      <c r="EJN622" s="1831"/>
      <c r="EJO622" s="1831"/>
      <c r="EJP622" s="1831"/>
      <c r="EJQ622" s="1831"/>
      <c r="EJR622" s="1831"/>
      <c r="EJS622" s="1831"/>
      <c r="EJT622" s="1831"/>
      <c r="EJU622" s="1831"/>
      <c r="EJV622" s="1831"/>
      <c r="EJW622" s="1831"/>
      <c r="EJX622" s="1831"/>
      <c r="EJY622" s="1831"/>
      <c r="EJZ622" s="1831"/>
      <c r="EKA622" s="1831"/>
      <c r="EKB622" s="1831"/>
      <c r="EKC622" s="1831"/>
      <c r="EKD622" s="1831"/>
      <c r="EKE622" s="1831"/>
      <c r="EKF622" s="1831"/>
      <c r="EKG622" s="1831"/>
      <c r="EKH622" s="1831"/>
      <c r="EKI622" s="1831"/>
      <c r="EKJ622" s="1831"/>
      <c r="EKK622" s="1831"/>
      <c r="EKL622" s="1831"/>
      <c r="EKM622" s="1831"/>
      <c r="EKN622" s="1831"/>
      <c r="EKO622" s="1831"/>
      <c r="EKP622" s="1831"/>
      <c r="EKQ622" s="1831"/>
      <c r="EKR622" s="1831"/>
      <c r="EKS622" s="1831"/>
      <c r="EKT622" s="1831"/>
      <c r="EKU622" s="1831"/>
      <c r="EKV622" s="1831"/>
      <c r="EKW622" s="1831"/>
      <c r="EKX622" s="1831"/>
      <c r="EKY622" s="1831"/>
      <c r="EKZ622" s="1831"/>
      <c r="ELA622" s="1831"/>
      <c r="ELB622" s="1831"/>
      <c r="ELC622" s="1831"/>
      <c r="ELD622" s="1831"/>
      <c r="ELE622" s="1831"/>
      <c r="ELF622" s="1831"/>
      <c r="ELG622" s="1831"/>
      <c r="ELH622" s="1831"/>
      <c r="ELI622" s="1831"/>
      <c r="ELJ622" s="1831"/>
      <c r="ELK622" s="1831"/>
      <c r="ELL622" s="1831"/>
      <c r="ELM622" s="1831"/>
      <c r="ELN622" s="1831"/>
      <c r="ELO622" s="1831"/>
      <c r="ELP622" s="1831"/>
      <c r="ELQ622" s="1831"/>
      <c r="ELR622" s="1831"/>
      <c r="ELS622" s="1831"/>
      <c r="ELT622" s="1831"/>
      <c r="ELU622" s="1831"/>
      <c r="ELV622" s="1831"/>
      <c r="ELW622" s="1831"/>
      <c r="ELX622" s="1831"/>
      <c r="ELY622" s="1831"/>
      <c r="ELZ622" s="1831"/>
      <c r="EMA622" s="1831"/>
      <c r="EMB622" s="1831"/>
      <c r="EMC622" s="1831"/>
      <c r="EMD622" s="1831"/>
      <c r="EME622" s="1831"/>
      <c r="EMF622" s="1831"/>
      <c r="EMG622" s="1831"/>
      <c r="EMH622" s="1831"/>
      <c r="EMI622" s="1831"/>
      <c r="EMJ622" s="1831"/>
      <c r="EMK622" s="1831"/>
      <c r="EML622" s="1831"/>
      <c r="EMM622" s="1831"/>
      <c r="EMN622" s="1831"/>
      <c r="EMO622" s="1831"/>
      <c r="EMP622" s="1831"/>
      <c r="EMQ622" s="1831"/>
      <c r="EMR622" s="1831"/>
      <c r="EMS622" s="1831"/>
      <c r="EMT622" s="1831"/>
      <c r="EMU622" s="1831"/>
      <c r="EMV622" s="1831"/>
      <c r="EMW622" s="1831"/>
      <c r="EMX622" s="1831"/>
      <c r="EMY622" s="1831"/>
      <c r="EMZ622" s="1831"/>
      <c r="ENA622" s="1831"/>
      <c r="ENB622" s="1831"/>
      <c r="ENC622" s="1831"/>
      <c r="END622" s="1831"/>
      <c r="ENE622" s="1831"/>
      <c r="ENF622" s="1831"/>
      <c r="ENG622" s="1831"/>
      <c r="ENH622" s="1831"/>
      <c r="ENI622" s="1831"/>
      <c r="ENJ622" s="1831"/>
      <c r="ENK622" s="1831"/>
      <c r="ENL622" s="1831"/>
      <c r="ENM622" s="1831"/>
      <c r="ENN622" s="1831"/>
      <c r="ENO622" s="1831"/>
      <c r="ENP622" s="1831"/>
      <c r="ENQ622" s="1831"/>
      <c r="ENR622" s="1831"/>
      <c r="ENS622" s="1831"/>
      <c r="ENT622" s="1831"/>
      <c r="ENU622" s="1831"/>
      <c r="ENV622" s="1831"/>
      <c r="ENW622" s="1831"/>
      <c r="ENX622" s="1831"/>
      <c r="ENY622" s="1831"/>
      <c r="ENZ622" s="1831"/>
      <c r="EOA622" s="1831"/>
      <c r="EOB622" s="1831"/>
      <c r="EOC622" s="1831"/>
      <c r="EOD622" s="1831"/>
      <c r="EOE622" s="1831"/>
      <c r="EOF622" s="1831"/>
      <c r="EOG622" s="1831"/>
      <c r="EOH622" s="1831"/>
      <c r="EOI622" s="1831"/>
      <c r="EOJ622" s="1831"/>
      <c r="EOK622" s="1831"/>
      <c r="EOL622" s="1831"/>
      <c r="EOM622" s="1831"/>
      <c r="EON622" s="1831"/>
      <c r="EOO622" s="1831"/>
      <c r="EOP622" s="1831"/>
      <c r="EOQ622" s="1831"/>
      <c r="EOR622" s="1831"/>
      <c r="EOS622" s="1831"/>
      <c r="EOT622" s="1831"/>
      <c r="EOU622" s="1831"/>
      <c r="EOV622" s="1831"/>
      <c r="EOW622" s="1831"/>
      <c r="EOX622" s="1831"/>
      <c r="EOY622" s="1831"/>
      <c r="EOZ622" s="1831"/>
      <c r="EPA622" s="1831"/>
      <c r="EPB622" s="1831"/>
      <c r="EPC622" s="1831"/>
      <c r="EPD622" s="1831"/>
      <c r="EPE622" s="1831"/>
      <c r="EPF622" s="1831"/>
      <c r="EPG622" s="1831"/>
      <c r="EPH622" s="1831"/>
      <c r="EPI622" s="1831"/>
      <c r="EPJ622" s="1831"/>
      <c r="EPK622" s="1831"/>
      <c r="EPL622" s="1831"/>
      <c r="EPM622" s="1831"/>
      <c r="EPN622" s="1831"/>
      <c r="EPO622" s="1831"/>
      <c r="EPP622" s="1831"/>
      <c r="EPQ622" s="1831"/>
      <c r="EPR622" s="1831"/>
      <c r="EPS622" s="1831"/>
      <c r="EPT622" s="1831"/>
      <c r="EPU622" s="1831"/>
      <c r="EPV622" s="1831"/>
      <c r="EPW622" s="1831"/>
      <c r="EPX622" s="1831"/>
      <c r="EPY622" s="1831"/>
      <c r="EPZ622" s="1831"/>
      <c r="EQA622" s="1831"/>
      <c r="EQB622" s="1831"/>
      <c r="EQC622" s="1831"/>
      <c r="EQD622" s="1831"/>
      <c r="EQE622" s="1831"/>
      <c r="EQF622" s="1831"/>
      <c r="EQG622" s="1831"/>
      <c r="EQH622" s="1831"/>
      <c r="EQI622" s="1831"/>
      <c r="EQJ622" s="1831"/>
      <c r="EQK622" s="1831"/>
      <c r="EQL622" s="1831"/>
      <c r="EQM622" s="1831"/>
      <c r="EQN622" s="1831"/>
      <c r="EQO622" s="1831"/>
      <c r="EQP622" s="1831"/>
      <c r="EQQ622" s="1831"/>
      <c r="EQR622" s="1831"/>
      <c r="EQS622" s="1831"/>
      <c r="EQT622" s="1831"/>
      <c r="EQU622" s="1831"/>
      <c r="EQV622" s="1831"/>
      <c r="EQW622" s="1831"/>
      <c r="EQX622" s="1831"/>
      <c r="EQY622" s="1831"/>
      <c r="EQZ622" s="1831"/>
      <c r="ERA622" s="1831"/>
      <c r="ERB622" s="1831"/>
      <c r="ERC622" s="1831"/>
      <c r="ERD622" s="1831"/>
      <c r="ERE622" s="1831"/>
      <c r="ERF622" s="1831"/>
      <c r="ERG622" s="1831"/>
      <c r="ERH622" s="1831"/>
      <c r="ERI622" s="1831"/>
      <c r="ERJ622" s="1831"/>
      <c r="ERK622" s="1831"/>
      <c r="ERL622" s="1831"/>
      <c r="ERM622" s="1831"/>
      <c r="ERN622" s="1831"/>
      <c r="ERO622" s="1831"/>
      <c r="ERP622" s="1831"/>
      <c r="ERQ622" s="1831"/>
      <c r="ERR622" s="1831"/>
      <c r="ERS622" s="1831"/>
      <c r="ERT622" s="1831"/>
      <c r="ERU622" s="1831"/>
      <c r="ERV622" s="1831"/>
      <c r="ERW622" s="1831"/>
      <c r="ERX622" s="1831"/>
      <c r="ERY622" s="1831"/>
      <c r="ERZ622" s="1831"/>
      <c r="ESA622" s="1831"/>
      <c r="ESB622" s="1831"/>
      <c r="ESC622" s="1831"/>
      <c r="ESD622" s="1831"/>
      <c r="ESE622" s="1831"/>
      <c r="ESF622" s="1831"/>
      <c r="ESG622" s="1831"/>
      <c r="ESH622" s="1831"/>
      <c r="ESI622" s="1831"/>
      <c r="ESJ622" s="1831"/>
      <c r="ESK622" s="1831"/>
      <c r="ESL622" s="1831"/>
      <c r="ESM622" s="1831"/>
      <c r="ESN622" s="1831"/>
      <c r="ESO622" s="1831"/>
      <c r="ESP622" s="1831"/>
      <c r="ESQ622" s="1831"/>
      <c r="ESR622" s="1831"/>
      <c r="ESS622" s="1831"/>
      <c r="EST622" s="1831"/>
      <c r="ESU622" s="1831"/>
      <c r="ESV622" s="1831"/>
      <c r="ESW622" s="1831"/>
      <c r="ESX622" s="1831"/>
      <c r="ESY622" s="1831"/>
      <c r="ESZ622" s="1831"/>
      <c r="ETA622" s="1831"/>
      <c r="ETB622" s="1831"/>
      <c r="ETC622" s="1831"/>
      <c r="ETD622" s="1831"/>
      <c r="ETE622" s="1831"/>
      <c r="ETF622" s="1831"/>
      <c r="ETG622" s="1831"/>
      <c r="ETH622" s="1831"/>
      <c r="ETI622" s="1831"/>
      <c r="ETJ622" s="1831"/>
      <c r="ETK622" s="1831"/>
      <c r="ETL622" s="1831"/>
      <c r="ETM622" s="1831"/>
      <c r="ETN622" s="1831"/>
      <c r="ETO622" s="1831"/>
      <c r="ETP622" s="1831"/>
      <c r="ETQ622" s="1831"/>
      <c r="ETR622" s="1831"/>
      <c r="ETS622" s="1831"/>
      <c r="ETT622" s="1831"/>
      <c r="ETU622" s="1831"/>
      <c r="ETV622" s="1831"/>
      <c r="ETW622" s="1831"/>
      <c r="ETX622" s="1831"/>
      <c r="ETY622" s="1831"/>
      <c r="ETZ622" s="1831"/>
      <c r="EUA622" s="1831"/>
      <c r="EUB622" s="1831"/>
      <c r="EUC622" s="1831"/>
      <c r="EUD622" s="1831"/>
      <c r="EUE622" s="1831"/>
      <c r="EUF622" s="1831"/>
      <c r="EUG622" s="1831"/>
      <c r="EUH622" s="1831"/>
      <c r="EUI622" s="1831"/>
      <c r="EUJ622" s="1831"/>
      <c r="EUK622" s="1831"/>
      <c r="EUL622" s="1831"/>
      <c r="EUM622" s="1831"/>
      <c r="EUN622" s="1831"/>
      <c r="EUO622" s="1831"/>
      <c r="EUP622" s="1831"/>
      <c r="EUQ622" s="1831"/>
      <c r="EUR622" s="1831"/>
      <c r="EUS622" s="1831"/>
      <c r="EUT622" s="1831"/>
      <c r="EUU622" s="1831"/>
      <c r="EUV622" s="1831"/>
      <c r="EUW622" s="1831"/>
      <c r="EUX622" s="1831"/>
      <c r="EUY622" s="1831"/>
      <c r="EUZ622" s="1831"/>
      <c r="EVA622" s="1831"/>
      <c r="EVB622" s="1831"/>
      <c r="EVC622" s="1831"/>
      <c r="EVD622" s="1831"/>
      <c r="EVE622" s="1831"/>
      <c r="EVF622" s="1831"/>
      <c r="EVG622" s="1831"/>
      <c r="EVH622" s="1831"/>
      <c r="EVI622" s="1831"/>
      <c r="EVJ622" s="1831"/>
      <c r="EVK622" s="1831"/>
      <c r="EVL622" s="1831"/>
      <c r="EVM622" s="1831"/>
      <c r="EVN622" s="1831"/>
      <c r="EVO622" s="1831"/>
      <c r="EVP622" s="1831"/>
      <c r="EVQ622" s="1831"/>
      <c r="EVR622" s="1831"/>
      <c r="EVS622" s="1831"/>
      <c r="EVT622" s="1831"/>
      <c r="EVU622" s="1831"/>
      <c r="EVV622" s="1831"/>
      <c r="EVW622" s="1831"/>
      <c r="EVX622" s="1831"/>
      <c r="EVY622" s="1831"/>
      <c r="EVZ622" s="1831"/>
      <c r="EWA622" s="1831"/>
      <c r="EWB622" s="1831"/>
      <c r="EWC622" s="1831"/>
      <c r="EWD622" s="1831"/>
      <c r="EWE622" s="1831"/>
      <c r="EWF622" s="1831"/>
      <c r="EWG622" s="1831"/>
      <c r="EWH622" s="1831"/>
      <c r="EWI622" s="1831"/>
      <c r="EWJ622" s="1831"/>
      <c r="EWK622" s="1831"/>
      <c r="EWL622" s="1831"/>
      <c r="EWM622" s="1831"/>
      <c r="EWN622" s="1831"/>
      <c r="EWO622" s="1831"/>
      <c r="EWP622" s="1831"/>
      <c r="EWQ622" s="1831"/>
      <c r="EWR622" s="1831"/>
      <c r="EWS622" s="1831"/>
      <c r="EWT622" s="1831"/>
      <c r="EWU622" s="1831"/>
      <c r="EWV622" s="1831"/>
      <c r="EWW622" s="1831"/>
      <c r="EWX622" s="1831"/>
      <c r="EWY622" s="1831"/>
      <c r="EWZ622" s="1831"/>
      <c r="EXA622" s="1831"/>
      <c r="EXB622" s="1831"/>
      <c r="EXC622" s="1831"/>
      <c r="EXD622" s="1831"/>
      <c r="EXE622" s="1831"/>
      <c r="EXF622" s="1831"/>
      <c r="EXG622" s="1831"/>
      <c r="EXH622" s="1831"/>
      <c r="EXI622" s="1831"/>
      <c r="EXJ622" s="1831"/>
      <c r="EXK622" s="1831"/>
      <c r="EXL622" s="1831"/>
      <c r="EXM622" s="1831"/>
      <c r="EXN622" s="1831"/>
      <c r="EXO622" s="1831"/>
      <c r="EXP622" s="1831"/>
      <c r="EXQ622" s="1831"/>
      <c r="EXR622" s="1831"/>
      <c r="EXS622" s="1831"/>
      <c r="EXT622" s="1831"/>
      <c r="EXU622" s="1831"/>
      <c r="EXV622" s="1831"/>
      <c r="EXW622" s="1831"/>
      <c r="EXX622" s="1831"/>
      <c r="EXY622" s="1831"/>
      <c r="EXZ622" s="1831"/>
      <c r="EYA622" s="1831"/>
      <c r="EYB622" s="1831"/>
      <c r="EYC622" s="1831"/>
      <c r="EYD622" s="1831"/>
      <c r="EYE622" s="1831"/>
      <c r="EYF622" s="1831"/>
      <c r="EYG622" s="1831"/>
      <c r="EYH622" s="1831"/>
      <c r="EYI622" s="1831"/>
      <c r="EYJ622" s="1831"/>
      <c r="EYK622" s="1831"/>
      <c r="EYL622" s="1831"/>
      <c r="EYM622" s="1831"/>
      <c r="EYN622" s="1831"/>
      <c r="EYO622" s="1831"/>
      <c r="EYP622" s="1831"/>
      <c r="EYQ622" s="1831"/>
      <c r="EYR622" s="1831"/>
      <c r="EYS622" s="1831"/>
      <c r="EYT622" s="1831"/>
      <c r="EYU622" s="1831"/>
      <c r="EYV622" s="1831"/>
      <c r="EYW622" s="1831"/>
      <c r="EYX622" s="1831"/>
      <c r="EYY622" s="1831"/>
      <c r="EYZ622" s="1831"/>
      <c r="EZA622" s="1831"/>
      <c r="EZB622" s="1831"/>
      <c r="EZC622" s="1831"/>
      <c r="EZD622" s="1831"/>
      <c r="EZE622" s="1831"/>
      <c r="EZF622" s="1831"/>
      <c r="EZG622" s="1831"/>
      <c r="EZH622" s="1831"/>
      <c r="EZI622" s="1831"/>
      <c r="EZJ622" s="1831"/>
      <c r="EZK622" s="1831"/>
      <c r="EZL622" s="1831"/>
      <c r="EZM622" s="1831"/>
      <c r="EZN622" s="1831"/>
      <c r="EZO622" s="1831"/>
      <c r="EZP622" s="1831"/>
      <c r="EZQ622" s="1831"/>
      <c r="EZR622" s="1831"/>
      <c r="EZS622" s="1831"/>
      <c r="EZT622" s="1831"/>
      <c r="EZU622" s="1831"/>
      <c r="EZV622" s="1831"/>
      <c r="EZW622" s="1831"/>
      <c r="EZX622" s="1831"/>
      <c r="EZY622" s="1831"/>
      <c r="EZZ622" s="1831"/>
      <c r="FAA622" s="1831"/>
      <c r="FAB622" s="1831"/>
      <c r="FAC622" s="1831"/>
      <c r="FAD622" s="1831"/>
      <c r="FAE622" s="1831"/>
      <c r="FAF622" s="1831"/>
      <c r="FAG622" s="1831"/>
      <c r="FAH622" s="1831"/>
      <c r="FAI622" s="1831"/>
      <c r="FAJ622" s="1831"/>
      <c r="FAK622" s="1831"/>
      <c r="FAL622" s="1831"/>
      <c r="FAM622" s="1831"/>
      <c r="FAN622" s="1831"/>
      <c r="FAO622" s="1831"/>
      <c r="FAP622" s="1831"/>
      <c r="FAQ622" s="1831"/>
      <c r="FAR622" s="1831"/>
      <c r="FAS622" s="1831"/>
      <c r="FAT622" s="1831"/>
      <c r="FAU622" s="1831"/>
      <c r="FAV622" s="1831"/>
      <c r="FAW622" s="1831"/>
      <c r="FAX622" s="1831"/>
      <c r="FAY622" s="1831"/>
      <c r="FAZ622" s="1831"/>
      <c r="FBA622" s="1831"/>
      <c r="FBB622" s="1831"/>
      <c r="FBC622" s="1831"/>
      <c r="FBD622" s="1831"/>
      <c r="FBE622" s="1831"/>
      <c r="FBF622" s="1831"/>
      <c r="FBG622" s="1831"/>
      <c r="FBH622" s="1831"/>
      <c r="FBI622" s="1831"/>
      <c r="FBJ622" s="1831"/>
      <c r="FBK622" s="1831"/>
      <c r="FBL622" s="1831"/>
      <c r="FBM622" s="1831"/>
      <c r="FBN622" s="1831"/>
      <c r="FBO622" s="1831"/>
      <c r="FBP622" s="1831"/>
      <c r="FBQ622" s="1831"/>
      <c r="FBR622" s="1831"/>
      <c r="FBS622" s="1831"/>
      <c r="FBT622" s="1831"/>
      <c r="FBU622" s="1831"/>
      <c r="FBV622" s="1831"/>
      <c r="FBW622" s="1831"/>
      <c r="FBX622" s="1831"/>
      <c r="FBY622" s="1831"/>
      <c r="FBZ622" s="1831"/>
      <c r="FCA622" s="1831"/>
      <c r="FCB622" s="1831"/>
      <c r="FCC622" s="1831"/>
      <c r="FCD622" s="1831"/>
      <c r="FCE622" s="1831"/>
      <c r="FCF622" s="1831"/>
      <c r="FCG622" s="1831"/>
      <c r="FCH622" s="1831"/>
      <c r="FCI622" s="1831"/>
      <c r="FCJ622" s="1831"/>
      <c r="FCK622" s="1831"/>
      <c r="FCL622" s="1831"/>
      <c r="FCM622" s="1831"/>
      <c r="FCN622" s="1831"/>
      <c r="FCO622" s="1831"/>
      <c r="FCP622" s="1831"/>
      <c r="FCQ622" s="1831"/>
      <c r="FCR622" s="1831"/>
      <c r="FCS622" s="1831"/>
      <c r="FCT622" s="1831"/>
      <c r="FCU622" s="1831"/>
      <c r="FCV622" s="1831"/>
      <c r="FCW622" s="1831"/>
      <c r="FCX622" s="1831"/>
      <c r="FCY622" s="1831"/>
      <c r="FCZ622" s="1831"/>
      <c r="FDA622" s="1831"/>
      <c r="FDB622" s="1831"/>
      <c r="FDC622" s="1831"/>
      <c r="FDD622" s="1831"/>
      <c r="FDE622" s="1831"/>
      <c r="FDF622" s="1831"/>
      <c r="FDG622" s="1831"/>
      <c r="FDH622" s="1831"/>
      <c r="FDI622" s="1831"/>
      <c r="FDJ622" s="1831"/>
      <c r="FDK622" s="1831"/>
      <c r="FDL622" s="1831"/>
      <c r="FDM622" s="1831"/>
      <c r="FDN622" s="1831"/>
      <c r="FDO622" s="1831"/>
      <c r="FDP622" s="1831"/>
      <c r="FDQ622" s="1831"/>
      <c r="FDR622" s="1831"/>
      <c r="FDS622" s="1831"/>
      <c r="FDT622" s="1831"/>
      <c r="FDU622" s="1831"/>
      <c r="FDV622" s="1831"/>
      <c r="FDW622" s="1831"/>
      <c r="FDX622" s="1831"/>
      <c r="FDY622" s="1831"/>
      <c r="FDZ622" s="1831"/>
      <c r="FEA622" s="1831"/>
      <c r="FEB622" s="1831"/>
      <c r="FEC622" s="1831"/>
      <c r="FED622" s="1831"/>
      <c r="FEE622" s="1831"/>
      <c r="FEF622" s="1831"/>
      <c r="FEG622" s="1831"/>
      <c r="FEH622" s="1831"/>
      <c r="FEI622" s="1831"/>
      <c r="FEJ622" s="1831"/>
      <c r="FEK622" s="1831"/>
      <c r="FEL622" s="1831"/>
      <c r="FEM622" s="1831"/>
      <c r="FEN622" s="1831"/>
      <c r="FEO622" s="1831"/>
      <c r="FEP622" s="1831"/>
      <c r="FEQ622" s="1831"/>
      <c r="FER622" s="1831"/>
      <c r="FES622" s="1831"/>
      <c r="FET622" s="1831"/>
      <c r="FEU622" s="1831"/>
      <c r="FEV622" s="1831"/>
      <c r="FEW622" s="1831"/>
      <c r="FEX622" s="1831"/>
      <c r="FEY622" s="1831"/>
      <c r="FEZ622" s="1831"/>
      <c r="FFA622" s="1831"/>
      <c r="FFB622" s="1831"/>
      <c r="FFC622" s="1831"/>
      <c r="FFD622" s="1831"/>
      <c r="FFE622" s="1831"/>
      <c r="FFF622" s="1831"/>
      <c r="FFG622" s="1831"/>
      <c r="FFH622" s="1831"/>
      <c r="FFI622" s="1831"/>
      <c r="FFJ622" s="1831"/>
      <c r="FFK622" s="1831"/>
      <c r="FFL622" s="1831"/>
      <c r="FFM622" s="1831"/>
      <c r="FFN622" s="1831"/>
      <c r="FFO622" s="1831"/>
      <c r="FFP622" s="1831"/>
      <c r="FFQ622" s="1831"/>
      <c r="FFR622" s="1831"/>
      <c r="FFS622" s="1831"/>
      <c r="FFT622" s="1831"/>
      <c r="FFU622" s="1831"/>
      <c r="FFV622" s="1831"/>
      <c r="FFW622" s="1831"/>
      <c r="FFX622" s="1831"/>
      <c r="FFY622" s="1831"/>
      <c r="FFZ622" s="1831"/>
      <c r="FGA622" s="1831"/>
      <c r="FGB622" s="1831"/>
      <c r="FGC622" s="1831"/>
      <c r="FGD622" s="1831"/>
      <c r="FGE622" s="1831"/>
      <c r="FGF622" s="1831"/>
      <c r="FGG622" s="1831"/>
      <c r="FGH622" s="1831"/>
      <c r="FGI622" s="1831"/>
      <c r="FGJ622" s="1831"/>
      <c r="FGK622" s="1831"/>
      <c r="FGL622" s="1831"/>
      <c r="FGM622" s="1831"/>
      <c r="FGN622" s="1831"/>
      <c r="FGO622" s="1831"/>
      <c r="FGP622" s="1831"/>
      <c r="FGQ622" s="1831"/>
      <c r="FGR622" s="1831"/>
      <c r="FGS622" s="1831"/>
      <c r="FGT622" s="1831"/>
      <c r="FGU622" s="1831"/>
      <c r="FGV622" s="1831"/>
      <c r="FGW622" s="1831"/>
      <c r="FGX622" s="1831"/>
      <c r="FGY622" s="1831"/>
      <c r="FGZ622" s="1831"/>
      <c r="FHA622" s="1831"/>
      <c r="FHB622" s="1831"/>
      <c r="FHC622" s="1831"/>
      <c r="FHD622" s="1831"/>
      <c r="FHE622" s="1831"/>
      <c r="FHF622" s="1831"/>
      <c r="FHG622" s="1831"/>
      <c r="FHH622" s="1831"/>
      <c r="FHI622" s="1831"/>
      <c r="FHJ622" s="1831"/>
      <c r="FHK622" s="1831"/>
      <c r="FHL622" s="1831"/>
      <c r="FHM622" s="1831"/>
      <c r="FHN622" s="1831"/>
      <c r="FHO622" s="1831"/>
      <c r="FHP622" s="1831"/>
      <c r="FHQ622" s="1831"/>
      <c r="FHR622" s="1831"/>
      <c r="FHS622" s="1831"/>
      <c r="FHT622" s="1831"/>
      <c r="FHU622" s="1831"/>
      <c r="FHV622" s="1831"/>
      <c r="FHW622" s="1831"/>
      <c r="FHX622" s="1831"/>
      <c r="FHY622" s="1831"/>
      <c r="FHZ622" s="1831"/>
      <c r="FIA622" s="1831"/>
      <c r="FIB622" s="1831"/>
      <c r="FIC622" s="1831"/>
      <c r="FID622" s="1831"/>
      <c r="FIE622" s="1831"/>
      <c r="FIF622" s="1831"/>
      <c r="FIG622" s="1831"/>
      <c r="FIH622" s="1831"/>
      <c r="FII622" s="1831"/>
      <c r="FIJ622" s="1831"/>
      <c r="FIK622" s="1831"/>
      <c r="FIL622" s="1831"/>
      <c r="FIM622" s="1831"/>
      <c r="FIN622" s="1831"/>
      <c r="FIO622" s="1831"/>
      <c r="FIP622" s="1831"/>
      <c r="FIQ622" s="1831"/>
      <c r="FIR622" s="1831"/>
      <c r="FIS622" s="1831"/>
      <c r="FIT622" s="1831"/>
      <c r="FIU622" s="1831"/>
      <c r="FIV622" s="1831"/>
      <c r="FIW622" s="1831"/>
      <c r="FIX622" s="1831"/>
      <c r="FIY622" s="1831"/>
      <c r="FIZ622" s="1831"/>
      <c r="FJA622" s="1831"/>
      <c r="FJB622" s="1831"/>
      <c r="FJC622" s="1831"/>
      <c r="FJD622" s="1831"/>
      <c r="FJE622" s="1831"/>
      <c r="FJF622" s="1831"/>
      <c r="FJG622" s="1831"/>
      <c r="FJH622" s="1831"/>
      <c r="FJI622" s="1831"/>
      <c r="FJJ622" s="1831"/>
      <c r="FJK622" s="1831"/>
      <c r="FJL622" s="1831"/>
      <c r="FJM622" s="1831"/>
      <c r="FJN622" s="1831"/>
      <c r="FJO622" s="1831"/>
      <c r="FJP622" s="1831"/>
      <c r="FJQ622" s="1831"/>
      <c r="FJR622" s="1831"/>
      <c r="FJS622" s="1831"/>
      <c r="FJT622" s="1831"/>
      <c r="FJU622" s="1831"/>
      <c r="FJV622" s="1831"/>
      <c r="FJW622" s="1831"/>
      <c r="FJX622" s="1831"/>
      <c r="FJY622" s="1831"/>
      <c r="FJZ622" s="1831"/>
      <c r="FKA622" s="1831"/>
      <c r="FKB622" s="1831"/>
      <c r="FKC622" s="1831"/>
      <c r="FKD622" s="1831"/>
      <c r="FKE622" s="1831"/>
      <c r="FKF622" s="1831"/>
      <c r="FKG622" s="1831"/>
      <c r="FKH622" s="1831"/>
      <c r="FKI622" s="1831"/>
      <c r="FKJ622" s="1831"/>
      <c r="FKK622" s="1831"/>
      <c r="FKL622" s="1831"/>
      <c r="FKM622" s="1831"/>
      <c r="FKN622" s="1831"/>
      <c r="FKO622" s="1831"/>
      <c r="FKP622" s="1831"/>
      <c r="FKQ622" s="1831"/>
      <c r="FKR622" s="1831"/>
      <c r="FKS622" s="1831"/>
      <c r="FKT622" s="1831"/>
      <c r="FKU622" s="1831"/>
      <c r="FKV622" s="1831"/>
      <c r="FKW622" s="1831"/>
      <c r="FKX622" s="1831"/>
      <c r="FKY622" s="1831"/>
      <c r="FKZ622" s="1831"/>
      <c r="FLA622" s="1831"/>
      <c r="FLB622" s="1831"/>
      <c r="FLC622" s="1831"/>
      <c r="FLD622" s="1831"/>
      <c r="FLE622" s="1831"/>
      <c r="FLF622" s="1831"/>
      <c r="FLG622" s="1831"/>
      <c r="FLH622" s="1831"/>
      <c r="FLI622" s="1831"/>
      <c r="FLJ622" s="1831"/>
      <c r="FLK622" s="1831"/>
      <c r="FLL622" s="1831"/>
      <c r="FLM622" s="1831"/>
      <c r="FLN622" s="1831"/>
      <c r="FLO622" s="1831"/>
      <c r="FLP622" s="1831"/>
      <c r="FLQ622" s="1831"/>
      <c r="FLR622" s="1831"/>
      <c r="FLS622" s="1831"/>
      <c r="FLT622" s="1831"/>
      <c r="FLU622" s="1831"/>
      <c r="FLV622" s="1831"/>
      <c r="FLW622" s="1831"/>
      <c r="FLX622" s="1831"/>
      <c r="FLY622" s="1831"/>
      <c r="FLZ622" s="1831"/>
      <c r="FMA622" s="1831"/>
      <c r="FMB622" s="1831"/>
      <c r="FMC622" s="1831"/>
      <c r="FMD622" s="1831"/>
      <c r="FME622" s="1831"/>
      <c r="FMF622" s="1831"/>
      <c r="FMG622" s="1831"/>
      <c r="FMH622" s="1831"/>
      <c r="FMI622" s="1831"/>
      <c r="FMJ622" s="1831"/>
      <c r="FMK622" s="1831"/>
      <c r="FML622" s="1831"/>
      <c r="FMM622" s="1831"/>
      <c r="FMN622" s="1831"/>
      <c r="FMO622" s="1831"/>
      <c r="FMP622" s="1831"/>
      <c r="FMQ622" s="1831"/>
      <c r="FMR622" s="1831"/>
      <c r="FMS622" s="1831"/>
      <c r="FMT622" s="1831"/>
      <c r="FMU622" s="1831"/>
      <c r="FMV622" s="1831"/>
      <c r="FMW622" s="1831"/>
      <c r="FMX622" s="1831"/>
      <c r="FMY622" s="1831"/>
      <c r="FMZ622" s="1831"/>
      <c r="FNA622" s="1831"/>
      <c r="FNB622" s="1831"/>
      <c r="FNC622" s="1831"/>
      <c r="FND622" s="1831"/>
      <c r="FNE622" s="1831"/>
      <c r="FNF622" s="1831"/>
      <c r="FNG622" s="1831"/>
      <c r="FNH622" s="1831"/>
      <c r="FNI622" s="1831"/>
      <c r="FNJ622" s="1831"/>
      <c r="FNK622" s="1831"/>
      <c r="FNL622" s="1831"/>
      <c r="FNM622" s="1831"/>
      <c r="FNN622" s="1831"/>
      <c r="FNO622" s="1831"/>
      <c r="FNP622" s="1831"/>
      <c r="FNQ622" s="1831"/>
      <c r="FNR622" s="1831"/>
      <c r="FNS622" s="1831"/>
      <c r="FNT622" s="1831"/>
      <c r="FNU622" s="1831"/>
      <c r="FNV622" s="1831"/>
      <c r="FNW622" s="1831"/>
      <c r="FNX622" s="1831"/>
      <c r="FNY622" s="1831"/>
      <c r="FNZ622" s="1831"/>
      <c r="FOA622" s="1831"/>
      <c r="FOB622" s="1831"/>
      <c r="FOC622" s="1831"/>
      <c r="FOD622" s="1831"/>
      <c r="FOE622" s="1831"/>
      <c r="FOF622" s="1831"/>
      <c r="FOG622" s="1831"/>
      <c r="FOH622" s="1831"/>
      <c r="FOI622" s="1831"/>
      <c r="FOJ622" s="1831"/>
      <c r="FOK622" s="1831"/>
      <c r="FOL622" s="1831"/>
      <c r="FOM622" s="1831"/>
      <c r="FON622" s="1831"/>
      <c r="FOO622" s="1831"/>
      <c r="FOP622" s="1831"/>
      <c r="FOQ622" s="1831"/>
      <c r="FOR622" s="1831"/>
      <c r="FOS622" s="1831"/>
      <c r="FOT622" s="1831"/>
      <c r="FOU622" s="1831"/>
      <c r="FOV622" s="1831"/>
      <c r="FOW622" s="1831"/>
      <c r="FOX622" s="1831"/>
      <c r="FOY622" s="1831"/>
      <c r="FOZ622" s="1831"/>
      <c r="FPA622" s="1831"/>
      <c r="FPB622" s="1831"/>
      <c r="FPC622" s="1831"/>
      <c r="FPD622" s="1831"/>
      <c r="FPE622" s="1831"/>
      <c r="FPF622" s="1831"/>
      <c r="FPG622" s="1831"/>
      <c r="FPH622" s="1831"/>
      <c r="FPI622" s="1831"/>
      <c r="FPJ622" s="1831"/>
      <c r="FPK622" s="1831"/>
      <c r="FPL622" s="1831"/>
      <c r="FPM622" s="1831"/>
      <c r="FPN622" s="1831"/>
      <c r="FPO622" s="1831"/>
      <c r="FPP622" s="1831"/>
      <c r="FPQ622" s="1831"/>
      <c r="FPR622" s="1831"/>
      <c r="FPS622" s="1831"/>
      <c r="FPT622" s="1831"/>
      <c r="FPU622" s="1831"/>
      <c r="FPV622" s="1831"/>
      <c r="FPW622" s="1831"/>
      <c r="FPX622" s="1831"/>
      <c r="FPY622" s="1831"/>
      <c r="FPZ622" s="1831"/>
      <c r="FQA622" s="1831"/>
      <c r="FQB622" s="1831"/>
      <c r="FQC622" s="1831"/>
      <c r="FQD622" s="1831"/>
      <c r="FQE622" s="1831"/>
      <c r="FQF622" s="1831"/>
      <c r="FQG622" s="1831"/>
      <c r="FQH622" s="1831"/>
      <c r="FQI622" s="1831"/>
      <c r="FQJ622" s="1831"/>
      <c r="FQK622" s="1831"/>
      <c r="FQL622" s="1831"/>
      <c r="FQM622" s="1831"/>
      <c r="FQN622" s="1831"/>
      <c r="FQO622" s="1831"/>
      <c r="FQP622" s="1831"/>
      <c r="FQQ622" s="1831"/>
      <c r="FQR622" s="1831"/>
      <c r="FQS622" s="1831"/>
      <c r="FQT622" s="1831"/>
      <c r="FQU622" s="1831"/>
      <c r="FQV622" s="1831"/>
      <c r="FQW622" s="1831"/>
      <c r="FQX622" s="1831"/>
      <c r="FQY622" s="1831"/>
      <c r="FQZ622" s="1831"/>
      <c r="FRA622" s="1831"/>
      <c r="FRB622" s="1831"/>
      <c r="FRC622" s="1831"/>
      <c r="FRD622" s="1831"/>
      <c r="FRE622" s="1831"/>
      <c r="FRF622" s="1831"/>
      <c r="FRG622" s="1831"/>
      <c r="FRH622" s="1831"/>
      <c r="FRI622" s="1831"/>
      <c r="FRJ622" s="1831"/>
      <c r="FRK622" s="1831"/>
      <c r="FRL622" s="1831"/>
      <c r="FRM622" s="1831"/>
      <c r="FRN622" s="1831"/>
      <c r="FRO622" s="1831"/>
      <c r="FRP622" s="1831"/>
      <c r="FRQ622" s="1831"/>
      <c r="FRR622" s="1831"/>
      <c r="FRS622" s="1831"/>
      <c r="FRT622" s="1831"/>
      <c r="FRU622" s="1831"/>
      <c r="FRV622" s="1831"/>
      <c r="FRW622" s="1831"/>
      <c r="FRX622" s="1831"/>
      <c r="FRY622" s="1831"/>
      <c r="FRZ622" s="1831"/>
      <c r="FSA622" s="1831"/>
      <c r="FSB622" s="1831"/>
      <c r="FSC622" s="1831"/>
      <c r="FSD622" s="1831"/>
      <c r="FSE622" s="1831"/>
      <c r="FSF622" s="1831"/>
      <c r="FSG622" s="1831"/>
      <c r="FSH622" s="1831"/>
      <c r="FSI622" s="1831"/>
      <c r="FSJ622" s="1831"/>
      <c r="FSK622" s="1831"/>
      <c r="FSL622" s="1831"/>
      <c r="FSM622" s="1831"/>
      <c r="FSN622" s="1831"/>
      <c r="FSO622" s="1831"/>
      <c r="FSP622" s="1831"/>
      <c r="FSQ622" s="1831"/>
      <c r="FSR622" s="1831"/>
      <c r="FSS622" s="1831"/>
      <c r="FST622" s="1831"/>
      <c r="FSU622" s="1831"/>
      <c r="FSV622" s="1831"/>
      <c r="FSW622" s="1831"/>
      <c r="FSX622" s="1831"/>
      <c r="FSY622" s="1831"/>
      <c r="FSZ622" s="1831"/>
      <c r="FTA622" s="1831"/>
      <c r="FTB622" s="1831"/>
      <c r="FTC622" s="1831"/>
      <c r="FTD622" s="1831"/>
      <c r="FTE622" s="1831"/>
      <c r="FTF622" s="1831"/>
      <c r="FTG622" s="1831"/>
      <c r="FTH622" s="1831"/>
      <c r="FTI622" s="1831"/>
      <c r="FTJ622" s="1831"/>
      <c r="FTK622" s="1831"/>
      <c r="FTL622" s="1831"/>
      <c r="FTM622" s="1831"/>
      <c r="FTN622" s="1831"/>
      <c r="FTO622" s="1831"/>
      <c r="FTP622" s="1831"/>
      <c r="FTQ622" s="1831"/>
      <c r="FTR622" s="1831"/>
      <c r="FTS622" s="1831"/>
      <c r="FTT622" s="1831"/>
      <c r="FTU622" s="1831"/>
      <c r="FTV622" s="1831"/>
      <c r="FTW622" s="1831"/>
      <c r="FTX622" s="1831"/>
      <c r="FTY622" s="1831"/>
      <c r="FTZ622" s="1831"/>
      <c r="FUA622" s="1831"/>
      <c r="FUB622" s="1831"/>
      <c r="FUC622" s="1831"/>
      <c r="FUD622" s="1831"/>
      <c r="FUE622" s="1831"/>
      <c r="FUF622" s="1831"/>
      <c r="FUG622" s="1831"/>
      <c r="FUH622" s="1831"/>
      <c r="FUI622" s="1831"/>
      <c r="FUJ622" s="1831"/>
      <c r="FUK622" s="1831"/>
      <c r="FUL622" s="1831"/>
      <c r="FUM622" s="1831"/>
      <c r="FUN622" s="1831"/>
      <c r="FUO622" s="1831"/>
      <c r="FUP622" s="1831"/>
      <c r="FUQ622" s="1831"/>
      <c r="FUR622" s="1831"/>
      <c r="FUS622" s="1831"/>
      <c r="FUT622" s="1831"/>
      <c r="FUU622" s="1831"/>
      <c r="FUV622" s="1831"/>
      <c r="FUW622" s="1831"/>
      <c r="FUX622" s="1831"/>
      <c r="FUY622" s="1831"/>
      <c r="FUZ622" s="1831"/>
      <c r="FVA622" s="1831"/>
      <c r="FVB622" s="1831"/>
      <c r="FVC622" s="1831"/>
      <c r="FVD622" s="1831"/>
      <c r="FVE622" s="1831"/>
      <c r="FVF622" s="1831"/>
      <c r="FVG622" s="1831"/>
      <c r="FVH622" s="1831"/>
      <c r="FVI622" s="1831"/>
      <c r="FVJ622" s="1831"/>
      <c r="FVK622" s="1831"/>
      <c r="FVL622" s="1831"/>
      <c r="FVM622" s="1831"/>
      <c r="FVN622" s="1831"/>
      <c r="FVO622" s="1831"/>
      <c r="FVP622" s="1831"/>
      <c r="FVQ622" s="1831"/>
      <c r="FVR622" s="1831"/>
      <c r="FVS622" s="1831"/>
      <c r="FVT622" s="1831"/>
      <c r="FVU622" s="1831"/>
      <c r="FVV622" s="1831"/>
      <c r="FVW622" s="1831"/>
      <c r="FVX622" s="1831"/>
      <c r="FVY622" s="1831"/>
      <c r="FVZ622" s="1831"/>
      <c r="FWA622" s="1831"/>
      <c r="FWB622" s="1831"/>
      <c r="FWC622" s="1831"/>
      <c r="FWD622" s="1831"/>
      <c r="FWE622" s="1831"/>
      <c r="FWF622" s="1831"/>
      <c r="FWG622" s="1831"/>
      <c r="FWH622" s="1831"/>
      <c r="FWI622" s="1831"/>
      <c r="FWJ622" s="1831"/>
      <c r="FWK622" s="1831"/>
      <c r="FWL622" s="1831"/>
      <c r="FWM622" s="1831"/>
      <c r="FWN622" s="1831"/>
      <c r="FWO622" s="1831"/>
      <c r="FWP622" s="1831"/>
      <c r="FWQ622" s="1831"/>
      <c r="FWR622" s="1831"/>
      <c r="FWS622" s="1831"/>
      <c r="FWT622" s="1831"/>
      <c r="FWU622" s="1831"/>
      <c r="FWV622" s="1831"/>
      <c r="FWW622" s="1831"/>
      <c r="FWX622" s="1831"/>
      <c r="FWY622" s="1831"/>
      <c r="FWZ622" s="1831"/>
      <c r="FXA622" s="1831"/>
      <c r="FXB622" s="1831"/>
      <c r="FXC622" s="1831"/>
      <c r="FXD622" s="1831"/>
      <c r="FXE622" s="1831"/>
      <c r="FXF622" s="1831"/>
      <c r="FXG622" s="1831"/>
      <c r="FXH622" s="1831"/>
      <c r="FXI622" s="1831"/>
      <c r="FXJ622" s="1831"/>
      <c r="FXK622" s="1831"/>
      <c r="FXL622" s="1831"/>
      <c r="FXM622" s="1831"/>
      <c r="FXN622" s="1831"/>
      <c r="FXO622" s="1831"/>
      <c r="FXP622" s="1831"/>
      <c r="FXQ622" s="1831"/>
      <c r="FXR622" s="1831"/>
      <c r="FXS622" s="1831"/>
      <c r="FXT622" s="1831"/>
      <c r="FXU622" s="1831"/>
      <c r="FXV622" s="1831"/>
      <c r="FXW622" s="1831"/>
      <c r="FXX622" s="1831"/>
      <c r="FXY622" s="1831"/>
      <c r="FXZ622" s="1831"/>
      <c r="FYA622" s="1831"/>
      <c r="FYB622" s="1831"/>
      <c r="FYC622" s="1831"/>
      <c r="FYD622" s="1831"/>
      <c r="FYE622" s="1831"/>
      <c r="FYF622" s="1831"/>
      <c r="FYG622" s="1831"/>
      <c r="FYH622" s="1831"/>
      <c r="FYI622" s="1831"/>
      <c r="FYJ622" s="1831"/>
      <c r="FYK622" s="1831"/>
      <c r="FYL622" s="1831"/>
      <c r="FYM622" s="1831"/>
      <c r="FYN622" s="1831"/>
      <c r="FYO622" s="1831"/>
      <c r="FYP622" s="1831"/>
      <c r="FYQ622" s="1831"/>
      <c r="FYR622" s="1831"/>
      <c r="FYS622" s="1831"/>
      <c r="FYT622" s="1831"/>
      <c r="FYU622" s="1831"/>
      <c r="FYV622" s="1831"/>
      <c r="FYW622" s="1831"/>
      <c r="FYX622" s="1831"/>
      <c r="FYY622" s="1831"/>
      <c r="FYZ622" s="1831"/>
      <c r="FZA622" s="1831"/>
      <c r="FZB622" s="1831"/>
      <c r="FZC622" s="1831"/>
      <c r="FZD622" s="1831"/>
      <c r="FZE622" s="1831"/>
      <c r="FZF622" s="1831"/>
      <c r="FZG622" s="1831"/>
      <c r="FZH622" s="1831"/>
      <c r="FZI622" s="1831"/>
      <c r="FZJ622" s="1831"/>
      <c r="FZK622" s="1831"/>
      <c r="FZL622" s="1831"/>
      <c r="FZM622" s="1831"/>
      <c r="FZN622" s="1831"/>
      <c r="FZO622" s="1831"/>
      <c r="FZP622" s="1831"/>
      <c r="FZQ622" s="1831"/>
      <c r="FZR622" s="1831"/>
      <c r="FZS622" s="1831"/>
      <c r="FZT622" s="1831"/>
      <c r="FZU622" s="1831"/>
      <c r="FZV622" s="1831"/>
      <c r="FZW622" s="1831"/>
      <c r="FZX622" s="1831"/>
      <c r="FZY622" s="1831"/>
      <c r="FZZ622" s="1831"/>
      <c r="GAA622" s="1831"/>
      <c r="GAB622" s="1831"/>
      <c r="GAC622" s="1831"/>
      <c r="GAD622" s="1831"/>
      <c r="GAE622" s="1831"/>
      <c r="GAF622" s="1831"/>
      <c r="GAG622" s="1831"/>
      <c r="GAH622" s="1831"/>
      <c r="GAI622" s="1831"/>
      <c r="GAJ622" s="1831"/>
      <c r="GAK622" s="1831"/>
      <c r="GAL622" s="1831"/>
      <c r="GAM622" s="1831"/>
      <c r="GAN622" s="1831"/>
      <c r="GAO622" s="1831"/>
      <c r="GAP622" s="1831"/>
      <c r="GAQ622" s="1831"/>
      <c r="GAR622" s="1831"/>
      <c r="GAS622" s="1831"/>
      <c r="GAT622" s="1831"/>
      <c r="GAU622" s="1831"/>
      <c r="GAV622" s="1831"/>
      <c r="GAW622" s="1831"/>
      <c r="GAX622" s="1831"/>
      <c r="GAY622" s="1831"/>
      <c r="GAZ622" s="1831"/>
      <c r="GBA622" s="1831"/>
      <c r="GBB622" s="1831"/>
      <c r="GBC622" s="1831"/>
      <c r="GBD622" s="1831"/>
      <c r="GBE622" s="1831"/>
      <c r="GBF622" s="1831"/>
      <c r="GBG622" s="1831"/>
      <c r="GBH622" s="1831"/>
      <c r="GBI622" s="1831"/>
      <c r="GBJ622" s="1831"/>
      <c r="GBK622" s="1831"/>
      <c r="GBL622" s="1831"/>
      <c r="GBM622" s="1831"/>
      <c r="GBN622" s="1831"/>
      <c r="GBO622" s="1831"/>
      <c r="GBP622" s="1831"/>
      <c r="GBQ622" s="1831"/>
      <c r="GBR622" s="1831"/>
      <c r="GBS622" s="1831"/>
      <c r="GBT622" s="1831"/>
      <c r="GBU622" s="1831"/>
      <c r="GBV622" s="1831"/>
      <c r="GBW622" s="1831"/>
      <c r="GBX622" s="1831"/>
      <c r="GBY622" s="1831"/>
      <c r="GBZ622" s="1831"/>
      <c r="GCA622" s="1831"/>
      <c r="GCB622" s="1831"/>
      <c r="GCC622" s="1831"/>
      <c r="GCD622" s="1831"/>
      <c r="GCE622" s="1831"/>
      <c r="GCF622" s="1831"/>
      <c r="GCG622" s="1831"/>
      <c r="GCH622" s="1831"/>
      <c r="GCI622" s="1831"/>
      <c r="GCJ622" s="1831"/>
      <c r="GCK622" s="1831"/>
      <c r="GCL622" s="1831"/>
      <c r="GCM622" s="1831"/>
      <c r="GCN622" s="1831"/>
      <c r="GCO622" s="1831"/>
      <c r="GCP622" s="1831"/>
      <c r="GCQ622" s="1831"/>
      <c r="GCR622" s="1831"/>
      <c r="GCS622" s="1831"/>
      <c r="GCT622" s="1831"/>
      <c r="GCU622" s="1831"/>
      <c r="GCV622" s="1831"/>
      <c r="GCW622" s="1831"/>
      <c r="GCX622" s="1831"/>
      <c r="GCY622" s="1831"/>
      <c r="GCZ622" s="1831"/>
      <c r="GDA622" s="1831"/>
      <c r="GDB622" s="1831"/>
      <c r="GDC622" s="1831"/>
      <c r="GDD622" s="1831"/>
      <c r="GDE622" s="1831"/>
      <c r="GDF622" s="1831"/>
      <c r="GDG622" s="1831"/>
      <c r="GDH622" s="1831"/>
      <c r="GDI622" s="1831"/>
      <c r="GDJ622" s="1831"/>
      <c r="GDK622" s="1831"/>
      <c r="GDL622" s="1831"/>
      <c r="GDM622" s="1831"/>
      <c r="GDN622" s="1831"/>
      <c r="GDO622" s="1831"/>
      <c r="GDP622" s="1831"/>
      <c r="GDQ622" s="1831"/>
      <c r="GDR622" s="1831"/>
      <c r="GDS622" s="1831"/>
      <c r="GDT622" s="1831"/>
      <c r="GDU622" s="1831"/>
      <c r="GDV622" s="1831"/>
      <c r="GDW622" s="1831"/>
      <c r="GDX622" s="1831"/>
      <c r="GDY622" s="1831"/>
      <c r="GDZ622" s="1831"/>
      <c r="GEA622" s="1831"/>
      <c r="GEB622" s="1831"/>
      <c r="GEC622" s="1831"/>
      <c r="GED622" s="1831"/>
      <c r="GEE622" s="1831"/>
      <c r="GEF622" s="1831"/>
      <c r="GEG622" s="1831"/>
      <c r="GEH622" s="1831"/>
      <c r="GEI622" s="1831"/>
      <c r="GEJ622" s="1831"/>
      <c r="GEK622" s="1831"/>
      <c r="GEL622" s="1831"/>
      <c r="GEM622" s="1831"/>
      <c r="GEN622" s="1831"/>
      <c r="GEO622" s="1831"/>
      <c r="GEP622" s="1831"/>
      <c r="GEQ622" s="1831"/>
      <c r="GER622" s="1831"/>
      <c r="GES622" s="1831"/>
      <c r="GET622" s="1831"/>
      <c r="GEU622" s="1831"/>
      <c r="GEV622" s="1831"/>
      <c r="GEW622" s="1831"/>
      <c r="GEX622" s="1831"/>
      <c r="GEY622" s="1831"/>
      <c r="GEZ622" s="1831"/>
      <c r="GFA622" s="1831"/>
      <c r="GFB622" s="1831"/>
      <c r="GFC622" s="1831"/>
      <c r="GFD622" s="1831"/>
      <c r="GFE622" s="1831"/>
      <c r="GFF622" s="1831"/>
      <c r="GFG622" s="1831"/>
      <c r="GFH622" s="1831"/>
      <c r="GFI622" s="1831"/>
      <c r="GFJ622" s="1831"/>
      <c r="GFK622" s="1831"/>
      <c r="GFL622" s="1831"/>
      <c r="GFM622" s="1831"/>
      <c r="GFN622" s="1831"/>
      <c r="GFO622" s="1831"/>
      <c r="GFP622" s="1831"/>
      <c r="GFQ622" s="1831"/>
      <c r="GFR622" s="1831"/>
      <c r="GFS622" s="1831"/>
      <c r="GFT622" s="1831"/>
      <c r="GFU622" s="1831"/>
      <c r="GFV622" s="1831"/>
      <c r="GFW622" s="1831"/>
      <c r="GFX622" s="1831"/>
      <c r="GFY622" s="1831"/>
      <c r="GFZ622" s="1831"/>
      <c r="GGA622" s="1831"/>
      <c r="GGB622" s="1831"/>
      <c r="GGC622" s="1831"/>
      <c r="GGD622" s="1831"/>
      <c r="GGE622" s="1831"/>
      <c r="GGF622" s="1831"/>
      <c r="GGG622" s="1831"/>
      <c r="GGH622" s="1831"/>
      <c r="GGI622" s="1831"/>
      <c r="GGJ622" s="1831"/>
      <c r="GGK622" s="1831"/>
      <c r="GGL622" s="1831"/>
      <c r="GGM622" s="1831"/>
      <c r="GGN622" s="1831"/>
      <c r="GGO622" s="1831"/>
      <c r="GGP622" s="1831"/>
      <c r="GGQ622" s="1831"/>
      <c r="GGR622" s="1831"/>
      <c r="GGS622" s="1831"/>
      <c r="GGT622" s="1831"/>
      <c r="GGU622" s="1831"/>
      <c r="GGV622" s="1831"/>
      <c r="GGW622" s="1831"/>
      <c r="GGX622" s="1831"/>
      <c r="GGY622" s="1831"/>
      <c r="GGZ622" s="1831"/>
      <c r="GHA622" s="1831"/>
      <c r="GHB622" s="1831"/>
      <c r="GHC622" s="1831"/>
      <c r="GHD622" s="1831"/>
      <c r="GHE622" s="1831"/>
      <c r="GHF622" s="1831"/>
      <c r="GHG622" s="1831"/>
      <c r="GHH622" s="1831"/>
      <c r="GHI622" s="1831"/>
      <c r="GHJ622" s="1831"/>
      <c r="GHK622" s="1831"/>
      <c r="GHL622" s="1831"/>
      <c r="GHM622" s="1831"/>
      <c r="GHN622" s="1831"/>
      <c r="GHO622" s="1831"/>
      <c r="GHP622" s="1831"/>
      <c r="GHQ622" s="1831"/>
      <c r="GHR622" s="1831"/>
      <c r="GHS622" s="1831"/>
      <c r="GHT622" s="1831"/>
      <c r="GHU622" s="1831"/>
      <c r="GHV622" s="1831"/>
      <c r="GHW622" s="1831"/>
      <c r="GHX622" s="1831"/>
      <c r="GHY622" s="1831"/>
      <c r="GHZ622" s="1831"/>
      <c r="GIA622" s="1831"/>
      <c r="GIB622" s="1831"/>
      <c r="GIC622" s="1831"/>
      <c r="GID622" s="1831"/>
      <c r="GIE622" s="1831"/>
      <c r="GIF622" s="1831"/>
      <c r="GIG622" s="1831"/>
      <c r="GIH622" s="1831"/>
      <c r="GII622" s="1831"/>
      <c r="GIJ622" s="1831"/>
      <c r="GIK622" s="1831"/>
      <c r="GIL622" s="1831"/>
      <c r="GIM622" s="1831"/>
      <c r="GIN622" s="1831"/>
      <c r="GIO622" s="1831"/>
      <c r="GIP622" s="1831"/>
      <c r="GIQ622" s="1831"/>
      <c r="GIR622" s="1831"/>
      <c r="GIS622" s="1831"/>
      <c r="GIT622" s="1831"/>
      <c r="GIU622" s="1831"/>
      <c r="GIV622" s="1831"/>
      <c r="GIW622" s="1831"/>
      <c r="GIX622" s="1831"/>
      <c r="GIY622" s="1831"/>
      <c r="GIZ622" s="1831"/>
      <c r="GJA622" s="1831"/>
      <c r="GJB622" s="1831"/>
      <c r="GJC622" s="1831"/>
      <c r="GJD622" s="1831"/>
      <c r="GJE622" s="1831"/>
      <c r="GJF622" s="1831"/>
      <c r="GJG622" s="1831"/>
      <c r="GJH622" s="1831"/>
      <c r="GJI622" s="1831"/>
      <c r="GJJ622" s="1831"/>
      <c r="GJK622" s="1831"/>
      <c r="GJL622" s="1831"/>
      <c r="GJM622" s="1831"/>
      <c r="GJN622" s="1831"/>
      <c r="GJO622" s="1831"/>
      <c r="GJP622" s="1831"/>
      <c r="GJQ622" s="1831"/>
      <c r="GJR622" s="1831"/>
      <c r="GJS622" s="1831"/>
      <c r="GJT622" s="1831"/>
      <c r="GJU622" s="1831"/>
      <c r="GJV622" s="1831"/>
      <c r="GJW622" s="1831"/>
      <c r="GJX622" s="1831"/>
      <c r="GJY622" s="1831"/>
      <c r="GJZ622" s="1831"/>
      <c r="GKA622" s="1831"/>
      <c r="GKB622" s="1831"/>
      <c r="GKC622" s="1831"/>
      <c r="GKD622" s="1831"/>
      <c r="GKE622" s="1831"/>
      <c r="GKF622" s="1831"/>
      <c r="GKG622" s="1831"/>
      <c r="GKH622" s="1831"/>
      <c r="GKI622" s="1831"/>
      <c r="GKJ622" s="1831"/>
      <c r="GKK622" s="1831"/>
      <c r="GKL622" s="1831"/>
      <c r="GKM622" s="1831"/>
      <c r="GKN622" s="1831"/>
      <c r="GKO622" s="1831"/>
      <c r="GKP622" s="1831"/>
      <c r="GKQ622" s="1831"/>
      <c r="GKR622" s="1831"/>
      <c r="GKS622" s="1831"/>
      <c r="GKT622" s="1831"/>
      <c r="GKU622" s="1831"/>
      <c r="GKV622" s="1831"/>
      <c r="GKW622" s="1831"/>
      <c r="GKX622" s="1831"/>
      <c r="GKY622" s="1831"/>
      <c r="GKZ622" s="1831"/>
      <c r="GLA622" s="1831"/>
      <c r="GLB622" s="1831"/>
      <c r="GLC622" s="1831"/>
      <c r="GLD622" s="1831"/>
      <c r="GLE622" s="1831"/>
      <c r="GLF622" s="1831"/>
      <c r="GLG622" s="1831"/>
      <c r="GLH622" s="1831"/>
      <c r="GLI622" s="1831"/>
      <c r="GLJ622" s="1831"/>
      <c r="GLK622" s="1831"/>
      <c r="GLL622" s="1831"/>
      <c r="GLM622" s="1831"/>
      <c r="GLN622" s="1831"/>
      <c r="GLO622" s="1831"/>
      <c r="GLP622" s="1831"/>
      <c r="GLQ622" s="1831"/>
      <c r="GLR622" s="1831"/>
      <c r="GLS622" s="1831"/>
      <c r="GLT622" s="1831"/>
      <c r="GLU622" s="1831"/>
      <c r="GLV622" s="1831"/>
      <c r="GLW622" s="1831"/>
      <c r="GLX622" s="1831"/>
      <c r="GLY622" s="1831"/>
      <c r="GLZ622" s="1831"/>
      <c r="GMA622" s="1831"/>
      <c r="GMB622" s="1831"/>
      <c r="GMC622" s="1831"/>
      <c r="GMD622" s="1831"/>
      <c r="GME622" s="1831"/>
      <c r="GMF622" s="1831"/>
      <c r="GMG622" s="1831"/>
      <c r="GMH622" s="1831"/>
      <c r="GMI622" s="1831"/>
      <c r="GMJ622" s="1831"/>
      <c r="GMK622" s="1831"/>
      <c r="GML622" s="1831"/>
      <c r="GMM622" s="1831"/>
      <c r="GMN622" s="1831"/>
      <c r="GMO622" s="1831"/>
      <c r="GMP622" s="1831"/>
      <c r="GMQ622" s="1831"/>
      <c r="GMR622" s="1831"/>
      <c r="GMS622" s="1831"/>
      <c r="GMT622" s="1831"/>
      <c r="GMU622" s="1831"/>
      <c r="GMV622" s="1831"/>
      <c r="GMW622" s="1831"/>
      <c r="GMX622" s="1831"/>
      <c r="GMY622" s="1831"/>
      <c r="GMZ622" s="1831"/>
      <c r="GNA622" s="1831"/>
      <c r="GNB622" s="1831"/>
      <c r="GNC622" s="1831"/>
      <c r="GND622" s="1831"/>
      <c r="GNE622" s="1831"/>
      <c r="GNF622" s="1831"/>
      <c r="GNG622" s="1831"/>
      <c r="GNH622" s="1831"/>
      <c r="GNI622" s="1831"/>
      <c r="GNJ622" s="1831"/>
      <c r="GNK622" s="1831"/>
      <c r="GNL622" s="1831"/>
      <c r="GNM622" s="1831"/>
      <c r="GNN622" s="1831"/>
      <c r="GNO622" s="1831"/>
      <c r="GNP622" s="1831"/>
      <c r="GNQ622" s="1831"/>
      <c r="GNR622" s="1831"/>
      <c r="GNS622" s="1831"/>
      <c r="GNT622" s="1831"/>
      <c r="GNU622" s="1831"/>
      <c r="GNV622" s="1831"/>
      <c r="GNW622" s="1831"/>
      <c r="GNX622" s="1831"/>
      <c r="GNY622" s="1831"/>
      <c r="GNZ622" s="1831"/>
      <c r="GOA622" s="1831"/>
      <c r="GOB622" s="1831"/>
      <c r="GOC622" s="1831"/>
      <c r="GOD622" s="1831"/>
      <c r="GOE622" s="1831"/>
      <c r="GOF622" s="1831"/>
      <c r="GOG622" s="1831"/>
      <c r="GOH622" s="1831"/>
      <c r="GOI622" s="1831"/>
      <c r="GOJ622" s="1831"/>
      <c r="GOK622" s="1831"/>
      <c r="GOL622" s="1831"/>
      <c r="GOM622" s="1831"/>
      <c r="GON622" s="1831"/>
      <c r="GOO622" s="1831"/>
      <c r="GOP622" s="1831"/>
      <c r="GOQ622" s="1831"/>
      <c r="GOR622" s="1831"/>
      <c r="GOS622" s="1831"/>
      <c r="GOT622" s="1831"/>
      <c r="GOU622" s="1831"/>
      <c r="GOV622" s="1831"/>
      <c r="GOW622" s="1831"/>
      <c r="GOX622" s="1831"/>
      <c r="GOY622" s="1831"/>
      <c r="GOZ622" s="1831"/>
      <c r="GPA622" s="1831"/>
      <c r="GPB622" s="1831"/>
      <c r="GPC622" s="1831"/>
      <c r="GPD622" s="1831"/>
      <c r="GPE622" s="1831"/>
      <c r="GPF622" s="1831"/>
      <c r="GPG622" s="1831"/>
      <c r="GPH622" s="1831"/>
      <c r="GPI622" s="1831"/>
      <c r="GPJ622" s="1831"/>
      <c r="GPK622" s="1831"/>
      <c r="GPL622" s="1831"/>
      <c r="GPM622" s="1831"/>
      <c r="GPN622" s="1831"/>
      <c r="GPO622" s="1831"/>
      <c r="GPP622" s="1831"/>
      <c r="GPQ622" s="1831"/>
      <c r="GPR622" s="1831"/>
      <c r="GPS622" s="1831"/>
      <c r="GPT622" s="1831"/>
      <c r="GPU622" s="1831"/>
      <c r="GPV622" s="1831"/>
      <c r="GPW622" s="1831"/>
      <c r="GPX622" s="1831"/>
      <c r="GPY622" s="1831"/>
      <c r="GPZ622" s="1831"/>
      <c r="GQA622" s="1831"/>
      <c r="GQB622" s="1831"/>
      <c r="GQC622" s="1831"/>
      <c r="GQD622" s="1831"/>
      <c r="GQE622" s="1831"/>
      <c r="GQF622" s="1831"/>
      <c r="GQG622" s="1831"/>
      <c r="GQH622" s="1831"/>
      <c r="GQI622" s="1831"/>
      <c r="GQJ622" s="1831"/>
      <c r="GQK622" s="1831"/>
      <c r="GQL622" s="1831"/>
      <c r="GQM622" s="1831"/>
      <c r="GQN622" s="1831"/>
      <c r="GQO622" s="1831"/>
      <c r="GQP622" s="1831"/>
      <c r="GQQ622" s="1831"/>
      <c r="GQR622" s="1831"/>
      <c r="GQS622" s="1831"/>
      <c r="GQT622" s="1831"/>
      <c r="GQU622" s="1831"/>
      <c r="GQV622" s="1831"/>
      <c r="GQW622" s="1831"/>
      <c r="GQX622" s="1831"/>
      <c r="GQY622" s="1831"/>
      <c r="GQZ622" s="1831"/>
      <c r="GRA622" s="1831"/>
      <c r="GRB622" s="1831"/>
      <c r="GRC622" s="1831"/>
      <c r="GRD622" s="1831"/>
      <c r="GRE622" s="1831"/>
      <c r="GRF622" s="1831"/>
      <c r="GRG622" s="1831"/>
      <c r="GRH622" s="1831"/>
      <c r="GRI622" s="1831"/>
      <c r="GRJ622" s="1831"/>
      <c r="GRK622" s="1831"/>
      <c r="GRL622" s="1831"/>
      <c r="GRM622" s="1831"/>
      <c r="GRN622" s="1831"/>
      <c r="GRO622" s="1831"/>
      <c r="GRP622" s="1831"/>
      <c r="GRQ622" s="1831"/>
      <c r="GRR622" s="1831"/>
      <c r="GRS622" s="1831"/>
      <c r="GRT622" s="1831"/>
      <c r="GRU622" s="1831"/>
      <c r="GRV622" s="1831"/>
      <c r="GRW622" s="1831"/>
      <c r="GRX622" s="1831"/>
      <c r="GRY622" s="1831"/>
      <c r="GRZ622" s="1831"/>
      <c r="GSA622" s="1831"/>
      <c r="GSB622" s="1831"/>
      <c r="GSC622" s="1831"/>
      <c r="GSD622" s="1831"/>
      <c r="GSE622" s="1831"/>
      <c r="GSF622" s="1831"/>
      <c r="GSG622" s="1831"/>
      <c r="GSH622" s="1831"/>
      <c r="GSI622" s="1831"/>
      <c r="GSJ622" s="1831"/>
      <c r="GSK622" s="1831"/>
      <c r="GSL622" s="1831"/>
      <c r="GSM622" s="1831"/>
      <c r="GSN622" s="1831"/>
      <c r="GSO622" s="1831"/>
      <c r="GSP622" s="1831"/>
      <c r="GSQ622" s="1831"/>
      <c r="GSR622" s="1831"/>
      <c r="GSS622" s="1831"/>
      <c r="GST622" s="1831"/>
      <c r="GSU622" s="1831"/>
      <c r="GSV622" s="1831"/>
      <c r="GSW622" s="1831"/>
      <c r="GSX622" s="1831"/>
      <c r="GSY622" s="1831"/>
      <c r="GSZ622" s="1831"/>
      <c r="GTA622" s="1831"/>
      <c r="GTB622" s="1831"/>
      <c r="GTC622" s="1831"/>
      <c r="GTD622" s="1831"/>
      <c r="GTE622" s="1831"/>
      <c r="GTF622" s="1831"/>
      <c r="GTG622" s="1831"/>
      <c r="GTH622" s="1831"/>
      <c r="GTI622" s="1831"/>
      <c r="GTJ622" s="1831"/>
      <c r="GTK622" s="1831"/>
      <c r="GTL622" s="1831"/>
      <c r="GTM622" s="1831"/>
      <c r="GTN622" s="1831"/>
      <c r="GTO622" s="1831"/>
      <c r="GTP622" s="1831"/>
      <c r="GTQ622" s="1831"/>
      <c r="GTR622" s="1831"/>
      <c r="GTS622" s="1831"/>
      <c r="GTT622" s="1831"/>
      <c r="GTU622" s="1831"/>
      <c r="GTV622" s="1831"/>
      <c r="GTW622" s="1831"/>
      <c r="GTX622" s="1831"/>
      <c r="GTY622" s="1831"/>
      <c r="GTZ622" s="1831"/>
      <c r="GUA622" s="1831"/>
      <c r="GUB622" s="1831"/>
      <c r="GUC622" s="1831"/>
      <c r="GUD622" s="1831"/>
      <c r="GUE622" s="1831"/>
      <c r="GUF622" s="1831"/>
      <c r="GUG622" s="1831"/>
      <c r="GUH622" s="1831"/>
      <c r="GUI622" s="1831"/>
      <c r="GUJ622" s="1831"/>
      <c r="GUK622" s="1831"/>
      <c r="GUL622" s="1831"/>
      <c r="GUM622" s="1831"/>
      <c r="GUN622" s="1831"/>
      <c r="GUO622" s="1831"/>
      <c r="GUP622" s="1831"/>
      <c r="GUQ622" s="1831"/>
      <c r="GUR622" s="1831"/>
      <c r="GUS622" s="1831"/>
      <c r="GUT622" s="1831"/>
      <c r="GUU622" s="1831"/>
      <c r="GUV622" s="1831"/>
      <c r="GUW622" s="1831"/>
      <c r="GUX622" s="1831"/>
      <c r="GUY622" s="1831"/>
      <c r="GUZ622" s="1831"/>
      <c r="GVA622" s="1831"/>
      <c r="GVB622" s="1831"/>
      <c r="GVC622" s="1831"/>
      <c r="GVD622" s="1831"/>
      <c r="GVE622" s="1831"/>
      <c r="GVF622" s="1831"/>
      <c r="GVG622" s="1831"/>
      <c r="GVH622" s="1831"/>
      <c r="GVI622" s="1831"/>
      <c r="GVJ622" s="1831"/>
      <c r="GVK622" s="1831"/>
      <c r="GVL622" s="1831"/>
      <c r="GVM622" s="1831"/>
      <c r="GVN622" s="1831"/>
      <c r="GVO622" s="1831"/>
      <c r="GVP622" s="1831"/>
      <c r="GVQ622" s="1831"/>
      <c r="GVR622" s="1831"/>
      <c r="GVS622" s="1831"/>
      <c r="GVT622" s="1831"/>
      <c r="GVU622" s="1831"/>
      <c r="GVV622" s="1831"/>
      <c r="GVW622" s="1831"/>
      <c r="GVX622" s="1831"/>
      <c r="GVY622" s="1831"/>
      <c r="GVZ622" s="1831"/>
      <c r="GWA622" s="1831"/>
      <c r="GWB622" s="1831"/>
      <c r="GWC622" s="1831"/>
      <c r="GWD622" s="1831"/>
      <c r="GWE622" s="1831"/>
      <c r="GWF622" s="1831"/>
      <c r="GWG622" s="1831"/>
      <c r="GWH622" s="1831"/>
      <c r="GWI622" s="1831"/>
      <c r="GWJ622" s="1831"/>
      <c r="GWK622" s="1831"/>
      <c r="GWL622" s="1831"/>
      <c r="GWM622" s="1831"/>
      <c r="GWN622" s="1831"/>
      <c r="GWO622" s="1831"/>
      <c r="GWP622" s="1831"/>
      <c r="GWQ622" s="1831"/>
      <c r="GWR622" s="1831"/>
      <c r="GWS622" s="1831"/>
      <c r="GWT622" s="1831"/>
      <c r="GWU622" s="1831"/>
      <c r="GWV622" s="1831"/>
      <c r="GWW622" s="1831"/>
      <c r="GWX622" s="1831"/>
      <c r="GWY622" s="1831"/>
      <c r="GWZ622" s="1831"/>
      <c r="GXA622" s="1831"/>
      <c r="GXB622" s="1831"/>
      <c r="GXC622" s="1831"/>
      <c r="GXD622" s="1831"/>
      <c r="GXE622" s="1831"/>
      <c r="GXF622" s="1831"/>
      <c r="GXG622" s="1831"/>
      <c r="GXH622" s="1831"/>
      <c r="GXI622" s="1831"/>
      <c r="GXJ622" s="1831"/>
      <c r="GXK622" s="1831"/>
      <c r="GXL622" s="1831"/>
      <c r="GXM622" s="1831"/>
      <c r="GXN622" s="1831"/>
      <c r="GXO622" s="1831"/>
      <c r="GXP622" s="1831"/>
      <c r="GXQ622" s="1831"/>
      <c r="GXR622" s="1831"/>
      <c r="GXS622" s="1831"/>
      <c r="GXT622" s="1831"/>
      <c r="GXU622" s="1831"/>
      <c r="GXV622" s="1831"/>
      <c r="GXW622" s="1831"/>
      <c r="GXX622" s="1831"/>
      <c r="GXY622" s="1831"/>
      <c r="GXZ622" s="1831"/>
      <c r="GYA622" s="1831"/>
      <c r="GYB622" s="1831"/>
      <c r="GYC622" s="1831"/>
      <c r="GYD622" s="1831"/>
      <c r="GYE622" s="1831"/>
      <c r="GYF622" s="1831"/>
      <c r="GYG622" s="1831"/>
      <c r="GYH622" s="1831"/>
      <c r="GYI622" s="1831"/>
      <c r="GYJ622" s="1831"/>
      <c r="GYK622" s="1831"/>
      <c r="GYL622" s="1831"/>
      <c r="GYM622" s="1831"/>
      <c r="GYN622" s="1831"/>
      <c r="GYO622" s="1831"/>
      <c r="GYP622" s="1831"/>
      <c r="GYQ622" s="1831"/>
      <c r="GYR622" s="1831"/>
      <c r="GYS622" s="1831"/>
      <c r="GYT622" s="1831"/>
      <c r="GYU622" s="1831"/>
      <c r="GYV622" s="1831"/>
      <c r="GYW622" s="1831"/>
      <c r="GYX622" s="1831"/>
      <c r="GYY622" s="1831"/>
      <c r="GYZ622" s="1831"/>
      <c r="GZA622" s="1831"/>
      <c r="GZB622" s="1831"/>
      <c r="GZC622" s="1831"/>
      <c r="GZD622" s="1831"/>
      <c r="GZE622" s="1831"/>
      <c r="GZF622" s="1831"/>
      <c r="GZG622" s="1831"/>
      <c r="GZH622" s="1831"/>
      <c r="GZI622" s="1831"/>
      <c r="GZJ622" s="1831"/>
      <c r="GZK622" s="1831"/>
      <c r="GZL622" s="1831"/>
      <c r="GZM622" s="1831"/>
      <c r="GZN622" s="1831"/>
      <c r="GZO622" s="1831"/>
      <c r="GZP622" s="1831"/>
      <c r="GZQ622" s="1831"/>
      <c r="GZR622" s="1831"/>
      <c r="GZS622" s="1831"/>
      <c r="GZT622" s="1831"/>
      <c r="GZU622" s="1831"/>
      <c r="GZV622" s="1831"/>
      <c r="GZW622" s="1831"/>
      <c r="GZX622" s="1831"/>
      <c r="GZY622" s="1831"/>
      <c r="GZZ622" s="1831"/>
      <c r="HAA622" s="1831"/>
      <c r="HAB622" s="1831"/>
      <c r="HAC622" s="1831"/>
      <c r="HAD622" s="1831"/>
      <c r="HAE622" s="1831"/>
      <c r="HAF622" s="1831"/>
      <c r="HAG622" s="1831"/>
      <c r="HAH622" s="1831"/>
      <c r="HAI622" s="1831"/>
      <c r="HAJ622" s="1831"/>
      <c r="HAK622" s="1831"/>
      <c r="HAL622" s="1831"/>
      <c r="HAM622" s="1831"/>
      <c r="HAN622" s="1831"/>
      <c r="HAO622" s="1831"/>
      <c r="HAP622" s="1831"/>
      <c r="HAQ622" s="1831"/>
      <c r="HAR622" s="1831"/>
      <c r="HAS622" s="1831"/>
      <c r="HAT622" s="1831"/>
      <c r="HAU622" s="1831"/>
      <c r="HAV622" s="1831"/>
      <c r="HAW622" s="1831"/>
      <c r="HAX622" s="1831"/>
      <c r="HAY622" s="1831"/>
      <c r="HAZ622" s="1831"/>
      <c r="HBA622" s="1831"/>
      <c r="HBB622" s="1831"/>
      <c r="HBC622" s="1831"/>
      <c r="HBD622" s="1831"/>
      <c r="HBE622" s="1831"/>
      <c r="HBF622" s="1831"/>
      <c r="HBG622" s="1831"/>
      <c r="HBH622" s="1831"/>
      <c r="HBI622" s="1831"/>
      <c r="HBJ622" s="1831"/>
      <c r="HBK622" s="1831"/>
      <c r="HBL622" s="1831"/>
      <c r="HBM622" s="1831"/>
      <c r="HBN622" s="1831"/>
      <c r="HBO622" s="1831"/>
      <c r="HBP622" s="1831"/>
      <c r="HBQ622" s="1831"/>
      <c r="HBR622" s="1831"/>
      <c r="HBS622" s="1831"/>
      <c r="HBT622" s="1831"/>
      <c r="HBU622" s="1831"/>
      <c r="HBV622" s="1831"/>
      <c r="HBW622" s="1831"/>
      <c r="HBX622" s="1831"/>
      <c r="HBY622" s="1831"/>
      <c r="HBZ622" s="1831"/>
      <c r="HCA622" s="1831"/>
      <c r="HCB622" s="1831"/>
      <c r="HCC622" s="1831"/>
      <c r="HCD622" s="1831"/>
      <c r="HCE622" s="1831"/>
      <c r="HCF622" s="1831"/>
      <c r="HCG622" s="1831"/>
      <c r="HCH622" s="1831"/>
      <c r="HCI622" s="1831"/>
      <c r="HCJ622" s="1831"/>
      <c r="HCK622" s="1831"/>
      <c r="HCL622" s="1831"/>
      <c r="HCM622" s="1831"/>
      <c r="HCN622" s="1831"/>
      <c r="HCO622" s="1831"/>
      <c r="HCP622" s="1831"/>
      <c r="HCQ622" s="1831"/>
      <c r="HCR622" s="1831"/>
      <c r="HCS622" s="1831"/>
      <c r="HCT622" s="1831"/>
      <c r="HCU622" s="1831"/>
      <c r="HCV622" s="1831"/>
      <c r="HCW622" s="1831"/>
      <c r="HCX622" s="1831"/>
      <c r="HCY622" s="1831"/>
      <c r="HCZ622" s="1831"/>
      <c r="HDA622" s="1831"/>
      <c r="HDB622" s="1831"/>
      <c r="HDC622" s="1831"/>
      <c r="HDD622" s="1831"/>
      <c r="HDE622" s="1831"/>
      <c r="HDF622" s="1831"/>
      <c r="HDG622" s="1831"/>
      <c r="HDH622" s="1831"/>
      <c r="HDI622" s="1831"/>
      <c r="HDJ622" s="1831"/>
      <c r="HDK622" s="1831"/>
      <c r="HDL622" s="1831"/>
      <c r="HDM622" s="1831"/>
      <c r="HDN622" s="1831"/>
      <c r="HDO622" s="1831"/>
      <c r="HDP622" s="1831"/>
      <c r="HDQ622" s="1831"/>
      <c r="HDR622" s="1831"/>
      <c r="HDS622" s="1831"/>
      <c r="HDT622" s="1831"/>
      <c r="HDU622" s="1831"/>
      <c r="HDV622" s="1831"/>
      <c r="HDW622" s="1831"/>
      <c r="HDX622" s="1831"/>
      <c r="HDY622" s="1831"/>
      <c r="HDZ622" s="1831"/>
      <c r="HEA622" s="1831"/>
      <c r="HEB622" s="1831"/>
      <c r="HEC622" s="1831"/>
      <c r="HED622" s="1831"/>
      <c r="HEE622" s="1831"/>
      <c r="HEF622" s="1831"/>
      <c r="HEG622" s="1831"/>
      <c r="HEH622" s="1831"/>
      <c r="HEI622" s="1831"/>
      <c r="HEJ622" s="1831"/>
      <c r="HEK622" s="1831"/>
      <c r="HEL622" s="1831"/>
      <c r="HEM622" s="1831"/>
      <c r="HEN622" s="1831"/>
      <c r="HEO622" s="1831"/>
      <c r="HEP622" s="1831"/>
      <c r="HEQ622" s="1831"/>
      <c r="HER622" s="1831"/>
      <c r="HES622" s="1831"/>
      <c r="HET622" s="1831"/>
      <c r="HEU622" s="1831"/>
      <c r="HEV622" s="1831"/>
      <c r="HEW622" s="1831"/>
      <c r="HEX622" s="1831"/>
      <c r="HEY622" s="1831"/>
      <c r="HEZ622" s="1831"/>
      <c r="HFA622" s="1831"/>
      <c r="HFB622" s="1831"/>
      <c r="HFC622" s="1831"/>
      <c r="HFD622" s="1831"/>
      <c r="HFE622" s="1831"/>
      <c r="HFF622" s="1831"/>
      <c r="HFG622" s="1831"/>
      <c r="HFH622" s="1831"/>
      <c r="HFI622" s="1831"/>
      <c r="HFJ622" s="1831"/>
      <c r="HFK622" s="1831"/>
      <c r="HFL622" s="1831"/>
      <c r="HFM622" s="1831"/>
      <c r="HFN622" s="1831"/>
      <c r="HFO622" s="1831"/>
      <c r="HFP622" s="1831"/>
      <c r="HFQ622" s="1831"/>
      <c r="HFR622" s="1831"/>
      <c r="HFS622" s="1831"/>
      <c r="HFT622" s="1831"/>
      <c r="HFU622" s="1831"/>
      <c r="HFV622" s="1831"/>
      <c r="HFW622" s="1831"/>
      <c r="HFX622" s="1831"/>
      <c r="HFY622" s="1831"/>
      <c r="HFZ622" s="1831"/>
      <c r="HGA622" s="1831"/>
      <c r="HGB622" s="1831"/>
      <c r="HGC622" s="1831"/>
      <c r="HGD622" s="1831"/>
      <c r="HGE622" s="1831"/>
      <c r="HGF622" s="1831"/>
      <c r="HGG622" s="1831"/>
      <c r="HGH622" s="1831"/>
      <c r="HGI622" s="1831"/>
      <c r="HGJ622" s="1831"/>
      <c r="HGK622" s="1831"/>
      <c r="HGL622" s="1831"/>
      <c r="HGM622" s="1831"/>
      <c r="HGN622" s="1831"/>
      <c r="HGO622" s="1831"/>
      <c r="HGP622" s="1831"/>
      <c r="HGQ622" s="1831"/>
      <c r="HGR622" s="1831"/>
      <c r="HGS622" s="1831"/>
      <c r="HGT622" s="1831"/>
      <c r="HGU622" s="1831"/>
      <c r="HGV622" s="1831"/>
      <c r="HGW622" s="1831"/>
      <c r="HGX622" s="1831"/>
      <c r="HGY622" s="1831"/>
      <c r="HGZ622" s="1831"/>
      <c r="HHA622" s="1831"/>
      <c r="HHB622" s="1831"/>
      <c r="HHC622" s="1831"/>
      <c r="HHD622" s="1831"/>
      <c r="HHE622" s="1831"/>
      <c r="HHF622" s="1831"/>
      <c r="HHG622" s="1831"/>
      <c r="HHH622" s="1831"/>
      <c r="HHI622" s="1831"/>
      <c r="HHJ622" s="1831"/>
      <c r="HHK622" s="1831"/>
      <c r="HHL622" s="1831"/>
      <c r="HHM622" s="1831"/>
      <c r="HHN622" s="1831"/>
      <c r="HHO622" s="1831"/>
      <c r="HHP622" s="1831"/>
      <c r="HHQ622" s="1831"/>
      <c r="HHR622" s="1831"/>
      <c r="HHS622" s="1831"/>
      <c r="HHT622" s="1831"/>
      <c r="HHU622" s="1831"/>
      <c r="HHV622" s="1831"/>
      <c r="HHW622" s="1831"/>
      <c r="HHX622" s="1831"/>
      <c r="HHY622" s="1831"/>
      <c r="HHZ622" s="1831"/>
      <c r="HIA622" s="1831"/>
      <c r="HIB622" s="1831"/>
      <c r="HIC622" s="1831"/>
      <c r="HID622" s="1831"/>
      <c r="HIE622" s="1831"/>
      <c r="HIF622" s="1831"/>
      <c r="HIG622" s="1831"/>
      <c r="HIH622" s="1831"/>
      <c r="HII622" s="1831"/>
      <c r="HIJ622" s="1831"/>
      <c r="HIK622" s="1831"/>
      <c r="HIL622" s="1831"/>
      <c r="HIM622" s="1831"/>
      <c r="HIN622" s="1831"/>
      <c r="HIO622" s="1831"/>
      <c r="HIP622" s="1831"/>
      <c r="HIQ622" s="1831"/>
      <c r="HIR622" s="1831"/>
      <c r="HIS622" s="1831"/>
      <c r="HIT622" s="1831"/>
      <c r="HIU622" s="1831"/>
      <c r="HIV622" s="1831"/>
      <c r="HIW622" s="1831"/>
      <c r="HIX622" s="1831"/>
      <c r="HIY622" s="1831"/>
      <c r="HIZ622" s="1831"/>
      <c r="HJA622" s="1831"/>
      <c r="HJB622" s="1831"/>
      <c r="HJC622" s="1831"/>
      <c r="HJD622" s="1831"/>
      <c r="HJE622" s="1831"/>
      <c r="HJF622" s="1831"/>
      <c r="HJG622" s="1831"/>
      <c r="HJH622" s="1831"/>
      <c r="HJI622" s="1831"/>
      <c r="HJJ622" s="1831"/>
      <c r="HJK622" s="1831"/>
      <c r="HJL622" s="1831"/>
      <c r="HJM622" s="1831"/>
      <c r="HJN622" s="1831"/>
      <c r="HJO622" s="1831"/>
      <c r="HJP622" s="1831"/>
      <c r="HJQ622" s="1831"/>
      <c r="HJR622" s="1831"/>
      <c r="HJS622" s="1831"/>
      <c r="HJT622" s="1831"/>
      <c r="HJU622" s="1831"/>
      <c r="HJV622" s="1831"/>
      <c r="HJW622" s="1831"/>
      <c r="HJX622" s="1831"/>
      <c r="HJY622" s="1831"/>
      <c r="HJZ622" s="1831"/>
      <c r="HKA622" s="1831"/>
      <c r="HKB622" s="1831"/>
      <c r="HKC622" s="1831"/>
      <c r="HKD622" s="1831"/>
      <c r="HKE622" s="1831"/>
      <c r="HKF622" s="1831"/>
      <c r="HKG622" s="1831"/>
      <c r="HKH622" s="1831"/>
      <c r="HKI622" s="1831"/>
      <c r="HKJ622" s="1831"/>
      <c r="HKK622" s="1831"/>
      <c r="HKL622" s="1831"/>
      <c r="HKM622" s="1831"/>
      <c r="HKN622" s="1831"/>
      <c r="HKO622" s="1831"/>
      <c r="HKP622" s="1831"/>
      <c r="HKQ622" s="1831"/>
      <c r="HKR622" s="1831"/>
      <c r="HKS622" s="1831"/>
      <c r="HKT622" s="1831"/>
      <c r="HKU622" s="1831"/>
      <c r="HKV622" s="1831"/>
      <c r="HKW622" s="1831"/>
      <c r="HKX622" s="1831"/>
      <c r="HKY622" s="1831"/>
      <c r="HKZ622" s="1831"/>
      <c r="HLA622" s="1831"/>
      <c r="HLB622" s="1831"/>
      <c r="HLC622" s="1831"/>
      <c r="HLD622" s="1831"/>
      <c r="HLE622" s="1831"/>
      <c r="HLF622" s="1831"/>
      <c r="HLG622" s="1831"/>
      <c r="HLH622" s="1831"/>
      <c r="HLI622" s="1831"/>
      <c r="HLJ622" s="1831"/>
      <c r="HLK622" s="1831"/>
      <c r="HLL622" s="1831"/>
      <c r="HLM622" s="1831"/>
      <c r="HLN622" s="1831"/>
      <c r="HLO622" s="1831"/>
      <c r="HLP622" s="1831"/>
      <c r="HLQ622" s="1831"/>
      <c r="HLR622" s="1831"/>
      <c r="HLS622" s="1831"/>
      <c r="HLT622" s="1831"/>
      <c r="HLU622" s="1831"/>
      <c r="HLV622" s="1831"/>
      <c r="HLW622" s="1831"/>
      <c r="HLX622" s="1831"/>
      <c r="HLY622" s="1831"/>
      <c r="HLZ622" s="1831"/>
      <c r="HMA622" s="1831"/>
      <c r="HMB622" s="1831"/>
      <c r="HMC622" s="1831"/>
      <c r="HMD622" s="1831"/>
      <c r="HME622" s="1831"/>
      <c r="HMF622" s="1831"/>
      <c r="HMG622" s="1831"/>
      <c r="HMH622" s="1831"/>
      <c r="HMI622" s="1831"/>
      <c r="HMJ622" s="1831"/>
      <c r="HMK622" s="1831"/>
      <c r="HML622" s="1831"/>
      <c r="HMM622" s="1831"/>
      <c r="HMN622" s="1831"/>
      <c r="HMO622" s="1831"/>
      <c r="HMP622" s="1831"/>
      <c r="HMQ622" s="1831"/>
      <c r="HMR622" s="1831"/>
      <c r="HMS622" s="1831"/>
      <c r="HMT622" s="1831"/>
      <c r="HMU622" s="1831"/>
      <c r="HMV622" s="1831"/>
      <c r="HMW622" s="1831"/>
      <c r="HMX622" s="1831"/>
      <c r="HMY622" s="1831"/>
      <c r="HMZ622" s="1831"/>
      <c r="HNA622" s="1831"/>
      <c r="HNB622" s="1831"/>
      <c r="HNC622" s="1831"/>
      <c r="HND622" s="1831"/>
      <c r="HNE622" s="1831"/>
      <c r="HNF622" s="1831"/>
      <c r="HNG622" s="1831"/>
      <c r="HNH622" s="1831"/>
      <c r="HNI622" s="1831"/>
      <c r="HNJ622" s="1831"/>
      <c r="HNK622" s="1831"/>
      <c r="HNL622" s="1831"/>
      <c r="HNM622" s="1831"/>
      <c r="HNN622" s="1831"/>
      <c r="HNO622" s="1831"/>
      <c r="HNP622" s="1831"/>
      <c r="HNQ622" s="1831"/>
      <c r="HNR622" s="1831"/>
      <c r="HNS622" s="1831"/>
      <c r="HNT622" s="1831"/>
      <c r="HNU622" s="1831"/>
      <c r="HNV622" s="1831"/>
      <c r="HNW622" s="1831"/>
      <c r="HNX622" s="1831"/>
      <c r="HNY622" s="1831"/>
      <c r="HNZ622" s="1831"/>
      <c r="HOA622" s="1831"/>
      <c r="HOB622" s="1831"/>
      <c r="HOC622" s="1831"/>
      <c r="HOD622" s="1831"/>
      <c r="HOE622" s="1831"/>
      <c r="HOF622" s="1831"/>
      <c r="HOG622" s="1831"/>
      <c r="HOH622" s="1831"/>
      <c r="HOI622" s="1831"/>
      <c r="HOJ622" s="1831"/>
      <c r="HOK622" s="1831"/>
      <c r="HOL622" s="1831"/>
      <c r="HOM622" s="1831"/>
      <c r="HON622" s="1831"/>
      <c r="HOO622" s="1831"/>
      <c r="HOP622" s="1831"/>
      <c r="HOQ622" s="1831"/>
      <c r="HOR622" s="1831"/>
      <c r="HOS622" s="1831"/>
      <c r="HOT622" s="1831"/>
      <c r="HOU622" s="1831"/>
      <c r="HOV622" s="1831"/>
      <c r="HOW622" s="1831"/>
      <c r="HOX622" s="1831"/>
      <c r="HOY622" s="1831"/>
      <c r="HOZ622" s="1831"/>
      <c r="HPA622" s="1831"/>
      <c r="HPB622" s="1831"/>
      <c r="HPC622" s="1831"/>
      <c r="HPD622" s="1831"/>
      <c r="HPE622" s="1831"/>
      <c r="HPF622" s="1831"/>
      <c r="HPG622" s="1831"/>
      <c r="HPH622" s="1831"/>
      <c r="HPI622" s="1831"/>
      <c r="HPJ622" s="1831"/>
      <c r="HPK622" s="1831"/>
      <c r="HPL622" s="1831"/>
      <c r="HPM622" s="1831"/>
      <c r="HPN622" s="1831"/>
      <c r="HPO622" s="1831"/>
      <c r="HPP622" s="1831"/>
      <c r="HPQ622" s="1831"/>
      <c r="HPR622" s="1831"/>
      <c r="HPS622" s="1831"/>
      <c r="HPT622" s="1831"/>
      <c r="HPU622" s="1831"/>
      <c r="HPV622" s="1831"/>
      <c r="HPW622" s="1831"/>
      <c r="HPX622" s="1831"/>
      <c r="HPY622" s="1831"/>
      <c r="HPZ622" s="1831"/>
      <c r="HQA622" s="1831"/>
      <c r="HQB622" s="1831"/>
      <c r="HQC622" s="1831"/>
      <c r="HQD622" s="1831"/>
      <c r="HQE622" s="1831"/>
      <c r="HQF622" s="1831"/>
      <c r="HQG622" s="1831"/>
      <c r="HQH622" s="1831"/>
      <c r="HQI622" s="1831"/>
      <c r="HQJ622" s="1831"/>
      <c r="HQK622" s="1831"/>
      <c r="HQL622" s="1831"/>
      <c r="HQM622" s="1831"/>
      <c r="HQN622" s="1831"/>
      <c r="HQO622" s="1831"/>
      <c r="HQP622" s="1831"/>
      <c r="HQQ622" s="1831"/>
      <c r="HQR622" s="1831"/>
      <c r="HQS622" s="1831"/>
      <c r="HQT622" s="1831"/>
      <c r="HQU622" s="1831"/>
      <c r="HQV622" s="1831"/>
      <c r="HQW622" s="1831"/>
      <c r="HQX622" s="1831"/>
      <c r="HQY622" s="1831"/>
      <c r="HQZ622" s="1831"/>
      <c r="HRA622" s="1831"/>
      <c r="HRB622" s="1831"/>
      <c r="HRC622" s="1831"/>
      <c r="HRD622" s="1831"/>
      <c r="HRE622" s="1831"/>
      <c r="HRF622" s="1831"/>
      <c r="HRG622" s="1831"/>
      <c r="HRH622" s="1831"/>
      <c r="HRI622" s="1831"/>
      <c r="HRJ622" s="1831"/>
      <c r="HRK622" s="1831"/>
      <c r="HRL622" s="1831"/>
      <c r="HRM622" s="1831"/>
      <c r="HRN622" s="1831"/>
      <c r="HRO622" s="1831"/>
      <c r="HRP622" s="1831"/>
      <c r="HRQ622" s="1831"/>
      <c r="HRR622" s="1831"/>
      <c r="HRS622" s="1831"/>
      <c r="HRT622" s="1831"/>
      <c r="HRU622" s="1831"/>
      <c r="HRV622" s="1831"/>
      <c r="HRW622" s="1831"/>
      <c r="HRX622" s="1831"/>
      <c r="HRY622" s="1831"/>
      <c r="HRZ622" s="1831"/>
      <c r="HSA622" s="1831"/>
      <c r="HSB622" s="1831"/>
      <c r="HSC622" s="1831"/>
      <c r="HSD622" s="1831"/>
      <c r="HSE622" s="1831"/>
      <c r="HSF622" s="1831"/>
      <c r="HSG622" s="1831"/>
      <c r="HSH622" s="1831"/>
      <c r="HSI622" s="1831"/>
      <c r="HSJ622" s="1831"/>
      <c r="HSK622" s="1831"/>
      <c r="HSL622" s="1831"/>
      <c r="HSM622" s="1831"/>
      <c r="HSN622" s="1831"/>
      <c r="HSO622" s="1831"/>
      <c r="HSP622" s="1831"/>
      <c r="HSQ622" s="1831"/>
      <c r="HSR622" s="1831"/>
      <c r="HSS622" s="1831"/>
      <c r="HST622" s="1831"/>
      <c r="HSU622" s="1831"/>
      <c r="HSV622" s="1831"/>
      <c r="HSW622" s="1831"/>
      <c r="HSX622" s="1831"/>
      <c r="HSY622" s="1831"/>
      <c r="HSZ622" s="1831"/>
      <c r="HTA622" s="1831"/>
      <c r="HTB622" s="1831"/>
      <c r="HTC622" s="1831"/>
      <c r="HTD622" s="1831"/>
      <c r="HTE622" s="1831"/>
      <c r="HTF622" s="1831"/>
      <c r="HTG622" s="1831"/>
      <c r="HTH622" s="1831"/>
      <c r="HTI622" s="1831"/>
      <c r="HTJ622" s="1831"/>
      <c r="HTK622" s="1831"/>
      <c r="HTL622" s="1831"/>
      <c r="HTM622" s="1831"/>
      <c r="HTN622" s="1831"/>
      <c r="HTO622" s="1831"/>
      <c r="HTP622" s="1831"/>
      <c r="HTQ622" s="1831"/>
      <c r="HTR622" s="1831"/>
      <c r="HTS622" s="1831"/>
      <c r="HTT622" s="1831"/>
      <c r="HTU622" s="1831"/>
      <c r="HTV622" s="1831"/>
      <c r="HTW622" s="1831"/>
      <c r="HTX622" s="1831"/>
      <c r="HTY622" s="1831"/>
      <c r="HTZ622" s="1831"/>
      <c r="HUA622" s="1831"/>
      <c r="HUB622" s="1831"/>
      <c r="HUC622" s="1831"/>
      <c r="HUD622" s="1831"/>
      <c r="HUE622" s="1831"/>
      <c r="HUF622" s="1831"/>
      <c r="HUG622" s="1831"/>
      <c r="HUH622" s="1831"/>
      <c r="HUI622" s="1831"/>
      <c r="HUJ622" s="1831"/>
      <c r="HUK622" s="1831"/>
      <c r="HUL622" s="1831"/>
      <c r="HUM622" s="1831"/>
      <c r="HUN622" s="1831"/>
      <c r="HUO622" s="1831"/>
      <c r="HUP622" s="1831"/>
      <c r="HUQ622" s="1831"/>
      <c r="HUR622" s="1831"/>
      <c r="HUS622" s="1831"/>
      <c r="HUT622" s="1831"/>
      <c r="HUU622" s="1831"/>
      <c r="HUV622" s="1831"/>
      <c r="HUW622" s="1831"/>
      <c r="HUX622" s="1831"/>
      <c r="HUY622" s="1831"/>
      <c r="HUZ622" s="1831"/>
      <c r="HVA622" s="1831"/>
      <c r="HVB622" s="1831"/>
      <c r="HVC622" s="1831"/>
      <c r="HVD622" s="1831"/>
      <c r="HVE622" s="1831"/>
      <c r="HVF622" s="1831"/>
      <c r="HVG622" s="1831"/>
      <c r="HVH622" s="1831"/>
      <c r="HVI622" s="1831"/>
      <c r="HVJ622" s="1831"/>
      <c r="HVK622" s="1831"/>
      <c r="HVL622" s="1831"/>
      <c r="HVM622" s="1831"/>
      <c r="HVN622" s="1831"/>
      <c r="HVO622" s="1831"/>
      <c r="HVP622" s="1831"/>
      <c r="HVQ622" s="1831"/>
      <c r="HVR622" s="1831"/>
      <c r="HVS622" s="1831"/>
      <c r="HVT622" s="1831"/>
      <c r="HVU622" s="1831"/>
      <c r="HVV622" s="1831"/>
      <c r="HVW622" s="1831"/>
      <c r="HVX622" s="1831"/>
      <c r="HVY622" s="1831"/>
      <c r="HVZ622" s="1831"/>
      <c r="HWA622" s="1831"/>
      <c r="HWB622" s="1831"/>
      <c r="HWC622" s="1831"/>
      <c r="HWD622" s="1831"/>
      <c r="HWE622" s="1831"/>
      <c r="HWF622" s="1831"/>
      <c r="HWG622" s="1831"/>
      <c r="HWH622" s="1831"/>
      <c r="HWI622" s="1831"/>
      <c r="HWJ622" s="1831"/>
      <c r="HWK622" s="1831"/>
      <c r="HWL622" s="1831"/>
      <c r="HWM622" s="1831"/>
      <c r="HWN622" s="1831"/>
      <c r="HWO622" s="1831"/>
      <c r="HWP622" s="1831"/>
      <c r="HWQ622" s="1831"/>
      <c r="HWR622" s="1831"/>
      <c r="HWS622" s="1831"/>
      <c r="HWT622" s="1831"/>
      <c r="HWU622" s="1831"/>
      <c r="HWV622" s="1831"/>
      <c r="HWW622" s="1831"/>
      <c r="HWX622" s="1831"/>
      <c r="HWY622" s="1831"/>
      <c r="HWZ622" s="1831"/>
      <c r="HXA622" s="1831"/>
      <c r="HXB622" s="1831"/>
      <c r="HXC622" s="1831"/>
      <c r="HXD622" s="1831"/>
      <c r="HXE622" s="1831"/>
      <c r="HXF622" s="1831"/>
      <c r="HXG622" s="1831"/>
      <c r="HXH622" s="1831"/>
      <c r="HXI622" s="1831"/>
      <c r="HXJ622" s="1831"/>
      <c r="HXK622" s="1831"/>
      <c r="HXL622" s="1831"/>
      <c r="HXM622" s="1831"/>
      <c r="HXN622" s="1831"/>
      <c r="HXO622" s="1831"/>
      <c r="HXP622" s="1831"/>
      <c r="HXQ622" s="1831"/>
      <c r="HXR622" s="1831"/>
      <c r="HXS622" s="1831"/>
      <c r="HXT622" s="1831"/>
      <c r="HXU622" s="1831"/>
      <c r="HXV622" s="1831"/>
      <c r="HXW622" s="1831"/>
      <c r="HXX622" s="1831"/>
      <c r="HXY622" s="1831"/>
      <c r="HXZ622" s="1831"/>
      <c r="HYA622" s="1831"/>
      <c r="HYB622" s="1831"/>
      <c r="HYC622" s="1831"/>
      <c r="HYD622" s="1831"/>
      <c r="HYE622" s="1831"/>
      <c r="HYF622" s="1831"/>
      <c r="HYG622" s="1831"/>
      <c r="HYH622" s="1831"/>
      <c r="HYI622" s="1831"/>
      <c r="HYJ622" s="1831"/>
      <c r="HYK622" s="1831"/>
      <c r="HYL622" s="1831"/>
      <c r="HYM622" s="1831"/>
      <c r="HYN622" s="1831"/>
      <c r="HYO622" s="1831"/>
      <c r="HYP622" s="1831"/>
      <c r="HYQ622" s="1831"/>
      <c r="HYR622" s="1831"/>
      <c r="HYS622" s="1831"/>
      <c r="HYT622" s="1831"/>
      <c r="HYU622" s="1831"/>
      <c r="HYV622" s="1831"/>
      <c r="HYW622" s="1831"/>
      <c r="HYX622" s="1831"/>
      <c r="HYY622" s="1831"/>
      <c r="HYZ622" s="1831"/>
      <c r="HZA622" s="1831"/>
      <c r="HZB622" s="1831"/>
      <c r="HZC622" s="1831"/>
      <c r="HZD622" s="1831"/>
      <c r="HZE622" s="1831"/>
      <c r="HZF622" s="1831"/>
      <c r="HZG622" s="1831"/>
      <c r="HZH622" s="1831"/>
      <c r="HZI622" s="1831"/>
      <c r="HZJ622" s="1831"/>
      <c r="HZK622" s="1831"/>
      <c r="HZL622" s="1831"/>
      <c r="HZM622" s="1831"/>
      <c r="HZN622" s="1831"/>
      <c r="HZO622" s="1831"/>
      <c r="HZP622" s="1831"/>
      <c r="HZQ622" s="1831"/>
      <c r="HZR622" s="1831"/>
      <c r="HZS622" s="1831"/>
      <c r="HZT622" s="1831"/>
      <c r="HZU622" s="1831"/>
      <c r="HZV622" s="1831"/>
      <c r="HZW622" s="1831"/>
      <c r="HZX622" s="1831"/>
      <c r="HZY622" s="1831"/>
      <c r="HZZ622" s="1831"/>
      <c r="IAA622" s="1831"/>
      <c r="IAB622" s="1831"/>
      <c r="IAC622" s="1831"/>
      <c r="IAD622" s="1831"/>
      <c r="IAE622" s="1831"/>
      <c r="IAF622" s="1831"/>
      <c r="IAG622" s="1831"/>
      <c r="IAH622" s="1831"/>
      <c r="IAI622" s="1831"/>
      <c r="IAJ622" s="1831"/>
      <c r="IAK622" s="1831"/>
      <c r="IAL622" s="1831"/>
      <c r="IAM622" s="1831"/>
      <c r="IAN622" s="1831"/>
      <c r="IAO622" s="1831"/>
      <c r="IAP622" s="1831"/>
      <c r="IAQ622" s="1831"/>
      <c r="IAR622" s="1831"/>
      <c r="IAS622" s="1831"/>
      <c r="IAT622" s="1831"/>
      <c r="IAU622" s="1831"/>
      <c r="IAV622" s="1831"/>
      <c r="IAW622" s="1831"/>
      <c r="IAX622" s="1831"/>
      <c r="IAY622" s="1831"/>
      <c r="IAZ622" s="1831"/>
      <c r="IBA622" s="1831"/>
      <c r="IBB622" s="1831"/>
      <c r="IBC622" s="1831"/>
      <c r="IBD622" s="1831"/>
      <c r="IBE622" s="1831"/>
      <c r="IBF622" s="1831"/>
      <c r="IBG622" s="1831"/>
      <c r="IBH622" s="1831"/>
      <c r="IBI622" s="1831"/>
      <c r="IBJ622" s="1831"/>
      <c r="IBK622" s="1831"/>
      <c r="IBL622" s="1831"/>
      <c r="IBM622" s="1831"/>
      <c r="IBN622" s="1831"/>
      <c r="IBO622" s="1831"/>
      <c r="IBP622" s="1831"/>
      <c r="IBQ622" s="1831"/>
      <c r="IBR622" s="1831"/>
      <c r="IBS622" s="1831"/>
      <c r="IBT622" s="1831"/>
      <c r="IBU622" s="1831"/>
      <c r="IBV622" s="1831"/>
      <c r="IBW622" s="1831"/>
      <c r="IBX622" s="1831"/>
      <c r="IBY622" s="1831"/>
      <c r="IBZ622" s="1831"/>
      <c r="ICA622" s="1831"/>
      <c r="ICB622" s="1831"/>
      <c r="ICC622" s="1831"/>
      <c r="ICD622" s="1831"/>
      <c r="ICE622" s="1831"/>
      <c r="ICF622" s="1831"/>
      <c r="ICG622" s="1831"/>
      <c r="ICH622" s="1831"/>
      <c r="ICI622" s="1831"/>
      <c r="ICJ622" s="1831"/>
      <c r="ICK622" s="1831"/>
      <c r="ICL622" s="1831"/>
      <c r="ICM622" s="1831"/>
      <c r="ICN622" s="1831"/>
      <c r="ICO622" s="1831"/>
      <c r="ICP622" s="1831"/>
      <c r="ICQ622" s="1831"/>
      <c r="ICR622" s="1831"/>
      <c r="ICS622" s="1831"/>
      <c r="ICT622" s="1831"/>
      <c r="ICU622" s="1831"/>
      <c r="ICV622" s="1831"/>
      <c r="ICW622" s="1831"/>
      <c r="ICX622" s="1831"/>
      <c r="ICY622" s="1831"/>
      <c r="ICZ622" s="1831"/>
      <c r="IDA622" s="1831"/>
      <c r="IDB622" s="1831"/>
      <c r="IDC622" s="1831"/>
      <c r="IDD622" s="1831"/>
      <c r="IDE622" s="1831"/>
      <c r="IDF622" s="1831"/>
      <c r="IDG622" s="1831"/>
      <c r="IDH622" s="1831"/>
      <c r="IDI622" s="1831"/>
      <c r="IDJ622" s="1831"/>
      <c r="IDK622" s="1831"/>
      <c r="IDL622" s="1831"/>
      <c r="IDM622" s="1831"/>
      <c r="IDN622" s="1831"/>
      <c r="IDO622" s="1831"/>
      <c r="IDP622" s="1831"/>
      <c r="IDQ622" s="1831"/>
      <c r="IDR622" s="1831"/>
      <c r="IDS622" s="1831"/>
      <c r="IDT622" s="1831"/>
      <c r="IDU622" s="1831"/>
      <c r="IDV622" s="1831"/>
      <c r="IDW622" s="1831"/>
      <c r="IDX622" s="1831"/>
      <c r="IDY622" s="1831"/>
      <c r="IDZ622" s="1831"/>
      <c r="IEA622" s="1831"/>
      <c r="IEB622" s="1831"/>
      <c r="IEC622" s="1831"/>
      <c r="IED622" s="1831"/>
      <c r="IEE622" s="1831"/>
      <c r="IEF622" s="1831"/>
      <c r="IEG622" s="1831"/>
      <c r="IEH622" s="1831"/>
      <c r="IEI622" s="1831"/>
      <c r="IEJ622" s="1831"/>
      <c r="IEK622" s="1831"/>
      <c r="IEL622" s="1831"/>
      <c r="IEM622" s="1831"/>
      <c r="IEN622" s="1831"/>
      <c r="IEO622" s="1831"/>
      <c r="IEP622" s="1831"/>
      <c r="IEQ622" s="1831"/>
      <c r="IER622" s="1831"/>
      <c r="IES622" s="1831"/>
      <c r="IET622" s="1831"/>
      <c r="IEU622" s="1831"/>
      <c r="IEV622" s="1831"/>
      <c r="IEW622" s="1831"/>
      <c r="IEX622" s="1831"/>
      <c r="IEY622" s="1831"/>
      <c r="IEZ622" s="1831"/>
      <c r="IFA622" s="1831"/>
      <c r="IFB622" s="1831"/>
      <c r="IFC622" s="1831"/>
      <c r="IFD622" s="1831"/>
      <c r="IFE622" s="1831"/>
      <c r="IFF622" s="1831"/>
      <c r="IFG622" s="1831"/>
      <c r="IFH622" s="1831"/>
      <c r="IFI622" s="1831"/>
      <c r="IFJ622" s="1831"/>
      <c r="IFK622" s="1831"/>
      <c r="IFL622" s="1831"/>
      <c r="IFM622" s="1831"/>
      <c r="IFN622" s="1831"/>
      <c r="IFO622" s="1831"/>
      <c r="IFP622" s="1831"/>
      <c r="IFQ622" s="1831"/>
      <c r="IFR622" s="1831"/>
      <c r="IFS622" s="1831"/>
      <c r="IFT622" s="1831"/>
      <c r="IFU622" s="1831"/>
      <c r="IFV622" s="1831"/>
      <c r="IFW622" s="1831"/>
      <c r="IFX622" s="1831"/>
      <c r="IFY622" s="1831"/>
      <c r="IFZ622" s="1831"/>
      <c r="IGA622" s="1831"/>
      <c r="IGB622" s="1831"/>
      <c r="IGC622" s="1831"/>
      <c r="IGD622" s="1831"/>
      <c r="IGE622" s="1831"/>
      <c r="IGF622" s="1831"/>
      <c r="IGG622" s="1831"/>
      <c r="IGH622" s="1831"/>
      <c r="IGI622" s="1831"/>
      <c r="IGJ622" s="1831"/>
      <c r="IGK622" s="1831"/>
      <c r="IGL622" s="1831"/>
      <c r="IGM622" s="1831"/>
      <c r="IGN622" s="1831"/>
      <c r="IGO622" s="1831"/>
      <c r="IGP622" s="1831"/>
      <c r="IGQ622" s="1831"/>
      <c r="IGR622" s="1831"/>
      <c r="IGS622" s="1831"/>
      <c r="IGT622" s="1831"/>
      <c r="IGU622" s="1831"/>
      <c r="IGV622" s="1831"/>
      <c r="IGW622" s="1831"/>
      <c r="IGX622" s="1831"/>
      <c r="IGY622" s="1831"/>
      <c r="IGZ622" s="1831"/>
      <c r="IHA622" s="1831"/>
      <c r="IHB622" s="1831"/>
      <c r="IHC622" s="1831"/>
      <c r="IHD622" s="1831"/>
      <c r="IHE622" s="1831"/>
      <c r="IHF622" s="1831"/>
      <c r="IHG622" s="1831"/>
      <c r="IHH622" s="1831"/>
      <c r="IHI622" s="1831"/>
      <c r="IHJ622" s="1831"/>
      <c r="IHK622" s="1831"/>
      <c r="IHL622" s="1831"/>
      <c r="IHM622" s="1831"/>
      <c r="IHN622" s="1831"/>
      <c r="IHO622" s="1831"/>
      <c r="IHP622" s="1831"/>
      <c r="IHQ622" s="1831"/>
      <c r="IHR622" s="1831"/>
      <c r="IHS622" s="1831"/>
      <c r="IHT622" s="1831"/>
      <c r="IHU622" s="1831"/>
      <c r="IHV622" s="1831"/>
      <c r="IHW622" s="1831"/>
      <c r="IHX622" s="1831"/>
      <c r="IHY622" s="1831"/>
      <c r="IHZ622" s="1831"/>
      <c r="IIA622" s="1831"/>
      <c r="IIB622" s="1831"/>
      <c r="IIC622" s="1831"/>
      <c r="IID622" s="1831"/>
      <c r="IIE622" s="1831"/>
      <c r="IIF622" s="1831"/>
      <c r="IIG622" s="1831"/>
      <c r="IIH622" s="1831"/>
      <c r="III622" s="1831"/>
      <c r="IIJ622" s="1831"/>
      <c r="IIK622" s="1831"/>
      <c r="IIL622" s="1831"/>
      <c r="IIM622" s="1831"/>
      <c r="IIN622" s="1831"/>
      <c r="IIO622" s="1831"/>
      <c r="IIP622" s="1831"/>
      <c r="IIQ622" s="1831"/>
      <c r="IIR622" s="1831"/>
      <c r="IIS622" s="1831"/>
      <c r="IIT622" s="1831"/>
      <c r="IIU622" s="1831"/>
      <c r="IIV622" s="1831"/>
      <c r="IIW622" s="1831"/>
      <c r="IIX622" s="1831"/>
      <c r="IIY622" s="1831"/>
      <c r="IIZ622" s="1831"/>
      <c r="IJA622" s="1831"/>
      <c r="IJB622" s="1831"/>
      <c r="IJC622" s="1831"/>
      <c r="IJD622" s="1831"/>
      <c r="IJE622" s="1831"/>
      <c r="IJF622" s="1831"/>
      <c r="IJG622" s="1831"/>
      <c r="IJH622" s="1831"/>
      <c r="IJI622" s="1831"/>
      <c r="IJJ622" s="1831"/>
      <c r="IJK622" s="1831"/>
      <c r="IJL622" s="1831"/>
      <c r="IJM622" s="1831"/>
      <c r="IJN622" s="1831"/>
      <c r="IJO622" s="1831"/>
      <c r="IJP622" s="1831"/>
      <c r="IJQ622" s="1831"/>
      <c r="IJR622" s="1831"/>
      <c r="IJS622" s="1831"/>
      <c r="IJT622" s="1831"/>
      <c r="IJU622" s="1831"/>
      <c r="IJV622" s="1831"/>
      <c r="IJW622" s="1831"/>
      <c r="IJX622" s="1831"/>
      <c r="IJY622" s="1831"/>
      <c r="IJZ622" s="1831"/>
      <c r="IKA622" s="1831"/>
      <c r="IKB622" s="1831"/>
      <c r="IKC622" s="1831"/>
      <c r="IKD622" s="1831"/>
      <c r="IKE622" s="1831"/>
      <c r="IKF622" s="1831"/>
      <c r="IKG622" s="1831"/>
      <c r="IKH622" s="1831"/>
      <c r="IKI622" s="1831"/>
      <c r="IKJ622" s="1831"/>
      <c r="IKK622" s="1831"/>
      <c r="IKL622" s="1831"/>
      <c r="IKM622" s="1831"/>
      <c r="IKN622" s="1831"/>
      <c r="IKO622" s="1831"/>
      <c r="IKP622" s="1831"/>
      <c r="IKQ622" s="1831"/>
      <c r="IKR622" s="1831"/>
      <c r="IKS622" s="1831"/>
      <c r="IKT622" s="1831"/>
      <c r="IKU622" s="1831"/>
      <c r="IKV622" s="1831"/>
      <c r="IKW622" s="1831"/>
      <c r="IKX622" s="1831"/>
      <c r="IKY622" s="1831"/>
      <c r="IKZ622" s="1831"/>
      <c r="ILA622" s="1831"/>
      <c r="ILB622" s="1831"/>
      <c r="ILC622" s="1831"/>
      <c r="ILD622" s="1831"/>
      <c r="ILE622" s="1831"/>
      <c r="ILF622" s="1831"/>
      <c r="ILG622" s="1831"/>
      <c r="ILH622" s="1831"/>
      <c r="ILI622" s="1831"/>
      <c r="ILJ622" s="1831"/>
      <c r="ILK622" s="1831"/>
      <c r="ILL622" s="1831"/>
      <c r="ILM622" s="1831"/>
      <c r="ILN622" s="1831"/>
      <c r="ILO622" s="1831"/>
      <c r="ILP622" s="1831"/>
      <c r="ILQ622" s="1831"/>
      <c r="ILR622" s="1831"/>
      <c r="ILS622" s="1831"/>
      <c r="ILT622" s="1831"/>
      <c r="ILU622" s="1831"/>
      <c r="ILV622" s="1831"/>
      <c r="ILW622" s="1831"/>
      <c r="ILX622" s="1831"/>
      <c r="ILY622" s="1831"/>
      <c r="ILZ622" s="1831"/>
      <c r="IMA622" s="1831"/>
      <c r="IMB622" s="1831"/>
      <c r="IMC622" s="1831"/>
      <c r="IMD622" s="1831"/>
      <c r="IME622" s="1831"/>
      <c r="IMF622" s="1831"/>
      <c r="IMG622" s="1831"/>
      <c r="IMH622" s="1831"/>
      <c r="IMI622" s="1831"/>
      <c r="IMJ622" s="1831"/>
      <c r="IMK622" s="1831"/>
      <c r="IML622" s="1831"/>
      <c r="IMM622" s="1831"/>
      <c r="IMN622" s="1831"/>
      <c r="IMO622" s="1831"/>
      <c r="IMP622" s="1831"/>
      <c r="IMQ622" s="1831"/>
      <c r="IMR622" s="1831"/>
      <c r="IMS622" s="1831"/>
      <c r="IMT622" s="1831"/>
      <c r="IMU622" s="1831"/>
      <c r="IMV622" s="1831"/>
      <c r="IMW622" s="1831"/>
      <c r="IMX622" s="1831"/>
      <c r="IMY622" s="1831"/>
      <c r="IMZ622" s="1831"/>
      <c r="INA622" s="1831"/>
      <c r="INB622" s="1831"/>
      <c r="INC622" s="1831"/>
      <c r="IND622" s="1831"/>
      <c r="INE622" s="1831"/>
      <c r="INF622" s="1831"/>
      <c r="ING622" s="1831"/>
      <c r="INH622" s="1831"/>
      <c r="INI622" s="1831"/>
      <c r="INJ622" s="1831"/>
      <c r="INK622" s="1831"/>
      <c r="INL622" s="1831"/>
      <c r="INM622" s="1831"/>
      <c r="INN622" s="1831"/>
      <c r="INO622" s="1831"/>
      <c r="INP622" s="1831"/>
      <c r="INQ622" s="1831"/>
      <c r="INR622" s="1831"/>
      <c r="INS622" s="1831"/>
      <c r="INT622" s="1831"/>
      <c r="INU622" s="1831"/>
      <c r="INV622" s="1831"/>
      <c r="INW622" s="1831"/>
      <c r="INX622" s="1831"/>
      <c r="INY622" s="1831"/>
      <c r="INZ622" s="1831"/>
      <c r="IOA622" s="1831"/>
      <c r="IOB622" s="1831"/>
      <c r="IOC622" s="1831"/>
      <c r="IOD622" s="1831"/>
      <c r="IOE622" s="1831"/>
      <c r="IOF622" s="1831"/>
      <c r="IOG622" s="1831"/>
      <c r="IOH622" s="1831"/>
      <c r="IOI622" s="1831"/>
      <c r="IOJ622" s="1831"/>
      <c r="IOK622" s="1831"/>
      <c r="IOL622" s="1831"/>
      <c r="IOM622" s="1831"/>
      <c r="ION622" s="1831"/>
      <c r="IOO622" s="1831"/>
      <c r="IOP622" s="1831"/>
      <c r="IOQ622" s="1831"/>
      <c r="IOR622" s="1831"/>
      <c r="IOS622" s="1831"/>
      <c r="IOT622" s="1831"/>
      <c r="IOU622" s="1831"/>
      <c r="IOV622" s="1831"/>
      <c r="IOW622" s="1831"/>
      <c r="IOX622" s="1831"/>
      <c r="IOY622" s="1831"/>
      <c r="IOZ622" s="1831"/>
      <c r="IPA622" s="1831"/>
      <c r="IPB622" s="1831"/>
      <c r="IPC622" s="1831"/>
      <c r="IPD622" s="1831"/>
      <c r="IPE622" s="1831"/>
      <c r="IPF622" s="1831"/>
      <c r="IPG622" s="1831"/>
      <c r="IPH622" s="1831"/>
      <c r="IPI622" s="1831"/>
      <c r="IPJ622" s="1831"/>
      <c r="IPK622" s="1831"/>
      <c r="IPL622" s="1831"/>
      <c r="IPM622" s="1831"/>
      <c r="IPN622" s="1831"/>
      <c r="IPO622" s="1831"/>
      <c r="IPP622" s="1831"/>
      <c r="IPQ622" s="1831"/>
      <c r="IPR622" s="1831"/>
      <c r="IPS622" s="1831"/>
      <c r="IPT622" s="1831"/>
      <c r="IPU622" s="1831"/>
      <c r="IPV622" s="1831"/>
      <c r="IPW622" s="1831"/>
      <c r="IPX622" s="1831"/>
      <c r="IPY622" s="1831"/>
      <c r="IPZ622" s="1831"/>
      <c r="IQA622" s="1831"/>
      <c r="IQB622" s="1831"/>
      <c r="IQC622" s="1831"/>
      <c r="IQD622" s="1831"/>
      <c r="IQE622" s="1831"/>
      <c r="IQF622" s="1831"/>
      <c r="IQG622" s="1831"/>
      <c r="IQH622" s="1831"/>
      <c r="IQI622" s="1831"/>
      <c r="IQJ622" s="1831"/>
      <c r="IQK622" s="1831"/>
      <c r="IQL622" s="1831"/>
      <c r="IQM622" s="1831"/>
      <c r="IQN622" s="1831"/>
      <c r="IQO622" s="1831"/>
      <c r="IQP622" s="1831"/>
      <c r="IQQ622" s="1831"/>
      <c r="IQR622" s="1831"/>
      <c r="IQS622" s="1831"/>
      <c r="IQT622" s="1831"/>
      <c r="IQU622" s="1831"/>
      <c r="IQV622" s="1831"/>
      <c r="IQW622" s="1831"/>
      <c r="IQX622" s="1831"/>
      <c r="IQY622" s="1831"/>
      <c r="IQZ622" s="1831"/>
      <c r="IRA622" s="1831"/>
      <c r="IRB622" s="1831"/>
      <c r="IRC622" s="1831"/>
      <c r="IRD622" s="1831"/>
      <c r="IRE622" s="1831"/>
      <c r="IRF622" s="1831"/>
      <c r="IRG622" s="1831"/>
      <c r="IRH622" s="1831"/>
      <c r="IRI622" s="1831"/>
      <c r="IRJ622" s="1831"/>
      <c r="IRK622" s="1831"/>
      <c r="IRL622" s="1831"/>
      <c r="IRM622" s="1831"/>
      <c r="IRN622" s="1831"/>
      <c r="IRO622" s="1831"/>
      <c r="IRP622" s="1831"/>
      <c r="IRQ622" s="1831"/>
      <c r="IRR622" s="1831"/>
      <c r="IRS622" s="1831"/>
      <c r="IRT622" s="1831"/>
      <c r="IRU622" s="1831"/>
      <c r="IRV622" s="1831"/>
      <c r="IRW622" s="1831"/>
      <c r="IRX622" s="1831"/>
      <c r="IRY622" s="1831"/>
      <c r="IRZ622" s="1831"/>
      <c r="ISA622" s="1831"/>
      <c r="ISB622" s="1831"/>
      <c r="ISC622" s="1831"/>
      <c r="ISD622" s="1831"/>
      <c r="ISE622" s="1831"/>
      <c r="ISF622" s="1831"/>
      <c r="ISG622" s="1831"/>
      <c r="ISH622" s="1831"/>
      <c r="ISI622" s="1831"/>
      <c r="ISJ622" s="1831"/>
      <c r="ISK622" s="1831"/>
      <c r="ISL622" s="1831"/>
      <c r="ISM622" s="1831"/>
      <c r="ISN622" s="1831"/>
      <c r="ISO622" s="1831"/>
      <c r="ISP622" s="1831"/>
      <c r="ISQ622" s="1831"/>
      <c r="ISR622" s="1831"/>
      <c r="ISS622" s="1831"/>
      <c r="IST622" s="1831"/>
      <c r="ISU622" s="1831"/>
      <c r="ISV622" s="1831"/>
      <c r="ISW622" s="1831"/>
      <c r="ISX622" s="1831"/>
      <c r="ISY622" s="1831"/>
      <c r="ISZ622" s="1831"/>
      <c r="ITA622" s="1831"/>
      <c r="ITB622" s="1831"/>
      <c r="ITC622" s="1831"/>
      <c r="ITD622" s="1831"/>
      <c r="ITE622" s="1831"/>
      <c r="ITF622" s="1831"/>
      <c r="ITG622" s="1831"/>
      <c r="ITH622" s="1831"/>
      <c r="ITI622" s="1831"/>
      <c r="ITJ622" s="1831"/>
      <c r="ITK622" s="1831"/>
      <c r="ITL622" s="1831"/>
      <c r="ITM622" s="1831"/>
      <c r="ITN622" s="1831"/>
      <c r="ITO622" s="1831"/>
      <c r="ITP622" s="1831"/>
      <c r="ITQ622" s="1831"/>
      <c r="ITR622" s="1831"/>
      <c r="ITS622" s="1831"/>
      <c r="ITT622" s="1831"/>
      <c r="ITU622" s="1831"/>
      <c r="ITV622" s="1831"/>
      <c r="ITW622" s="1831"/>
      <c r="ITX622" s="1831"/>
      <c r="ITY622" s="1831"/>
      <c r="ITZ622" s="1831"/>
      <c r="IUA622" s="1831"/>
      <c r="IUB622" s="1831"/>
      <c r="IUC622" s="1831"/>
      <c r="IUD622" s="1831"/>
      <c r="IUE622" s="1831"/>
      <c r="IUF622" s="1831"/>
      <c r="IUG622" s="1831"/>
      <c r="IUH622" s="1831"/>
      <c r="IUI622" s="1831"/>
      <c r="IUJ622" s="1831"/>
      <c r="IUK622" s="1831"/>
      <c r="IUL622" s="1831"/>
      <c r="IUM622" s="1831"/>
      <c r="IUN622" s="1831"/>
      <c r="IUO622" s="1831"/>
      <c r="IUP622" s="1831"/>
      <c r="IUQ622" s="1831"/>
      <c r="IUR622" s="1831"/>
      <c r="IUS622" s="1831"/>
      <c r="IUT622" s="1831"/>
      <c r="IUU622" s="1831"/>
      <c r="IUV622" s="1831"/>
      <c r="IUW622" s="1831"/>
      <c r="IUX622" s="1831"/>
      <c r="IUY622" s="1831"/>
      <c r="IUZ622" s="1831"/>
      <c r="IVA622" s="1831"/>
      <c r="IVB622" s="1831"/>
      <c r="IVC622" s="1831"/>
      <c r="IVD622" s="1831"/>
      <c r="IVE622" s="1831"/>
      <c r="IVF622" s="1831"/>
      <c r="IVG622" s="1831"/>
      <c r="IVH622" s="1831"/>
      <c r="IVI622" s="1831"/>
      <c r="IVJ622" s="1831"/>
      <c r="IVK622" s="1831"/>
      <c r="IVL622" s="1831"/>
      <c r="IVM622" s="1831"/>
      <c r="IVN622" s="1831"/>
      <c r="IVO622" s="1831"/>
      <c r="IVP622" s="1831"/>
      <c r="IVQ622" s="1831"/>
      <c r="IVR622" s="1831"/>
      <c r="IVS622" s="1831"/>
      <c r="IVT622" s="1831"/>
      <c r="IVU622" s="1831"/>
      <c r="IVV622" s="1831"/>
      <c r="IVW622" s="1831"/>
      <c r="IVX622" s="1831"/>
      <c r="IVY622" s="1831"/>
      <c r="IVZ622" s="1831"/>
      <c r="IWA622" s="1831"/>
      <c r="IWB622" s="1831"/>
      <c r="IWC622" s="1831"/>
      <c r="IWD622" s="1831"/>
      <c r="IWE622" s="1831"/>
      <c r="IWF622" s="1831"/>
      <c r="IWG622" s="1831"/>
      <c r="IWH622" s="1831"/>
      <c r="IWI622" s="1831"/>
      <c r="IWJ622" s="1831"/>
      <c r="IWK622" s="1831"/>
      <c r="IWL622" s="1831"/>
      <c r="IWM622" s="1831"/>
      <c r="IWN622" s="1831"/>
      <c r="IWO622" s="1831"/>
      <c r="IWP622" s="1831"/>
      <c r="IWQ622" s="1831"/>
      <c r="IWR622" s="1831"/>
      <c r="IWS622" s="1831"/>
      <c r="IWT622" s="1831"/>
      <c r="IWU622" s="1831"/>
      <c r="IWV622" s="1831"/>
      <c r="IWW622" s="1831"/>
      <c r="IWX622" s="1831"/>
      <c r="IWY622" s="1831"/>
      <c r="IWZ622" s="1831"/>
      <c r="IXA622" s="1831"/>
      <c r="IXB622" s="1831"/>
      <c r="IXC622" s="1831"/>
      <c r="IXD622" s="1831"/>
      <c r="IXE622" s="1831"/>
      <c r="IXF622" s="1831"/>
      <c r="IXG622" s="1831"/>
      <c r="IXH622" s="1831"/>
      <c r="IXI622" s="1831"/>
      <c r="IXJ622" s="1831"/>
      <c r="IXK622" s="1831"/>
      <c r="IXL622" s="1831"/>
      <c r="IXM622" s="1831"/>
      <c r="IXN622" s="1831"/>
      <c r="IXO622" s="1831"/>
      <c r="IXP622" s="1831"/>
      <c r="IXQ622" s="1831"/>
      <c r="IXR622" s="1831"/>
      <c r="IXS622" s="1831"/>
      <c r="IXT622" s="1831"/>
      <c r="IXU622" s="1831"/>
      <c r="IXV622" s="1831"/>
      <c r="IXW622" s="1831"/>
      <c r="IXX622" s="1831"/>
      <c r="IXY622" s="1831"/>
      <c r="IXZ622" s="1831"/>
      <c r="IYA622" s="1831"/>
      <c r="IYB622" s="1831"/>
      <c r="IYC622" s="1831"/>
      <c r="IYD622" s="1831"/>
      <c r="IYE622" s="1831"/>
      <c r="IYF622" s="1831"/>
      <c r="IYG622" s="1831"/>
      <c r="IYH622" s="1831"/>
      <c r="IYI622" s="1831"/>
      <c r="IYJ622" s="1831"/>
      <c r="IYK622" s="1831"/>
      <c r="IYL622" s="1831"/>
      <c r="IYM622" s="1831"/>
      <c r="IYN622" s="1831"/>
      <c r="IYO622" s="1831"/>
      <c r="IYP622" s="1831"/>
      <c r="IYQ622" s="1831"/>
      <c r="IYR622" s="1831"/>
      <c r="IYS622" s="1831"/>
      <c r="IYT622" s="1831"/>
      <c r="IYU622" s="1831"/>
      <c r="IYV622" s="1831"/>
      <c r="IYW622" s="1831"/>
      <c r="IYX622" s="1831"/>
      <c r="IYY622" s="1831"/>
      <c r="IYZ622" s="1831"/>
      <c r="IZA622" s="1831"/>
      <c r="IZB622" s="1831"/>
      <c r="IZC622" s="1831"/>
      <c r="IZD622" s="1831"/>
      <c r="IZE622" s="1831"/>
      <c r="IZF622" s="1831"/>
      <c r="IZG622" s="1831"/>
      <c r="IZH622" s="1831"/>
      <c r="IZI622" s="1831"/>
      <c r="IZJ622" s="1831"/>
      <c r="IZK622" s="1831"/>
      <c r="IZL622" s="1831"/>
      <c r="IZM622" s="1831"/>
      <c r="IZN622" s="1831"/>
      <c r="IZO622" s="1831"/>
      <c r="IZP622" s="1831"/>
      <c r="IZQ622" s="1831"/>
      <c r="IZR622" s="1831"/>
      <c r="IZS622" s="1831"/>
      <c r="IZT622" s="1831"/>
      <c r="IZU622" s="1831"/>
      <c r="IZV622" s="1831"/>
      <c r="IZW622" s="1831"/>
      <c r="IZX622" s="1831"/>
      <c r="IZY622" s="1831"/>
      <c r="IZZ622" s="1831"/>
      <c r="JAA622" s="1831"/>
      <c r="JAB622" s="1831"/>
      <c r="JAC622" s="1831"/>
      <c r="JAD622" s="1831"/>
      <c r="JAE622" s="1831"/>
      <c r="JAF622" s="1831"/>
      <c r="JAG622" s="1831"/>
      <c r="JAH622" s="1831"/>
      <c r="JAI622" s="1831"/>
      <c r="JAJ622" s="1831"/>
      <c r="JAK622" s="1831"/>
      <c r="JAL622" s="1831"/>
      <c r="JAM622" s="1831"/>
      <c r="JAN622" s="1831"/>
      <c r="JAO622" s="1831"/>
      <c r="JAP622" s="1831"/>
      <c r="JAQ622" s="1831"/>
      <c r="JAR622" s="1831"/>
      <c r="JAS622" s="1831"/>
      <c r="JAT622" s="1831"/>
      <c r="JAU622" s="1831"/>
      <c r="JAV622" s="1831"/>
      <c r="JAW622" s="1831"/>
      <c r="JAX622" s="1831"/>
      <c r="JAY622" s="1831"/>
      <c r="JAZ622" s="1831"/>
      <c r="JBA622" s="1831"/>
      <c r="JBB622" s="1831"/>
      <c r="JBC622" s="1831"/>
      <c r="JBD622" s="1831"/>
      <c r="JBE622" s="1831"/>
      <c r="JBF622" s="1831"/>
      <c r="JBG622" s="1831"/>
      <c r="JBH622" s="1831"/>
      <c r="JBI622" s="1831"/>
      <c r="JBJ622" s="1831"/>
      <c r="JBK622" s="1831"/>
      <c r="JBL622" s="1831"/>
      <c r="JBM622" s="1831"/>
      <c r="JBN622" s="1831"/>
      <c r="JBO622" s="1831"/>
      <c r="JBP622" s="1831"/>
      <c r="JBQ622" s="1831"/>
      <c r="JBR622" s="1831"/>
      <c r="JBS622" s="1831"/>
      <c r="JBT622" s="1831"/>
      <c r="JBU622" s="1831"/>
      <c r="JBV622" s="1831"/>
      <c r="JBW622" s="1831"/>
      <c r="JBX622" s="1831"/>
      <c r="JBY622" s="1831"/>
      <c r="JBZ622" s="1831"/>
      <c r="JCA622" s="1831"/>
      <c r="JCB622" s="1831"/>
      <c r="JCC622" s="1831"/>
      <c r="JCD622" s="1831"/>
      <c r="JCE622" s="1831"/>
      <c r="JCF622" s="1831"/>
      <c r="JCG622" s="1831"/>
      <c r="JCH622" s="1831"/>
      <c r="JCI622" s="1831"/>
      <c r="JCJ622" s="1831"/>
      <c r="JCK622" s="1831"/>
      <c r="JCL622" s="1831"/>
      <c r="JCM622" s="1831"/>
      <c r="JCN622" s="1831"/>
      <c r="JCO622" s="1831"/>
      <c r="JCP622" s="1831"/>
      <c r="JCQ622" s="1831"/>
      <c r="JCR622" s="1831"/>
      <c r="JCS622" s="1831"/>
      <c r="JCT622" s="1831"/>
      <c r="JCU622" s="1831"/>
      <c r="JCV622" s="1831"/>
      <c r="JCW622" s="1831"/>
      <c r="JCX622" s="1831"/>
      <c r="JCY622" s="1831"/>
      <c r="JCZ622" s="1831"/>
      <c r="JDA622" s="1831"/>
      <c r="JDB622" s="1831"/>
      <c r="JDC622" s="1831"/>
      <c r="JDD622" s="1831"/>
      <c r="JDE622" s="1831"/>
      <c r="JDF622" s="1831"/>
      <c r="JDG622" s="1831"/>
      <c r="JDH622" s="1831"/>
      <c r="JDI622" s="1831"/>
      <c r="JDJ622" s="1831"/>
      <c r="JDK622" s="1831"/>
      <c r="JDL622" s="1831"/>
      <c r="JDM622" s="1831"/>
      <c r="JDN622" s="1831"/>
      <c r="JDO622" s="1831"/>
      <c r="JDP622" s="1831"/>
      <c r="JDQ622" s="1831"/>
      <c r="JDR622" s="1831"/>
      <c r="JDS622" s="1831"/>
      <c r="JDT622" s="1831"/>
      <c r="JDU622" s="1831"/>
      <c r="JDV622" s="1831"/>
      <c r="JDW622" s="1831"/>
      <c r="JDX622" s="1831"/>
      <c r="JDY622" s="1831"/>
      <c r="JDZ622" s="1831"/>
      <c r="JEA622" s="1831"/>
      <c r="JEB622" s="1831"/>
      <c r="JEC622" s="1831"/>
      <c r="JED622" s="1831"/>
      <c r="JEE622" s="1831"/>
      <c r="JEF622" s="1831"/>
      <c r="JEG622" s="1831"/>
      <c r="JEH622" s="1831"/>
      <c r="JEI622" s="1831"/>
      <c r="JEJ622" s="1831"/>
      <c r="JEK622" s="1831"/>
      <c r="JEL622" s="1831"/>
      <c r="JEM622" s="1831"/>
      <c r="JEN622" s="1831"/>
      <c r="JEO622" s="1831"/>
      <c r="JEP622" s="1831"/>
      <c r="JEQ622" s="1831"/>
      <c r="JER622" s="1831"/>
      <c r="JES622" s="1831"/>
      <c r="JET622" s="1831"/>
      <c r="JEU622" s="1831"/>
      <c r="JEV622" s="1831"/>
      <c r="JEW622" s="1831"/>
      <c r="JEX622" s="1831"/>
      <c r="JEY622" s="1831"/>
      <c r="JEZ622" s="1831"/>
      <c r="JFA622" s="1831"/>
      <c r="JFB622" s="1831"/>
      <c r="JFC622" s="1831"/>
      <c r="JFD622" s="1831"/>
      <c r="JFE622" s="1831"/>
      <c r="JFF622" s="1831"/>
      <c r="JFG622" s="1831"/>
      <c r="JFH622" s="1831"/>
      <c r="JFI622" s="1831"/>
      <c r="JFJ622" s="1831"/>
      <c r="JFK622" s="1831"/>
      <c r="JFL622" s="1831"/>
      <c r="JFM622" s="1831"/>
      <c r="JFN622" s="1831"/>
      <c r="JFO622" s="1831"/>
      <c r="JFP622" s="1831"/>
      <c r="JFQ622" s="1831"/>
      <c r="JFR622" s="1831"/>
      <c r="JFS622" s="1831"/>
      <c r="JFT622" s="1831"/>
      <c r="JFU622" s="1831"/>
      <c r="JFV622" s="1831"/>
      <c r="JFW622" s="1831"/>
      <c r="JFX622" s="1831"/>
      <c r="JFY622" s="1831"/>
      <c r="JFZ622" s="1831"/>
      <c r="JGA622" s="1831"/>
      <c r="JGB622" s="1831"/>
      <c r="JGC622" s="1831"/>
      <c r="JGD622" s="1831"/>
      <c r="JGE622" s="1831"/>
      <c r="JGF622" s="1831"/>
      <c r="JGG622" s="1831"/>
      <c r="JGH622" s="1831"/>
      <c r="JGI622" s="1831"/>
      <c r="JGJ622" s="1831"/>
      <c r="JGK622" s="1831"/>
      <c r="JGL622" s="1831"/>
      <c r="JGM622" s="1831"/>
      <c r="JGN622" s="1831"/>
      <c r="JGO622" s="1831"/>
      <c r="JGP622" s="1831"/>
      <c r="JGQ622" s="1831"/>
      <c r="JGR622" s="1831"/>
      <c r="JGS622" s="1831"/>
      <c r="JGT622" s="1831"/>
      <c r="JGU622" s="1831"/>
      <c r="JGV622" s="1831"/>
      <c r="JGW622" s="1831"/>
      <c r="JGX622" s="1831"/>
      <c r="JGY622" s="1831"/>
      <c r="JGZ622" s="1831"/>
      <c r="JHA622" s="1831"/>
      <c r="JHB622" s="1831"/>
      <c r="JHC622" s="1831"/>
      <c r="JHD622" s="1831"/>
      <c r="JHE622" s="1831"/>
      <c r="JHF622" s="1831"/>
      <c r="JHG622" s="1831"/>
      <c r="JHH622" s="1831"/>
      <c r="JHI622" s="1831"/>
      <c r="JHJ622" s="1831"/>
      <c r="JHK622" s="1831"/>
      <c r="JHL622" s="1831"/>
      <c r="JHM622" s="1831"/>
      <c r="JHN622" s="1831"/>
      <c r="JHO622" s="1831"/>
      <c r="JHP622" s="1831"/>
      <c r="JHQ622" s="1831"/>
      <c r="JHR622" s="1831"/>
      <c r="JHS622" s="1831"/>
      <c r="JHT622" s="1831"/>
      <c r="JHU622" s="1831"/>
      <c r="JHV622" s="1831"/>
      <c r="JHW622" s="1831"/>
      <c r="JHX622" s="1831"/>
      <c r="JHY622" s="1831"/>
      <c r="JHZ622" s="1831"/>
      <c r="JIA622" s="1831"/>
      <c r="JIB622" s="1831"/>
      <c r="JIC622" s="1831"/>
      <c r="JID622" s="1831"/>
      <c r="JIE622" s="1831"/>
      <c r="JIF622" s="1831"/>
      <c r="JIG622" s="1831"/>
      <c r="JIH622" s="1831"/>
      <c r="JII622" s="1831"/>
      <c r="JIJ622" s="1831"/>
      <c r="JIK622" s="1831"/>
      <c r="JIL622" s="1831"/>
      <c r="JIM622" s="1831"/>
      <c r="JIN622" s="1831"/>
      <c r="JIO622" s="1831"/>
      <c r="JIP622" s="1831"/>
      <c r="JIQ622" s="1831"/>
      <c r="JIR622" s="1831"/>
      <c r="JIS622" s="1831"/>
      <c r="JIT622" s="1831"/>
      <c r="JIU622" s="1831"/>
      <c r="JIV622" s="1831"/>
      <c r="JIW622" s="1831"/>
      <c r="JIX622" s="1831"/>
      <c r="JIY622" s="1831"/>
      <c r="JIZ622" s="1831"/>
      <c r="JJA622" s="1831"/>
      <c r="JJB622" s="1831"/>
      <c r="JJC622" s="1831"/>
      <c r="JJD622" s="1831"/>
      <c r="JJE622" s="1831"/>
      <c r="JJF622" s="1831"/>
      <c r="JJG622" s="1831"/>
      <c r="JJH622" s="1831"/>
      <c r="JJI622" s="1831"/>
      <c r="JJJ622" s="1831"/>
      <c r="JJK622" s="1831"/>
      <c r="JJL622" s="1831"/>
      <c r="JJM622" s="1831"/>
      <c r="JJN622" s="1831"/>
      <c r="JJO622" s="1831"/>
      <c r="JJP622" s="1831"/>
      <c r="JJQ622" s="1831"/>
      <c r="JJR622" s="1831"/>
      <c r="JJS622" s="1831"/>
      <c r="JJT622" s="1831"/>
      <c r="JJU622" s="1831"/>
      <c r="JJV622" s="1831"/>
      <c r="JJW622" s="1831"/>
      <c r="JJX622" s="1831"/>
      <c r="JJY622" s="1831"/>
      <c r="JJZ622" s="1831"/>
      <c r="JKA622" s="1831"/>
      <c r="JKB622" s="1831"/>
      <c r="JKC622" s="1831"/>
      <c r="JKD622" s="1831"/>
      <c r="JKE622" s="1831"/>
      <c r="JKF622" s="1831"/>
      <c r="JKG622" s="1831"/>
      <c r="JKH622" s="1831"/>
      <c r="JKI622" s="1831"/>
      <c r="JKJ622" s="1831"/>
      <c r="JKK622" s="1831"/>
      <c r="JKL622" s="1831"/>
      <c r="JKM622" s="1831"/>
      <c r="JKN622" s="1831"/>
      <c r="JKO622" s="1831"/>
      <c r="JKP622" s="1831"/>
      <c r="JKQ622" s="1831"/>
      <c r="JKR622" s="1831"/>
      <c r="JKS622" s="1831"/>
      <c r="JKT622" s="1831"/>
      <c r="JKU622" s="1831"/>
      <c r="JKV622" s="1831"/>
      <c r="JKW622" s="1831"/>
      <c r="JKX622" s="1831"/>
      <c r="JKY622" s="1831"/>
      <c r="JKZ622" s="1831"/>
      <c r="JLA622" s="1831"/>
      <c r="JLB622" s="1831"/>
      <c r="JLC622" s="1831"/>
      <c r="JLD622" s="1831"/>
      <c r="JLE622" s="1831"/>
      <c r="JLF622" s="1831"/>
      <c r="JLG622" s="1831"/>
      <c r="JLH622" s="1831"/>
      <c r="JLI622" s="1831"/>
      <c r="JLJ622" s="1831"/>
      <c r="JLK622" s="1831"/>
      <c r="JLL622" s="1831"/>
      <c r="JLM622" s="1831"/>
      <c r="JLN622" s="1831"/>
      <c r="JLO622" s="1831"/>
      <c r="JLP622" s="1831"/>
      <c r="JLQ622" s="1831"/>
      <c r="JLR622" s="1831"/>
      <c r="JLS622" s="1831"/>
      <c r="JLT622" s="1831"/>
      <c r="JLU622" s="1831"/>
      <c r="JLV622" s="1831"/>
      <c r="JLW622" s="1831"/>
      <c r="JLX622" s="1831"/>
      <c r="JLY622" s="1831"/>
      <c r="JLZ622" s="1831"/>
      <c r="JMA622" s="1831"/>
      <c r="JMB622" s="1831"/>
      <c r="JMC622" s="1831"/>
      <c r="JMD622" s="1831"/>
      <c r="JME622" s="1831"/>
      <c r="JMF622" s="1831"/>
      <c r="JMG622" s="1831"/>
      <c r="JMH622" s="1831"/>
      <c r="JMI622" s="1831"/>
      <c r="JMJ622" s="1831"/>
      <c r="JMK622" s="1831"/>
      <c r="JML622" s="1831"/>
      <c r="JMM622" s="1831"/>
      <c r="JMN622" s="1831"/>
      <c r="JMO622" s="1831"/>
      <c r="JMP622" s="1831"/>
      <c r="JMQ622" s="1831"/>
      <c r="JMR622" s="1831"/>
      <c r="JMS622" s="1831"/>
      <c r="JMT622" s="1831"/>
      <c r="JMU622" s="1831"/>
      <c r="JMV622" s="1831"/>
      <c r="JMW622" s="1831"/>
      <c r="JMX622" s="1831"/>
      <c r="JMY622" s="1831"/>
      <c r="JMZ622" s="1831"/>
      <c r="JNA622" s="1831"/>
      <c r="JNB622" s="1831"/>
      <c r="JNC622" s="1831"/>
      <c r="JND622" s="1831"/>
      <c r="JNE622" s="1831"/>
      <c r="JNF622" s="1831"/>
      <c r="JNG622" s="1831"/>
      <c r="JNH622" s="1831"/>
      <c r="JNI622" s="1831"/>
      <c r="JNJ622" s="1831"/>
      <c r="JNK622" s="1831"/>
      <c r="JNL622" s="1831"/>
      <c r="JNM622" s="1831"/>
      <c r="JNN622" s="1831"/>
      <c r="JNO622" s="1831"/>
      <c r="JNP622" s="1831"/>
      <c r="JNQ622" s="1831"/>
      <c r="JNR622" s="1831"/>
      <c r="JNS622" s="1831"/>
      <c r="JNT622" s="1831"/>
      <c r="JNU622" s="1831"/>
      <c r="JNV622" s="1831"/>
      <c r="JNW622" s="1831"/>
      <c r="JNX622" s="1831"/>
      <c r="JNY622" s="1831"/>
      <c r="JNZ622" s="1831"/>
      <c r="JOA622" s="1831"/>
      <c r="JOB622" s="1831"/>
      <c r="JOC622" s="1831"/>
      <c r="JOD622" s="1831"/>
      <c r="JOE622" s="1831"/>
      <c r="JOF622" s="1831"/>
      <c r="JOG622" s="1831"/>
      <c r="JOH622" s="1831"/>
      <c r="JOI622" s="1831"/>
      <c r="JOJ622" s="1831"/>
      <c r="JOK622" s="1831"/>
      <c r="JOL622" s="1831"/>
      <c r="JOM622" s="1831"/>
      <c r="JON622" s="1831"/>
      <c r="JOO622" s="1831"/>
      <c r="JOP622" s="1831"/>
      <c r="JOQ622" s="1831"/>
      <c r="JOR622" s="1831"/>
      <c r="JOS622" s="1831"/>
      <c r="JOT622" s="1831"/>
      <c r="JOU622" s="1831"/>
      <c r="JOV622" s="1831"/>
      <c r="JOW622" s="1831"/>
      <c r="JOX622" s="1831"/>
      <c r="JOY622" s="1831"/>
      <c r="JOZ622" s="1831"/>
      <c r="JPA622" s="1831"/>
      <c r="JPB622" s="1831"/>
      <c r="JPC622" s="1831"/>
      <c r="JPD622" s="1831"/>
      <c r="JPE622" s="1831"/>
      <c r="JPF622" s="1831"/>
      <c r="JPG622" s="1831"/>
      <c r="JPH622" s="1831"/>
      <c r="JPI622" s="1831"/>
      <c r="JPJ622" s="1831"/>
      <c r="JPK622" s="1831"/>
      <c r="JPL622" s="1831"/>
      <c r="JPM622" s="1831"/>
      <c r="JPN622" s="1831"/>
      <c r="JPO622" s="1831"/>
      <c r="JPP622" s="1831"/>
      <c r="JPQ622" s="1831"/>
      <c r="JPR622" s="1831"/>
      <c r="JPS622" s="1831"/>
      <c r="JPT622" s="1831"/>
      <c r="JPU622" s="1831"/>
      <c r="JPV622" s="1831"/>
      <c r="JPW622" s="1831"/>
      <c r="JPX622" s="1831"/>
      <c r="JPY622" s="1831"/>
      <c r="JPZ622" s="1831"/>
      <c r="JQA622" s="1831"/>
      <c r="JQB622" s="1831"/>
      <c r="JQC622" s="1831"/>
      <c r="JQD622" s="1831"/>
      <c r="JQE622" s="1831"/>
      <c r="JQF622" s="1831"/>
      <c r="JQG622" s="1831"/>
      <c r="JQH622" s="1831"/>
      <c r="JQI622" s="1831"/>
      <c r="JQJ622" s="1831"/>
      <c r="JQK622" s="1831"/>
      <c r="JQL622" s="1831"/>
      <c r="JQM622" s="1831"/>
      <c r="JQN622" s="1831"/>
      <c r="JQO622" s="1831"/>
      <c r="JQP622" s="1831"/>
      <c r="JQQ622" s="1831"/>
      <c r="JQR622" s="1831"/>
      <c r="JQS622" s="1831"/>
      <c r="JQT622" s="1831"/>
      <c r="JQU622" s="1831"/>
      <c r="JQV622" s="1831"/>
      <c r="JQW622" s="1831"/>
      <c r="JQX622" s="1831"/>
      <c r="JQY622" s="1831"/>
      <c r="JQZ622" s="1831"/>
      <c r="JRA622" s="1831"/>
      <c r="JRB622" s="1831"/>
      <c r="JRC622" s="1831"/>
      <c r="JRD622" s="1831"/>
      <c r="JRE622" s="1831"/>
      <c r="JRF622" s="1831"/>
      <c r="JRG622" s="1831"/>
      <c r="JRH622" s="1831"/>
      <c r="JRI622" s="1831"/>
      <c r="JRJ622" s="1831"/>
      <c r="JRK622" s="1831"/>
      <c r="JRL622" s="1831"/>
      <c r="JRM622" s="1831"/>
      <c r="JRN622" s="1831"/>
      <c r="JRO622" s="1831"/>
      <c r="JRP622" s="1831"/>
      <c r="JRQ622" s="1831"/>
      <c r="JRR622" s="1831"/>
      <c r="JRS622" s="1831"/>
      <c r="JRT622" s="1831"/>
      <c r="JRU622" s="1831"/>
      <c r="JRV622" s="1831"/>
      <c r="JRW622" s="1831"/>
      <c r="JRX622" s="1831"/>
      <c r="JRY622" s="1831"/>
      <c r="JRZ622" s="1831"/>
      <c r="JSA622" s="1831"/>
      <c r="JSB622" s="1831"/>
      <c r="JSC622" s="1831"/>
      <c r="JSD622" s="1831"/>
      <c r="JSE622" s="1831"/>
      <c r="JSF622" s="1831"/>
      <c r="JSG622" s="1831"/>
      <c r="JSH622" s="1831"/>
      <c r="JSI622" s="1831"/>
      <c r="JSJ622" s="1831"/>
      <c r="JSK622" s="1831"/>
      <c r="JSL622" s="1831"/>
      <c r="JSM622" s="1831"/>
      <c r="JSN622" s="1831"/>
      <c r="JSO622" s="1831"/>
      <c r="JSP622" s="1831"/>
      <c r="JSQ622" s="1831"/>
      <c r="JSR622" s="1831"/>
      <c r="JSS622" s="1831"/>
      <c r="JST622" s="1831"/>
      <c r="JSU622" s="1831"/>
      <c r="JSV622" s="1831"/>
      <c r="JSW622" s="1831"/>
      <c r="JSX622" s="1831"/>
      <c r="JSY622" s="1831"/>
      <c r="JSZ622" s="1831"/>
      <c r="JTA622" s="1831"/>
      <c r="JTB622" s="1831"/>
      <c r="JTC622" s="1831"/>
      <c r="JTD622" s="1831"/>
      <c r="JTE622" s="1831"/>
      <c r="JTF622" s="1831"/>
      <c r="JTG622" s="1831"/>
      <c r="JTH622" s="1831"/>
      <c r="JTI622" s="1831"/>
      <c r="JTJ622" s="1831"/>
      <c r="JTK622" s="1831"/>
      <c r="JTL622" s="1831"/>
      <c r="JTM622" s="1831"/>
      <c r="JTN622" s="1831"/>
      <c r="JTO622" s="1831"/>
      <c r="JTP622" s="1831"/>
      <c r="JTQ622" s="1831"/>
      <c r="JTR622" s="1831"/>
      <c r="JTS622" s="1831"/>
      <c r="JTT622" s="1831"/>
      <c r="JTU622" s="1831"/>
      <c r="JTV622" s="1831"/>
      <c r="JTW622" s="1831"/>
      <c r="JTX622" s="1831"/>
      <c r="JTY622" s="1831"/>
      <c r="JTZ622" s="1831"/>
      <c r="JUA622" s="1831"/>
      <c r="JUB622" s="1831"/>
      <c r="JUC622" s="1831"/>
      <c r="JUD622" s="1831"/>
      <c r="JUE622" s="1831"/>
      <c r="JUF622" s="1831"/>
      <c r="JUG622" s="1831"/>
      <c r="JUH622" s="1831"/>
      <c r="JUI622" s="1831"/>
      <c r="JUJ622" s="1831"/>
      <c r="JUK622" s="1831"/>
      <c r="JUL622" s="1831"/>
      <c r="JUM622" s="1831"/>
      <c r="JUN622" s="1831"/>
      <c r="JUO622" s="1831"/>
      <c r="JUP622" s="1831"/>
      <c r="JUQ622" s="1831"/>
      <c r="JUR622" s="1831"/>
      <c r="JUS622" s="1831"/>
      <c r="JUT622" s="1831"/>
      <c r="JUU622" s="1831"/>
      <c r="JUV622" s="1831"/>
      <c r="JUW622" s="1831"/>
      <c r="JUX622" s="1831"/>
      <c r="JUY622" s="1831"/>
      <c r="JUZ622" s="1831"/>
      <c r="JVA622" s="1831"/>
      <c r="JVB622" s="1831"/>
      <c r="JVC622" s="1831"/>
      <c r="JVD622" s="1831"/>
      <c r="JVE622" s="1831"/>
      <c r="JVF622" s="1831"/>
      <c r="JVG622" s="1831"/>
      <c r="JVH622" s="1831"/>
      <c r="JVI622" s="1831"/>
      <c r="JVJ622" s="1831"/>
      <c r="JVK622" s="1831"/>
      <c r="JVL622" s="1831"/>
      <c r="JVM622" s="1831"/>
      <c r="JVN622" s="1831"/>
      <c r="JVO622" s="1831"/>
      <c r="JVP622" s="1831"/>
      <c r="JVQ622" s="1831"/>
      <c r="JVR622" s="1831"/>
      <c r="JVS622" s="1831"/>
      <c r="JVT622" s="1831"/>
      <c r="JVU622" s="1831"/>
      <c r="JVV622" s="1831"/>
      <c r="JVW622" s="1831"/>
      <c r="JVX622" s="1831"/>
      <c r="JVY622" s="1831"/>
      <c r="JVZ622" s="1831"/>
      <c r="JWA622" s="1831"/>
      <c r="JWB622" s="1831"/>
      <c r="JWC622" s="1831"/>
      <c r="JWD622" s="1831"/>
      <c r="JWE622" s="1831"/>
      <c r="JWF622" s="1831"/>
      <c r="JWG622" s="1831"/>
      <c r="JWH622" s="1831"/>
      <c r="JWI622" s="1831"/>
      <c r="JWJ622" s="1831"/>
      <c r="JWK622" s="1831"/>
      <c r="JWL622" s="1831"/>
      <c r="JWM622" s="1831"/>
      <c r="JWN622" s="1831"/>
      <c r="JWO622" s="1831"/>
      <c r="JWP622" s="1831"/>
      <c r="JWQ622" s="1831"/>
      <c r="JWR622" s="1831"/>
      <c r="JWS622" s="1831"/>
      <c r="JWT622" s="1831"/>
      <c r="JWU622" s="1831"/>
      <c r="JWV622" s="1831"/>
      <c r="JWW622" s="1831"/>
      <c r="JWX622" s="1831"/>
      <c r="JWY622" s="1831"/>
      <c r="JWZ622" s="1831"/>
      <c r="JXA622" s="1831"/>
      <c r="JXB622" s="1831"/>
      <c r="JXC622" s="1831"/>
      <c r="JXD622" s="1831"/>
      <c r="JXE622" s="1831"/>
      <c r="JXF622" s="1831"/>
      <c r="JXG622" s="1831"/>
      <c r="JXH622" s="1831"/>
      <c r="JXI622" s="1831"/>
      <c r="JXJ622" s="1831"/>
      <c r="JXK622" s="1831"/>
      <c r="JXL622" s="1831"/>
      <c r="JXM622" s="1831"/>
      <c r="JXN622" s="1831"/>
      <c r="JXO622" s="1831"/>
      <c r="JXP622" s="1831"/>
      <c r="JXQ622" s="1831"/>
      <c r="JXR622" s="1831"/>
      <c r="JXS622" s="1831"/>
      <c r="JXT622" s="1831"/>
      <c r="JXU622" s="1831"/>
      <c r="JXV622" s="1831"/>
      <c r="JXW622" s="1831"/>
      <c r="JXX622" s="1831"/>
      <c r="JXY622" s="1831"/>
      <c r="JXZ622" s="1831"/>
      <c r="JYA622" s="1831"/>
      <c r="JYB622" s="1831"/>
      <c r="JYC622" s="1831"/>
      <c r="JYD622" s="1831"/>
      <c r="JYE622" s="1831"/>
      <c r="JYF622" s="1831"/>
      <c r="JYG622" s="1831"/>
      <c r="JYH622" s="1831"/>
      <c r="JYI622" s="1831"/>
      <c r="JYJ622" s="1831"/>
      <c r="JYK622" s="1831"/>
      <c r="JYL622" s="1831"/>
      <c r="JYM622" s="1831"/>
      <c r="JYN622" s="1831"/>
      <c r="JYO622" s="1831"/>
      <c r="JYP622" s="1831"/>
      <c r="JYQ622" s="1831"/>
      <c r="JYR622" s="1831"/>
      <c r="JYS622" s="1831"/>
      <c r="JYT622" s="1831"/>
      <c r="JYU622" s="1831"/>
      <c r="JYV622" s="1831"/>
      <c r="JYW622" s="1831"/>
      <c r="JYX622" s="1831"/>
      <c r="JYY622" s="1831"/>
      <c r="JYZ622" s="1831"/>
      <c r="JZA622" s="1831"/>
      <c r="JZB622" s="1831"/>
      <c r="JZC622" s="1831"/>
      <c r="JZD622" s="1831"/>
      <c r="JZE622" s="1831"/>
      <c r="JZF622" s="1831"/>
      <c r="JZG622" s="1831"/>
      <c r="JZH622" s="1831"/>
      <c r="JZI622" s="1831"/>
      <c r="JZJ622" s="1831"/>
      <c r="JZK622" s="1831"/>
      <c r="JZL622" s="1831"/>
      <c r="JZM622" s="1831"/>
      <c r="JZN622" s="1831"/>
      <c r="JZO622" s="1831"/>
      <c r="JZP622" s="1831"/>
      <c r="JZQ622" s="1831"/>
      <c r="JZR622" s="1831"/>
      <c r="JZS622" s="1831"/>
      <c r="JZT622" s="1831"/>
      <c r="JZU622" s="1831"/>
      <c r="JZV622" s="1831"/>
      <c r="JZW622" s="1831"/>
      <c r="JZX622" s="1831"/>
      <c r="JZY622" s="1831"/>
      <c r="JZZ622" s="1831"/>
      <c r="KAA622" s="1831"/>
      <c r="KAB622" s="1831"/>
      <c r="KAC622" s="1831"/>
      <c r="KAD622" s="1831"/>
      <c r="KAE622" s="1831"/>
      <c r="KAF622" s="1831"/>
      <c r="KAG622" s="1831"/>
      <c r="KAH622" s="1831"/>
      <c r="KAI622" s="1831"/>
      <c r="KAJ622" s="1831"/>
      <c r="KAK622" s="1831"/>
      <c r="KAL622" s="1831"/>
      <c r="KAM622" s="1831"/>
      <c r="KAN622" s="1831"/>
      <c r="KAO622" s="1831"/>
      <c r="KAP622" s="1831"/>
      <c r="KAQ622" s="1831"/>
      <c r="KAR622" s="1831"/>
      <c r="KAS622" s="1831"/>
      <c r="KAT622" s="1831"/>
      <c r="KAU622" s="1831"/>
      <c r="KAV622" s="1831"/>
      <c r="KAW622" s="1831"/>
      <c r="KAX622" s="1831"/>
      <c r="KAY622" s="1831"/>
      <c r="KAZ622" s="1831"/>
      <c r="KBA622" s="1831"/>
      <c r="KBB622" s="1831"/>
      <c r="KBC622" s="1831"/>
      <c r="KBD622" s="1831"/>
      <c r="KBE622" s="1831"/>
      <c r="KBF622" s="1831"/>
      <c r="KBG622" s="1831"/>
      <c r="KBH622" s="1831"/>
      <c r="KBI622" s="1831"/>
      <c r="KBJ622" s="1831"/>
      <c r="KBK622" s="1831"/>
      <c r="KBL622" s="1831"/>
      <c r="KBM622" s="1831"/>
      <c r="KBN622" s="1831"/>
      <c r="KBO622" s="1831"/>
      <c r="KBP622" s="1831"/>
      <c r="KBQ622" s="1831"/>
      <c r="KBR622" s="1831"/>
      <c r="KBS622" s="1831"/>
      <c r="KBT622" s="1831"/>
      <c r="KBU622" s="1831"/>
      <c r="KBV622" s="1831"/>
      <c r="KBW622" s="1831"/>
      <c r="KBX622" s="1831"/>
      <c r="KBY622" s="1831"/>
      <c r="KBZ622" s="1831"/>
      <c r="KCA622" s="1831"/>
      <c r="KCB622" s="1831"/>
      <c r="KCC622" s="1831"/>
      <c r="KCD622" s="1831"/>
      <c r="KCE622" s="1831"/>
      <c r="KCF622" s="1831"/>
      <c r="KCG622" s="1831"/>
      <c r="KCH622" s="1831"/>
      <c r="KCI622" s="1831"/>
      <c r="KCJ622" s="1831"/>
      <c r="KCK622" s="1831"/>
      <c r="KCL622" s="1831"/>
      <c r="KCM622" s="1831"/>
      <c r="KCN622" s="1831"/>
      <c r="KCO622" s="1831"/>
      <c r="KCP622" s="1831"/>
      <c r="KCQ622" s="1831"/>
      <c r="KCR622" s="1831"/>
      <c r="KCS622" s="1831"/>
      <c r="KCT622" s="1831"/>
      <c r="KCU622" s="1831"/>
      <c r="KCV622" s="1831"/>
      <c r="KCW622" s="1831"/>
      <c r="KCX622" s="1831"/>
      <c r="KCY622" s="1831"/>
      <c r="KCZ622" s="1831"/>
      <c r="KDA622" s="1831"/>
      <c r="KDB622" s="1831"/>
      <c r="KDC622" s="1831"/>
      <c r="KDD622" s="1831"/>
      <c r="KDE622" s="1831"/>
      <c r="KDF622" s="1831"/>
      <c r="KDG622" s="1831"/>
      <c r="KDH622" s="1831"/>
      <c r="KDI622" s="1831"/>
      <c r="KDJ622" s="1831"/>
      <c r="KDK622" s="1831"/>
      <c r="KDL622" s="1831"/>
      <c r="KDM622" s="1831"/>
      <c r="KDN622" s="1831"/>
      <c r="KDO622" s="1831"/>
      <c r="KDP622" s="1831"/>
      <c r="KDQ622" s="1831"/>
      <c r="KDR622" s="1831"/>
      <c r="KDS622" s="1831"/>
      <c r="KDT622" s="1831"/>
      <c r="KDU622" s="1831"/>
      <c r="KDV622" s="1831"/>
      <c r="KDW622" s="1831"/>
      <c r="KDX622" s="1831"/>
      <c r="KDY622" s="1831"/>
      <c r="KDZ622" s="1831"/>
      <c r="KEA622" s="1831"/>
      <c r="KEB622" s="1831"/>
      <c r="KEC622" s="1831"/>
      <c r="KED622" s="1831"/>
      <c r="KEE622" s="1831"/>
      <c r="KEF622" s="1831"/>
      <c r="KEG622" s="1831"/>
      <c r="KEH622" s="1831"/>
      <c r="KEI622" s="1831"/>
      <c r="KEJ622" s="1831"/>
      <c r="KEK622" s="1831"/>
      <c r="KEL622" s="1831"/>
      <c r="KEM622" s="1831"/>
      <c r="KEN622" s="1831"/>
      <c r="KEO622" s="1831"/>
      <c r="KEP622" s="1831"/>
      <c r="KEQ622" s="1831"/>
      <c r="KER622" s="1831"/>
      <c r="KES622" s="1831"/>
      <c r="KET622" s="1831"/>
      <c r="KEU622" s="1831"/>
      <c r="KEV622" s="1831"/>
      <c r="KEW622" s="1831"/>
      <c r="KEX622" s="1831"/>
      <c r="KEY622" s="1831"/>
      <c r="KEZ622" s="1831"/>
      <c r="KFA622" s="1831"/>
      <c r="KFB622" s="1831"/>
      <c r="KFC622" s="1831"/>
      <c r="KFD622" s="1831"/>
      <c r="KFE622" s="1831"/>
      <c r="KFF622" s="1831"/>
      <c r="KFG622" s="1831"/>
      <c r="KFH622" s="1831"/>
      <c r="KFI622" s="1831"/>
      <c r="KFJ622" s="1831"/>
      <c r="KFK622" s="1831"/>
      <c r="KFL622" s="1831"/>
      <c r="KFM622" s="1831"/>
      <c r="KFN622" s="1831"/>
      <c r="KFO622" s="1831"/>
      <c r="KFP622" s="1831"/>
      <c r="KFQ622" s="1831"/>
      <c r="KFR622" s="1831"/>
      <c r="KFS622" s="1831"/>
      <c r="KFT622" s="1831"/>
      <c r="KFU622" s="1831"/>
      <c r="KFV622" s="1831"/>
      <c r="KFW622" s="1831"/>
      <c r="KFX622" s="1831"/>
      <c r="KFY622" s="1831"/>
      <c r="KFZ622" s="1831"/>
      <c r="KGA622" s="1831"/>
      <c r="KGB622" s="1831"/>
      <c r="KGC622" s="1831"/>
      <c r="KGD622" s="1831"/>
      <c r="KGE622" s="1831"/>
      <c r="KGF622" s="1831"/>
      <c r="KGG622" s="1831"/>
      <c r="KGH622" s="1831"/>
      <c r="KGI622" s="1831"/>
      <c r="KGJ622" s="1831"/>
      <c r="KGK622" s="1831"/>
      <c r="KGL622" s="1831"/>
      <c r="KGM622" s="1831"/>
      <c r="KGN622" s="1831"/>
      <c r="KGO622" s="1831"/>
      <c r="KGP622" s="1831"/>
      <c r="KGQ622" s="1831"/>
      <c r="KGR622" s="1831"/>
      <c r="KGS622" s="1831"/>
      <c r="KGT622" s="1831"/>
      <c r="KGU622" s="1831"/>
      <c r="KGV622" s="1831"/>
      <c r="KGW622" s="1831"/>
      <c r="KGX622" s="1831"/>
      <c r="KGY622" s="1831"/>
      <c r="KGZ622" s="1831"/>
      <c r="KHA622" s="1831"/>
      <c r="KHB622" s="1831"/>
      <c r="KHC622" s="1831"/>
      <c r="KHD622" s="1831"/>
      <c r="KHE622" s="1831"/>
      <c r="KHF622" s="1831"/>
      <c r="KHG622" s="1831"/>
      <c r="KHH622" s="1831"/>
      <c r="KHI622" s="1831"/>
      <c r="KHJ622" s="1831"/>
      <c r="KHK622" s="1831"/>
      <c r="KHL622" s="1831"/>
      <c r="KHM622" s="1831"/>
      <c r="KHN622" s="1831"/>
      <c r="KHO622" s="1831"/>
      <c r="KHP622" s="1831"/>
      <c r="KHQ622" s="1831"/>
      <c r="KHR622" s="1831"/>
      <c r="KHS622" s="1831"/>
      <c r="KHT622" s="1831"/>
      <c r="KHU622" s="1831"/>
      <c r="KHV622" s="1831"/>
      <c r="KHW622" s="1831"/>
      <c r="KHX622" s="1831"/>
      <c r="KHY622" s="1831"/>
      <c r="KHZ622" s="1831"/>
      <c r="KIA622" s="1831"/>
      <c r="KIB622" s="1831"/>
      <c r="KIC622" s="1831"/>
      <c r="KID622" s="1831"/>
      <c r="KIE622" s="1831"/>
      <c r="KIF622" s="1831"/>
      <c r="KIG622" s="1831"/>
      <c r="KIH622" s="1831"/>
      <c r="KII622" s="1831"/>
      <c r="KIJ622" s="1831"/>
      <c r="KIK622" s="1831"/>
      <c r="KIL622" s="1831"/>
      <c r="KIM622" s="1831"/>
      <c r="KIN622" s="1831"/>
      <c r="KIO622" s="1831"/>
      <c r="KIP622" s="1831"/>
      <c r="KIQ622" s="1831"/>
      <c r="KIR622" s="1831"/>
      <c r="KIS622" s="1831"/>
      <c r="KIT622" s="1831"/>
      <c r="KIU622" s="1831"/>
      <c r="KIV622" s="1831"/>
      <c r="KIW622" s="1831"/>
      <c r="KIX622" s="1831"/>
      <c r="KIY622" s="1831"/>
      <c r="KIZ622" s="1831"/>
      <c r="KJA622" s="1831"/>
      <c r="KJB622" s="1831"/>
      <c r="KJC622" s="1831"/>
      <c r="KJD622" s="1831"/>
      <c r="KJE622" s="1831"/>
      <c r="KJF622" s="1831"/>
      <c r="KJG622" s="1831"/>
      <c r="KJH622" s="1831"/>
      <c r="KJI622" s="1831"/>
      <c r="KJJ622" s="1831"/>
      <c r="KJK622" s="1831"/>
      <c r="KJL622" s="1831"/>
      <c r="KJM622" s="1831"/>
      <c r="KJN622" s="1831"/>
      <c r="KJO622" s="1831"/>
      <c r="KJP622" s="1831"/>
      <c r="KJQ622" s="1831"/>
      <c r="KJR622" s="1831"/>
      <c r="KJS622" s="1831"/>
      <c r="KJT622" s="1831"/>
      <c r="KJU622" s="1831"/>
      <c r="KJV622" s="1831"/>
      <c r="KJW622" s="1831"/>
      <c r="KJX622" s="1831"/>
      <c r="KJY622" s="1831"/>
      <c r="KJZ622" s="1831"/>
      <c r="KKA622" s="1831"/>
      <c r="KKB622" s="1831"/>
      <c r="KKC622" s="1831"/>
      <c r="KKD622" s="1831"/>
      <c r="KKE622" s="1831"/>
      <c r="KKF622" s="1831"/>
      <c r="KKG622" s="1831"/>
      <c r="KKH622" s="1831"/>
      <c r="KKI622" s="1831"/>
      <c r="KKJ622" s="1831"/>
      <c r="KKK622" s="1831"/>
      <c r="KKL622" s="1831"/>
      <c r="KKM622" s="1831"/>
      <c r="KKN622" s="1831"/>
      <c r="KKO622" s="1831"/>
      <c r="KKP622" s="1831"/>
      <c r="KKQ622" s="1831"/>
      <c r="KKR622" s="1831"/>
      <c r="KKS622" s="1831"/>
      <c r="KKT622" s="1831"/>
      <c r="KKU622" s="1831"/>
      <c r="KKV622" s="1831"/>
      <c r="KKW622" s="1831"/>
      <c r="KKX622" s="1831"/>
      <c r="KKY622" s="1831"/>
      <c r="KKZ622" s="1831"/>
      <c r="KLA622" s="1831"/>
      <c r="KLB622" s="1831"/>
      <c r="KLC622" s="1831"/>
      <c r="KLD622" s="1831"/>
      <c r="KLE622" s="1831"/>
      <c r="KLF622" s="1831"/>
      <c r="KLG622" s="1831"/>
      <c r="KLH622" s="1831"/>
      <c r="KLI622" s="1831"/>
      <c r="KLJ622" s="1831"/>
      <c r="KLK622" s="1831"/>
      <c r="KLL622" s="1831"/>
      <c r="KLM622" s="1831"/>
      <c r="KLN622" s="1831"/>
      <c r="KLO622" s="1831"/>
      <c r="KLP622" s="1831"/>
      <c r="KLQ622" s="1831"/>
      <c r="KLR622" s="1831"/>
      <c r="KLS622" s="1831"/>
      <c r="KLT622" s="1831"/>
      <c r="KLU622" s="1831"/>
      <c r="KLV622" s="1831"/>
      <c r="KLW622" s="1831"/>
      <c r="KLX622" s="1831"/>
      <c r="KLY622" s="1831"/>
      <c r="KLZ622" s="1831"/>
      <c r="KMA622" s="1831"/>
      <c r="KMB622" s="1831"/>
      <c r="KMC622" s="1831"/>
      <c r="KMD622" s="1831"/>
      <c r="KME622" s="1831"/>
      <c r="KMF622" s="1831"/>
      <c r="KMG622" s="1831"/>
      <c r="KMH622" s="1831"/>
      <c r="KMI622" s="1831"/>
      <c r="KMJ622" s="1831"/>
      <c r="KMK622" s="1831"/>
      <c r="KML622" s="1831"/>
      <c r="KMM622" s="1831"/>
      <c r="KMN622" s="1831"/>
      <c r="KMO622" s="1831"/>
      <c r="KMP622" s="1831"/>
      <c r="KMQ622" s="1831"/>
      <c r="KMR622" s="1831"/>
      <c r="KMS622" s="1831"/>
      <c r="KMT622" s="1831"/>
      <c r="KMU622" s="1831"/>
      <c r="KMV622" s="1831"/>
      <c r="KMW622" s="1831"/>
      <c r="KMX622" s="1831"/>
      <c r="KMY622" s="1831"/>
      <c r="KMZ622" s="1831"/>
      <c r="KNA622" s="1831"/>
      <c r="KNB622" s="1831"/>
      <c r="KNC622" s="1831"/>
      <c r="KND622" s="1831"/>
      <c r="KNE622" s="1831"/>
      <c r="KNF622" s="1831"/>
      <c r="KNG622" s="1831"/>
      <c r="KNH622" s="1831"/>
      <c r="KNI622" s="1831"/>
      <c r="KNJ622" s="1831"/>
      <c r="KNK622" s="1831"/>
      <c r="KNL622" s="1831"/>
      <c r="KNM622" s="1831"/>
      <c r="KNN622" s="1831"/>
      <c r="KNO622" s="1831"/>
      <c r="KNP622" s="1831"/>
      <c r="KNQ622" s="1831"/>
      <c r="KNR622" s="1831"/>
      <c r="KNS622" s="1831"/>
      <c r="KNT622" s="1831"/>
      <c r="KNU622" s="1831"/>
      <c r="KNV622" s="1831"/>
      <c r="KNW622" s="1831"/>
      <c r="KNX622" s="1831"/>
      <c r="KNY622" s="1831"/>
      <c r="KNZ622" s="1831"/>
      <c r="KOA622" s="1831"/>
      <c r="KOB622" s="1831"/>
      <c r="KOC622" s="1831"/>
      <c r="KOD622" s="1831"/>
      <c r="KOE622" s="1831"/>
      <c r="KOF622" s="1831"/>
      <c r="KOG622" s="1831"/>
      <c r="KOH622" s="1831"/>
      <c r="KOI622" s="1831"/>
      <c r="KOJ622" s="1831"/>
      <c r="KOK622" s="1831"/>
      <c r="KOL622" s="1831"/>
      <c r="KOM622" s="1831"/>
      <c r="KON622" s="1831"/>
      <c r="KOO622" s="1831"/>
      <c r="KOP622" s="1831"/>
      <c r="KOQ622" s="1831"/>
      <c r="KOR622" s="1831"/>
      <c r="KOS622" s="1831"/>
      <c r="KOT622" s="1831"/>
      <c r="KOU622" s="1831"/>
      <c r="KOV622" s="1831"/>
      <c r="KOW622" s="1831"/>
      <c r="KOX622" s="1831"/>
      <c r="KOY622" s="1831"/>
      <c r="KOZ622" s="1831"/>
      <c r="KPA622" s="1831"/>
      <c r="KPB622" s="1831"/>
      <c r="KPC622" s="1831"/>
      <c r="KPD622" s="1831"/>
      <c r="KPE622" s="1831"/>
      <c r="KPF622" s="1831"/>
      <c r="KPG622" s="1831"/>
      <c r="KPH622" s="1831"/>
      <c r="KPI622" s="1831"/>
      <c r="KPJ622" s="1831"/>
      <c r="KPK622" s="1831"/>
      <c r="KPL622" s="1831"/>
      <c r="KPM622" s="1831"/>
      <c r="KPN622" s="1831"/>
      <c r="KPO622" s="1831"/>
      <c r="KPP622" s="1831"/>
      <c r="KPQ622" s="1831"/>
      <c r="KPR622" s="1831"/>
      <c r="KPS622" s="1831"/>
      <c r="KPT622" s="1831"/>
      <c r="KPU622" s="1831"/>
      <c r="KPV622" s="1831"/>
      <c r="KPW622" s="1831"/>
      <c r="KPX622" s="1831"/>
      <c r="KPY622" s="1831"/>
      <c r="KPZ622" s="1831"/>
      <c r="KQA622" s="1831"/>
      <c r="KQB622" s="1831"/>
      <c r="KQC622" s="1831"/>
      <c r="KQD622" s="1831"/>
      <c r="KQE622" s="1831"/>
      <c r="KQF622" s="1831"/>
      <c r="KQG622" s="1831"/>
      <c r="KQH622" s="1831"/>
      <c r="KQI622" s="1831"/>
      <c r="KQJ622" s="1831"/>
      <c r="KQK622" s="1831"/>
      <c r="KQL622" s="1831"/>
      <c r="KQM622" s="1831"/>
      <c r="KQN622" s="1831"/>
      <c r="KQO622" s="1831"/>
      <c r="KQP622" s="1831"/>
      <c r="KQQ622" s="1831"/>
      <c r="KQR622" s="1831"/>
      <c r="KQS622" s="1831"/>
      <c r="KQT622" s="1831"/>
      <c r="KQU622" s="1831"/>
      <c r="KQV622" s="1831"/>
      <c r="KQW622" s="1831"/>
      <c r="KQX622" s="1831"/>
      <c r="KQY622" s="1831"/>
      <c r="KQZ622" s="1831"/>
      <c r="KRA622" s="1831"/>
      <c r="KRB622" s="1831"/>
      <c r="KRC622" s="1831"/>
      <c r="KRD622" s="1831"/>
      <c r="KRE622" s="1831"/>
      <c r="KRF622" s="1831"/>
      <c r="KRG622" s="1831"/>
      <c r="KRH622" s="1831"/>
      <c r="KRI622" s="1831"/>
      <c r="KRJ622" s="1831"/>
      <c r="KRK622" s="1831"/>
      <c r="KRL622" s="1831"/>
      <c r="KRM622" s="1831"/>
      <c r="KRN622" s="1831"/>
      <c r="KRO622" s="1831"/>
      <c r="KRP622" s="1831"/>
      <c r="KRQ622" s="1831"/>
      <c r="KRR622" s="1831"/>
      <c r="KRS622" s="1831"/>
      <c r="KRT622" s="1831"/>
      <c r="KRU622" s="1831"/>
      <c r="KRV622" s="1831"/>
      <c r="KRW622" s="1831"/>
      <c r="KRX622" s="1831"/>
      <c r="KRY622" s="1831"/>
      <c r="KRZ622" s="1831"/>
      <c r="KSA622" s="1831"/>
      <c r="KSB622" s="1831"/>
      <c r="KSC622" s="1831"/>
      <c r="KSD622" s="1831"/>
      <c r="KSE622" s="1831"/>
      <c r="KSF622" s="1831"/>
      <c r="KSG622" s="1831"/>
      <c r="KSH622" s="1831"/>
      <c r="KSI622" s="1831"/>
      <c r="KSJ622" s="1831"/>
      <c r="KSK622" s="1831"/>
      <c r="KSL622" s="1831"/>
      <c r="KSM622" s="1831"/>
      <c r="KSN622" s="1831"/>
      <c r="KSO622" s="1831"/>
      <c r="KSP622" s="1831"/>
      <c r="KSQ622" s="1831"/>
      <c r="KSR622" s="1831"/>
      <c r="KSS622" s="1831"/>
      <c r="KST622" s="1831"/>
      <c r="KSU622" s="1831"/>
      <c r="KSV622" s="1831"/>
      <c r="KSW622" s="1831"/>
      <c r="KSX622" s="1831"/>
      <c r="KSY622" s="1831"/>
      <c r="KSZ622" s="1831"/>
      <c r="KTA622" s="1831"/>
      <c r="KTB622" s="1831"/>
      <c r="KTC622" s="1831"/>
      <c r="KTD622" s="1831"/>
      <c r="KTE622" s="1831"/>
      <c r="KTF622" s="1831"/>
      <c r="KTG622" s="1831"/>
      <c r="KTH622" s="1831"/>
      <c r="KTI622" s="1831"/>
      <c r="KTJ622" s="1831"/>
      <c r="KTK622" s="1831"/>
      <c r="KTL622" s="1831"/>
      <c r="KTM622" s="1831"/>
      <c r="KTN622" s="1831"/>
      <c r="KTO622" s="1831"/>
      <c r="KTP622" s="1831"/>
      <c r="KTQ622" s="1831"/>
      <c r="KTR622" s="1831"/>
      <c r="KTS622" s="1831"/>
      <c r="KTT622" s="1831"/>
      <c r="KTU622" s="1831"/>
      <c r="KTV622" s="1831"/>
      <c r="KTW622" s="1831"/>
      <c r="KTX622" s="1831"/>
      <c r="KTY622" s="1831"/>
      <c r="KTZ622" s="1831"/>
      <c r="KUA622" s="1831"/>
      <c r="KUB622" s="1831"/>
      <c r="KUC622" s="1831"/>
      <c r="KUD622" s="1831"/>
      <c r="KUE622" s="1831"/>
      <c r="KUF622" s="1831"/>
      <c r="KUG622" s="1831"/>
      <c r="KUH622" s="1831"/>
      <c r="KUI622" s="1831"/>
      <c r="KUJ622" s="1831"/>
      <c r="KUK622" s="1831"/>
      <c r="KUL622" s="1831"/>
      <c r="KUM622" s="1831"/>
      <c r="KUN622" s="1831"/>
      <c r="KUO622" s="1831"/>
      <c r="KUP622" s="1831"/>
      <c r="KUQ622" s="1831"/>
      <c r="KUR622" s="1831"/>
      <c r="KUS622" s="1831"/>
      <c r="KUT622" s="1831"/>
      <c r="KUU622" s="1831"/>
      <c r="KUV622" s="1831"/>
      <c r="KUW622" s="1831"/>
      <c r="KUX622" s="1831"/>
      <c r="KUY622" s="1831"/>
      <c r="KUZ622" s="1831"/>
      <c r="KVA622" s="1831"/>
      <c r="KVB622" s="1831"/>
      <c r="KVC622" s="1831"/>
      <c r="KVD622" s="1831"/>
      <c r="KVE622" s="1831"/>
      <c r="KVF622" s="1831"/>
      <c r="KVG622" s="1831"/>
      <c r="KVH622" s="1831"/>
      <c r="KVI622" s="1831"/>
      <c r="KVJ622" s="1831"/>
      <c r="KVK622" s="1831"/>
      <c r="KVL622" s="1831"/>
      <c r="KVM622" s="1831"/>
      <c r="KVN622" s="1831"/>
      <c r="KVO622" s="1831"/>
      <c r="KVP622" s="1831"/>
      <c r="KVQ622" s="1831"/>
      <c r="KVR622" s="1831"/>
      <c r="KVS622" s="1831"/>
      <c r="KVT622" s="1831"/>
      <c r="KVU622" s="1831"/>
      <c r="KVV622" s="1831"/>
      <c r="KVW622" s="1831"/>
      <c r="KVX622" s="1831"/>
      <c r="KVY622" s="1831"/>
      <c r="KVZ622" s="1831"/>
      <c r="KWA622" s="1831"/>
      <c r="KWB622" s="1831"/>
      <c r="KWC622" s="1831"/>
      <c r="KWD622" s="1831"/>
      <c r="KWE622" s="1831"/>
      <c r="KWF622" s="1831"/>
      <c r="KWG622" s="1831"/>
      <c r="KWH622" s="1831"/>
      <c r="KWI622" s="1831"/>
      <c r="KWJ622" s="1831"/>
      <c r="KWK622" s="1831"/>
      <c r="KWL622" s="1831"/>
      <c r="KWM622" s="1831"/>
      <c r="KWN622" s="1831"/>
      <c r="KWO622" s="1831"/>
      <c r="KWP622" s="1831"/>
      <c r="KWQ622" s="1831"/>
      <c r="KWR622" s="1831"/>
      <c r="KWS622" s="1831"/>
      <c r="KWT622" s="1831"/>
      <c r="KWU622" s="1831"/>
      <c r="KWV622" s="1831"/>
      <c r="KWW622" s="1831"/>
      <c r="KWX622" s="1831"/>
      <c r="KWY622" s="1831"/>
      <c r="KWZ622" s="1831"/>
      <c r="KXA622" s="1831"/>
      <c r="KXB622" s="1831"/>
      <c r="KXC622" s="1831"/>
      <c r="KXD622" s="1831"/>
      <c r="KXE622" s="1831"/>
      <c r="KXF622" s="1831"/>
      <c r="KXG622" s="1831"/>
      <c r="KXH622" s="1831"/>
      <c r="KXI622" s="1831"/>
      <c r="KXJ622" s="1831"/>
      <c r="KXK622" s="1831"/>
      <c r="KXL622" s="1831"/>
      <c r="KXM622" s="1831"/>
      <c r="KXN622" s="1831"/>
      <c r="KXO622" s="1831"/>
      <c r="KXP622" s="1831"/>
      <c r="KXQ622" s="1831"/>
      <c r="KXR622" s="1831"/>
      <c r="KXS622" s="1831"/>
      <c r="KXT622" s="1831"/>
      <c r="KXU622" s="1831"/>
      <c r="KXV622" s="1831"/>
      <c r="KXW622" s="1831"/>
      <c r="KXX622" s="1831"/>
      <c r="KXY622" s="1831"/>
      <c r="KXZ622" s="1831"/>
      <c r="KYA622" s="1831"/>
      <c r="KYB622" s="1831"/>
      <c r="KYC622" s="1831"/>
      <c r="KYD622" s="1831"/>
      <c r="KYE622" s="1831"/>
      <c r="KYF622" s="1831"/>
      <c r="KYG622" s="1831"/>
      <c r="KYH622" s="1831"/>
      <c r="KYI622" s="1831"/>
      <c r="KYJ622" s="1831"/>
      <c r="KYK622" s="1831"/>
      <c r="KYL622" s="1831"/>
      <c r="KYM622" s="1831"/>
      <c r="KYN622" s="1831"/>
      <c r="KYO622" s="1831"/>
      <c r="KYP622" s="1831"/>
      <c r="KYQ622" s="1831"/>
      <c r="KYR622" s="1831"/>
      <c r="KYS622" s="1831"/>
      <c r="KYT622" s="1831"/>
      <c r="KYU622" s="1831"/>
      <c r="KYV622" s="1831"/>
      <c r="KYW622" s="1831"/>
      <c r="KYX622" s="1831"/>
      <c r="KYY622" s="1831"/>
      <c r="KYZ622" s="1831"/>
      <c r="KZA622" s="1831"/>
      <c r="KZB622" s="1831"/>
      <c r="KZC622" s="1831"/>
      <c r="KZD622" s="1831"/>
      <c r="KZE622" s="1831"/>
      <c r="KZF622" s="1831"/>
      <c r="KZG622" s="1831"/>
      <c r="KZH622" s="1831"/>
      <c r="KZI622" s="1831"/>
      <c r="KZJ622" s="1831"/>
      <c r="KZK622" s="1831"/>
      <c r="KZL622" s="1831"/>
      <c r="KZM622" s="1831"/>
      <c r="KZN622" s="1831"/>
      <c r="KZO622" s="1831"/>
      <c r="KZP622" s="1831"/>
      <c r="KZQ622" s="1831"/>
      <c r="KZR622" s="1831"/>
      <c r="KZS622" s="1831"/>
      <c r="KZT622" s="1831"/>
      <c r="KZU622" s="1831"/>
      <c r="KZV622" s="1831"/>
      <c r="KZW622" s="1831"/>
      <c r="KZX622" s="1831"/>
      <c r="KZY622" s="1831"/>
      <c r="KZZ622" s="1831"/>
      <c r="LAA622" s="1831"/>
      <c r="LAB622" s="1831"/>
      <c r="LAC622" s="1831"/>
      <c r="LAD622" s="1831"/>
      <c r="LAE622" s="1831"/>
      <c r="LAF622" s="1831"/>
      <c r="LAG622" s="1831"/>
      <c r="LAH622" s="1831"/>
      <c r="LAI622" s="1831"/>
      <c r="LAJ622" s="1831"/>
      <c r="LAK622" s="1831"/>
      <c r="LAL622" s="1831"/>
      <c r="LAM622" s="1831"/>
      <c r="LAN622" s="1831"/>
      <c r="LAO622" s="1831"/>
      <c r="LAP622" s="1831"/>
      <c r="LAQ622" s="1831"/>
      <c r="LAR622" s="1831"/>
      <c r="LAS622" s="1831"/>
      <c r="LAT622" s="1831"/>
      <c r="LAU622" s="1831"/>
      <c r="LAV622" s="1831"/>
      <c r="LAW622" s="1831"/>
      <c r="LAX622" s="1831"/>
      <c r="LAY622" s="1831"/>
      <c r="LAZ622" s="1831"/>
      <c r="LBA622" s="1831"/>
      <c r="LBB622" s="1831"/>
      <c r="LBC622" s="1831"/>
      <c r="LBD622" s="1831"/>
      <c r="LBE622" s="1831"/>
      <c r="LBF622" s="1831"/>
      <c r="LBG622" s="1831"/>
      <c r="LBH622" s="1831"/>
      <c r="LBI622" s="1831"/>
      <c r="LBJ622" s="1831"/>
      <c r="LBK622" s="1831"/>
      <c r="LBL622" s="1831"/>
      <c r="LBM622" s="1831"/>
      <c r="LBN622" s="1831"/>
      <c r="LBO622" s="1831"/>
      <c r="LBP622" s="1831"/>
      <c r="LBQ622" s="1831"/>
      <c r="LBR622" s="1831"/>
      <c r="LBS622" s="1831"/>
      <c r="LBT622" s="1831"/>
      <c r="LBU622" s="1831"/>
      <c r="LBV622" s="1831"/>
      <c r="LBW622" s="1831"/>
      <c r="LBX622" s="1831"/>
      <c r="LBY622" s="1831"/>
      <c r="LBZ622" s="1831"/>
      <c r="LCA622" s="1831"/>
      <c r="LCB622" s="1831"/>
      <c r="LCC622" s="1831"/>
      <c r="LCD622" s="1831"/>
      <c r="LCE622" s="1831"/>
      <c r="LCF622" s="1831"/>
      <c r="LCG622" s="1831"/>
      <c r="LCH622" s="1831"/>
      <c r="LCI622" s="1831"/>
      <c r="LCJ622" s="1831"/>
      <c r="LCK622" s="1831"/>
      <c r="LCL622" s="1831"/>
      <c r="LCM622" s="1831"/>
      <c r="LCN622" s="1831"/>
      <c r="LCO622" s="1831"/>
      <c r="LCP622" s="1831"/>
      <c r="LCQ622" s="1831"/>
      <c r="LCR622" s="1831"/>
      <c r="LCS622" s="1831"/>
      <c r="LCT622" s="1831"/>
      <c r="LCU622" s="1831"/>
      <c r="LCV622" s="1831"/>
      <c r="LCW622" s="1831"/>
      <c r="LCX622" s="1831"/>
      <c r="LCY622" s="1831"/>
      <c r="LCZ622" s="1831"/>
      <c r="LDA622" s="1831"/>
      <c r="LDB622" s="1831"/>
      <c r="LDC622" s="1831"/>
      <c r="LDD622" s="1831"/>
      <c r="LDE622" s="1831"/>
      <c r="LDF622" s="1831"/>
      <c r="LDG622" s="1831"/>
      <c r="LDH622" s="1831"/>
      <c r="LDI622" s="1831"/>
      <c r="LDJ622" s="1831"/>
      <c r="LDK622" s="1831"/>
      <c r="LDL622" s="1831"/>
      <c r="LDM622" s="1831"/>
      <c r="LDN622" s="1831"/>
      <c r="LDO622" s="1831"/>
      <c r="LDP622" s="1831"/>
      <c r="LDQ622" s="1831"/>
      <c r="LDR622" s="1831"/>
      <c r="LDS622" s="1831"/>
      <c r="LDT622" s="1831"/>
      <c r="LDU622" s="1831"/>
      <c r="LDV622" s="1831"/>
      <c r="LDW622" s="1831"/>
      <c r="LDX622" s="1831"/>
      <c r="LDY622" s="1831"/>
      <c r="LDZ622" s="1831"/>
      <c r="LEA622" s="1831"/>
      <c r="LEB622" s="1831"/>
      <c r="LEC622" s="1831"/>
      <c r="LED622" s="1831"/>
      <c r="LEE622" s="1831"/>
      <c r="LEF622" s="1831"/>
      <c r="LEG622" s="1831"/>
      <c r="LEH622" s="1831"/>
      <c r="LEI622" s="1831"/>
      <c r="LEJ622" s="1831"/>
      <c r="LEK622" s="1831"/>
      <c r="LEL622" s="1831"/>
      <c r="LEM622" s="1831"/>
      <c r="LEN622" s="1831"/>
      <c r="LEO622" s="1831"/>
      <c r="LEP622" s="1831"/>
      <c r="LEQ622" s="1831"/>
      <c r="LER622" s="1831"/>
      <c r="LES622" s="1831"/>
      <c r="LET622" s="1831"/>
      <c r="LEU622" s="1831"/>
      <c r="LEV622" s="1831"/>
      <c r="LEW622" s="1831"/>
      <c r="LEX622" s="1831"/>
      <c r="LEY622" s="1831"/>
      <c r="LEZ622" s="1831"/>
      <c r="LFA622" s="1831"/>
      <c r="LFB622" s="1831"/>
      <c r="LFC622" s="1831"/>
      <c r="LFD622" s="1831"/>
      <c r="LFE622" s="1831"/>
      <c r="LFF622" s="1831"/>
      <c r="LFG622" s="1831"/>
      <c r="LFH622" s="1831"/>
      <c r="LFI622" s="1831"/>
      <c r="LFJ622" s="1831"/>
      <c r="LFK622" s="1831"/>
      <c r="LFL622" s="1831"/>
      <c r="LFM622" s="1831"/>
      <c r="LFN622" s="1831"/>
      <c r="LFO622" s="1831"/>
      <c r="LFP622" s="1831"/>
      <c r="LFQ622" s="1831"/>
      <c r="LFR622" s="1831"/>
      <c r="LFS622" s="1831"/>
      <c r="LFT622" s="1831"/>
      <c r="LFU622" s="1831"/>
      <c r="LFV622" s="1831"/>
      <c r="LFW622" s="1831"/>
      <c r="LFX622" s="1831"/>
      <c r="LFY622" s="1831"/>
      <c r="LFZ622" s="1831"/>
      <c r="LGA622" s="1831"/>
      <c r="LGB622" s="1831"/>
      <c r="LGC622" s="1831"/>
      <c r="LGD622" s="1831"/>
      <c r="LGE622" s="1831"/>
      <c r="LGF622" s="1831"/>
      <c r="LGG622" s="1831"/>
      <c r="LGH622" s="1831"/>
      <c r="LGI622" s="1831"/>
      <c r="LGJ622" s="1831"/>
      <c r="LGK622" s="1831"/>
      <c r="LGL622" s="1831"/>
      <c r="LGM622" s="1831"/>
      <c r="LGN622" s="1831"/>
      <c r="LGO622" s="1831"/>
      <c r="LGP622" s="1831"/>
      <c r="LGQ622" s="1831"/>
      <c r="LGR622" s="1831"/>
      <c r="LGS622" s="1831"/>
      <c r="LGT622" s="1831"/>
      <c r="LGU622" s="1831"/>
      <c r="LGV622" s="1831"/>
      <c r="LGW622" s="1831"/>
      <c r="LGX622" s="1831"/>
      <c r="LGY622" s="1831"/>
      <c r="LGZ622" s="1831"/>
      <c r="LHA622" s="1831"/>
      <c r="LHB622" s="1831"/>
      <c r="LHC622" s="1831"/>
      <c r="LHD622" s="1831"/>
      <c r="LHE622" s="1831"/>
      <c r="LHF622" s="1831"/>
      <c r="LHG622" s="1831"/>
      <c r="LHH622" s="1831"/>
      <c r="LHI622" s="1831"/>
      <c r="LHJ622" s="1831"/>
      <c r="LHK622" s="1831"/>
      <c r="LHL622" s="1831"/>
      <c r="LHM622" s="1831"/>
      <c r="LHN622" s="1831"/>
      <c r="LHO622" s="1831"/>
      <c r="LHP622" s="1831"/>
      <c r="LHQ622" s="1831"/>
      <c r="LHR622" s="1831"/>
      <c r="LHS622" s="1831"/>
      <c r="LHT622" s="1831"/>
      <c r="LHU622" s="1831"/>
      <c r="LHV622" s="1831"/>
      <c r="LHW622" s="1831"/>
      <c r="LHX622" s="1831"/>
      <c r="LHY622" s="1831"/>
      <c r="LHZ622" s="1831"/>
      <c r="LIA622" s="1831"/>
      <c r="LIB622" s="1831"/>
      <c r="LIC622" s="1831"/>
      <c r="LID622" s="1831"/>
      <c r="LIE622" s="1831"/>
      <c r="LIF622" s="1831"/>
      <c r="LIG622" s="1831"/>
      <c r="LIH622" s="1831"/>
      <c r="LII622" s="1831"/>
      <c r="LIJ622" s="1831"/>
      <c r="LIK622" s="1831"/>
      <c r="LIL622" s="1831"/>
      <c r="LIM622" s="1831"/>
      <c r="LIN622" s="1831"/>
      <c r="LIO622" s="1831"/>
      <c r="LIP622" s="1831"/>
      <c r="LIQ622" s="1831"/>
      <c r="LIR622" s="1831"/>
      <c r="LIS622" s="1831"/>
      <c r="LIT622" s="1831"/>
      <c r="LIU622" s="1831"/>
      <c r="LIV622" s="1831"/>
      <c r="LIW622" s="1831"/>
      <c r="LIX622" s="1831"/>
      <c r="LIY622" s="1831"/>
      <c r="LIZ622" s="1831"/>
      <c r="LJA622" s="1831"/>
      <c r="LJB622" s="1831"/>
      <c r="LJC622" s="1831"/>
      <c r="LJD622" s="1831"/>
      <c r="LJE622" s="1831"/>
      <c r="LJF622" s="1831"/>
      <c r="LJG622" s="1831"/>
      <c r="LJH622" s="1831"/>
      <c r="LJI622" s="1831"/>
      <c r="LJJ622" s="1831"/>
      <c r="LJK622" s="1831"/>
      <c r="LJL622" s="1831"/>
      <c r="LJM622" s="1831"/>
      <c r="LJN622" s="1831"/>
      <c r="LJO622" s="1831"/>
      <c r="LJP622" s="1831"/>
      <c r="LJQ622" s="1831"/>
      <c r="LJR622" s="1831"/>
      <c r="LJS622" s="1831"/>
      <c r="LJT622" s="1831"/>
      <c r="LJU622" s="1831"/>
      <c r="LJV622" s="1831"/>
      <c r="LJW622" s="1831"/>
      <c r="LJX622" s="1831"/>
      <c r="LJY622" s="1831"/>
      <c r="LJZ622" s="1831"/>
      <c r="LKA622" s="1831"/>
      <c r="LKB622" s="1831"/>
      <c r="LKC622" s="1831"/>
      <c r="LKD622" s="1831"/>
      <c r="LKE622" s="1831"/>
      <c r="LKF622" s="1831"/>
      <c r="LKG622" s="1831"/>
      <c r="LKH622" s="1831"/>
      <c r="LKI622" s="1831"/>
      <c r="LKJ622" s="1831"/>
      <c r="LKK622" s="1831"/>
      <c r="LKL622" s="1831"/>
      <c r="LKM622" s="1831"/>
      <c r="LKN622" s="1831"/>
      <c r="LKO622" s="1831"/>
      <c r="LKP622" s="1831"/>
      <c r="LKQ622" s="1831"/>
      <c r="LKR622" s="1831"/>
      <c r="LKS622" s="1831"/>
      <c r="LKT622" s="1831"/>
      <c r="LKU622" s="1831"/>
      <c r="LKV622" s="1831"/>
      <c r="LKW622" s="1831"/>
      <c r="LKX622" s="1831"/>
      <c r="LKY622" s="1831"/>
      <c r="LKZ622" s="1831"/>
      <c r="LLA622" s="1831"/>
      <c r="LLB622" s="1831"/>
      <c r="LLC622" s="1831"/>
      <c r="LLD622" s="1831"/>
      <c r="LLE622" s="1831"/>
      <c r="LLF622" s="1831"/>
      <c r="LLG622" s="1831"/>
      <c r="LLH622" s="1831"/>
      <c r="LLI622" s="1831"/>
      <c r="LLJ622" s="1831"/>
      <c r="LLK622" s="1831"/>
      <c r="LLL622" s="1831"/>
      <c r="LLM622" s="1831"/>
      <c r="LLN622" s="1831"/>
      <c r="LLO622" s="1831"/>
      <c r="LLP622" s="1831"/>
      <c r="LLQ622" s="1831"/>
      <c r="LLR622" s="1831"/>
      <c r="LLS622" s="1831"/>
      <c r="LLT622" s="1831"/>
      <c r="LLU622" s="1831"/>
      <c r="LLV622" s="1831"/>
      <c r="LLW622" s="1831"/>
      <c r="LLX622" s="1831"/>
      <c r="LLY622" s="1831"/>
      <c r="LLZ622" s="1831"/>
      <c r="LMA622" s="1831"/>
      <c r="LMB622" s="1831"/>
      <c r="LMC622" s="1831"/>
      <c r="LMD622" s="1831"/>
      <c r="LME622" s="1831"/>
      <c r="LMF622" s="1831"/>
      <c r="LMG622" s="1831"/>
      <c r="LMH622" s="1831"/>
      <c r="LMI622" s="1831"/>
      <c r="LMJ622" s="1831"/>
      <c r="LMK622" s="1831"/>
      <c r="LML622" s="1831"/>
      <c r="LMM622" s="1831"/>
      <c r="LMN622" s="1831"/>
      <c r="LMO622" s="1831"/>
      <c r="LMP622" s="1831"/>
      <c r="LMQ622" s="1831"/>
      <c r="LMR622" s="1831"/>
      <c r="LMS622" s="1831"/>
      <c r="LMT622" s="1831"/>
      <c r="LMU622" s="1831"/>
      <c r="LMV622" s="1831"/>
      <c r="LMW622" s="1831"/>
      <c r="LMX622" s="1831"/>
      <c r="LMY622" s="1831"/>
      <c r="LMZ622" s="1831"/>
      <c r="LNA622" s="1831"/>
      <c r="LNB622" s="1831"/>
      <c r="LNC622" s="1831"/>
      <c r="LND622" s="1831"/>
      <c r="LNE622" s="1831"/>
      <c r="LNF622" s="1831"/>
      <c r="LNG622" s="1831"/>
      <c r="LNH622" s="1831"/>
      <c r="LNI622" s="1831"/>
      <c r="LNJ622" s="1831"/>
      <c r="LNK622" s="1831"/>
      <c r="LNL622" s="1831"/>
      <c r="LNM622" s="1831"/>
      <c r="LNN622" s="1831"/>
      <c r="LNO622" s="1831"/>
      <c r="LNP622" s="1831"/>
      <c r="LNQ622" s="1831"/>
      <c r="LNR622" s="1831"/>
      <c r="LNS622" s="1831"/>
      <c r="LNT622" s="1831"/>
      <c r="LNU622" s="1831"/>
      <c r="LNV622" s="1831"/>
      <c r="LNW622" s="1831"/>
      <c r="LNX622" s="1831"/>
      <c r="LNY622" s="1831"/>
      <c r="LNZ622" s="1831"/>
      <c r="LOA622" s="1831"/>
      <c r="LOB622" s="1831"/>
      <c r="LOC622" s="1831"/>
      <c r="LOD622" s="1831"/>
      <c r="LOE622" s="1831"/>
      <c r="LOF622" s="1831"/>
      <c r="LOG622" s="1831"/>
      <c r="LOH622" s="1831"/>
      <c r="LOI622" s="1831"/>
      <c r="LOJ622" s="1831"/>
      <c r="LOK622" s="1831"/>
      <c r="LOL622" s="1831"/>
      <c r="LOM622" s="1831"/>
      <c r="LON622" s="1831"/>
      <c r="LOO622" s="1831"/>
      <c r="LOP622" s="1831"/>
      <c r="LOQ622" s="1831"/>
      <c r="LOR622" s="1831"/>
      <c r="LOS622" s="1831"/>
      <c r="LOT622" s="1831"/>
      <c r="LOU622" s="1831"/>
      <c r="LOV622" s="1831"/>
      <c r="LOW622" s="1831"/>
      <c r="LOX622" s="1831"/>
      <c r="LOY622" s="1831"/>
      <c r="LOZ622" s="1831"/>
      <c r="LPA622" s="1831"/>
      <c r="LPB622" s="1831"/>
      <c r="LPC622" s="1831"/>
      <c r="LPD622" s="1831"/>
      <c r="LPE622" s="1831"/>
      <c r="LPF622" s="1831"/>
      <c r="LPG622" s="1831"/>
      <c r="LPH622" s="1831"/>
      <c r="LPI622" s="1831"/>
      <c r="LPJ622" s="1831"/>
      <c r="LPK622" s="1831"/>
      <c r="LPL622" s="1831"/>
      <c r="LPM622" s="1831"/>
      <c r="LPN622" s="1831"/>
      <c r="LPO622" s="1831"/>
      <c r="LPP622" s="1831"/>
      <c r="LPQ622" s="1831"/>
      <c r="LPR622" s="1831"/>
      <c r="LPS622" s="1831"/>
      <c r="LPT622" s="1831"/>
      <c r="LPU622" s="1831"/>
      <c r="LPV622" s="1831"/>
      <c r="LPW622" s="1831"/>
      <c r="LPX622" s="1831"/>
      <c r="LPY622" s="1831"/>
      <c r="LPZ622" s="1831"/>
      <c r="LQA622" s="1831"/>
      <c r="LQB622" s="1831"/>
      <c r="LQC622" s="1831"/>
      <c r="LQD622" s="1831"/>
      <c r="LQE622" s="1831"/>
      <c r="LQF622" s="1831"/>
      <c r="LQG622" s="1831"/>
      <c r="LQH622" s="1831"/>
      <c r="LQI622" s="1831"/>
      <c r="LQJ622" s="1831"/>
      <c r="LQK622" s="1831"/>
      <c r="LQL622" s="1831"/>
      <c r="LQM622" s="1831"/>
      <c r="LQN622" s="1831"/>
      <c r="LQO622" s="1831"/>
      <c r="LQP622" s="1831"/>
      <c r="LQQ622" s="1831"/>
      <c r="LQR622" s="1831"/>
      <c r="LQS622" s="1831"/>
      <c r="LQT622" s="1831"/>
      <c r="LQU622" s="1831"/>
      <c r="LQV622" s="1831"/>
      <c r="LQW622" s="1831"/>
      <c r="LQX622" s="1831"/>
      <c r="LQY622" s="1831"/>
      <c r="LQZ622" s="1831"/>
      <c r="LRA622" s="1831"/>
      <c r="LRB622" s="1831"/>
      <c r="LRC622" s="1831"/>
      <c r="LRD622" s="1831"/>
      <c r="LRE622" s="1831"/>
      <c r="LRF622" s="1831"/>
      <c r="LRG622" s="1831"/>
      <c r="LRH622" s="1831"/>
      <c r="LRI622" s="1831"/>
      <c r="LRJ622" s="1831"/>
      <c r="LRK622" s="1831"/>
      <c r="LRL622" s="1831"/>
      <c r="LRM622" s="1831"/>
      <c r="LRN622" s="1831"/>
      <c r="LRO622" s="1831"/>
      <c r="LRP622" s="1831"/>
      <c r="LRQ622" s="1831"/>
      <c r="LRR622" s="1831"/>
      <c r="LRS622" s="1831"/>
      <c r="LRT622" s="1831"/>
      <c r="LRU622" s="1831"/>
      <c r="LRV622" s="1831"/>
      <c r="LRW622" s="1831"/>
      <c r="LRX622" s="1831"/>
      <c r="LRY622" s="1831"/>
      <c r="LRZ622" s="1831"/>
      <c r="LSA622" s="1831"/>
      <c r="LSB622" s="1831"/>
      <c r="LSC622" s="1831"/>
      <c r="LSD622" s="1831"/>
      <c r="LSE622" s="1831"/>
      <c r="LSF622" s="1831"/>
      <c r="LSG622" s="1831"/>
      <c r="LSH622" s="1831"/>
      <c r="LSI622" s="1831"/>
      <c r="LSJ622" s="1831"/>
      <c r="LSK622" s="1831"/>
      <c r="LSL622" s="1831"/>
      <c r="LSM622" s="1831"/>
      <c r="LSN622" s="1831"/>
      <c r="LSO622" s="1831"/>
      <c r="LSP622" s="1831"/>
      <c r="LSQ622" s="1831"/>
      <c r="LSR622" s="1831"/>
      <c r="LSS622" s="1831"/>
      <c r="LST622" s="1831"/>
      <c r="LSU622" s="1831"/>
      <c r="LSV622" s="1831"/>
      <c r="LSW622" s="1831"/>
      <c r="LSX622" s="1831"/>
      <c r="LSY622" s="1831"/>
      <c r="LSZ622" s="1831"/>
      <c r="LTA622" s="1831"/>
      <c r="LTB622" s="1831"/>
      <c r="LTC622" s="1831"/>
      <c r="LTD622" s="1831"/>
      <c r="LTE622" s="1831"/>
      <c r="LTF622" s="1831"/>
      <c r="LTG622" s="1831"/>
      <c r="LTH622" s="1831"/>
      <c r="LTI622" s="1831"/>
      <c r="LTJ622" s="1831"/>
      <c r="LTK622" s="1831"/>
      <c r="LTL622" s="1831"/>
      <c r="LTM622" s="1831"/>
      <c r="LTN622" s="1831"/>
      <c r="LTO622" s="1831"/>
      <c r="LTP622" s="1831"/>
      <c r="LTQ622" s="1831"/>
      <c r="LTR622" s="1831"/>
      <c r="LTS622" s="1831"/>
      <c r="LTT622" s="1831"/>
      <c r="LTU622" s="1831"/>
      <c r="LTV622" s="1831"/>
      <c r="LTW622" s="1831"/>
      <c r="LTX622" s="1831"/>
      <c r="LTY622" s="1831"/>
      <c r="LTZ622" s="1831"/>
      <c r="LUA622" s="1831"/>
      <c r="LUB622" s="1831"/>
      <c r="LUC622" s="1831"/>
      <c r="LUD622" s="1831"/>
      <c r="LUE622" s="1831"/>
      <c r="LUF622" s="1831"/>
      <c r="LUG622" s="1831"/>
      <c r="LUH622" s="1831"/>
      <c r="LUI622" s="1831"/>
      <c r="LUJ622" s="1831"/>
      <c r="LUK622" s="1831"/>
      <c r="LUL622" s="1831"/>
      <c r="LUM622" s="1831"/>
      <c r="LUN622" s="1831"/>
      <c r="LUO622" s="1831"/>
      <c r="LUP622" s="1831"/>
      <c r="LUQ622" s="1831"/>
      <c r="LUR622" s="1831"/>
      <c r="LUS622" s="1831"/>
      <c r="LUT622" s="1831"/>
      <c r="LUU622" s="1831"/>
      <c r="LUV622" s="1831"/>
      <c r="LUW622" s="1831"/>
      <c r="LUX622" s="1831"/>
      <c r="LUY622" s="1831"/>
      <c r="LUZ622" s="1831"/>
      <c r="LVA622" s="1831"/>
      <c r="LVB622" s="1831"/>
      <c r="LVC622" s="1831"/>
      <c r="LVD622" s="1831"/>
      <c r="LVE622" s="1831"/>
      <c r="LVF622" s="1831"/>
      <c r="LVG622" s="1831"/>
      <c r="LVH622" s="1831"/>
      <c r="LVI622" s="1831"/>
      <c r="LVJ622" s="1831"/>
      <c r="LVK622" s="1831"/>
      <c r="LVL622" s="1831"/>
      <c r="LVM622" s="1831"/>
      <c r="LVN622" s="1831"/>
      <c r="LVO622" s="1831"/>
      <c r="LVP622" s="1831"/>
      <c r="LVQ622" s="1831"/>
      <c r="LVR622" s="1831"/>
      <c r="LVS622" s="1831"/>
      <c r="LVT622" s="1831"/>
      <c r="LVU622" s="1831"/>
      <c r="LVV622" s="1831"/>
      <c r="LVW622" s="1831"/>
      <c r="LVX622" s="1831"/>
      <c r="LVY622" s="1831"/>
      <c r="LVZ622" s="1831"/>
      <c r="LWA622" s="1831"/>
      <c r="LWB622" s="1831"/>
      <c r="LWC622" s="1831"/>
      <c r="LWD622" s="1831"/>
      <c r="LWE622" s="1831"/>
      <c r="LWF622" s="1831"/>
      <c r="LWG622" s="1831"/>
      <c r="LWH622" s="1831"/>
      <c r="LWI622" s="1831"/>
      <c r="LWJ622" s="1831"/>
      <c r="LWK622" s="1831"/>
      <c r="LWL622" s="1831"/>
      <c r="LWM622" s="1831"/>
      <c r="LWN622" s="1831"/>
      <c r="LWO622" s="1831"/>
      <c r="LWP622" s="1831"/>
      <c r="LWQ622" s="1831"/>
      <c r="LWR622" s="1831"/>
      <c r="LWS622" s="1831"/>
      <c r="LWT622" s="1831"/>
      <c r="LWU622" s="1831"/>
      <c r="LWV622" s="1831"/>
      <c r="LWW622" s="1831"/>
      <c r="LWX622" s="1831"/>
      <c r="LWY622" s="1831"/>
      <c r="LWZ622" s="1831"/>
      <c r="LXA622" s="1831"/>
      <c r="LXB622" s="1831"/>
      <c r="LXC622" s="1831"/>
      <c r="LXD622" s="1831"/>
      <c r="LXE622" s="1831"/>
      <c r="LXF622" s="1831"/>
      <c r="LXG622" s="1831"/>
      <c r="LXH622" s="1831"/>
      <c r="LXI622" s="1831"/>
      <c r="LXJ622" s="1831"/>
      <c r="LXK622" s="1831"/>
      <c r="LXL622" s="1831"/>
      <c r="LXM622" s="1831"/>
      <c r="LXN622" s="1831"/>
      <c r="LXO622" s="1831"/>
      <c r="LXP622" s="1831"/>
      <c r="LXQ622" s="1831"/>
      <c r="LXR622" s="1831"/>
      <c r="LXS622" s="1831"/>
      <c r="LXT622" s="1831"/>
      <c r="LXU622" s="1831"/>
      <c r="LXV622" s="1831"/>
      <c r="LXW622" s="1831"/>
      <c r="LXX622" s="1831"/>
      <c r="LXY622" s="1831"/>
      <c r="LXZ622" s="1831"/>
      <c r="LYA622" s="1831"/>
      <c r="LYB622" s="1831"/>
      <c r="LYC622" s="1831"/>
      <c r="LYD622" s="1831"/>
      <c r="LYE622" s="1831"/>
      <c r="LYF622" s="1831"/>
      <c r="LYG622" s="1831"/>
      <c r="LYH622" s="1831"/>
      <c r="LYI622" s="1831"/>
      <c r="LYJ622" s="1831"/>
      <c r="LYK622" s="1831"/>
      <c r="LYL622" s="1831"/>
      <c r="LYM622" s="1831"/>
      <c r="LYN622" s="1831"/>
      <c r="LYO622" s="1831"/>
      <c r="LYP622" s="1831"/>
      <c r="LYQ622" s="1831"/>
      <c r="LYR622" s="1831"/>
      <c r="LYS622" s="1831"/>
      <c r="LYT622" s="1831"/>
      <c r="LYU622" s="1831"/>
      <c r="LYV622" s="1831"/>
      <c r="LYW622" s="1831"/>
      <c r="LYX622" s="1831"/>
      <c r="LYY622" s="1831"/>
      <c r="LYZ622" s="1831"/>
      <c r="LZA622" s="1831"/>
      <c r="LZB622" s="1831"/>
      <c r="LZC622" s="1831"/>
      <c r="LZD622" s="1831"/>
      <c r="LZE622" s="1831"/>
      <c r="LZF622" s="1831"/>
      <c r="LZG622" s="1831"/>
      <c r="LZH622" s="1831"/>
      <c r="LZI622" s="1831"/>
      <c r="LZJ622" s="1831"/>
      <c r="LZK622" s="1831"/>
      <c r="LZL622" s="1831"/>
      <c r="LZM622" s="1831"/>
      <c r="LZN622" s="1831"/>
      <c r="LZO622" s="1831"/>
      <c r="LZP622" s="1831"/>
      <c r="LZQ622" s="1831"/>
      <c r="LZR622" s="1831"/>
      <c r="LZS622" s="1831"/>
      <c r="LZT622" s="1831"/>
      <c r="LZU622" s="1831"/>
      <c r="LZV622" s="1831"/>
      <c r="LZW622" s="1831"/>
      <c r="LZX622" s="1831"/>
      <c r="LZY622" s="1831"/>
      <c r="LZZ622" s="1831"/>
      <c r="MAA622" s="1831"/>
      <c r="MAB622" s="1831"/>
      <c r="MAC622" s="1831"/>
      <c r="MAD622" s="1831"/>
      <c r="MAE622" s="1831"/>
      <c r="MAF622" s="1831"/>
      <c r="MAG622" s="1831"/>
      <c r="MAH622" s="1831"/>
      <c r="MAI622" s="1831"/>
      <c r="MAJ622" s="1831"/>
      <c r="MAK622" s="1831"/>
      <c r="MAL622" s="1831"/>
      <c r="MAM622" s="1831"/>
      <c r="MAN622" s="1831"/>
      <c r="MAO622" s="1831"/>
      <c r="MAP622" s="1831"/>
      <c r="MAQ622" s="1831"/>
      <c r="MAR622" s="1831"/>
      <c r="MAS622" s="1831"/>
      <c r="MAT622" s="1831"/>
      <c r="MAU622" s="1831"/>
      <c r="MAV622" s="1831"/>
      <c r="MAW622" s="1831"/>
      <c r="MAX622" s="1831"/>
      <c r="MAY622" s="1831"/>
      <c r="MAZ622" s="1831"/>
      <c r="MBA622" s="1831"/>
      <c r="MBB622" s="1831"/>
      <c r="MBC622" s="1831"/>
      <c r="MBD622" s="1831"/>
      <c r="MBE622" s="1831"/>
      <c r="MBF622" s="1831"/>
      <c r="MBG622" s="1831"/>
      <c r="MBH622" s="1831"/>
      <c r="MBI622" s="1831"/>
      <c r="MBJ622" s="1831"/>
      <c r="MBK622" s="1831"/>
      <c r="MBL622" s="1831"/>
      <c r="MBM622" s="1831"/>
      <c r="MBN622" s="1831"/>
      <c r="MBO622" s="1831"/>
      <c r="MBP622" s="1831"/>
      <c r="MBQ622" s="1831"/>
      <c r="MBR622" s="1831"/>
      <c r="MBS622" s="1831"/>
      <c r="MBT622" s="1831"/>
      <c r="MBU622" s="1831"/>
      <c r="MBV622" s="1831"/>
      <c r="MBW622" s="1831"/>
      <c r="MBX622" s="1831"/>
      <c r="MBY622" s="1831"/>
      <c r="MBZ622" s="1831"/>
      <c r="MCA622" s="1831"/>
      <c r="MCB622" s="1831"/>
      <c r="MCC622" s="1831"/>
      <c r="MCD622" s="1831"/>
      <c r="MCE622" s="1831"/>
      <c r="MCF622" s="1831"/>
      <c r="MCG622" s="1831"/>
      <c r="MCH622" s="1831"/>
      <c r="MCI622" s="1831"/>
      <c r="MCJ622" s="1831"/>
      <c r="MCK622" s="1831"/>
      <c r="MCL622" s="1831"/>
      <c r="MCM622" s="1831"/>
      <c r="MCN622" s="1831"/>
      <c r="MCO622" s="1831"/>
      <c r="MCP622" s="1831"/>
      <c r="MCQ622" s="1831"/>
      <c r="MCR622" s="1831"/>
      <c r="MCS622" s="1831"/>
      <c r="MCT622" s="1831"/>
      <c r="MCU622" s="1831"/>
      <c r="MCV622" s="1831"/>
      <c r="MCW622" s="1831"/>
      <c r="MCX622" s="1831"/>
      <c r="MCY622" s="1831"/>
      <c r="MCZ622" s="1831"/>
      <c r="MDA622" s="1831"/>
      <c r="MDB622" s="1831"/>
      <c r="MDC622" s="1831"/>
      <c r="MDD622" s="1831"/>
      <c r="MDE622" s="1831"/>
      <c r="MDF622" s="1831"/>
      <c r="MDG622" s="1831"/>
      <c r="MDH622" s="1831"/>
      <c r="MDI622" s="1831"/>
      <c r="MDJ622" s="1831"/>
      <c r="MDK622" s="1831"/>
      <c r="MDL622" s="1831"/>
      <c r="MDM622" s="1831"/>
      <c r="MDN622" s="1831"/>
      <c r="MDO622" s="1831"/>
      <c r="MDP622" s="1831"/>
      <c r="MDQ622" s="1831"/>
      <c r="MDR622" s="1831"/>
      <c r="MDS622" s="1831"/>
      <c r="MDT622" s="1831"/>
      <c r="MDU622" s="1831"/>
      <c r="MDV622" s="1831"/>
      <c r="MDW622" s="1831"/>
      <c r="MDX622" s="1831"/>
      <c r="MDY622" s="1831"/>
      <c r="MDZ622" s="1831"/>
      <c r="MEA622" s="1831"/>
      <c r="MEB622" s="1831"/>
      <c r="MEC622" s="1831"/>
      <c r="MED622" s="1831"/>
      <c r="MEE622" s="1831"/>
      <c r="MEF622" s="1831"/>
      <c r="MEG622" s="1831"/>
      <c r="MEH622" s="1831"/>
      <c r="MEI622" s="1831"/>
      <c r="MEJ622" s="1831"/>
      <c r="MEK622" s="1831"/>
      <c r="MEL622" s="1831"/>
      <c r="MEM622" s="1831"/>
      <c r="MEN622" s="1831"/>
      <c r="MEO622" s="1831"/>
      <c r="MEP622" s="1831"/>
      <c r="MEQ622" s="1831"/>
      <c r="MER622" s="1831"/>
      <c r="MES622" s="1831"/>
      <c r="MET622" s="1831"/>
      <c r="MEU622" s="1831"/>
      <c r="MEV622" s="1831"/>
      <c r="MEW622" s="1831"/>
      <c r="MEX622" s="1831"/>
      <c r="MEY622" s="1831"/>
      <c r="MEZ622" s="1831"/>
      <c r="MFA622" s="1831"/>
      <c r="MFB622" s="1831"/>
      <c r="MFC622" s="1831"/>
      <c r="MFD622" s="1831"/>
      <c r="MFE622" s="1831"/>
      <c r="MFF622" s="1831"/>
      <c r="MFG622" s="1831"/>
      <c r="MFH622" s="1831"/>
      <c r="MFI622" s="1831"/>
      <c r="MFJ622" s="1831"/>
      <c r="MFK622" s="1831"/>
      <c r="MFL622" s="1831"/>
      <c r="MFM622" s="1831"/>
      <c r="MFN622" s="1831"/>
      <c r="MFO622" s="1831"/>
      <c r="MFP622" s="1831"/>
      <c r="MFQ622" s="1831"/>
      <c r="MFR622" s="1831"/>
      <c r="MFS622" s="1831"/>
      <c r="MFT622" s="1831"/>
      <c r="MFU622" s="1831"/>
      <c r="MFV622" s="1831"/>
      <c r="MFW622" s="1831"/>
      <c r="MFX622" s="1831"/>
      <c r="MFY622" s="1831"/>
      <c r="MFZ622" s="1831"/>
      <c r="MGA622" s="1831"/>
      <c r="MGB622" s="1831"/>
      <c r="MGC622" s="1831"/>
      <c r="MGD622" s="1831"/>
      <c r="MGE622" s="1831"/>
      <c r="MGF622" s="1831"/>
      <c r="MGG622" s="1831"/>
      <c r="MGH622" s="1831"/>
      <c r="MGI622" s="1831"/>
      <c r="MGJ622" s="1831"/>
      <c r="MGK622" s="1831"/>
      <c r="MGL622" s="1831"/>
      <c r="MGM622" s="1831"/>
      <c r="MGN622" s="1831"/>
      <c r="MGO622" s="1831"/>
      <c r="MGP622" s="1831"/>
      <c r="MGQ622" s="1831"/>
      <c r="MGR622" s="1831"/>
      <c r="MGS622" s="1831"/>
      <c r="MGT622" s="1831"/>
      <c r="MGU622" s="1831"/>
      <c r="MGV622" s="1831"/>
      <c r="MGW622" s="1831"/>
      <c r="MGX622" s="1831"/>
      <c r="MGY622" s="1831"/>
      <c r="MGZ622" s="1831"/>
      <c r="MHA622" s="1831"/>
      <c r="MHB622" s="1831"/>
      <c r="MHC622" s="1831"/>
      <c r="MHD622" s="1831"/>
      <c r="MHE622" s="1831"/>
      <c r="MHF622" s="1831"/>
      <c r="MHG622" s="1831"/>
      <c r="MHH622" s="1831"/>
      <c r="MHI622" s="1831"/>
      <c r="MHJ622" s="1831"/>
      <c r="MHK622" s="1831"/>
      <c r="MHL622" s="1831"/>
      <c r="MHM622" s="1831"/>
      <c r="MHN622" s="1831"/>
      <c r="MHO622" s="1831"/>
      <c r="MHP622" s="1831"/>
      <c r="MHQ622" s="1831"/>
      <c r="MHR622" s="1831"/>
      <c r="MHS622" s="1831"/>
      <c r="MHT622" s="1831"/>
      <c r="MHU622" s="1831"/>
      <c r="MHV622" s="1831"/>
      <c r="MHW622" s="1831"/>
      <c r="MHX622" s="1831"/>
      <c r="MHY622" s="1831"/>
      <c r="MHZ622" s="1831"/>
      <c r="MIA622" s="1831"/>
      <c r="MIB622" s="1831"/>
      <c r="MIC622" s="1831"/>
      <c r="MID622" s="1831"/>
      <c r="MIE622" s="1831"/>
      <c r="MIF622" s="1831"/>
      <c r="MIG622" s="1831"/>
      <c r="MIH622" s="1831"/>
      <c r="MII622" s="1831"/>
      <c r="MIJ622" s="1831"/>
      <c r="MIK622" s="1831"/>
      <c r="MIL622" s="1831"/>
      <c r="MIM622" s="1831"/>
      <c r="MIN622" s="1831"/>
      <c r="MIO622" s="1831"/>
      <c r="MIP622" s="1831"/>
      <c r="MIQ622" s="1831"/>
      <c r="MIR622" s="1831"/>
      <c r="MIS622" s="1831"/>
      <c r="MIT622" s="1831"/>
      <c r="MIU622" s="1831"/>
      <c r="MIV622" s="1831"/>
      <c r="MIW622" s="1831"/>
      <c r="MIX622" s="1831"/>
      <c r="MIY622" s="1831"/>
      <c r="MIZ622" s="1831"/>
      <c r="MJA622" s="1831"/>
      <c r="MJB622" s="1831"/>
      <c r="MJC622" s="1831"/>
      <c r="MJD622" s="1831"/>
      <c r="MJE622" s="1831"/>
      <c r="MJF622" s="1831"/>
      <c r="MJG622" s="1831"/>
      <c r="MJH622" s="1831"/>
      <c r="MJI622" s="1831"/>
      <c r="MJJ622" s="1831"/>
      <c r="MJK622" s="1831"/>
      <c r="MJL622" s="1831"/>
      <c r="MJM622" s="1831"/>
      <c r="MJN622" s="1831"/>
      <c r="MJO622" s="1831"/>
      <c r="MJP622" s="1831"/>
      <c r="MJQ622" s="1831"/>
      <c r="MJR622" s="1831"/>
      <c r="MJS622" s="1831"/>
      <c r="MJT622" s="1831"/>
      <c r="MJU622" s="1831"/>
      <c r="MJV622" s="1831"/>
      <c r="MJW622" s="1831"/>
      <c r="MJX622" s="1831"/>
      <c r="MJY622" s="1831"/>
      <c r="MJZ622" s="1831"/>
      <c r="MKA622" s="1831"/>
      <c r="MKB622" s="1831"/>
      <c r="MKC622" s="1831"/>
      <c r="MKD622" s="1831"/>
      <c r="MKE622" s="1831"/>
      <c r="MKF622" s="1831"/>
      <c r="MKG622" s="1831"/>
      <c r="MKH622" s="1831"/>
      <c r="MKI622" s="1831"/>
      <c r="MKJ622" s="1831"/>
      <c r="MKK622" s="1831"/>
      <c r="MKL622" s="1831"/>
      <c r="MKM622" s="1831"/>
      <c r="MKN622" s="1831"/>
      <c r="MKO622" s="1831"/>
      <c r="MKP622" s="1831"/>
      <c r="MKQ622" s="1831"/>
      <c r="MKR622" s="1831"/>
      <c r="MKS622" s="1831"/>
      <c r="MKT622" s="1831"/>
      <c r="MKU622" s="1831"/>
      <c r="MKV622" s="1831"/>
      <c r="MKW622" s="1831"/>
      <c r="MKX622" s="1831"/>
      <c r="MKY622" s="1831"/>
      <c r="MKZ622" s="1831"/>
      <c r="MLA622" s="1831"/>
      <c r="MLB622" s="1831"/>
      <c r="MLC622" s="1831"/>
      <c r="MLD622" s="1831"/>
      <c r="MLE622" s="1831"/>
      <c r="MLF622" s="1831"/>
      <c r="MLG622" s="1831"/>
      <c r="MLH622" s="1831"/>
      <c r="MLI622" s="1831"/>
      <c r="MLJ622" s="1831"/>
      <c r="MLK622" s="1831"/>
      <c r="MLL622" s="1831"/>
      <c r="MLM622" s="1831"/>
      <c r="MLN622" s="1831"/>
      <c r="MLO622" s="1831"/>
      <c r="MLP622" s="1831"/>
      <c r="MLQ622" s="1831"/>
      <c r="MLR622" s="1831"/>
      <c r="MLS622" s="1831"/>
      <c r="MLT622" s="1831"/>
      <c r="MLU622" s="1831"/>
      <c r="MLV622" s="1831"/>
      <c r="MLW622" s="1831"/>
      <c r="MLX622" s="1831"/>
      <c r="MLY622" s="1831"/>
      <c r="MLZ622" s="1831"/>
      <c r="MMA622" s="1831"/>
      <c r="MMB622" s="1831"/>
      <c r="MMC622" s="1831"/>
      <c r="MMD622" s="1831"/>
      <c r="MME622" s="1831"/>
      <c r="MMF622" s="1831"/>
      <c r="MMG622" s="1831"/>
      <c r="MMH622" s="1831"/>
      <c r="MMI622" s="1831"/>
      <c r="MMJ622" s="1831"/>
      <c r="MMK622" s="1831"/>
      <c r="MML622" s="1831"/>
      <c r="MMM622" s="1831"/>
      <c r="MMN622" s="1831"/>
      <c r="MMO622" s="1831"/>
      <c r="MMP622" s="1831"/>
      <c r="MMQ622" s="1831"/>
      <c r="MMR622" s="1831"/>
      <c r="MMS622" s="1831"/>
      <c r="MMT622" s="1831"/>
      <c r="MMU622" s="1831"/>
      <c r="MMV622" s="1831"/>
      <c r="MMW622" s="1831"/>
      <c r="MMX622" s="1831"/>
      <c r="MMY622" s="1831"/>
      <c r="MMZ622" s="1831"/>
      <c r="MNA622" s="1831"/>
      <c r="MNB622" s="1831"/>
      <c r="MNC622" s="1831"/>
      <c r="MND622" s="1831"/>
      <c r="MNE622" s="1831"/>
      <c r="MNF622" s="1831"/>
      <c r="MNG622" s="1831"/>
      <c r="MNH622" s="1831"/>
      <c r="MNI622" s="1831"/>
      <c r="MNJ622" s="1831"/>
      <c r="MNK622" s="1831"/>
      <c r="MNL622" s="1831"/>
      <c r="MNM622" s="1831"/>
      <c r="MNN622" s="1831"/>
      <c r="MNO622" s="1831"/>
      <c r="MNP622" s="1831"/>
      <c r="MNQ622" s="1831"/>
      <c r="MNR622" s="1831"/>
      <c r="MNS622" s="1831"/>
      <c r="MNT622" s="1831"/>
      <c r="MNU622" s="1831"/>
      <c r="MNV622" s="1831"/>
      <c r="MNW622" s="1831"/>
      <c r="MNX622" s="1831"/>
      <c r="MNY622" s="1831"/>
      <c r="MNZ622" s="1831"/>
      <c r="MOA622" s="1831"/>
      <c r="MOB622" s="1831"/>
      <c r="MOC622" s="1831"/>
      <c r="MOD622" s="1831"/>
      <c r="MOE622" s="1831"/>
      <c r="MOF622" s="1831"/>
      <c r="MOG622" s="1831"/>
      <c r="MOH622" s="1831"/>
      <c r="MOI622" s="1831"/>
      <c r="MOJ622" s="1831"/>
      <c r="MOK622" s="1831"/>
      <c r="MOL622" s="1831"/>
      <c r="MOM622" s="1831"/>
      <c r="MON622" s="1831"/>
      <c r="MOO622" s="1831"/>
      <c r="MOP622" s="1831"/>
      <c r="MOQ622" s="1831"/>
      <c r="MOR622" s="1831"/>
      <c r="MOS622" s="1831"/>
      <c r="MOT622" s="1831"/>
      <c r="MOU622" s="1831"/>
      <c r="MOV622" s="1831"/>
      <c r="MOW622" s="1831"/>
      <c r="MOX622" s="1831"/>
      <c r="MOY622" s="1831"/>
      <c r="MOZ622" s="1831"/>
      <c r="MPA622" s="1831"/>
      <c r="MPB622" s="1831"/>
      <c r="MPC622" s="1831"/>
      <c r="MPD622" s="1831"/>
      <c r="MPE622" s="1831"/>
      <c r="MPF622" s="1831"/>
      <c r="MPG622" s="1831"/>
      <c r="MPH622" s="1831"/>
      <c r="MPI622" s="1831"/>
      <c r="MPJ622" s="1831"/>
      <c r="MPK622" s="1831"/>
      <c r="MPL622" s="1831"/>
      <c r="MPM622" s="1831"/>
      <c r="MPN622" s="1831"/>
      <c r="MPO622" s="1831"/>
      <c r="MPP622" s="1831"/>
      <c r="MPQ622" s="1831"/>
      <c r="MPR622" s="1831"/>
      <c r="MPS622" s="1831"/>
      <c r="MPT622" s="1831"/>
      <c r="MPU622" s="1831"/>
      <c r="MPV622" s="1831"/>
      <c r="MPW622" s="1831"/>
      <c r="MPX622" s="1831"/>
      <c r="MPY622" s="1831"/>
      <c r="MPZ622" s="1831"/>
      <c r="MQA622" s="1831"/>
      <c r="MQB622" s="1831"/>
      <c r="MQC622" s="1831"/>
      <c r="MQD622" s="1831"/>
      <c r="MQE622" s="1831"/>
      <c r="MQF622" s="1831"/>
      <c r="MQG622" s="1831"/>
      <c r="MQH622" s="1831"/>
      <c r="MQI622" s="1831"/>
      <c r="MQJ622" s="1831"/>
      <c r="MQK622" s="1831"/>
      <c r="MQL622" s="1831"/>
      <c r="MQM622" s="1831"/>
      <c r="MQN622" s="1831"/>
      <c r="MQO622" s="1831"/>
      <c r="MQP622" s="1831"/>
      <c r="MQQ622" s="1831"/>
      <c r="MQR622" s="1831"/>
      <c r="MQS622" s="1831"/>
      <c r="MQT622" s="1831"/>
      <c r="MQU622" s="1831"/>
      <c r="MQV622" s="1831"/>
      <c r="MQW622" s="1831"/>
      <c r="MQX622" s="1831"/>
      <c r="MQY622" s="1831"/>
      <c r="MQZ622" s="1831"/>
      <c r="MRA622" s="1831"/>
      <c r="MRB622" s="1831"/>
      <c r="MRC622" s="1831"/>
      <c r="MRD622" s="1831"/>
      <c r="MRE622" s="1831"/>
      <c r="MRF622" s="1831"/>
      <c r="MRG622" s="1831"/>
      <c r="MRH622" s="1831"/>
      <c r="MRI622" s="1831"/>
      <c r="MRJ622" s="1831"/>
      <c r="MRK622" s="1831"/>
      <c r="MRL622" s="1831"/>
      <c r="MRM622" s="1831"/>
      <c r="MRN622" s="1831"/>
      <c r="MRO622" s="1831"/>
      <c r="MRP622" s="1831"/>
      <c r="MRQ622" s="1831"/>
      <c r="MRR622" s="1831"/>
      <c r="MRS622" s="1831"/>
      <c r="MRT622" s="1831"/>
      <c r="MRU622" s="1831"/>
      <c r="MRV622" s="1831"/>
      <c r="MRW622" s="1831"/>
      <c r="MRX622" s="1831"/>
      <c r="MRY622" s="1831"/>
      <c r="MRZ622" s="1831"/>
      <c r="MSA622" s="1831"/>
      <c r="MSB622" s="1831"/>
      <c r="MSC622" s="1831"/>
      <c r="MSD622" s="1831"/>
      <c r="MSE622" s="1831"/>
      <c r="MSF622" s="1831"/>
      <c r="MSG622" s="1831"/>
      <c r="MSH622" s="1831"/>
      <c r="MSI622" s="1831"/>
      <c r="MSJ622" s="1831"/>
      <c r="MSK622" s="1831"/>
      <c r="MSL622" s="1831"/>
      <c r="MSM622" s="1831"/>
      <c r="MSN622" s="1831"/>
      <c r="MSO622" s="1831"/>
      <c r="MSP622" s="1831"/>
      <c r="MSQ622" s="1831"/>
      <c r="MSR622" s="1831"/>
      <c r="MSS622" s="1831"/>
      <c r="MST622" s="1831"/>
      <c r="MSU622" s="1831"/>
      <c r="MSV622" s="1831"/>
      <c r="MSW622" s="1831"/>
      <c r="MSX622" s="1831"/>
      <c r="MSY622" s="1831"/>
      <c r="MSZ622" s="1831"/>
      <c r="MTA622" s="1831"/>
      <c r="MTB622" s="1831"/>
      <c r="MTC622" s="1831"/>
      <c r="MTD622" s="1831"/>
      <c r="MTE622" s="1831"/>
      <c r="MTF622" s="1831"/>
      <c r="MTG622" s="1831"/>
      <c r="MTH622" s="1831"/>
      <c r="MTI622" s="1831"/>
      <c r="MTJ622" s="1831"/>
      <c r="MTK622" s="1831"/>
      <c r="MTL622" s="1831"/>
      <c r="MTM622" s="1831"/>
      <c r="MTN622" s="1831"/>
      <c r="MTO622" s="1831"/>
      <c r="MTP622" s="1831"/>
      <c r="MTQ622" s="1831"/>
      <c r="MTR622" s="1831"/>
      <c r="MTS622" s="1831"/>
      <c r="MTT622" s="1831"/>
      <c r="MTU622" s="1831"/>
      <c r="MTV622" s="1831"/>
      <c r="MTW622" s="1831"/>
      <c r="MTX622" s="1831"/>
      <c r="MTY622" s="1831"/>
      <c r="MTZ622" s="1831"/>
      <c r="MUA622" s="1831"/>
      <c r="MUB622" s="1831"/>
      <c r="MUC622" s="1831"/>
      <c r="MUD622" s="1831"/>
      <c r="MUE622" s="1831"/>
      <c r="MUF622" s="1831"/>
      <c r="MUG622" s="1831"/>
      <c r="MUH622" s="1831"/>
      <c r="MUI622" s="1831"/>
      <c r="MUJ622" s="1831"/>
      <c r="MUK622" s="1831"/>
      <c r="MUL622" s="1831"/>
      <c r="MUM622" s="1831"/>
      <c r="MUN622" s="1831"/>
      <c r="MUO622" s="1831"/>
      <c r="MUP622" s="1831"/>
      <c r="MUQ622" s="1831"/>
      <c r="MUR622" s="1831"/>
      <c r="MUS622" s="1831"/>
      <c r="MUT622" s="1831"/>
      <c r="MUU622" s="1831"/>
      <c r="MUV622" s="1831"/>
      <c r="MUW622" s="1831"/>
      <c r="MUX622" s="1831"/>
      <c r="MUY622" s="1831"/>
      <c r="MUZ622" s="1831"/>
      <c r="MVA622" s="1831"/>
      <c r="MVB622" s="1831"/>
      <c r="MVC622" s="1831"/>
      <c r="MVD622" s="1831"/>
      <c r="MVE622" s="1831"/>
      <c r="MVF622" s="1831"/>
      <c r="MVG622" s="1831"/>
      <c r="MVH622" s="1831"/>
      <c r="MVI622" s="1831"/>
      <c r="MVJ622" s="1831"/>
      <c r="MVK622" s="1831"/>
      <c r="MVL622" s="1831"/>
      <c r="MVM622" s="1831"/>
      <c r="MVN622" s="1831"/>
      <c r="MVO622" s="1831"/>
      <c r="MVP622" s="1831"/>
      <c r="MVQ622" s="1831"/>
      <c r="MVR622" s="1831"/>
      <c r="MVS622" s="1831"/>
      <c r="MVT622" s="1831"/>
      <c r="MVU622" s="1831"/>
      <c r="MVV622" s="1831"/>
      <c r="MVW622" s="1831"/>
      <c r="MVX622" s="1831"/>
      <c r="MVY622" s="1831"/>
      <c r="MVZ622" s="1831"/>
      <c r="MWA622" s="1831"/>
      <c r="MWB622" s="1831"/>
      <c r="MWC622" s="1831"/>
      <c r="MWD622" s="1831"/>
      <c r="MWE622" s="1831"/>
      <c r="MWF622" s="1831"/>
      <c r="MWG622" s="1831"/>
      <c r="MWH622" s="1831"/>
      <c r="MWI622" s="1831"/>
      <c r="MWJ622" s="1831"/>
      <c r="MWK622" s="1831"/>
      <c r="MWL622" s="1831"/>
      <c r="MWM622" s="1831"/>
      <c r="MWN622" s="1831"/>
      <c r="MWO622" s="1831"/>
      <c r="MWP622" s="1831"/>
      <c r="MWQ622" s="1831"/>
      <c r="MWR622" s="1831"/>
      <c r="MWS622" s="1831"/>
      <c r="MWT622" s="1831"/>
      <c r="MWU622" s="1831"/>
      <c r="MWV622" s="1831"/>
      <c r="MWW622" s="1831"/>
      <c r="MWX622" s="1831"/>
      <c r="MWY622" s="1831"/>
      <c r="MWZ622" s="1831"/>
      <c r="MXA622" s="1831"/>
      <c r="MXB622" s="1831"/>
      <c r="MXC622" s="1831"/>
      <c r="MXD622" s="1831"/>
      <c r="MXE622" s="1831"/>
      <c r="MXF622" s="1831"/>
      <c r="MXG622" s="1831"/>
      <c r="MXH622" s="1831"/>
      <c r="MXI622" s="1831"/>
      <c r="MXJ622" s="1831"/>
      <c r="MXK622" s="1831"/>
      <c r="MXL622" s="1831"/>
      <c r="MXM622" s="1831"/>
      <c r="MXN622" s="1831"/>
      <c r="MXO622" s="1831"/>
      <c r="MXP622" s="1831"/>
      <c r="MXQ622" s="1831"/>
      <c r="MXR622" s="1831"/>
      <c r="MXS622" s="1831"/>
      <c r="MXT622" s="1831"/>
      <c r="MXU622" s="1831"/>
      <c r="MXV622" s="1831"/>
      <c r="MXW622" s="1831"/>
      <c r="MXX622" s="1831"/>
      <c r="MXY622" s="1831"/>
      <c r="MXZ622" s="1831"/>
      <c r="MYA622" s="1831"/>
      <c r="MYB622" s="1831"/>
      <c r="MYC622" s="1831"/>
      <c r="MYD622" s="1831"/>
      <c r="MYE622" s="1831"/>
      <c r="MYF622" s="1831"/>
      <c r="MYG622" s="1831"/>
      <c r="MYH622" s="1831"/>
      <c r="MYI622" s="1831"/>
      <c r="MYJ622" s="1831"/>
      <c r="MYK622" s="1831"/>
      <c r="MYL622" s="1831"/>
      <c r="MYM622" s="1831"/>
      <c r="MYN622" s="1831"/>
      <c r="MYO622" s="1831"/>
      <c r="MYP622" s="1831"/>
      <c r="MYQ622" s="1831"/>
      <c r="MYR622" s="1831"/>
      <c r="MYS622" s="1831"/>
      <c r="MYT622" s="1831"/>
      <c r="MYU622" s="1831"/>
      <c r="MYV622" s="1831"/>
      <c r="MYW622" s="1831"/>
      <c r="MYX622" s="1831"/>
      <c r="MYY622" s="1831"/>
      <c r="MYZ622" s="1831"/>
      <c r="MZA622" s="1831"/>
      <c r="MZB622" s="1831"/>
      <c r="MZC622" s="1831"/>
      <c r="MZD622" s="1831"/>
      <c r="MZE622" s="1831"/>
      <c r="MZF622" s="1831"/>
      <c r="MZG622" s="1831"/>
      <c r="MZH622" s="1831"/>
      <c r="MZI622" s="1831"/>
      <c r="MZJ622" s="1831"/>
      <c r="MZK622" s="1831"/>
      <c r="MZL622" s="1831"/>
      <c r="MZM622" s="1831"/>
      <c r="MZN622" s="1831"/>
      <c r="MZO622" s="1831"/>
      <c r="MZP622" s="1831"/>
      <c r="MZQ622" s="1831"/>
      <c r="MZR622" s="1831"/>
      <c r="MZS622" s="1831"/>
      <c r="MZT622" s="1831"/>
      <c r="MZU622" s="1831"/>
      <c r="MZV622" s="1831"/>
      <c r="MZW622" s="1831"/>
      <c r="MZX622" s="1831"/>
      <c r="MZY622" s="1831"/>
      <c r="MZZ622" s="1831"/>
      <c r="NAA622" s="1831"/>
      <c r="NAB622" s="1831"/>
      <c r="NAC622" s="1831"/>
      <c r="NAD622" s="1831"/>
      <c r="NAE622" s="1831"/>
      <c r="NAF622" s="1831"/>
      <c r="NAG622" s="1831"/>
      <c r="NAH622" s="1831"/>
      <c r="NAI622" s="1831"/>
      <c r="NAJ622" s="1831"/>
      <c r="NAK622" s="1831"/>
      <c r="NAL622" s="1831"/>
      <c r="NAM622" s="1831"/>
      <c r="NAN622" s="1831"/>
      <c r="NAO622" s="1831"/>
      <c r="NAP622" s="1831"/>
      <c r="NAQ622" s="1831"/>
      <c r="NAR622" s="1831"/>
      <c r="NAS622" s="1831"/>
      <c r="NAT622" s="1831"/>
      <c r="NAU622" s="1831"/>
      <c r="NAV622" s="1831"/>
      <c r="NAW622" s="1831"/>
      <c r="NAX622" s="1831"/>
      <c r="NAY622" s="1831"/>
      <c r="NAZ622" s="1831"/>
      <c r="NBA622" s="1831"/>
      <c r="NBB622" s="1831"/>
      <c r="NBC622" s="1831"/>
      <c r="NBD622" s="1831"/>
      <c r="NBE622" s="1831"/>
      <c r="NBF622" s="1831"/>
      <c r="NBG622" s="1831"/>
      <c r="NBH622" s="1831"/>
      <c r="NBI622" s="1831"/>
      <c r="NBJ622" s="1831"/>
      <c r="NBK622" s="1831"/>
      <c r="NBL622" s="1831"/>
      <c r="NBM622" s="1831"/>
      <c r="NBN622" s="1831"/>
      <c r="NBO622" s="1831"/>
      <c r="NBP622" s="1831"/>
      <c r="NBQ622" s="1831"/>
      <c r="NBR622" s="1831"/>
      <c r="NBS622" s="1831"/>
      <c r="NBT622" s="1831"/>
      <c r="NBU622" s="1831"/>
      <c r="NBV622" s="1831"/>
      <c r="NBW622" s="1831"/>
      <c r="NBX622" s="1831"/>
      <c r="NBY622" s="1831"/>
      <c r="NBZ622" s="1831"/>
      <c r="NCA622" s="1831"/>
      <c r="NCB622" s="1831"/>
      <c r="NCC622" s="1831"/>
      <c r="NCD622" s="1831"/>
      <c r="NCE622" s="1831"/>
      <c r="NCF622" s="1831"/>
      <c r="NCG622" s="1831"/>
      <c r="NCH622" s="1831"/>
      <c r="NCI622" s="1831"/>
      <c r="NCJ622" s="1831"/>
      <c r="NCK622" s="1831"/>
      <c r="NCL622" s="1831"/>
      <c r="NCM622" s="1831"/>
      <c r="NCN622" s="1831"/>
      <c r="NCO622" s="1831"/>
      <c r="NCP622" s="1831"/>
      <c r="NCQ622" s="1831"/>
      <c r="NCR622" s="1831"/>
      <c r="NCS622" s="1831"/>
      <c r="NCT622" s="1831"/>
      <c r="NCU622" s="1831"/>
      <c r="NCV622" s="1831"/>
      <c r="NCW622" s="1831"/>
      <c r="NCX622" s="1831"/>
      <c r="NCY622" s="1831"/>
      <c r="NCZ622" s="1831"/>
      <c r="NDA622" s="1831"/>
      <c r="NDB622" s="1831"/>
      <c r="NDC622" s="1831"/>
      <c r="NDD622" s="1831"/>
      <c r="NDE622" s="1831"/>
      <c r="NDF622" s="1831"/>
      <c r="NDG622" s="1831"/>
      <c r="NDH622" s="1831"/>
      <c r="NDI622" s="1831"/>
      <c r="NDJ622" s="1831"/>
      <c r="NDK622" s="1831"/>
      <c r="NDL622" s="1831"/>
      <c r="NDM622" s="1831"/>
      <c r="NDN622" s="1831"/>
      <c r="NDO622" s="1831"/>
      <c r="NDP622" s="1831"/>
      <c r="NDQ622" s="1831"/>
      <c r="NDR622" s="1831"/>
      <c r="NDS622" s="1831"/>
      <c r="NDT622" s="1831"/>
      <c r="NDU622" s="1831"/>
      <c r="NDV622" s="1831"/>
      <c r="NDW622" s="1831"/>
      <c r="NDX622" s="1831"/>
      <c r="NDY622" s="1831"/>
      <c r="NDZ622" s="1831"/>
      <c r="NEA622" s="1831"/>
      <c r="NEB622" s="1831"/>
      <c r="NEC622" s="1831"/>
      <c r="NED622" s="1831"/>
      <c r="NEE622" s="1831"/>
      <c r="NEF622" s="1831"/>
      <c r="NEG622" s="1831"/>
      <c r="NEH622" s="1831"/>
      <c r="NEI622" s="1831"/>
      <c r="NEJ622" s="1831"/>
      <c r="NEK622" s="1831"/>
      <c r="NEL622" s="1831"/>
      <c r="NEM622" s="1831"/>
      <c r="NEN622" s="1831"/>
      <c r="NEO622" s="1831"/>
      <c r="NEP622" s="1831"/>
      <c r="NEQ622" s="1831"/>
      <c r="NER622" s="1831"/>
      <c r="NES622" s="1831"/>
      <c r="NET622" s="1831"/>
      <c r="NEU622" s="1831"/>
      <c r="NEV622" s="1831"/>
      <c r="NEW622" s="1831"/>
      <c r="NEX622" s="1831"/>
      <c r="NEY622" s="1831"/>
      <c r="NEZ622" s="1831"/>
      <c r="NFA622" s="1831"/>
      <c r="NFB622" s="1831"/>
      <c r="NFC622" s="1831"/>
      <c r="NFD622" s="1831"/>
      <c r="NFE622" s="1831"/>
      <c r="NFF622" s="1831"/>
      <c r="NFG622" s="1831"/>
      <c r="NFH622" s="1831"/>
      <c r="NFI622" s="1831"/>
      <c r="NFJ622" s="1831"/>
      <c r="NFK622" s="1831"/>
      <c r="NFL622" s="1831"/>
      <c r="NFM622" s="1831"/>
      <c r="NFN622" s="1831"/>
      <c r="NFO622" s="1831"/>
      <c r="NFP622" s="1831"/>
      <c r="NFQ622" s="1831"/>
      <c r="NFR622" s="1831"/>
      <c r="NFS622" s="1831"/>
      <c r="NFT622" s="1831"/>
      <c r="NFU622" s="1831"/>
      <c r="NFV622" s="1831"/>
      <c r="NFW622" s="1831"/>
      <c r="NFX622" s="1831"/>
      <c r="NFY622" s="1831"/>
      <c r="NFZ622" s="1831"/>
      <c r="NGA622" s="1831"/>
      <c r="NGB622" s="1831"/>
      <c r="NGC622" s="1831"/>
      <c r="NGD622" s="1831"/>
      <c r="NGE622" s="1831"/>
      <c r="NGF622" s="1831"/>
      <c r="NGG622" s="1831"/>
      <c r="NGH622" s="1831"/>
      <c r="NGI622" s="1831"/>
      <c r="NGJ622" s="1831"/>
      <c r="NGK622" s="1831"/>
      <c r="NGL622" s="1831"/>
      <c r="NGM622" s="1831"/>
      <c r="NGN622" s="1831"/>
      <c r="NGO622" s="1831"/>
      <c r="NGP622" s="1831"/>
      <c r="NGQ622" s="1831"/>
      <c r="NGR622" s="1831"/>
      <c r="NGS622" s="1831"/>
      <c r="NGT622" s="1831"/>
      <c r="NGU622" s="1831"/>
      <c r="NGV622" s="1831"/>
      <c r="NGW622" s="1831"/>
      <c r="NGX622" s="1831"/>
      <c r="NGY622" s="1831"/>
      <c r="NGZ622" s="1831"/>
      <c r="NHA622" s="1831"/>
      <c r="NHB622" s="1831"/>
      <c r="NHC622" s="1831"/>
      <c r="NHD622" s="1831"/>
      <c r="NHE622" s="1831"/>
      <c r="NHF622" s="1831"/>
      <c r="NHG622" s="1831"/>
      <c r="NHH622" s="1831"/>
      <c r="NHI622" s="1831"/>
      <c r="NHJ622" s="1831"/>
      <c r="NHK622" s="1831"/>
      <c r="NHL622" s="1831"/>
      <c r="NHM622" s="1831"/>
      <c r="NHN622" s="1831"/>
      <c r="NHO622" s="1831"/>
      <c r="NHP622" s="1831"/>
      <c r="NHQ622" s="1831"/>
      <c r="NHR622" s="1831"/>
      <c r="NHS622" s="1831"/>
      <c r="NHT622" s="1831"/>
      <c r="NHU622" s="1831"/>
      <c r="NHV622" s="1831"/>
      <c r="NHW622" s="1831"/>
      <c r="NHX622" s="1831"/>
      <c r="NHY622" s="1831"/>
      <c r="NHZ622" s="1831"/>
      <c r="NIA622" s="1831"/>
      <c r="NIB622" s="1831"/>
      <c r="NIC622" s="1831"/>
      <c r="NID622" s="1831"/>
      <c r="NIE622" s="1831"/>
      <c r="NIF622" s="1831"/>
      <c r="NIG622" s="1831"/>
      <c r="NIH622" s="1831"/>
      <c r="NII622" s="1831"/>
      <c r="NIJ622" s="1831"/>
      <c r="NIK622" s="1831"/>
      <c r="NIL622" s="1831"/>
      <c r="NIM622" s="1831"/>
      <c r="NIN622" s="1831"/>
      <c r="NIO622" s="1831"/>
      <c r="NIP622" s="1831"/>
      <c r="NIQ622" s="1831"/>
      <c r="NIR622" s="1831"/>
      <c r="NIS622" s="1831"/>
      <c r="NIT622" s="1831"/>
      <c r="NIU622" s="1831"/>
      <c r="NIV622" s="1831"/>
      <c r="NIW622" s="1831"/>
      <c r="NIX622" s="1831"/>
      <c r="NIY622" s="1831"/>
      <c r="NIZ622" s="1831"/>
      <c r="NJA622" s="1831"/>
      <c r="NJB622" s="1831"/>
      <c r="NJC622" s="1831"/>
      <c r="NJD622" s="1831"/>
      <c r="NJE622" s="1831"/>
      <c r="NJF622" s="1831"/>
      <c r="NJG622" s="1831"/>
      <c r="NJH622" s="1831"/>
      <c r="NJI622" s="1831"/>
      <c r="NJJ622" s="1831"/>
      <c r="NJK622" s="1831"/>
      <c r="NJL622" s="1831"/>
      <c r="NJM622" s="1831"/>
      <c r="NJN622" s="1831"/>
      <c r="NJO622" s="1831"/>
      <c r="NJP622" s="1831"/>
      <c r="NJQ622" s="1831"/>
      <c r="NJR622" s="1831"/>
      <c r="NJS622" s="1831"/>
      <c r="NJT622" s="1831"/>
      <c r="NJU622" s="1831"/>
      <c r="NJV622" s="1831"/>
      <c r="NJW622" s="1831"/>
      <c r="NJX622" s="1831"/>
      <c r="NJY622" s="1831"/>
      <c r="NJZ622" s="1831"/>
      <c r="NKA622" s="1831"/>
      <c r="NKB622" s="1831"/>
      <c r="NKC622" s="1831"/>
      <c r="NKD622" s="1831"/>
      <c r="NKE622" s="1831"/>
      <c r="NKF622" s="1831"/>
      <c r="NKG622" s="1831"/>
      <c r="NKH622" s="1831"/>
      <c r="NKI622" s="1831"/>
      <c r="NKJ622" s="1831"/>
      <c r="NKK622" s="1831"/>
      <c r="NKL622" s="1831"/>
      <c r="NKM622" s="1831"/>
      <c r="NKN622" s="1831"/>
      <c r="NKO622" s="1831"/>
      <c r="NKP622" s="1831"/>
      <c r="NKQ622" s="1831"/>
      <c r="NKR622" s="1831"/>
      <c r="NKS622" s="1831"/>
      <c r="NKT622" s="1831"/>
      <c r="NKU622" s="1831"/>
      <c r="NKV622" s="1831"/>
      <c r="NKW622" s="1831"/>
      <c r="NKX622" s="1831"/>
      <c r="NKY622" s="1831"/>
      <c r="NKZ622" s="1831"/>
      <c r="NLA622" s="1831"/>
      <c r="NLB622" s="1831"/>
      <c r="NLC622" s="1831"/>
      <c r="NLD622" s="1831"/>
      <c r="NLE622" s="1831"/>
      <c r="NLF622" s="1831"/>
      <c r="NLG622" s="1831"/>
      <c r="NLH622" s="1831"/>
      <c r="NLI622" s="1831"/>
      <c r="NLJ622" s="1831"/>
      <c r="NLK622" s="1831"/>
      <c r="NLL622" s="1831"/>
      <c r="NLM622" s="1831"/>
      <c r="NLN622" s="1831"/>
      <c r="NLO622" s="1831"/>
      <c r="NLP622" s="1831"/>
      <c r="NLQ622" s="1831"/>
      <c r="NLR622" s="1831"/>
      <c r="NLS622" s="1831"/>
      <c r="NLT622" s="1831"/>
      <c r="NLU622" s="1831"/>
      <c r="NLV622" s="1831"/>
      <c r="NLW622" s="1831"/>
      <c r="NLX622" s="1831"/>
      <c r="NLY622" s="1831"/>
      <c r="NLZ622" s="1831"/>
      <c r="NMA622" s="1831"/>
      <c r="NMB622" s="1831"/>
      <c r="NMC622" s="1831"/>
      <c r="NMD622" s="1831"/>
      <c r="NME622" s="1831"/>
      <c r="NMF622" s="1831"/>
      <c r="NMG622" s="1831"/>
      <c r="NMH622" s="1831"/>
      <c r="NMI622" s="1831"/>
      <c r="NMJ622" s="1831"/>
      <c r="NMK622" s="1831"/>
      <c r="NML622" s="1831"/>
      <c r="NMM622" s="1831"/>
      <c r="NMN622" s="1831"/>
      <c r="NMO622" s="1831"/>
      <c r="NMP622" s="1831"/>
      <c r="NMQ622" s="1831"/>
      <c r="NMR622" s="1831"/>
      <c r="NMS622" s="1831"/>
      <c r="NMT622" s="1831"/>
      <c r="NMU622" s="1831"/>
      <c r="NMV622" s="1831"/>
      <c r="NMW622" s="1831"/>
      <c r="NMX622" s="1831"/>
      <c r="NMY622" s="1831"/>
      <c r="NMZ622" s="1831"/>
      <c r="NNA622" s="1831"/>
      <c r="NNB622" s="1831"/>
      <c r="NNC622" s="1831"/>
      <c r="NND622" s="1831"/>
      <c r="NNE622" s="1831"/>
      <c r="NNF622" s="1831"/>
      <c r="NNG622" s="1831"/>
      <c r="NNH622" s="1831"/>
      <c r="NNI622" s="1831"/>
      <c r="NNJ622" s="1831"/>
      <c r="NNK622" s="1831"/>
      <c r="NNL622" s="1831"/>
      <c r="NNM622" s="1831"/>
      <c r="NNN622" s="1831"/>
      <c r="NNO622" s="1831"/>
      <c r="NNP622" s="1831"/>
      <c r="NNQ622" s="1831"/>
      <c r="NNR622" s="1831"/>
      <c r="NNS622" s="1831"/>
      <c r="NNT622" s="1831"/>
      <c r="NNU622" s="1831"/>
      <c r="NNV622" s="1831"/>
      <c r="NNW622" s="1831"/>
      <c r="NNX622" s="1831"/>
      <c r="NNY622" s="1831"/>
      <c r="NNZ622" s="1831"/>
      <c r="NOA622" s="1831"/>
      <c r="NOB622" s="1831"/>
      <c r="NOC622" s="1831"/>
      <c r="NOD622" s="1831"/>
      <c r="NOE622" s="1831"/>
      <c r="NOF622" s="1831"/>
      <c r="NOG622" s="1831"/>
      <c r="NOH622" s="1831"/>
      <c r="NOI622" s="1831"/>
      <c r="NOJ622" s="1831"/>
      <c r="NOK622" s="1831"/>
      <c r="NOL622" s="1831"/>
      <c r="NOM622" s="1831"/>
      <c r="NON622" s="1831"/>
      <c r="NOO622" s="1831"/>
      <c r="NOP622" s="1831"/>
      <c r="NOQ622" s="1831"/>
      <c r="NOR622" s="1831"/>
      <c r="NOS622" s="1831"/>
      <c r="NOT622" s="1831"/>
      <c r="NOU622" s="1831"/>
      <c r="NOV622" s="1831"/>
      <c r="NOW622" s="1831"/>
      <c r="NOX622" s="1831"/>
      <c r="NOY622" s="1831"/>
      <c r="NOZ622" s="1831"/>
      <c r="NPA622" s="1831"/>
      <c r="NPB622" s="1831"/>
      <c r="NPC622" s="1831"/>
      <c r="NPD622" s="1831"/>
      <c r="NPE622" s="1831"/>
      <c r="NPF622" s="1831"/>
      <c r="NPG622" s="1831"/>
      <c r="NPH622" s="1831"/>
      <c r="NPI622" s="1831"/>
      <c r="NPJ622" s="1831"/>
      <c r="NPK622" s="1831"/>
      <c r="NPL622" s="1831"/>
      <c r="NPM622" s="1831"/>
      <c r="NPN622" s="1831"/>
      <c r="NPO622" s="1831"/>
      <c r="NPP622" s="1831"/>
      <c r="NPQ622" s="1831"/>
      <c r="NPR622" s="1831"/>
      <c r="NPS622" s="1831"/>
      <c r="NPT622" s="1831"/>
      <c r="NPU622" s="1831"/>
      <c r="NPV622" s="1831"/>
      <c r="NPW622" s="1831"/>
      <c r="NPX622" s="1831"/>
      <c r="NPY622" s="1831"/>
      <c r="NPZ622" s="1831"/>
      <c r="NQA622" s="1831"/>
      <c r="NQB622" s="1831"/>
      <c r="NQC622" s="1831"/>
      <c r="NQD622" s="1831"/>
      <c r="NQE622" s="1831"/>
      <c r="NQF622" s="1831"/>
      <c r="NQG622" s="1831"/>
      <c r="NQH622" s="1831"/>
      <c r="NQI622" s="1831"/>
      <c r="NQJ622" s="1831"/>
      <c r="NQK622" s="1831"/>
      <c r="NQL622" s="1831"/>
      <c r="NQM622" s="1831"/>
      <c r="NQN622" s="1831"/>
      <c r="NQO622" s="1831"/>
      <c r="NQP622" s="1831"/>
      <c r="NQQ622" s="1831"/>
      <c r="NQR622" s="1831"/>
      <c r="NQS622" s="1831"/>
      <c r="NQT622" s="1831"/>
      <c r="NQU622" s="1831"/>
      <c r="NQV622" s="1831"/>
      <c r="NQW622" s="1831"/>
      <c r="NQX622" s="1831"/>
      <c r="NQY622" s="1831"/>
      <c r="NQZ622" s="1831"/>
      <c r="NRA622" s="1831"/>
      <c r="NRB622" s="1831"/>
      <c r="NRC622" s="1831"/>
      <c r="NRD622" s="1831"/>
      <c r="NRE622" s="1831"/>
      <c r="NRF622" s="1831"/>
      <c r="NRG622" s="1831"/>
      <c r="NRH622" s="1831"/>
      <c r="NRI622" s="1831"/>
      <c r="NRJ622" s="1831"/>
      <c r="NRK622" s="1831"/>
      <c r="NRL622" s="1831"/>
      <c r="NRM622" s="1831"/>
      <c r="NRN622" s="1831"/>
      <c r="NRO622" s="1831"/>
      <c r="NRP622" s="1831"/>
      <c r="NRQ622" s="1831"/>
      <c r="NRR622" s="1831"/>
      <c r="NRS622" s="1831"/>
      <c r="NRT622" s="1831"/>
      <c r="NRU622" s="1831"/>
      <c r="NRV622" s="1831"/>
      <c r="NRW622" s="1831"/>
      <c r="NRX622" s="1831"/>
      <c r="NRY622" s="1831"/>
      <c r="NRZ622" s="1831"/>
      <c r="NSA622" s="1831"/>
      <c r="NSB622" s="1831"/>
      <c r="NSC622" s="1831"/>
      <c r="NSD622" s="1831"/>
      <c r="NSE622" s="1831"/>
      <c r="NSF622" s="1831"/>
      <c r="NSG622" s="1831"/>
      <c r="NSH622" s="1831"/>
      <c r="NSI622" s="1831"/>
      <c r="NSJ622" s="1831"/>
      <c r="NSK622" s="1831"/>
      <c r="NSL622" s="1831"/>
      <c r="NSM622" s="1831"/>
      <c r="NSN622" s="1831"/>
      <c r="NSO622" s="1831"/>
      <c r="NSP622" s="1831"/>
      <c r="NSQ622" s="1831"/>
      <c r="NSR622" s="1831"/>
      <c r="NSS622" s="1831"/>
      <c r="NST622" s="1831"/>
      <c r="NSU622" s="1831"/>
      <c r="NSV622" s="1831"/>
      <c r="NSW622" s="1831"/>
      <c r="NSX622" s="1831"/>
      <c r="NSY622" s="1831"/>
      <c r="NSZ622" s="1831"/>
      <c r="NTA622" s="1831"/>
      <c r="NTB622" s="1831"/>
      <c r="NTC622" s="1831"/>
      <c r="NTD622" s="1831"/>
      <c r="NTE622" s="1831"/>
      <c r="NTF622" s="1831"/>
      <c r="NTG622" s="1831"/>
      <c r="NTH622" s="1831"/>
      <c r="NTI622" s="1831"/>
      <c r="NTJ622" s="1831"/>
      <c r="NTK622" s="1831"/>
      <c r="NTL622" s="1831"/>
      <c r="NTM622" s="1831"/>
      <c r="NTN622" s="1831"/>
      <c r="NTO622" s="1831"/>
      <c r="NTP622" s="1831"/>
      <c r="NTQ622" s="1831"/>
      <c r="NTR622" s="1831"/>
      <c r="NTS622" s="1831"/>
      <c r="NTT622" s="1831"/>
      <c r="NTU622" s="1831"/>
      <c r="NTV622" s="1831"/>
      <c r="NTW622" s="1831"/>
      <c r="NTX622" s="1831"/>
      <c r="NTY622" s="1831"/>
      <c r="NTZ622" s="1831"/>
      <c r="NUA622" s="1831"/>
      <c r="NUB622" s="1831"/>
      <c r="NUC622" s="1831"/>
      <c r="NUD622" s="1831"/>
      <c r="NUE622" s="1831"/>
      <c r="NUF622" s="1831"/>
      <c r="NUG622" s="1831"/>
      <c r="NUH622" s="1831"/>
      <c r="NUI622" s="1831"/>
      <c r="NUJ622" s="1831"/>
      <c r="NUK622" s="1831"/>
      <c r="NUL622" s="1831"/>
      <c r="NUM622" s="1831"/>
      <c r="NUN622" s="1831"/>
      <c r="NUO622" s="1831"/>
      <c r="NUP622" s="1831"/>
      <c r="NUQ622" s="1831"/>
      <c r="NUR622" s="1831"/>
      <c r="NUS622" s="1831"/>
      <c r="NUT622" s="1831"/>
      <c r="NUU622" s="1831"/>
      <c r="NUV622" s="1831"/>
      <c r="NUW622" s="1831"/>
      <c r="NUX622" s="1831"/>
      <c r="NUY622" s="1831"/>
      <c r="NUZ622" s="1831"/>
      <c r="NVA622" s="1831"/>
      <c r="NVB622" s="1831"/>
      <c r="NVC622" s="1831"/>
      <c r="NVD622" s="1831"/>
      <c r="NVE622" s="1831"/>
      <c r="NVF622" s="1831"/>
      <c r="NVG622" s="1831"/>
      <c r="NVH622" s="1831"/>
      <c r="NVI622" s="1831"/>
      <c r="NVJ622" s="1831"/>
      <c r="NVK622" s="1831"/>
      <c r="NVL622" s="1831"/>
      <c r="NVM622" s="1831"/>
      <c r="NVN622" s="1831"/>
      <c r="NVO622" s="1831"/>
      <c r="NVP622" s="1831"/>
      <c r="NVQ622" s="1831"/>
      <c r="NVR622" s="1831"/>
      <c r="NVS622" s="1831"/>
      <c r="NVT622" s="1831"/>
      <c r="NVU622" s="1831"/>
      <c r="NVV622" s="1831"/>
      <c r="NVW622" s="1831"/>
      <c r="NVX622" s="1831"/>
      <c r="NVY622" s="1831"/>
      <c r="NVZ622" s="1831"/>
      <c r="NWA622" s="1831"/>
      <c r="NWB622" s="1831"/>
      <c r="NWC622" s="1831"/>
      <c r="NWD622" s="1831"/>
      <c r="NWE622" s="1831"/>
      <c r="NWF622" s="1831"/>
      <c r="NWG622" s="1831"/>
      <c r="NWH622" s="1831"/>
      <c r="NWI622" s="1831"/>
      <c r="NWJ622" s="1831"/>
      <c r="NWK622" s="1831"/>
      <c r="NWL622" s="1831"/>
      <c r="NWM622" s="1831"/>
      <c r="NWN622" s="1831"/>
      <c r="NWO622" s="1831"/>
      <c r="NWP622" s="1831"/>
      <c r="NWQ622" s="1831"/>
      <c r="NWR622" s="1831"/>
      <c r="NWS622" s="1831"/>
      <c r="NWT622" s="1831"/>
      <c r="NWU622" s="1831"/>
      <c r="NWV622" s="1831"/>
      <c r="NWW622" s="1831"/>
      <c r="NWX622" s="1831"/>
      <c r="NWY622" s="1831"/>
      <c r="NWZ622" s="1831"/>
      <c r="NXA622" s="1831"/>
      <c r="NXB622" s="1831"/>
      <c r="NXC622" s="1831"/>
      <c r="NXD622" s="1831"/>
      <c r="NXE622" s="1831"/>
      <c r="NXF622" s="1831"/>
      <c r="NXG622" s="1831"/>
      <c r="NXH622" s="1831"/>
      <c r="NXI622" s="1831"/>
      <c r="NXJ622" s="1831"/>
      <c r="NXK622" s="1831"/>
      <c r="NXL622" s="1831"/>
      <c r="NXM622" s="1831"/>
      <c r="NXN622" s="1831"/>
      <c r="NXO622" s="1831"/>
      <c r="NXP622" s="1831"/>
      <c r="NXQ622" s="1831"/>
      <c r="NXR622" s="1831"/>
      <c r="NXS622" s="1831"/>
      <c r="NXT622" s="1831"/>
      <c r="NXU622" s="1831"/>
      <c r="NXV622" s="1831"/>
      <c r="NXW622" s="1831"/>
      <c r="NXX622" s="1831"/>
      <c r="NXY622" s="1831"/>
      <c r="NXZ622" s="1831"/>
      <c r="NYA622" s="1831"/>
      <c r="NYB622" s="1831"/>
      <c r="NYC622" s="1831"/>
      <c r="NYD622" s="1831"/>
      <c r="NYE622" s="1831"/>
      <c r="NYF622" s="1831"/>
      <c r="NYG622" s="1831"/>
      <c r="NYH622" s="1831"/>
      <c r="NYI622" s="1831"/>
      <c r="NYJ622" s="1831"/>
      <c r="NYK622" s="1831"/>
      <c r="NYL622" s="1831"/>
      <c r="NYM622" s="1831"/>
      <c r="NYN622" s="1831"/>
      <c r="NYO622" s="1831"/>
      <c r="NYP622" s="1831"/>
      <c r="NYQ622" s="1831"/>
      <c r="NYR622" s="1831"/>
      <c r="NYS622" s="1831"/>
      <c r="NYT622" s="1831"/>
      <c r="NYU622" s="1831"/>
      <c r="NYV622" s="1831"/>
      <c r="NYW622" s="1831"/>
      <c r="NYX622" s="1831"/>
      <c r="NYY622" s="1831"/>
      <c r="NYZ622" s="1831"/>
      <c r="NZA622" s="1831"/>
      <c r="NZB622" s="1831"/>
      <c r="NZC622" s="1831"/>
      <c r="NZD622" s="1831"/>
      <c r="NZE622" s="1831"/>
      <c r="NZF622" s="1831"/>
      <c r="NZG622" s="1831"/>
      <c r="NZH622" s="1831"/>
      <c r="NZI622" s="1831"/>
      <c r="NZJ622" s="1831"/>
      <c r="NZK622" s="1831"/>
      <c r="NZL622" s="1831"/>
      <c r="NZM622" s="1831"/>
      <c r="NZN622" s="1831"/>
      <c r="NZO622" s="1831"/>
      <c r="NZP622" s="1831"/>
      <c r="NZQ622" s="1831"/>
      <c r="NZR622" s="1831"/>
      <c r="NZS622" s="1831"/>
      <c r="NZT622" s="1831"/>
      <c r="NZU622" s="1831"/>
      <c r="NZV622" s="1831"/>
      <c r="NZW622" s="1831"/>
      <c r="NZX622" s="1831"/>
      <c r="NZY622" s="1831"/>
      <c r="NZZ622" s="1831"/>
      <c r="OAA622" s="1831"/>
      <c r="OAB622" s="1831"/>
      <c r="OAC622" s="1831"/>
      <c r="OAD622" s="1831"/>
      <c r="OAE622" s="1831"/>
      <c r="OAF622" s="1831"/>
      <c r="OAG622" s="1831"/>
      <c r="OAH622" s="1831"/>
      <c r="OAI622" s="1831"/>
      <c r="OAJ622" s="1831"/>
      <c r="OAK622" s="1831"/>
      <c r="OAL622" s="1831"/>
      <c r="OAM622" s="1831"/>
      <c r="OAN622" s="1831"/>
      <c r="OAO622" s="1831"/>
      <c r="OAP622" s="1831"/>
      <c r="OAQ622" s="1831"/>
      <c r="OAR622" s="1831"/>
      <c r="OAS622" s="1831"/>
      <c r="OAT622" s="1831"/>
      <c r="OAU622" s="1831"/>
      <c r="OAV622" s="1831"/>
      <c r="OAW622" s="1831"/>
      <c r="OAX622" s="1831"/>
      <c r="OAY622" s="1831"/>
      <c r="OAZ622" s="1831"/>
      <c r="OBA622" s="1831"/>
      <c r="OBB622" s="1831"/>
      <c r="OBC622" s="1831"/>
      <c r="OBD622" s="1831"/>
      <c r="OBE622" s="1831"/>
      <c r="OBF622" s="1831"/>
      <c r="OBG622" s="1831"/>
      <c r="OBH622" s="1831"/>
      <c r="OBI622" s="1831"/>
      <c r="OBJ622" s="1831"/>
      <c r="OBK622" s="1831"/>
      <c r="OBL622" s="1831"/>
      <c r="OBM622" s="1831"/>
      <c r="OBN622" s="1831"/>
      <c r="OBO622" s="1831"/>
      <c r="OBP622" s="1831"/>
      <c r="OBQ622" s="1831"/>
      <c r="OBR622" s="1831"/>
      <c r="OBS622" s="1831"/>
      <c r="OBT622" s="1831"/>
      <c r="OBU622" s="1831"/>
      <c r="OBV622" s="1831"/>
      <c r="OBW622" s="1831"/>
      <c r="OBX622" s="1831"/>
      <c r="OBY622" s="1831"/>
      <c r="OBZ622" s="1831"/>
      <c r="OCA622" s="1831"/>
      <c r="OCB622" s="1831"/>
      <c r="OCC622" s="1831"/>
      <c r="OCD622" s="1831"/>
      <c r="OCE622" s="1831"/>
      <c r="OCF622" s="1831"/>
      <c r="OCG622" s="1831"/>
      <c r="OCH622" s="1831"/>
      <c r="OCI622" s="1831"/>
      <c r="OCJ622" s="1831"/>
      <c r="OCK622" s="1831"/>
      <c r="OCL622" s="1831"/>
      <c r="OCM622" s="1831"/>
      <c r="OCN622" s="1831"/>
      <c r="OCO622" s="1831"/>
      <c r="OCP622" s="1831"/>
      <c r="OCQ622" s="1831"/>
      <c r="OCR622" s="1831"/>
      <c r="OCS622" s="1831"/>
      <c r="OCT622" s="1831"/>
      <c r="OCU622" s="1831"/>
      <c r="OCV622" s="1831"/>
      <c r="OCW622" s="1831"/>
      <c r="OCX622" s="1831"/>
      <c r="OCY622" s="1831"/>
      <c r="OCZ622" s="1831"/>
      <c r="ODA622" s="1831"/>
      <c r="ODB622" s="1831"/>
      <c r="ODC622" s="1831"/>
      <c r="ODD622" s="1831"/>
      <c r="ODE622" s="1831"/>
      <c r="ODF622" s="1831"/>
      <c r="ODG622" s="1831"/>
      <c r="ODH622" s="1831"/>
      <c r="ODI622" s="1831"/>
      <c r="ODJ622" s="1831"/>
      <c r="ODK622" s="1831"/>
      <c r="ODL622" s="1831"/>
      <c r="ODM622" s="1831"/>
      <c r="ODN622" s="1831"/>
      <c r="ODO622" s="1831"/>
      <c r="ODP622" s="1831"/>
      <c r="ODQ622" s="1831"/>
      <c r="ODR622" s="1831"/>
      <c r="ODS622" s="1831"/>
      <c r="ODT622" s="1831"/>
      <c r="ODU622" s="1831"/>
      <c r="ODV622" s="1831"/>
      <c r="ODW622" s="1831"/>
      <c r="ODX622" s="1831"/>
      <c r="ODY622" s="1831"/>
      <c r="ODZ622" s="1831"/>
      <c r="OEA622" s="1831"/>
      <c r="OEB622" s="1831"/>
      <c r="OEC622" s="1831"/>
      <c r="OED622" s="1831"/>
      <c r="OEE622" s="1831"/>
      <c r="OEF622" s="1831"/>
      <c r="OEG622" s="1831"/>
      <c r="OEH622" s="1831"/>
      <c r="OEI622" s="1831"/>
      <c r="OEJ622" s="1831"/>
      <c r="OEK622" s="1831"/>
      <c r="OEL622" s="1831"/>
      <c r="OEM622" s="1831"/>
      <c r="OEN622" s="1831"/>
      <c r="OEO622" s="1831"/>
      <c r="OEP622" s="1831"/>
      <c r="OEQ622" s="1831"/>
      <c r="OER622" s="1831"/>
      <c r="OES622" s="1831"/>
      <c r="OET622" s="1831"/>
      <c r="OEU622" s="1831"/>
      <c r="OEV622" s="1831"/>
      <c r="OEW622" s="1831"/>
      <c r="OEX622" s="1831"/>
      <c r="OEY622" s="1831"/>
      <c r="OEZ622" s="1831"/>
      <c r="OFA622" s="1831"/>
      <c r="OFB622" s="1831"/>
      <c r="OFC622" s="1831"/>
      <c r="OFD622" s="1831"/>
      <c r="OFE622" s="1831"/>
      <c r="OFF622" s="1831"/>
      <c r="OFG622" s="1831"/>
      <c r="OFH622" s="1831"/>
      <c r="OFI622" s="1831"/>
      <c r="OFJ622" s="1831"/>
      <c r="OFK622" s="1831"/>
      <c r="OFL622" s="1831"/>
      <c r="OFM622" s="1831"/>
      <c r="OFN622" s="1831"/>
      <c r="OFO622" s="1831"/>
      <c r="OFP622" s="1831"/>
      <c r="OFQ622" s="1831"/>
      <c r="OFR622" s="1831"/>
      <c r="OFS622" s="1831"/>
      <c r="OFT622" s="1831"/>
      <c r="OFU622" s="1831"/>
      <c r="OFV622" s="1831"/>
      <c r="OFW622" s="1831"/>
      <c r="OFX622" s="1831"/>
      <c r="OFY622" s="1831"/>
      <c r="OFZ622" s="1831"/>
      <c r="OGA622" s="1831"/>
      <c r="OGB622" s="1831"/>
      <c r="OGC622" s="1831"/>
      <c r="OGD622" s="1831"/>
      <c r="OGE622" s="1831"/>
      <c r="OGF622" s="1831"/>
      <c r="OGG622" s="1831"/>
      <c r="OGH622" s="1831"/>
      <c r="OGI622" s="1831"/>
      <c r="OGJ622" s="1831"/>
      <c r="OGK622" s="1831"/>
      <c r="OGL622" s="1831"/>
      <c r="OGM622" s="1831"/>
      <c r="OGN622" s="1831"/>
      <c r="OGO622" s="1831"/>
      <c r="OGP622" s="1831"/>
      <c r="OGQ622" s="1831"/>
      <c r="OGR622" s="1831"/>
      <c r="OGS622" s="1831"/>
      <c r="OGT622" s="1831"/>
      <c r="OGU622" s="1831"/>
      <c r="OGV622" s="1831"/>
      <c r="OGW622" s="1831"/>
      <c r="OGX622" s="1831"/>
      <c r="OGY622" s="1831"/>
      <c r="OGZ622" s="1831"/>
      <c r="OHA622" s="1831"/>
      <c r="OHB622" s="1831"/>
      <c r="OHC622" s="1831"/>
      <c r="OHD622" s="1831"/>
      <c r="OHE622" s="1831"/>
      <c r="OHF622" s="1831"/>
      <c r="OHG622" s="1831"/>
      <c r="OHH622" s="1831"/>
      <c r="OHI622" s="1831"/>
      <c r="OHJ622" s="1831"/>
      <c r="OHK622" s="1831"/>
      <c r="OHL622" s="1831"/>
      <c r="OHM622" s="1831"/>
      <c r="OHN622" s="1831"/>
      <c r="OHO622" s="1831"/>
      <c r="OHP622" s="1831"/>
      <c r="OHQ622" s="1831"/>
      <c r="OHR622" s="1831"/>
      <c r="OHS622" s="1831"/>
      <c r="OHT622" s="1831"/>
      <c r="OHU622" s="1831"/>
      <c r="OHV622" s="1831"/>
      <c r="OHW622" s="1831"/>
      <c r="OHX622" s="1831"/>
      <c r="OHY622" s="1831"/>
      <c r="OHZ622" s="1831"/>
      <c r="OIA622" s="1831"/>
      <c r="OIB622" s="1831"/>
      <c r="OIC622" s="1831"/>
      <c r="OID622" s="1831"/>
      <c r="OIE622" s="1831"/>
      <c r="OIF622" s="1831"/>
      <c r="OIG622" s="1831"/>
      <c r="OIH622" s="1831"/>
      <c r="OII622" s="1831"/>
      <c r="OIJ622" s="1831"/>
      <c r="OIK622" s="1831"/>
      <c r="OIL622" s="1831"/>
      <c r="OIM622" s="1831"/>
      <c r="OIN622" s="1831"/>
      <c r="OIO622" s="1831"/>
      <c r="OIP622" s="1831"/>
      <c r="OIQ622" s="1831"/>
      <c r="OIR622" s="1831"/>
      <c r="OIS622" s="1831"/>
      <c r="OIT622" s="1831"/>
      <c r="OIU622" s="1831"/>
      <c r="OIV622" s="1831"/>
      <c r="OIW622" s="1831"/>
      <c r="OIX622" s="1831"/>
      <c r="OIY622" s="1831"/>
      <c r="OIZ622" s="1831"/>
      <c r="OJA622" s="1831"/>
      <c r="OJB622" s="1831"/>
      <c r="OJC622" s="1831"/>
      <c r="OJD622" s="1831"/>
      <c r="OJE622" s="1831"/>
      <c r="OJF622" s="1831"/>
      <c r="OJG622" s="1831"/>
      <c r="OJH622" s="1831"/>
      <c r="OJI622" s="1831"/>
      <c r="OJJ622" s="1831"/>
      <c r="OJK622" s="1831"/>
      <c r="OJL622" s="1831"/>
      <c r="OJM622" s="1831"/>
      <c r="OJN622" s="1831"/>
      <c r="OJO622" s="1831"/>
      <c r="OJP622" s="1831"/>
      <c r="OJQ622" s="1831"/>
      <c r="OJR622" s="1831"/>
      <c r="OJS622" s="1831"/>
      <c r="OJT622" s="1831"/>
      <c r="OJU622" s="1831"/>
      <c r="OJV622" s="1831"/>
      <c r="OJW622" s="1831"/>
      <c r="OJX622" s="1831"/>
      <c r="OJY622" s="1831"/>
      <c r="OJZ622" s="1831"/>
      <c r="OKA622" s="1831"/>
      <c r="OKB622" s="1831"/>
      <c r="OKC622" s="1831"/>
      <c r="OKD622" s="1831"/>
      <c r="OKE622" s="1831"/>
      <c r="OKF622" s="1831"/>
      <c r="OKG622" s="1831"/>
      <c r="OKH622" s="1831"/>
      <c r="OKI622" s="1831"/>
      <c r="OKJ622" s="1831"/>
      <c r="OKK622" s="1831"/>
      <c r="OKL622" s="1831"/>
      <c r="OKM622" s="1831"/>
      <c r="OKN622" s="1831"/>
      <c r="OKO622" s="1831"/>
      <c r="OKP622" s="1831"/>
      <c r="OKQ622" s="1831"/>
      <c r="OKR622" s="1831"/>
      <c r="OKS622" s="1831"/>
      <c r="OKT622" s="1831"/>
      <c r="OKU622" s="1831"/>
      <c r="OKV622" s="1831"/>
      <c r="OKW622" s="1831"/>
      <c r="OKX622" s="1831"/>
      <c r="OKY622" s="1831"/>
      <c r="OKZ622" s="1831"/>
      <c r="OLA622" s="1831"/>
      <c r="OLB622" s="1831"/>
      <c r="OLC622" s="1831"/>
      <c r="OLD622" s="1831"/>
      <c r="OLE622" s="1831"/>
      <c r="OLF622" s="1831"/>
      <c r="OLG622" s="1831"/>
      <c r="OLH622" s="1831"/>
      <c r="OLI622" s="1831"/>
      <c r="OLJ622" s="1831"/>
      <c r="OLK622" s="1831"/>
      <c r="OLL622" s="1831"/>
      <c r="OLM622" s="1831"/>
      <c r="OLN622" s="1831"/>
      <c r="OLO622" s="1831"/>
      <c r="OLP622" s="1831"/>
      <c r="OLQ622" s="1831"/>
      <c r="OLR622" s="1831"/>
      <c r="OLS622" s="1831"/>
      <c r="OLT622" s="1831"/>
      <c r="OLU622" s="1831"/>
      <c r="OLV622" s="1831"/>
      <c r="OLW622" s="1831"/>
      <c r="OLX622" s="1831"/>
      <c r="OLY622" s="1831"/>
      <c r="OLZ622" s="1831"/>
      <c r="OMA622" s="1831"/>
      <c r="OMB622" s="1831"/>
      <c r="OMC622" s="1831"/>
      <c r="OMD622" s="1831"/>
      <c r="OME622" s="1831"/>
      <c r="OMF622" s="1831"/>
      <c r="OMG622" s="1831"/>
      <c r="OMH622" s="1831"/>
      <c r="OMI622" s="1831"/>
      <c r="OMJ622" s="1831"/>
      <c r="OMK622" s="1831"/>
      <c r="OML622" s="1831"/>
      <c r="OMM622" s="1831"/>
      <c r="OMN622" s="1831"/>
      <c r="OMO622" s="1831"/>
      <c r="OMP622" s="1831"/>
      <c r="OMQ622" s="1831"/>
      <c r="OMR622" s="1831"/>
      <c r="OMS622" s="1831"/>
      <c r="OMT622" s="1831"/>
      <c r="OMU622" s="1831"/>
      <c r="OMV622" s="1831"/>
      <c r="OMW622" s="1831"/>
      <c r="OMX622" s="1831"/>
      <c r="OMY622" s="1831"/>
      <c r="OMZ622" s="1831"/>
      <c r="ONA622" s="1831"/>
      <c r="ONB622" s="1831"/>
      <c r="ONC622" s="1831"/>
      <c r="OND622" s="1831"/>
      <c r="ONE622" s="1831"/>
      <c r="ONF622" s="1831"/>
      <c r="ONG622" s="1831"/>
      <c r="ONH622" s="1831"/>
      <c r="ONI622" s="1831"/>
      <c r="ONJ622" s="1831"/>
      <c r="ONK622" s="1831"/>
      <c r="ONL622" s="1831"/>
      <c r="ONM622" s="1831"/>
      <c r="ONN622" s="1831"/>
      <c r="ONO622" s="1831"/>
      <c r="ONP622" s="1831"/>
      <c r="ONQ622" s="1831"/>
      <c r="ONR622" s="1831"/>
      <c r="ONS622" s="1831"/>
      <c r="ONT622" s="1831"/>
      <c r="ONU622" s="1831"/>
      <c r="ONV622" s="1831"/>
      <c r="ONW622" s="1831"/>
      <c r="ONX622" s="1831"/>
      <c r="ONY622" s="1831"/>
      <c r="ONZ622" s="1831"/>
      <c r="OOA622" s="1831"/>
      <c r="OOB622" s="1831"/>
      <c r="OOC622" s="1831"/>
      <c r="OOD622" s="1831"/>
      <c r="OOE622" s="1831"/>
      <c r="OOF622" s="1831"/>
      <c r="OOG622" s="1831"/>
      <c r="OOH622" s="1831"/>
      <c r="OOI622" s="1831"/>
      <c r="OOJ622" s="1831"/>
      <c r="OOK622" s="1831"/>
      <c r="OOL622" s="1831"/>
      <c r="OOM622" s="1831"/>
      <c r="OON622" s="1831"/>
      <c r="OOO622" s="1831"/>
      <c r="OOP622" s="1831"/>
      <c r="OOQ622" s="1831"/>
      <c r="OOR622" s="1831"/>
      <c r="OOS622" s="1831"/>
      <c r="OOT622" s="1831"/>
      <c r="OOU622" s="1831"/>
      <c r="OOV622" s="1831"/>
      <c r="OOW622" s="1831"/>
      <c r="OOX622" s="1831"/>
      <c r="OOY622" s="1831"/>
      <c r="OOZ622" s="1831"/>
      <c r="OPA622" s="1831"/>
      <c r="OPB622" s="1831"/>
      <c r="OPC622" s="1831"/>
      <c r="OPD622" s="1831"/>
      <c r="OPE622" s="1831"/>
      <c r="OPF622" s="1831"/>
      <c r="OPG622" s="1831"/>
      <c r="OPH622" s="1831"/>
      <c r="OPI622" s="1831"/>
      <c r="OPJ622" s="1831"/>
      <c r="OPK622" s="1831"/>
      <c r="OPL622" s="1831"/>
      <c r="OPM622" s="1831"/>
      <c r="OPN622" s="1831"/>
      <c r="OPO622" s="1831"/>
      <c r="OPP622" s="1831"/>
      <c r="OPQ622" s="1831"/>
      <c r="OPR622" s="1831"/>
      <c r="OPS622" s="1831"/>
      <c r="OPT622" s="1831"/>
      <c r="OPU622" s="1831"/>
      <c r="OPV622" s="1831"/>
      <c r="OPW622" s="1831"/>
      <c r="OPX622" s="1831"/>
      <c r="OPY622" s="1831"/>
      <c r="OPZ622" s="1831"/>
      <c r="OQA622" s="1831"/>
      <c r="OQB622" s="1831"/>
      <c r="OQC622" s="1831"/>
      <c r="OQD622" s="1831"/>
      <c r="OQE622" s="1831"/>
      <c r="OQF622" s="1831"/>
      <c r="OQG622" s="1831"/>
      <c r="OQH622" s="1831"/>
      <c r="OQI622" s="1831"/>
      <c r="OQJ622" s="1831"/>
      <c r="OQK622" s="1831"/>
      <c r="OQL622" s="1831"/>
      <c r="OQM622" s="1831"/>
      <c r="OQN622" s="1831"/>
      <c r="OQO622" s="1831"/>
      <c r="OQP622" s="1831"/>
      <c r="OQQ622" s="1831"/>
      <c r="OQR622" s="1831"/>
      <c r="OQS622" s="1831"/>
      <c r="OQT622" s="1831"/>
      <c r="OQU622" s="1831"/>
      <c r="OQV622" s="1831"/>
      <c r="OQW622" s="1831"/>
      <c r="OQX622" s="1831"/>
      <c r="OQY622" s="1831"/>
      <c r="OQZ622" s="1831"/>
      <c r="ORA622" s="1831"/>
      <c r="ORB622" s="1831"/>
      <c r="ORC622" s="1831"/>
      <c r="ORD622" s="1831"/>
      <c r="ORE622" s="1831"/>
      <c r="ORF622" s="1831"/>
      <c r="ORG622" s="1831"/>
      <c r="ORH622" s="1831"/>
      <c r="ORI622" s="1831"/>
      <c r="ORJ622" s="1831"/>
      <c r="ORK622" s="1831"/>
      <c r="ORL622" s="1831"/>
      <c r="ORM622" s="1831"/>
      <c r="ORN622" s="1831"/>
      <c r="ORO622" s="1831"/>
      <c r="ORP622" s="1831"/>
      <c r="ORQ622" s="1831"/>
      <c r="ORR622" s="1831"/>
      <c r="ORS622" s="1831"/>
      <c r="ORT622" s="1831"/>
      <c r="ORU622" s="1831"/>
      <c r="ORV622" s="1831"/>
      <c r="ORW622" s="1831"/>
      <c r="ORX622" s="1831"/>
      <c r="ORY622" s="1831"/>
      <c r="ORZ622" s="1831"/>
      <c r="OSA622" s="1831"/>
      <c r="OSB622" s="1831"/>
      <c r="OSC622" s="1831"/>
      <c r="OSD622" s="1831"/>
      <c r="OSE622" s="1831"/>
      <c r="OSF622" s="1831"/>
      <c r="OSG622" s="1831"/>
      <c r="OSH622" s="1831"/>
      <c r="OSI622" s="1831"/>
      <c r="OSJ622" s="1831"/>
      <c r="OSK622" s="1831"/>
      <c r="OSL622" s="1831"/>
      <c r="OSM622" s="1831"/>
      <c r="OSN622" s="1831"/>
      <c r="OSO622" s="1831"/>
      <c r="OSP622" s="1831"/>
      <c r="OSQ622" s="1831"/>
      <c r="OSR622" s="1831"/>
      <c r="OSS622" s="1831"/>
      <c r="OST622" s="1831"/>
      <c r="OSU622" s="1831"/>
      <c r="OSV622" s="1831"/>
      <c r="OSW622" s="1831"/>
      <c r="OSX622" s="1831"/>
      <c r="OSY622" s="1831"/>
      <c r="OSZ622" s="1831"/>
      <c r="OTA622" s="1831"/>
      <c r="OTB622" s="1831"/>
      <c r="OTC622" s="1831"/>
      <c r="OTD622" s="1831"/>
      <c r="OTE622" s="1831"/>
      <c r="OTF622" s="1831"/>
      <c r="OTG622" s="1831"/>
      <c r="OTH622" s="1831"/>
      <c r="OTI622" s="1831"/>
      <c r="OTJ622" s="1831"/>
      <c r="OTK622" s="1831"/>
      <c r="OTL622" s="1831"/>
      <c r="OTM622" s="1831"/>
      <c r="OTN622" s="1831"/>
      <c r="OTO622" s="1831"/>
      <c r="OTP622" s="1831"/>
      <c r="OTQ622" s="1831"/>
      <c r="OTR622" s="1831"/>
      <c r="OTS622" s="1831"/>
      <c r="OTT622" s="1831"/>
      <c r="OTU622" s="1831"/>
      <c r="OTV622" s="1831"/>
      <c r="OTW622" s="1831"/>
      <c r="OTX622" s="1831"/>
      <c r="OTY622" s="1831"/>
      <c r="OTZ622" s="1831"/>
      <c r="OUA622" s="1831"/>
      <c r="OUB622" s="1831"/>
      <c r="OUC622" s="1831"/>
      <c r="OUD622" s="1831"/>
      <c r="OUE622" s="1831"/>
      <c r="OUF622" s="1831"/>
      <c r="OUG622" s="1831"/>
      <c r="OUH622" s="1831"/>
      <c r="OUI622" s="1831"/>
      <c r="OUJ622" s="1831"/>
      <c r="OUK622" s="1831"/>
      <c r="OUL622" s="1831"/>
      <c r="OUM622" s="1831"/>
      <c r="OUN622" s="1831"/>
      <c r="OUO622" s="1831"/>
      <c r="OUP622" s="1831"/>
      <c r="OUQ622" s="1831"/>
      <c r="OUR622" s="1831"/>
      <c r="OUS622" s="1831"/>
      <c r="OUT622" s="1831"/>
      <c r="OUU622" s="1831"/>
      <c r="OUV622" s="1831"/>
      <c r="OUW622" s="1831"/>
      <c r="OUX622" s="1831"/>
      <c r="OUY622" s="1831"/>
      <c r="OUZ622" s="1831"/>
      <c r="OVA622" s="1831"/>
      <c r="OVB622" s="1831"/>
      <c r="OVC622" s="1831"/>
      <c r="OVD622" s="1831"/>
      <c r="OVE622" s="1831"/>
      <c r="OVF622" s="1831"/>
      <c r="OVG622" s="1831"/>
      <c r="OVH622" s="1831"/>
      <c r="OVI622" s="1831"/>
      <c r="OVJ622" s="1831"/>
      <c r="OVK622" s="1831"/>
      <c r="OVL622" s="1831"/>
      <c r="OVM622" s="1831"/>
      <c r="OVN622" s="1831"/>
      <c r="OVO622" s="1831"/>
      <c r="OVP622" s="1831"/>
      <c r="OVQ622" s="1831"/>
      <c r="OVR622" s="1831"/>
      <c r="OVS622" s="1831"/>
      <c r="OVT622" s="1831"/>
      <c r="OVU622" s="1831"/>
      <c r="OVV622" s="1831"/>
      <c r="OVW622" s="1831"/>
      <c r="OVX622" s="1831"/>
      <c r="OVY622" s="1831"/>
      <c r="OVZ622" s="1831"/>
      <c r="OWA622" s="1831"/>
      <c r="OWB622" s="1831"/>
      <c r="OWC622" s="1831"/>
      <c r="OWD622" s="1831"/>
      <c r="OWE622" s="1831"/>
      <c r="OWF622" s="1831"/>
      <c r="OWG622" s="1831"/>
      <c r="OWH622" s="1831"/>
      <c r="OWI622" s="1831"/>
      <c r="OWJ622" s="1831"/>
      <c r="OWK622" s="1831"/>
      <c r="OWL622" s="1831"/>
      <c r="OWM622" s="1831"/>
      <c r="OWN622" s="1831"/>
      <c r="OWO622" s="1831"/>
      <c r="OWP622" s="1831"/>
      <c r="OWQ622" s="1831"/>
      <c r="OWR622" s="1831"/>
      <c r="OWS622" s="1831"/>
      <c r="OWT622" s="1831"/>
      <c r="OWU622" s="1831"/>
      <c r="OWV622" s="1831"/>
      <c r="OWW622" s="1831"/>
      <c r="OWX622" s="1831"/>
      <c r="OWY622" s="1831"/>
      <c r="OWZ622" s="1831"/>
      <c r="OXA622" s="1831"/>
      <c r="OXB622" s="1831"/>
      <c r="OXC622" s="1831"/>
      <c r="OXD622" s="1831"/>
      <c r="OXE622" s="1831"/>
      <c r="OXF622" s="1831"/>
      <c r="OXG622" s="1831"/>
      <c r="OXH622" s="1831"/>
      <c r="OXI622" s="1831"/>
      <c r="OXJ622" s="1831"/>
      <c r="OXK622" s="1831"/>
      <c r="OXL622" s="1831"/>
      <c r="OXM622" s="1831"/>
      <c r="OXN622" s="1831"/>
      <c r="OXO622" s="1831"/>
      <c r="OXP622" s="1831"/>
      <c r="OXQ622" s="1831"/>
      <c r="OXR622" s="1831"/>
      <c r="OXS622" s="1831"/>
      <c r="OXT622" s="1831"/>
      <c r="OXU622" s="1831"/>
      <c r="OXV622" s="1831"/>
      <c r="OXW622" s="1831"/>
      <c r="OXX622" s="1831"/>
      <c r="OXY622" s="1831"/>
      <c r="OXZ622" s="1831"/>
      <c r="OYA622" s="1831"/>
      <c r="OYB622" s="1831"/>
      <c r="OYC622" s="1831"/>
      <c r="OYD622" s="1831"/>
      <c r="OYE622" s="1831"/>
      <c r="OYF622" s="1831"/>
      <c r="OYG622" s="1831"/>
      <c r="OYH622" s="1831"/>
      <c r="OYI622" s="1831"/>
      <c r="OYJ622" s="1831"/>
      <c r="OYK622" s="1831"/>
      <c r="OYL622" s="1831"/>
      <c r="OYM622" s="1831"/>
      <c r="OYN622" s="1831"/>
      <c r="OYO622" s="1831"/>
      <c r="OYP622" s="1831"/>
      <c r="OYQ622" s="1831"/>
      <c r="OYR622" s="1831"/>
      <c r="OYS622" s="1831"/>
      <c r="OYT622" s="1831"/>
      <c r="OYU622" s="1831"/>
      <c r="OYV622" s="1831"/>
      <c r="OYW622" s="1831"/>
      <c r="OYX622" s="1831"/>
      <c r="OYY622" s="1831"/>
      <c r="OYZ622" s="1831"/>
      <c r="OZA622" s="1831"/>
      <c r="OZB622" s="1831"/>
      <c r="OZC622" s="1831"/>
      <c r="OZD622" s="1831"/>
      <c r="OZE622" s="1831"/>
      <c r="OZF622" s="1831"/>
      <c r="OZG622" s="1831"/>
      <c r="OZH622" s="1831"/>
      <c r="OZI622" s="1831"/>
      <c r="OZJ622" s="1831"/>
      <c r="OZK622" s="1831"/>
      <c r="OZL622" s="1831"/>
      <c r="OZM622" s="1831"/>
      <c r="OZN622" s="1831"/>
      <c r="OZO622" s="1831"/>
      <c r="OZP622" s="1831"/>
      <c r="OZQ622" s="1831"/>
      <c r="OZR622" s="1831"/>
      <c r="OZS622" s="1831"/>
      <c r="OZT622" s="1831"/>
      <c r="OZU622" s="1831"/>
      <c r="OZV622" s="1831"/>
      <c r="OZW622" s="1831"/>
      <c r="OZX622" s="1831"/>
      <c r="OZY622" s="1831"/>
      <c r="OZZ622" s="1831"/>
      <c r="PAA622" s="1831"/>
      <c r="PAB622" s="1831"/>
      <c r="PAC622" s="1831"/>
      <c r="PAD622" s="1831"/>
      <c r="PAE622" s="1831"/>
      <c r="PAF622" s="1831"/>
      <c r="PAG622" s="1831"/>
      <c r="PAH622" s="1831"/>
      <c r="PAI622" s="1831"/>
      <c r="PAJ622" s="1831"/>
      <c r="PAK622" s="1831"/>
      <c r="PAL622" s="1831"/>
      <c r="PAM622" s="1831"/>
      <c r="PAN622" s="1831"/>
      <c r="PAO622" s="1831"/>
      <c r="PAP622" s="1831"/>
      <c r="PAQ622" s="1831"/>
      <c r="PAR622" s="1831"/>
      <c r="PAS622" s="1831"/>
      <c r="PAT622" s="1831"/>
      <c r="PAU622" s="1831"/>
      <c r="PAV622" s="1831"/>
      <c r="PAW622" s="1831"/>
      <c r="PAX622" s="1831"/>
      <c r="PAY622" s="1831"/>
      <c r="PAZ622" s="1831"/>
      <c r="PBA622" s="1831"/>
      <c r="PBB622" s="1831"/>
      <c r="PBC622" s="1831"/>
      <c r="PBD622" s="1831"/>
      <c r="PBE622" s="1831"/>
      <c r="PBF622" s="1831"/>
      <c r="PBG622" s="1831"/>
      <c r="PBH622" s="1831"/>
      <c r="PBI622" s="1831"/>
      <c r="PBJ622" s="1831"/>
      <c r="PBK622" s="1831"/>
      <c r="PBL622" s="1831"/>
      <c r="PBM622" s="1831"/>
      <c r="PBN622" s="1831"/>
      <c r="PBO622" s="1831"/>
      <c r="PBP622" s="1831"/>
      <c r="PBQ622" s="1831"/>
      <c r="PBR622" s="1831"/>
      <c r="PBS622" s="1831"/>
      <c r="PBT622" s="1831"/>
      <c r="PBU622" s="1831"/>
      <c r="PBV622" s="1831"/>
      <c r="PBW622" s="1831"/>
      <c r="PBX622" s="1831"/>
      <c r="PBY622" s="1831"/>
      <c r="PBZ622" s="1831"/>
      <c r="PCA622" s="1831"/>
      <c r="PCB622" s="1831"/>
      <c r="PCC622" s="1831"/>
      <c r="PCD622" s="1831"/>
      <c r="PCE622" s="1831"/>
      <c r="PCF622" s="1831"/>
      <c r="PCG622" s="1831"/>
      <c r="PCH622" s="1831"/>
      <c r="PCI622" s="1831"/>
      <c r="PCJ622" s="1831"/>
      <c r="PCK622" s="1831"/>
      <c r="PCL622" s="1831"/>
      <c r="PCM622" s="1831"/>
      <c r="PCN622" s="1831"/>
      <c r="PCO622" s="1831"/>
      <c r="PCP622" s="1831"/>
      <c r="PCQ622" s="1831"/>
      <c r="PCR622" s="1831"/>
      <c r="PCS622" s="1831"/>
      <c r="PCT622" s="1831"/>
      <c r="PCU622" s="1831"/>
      <c r="PCV622" s="1831"/>
      <c r="PCW622" s="1831"/>
      <c r="PCX622" s="1831"/>
      <c r="PCY622" s="1831"/>
      <c r="PCZ622" s="1831"/>
      <c r="PDA622" s="1831"/>
      <c r="PDB622" s="1831"/>
      <c r="PDC622" s="1831"/>
      <c r="PDD622" s="1831"/>
      <c r="PDE622" s="1831"/>
      <c r="PDF622" s="1831"/>
      <c r="PDG622" s="1831"/>
      <c r="PDH622" s="1831"/>
      <c r="PDI622" s="1831"/>
      <c r="PDJ622" s="1831"/>
      <c r="PDK622" s="1831"/>
      <c r="PDL622" s="1831"/>
      <c r="PDM622" s="1831"/>
      <c r="PDN622" s="1831"/>
      <c r="PDO622" s="1831"/>
      <c r="PDP622" s="1831"/>
      <c r="PDQ622" s="1831"/>
      <c r="PDR622" s="1831"/>
      <c r="PDS622" s="1831"/>
      <c r="PDT622" s="1831"/>
      <c r="PDU622" s="1831"/>
      <c r="PDV622" s="1831"/>
      <c r="PDW622" s="1831"/>
      <c r="PDX622" s="1831"/>
      <c r="PDY622" s="1831"/>
      <c r="PDZ622" s="1831"/>
      <c r="PEA622" s="1831"/>
      <c r="PEB622" s="1831"/>
      <c r="PEC622" s="1831"/>
      <c r="PED622" s="1831"/>
      <c r="PEE622" s="1831"/>
      <c r="PEF622" s="1831"/>
      <c r="PEG622" s="1831"/>
      <c r="PEH622" s="1831"/>
      <c r="PEI622" s="1831"/>
      <c r="PEJ622" s="1831"/>
      <c r="PEK622" s="1831"/>
      <c r="PEL622" s="1831"/>
      <c r="PEM622" s="1831"/>
      <c r="PEN622" s="1831"/>
      <c r="PEO622" s="1831"/>
      <c r="PEP622" s="1831"/>
      <c r="PEQ622" s="1831"/>
      <c r="PER622" s="1831"/>
      <c r="PES622" s="1831"/>
      <c r="PET622" s="1831"/>
      <c r="PEU622" s="1831"/>
      <c r="PEV622" s="1831"/>
      <c r="PEW622" s="1831"/>
      <c r="PEX622" s="1831"/>
      <c r="PEY622" s="1831"/>
      <c r="PEZ622" s="1831"/>
      <c r="PFA622" s="1831"/>
      <c r="PFB622" s="1831"/>
      <c r="PFC622" s="1831"/>
      <c r="PFD622" s="1831"/>
      <c r="PFE622" s="1831"/>
      <c r="PFF622" s="1831"/>
      <c r="PFG622" s="1831"/>
      <c r="PFH622" s="1831"/>
      <c r="PFI622" s="1831"/>
      <c r="PFJ622" s="1831"/>
      <c r="PFK622" s="1831"/>
      <c r="PFL622" s="1831"/>
      <c r="PFM622" s="1831"/>
      <c r="PFN622" s="1831"/>
      <c r="PFO622" s="1831"/>
      <c r="PFP622" s="1831"/>
      <c r="PFQ622" s="1831"/>
      <c r="PFR622" s="1831"/>
      <c r="PFS622" s="1831"/>
      <c r="PFT622" s="1831"/>
      <c r="PFU622" s="1831"/>
      <c r="PFV622" s="1831"/>
      <c r="PFW622" s="1831"/>
      <c r="PFX622" s="1831"/>
      <c r="PFY622" s="1831"/>
      <c r="PFZ622" s="1831"/>
      <c r="PGA622" s="1831"/>
      <c r="PGB622" s="1831"/>
      <c r="PGC622" s="1831"/>
      <c r="PGD622" s="1831"/>
      <c r="PGE622" s="1831"/>
      <c r="PGF622" s="1831"/>
      <c r="PGG622" s="1831"/>
      <c r="PGH622" s="1831"/>
      <c r="PGI622" s="1831"/>
      <c r="PGJ622" s="1831"/>
      <c r="PGK622" s="1831"/>
      <c r="PGL622" s="1831"/>
      <c r="PGM622" s="1831"/>
      <c r="PGN622" s="1831"/>
      <c r="PGO622" s="1831"/>
      <c r="PGP622" s="1831"/>
      <c r="PGQ622" s="1831"/>
      <c r="PGR622" s="1831"/>
      <c r="PGS622" s="1831"/>
      <c r="PGT622" s="1831"/>
      <c r="PGU622" s="1831"/>
      <c r="PGV622" s="1831"/>
      <c r="PGW622" s="1831"/>
      <c r="PGX622" s="1831"/>
      <c r="PGY622" s="1831"/>
      <c r="PGZ622" s="1831"/>
      <c r="PHA622" s="1831"/>
      <c r="PHB622" s="1831"/>
      <c r="PHC622" s="1831"/>
      <c r="PHD622" s="1831"/>
      <c r="PHE622" s="1831"/>
      <c r="PHF622" s="1831"/>
      <c r="PHG622" s="1831"/>
      <c r="PHH622" s="1831"/>
      <c r="PHI622" s="1831"/>
      <c r="PHJ622" s="1831"/>
      <c r="PHK622" s="1831"/>
      <c r="PHL622" s="1831"/>
      <c r="PHM622" s="1831"/>
      <c r="PHN622" s="1831"/>
      <c r="PHO622" s="1831"/>
      <c r="PHP622" s="1831"/>
      <c r="PHQ622" s="1831"/>
      <c r="PHR622" s="1831"/>
      <c r="PHS622" s="1831"/>
      <c r="PHT622" s="1831"/>
      <c r="PHU622" s="1831"/>
      <c r="PHV622" s="1831"/>
      <c r="PHW622" s="1831"/>
      <c r="PHX622" s="1831"/>
      <c r="PHY622" s="1831"/>
      <c r="PHZ622" s="1831"/>
      <c r="PIA622" s="1831"/>
      <c r="PIB622" s="1831"/>
      <c r="PIC622" s="1831"/>
      <c r="PID622" s="1831"/>
      <c r="PIE622" s="1831"/>
      <c r="PIF622" s="1831"/>
      <c r="PIG622" s="1831"/>
      <c r="PIH622" s="1831"/>
      <c r="PII622" s="1831"/>
      <c r="PIJ622" s="1831"/>
      <c r="PIK622" s="1831"/>
      <c r="PIL622" s="1831"/>
      <c r="PIM622" s="1831"/>
      <c r="PIN622" s="1831"/>
      <c r="PIO622" s="1831"/>
      <c r="PIP622" s="1831"/>
      <c r="PIQ622" s="1831"/>
      <c r="PIR622" s="1831"/>
      <c r="PIS622" s="1831"/>
      <c r="PIT622" s="1831"/>
      <c r="PIU622" s="1831"/>
      <c r="PIV622" s="1831"/>
      <c r="PIW622" s="1831"/>
      <c r="PIX622" s="1831"/>
      <c r="PIY622" s="1831"/>
      <c r="PIZ622" s="1831"/>
      <c r="PJA622" s="1831"/>
      <c r="PJB622" s="1831"/>
      <c r="PJC622" s="1831"/>
      <c r="PJD622" s="1831"/>
      <c r="PJE622" s="1831"/>
      <c r="PJF622" s="1831"/>
      <c r="PJG622" s="1831"/>
      <c r="PJH622" s="1831"/>
      <c r="PJI622" s="1831"/>
      <c r="PJJ622" s="1831"/>
      <c r="PJK622" s="1831"/>
      <c r="PJL622" s="1831"/>
      <c r="PJM622" s="1831"/>
      <c r="PJN622" s="1831"/>
      <c r="PJO622" s="1831"/>
      <c r="PJP622" s="1831"/>
      <c r="PJQ622" s="1831"/>
      <c r="PJR622" s="1831"/>
      <c r="PJS622" s="1831"/>
      <c r="PJT622" s="1831"/>
      <c r="PJU622" s="1831"/>
      <c r="PJV622" s="1831"/>
      <c r="PJW622" s="1831"/>
      <c r="PJX622" s="1831"/>
      <c r="PJY622" s="1831"/>
      <c r="PJZ622" s="1831"/>
      <c r="PKA622" s="1831"/>
      <c r="PKB622" s="1831"/>
      <c r="PKC622" s="1831"/>
      <c r="PKD622" s="1831"/>
      <c r="PKE622" s="1831"/>
      <c r="PKF622" s="1831"/>
      <c r="PKG622" s="1831"/>
      <c r="PKH622" s="1831"/>
      <c r="PKI622" s="1831"/>
      <c r="PKJ622" s="1831"/>
      <c r="PKK622" s="1831"/>
      <c r="PKL622" s="1831"/>
      <c r="PKM622" s="1831"/>
      <c r="PKN622" s="1831"/>
      <c r="PKO622" s="1831"/>
      <c r="PKP622" s="1831"/>
      <c r="PKQ622" s="1831"/>
      <c r="PKR622" s="1831"/>
      <c r="PKS622" s="1831"/>
      <c r="PKT622" s="1831"/>
      <c r="PKU622" s="1831"/>
      <c r="PKV622" s="1831"/>
      <c r="PKW622" s="1831"/>
      <c r="PKX622" s="1831"/>
      <c r="PKY622" s="1831"/>
      <c r="PKZ622" s="1831"/>
      <c r="PLA622" s="1831"/>
      <c r="PLB622" s="1831"/>
      <c r="PLC622" s="1831"/>
      <c r="PLD622" s="1831"/>
      <c r="PLE622" s="1831"/>
      <c r="PLF622" s="1831"/>
      <c r="PLG622" s="1831"/>
      <c r="PLH622" s="1831"/>
      <c r="PLI622" s="1831"/>
      <c r="PLJ622" s="1831"/>
      <c r="PLK622" s="1831"/>
      <c r="PLL622" s="1831"/>
      <c r="PLM622" s="1831"/>
      <c r="PLN622" s="1831"/>
      <c r="PLO622" s="1831"/>
      <c r="PLP622" s="1831"/>
      <c r="PLQ622" s="1831"/>
      <c r="PLR622" s="1831"/>
      <c r="PLS622" s="1831"/>
      <c r="PLT622" s="1831"/>
      <c r="PLU622" s="1831"/>
      <c r="PLV622" s="1831"/>
      <c r="PLW622" s="1831"/>
      <c r="PLX622" s="1831"/>
      <c r="PLY622" s="1831"/>
      <c r="PLZ622" s="1831"/>
      <c r="PMA622" s="1831"/>
      <c r="PMB622" s="1831"/>
      <c r="PMC622" s="1831"/>
      <c r="PMD622" s="1831"/>
      <c r="PME622" s="1831"/>
      <c r="PMF622" s="1831"/>
      <c r="PMG622" s="1831"/>
      <c r="PMH622" s="1831"/>
      <c r="PMI622" s="1831"/>
      <c r="PMJ622" s="1831"/>
      <c r="PMK622" s="1831"/>
      <c r="PML622" s="1831"/>
      <c r="PMM622" s="1831"/>
      <c r="PMN622" s="1831"/>
      <c r="PMO622" s="1831"/>
      <c r="PMP622" s="1831"/>
      <c r="PMQ622" s="1831"/>
      <c r="PMR622" s="1831"/>
      <c r="PMS622" s="1831"/>
      <c r="PMT622" s="1831"/>
      <c r="PMU622" s="1831"/>
      <c r="PMV622" s="1831"/>
      <c r="PMW622" s="1831"/>
      <c r="PMX622" s="1831"/>
      <c r="PMY622" s="1831"/>
      <c r="PMZ622" s="1831"/>
      <c r="PNA622" s="1831"/>
      <c r="PNB622" s="1831"/>
      <c r="PNC622" s="1831"/>
      <c r="PND622" s="1831"/>
      <c r="PNE622" s="1831"/>
      <c r="PNF622" s="1831"/>
      <c r="PNG622" s="1831"/>
      <c r="PNH622" s="1831"/>
      <c r="PNI622" s="1831"/>
      <c r="PNJ622" s="1831"/>
      <c r="PNK622" s="1831"/>
      <c r="PNL622" s="1831"/>
      <c r="PNM622" s="1831"/>
      <c r="PNN622" s="1831"/>
      <c r="PNO622" s="1831"/>
      <c r="PNP622" s="1831"/>
      <c r="PNQ622" s="1831"/>
      <c r="PNR622" s="1831"/>
      <c r="PNS622" s="1831"/>
      <c r="PNT622" s="1831"/>
      <c r="PNU622" s="1831"/>
      <c r="PNV622" s="1831"/>
      <c r="PNW622" s="1831"/>
      <c r="PNX622" s="1831"/>
      <c r="PNY622" s="1831"/>
      <c r="PNZ622" s="1831"/>
      <c r="POA622" s="1831"/>
      <c r="POB622" s="1831"/>
      <c r="POC622" s="1831"/>
      <c r="POD622" s="1831"/>
      <c r="POE622" s="1831"/>
      <c r="POF622" s="1831"/>
      <c r="POG622" s="1831"/>
      <c r="POH622" s="1831"/>
      <c r="POI622" s="1831"/>
      <c r="POJ622" s="1831"/>
      <c r="POK622" s="1831"/>
      <c r="POL622" s="1831"/>
      <c r="POM622" s="1831"/>
      <c r="PON622" s="1831"/>
      <c r="POO622" s="1831"/>
      <c r="POP622" s="1831"/>
      <c r="POQ622" s="1831"/>
      <c r="POR622" s="1831"/>
      <c r="POS622" s="1831"/>
      <c r="POT622" s="1831"/>
      <c r="POU622" s="1831"/>
      <c r="POV622" s="1831"/>
      <c r="POW622" s="1831"/>
      <c r="POX622" s="1831"/>
      <c r="POY622" s="1831"/>
      <c r="POZ622" s="1831"/>
      <c r="PPA622" s="1831"/>
      <c r="PPB622" s="1831"/>
      <c r="PPC622" s="1831"/>
      <c r="PPD622" s="1831"/>
      <c r="PPE622" s="1831"/>
      <c r="PPF622" s="1831"/>
      <c r="PPG622" s="1831"/>
      <c r="PPH622" s="1831"/>
      <c r="PPI622" s="1831"/>
      <c r="PPJ622" s="1831"/>
      <c r="PPK622" s="1831"/>
      <c r="PPL622" s="1831"/>
      <c r="PPM622" s="1831"/>
      <c r="PPN622" s="1831"/>
      <c r="PPO622" s="1831"/>
      <c r="PPP622" s="1831"/>
      <c r="PPQ622" s="1831"/>
      <c r="PPR622" s="1831"/>
      <c r="PPS622" s="1831"/>
      <c r="PPT622" s="1831"/>
      <c r="PPU622" s="1831"/>
      <c r="PPV622" s="1831"/>
      <c r="PPW622" s="1831"/>
      <c r="PPX622" s="1831"/>
      <c r="PPY622" s="1831"/>
      <c r="PPZ622" s="1831"/>
      <c r="PQA622" s="1831"/>
      <c r="PQB622" s="1831"/>
      <c r="PQC622" s="1831"/>
      <c r="PQD622" s="1831"/>
      <c r="PQE622" s="1831"/>
      <c r="PQF622" s="1831"/>
      <c r="PQG622" s="1831"/>
      <c r="PQH622" s="1831"/>
      <c r="PQI622" s="1831"/>
      <c r="PQJ622" s="1831"/>
      <c r="PQK622" s="1831"/>
      <c r="PQL622" s="1831"/>
      <c r="PQM622" s="1831"/>
      <c r="PQN622" s="1831"/>
      <c r="PQO622" s="1831"/>
      <c r="PQP622" s="1831"/>
      <c r="PQQ622" s="1831"/>
      <c r="PQR622" s="1831"/>
      <c r="PQS622" s="1831"/>
      <c r="PQT622" s="1831"/>
      <c r="PQU622" s="1831"/>
      <c r="PQV622" s="1831"/>
      <c r="PQW622" s="1831"/>
      <c r="PQX622" s="1831"/>
      <c r="PQY622" s="1831"/>
      <c r="PQZ622" s="1831"/>
      <c r="PRA622" s="1831"/>
      <c r="PRB622" s="1831"/>
      <c r="PRC622" s="1831"/>
      <c r="PRD622" s="1831"/>
      <c r="PRE622" s="1831"/>
      <c r="PRF622" s="1831"/>
      <c r="PRG622" s="1831"/>
      <c r="PRH622" s="1831"/>
      <c r="PRI622" s="1831"/>
      <c r="PRJ622" s="1831"/>
      <c r="PRK622" s="1831"/>
      <c r="PRL622" s="1831"/>
      <c r="PRM622" s="1831"/>
      <c r="PRN622" s="1831"/>
      <c r="PRO622" s="1831"/>
      <c r="PRP622" s="1831"/>
      <c r="PRQ622" s="1831"/>
      <c r="PRR622" s="1831"/>
      <c r="PRS622" s="1831"/>
      <c r="PRT622" s="1831"/>
      <c r="PRU622" s="1831"/>
      <c r="PRV622" s="1831"/>
      <c r="PRW622" s="1831"/>
      <c r="PRX622" s="1831"/>
      <c r="PRY622" s="1831"/>
      <c r="PRZ622" s="1831"/>
      <c r="PSA622" s="1831"/>
      <c r="PSB622" s="1831"/>
      <c r="PSC622" s="1831"/>
      <c r="PSD622" s="1831"/>
      <c r="PSE622" s="1831"/>
      <c r="PSF622" s="1831"/>
      <c r="PSG622" s="1831"/>
      <c r="PSH622" s="1831"/>
      <c r="PSI622" s="1831"/>
      <c r="PSJ622" s="1831"/>
      <c r="PSK622" s="1831"/>
      <c r="PSL622" s="1831"/>
      <c r="PSM622" s="1831"/>
      <c r="PSN622" s="1831"/>
      <c r="PSO622" s="1831"/>
      <c r="PSP622" s="1831"/>
      <c r="PSQ622" s="1831"/>
      <c r="PSR622" s="1831"/>
      <c r="PSS622" s="1831"/>
      <c r="PST622" s="1831"/>
      <c r="PSU622" s="1831"/>
      <c r="PSV622" s="1831"/>
      <c r="PSW622" s="1831"/>
      <c r="PSX622" s="1831"/>
      <c r="PSY622" s="1831"/>
      <c r="PSZ622" s="1831"/>
      <c r="PTA622" s="1831"/>
      <c r="PTB622" s="1831"/>
      <c r="PTC622" s="1831"/>
      <c r="PTD622" s="1831"/>
      <c r="PTE622" s="1831"/>
      <c r="PTF622" s="1831"/>
      <c r="PTG622" s="1831"/>
      <c r="PTH622" s="1831"/>
      <c r="PTI622" s="1831"/>
      <c r="PTJ622" s="1831"/>
      <c r="PTK622" s="1831"/>
      <c r="PTL622" s="1831"/>
      <c r="PTM622" s="1831"/>
      <c r="PTN622" s="1831"/>
      <c r="PTO622" s="1831"/>
      <c r="PTP622" s="1831"/>
      <c r="PTQ622" s="1831"/>
      <c r="PTR622" s="1831"/>
      <c r="PTS622" s="1831"/>
      <c r="PTT622" s="1831"/>
      <c r="PTU622" s="1831"/>
      <c r="PTV622" s="1831"/>
      <c r="PTW622" s="1831"/>
      <c r="PTX622" s="1831"/>
      <c r="PTY622" s="1831"/>
      <c r="PTZ622" s="1831"/>
      <c r="PUA622" s="1831"/>
      <c r="PUB622" s="1831"/>
      <c r="PUC622" s="1831"/>
      <c r="PUD622" s="1831"/>
      <c r="PUE622" s="1831"/>
      <c r="PUF622" s="1831"/>
      <c r="PUG622" s="1831"/>
      <c r="PUH622" s="1831"/>
      <c r="PUI622" s="1831"/>
      <c r="PUJ622" s="1831"/>
      <c r="PUK622" s="1831"/>
      <c r="PUL622" s="1831"/>
      <c r="PUM622" s="1831"/>
      <c r="PUN622" s="1831"/>
      <c r="PUO622" s="1831"/>
      <c r="PUP622" s="1831"/>
      <c r="PUQ622" s="1831"/>
      <c r="PUR622" s="1831"/>
      <c r="PUS622" s="1831"/>
      <c r="PUT622" s="1831"/>
      <c r="PUU622" s="1831"/>
      <c r="PUV622" s="1831"/>
      <c r="PUW622" s="1831"/>
      <c r="PUX622" s="1831"/>
      <c r="PUY622" s="1831"/>
      <c r="PUZ622" s="1831"/>
      <c r="PVA622" s="1831"/>
      <c r="PVB622" s="1831"/>
      <c r="PVC622" s="1831"/>
      <c r="PVD622" s="1831"/>
      <c r="PVE622" s="1831"/>
      <c r="PVF622" s="1831"/>
      <c r="PVG622" s="1831"/>
      <c r="PVH622" s="1831"/>
      <c r="PVI622" s="1831"/>
      <c r="PVJ622" s="1831"/>
      <c r="PVK622" s="1831"/>
      <c r="PVL622" s="1831"/>
      <c r="PVM622" s="1831"/>
      <c r="PVN622" s="1831"/>
      <c r="PVO622" s="1831"/>
      <c r="PVP622" s="1831"/>
      <c r="PVQ622" s="1831"/>
      <c r="PVR622" s="1831"/>
      <c r="PVS622" s="1831"/>
      <c r="PVT622" s="1831"/>
      <c r="PVU622" s="1831"/>
      <c r="PVV622" s="1831"/>
      <c r="PVW622" s="1831"/>
      <c r="PVX622" s="1831"/>
      <c r="PVY622" s="1831"/>
      <c r="PVZ622" s="1831"/>
      <c r="PWA622" s="1831"/>
      <c r="PWB622" s="1831"/>
      <c r="PWC622" s="1831"/>
      <c r="PWD622" s="1831"/>
      <c r="PWE622" s="1831"/>
      <c r="PWF622" s="1831"/>
      <c r="PWG622" s="1831"/>
      <c r="PWH622" s="1831"/>
      <c r="PWI622" s="1831"/>
      <c r="PWJ622" s="1831"/>
      <c r="PWK622" s="1831"/>
      <c r="PWL622" s="1831"/>
      <c r="PWM622" s="1831"/>
      <c r="PWN622" s="1831"/>
      <c r="PWO622" s="1831"/>
      <c r="PWP622" s="1831"/>
      <c r="PWQ622" s="1831"/>
      <c r="PWR622" s="1831"/>
      <c r="PWS622" s="1831"/>
      <c r="PWT622" s="1831"/>
      <c r="PWU622" s="1831"/>
      <c r="PWV622" s="1831"/>
      <c r="PWW622" s="1831"/>
      <c r="PWX622" s="1831"/>
      <c r="PWY622" s="1831"/>
      <c r="PWZ622" s="1831"/>
      <c r="PXA622" s="1831"/>
      <c r="PXB622" s="1831"/>
      <c r="PXC622" s="1831"/>
      <c r="PXD622" s="1831"/>
      <c r="PXE622" s="1831"/>
      <c r="PXF622" s="1831"/>
      <c r="PXG622" s="1831"/>
      <c r="PXH622" s="1831"/>
      <c r="PXI622" s="1831"/>
      <c r="PXJ622" s="1831"/>
      <c r="PXK622" s="1831"/>
      <c r="PXL622" s="1831"/>
      <c r="PXM622" s="1831"/>
      <c r="PXN622" s="1831"/>
      <c r="PXO622" s="1831"/>
      <c r="PXP622" s="1831"/>
      <c r="PXQ622" s="1831"/>
      <c r="PXR622" s="1831"/>
      <c r="PXS622" s="1831"/>
      <c r="PXT622" s="1831"/>
      <c r="PXU622" s="1831"/>
      <c r="PXV622" s="1831"/>
      <c r="PXW622" s="1831"/>
      <c r="PXX622" s="1831"/>
      <c r="PXY622" s="1831"/>
      <c r="PXZ622" s="1831"/>
      <c r="PYA622" s="1831"/>
      <c r="PYB622" s="1831"/>
      <c r="PYC622" s="1831"/>
      <c r="PYD622" s="1831"/>
      <c r="PYE622" s="1831"/>
      <c r="PYF622" s="1831"/>
      <c r="PYG622" s="1831"/>
      <c r="PYH622" s="1831"/>
      <c r="PYI622" s="1831"/>
      <c r="PYJ622" s="1831"/>
      <c r="PYK622" s="1831"/>
      <c r="PYL622" s="1831"/>
      <c r="PYM622" s="1831"/>
      <c r="PYN622" s="1831"/>
      <c r="PYO622" s="1831"/>
      <c r="PYP622" s="1831"/>
      <c r="PYQ622" s="1831"/>
      <c r="PYR622" s="1831"/>
      <c r="PYS622" s="1831"/>
      <c r="PYT622" s="1831"/>
      <c r="PYU622" s="1831"/>
      <c r="PYV622" s="1831"/>
      <c r="PYW622" s="1831"/>
      <c r="PYX622" s="1831"/>
      <c r="PYY622" s="1831"/>
      <c r="PYZ622" s="1831"/>
      <c r="PZA622" s="1831"/>
      <c r="PZB622" s="1831"/>
      <c r="PZC622" s="1831"/>
      <c r="PZD622" s="1831"/>
      <c r="PZE622" s="1831"/>
      <c r="PZF622" s="1831"/>
      <c r="PZG622" s="1831"/>
      <c r="PZH622" s="1831"/>
      <c r="PZI622" s="1831"/>
      <c r="PZJ622" s="1831"/>
      <c r="PZK622" s="1831"/>
      <c r="PZL622" s="1831"/>
      <c r="PZM622" s="1831"/>
      <c r="PZN622" s="1831"/>
      <c r="PZO622" s="1831"/>
      <c r="PZP622" s="1831"/>
      <c r="PZQ622" s="1831"/>
      <c r="PZR622" s="1831"/>
      <c r="PZS622" s="1831"/>
      <c r="PZT622" s="1831"/>
      <c r="PZU622" s="1831"/>
      <c r="PZV622" s="1831"/>
      <c r="PZW622" s="1831"/>
      <c r="PZX622" s="1831"/>
      <c r="PZY622" s="1831"/>
      <c r="PZZ622" s="1831"/>
      <c r="QAA622" s="1831"/>
      <c r="QAB622" s="1831"/>
      <c r="QAC622" s="1831"/>
      <c r="QAD622" s="1831"/>
      <c r="QAE622" s="1831"/>
      <c r="QAF622" s="1831"/>
      <c r="QAG622" s="1831"/>
      <c r="QAH622" s="1831"/>
      <c r="QAI622" s="1831"/>
      <c r="QAJ622" s="1831"/>
      <c r="QAK622" s="1831"/>
      <c r="QAL622" s="1831"/>
      <c r="QAM622" s="1831"/>
      <c r="QAN622" s="1831"/>
      <c r="QAO622" s="1831"/>
      <c r="QAP622" s="1831"/>
      <c r="QAQ622" s="1831"/>
      <c r="QAR622" s="1831"/>
      <c r="QAS622" s="1831"/>
      <c r="QAT622" s="1831"/>
      <c r="QAU622" s="1831"/>
      <c r="QAV622" s="1831"/>
      <c r="QAW622" s="1831"/>
      <c r="QAX622" s="1831"/>
      <c r="QAY622" s="1831"/>
      <c r="QAZ622" s="1831"/>
      <c r="QBA622" s="1831"/>
      <c r="QBB622" s="1831"/>
      <c r="QBC622" s="1831"/>
      <c r="QBD622" s="1831"/>
      <c r="QBE622" s="1831"/>
      <c r="QBF622" s="1831"/>
      <c r="QBG622" s="1831"/>
      <c r="QBH622" s="1831"/>
      <c r="QBI622" s="1831"/>
      <c r="QBJ622" s="1831"/>
      <c r="QBK622" s="1831"/>
      <c r="QBL622" s="1831"/>
      <c r="QBM622" s="1831"/>
      <c r="QBN622" s="1831"/>
      <c r="QBO622" s="1831"/>
      <c r="QBP622" s="1831"/>
      <c r="QBQ622" s="1831"/>
      <c r="QBR622" s="1831"/>
      <c r="QBS622" s="1831"/>
      <c r="QBT622" s="1831"/>
      <c r="QBU622" s="1831"/>
      <c r="QBV622" s="1831"/>
      <c r="QBW622" s="1831"/>
      <c r="QBX622" s="1831"/>
      <c r="QBY622" s="1831"/>
      <c r="QBZ622" s="1831"/>
      <c r="QCA622" s="1831"/>
      <c r="QCB622" s="1831"/>
      <c r="QCC622" s="1831"/>
      <c r="QCD622" s="1831"/>
      <c r="QCE622" s="1831"/>
      <c r="QCF622" s="1831"/>
      <c r="QCG622" s="1831"/>
      <c r="QCH622" s="1831"/>
      <c r="QCI622" s="1831"/>
      <c r="QCJ622" s="1831"/>
      <c r="QCK622" s="1831"/>
      <c r="QCL622" s="1831"/>
      <c r="QCM622" s="1831"/>
      <c r="QCN622" s="1831"/>
      <c r="QCO622" s="1831"/>
      <c r="QCP622" s="1831"/>
      <c r="QCQ622" s="1831"/>
      <c r="QCR622" s="1831"/>
      <c r="QCS622" s="1831"/>
      <c r="QCT622" s="1831"/>
      <c r="QCU622" s="1831"/>
      <c r="QCV622" s="1831"/>
      <c r="QCW622" s="1831"/>
      <c r="QCX622" s="1831"/>
      <c r="QCY622" s="1831"/>
      <c r="QCZ622" s="1831"/>
      <c r="QDA622" s="1831"/>
      <c r="QDB622" s="1831"/>
      <c r="QDC622" s="1831"/>
      <c r="QDD622" s="1831"/>
      <c r="QDE622" s="1831"/>
      <c r="QDF622" s="1831"/>
      <c r="QDG622" s="1831"/>
      <c r="QDH622" s="1831"/>
      <c r="QDI622" s="1831"/>
      <c r="QDJ622" s="1831"/>
      <c r="QDK622" s="1831"/>
      <c r="QDL622" s="1831"/>
      <c r="QDM622" s="1831"/>
      <c r="QDN622" s="1831"/>
      <c r="QDO622" s="1831"/>
      <c r="QDP622" s="1831"/>
      <c r="QDQ622" s="1831"/>
      <c r="QDR622" s="1831"/>
      <c r="QDS622" s="1831"/>
      <c r="QDT622" s="1831"/>
      <c r="QDU622" s="1831"/>
      <c r="QDV622" s="1831"/>
      <c r="QDW622" s="1831"/>
      <c r="QDX622" s="1831"/>
      <c r="QDY622" s="1831"/>
      <c r="QDZ622" s="1831"/>
      <c r="QEA622" s="1831"/>
      <c r="QEB622" s="1831"/>
      <c r="QEC622" s="1831"/>
      <c r="QED622" s="1831"/>
      <c r="QEE622" s="1831"/>
      <c r="QEF622" s="1831"/>
      <c r="QEG622" s="1831"/>
      <c r="QEH622" s="1831"/>
      <c r="QEI622" s="1831"/>
      <c r="QEJ622" s="1831"/>
      <c r="QEK622" s="1831"/>
      <c r="QEL622" s="1831"/>
      <c r="QEM622" s="1831"/>
      <c r="QEN622" s="1831"/>
      <c r="QEO622" s="1831"/>
      <c r="QEP622" s="1831"/>
      <c r="QEQ622" s="1831"/>
      <c r="QER622" s="1831"/>
      <c r="QES622" s="1831"/>
      <c r="QET622" s="1831"/>
      <c r="QEU622" s="1831"/>
      <c r="QEV622" s="1831"/>
      <c r="QEW622" s="1831"/>
      <c r="QEX622" s="1831"/>
      <c r="QEY622" s="1831"/>
      <c r="QEZ622" s="1831"/>
      <c r="QFA622" s="1831"/>
      <c r="QFB622" s="1831"/>
      <c r="QFC622" s="1831"/>
      <c r="QFD622" s="1831"/>
      <c r="QFE622" s="1831"/>
      <c r="QFF622" s="1831"/>
      <c r="QFG622" s="1831"/>
      <c r="QFH622" s="1831"/>
      <c r="QFI622" s="1831"/>
      <c r="QFJ622" s="1831"/>
      <c r="QFK622" s="1831"/>
      <c r="QFL622" s="1831"/>
      <c r="QFM622" s="1831"/>
      <c r="QFN622" s="1831"/>
      <c r="QFO622" s="1831"/>
      <c r="QFP622" s="1831"/>
      <c r="QFQ622" s="1831"/>
      <c r="QFR622" s="1831"/>
      <c r="QFS622" s="1831"/>
      <c r="QFT622" s="1831"/>
      <c r="QFU622" s="1831"/>
      <c r="QFV622" s="1831"/>
      <c r="QFW622" s="1831"/>
      <c r="QFX622" s="1831"/>
      <c r="QFY622" s="1831"/>
      <c r="QFZ622" s="1831"/>
      <c r="QGA622" s="1831"/>
      <c r="QGB622" s="1831"/>
      <c r="QGC622" s="1831"/>
      <c r="QGD622" s="1831"/>
      <c r="QGE622" s="1831"/>
      <c r="QGF622" s="1831"/>
      <c r="QGG622" s="1831"/>
      <c r="QGH622" s="1831"/>
      <c r="QGI622" s="1831"/>
      <c r="QGJ622" s="1831"/>
      <c r="QGK622" s="1831"/>
      <c r="QGL622" s="1831"/>
      <c r="QGM622" s="1831"/>
      <c r="QGN622" s="1831"/>
      <c r="QGO622" s="1831"/>
      <c r="QGP622" s="1831"/>
      <c r="QGQ622" s="1831"/>
      <c r="QGR622" s="1831"/>
      <c r="QGS622" s="1831"/>
      <c r="QGT622" s="1831"/>
      <c r="QGU622" s="1831"/>
      <c r="QGV622" s="1831"/>
      <c r="QGW622" s="1831"/>
      <c r="QGX622" s="1831"/>
      <c r="QGY622" s="1831"/>
      <c r="QGZ622" s="1831"/>
      <c r="QHA622" s="1831"/>
      <c r="QHB622" s="1831"/>
      <c r="QHC622" s="1831"/>
      <c r="QHD622" s="1831"/>
      <c r="QHE622" s="1831"/>
      <c r="QHF622" s="1831"/>
      <c r="QHG622" s="1831"/>
      <c r="QHH622" s="1831"/>
      <c r="QHI622" s="1831"/>
      <c r="QHJ622" s="1831"/>
      <c r="QHK622" s="1831"/>
      <c r="QHL622" s="1831"/>
      <c r="QHM622" s="1831"/>
      <c r="QHN622" s="1831"/>
      <c r="QHO622" s="1831"/>
      <c r="QHP622" s="1831"/>
      <c r="QHQ622" s="1831"/>
      <c r="QHR622" s="1831"/>
      <c r="QHS622" s="1831"/>
      <c r="QHT622" s="1831"/>
      <c r="QHU622" s="1831"/>
      <c r="QHV622" s="1831"/>
      <c r="QHW622" s="1831"/>
      <c r="QHX622" s="1831"/>
      <c r="QHY622" s="1831"/>
      <c r="QHZ622" s="1831"/>
      <c r="QIA622" s="1831"/>
      <c r="QIB622" s="1831"/>
      <c r="QIC622" s="1831"/>
      <c r="QID622" s="1831"/>
      <c r="QIE622" s="1831"/>
      <c r="QIF622" s="1831"/>
      <c r="QIG622" s="1831"/>
      <c r="QIH622" s="1831"/>
      <c r="QII622" s="1831"/>
      <c r="QIJ622" s="1831"/>
      <c r="QIK622" s="1831"/>
      <c r="QIL622" s="1831"/>
      <c r="QIM622" s="1831"/>
      <c r="QIN622" s="1831"/>
      <c r="QIO622" s="1831"/>
      <c r="QIP622" s="1831"/>
      <c r="QIQ622" s="1831"/>
      <c r="QIR622" s="1831"/>
      <c r="QIS622" s="1831"/>
      <c r="QIT622" s="1831"/>
      <c r="QIU622" s="1831"/>
      <c r="QIV622" s="1831"/>
      <c r="QIW622" s="1831"/>
      <c r="QIX622" s="1831"/>
      <c r="QIY622" s="1831"/>
      <c r="QIZ622" s="1831"/>
      <c r="QJA622" s="1831"/>
      <c r="QJB622" s="1831"/>
      <c r="QJC622" s="1831"/>
      <c r="QJD622" s="1831"/>
      <c r="QJE622" s="1831"/>
      <c r="QJF622" s="1831"/>
      <c r="QJG622" s="1831"/>
      <c r="QJH622" s="1831"/>
      <c r="QJI622" s="1831"/>
      <c r="QJJ622" s="1831"/>
      <c r="QJK622" s="1831"/>
      <c r="QJL622" s="1831"/>
      <c r="QJM622" s="1831"/>
      <c r="QJN622" s="1831"/>
      <c r="QJO622" s="1831"/>
      <c r="QJP622" s="1831"/>
      <c r="QJQ622" s="1831"/>
      <c r="QJR622" s="1831"/>
      <c r="QJS622" s="1831"/>
      <c r="QJT622" s="1831"/>
      <c r="QJU622" s="1831"/>
      <c r="QJV622" s="1831"/>
      <c r="QJW622" s="1831"/>
      <c r="QJX622" s="1831"/>
      <c r="QJY622" s="1831"/>
      <c r="QJZ622" s="1831"/>
      <c r="QKA622" s="1831"/>
      <c r="QKB622" s="1831"/>
      <c r="QKC622" s="1831"/>
      <c r="QKD622" s="1831"/>
      <c r="QKE622" s="1831"/>
      <c r="QKF622" s="1831"/>
      <c r="QKG622" s="1831"/>
      <c r="QKH622" s="1831"/>
      <c r="QKI622" s="1831"/>
      <c r="QKJ622" s="1831"/>
      <c r="QKK622" s="1831"/>
      <c r="QKL622" s="1831"/>
      <c r="QKM622" s="1831"/>
      <c r="QKN622" s="1831"/>
      <c r="QKO622" s="1831"/>
      <c r="QKP622" s="1831"/>
      <c r="QKQ622" s="1831"/>
      <c r="QKR622" s="1831"/>
      <c r="QKS622" s="1831"/>
      <c r="QKT622" s="1831"/>
      <c r="QKU622" s="1831"/>
      <c r="QKV622" s="1831"/>
      <c r="QKW622" s="1831"/>
      <c r="QKX622" s="1831"/>
      <c r="QKY622" s="1831"/>
      <c r="QKZ622" s="1831"/>
      <c r="QLA622" s="1831"/>
      <c r="QLB622" s="1831"/>
      <c r="QLC622" s="1831"/>
      <c r="QLD622" s="1831"/>
      <c r="QLE622" s="1831"/>
      <c r="QLF622" s="1831"/>
      <c r="QLG622" s="1831"/>
      <c r="QLH622" s="1831"/>
      <c r="QLI622" s="1831"/>
      <c r="QLJ622" s="1831"/>
      <c r="QLK622" s="1831"/>
      <c r="QLL622" s="1831"/>
      <c r="QLM622" s="1831"/>
      <c r="QLN622" s="1831"/>
      <c r="QLO622" s="1831"/>
      <c r="QLP622" s="1831"/>
      <c r="QLQ622" s="1831"/>
      <c r="QLR622" s="1831"/>
      <c r="QLS622" s="1831"/>
      <c r="QLT622" s="1831"/>
      <c r="QLU622" s="1831"/>
      <c r="QLV622" s="1831"/>
      <c r="QLW622" s="1831"/>
      <c r="QLX622" s="1831"/>
      <c r="QLY622" s="1831"/>
      <c r="QLZ622" s="1831"/>
      <c r="QMA622" s="1831"/>
      <c r="QMB622" s="1831"/>
      <c r="QMC622" s="1831"/>
      <c r="QMD622" s="1831"/>
      <c r="QME622" s="1831"/>
      <c r="QMF622" s="1831"/>
      <c r="QMG622" s="1831"/>
      <c r="QMH622" s="1831"/>
      <c r="QMI622" s="1831"/>
      <c r="QMJ622" s="1831"/>
      <c r="QMK622" s="1831"/>
      <c r="QML622" s="1831"/>
      <c r="QMM622" s="1831"/>
      <c r="QMN622" s="1831"/>
      <c r="QMO622" s="1831"/>
      <c r="QMP622" s="1831"/>
      <c r="QMQ622" s="1831"/>
      <c r="QMR622" s="1831"/>
      <c r="QMS622" s="1831"/>
      <c r="QMT622" s="1831"/>
      <c r="QMU622" s="1831"/>
      <c r="QMV622" s="1831"/>
      <c r="QMW622" s="1831"/>
      <c r="QMX622" s="1831"/>
      <c r="QMY622" s="1831"/>
      <c r="QMZ622" s="1831"/>
      <c r="QNA622" s="1831"/>
      <c r="QNB622" s="1831"/>
      <c r="QNC622" s="1831"/>
      <c r="QND622" s="1831"/>
      <c r="QNE622" s="1831"/>
      <c r="QNF622" s="1831"/>
      <c r="QNG622" s="1831"/>
      <c r="QNH622" s="1831"/>
      <c r="QNI622" s="1831"/>
      <c r="QNJ622" s="1831"/>
      <c r="QNK622" s="1831"/>
      <c r="QNL622" s="1831"/>
      <c r="QNM622" s="1831"/>
      <c r="QNN622" s="1831"/>
      <c r="QNO622" s="1831"/>
      <c r="QNP622" s="1831"/>
      <c r="QNQ622" s="1831"/>
      <c r="QNR622" s="1831"/>
      <c r="QNS622" s="1831"/>
      <c r="QNT622" s="1831"/>
      <c r="QNU622" s="1831"/>
      <c r="QNV622" s="1831"/>
      <c r="QNW622" s="1831"/>
      <c r="QNX622" s="1831"/>
      <c r="QNY622" s="1831"/>
      <c r="QNZ622" s="1831"/>
      <c r="QOA622" s="1831"/>
      <c r="QOB622" s="1831"/>
      <c r="QOC622" s="1831"/>
      <c r="QOD622" s="1831"/>
      <c r="QOE622" s="1831"/>
      <c r="QOF622" s="1831"/>
      <c r="QOG622" s="1831"/>
      <c r="QOH622" s="1831"/>
      <c r="QOI622" s="1831"/>
      <c r="QOJ622" s="1831"/>
      <c r="QOK622" s="1831"/>
      <c r="QOL622" s="1831"/>
      <c r="QOM622" s="1831"/>
      <c r="QON622" s="1831"/>
      <c r="QOO622" s="1831"/>
      <c r="QOP622" s="1831"/>
      <c r="QOQ622" s="1831"/>
      <c r="QOR622" s="1831"/>
      <c r="QOS622" s="1831"/>
      <c r="QOT622" s="1831"/>
      <c r="QOU622" s="1831"/>
      <c r="QOV622" s="1831"/>
      <c r="QOW622" s="1831"/>
      <c r="QOX622" s="1831"/>
      <c r="QOY622" s="1831"/>
      <c r="QOZ622" s="1831"/>
      <c r="QPA622" s="1831"/>
      <c r="QPB622" s="1831"/>
      <c r="QPC622" s="1831"/>
      <c r="QPD622" s="1831"/>
      <c r="QPE622" s="1831"/>
      <c r="QPF622" s="1831"/>
      <c r="QPG622" s="1831"/>
      <c r="QPH622" s="1831"/>
      <c r="QPI622" s="1831"/>
      <c r="QPJ622" s="1831"/>
      <c r="QPK622" s="1831"/>
      <c r="QPL622" s="1831"/>
      <c r="QPM622" s="1831"/>
      <c r="QPN622" s="1831"/>
      <c r="QPO622" s="1831"/>
      <c r="QPP622" s="1831"/>
      <c r="QPQ622" s="1831"/>
      <c r="QPR622" s="1831"/>
      <c r="QPS622" s="1831"/>
      <c r="QPT622" s="1831"/>
      <c r="QPU622" s="1831"/>
      <c r="QPV622" s="1831"/>
      <c r="QPW622" s="1831"/>
      <c r="QPX622" s="1831"/>
      <c r="QPY622" s="1831"/>
      <c r="QPZ622" s="1831"/>
      <c r="QQA622" s="1831"/>
      <c r="QQB622" s="1831"/>
      <c r="QQC622" s="1831"/>
      <c r="QQD622" s="1831"/>
      <c r="QQE622" s="1831"/>
      <c r="QQF622" s="1831"/>
      <c r="QQG622" s="1831"/>
      <c r="QQH622" s="1831"/>
      <c r="QQI622" s="1831"/>
      <c r="QQJ622" s="1831"/>
      <c r="QQK622" s="1831"/>
      <c r="QQL622" s="1831"/>
      <c r="QQM622" s="1831"/>
      <c r="QQN622" s="1831"/>
      <c r="QQO622" s="1831"/>
      <c r="QQP622" s="1831"/>
      <c r="QQQ622" s="1831"/>
      <c r="QQR622" s="1831"/>
      <c r="QQS622" s="1831"/>
      <c r="QQT622" s="1831"/>
      <c r="QQU622" s="1831"/>
      <c r="QQV622" s="1831"/>
      <c r="QQW622" s="1831"/>
      <c r="QQX622" s="1831"/>
      <c r="QQY622" s="1831"/>
      <c r="QQZ622" s="1831"/>
      <c r="QRA622" s="1831"/>
      <c r="QRB622" s="1831"/>
      <c r="QRC622" s="1831"/>
      <c r="QRD622" s="1831"/>
      <c r="QRE622" s="1831"/>
      <c r="QRF622" s="1831"/>
      <c r="QRG622" s="1831"/>
      <c r="QRH622" s="1831"/>
      <c r="QRI622" s="1831"/>
      <c r="QRJ622" s="1831"/>
      <c r="QRK622" s="1831"/>
      <c r="QRL622" s="1831"/>
      <c r="QRM622" s="1831"/>
      <c r="QRN622" s="1831"/>
      <c r="QRO622" s="1831"/>
      <c r="QRP622" s="1831"/>
      <c r="QRQ622" s="1831"/>
      <c r="QRR622" s="1831"/>
      <c r="QRS622" s="1831"/>
      <c r="QRT622" s="1831"/>
      <c r="QRU622" s="1831"/>
      <c r="QRV622" s="1831"/>
      <c r="QRW622" s="1831"/>
      <c r="QRX622" s="1831"/>
      <c r="QRY622" s="1831"/>
      <c r="QRZ622" s="1831"/>
      <c r="QSA622" s="1831"/>
      <c r="QSB622" s="1831"/>
      <c r="QSC622" s="1831"/>
      <c r="QSD622" s="1831"/>
      <c r="QSE622" s="1831"/>
      <c r="QSF622" s="1831"/>
      <c r="QSG622" s="1831"/>
      <c r="QSH622" s="1831"/>
      <c r="QSI622" s="1831"/>
      <c r="QSJ622" s="1831"/>
      <c r="QSK622" s="1831"/>
      <c r="QSL622" s="1831"/>
      <c r="QSM622" s="1831"/>
      <c r="QSN622" s="1831"/>
      <c r="QSO622" s="1831"/>
      <c r="QSP622" s="1831"/>
      <c r="QSQ622" s="1831"/>
      <c r="QSR622" s="1831"/>
      <c r="QSS622" s="1831"/>
      <c r="QST622" s="1831"/>
      <c r="QSU622" s="1831"/>
      <c r="QSV622" s="1831"/>
      <c r="QSW622" s="1831"/>
      <c r="QSX622" s="1831"/>
      <c r="QSY622" s="1831"/>
      <c r="QSZ622" s="1831"/>
      <c r="QTA622" s="1831"/>
      <c r="QTB622" s="1831"/>
      <c r="QTC622" s="1831"/>
      <c r="QTD622" s="1831"/>
      <c r="QTE622" s="1831"/>
      <c r="QTF622" s="1831"/>
      <c r="QTG622" s="1831"/>
      <c r="QTH622" s="1831"/>
      <c r="QTI622" s="1831"/>
      <c r="QTJ622" s="1831"/>
      <c r="QTK622" s="1831"/>
      <c r="QTL622" s="1831"/>
      <c r="QTM622" s="1831"/>
      <c r="QTN622" s="1831"/>
      <c r="QTO622" s="1831"/>
      <c r="QTP622" s="1831"/>
      <c r="QTQ622" s="1831"/>
      <c r="QTR622" s="1831"/>
      <c r="QTS622" s="1831"/>
      <c r="QTT622" s="1831"/>
      <c r="QTU622" s="1831"/>
      <c r="QTV622" s="1831"/>
      <c r="QTW622" s="1831"/>
      <c r="QTX622" s="1831"/>
      <c r="QTY622" s="1831"/>
      <c r="QTZ622" s="1831"/>
      <c r="QUA622" s="1831"/>
      <c r="QUB622" s="1831"/>
      <c r="QUC622" s="1831"/>
      <c r="QUD622" s="1831"/>
      <c r="QUE622" s="1831"/>
      <c r="QUF622" s="1831"/>
      <c r="QUG622" s="1831"/>
      <c r="QUH622" s="1831"/>
      <c r="QUI622" s="1831"/>
      <c r="QUJ622" s="1831"/>
      <c r="QUK622" s="1831"/>
      <c r="QUL622" s="1831"/>
      <c r="QUM622" s="1831"/>
      <c r="QUN622" s="1831"/>
      <c r="QUO622" s="1831"/>
      <c r="QUP622" s="1831"/>
      <c r="QUQ622" s="1831"/>
      <c r="QUR622" s="1831"/>
      <c r="QUS622" s="1831"/>
      <c r="QUT622" s="1831"/>
      <c r="QUU622" s="1831"/>
      <c r="QUV622" s="1831"/>
      <c r="QUW622" s="1831"/>
      <c r="QUX622" s="1831"/>
      <c r="QUY622" s="1831"/>
      <c r="QUZ622" s="1831"/>
      <c r="QVA622" s="1831"/>
      <c r="QVB622" s="1831"/>
      <c r="QVC622" s="1831"/>
      <c r="QVD622" s="1831"/>
      <c r="QVE622" s="1831"/>
      <c r="QVF622" s="1831"/>
      <c r="QVG622" s="1831"/>
      <c r="QVH622" s="1831"/>
      <c r="QVI622" s="1831"/>
      <c r="QVJ622" s="1831"/>
      <c r="QVK622" s="1831"/>
      <c r="QVL622" s="1831"/>
      <c r="QVM622" s="1831"/>
      <c r="QVN622" s="1831"/>
      <c r="QVO622" s="1831"/>
      <c r="QVP622" s="1831"/>
      <c r="QVQ622" s="1831"/>
      <c r="QVR622" s="1831"/>
      <c r="QVS622" s="1831"/>
      <c r="QVT622" s="1831"/>
      <c r="QVU622" s="1831"/>
      <c r="QVV622" s="1831"/>
      <c r="QVW622" s="1831"/>
      <c r="QVX622" s="1831"/>
      <c r="QVY622" s="1831"/>
      <c r="QVZ622" s="1831"/>
      <c r="QWA622" s="1831"/>
      <c r="QWB622" s="1831"/>
      <c r="QWC622" s="1831"/>
      <c r="QWD622" s="1831"/>
      <c r="QWE622" s="1831"/>
      <c r="QWF622" s="1831"/>
      <c r="QWG622" s="1831"/>
      <c r="QWH622" s="1831"/>
      <c r="QWI622" s="1831"/>
      <c r="QWJ622" s="1831"/>
      <c r="QWK622" s="1831"/>
      <c r="QWL622" s="1831"/>
      <c r="QWM622" s="1831"/>
      <c r="QWN622" s="1831"/>
      <c r="QWO622" s="1831"/>
      <c r="QWP622" s="1831"/>
      <c r="QWQ622" s="1831"/>
      <c r="QWR622" s="1831"/>
      <c r="QWS622" s="1831"/>
      <c r="QWT622" s="1831"/>
      <c r="QWU622" s="1831"/>
      <c r="QWV622" s="1831"/>
      <c r="QWW622" s="1831"/>
      <c r="QWX622" s="1831"/>
      <c r="QWY622" s="1831"/>
      <c r="QWZ622" s="1831"/>
      <c r="QXA622" s="1831"/>
      <c r="QXB622" s="1831"/>
      <c r="QXC622" s="1831"/>
      <c r="QXD622" s="1831"/>
      <c r="QXE622" s="1831"/>
      <c r="QXF622" s="1831"/>
      <c r="QXG622" s="1831"/>
      <c r="QXH622" s="1831"/>
      <c r="QXI622" s="1831"/>
      <c r="QXJ622" s="1831"/>
      <c r="QXK622" s="1831"/>
      <c r="QXL622" s="1831"/>
      <c r="QXM622" s="1831"/>
      <c r="QXN622" s="1831"/>
      <c r="QXO622" s="1831"/>
      <c r="QXP622" s="1831"/>
      <c r="QXQ622" s="1831"/>
      <c r="QXR622" s="1831"/>
      <c r="QXS622" s="1831"/>
      <c r="QXT622" s="1831"/>
      <c r="QXU622" s="1831"/>
      <c r="QXV622" s="1831"/>
      <c r="QXW622" s="1831"/>
      <c r="QXX622" s="1831"/>
      <c r="QXY622" s="1831"/>
      <c r="QXZ622" s="1831"/>
      <c r="QYA622" s="1831"/>
      <c r="QYB622" s="1831"/>
      <c r="QYC622" s="1831"/>
      <c r="QYD622" s="1831"/>
      <c r="QYE622" s="1831"/>
      <c r="QYF622" s="1831"/>
      <c r="QYG622" s="1831"/>
      <c r="QYH622" s="1831"/>
      <c r="QYI622" s="1831"/>
      <c r="QYJ622" s="1831"/>
      <c r="QYK622" s="1831"/>
      <c r="QYL622" s="1831"/>
      <c r="QYM622" s="1831"/>
      <c r="QYN622" s="1831"/>
      <c r="QYO622" s="1831"/>
      <c r="QYP622" s="1831"/>
      <c r="QYQ622" s="1831"/>
      <c r="QYR622" s="1831"/>
      <c r="QYS622" s="1831"/>
      <c r="QYT622" s="1831"/>
      <c r="QYU622" s="1831"/>
      <c r="QYV622" s="1831"/>
      <c r="QYW622" s="1831"/>
      <c r="QYX622" s="1831"/>
      <c r="QYY622" s="1831"/>
      <c r="QYZ622" s="1831"/>
      <c r="QZA622" s="1831"/>
      <c r="QZB622" s="1831"/>
      <c r="QZC622" s="1831"/>
      <c r="QZD622" s="1831"/>
      <c r="QZE622" s="1831"/>
      <c r="QZF622" s="1831"/>
      <c r="QZG622" s="1831"/>
      <c r="QZH622" s="1831"/>
      <c r="QZI622" s="1831"/>
      <c r="QZJ622" s="1831"/>
      <c r="QZK622" s="1831"/>
      <c r="QZL622" s="1831"/>
      <c r="QZM622" s="1831"/>
      <c r="QZN622" s="1831"/>
      <c r="QZO622" s="1831"/>
      <c r="QZP622" s="1831"/>
      <c r="QZQ622" s="1831"/>
      <c r="QZR622" s="1831"/>
      <c r="QZS622" s="1831"/>
      <c r="QZT622" s="1831"/>
      <c r="QZU622" s="1831"/>
      <c r="QZV622" s="1831"/>
      <c r="QZW622" s="1831"/>
      <c r="QZX622" s="1831"/>
      <c r="QZY622" s="1831"/>
      <c r="QZZ622" s="1831"/>
      <c r="RAA622" s="1831"/>
      <c r="RAB622" s="1831"/>
      <c r="RAC622" s="1831"/>
      <c r="RAD622" s="1831"/>
      <c r="RAE622" s="1831"/>
      <c r="RAF622" s="1831"/>
      <c r="RAG622" s="1831"/>
      <c r="RAH622" s="1831"/>
      <c r="RAI622" s="1831"/>
      <c r="RAJ622" s="1831"/>
      <c r="RAK622" s="1831"/>
      <c r="RAL622" s="1831"/>
      <c r="RAM622" s="1831"/>
      <c r="RAN622" s="1831"/>
      <c r="RAO622" s="1831"/>
      <c r="RAP622" s="1831"/>
      <c r="RAQ622" s="1831"/>
      <c r="RAR622" s="1831"/>
      <c r="RAS622" s="1831"/>
      <c r="RAT622" s="1831"/>
      <c r="RAU622" s="1831"/>
      <c r="RAV622" s="1831"/>
      <c r="RAW622" s="1831"/>
      <c r="RAX622" s="1831"/>
      <c r="RAY622" s="1831"/>
      <c r="RAZ622" s="1831"/>
      <c r="RBA622" s="1831"/>
      <c r="RBB622" s="1831"/>
      <c r="RBC622" s="1831"/>
      <c r="RBD622" s="1831"/>
      <c r="RBE622" s="1831"/>
      <c r="RBF622" s="1831"/>
      <c r="RBG622" s="1831"/>
      <c r="RBH622" s="1831"/>
      <c r="RBI622" s="1831"/>
      <c r="RBJ622" s="1831"/>
      <c r="RBK622" s="1831"/>
      <c r="RBL622" s="1831"/>
      <c r="RBM622" s="1831"/>
      <c r="RBN622" s="1831"/>
      <c r="RBO622" s="1831"/>
      <c r="RBP622" s="1831"/>
      <c r="RBQ622" s="1831"/>
      <c r="RBR622" s="1831"/>
      <c r="RBS622" s="1831"/>
      <c r="RBT622" s="1831"/>
      <c r="RBU622" s="1831"/>
      <c r="RBV622" s="1831"/>
      <c r="RBW622" s="1831"/>
      <c r="RBX622" s="1831"/>
      <c r="RBY622" s="1831"/>
      <c r="RBZ622" s="1831"/>
      <c r="RCA622" s="1831"/>
      <c r="RCB622" s="1831"/>
      <c r="RCC622" s="1831"/>
      <c r="RCD622" s="1831"/>
      <c r="RCE622" s="1831"/>
      <c r="RCF622" s="1831"/>
      <c r="RCG622" s="1831"/>
      <c r="RCH622" s="1831"/>
      <c r="RCI622" s="1831"/>
      <c r="RCJ622" s="1831"/>
      <c r="RCK622" s="1831"/>
      <c r="RCL622" s="1831"/>
      <c r="RCM622" s="1831"/>
      <c r="RCN622" s="1831"/>
      <c r="RCO622" s="1831"/>
      <c r="RCP622" s="1831"/>
      <c r="RCQ622" s="1831"/>
      <c r="RCR622" s="1831"/>
      <c r="RCS622" s="1831"/>
      <c r="RCT622" s="1831"/>
      <c r="RCU622" s="1831"/>
      <c r="RCV622" s="1831"/>
      <c r="RCW622" s="1831"/>
      <c r="RCX622" s="1831"/>
      <c r="RCY622" s="1831"/>
      <c r="RCZ622" s="1831"/>
      <c r="RDA622" s="1831"/>
      <c r="RDB622" s="1831"/>
      <c r="RDC622" s="1831"/>
      <c r="RDD622" s="1831"/>
      <c r="RDE622" s="1831"/>
      <c r="RDF622" s="1831"/>
      <c r="RDG622" s="1831"/>
      <c r="RDH622" s="1831"/>
      <c r="RDI622" s="1831"/>
      <c r="RDJ622" s="1831"/>
      <c r="RDK622" s="1831"/>
      <c r="RDL622" s="1831"/>
      <c r="RDM622" s="1831"/>
      <c r="RDN622" s="1831"/>
      <c r="RDO622" s="1831"/>
      <c r="RDP622" s="1831"/>
      <c r="RDQ622" s="1831"/>
      <c r="RDR622" s="1831"/>
      <c r="RDS622" s="1831"/>
      <c r="RDT622" s="1831"/>
      <c r="RDU622" s="1831"/>
      <c r="RDV622" s="1831"/>
      <c r="RDW622" s="1831"/>
      <c r="RDX622" s="1831"/>
      <c r="RDY622" s="1831"/>
      <c r="RDZ622" s="1831"/>
      <c r="REA622" s="1831"/>
      <c r="REB622" s="1831"/>
      <c r="REC622" s="1831"/>
      <c r="RED622" s="1831"/>
      <c r="REE622" s="1831"/>
      <c r="REF622" s="1831"/>
      <c r="REG622" s="1831"/>
      <c r="REH622" s="1831"/>
      <c r="REI622" s="1831"/>
      <c r="REJ622" s="1831"/>
      <c r="REK622" s="1831"/>
      <c r="REL622" s="1831"/>
      <c r="REM622" s="1831"/>
      <c r="REN622" s="1831"/>
      <c r="REO622" s="1831"/>
      <c r="REP622" s="1831"/>
      <c r="REQ622" s="1831"/>
      <c r="RER622" s="1831"/>
      <c r="RES622" s="1831"/>
      <c r="RET622" s="1831"/>
      <c r="REU622" s="1831"/>
      <c r="REV622" s="1831"/>
      <c r="REW622" s="1831"/>
      <c r="REX622" s="1831"/>
      <c r="REY622" s="1831"/>
      <c r="REZ622" s="1831"/>
      <c r="RFA622" s="1831"/>
      <c r="RFB622" s="1831"/>
      <c r="RFC622" s="1831"/>
      <c r="RFD622" s="1831"/>
      <c r="RFE622" s="1831"/>
      <c r="RFF622" s="1831"/>
      <c r="RFG622" s="1831"/>
      <c r="RFH622" s="1831"/>
      <c r="RFI622" s="1831"/>
      <c r="RFJ622" s="1831"/>
      <c r="RFK622" s="1831"/>
      <c r="RFL622" s="1831"/>
      <c r="RFM622" s="1831"/>
      <c r="RFN622" s="1831"/>
      <c r="RFO622" s="1831"/>
      <c r="RFP622" s="1831"/>
      <c r="RFQ622" s="1831"/>
      <c r="RFR622" s="1831"/>
      <c r="RFS622" s="1831"/>
      <c r="RFT622" s="1831"/>
      <c r="RFU622" s="1831"/>
      <c r="RFV622" s="1831"/>
      <c r="RFW622" s="1831"/>
      <c r="RFX622" s="1831"/>
      <c r="RFY622" s="1831"/>
      <c r="RFZ622" s="1831"/>
      <c r="RGA622" s="1831"/>
      <c r="RGB622" s="1831"/>
      <c r="RGC622" s="1831"/>
      <c r="RGD622" s="1831"/>
      <c r="RGE622" s="1831"/>
      <c r="RGF622" s="1831"/>
      <c r="RGG622" s="1831"/>
      <c r="RGH622" s="1831"/>
      <c r="RGI622" s="1831"/>
      <c r="RGJ622" s="1831"/>
      <c r="RGK622" s="1831"/>
      <c r="RGL622" s="1831"/>
      <c r="RGM622" s="1831"/>
      <c r="RGN622" s="1831"/>
      <c r="RGO622" s="1831"/>
      <c r="RGP622" s="1831"/>
      <c r="RGQ622" s="1831"/>
      <c r="RGR622" s="1831"/>
      <c r="RGS622" s="1831"/>
      <c r="RGT622" s="1831"/>
      <c r="RGU622" s="1831"/>
      <c r="RGV622" s="1831"/>
      <c r="RGW622" s="1831"/>
      <c r="RGX622" s="1831"/>
      <c r="RGY622" s="1831"/>
      <c r="RGZ622" s="1831"/>
      <c r="RHA622" s="1831"/>
      <c r="RHB622" s="1831"/>
      <c r="RHC622" s="1831"/>
      <c r="RHD622" s="1831"/>
      <c r="RHE622" s="1831"/>
      <c r="RHF622" s="1831"/>
      <c r="RHG622" s="1831"/>
      <c r="RHH622" s="1831"/>
      <c r="RHI622" s="1831"/>
      <c r="RHJ622" s="1831"/>
      <c r="RHK622" s="1831"/>
      <c r="RHL622" s="1831"/>
      <c r="RHM622" s="1831"/>
      <c r="RHN622" s="1831"/>
      <c r="RHO622" s="1831"/>
      <c r="RHP622" s="1831"/>
      <c r="RHQ622" s="1831"/>
      <c r="RHR622" s="1831"/>
      <c r="RHS622" s="1831"/>
      <c r="RHT622" s="1831"/>
      <c r="RHU622" s="1831"/>
      <c r="RHV622" s="1831"/>
      <c r="RHW622" s="1831"/>
      <c r="RHX622" s="1831"/>
      <c r="RHY622" s="1831"/>
      <c r="RHZ622" s="1831"/>
      <c r="RIA622" s="1831"/>
      <c r="RIB622" s="1831"/>
      <c r="RIC622" s="1831"/>
      <c r="RID622" s="1831"/>
      <c r="RIE622" s="1831"/>
      <c r="RIF622" s="1831"/>
      <c r="RIG622" s="1831"/>
      <c r="RIH622" s="1831"/>
      <c r="RII622" s="1831"/>
      <c r="RIJ622" s="1831"/>
      <c r="RIK622" s="1831"/>
      <c r="RIL622" s="1831"/>
      <c r="RIM622" s="1831"/>
      <c r="RIN622" s="1831"/>
      <c r="RIO622" s="1831"/>
      <c r="RIP622" s="1831"/>
      <c r="RIQ622" s="1831"/>
      <c r="RIR622" s="1831"/>
      <c r="RIS622" s="1831"/>
      <c r="RIT622" s="1831"/>
      <c r="RIU622" s="1831"/>
      <c r="RIV622" s="1831"/>
      <c r="RIW622" s="1831"/>
      <c r="RIX622" s="1831"/>
      <c r="RIY622" s="1831"/>
      <c r="RIZ622" s="1831"/>
      <c r="RJA622" s="1831"/>
      <c r="RJB622" s="1831"/>
      <c r="RJC622" s="1831"/>
      <c r="RJD622" s="1831"/>
      <c r="RJE622" s="1831"/>
      <c r="RJF622" s="1831"/>
      <c r="RJG622" s="1831"/>
      <c r="RJH622" s="1831"/>
      <c r="RJI622" s="1831"/>
      <c r="RJJ622" s="1831"/>
      <c r="RJK622" s="1831"/>
      <c r="RJL622" s="1831"/>
      <c r="RJM622" s="1831"/>
      <c r="RJN622" s="1831"/>
      <c r="RJO622" s="1831"/>
      <c r="RJP622" s="1831"/>
      <c r="RJQ622" s="1831"/>
      <c r="RJR622" s="1831"/>
      <c r="RJS622" s="1831"/>
      <c r="RJT622" s="1831"/>
      <c r="RJU622" s="1831"/>
      <c r="RJV622" s="1831"/>
      <c r="RJW622" s="1831"/>
      <c r="RJX622" s="1831"/>
      <c r="RJY622" s="1831"/>
      <c r="RJZ622" s="1831"/>
      <c r="RKA622" s="1831"/>
      <c r="RKB622" s="1831"/>
      <c r="RKC622" s="1831"/>
      <c r="RKD622" s="1831"/>
      <c r="RKE622" s="1831"/>
      <c r="RKF622" s="1831"/>
      <c r="RKG622" s="1831"/>
      <c r="RKH622" s="1831"/>
      <c r="RKI622" s="1831"/>
      <c r="RKJ622" s="1831"/>
      <c r="RKK622" s="1831"/>
      <c r="RKL622" s="1831"/>
      <c r="RKM622" s="1831"/>
      <c r="RKN622" s="1831"/>
      <c r="RKO622" s="1831"/>
      <c r="RKP622" s="1831"/>
      <c r="RKQ622" s="1831"/>
      <c r="RKR622" s="1831"/>
      <c r="RKS622" s="1831"/>
      <c r="RKT622" s="1831"/>
      <c r="RKU622" s="1831"/>
      <c r="RKV622" s="1831"/>
      <c r="RKW622" s="1831"/>
      <c r="RKX622" s="1831"/>
      <c r="RKY622" s="1831"/>
      <c r="RKZ622" s="1831"/>
      <c r="RLA622" s="1831"/>
      <c r="RLB622" s="1831"/>
      <c r="RLC622" s="1831"/>
      <c r="RLD622" s="1831"/>
      <c r="RLE622" s="1831"/>
      <c r="RLF622" s="1831"/>
      <c r="RLG622" s="1831"/>
      <c r="RLH622" s="1831"/>
      <c r="RLI622" s="1831"/>
      <c r="RLJ622" s="1831"/>
      <c r="RLK622" s="1831"/>
      <c r="RLL622" s="1831"/>
      <c r="RLM622" s="1831"/>
      <c r="RLN622" s="1831"/>
      <c r="RLO622" s="1831"/>
      <c r="RLP622" s="1831"/>
      <c r="RLQ622" s="1831"/>
      <c r="RLR622" s="1831"/>
      <c r="RLS622" s="1831"/>
      <c r="RLT622" s="1831"/>
      <c r="RLU622" s="1831"/>
      <c r="RLV622" s="1831"/>
      <c r="RLW622" s="1831"/>
      <c r="RLX622" s="1831"/>
      <c r="RLY622" s="1831"/>
      <c r="RLZ622" s="1831"/>
      <c r="RMA622" s="1831"/>
      <c r="RMB622" s="1831"/>
      <c r="RMC622" s="1831"/>
      <c r="RMD622" s="1831"/>
      <c r="RME622" s="1831"/>
      <c r="RMF622" s="1831"/>
      <c r="RMG622" s="1831"/>
      <c r="RMH622" s="1831"/>
      <c r="RMI622" s="1831"/>
      <c r="RMJ622" s="1831"/>
      <c r="RMK622" s="1831"/>
      <c r="RML622" s="1831"/>
      <c r="RMM622" s="1831"/>
      <c r="RMN622" s="1831"/>
      <c r="RMO622" s="1831"/>
      <c r="RMP622" s="1831"/>
      <c r="RMQ622" s="1831"/>
      <c r="RMR622" s="1831"/>
      <c r="RMS622" s="1831"/>
      <c r="RMT622" s="1831"/>
      <c r="RMU622" s="1831"/>
      <c r="RMV622" s="1831"/>
      <c r="RMW622" s="1831"/>
      <c r="RMX622" s="1831"/>
      <c r="RMY622" s="1831"/>
      <c r="RMZ622" s="1831"/>
      <c r="RNA622" s="1831"/>
      <c r="RNB622" s="1831"/>
      <c r="RNC622" s="1831"/>
      <c r="RND622" s="1831"/>
      <c r="RNE622" s="1831"/>
      <c r="RNF622" s="1831"/>
      <c r="RNG622" s="1831"/>
      <c r="RNH622" s="1831"/>
      <c r="RNI622" s="1831"/>
      <c r="RNJ622" s="1831"/>
      <c r="RNK622" s="1831"/>
      <c r="RNL622" s="1831"/>
      <c r="RNM622" s="1831"/>
      <c r="RNN622" s="1831"/>
      <c r="RNO622" s="1831"/>
      <c r="RNP622" s="1831"/>
      <c r="RNQ622" s="1831"/>
      <c r="RNR622" s="1831"/>
      <c r="RNS622" s="1831"/>
      <c r="RNT622" s="1831"/>
      <c r="RNU622" s="1831"/>
      <c r="RNV622" s="1831"/>
      <c r="RNW622" s="1831"/>
      <c r="RNX622" s="1831"/>
      <c r="RNY622" s="1831"/>
      <c r="RNZ622" s="1831"/>
      <c r="ROA622" s="1831"/>
      <c r="ROB622" s="1831"/>
      <c r="ROC622" s="1831"/>
      <c r="ROD622" s="1831"/>
      <c r="ROE622" s="1831"/>
      <c r="ROF622" s="1831"/>
      <c r="ROG622" s="1831"/>
      <c r="ROH622" s="1831"/>
      <c r="ROI622" s="1831"/>
      <c r="ROJ622" s="1831"/>
      <c r="ROK622" s="1831"/>
      <c r="ROL622" s="1831"/>
      <c r="ROM622" s="1831"/>
      <c r="RON622" s="1831"/>
      <c r="ROO622" s="1831"/>
      <c r="ROP622" s="1831"/>
      <c r="ROQ622" s="1831"/>
      <c r="ROR622" s="1831"/>
      <c r="ROS622" s="1831"/>
      <c r="ROT622" s="1831"/>
      <c r="ROU622" s="1831"/>
      <c r="ROV622" s="1831"/>
      <c r="ROW622" s="1831"/>
      <c r="ROX622" s="1831"/>
      <c r="ROY622" s="1831"/>
      <c r="ROZ622" s="1831"/>
      <c r="RPA622" s="1831"/>
      <c r="RPB622" s="1831"/>
      <c r="RPC622" s="1831"/>
      <c r="RPD622" s="1831"/>
      <c r="RPE622" s="1831"/>
      <c r="RPF622" s="1831"/>
      <c r="RPG622" s="1831"/>
      <c r="RPH622" s="1831"/>
      <c r="RPI622" s="1831"/>
      <c r="RPJ622" s="1831"/>
      <c r="RPK622" s="1831"/>
      <c r="RPL622" s="1831"/>
      <c r="RPM622" s="1831"/>
      <c r="RPN622" s="1831"/>
      <c r="RPO622" s="1831"/>
      <c r="RPP622" s="1831"/>
      <c r="RPQ622" s="1831"/>
      <c r="RPR622" s="1831"/>
      <c r="RPS622" s="1831"/>
      <c r="RPT622" s="1831"/>
      <c r="RPU622" s="1831"/>
      <c r="RPV622" s="1831"/>
      <c r="RPW622" s="1831"/>
      <c r="RPX622" s="1831"/>
      <c r="RPY622" s="1831"/>
      <c r="RPZ622" s="1831"/>
      <c r="RQA622" s="1831"/>
      <c r="RQB622" s="1831"/>
      <c r="RQC622" s="1831"/>
      <c r="RQD622" s="1831"/>
      <c r="RQE622" s="1831"/>
      <c r="RQF622" s="1831"/>
      <c r="RQG622" s="1831"/>
      <c r="RQH622" s="1831"/>
      <c r="RQI622" s="1831"/>
      <c r="RQJ622" s="1831"/>
      <c r="RQK622" s="1831"/>
      <c r="RQL622" s="1831"/>
      <c r="RQM622" s="1831"/>
      <c r="RQN622" s="1831"/>
      <c r="RQO622" s="1831"/>
      <c r="RQP622" s="1831"/>
      <c r="RQQ622" s="1831"/>
      <c r="RQR622" s="1831"/>
      <c r="RQS622" s="1831"/>
      <c r="RQT622" s="1831"/>
      <c r="RQU622" s="1831"/>
      <c r="RQV622" s="1831"/>
      <c r="RQW622" s="1831"/>
      <c r="RQX622" s="1831"/>
      <c r="RQY622" s="1831"/>
      <c r="RQZ622" s="1831"/>
      <c r="RRA622" s="1831"/>
      <c r="RRB622" s="1831"/>
      <c r="RRC622" s="1831"/>
      <c r="RRD622" s="1831"/>
      <c r="RRE622" s="1831"/>
      <c r="RRF622" s="1831"/>
      <c r="RRG622" s="1831"/>
      <c r="RRH622" s="1831"/>
      <c r="RRI622" s="1831"/>
      <c r="RRJ622" s="1831"/>
      <c r="RRK622" s="1831"/>
      <c r="RRL622" s="1831"/>
      <c r="RRM622" s="1831"/>
      <c r="RRN622" s="1831"/>
      <c r="RRO622" s="1831"/>
      <c r="RRP622" s="1831"/>
      <c r="RRQ622" s="1831"/>
      <c r="RRR622" s="1831"/>
      <c r="RRS622" s="1831"/>
      <c r="RRT622" s="1831"/>
      <c r="RRU622" s="1831"/>
      <c r="RRV622" s="1831"/>
      <c r="RRW622" s="1831"/>
      <c r="RRX622" s="1831"/>
      <c r="RRY622" s="1831"/>
      <c r="RRZ622" s="1831"/>
      <c r="RSA622" s="1831"/>
      <c r="RSB622" s="1831"/>
      <c r="RSC622" s="1831"/>
      <c r="RSD622" s="1831"/>
      <c r="RSE622" s="1831"/>
      <c r="RSF622" s="1831"/>
      <c r="RSG622" s="1831"/>
      <c r="RSH622" s="1831"/>
      <c r="RSI622" s="1831"/>
      <c r="RSJ622" s="1831"/>
      <c r="RSK622" s="1831"/>
      <c r="RSL622" s="1831"/>
      <c r="RSM622" s="1831"/>
      <c r="RSN622" s="1831"/>
      <c r="RSO622" s="1831"/>
      <c r="RSP622" s="1831"/>
      <c r="RSQ622" s="1831"/>
      <c r="RSR622" s="1831"/>
      <c r="RSS622" s="1831"/>
      <c r="RST622" s="1831"/>
      <c r="RSU622" s="1831"/>
      <c r="RSV622" s="1831"/>
      <c r="RSW622" s="1831"/>
      <c r="RSX622" s="1831"/>
      <c r="RSY622" s="1831"/>
      <c r="RSZ622" s="1831"/>
      <c r="RTA622" s="1831"/>
      <c r="RTB622" s="1831"/>
      <c r="RTC622" s="1831"/>
      <c r="RTD622" s="1831"/>
      <c r="RTE622" s="1831"/>
      <c r="RTF622" s="1831"/>
      <c r="RTG622" s="1831"/>
      <c r="RTH622" s="1831"/>
      <c r="RTI622" s="1831"/>
      <c r="RTJ622" s="1831"/>
      <c r="RTK622" s="1831"/>
      <c r="RTL622" s="1831"/>
      <c r="RTM622" s="1831"/>
      <c r="RTN622" s="1831"/>
      <c r="RTO622" s="1831"/>
      <c r="RTP622" s="1831"/>
      <c r="RTQ622" s="1831"/>
      <c r="RTR622" s="1831"/>
      <c r="RTS622" s="1831"/>
      <c r="RTT622" s="1831"/>
      <c r="RTU622" s="1831"/>
      <c r="RTV622" s="1831"/>
      <c r="RTW622" s="1831"/>
      <c r="RTX622" s="1831"/>
      <c r="RTY622" s="1831"/>
      <c r="RTZ622" s="1831"/>
      <c r="RUA622" s="1831"/>
      <c r="RUB622" s="1831"/>
      <c r="RUC622" s="1831"/>
      <c r="RUD622" s="1831"/>
      <c r="RUE622" s="1831"/>
      <c r="RUF622" s="1831"/>
      <c r="RUG622" s="1831"/>
      <c r="RUH622" s="1831"/>
      <c r="RUI622" s="1831"/>
      <c r="RUJ622" s="1831"/>
      <c r="RUK622" s="1831"/>
      <c r="RUL622" s="1831"/>
      <c r="RUM622" s="1831"/>
      <c r="RUN622" s="1831"/>
      <c r="RUO622" s="1831"/>
      <c r="RUP622" s="1831"/>
      <c r="RUQ622" s="1831"/>
      <c r="RUR622" s="1831"/>
      <c r="RUS622" s="1831"/>
      <c r="RUT622" s="1831"/>
      <c r="RUU622" s="1831"/>
      <c r="RUV622" s="1831"/>
      <c r="RUW622" s="1831"/>
      <c r="RUX622" s="1831"/>
      <c r="RUY622" s="1831"/>
      <c r="RUZ622" s="1831"/>
      <c r="RVA622" s="1831"/>
      <c r="RVB622" s="1831"/>
      <c r="RVC622" s="1831"/>
      <c r="RVD622" s="1831"/>
      <c r="RVE622" s="1831"/>
      <c r="RVF622" s="1831"/>
      <c r="RVG622" s="1831"/>
      <c r="RVH622" s="1831"/>
      <c r="RVI622" s="1831"/>
      <c r="RVJ622" s="1831"/>
      <c r="RVK622" s="1831"/>
      <c r="RVL622" s="1831"/>
      <c r="RVM622" s="1831"/>
      <c r="RVN622" s="1831"/>
      <c r="RVO622" s="1831"/>
      <c r="RVP622" s="1831"/>
      <c r="RVQ622" s="1831"/>
      <c r="RVR622" s="1831"/>
      <c r="RVS622" s="1831"/>
      <c r="RVT622" s="1831"/>
      <c r="RVU622" s="1831"/>
      <c r="RVV622" s="1831"/>
      <c r="RVW622" s="1831"/>
      <c r="RVX622" s="1831"/>
      <c r="RVY622" s="1831"/>
      <c r="RVZ622" s="1831"/>
      <c r="RWA622" s="1831"/>
      <c r="RWB622" s="1831"/>
      <c r="RWC622" s="1831"/>
      <c r="RWD622" s="1831"/>
      <c r="RWE622" s="1831"/>
      <c r="RWF622" s="1831"/>
      <c r="RWG622" s="1831"/>
      <c r="RWH622" s="1831"/>
      <c r="RWI622" s="1831"/>
      <c r="RWJ622" s="1831"/>
      <c r="RWK622" s="1831"/>
      <c r="RWL622" s="1831"/>
      <c r="RWM622" s="1831"/>
      <c r="RWN622" s="1831"/>
      <c r="RWO622" s="1831"/>
      <c r="RWP622" s="1831"/>
      <c r="RWQ622" s="1831"/>
      <c r="RWR622" s="1831"/>
      <c r="RWS622" s="1831"/>
      <c r="RWT622" s="1831"/>
      <c r="RWU622" s="1831"/>
      <c r="RWV622" s="1831"/>
      <c r="RWW622" s="1831"/>
      <c r="RWX622" s="1831"/>
      <c r="RWY622" s="1831"/>
      <c r="RWZ622" s="1831"/>
      <c r="RXA622" s="1831"/>
      <c r="RXB622" s="1831"/>
      <c r="RXC622" s="1831"/>
      <c r="RXD622" s="1831"/>
      <c r="RXE622" s="1831"/>
      <c r="RXF622" s="1831"/>
      <c r="RXG622" s="1831"/>
      <c r="RXH622" s="1831"/>
      <c r="RXI622" s="1831"/>
      <c r="RXJ622" s="1831"/>
      <c r="RXK622" s="1831"/>
      <c r="RXL622" s="1831"/>
      <c r="RXM622" s="1831"/>
      <c r="RXN622" s="1831"/>
      <c r="RXO622" s="1831"/>
      <c r="RXP622" s="1831"/>
      <c r="RXQ622" s="1831"/>
      <c r="RXR622" s="1831"/>
      <c r="RXS622" s="1831"/>
      <c r="RXT622" s="1831"/>
      <c r="RXU622" s="1831"/>
      <c r="RXV622" s="1831"/>
      <c r="RXW622" s="1831"/>
      <c r="RXX622" s="1831"/>
      <c r="RXY622" s="1831"/>
      <c r="RXZ622" s="1831"/>
      <c r="RYA622" s="1831"/>
      <c r="RYB622" s="1831"/>
      <c r="RYC622" s="1831"/>
      <c r="RYD622" s="1831"/>
      <c r="RYE622" s="1831"/>
      <c r="RYF622" s="1831"/>
      <c r="RYG622" s="1831"/>
      <c r="RYH622" s="1831"/>
      <c r="RYI622" s="1831"/>
      <c r="RYJ622" s="1831"/>
      <c r="RYK622" s="1831"/>
      <c r="RYL622" s="1831"/>
      <c r="RYM622" s="1831"/>
      <c r="RYN622" s="1831"/>
      <c r="RYO622" s="1831"/>
      <c r="RYP622" s="1831"/>
      <c r="RYQ622" s="1831"/>
      <c r="RYR622" s="1831"/>
      <c r="RYS622" s="1831"/>
      <c r="RYT622" s="1831"/>
      <c r="RYU622" s="1831"/>
      <c r="RYV622" s="1831"/>
      <c r="RYW622" s="1831"/>
      <c r="RYX622" s="1831"/>
      <c r="RYY622" s="1831"/>
      <c r="RYZ622" s="1831"/>
      <c r="RZA622" s="1831"/>
      <c r="RZB622" s="1831"/>
      <c r="RZC622" s="1831"/>
      <c r="RZD622" s="1831"/>
      <c r="RZE622" s="1831"/>
      <c r="RZF622" s="1831"/>
      <c r="RZG622" s="1831"/>
      <c r="RZH622" s="1831"/>
      <c r="RZI622" s="1831"/>
      <c r="RZJ622" s="1831"/>
      <c r="RZK622" s="1831"/>
      <c r="RZL622" s="1831"/>
      <c r="RZM622" s="1831"/>
      <c r="RZN622" s="1831"/>
      <c r="RZO622" s="1831"/>
      <c r="RZP622" s="1831"/>
      <c r="RZQ622" s="1831"/>
      <c r="RZR622" s="1831"/>
      <c r="RZS622" s="1831"/>
      <c r="RZT622" s="1831"/>
      <c r="RZU622" s="1831"/>
      <c r="RZV622" s="1831"/>
      <c r="RZW622" s="1831"/>
      <c r="RZX622" s="1831"/>
      <c r="RZY622" s="1831"/>
      <c r="RZZ622" s="1831"/>
      <c r="SAA622" s="1831"/>
      <c r="SAB622" s="1831"/>
      <c r="SAC622" s="1831"/>
      <c r="SAD622" s="1831"/>
      <c r="SAE622" s="1831"/>
      <c r="SAF622" s="1831"/>
      <c r="SAG622" s="1831"/>
      <c r="SAH622" s="1831"/>
      <c r="SAI622" s="1831"/>
      <c r="SAJ622" s="1831"/>
      <c r="SAK622" s="1831"/>
      <c r="SAL622" s="1831"/>
      <c r="SAM622" s="1831"/>
      <c r="SAN622" s="1831"/>
      <c r="SAO622" s="1831"/>
      <c r="SAP622" s="1831"/>
      <c r="SAQ622" s="1831"/>
      <c r="SAR622" s="1831"/>
      <c r="SAS622" s="1831"/>
      <c r="SAT622" s="1831"/>
      <c r="SAU622" s="1831"/>
      <c r="SAV622" s="1831"/>
      <c r="SAW622" s="1831"/>
      <c r="SAX622" s="1831"/>
      <c r="SAY622" s="1831"/>
      <c r="SAZ622" s="1831"/>
      <c r="SBA622" s="1831"/>
      <c r="SBB622" s="1831"/>
      <c r="SBC622" s="1831"/>
      <c r="SBD622" s="1831"/>
      <c r="SBE622" s="1831"/>
      <c r="SBF622" s="1831"/>
      <c r="SBG622" s="1831"/>
      <c r="SBH622" s="1831"/>
      <c r="SBI622" s="1831"/>
      <c r="SBJ622" s="1831"/>
      <c r="SBK622" s="1831"/>
      <c r="SBL622" s="1831"/>
      <c r="SBM622" s="1831"/>
      <c r="SBN622" s="1831"/>
      <c r="SBO622" s="1831"/>
      <c r="SBP622" s="1831"/>
      <c r="SBQ622" s="1831"/>
      <c r="SBR622" s="1831"/>
      <c r="SBS622" s="1831"/>
      <c r="SBT622" s="1831"/>
      <c r="SBU622" s="1831"/>
      <c r="SBV622" s="1831"/>
      <c r="SBW622" s="1831"/>
      <c r="SBX622" s="1831"/>
      <c r="SBY622" s="1831"/>
      <c r="SBZ622" s="1831"/>
      <c r="SCA622" s="1831"/>
      <c r="SCB622" s="1831"/>
      <c r="SCC622" s="1831"/>
      <c r="SCD622" s="1831"/>
      <c r="SCE622" s="1831"/>
      <c r="SCF622" s="1831"/>
      <c r="SCG622" s="1831"/>
      <c r="SCH622" s="1831"/>
      <c r="SCI622" s="1831"/>
      <c r="SCJ622" s="1831"/>
      <c r="SCK622" s="1831"/>
      <c r="SCL622" s="1831"/>
      <c r="SCM622" s="1831"/>
      <c r="SCN622" s="1831"/>
      <c r="SCO622" s="1831"/>
      <c r="SCP622" s="1831"/>
      <c r="SCQ622" s="1831"/>
      <c r="SCR622" s="1831"/>
      <c r="SCS622" s="1831"/>
      <c r="SCT622" s="1831"/>
      <c r="SCU622" s="1831"/>
      <c r="SCV622" s="1831"/>
      <c r="SCW622" s="1831"/>
      <c r="SCX622" s="1831"/>
      <c r="SCY622" s="1831"/>
      <c r="SCZ622" s="1831"/>
      <c r="SDA622" s="1831"/>
      <c r="SDB622" s="1831"/>
      <c r="SDC622" s="1831"/>
      <c r="SDD622" s="1831"/>
      <c r="SDE622" s="1831"/>
      <c r="SDF622" s="1831"/>
      <c r="SDG622" s="1831"/>
      <c r="SDH622" s="1831"/>
      <c r="SDI622" s="1831"/>
      <c r="SDJ622" s="1831"/>
      <c r="SDK622" s="1831"/>
      <c r="SDL622" s="1831"/>
      <c r="SDM622" s="1831"/>
      <c r="SDN622" s="1831"/>
      <c r="SDO622" s="1831"/>
      <c r="SDP622" s="1831"/>
      <c r="SDQ622" s="1831"/>
      <c r="SDR622" s="1831"/>
      <c r="SDS622" s="1831"/>
      <c r="SDT622" s="1831"/>
      <c r="SDU622" s="1831"/>
      <c r="SDV622" s="1831"/>
      <c r="SDW622" s="1831"/>
      <c r="SDX622" s="1831"/>
      <c r="SDY622" s="1831"/>
      <c r="SDZ622" s="1831"/>
      <c r="SEA622" s="1831"/>
      <c r="SEB622" s="1831"/>
      <c r="SEC622" s="1831"/>
      <c r="SED622" s="1831"/>
      <c r="SEE622" s="1831"/>
      <c r="SEF622" s="1831"/>
      <c r="SEG622" s="1831"/>
      <c r="SEH622" s="1831"/>
      <c r="SEI622" s="1831"/>
      <c r="SEJ622" s="1831"/>
      <c r="SEK622" s="1831"/>
      <c r="SEL622" s="1831"/>
      <c r="SEM622" s="1831"/>
      <c r="SEN622" s="1831"/>
      <c r="SEO622" s="1831"/>
      <c r="SEP622" s="1831"/>
      <c r="SEQ622" s="1831"/>
      <c r="SER622" s="1831"/>
      <c r="SES622" s="1831"/>
      <c r="SET622" s="1831"/>
      <c r="SEU622" s="1831"/>
      <c r="SEV622" s="1831"/>
      <c r="SEW622" s="1831"/>
      <c r="SEX622" s="1831"/>
      <c r="SEY622" s="1831"/>
      <c r="SEZ622" s="1831"/>
      <c r="SFA622" s="1831"/>
      <c r="SFB622" s="1831"/>
      <c r="SFC622" s="1831"/>
      <c r="SFD622" s="1831"/>
      <c r="SFE622" s="1831"/>
      <c r="SFF622" s="1831"/>
      <c r="SFG622" s="1831"/>
      <c r="SFH622" s="1831"/>
      <c r="SFI622" s="1831"/>
      <c r="SFJ622" s="1831"/>
      <c r="SFK622" s="1831"/>
      <c r="SFL622" s="1831"/>
      <c r="SFM622" s="1831"/>
      <c r="SFN622" s="1831"/>
      <c r="SFO622" s="1831"/>
      <c r="SFP622" s="1831"/>
      <c r="SFQ622" s="1831"/>
      <c r="SFR622" s="1831"/>
      <c r="SFS622" s="1831"/>
      <c r="SFT622" s="1831"/>
      <c r="SFU622" s="1831"/>
      <c r="SFV622" s="1831"/>
      <c r="SFW622" s="1831"/>
      <c r="SFX622" s="1831"/>
      <c r="SFY622" s="1831"/>
      <c r="SFZ622" s="1831"/>
      <c r="SGA622" s="1831"/>
      <c r="SGB622" s="1831"/>
      <c r="SGC622" s="1831"/>
      <c r="SGD622" s="1831"/>
      <c r="SGE622" s="1831"/>
      <c r="SGF622" s="1831"/>
      <c r="SGG622" s="1831"/>
      <c r="SGH622" s="1831"/>
      <c r="SGI622" s="1831"/>
      <c r="SGJ622" s="1831"/>
      <c r="SGK622" s="1831"/>
      <c r="SGL622" s="1831"/>
      <c r="SGM622" s="1831"/>
      <c r="SGN622" s="1831"/>
      <c r="SGO622" s="1831"/>
      <c r="SGP622" s="1831"/>
      <c r="SGQ622" s="1831"/>
      <c r="SGR622" s="1831"/>
      <c r="SGS622" s="1831"/>
      <c r="SGT622" s="1831"/>
      <c r="SGU622" s="1831"/>
      <c r="SGV622" s="1831"/>
      <c r="SGW622" s="1831"/>
      <c r="SGX622" s="1831"/>
      <c r="SGY622" s="1831"/>
      <c r="SGZ622" s="1831"/>
      <c r="SHA622" s="1831"/>
      <c r="SHB622" s="1831"/>
      <c r="SHC622" s="1831"/>
      <c r="SHD622" s="1831"/>
      <c r="SHE622" s="1831"/>
      <c r="SHF622" s="1831"/>
      <c r="SHG622" s="1831"/>
      <c r="SHH622" s="1831"/>
      <c r="SHI622" s="1831"/>
      <c r="SHJ622" s="1831"/>
      <c r="SHK622" s="1831"/>
      <c r="SHL622" s="1831"/>
      <c r="SHM622" s="1831"/>
      <c r="SHN622" s="1831"/>
      <c r="SHO622" s="1831"/>
      <c r="SHP622" s="1831"/>
      <c r="SHQ622" s="1831"/>
      <c r="SHR622" s="1831"/>
      <c r="SHS622" s="1831"/>
      <c r="SHT622" s="1831"/>
      <c r="SHU622" s="1831"/>
      <c r="SHV622" s="1831"/>
      <c r="SHW622" s="1831"/>
      <c r="SHX622" s="1831"/>
      <c r="SHY622" s="1831"/>
      <c r="SHZ622" s="1831"/>
      <c r="SIA622" s="1831"/>
      <c r="SIB622" s="1831"/>
      <c r="SIC622" s="1831"/>
      <c r="SID622" s="1831"/>
      <c r="SIE622" s="1831"/>
      <c r="SIF622" s="1831"/>
      <c r="SIG622" s="1831"/>
      <c r="SIH622" s="1831"/>
      <c r="SII622" s="1831"/>
      <c r="SIJ622" s="1831"/>
      <c r="SIK622" s="1831"/>
      <c r="SIL622" s="1831"/>
      <c r="SIM622" s="1831"/>
      <c r="SIN622" s="1831"/>
      <c r="SIO622" s="1831"/>
      <c r="SIP622" s="1831"/>
      <c r="SIQ622" s="1831"/>
      <c r="SIR622" s="1831"/>
      <c r="SIS622" s="1831"/>
      <c r="SIT622" s="1831"/>
      <c r="SIU622" s="1831"/>
      <c r="SIV622" s="1831"/>
      <c r="SIW622" s="1831"/>
      <c r="SIX622" s="1831"/>
      <c r="SIY622" s="1831"/>
      <c r="SIZ622" s="1831"/>
      <c r="SJA622" s="1831"/>
      <c r="SJB622" s="1831"/>
      <c r="SJC622" s="1831"/>
      <c r="SJD622" s="1831"/>
      <c r="SJE622" s="1831"/>
      <c r="SJF622" s="1831"/>
      <c r="SJG622" s="1831"/>
      <c r="SJH622" s="1831"/>
      <c r="SJI622" s="1831"/>
      <c r="SJJ622" s="1831"/>
      <c r="SJK622" s="1831"/>
      <c r="SJL622" s="1831"/>
      <c r="SJM622" s="1831"/>
      <c r="SJN622" s="1831"/>
      <c r="SJO622" s="1831"/>
      <c r="SJP622" s="1831"/>
      <c r="SJQ622" s="1831"/>
      <c r="SJR622" s="1831"/>
      <c r="SJS622" s="1831"/>
      <c r="SJT622" s="1831"/>
      <c r="SJU622" s="1831"/>
      <c r="SJV622" s="1831"/>
      <c r="SJW622" s="1831"/>
      <c r="SJX622" s="1831"/>
      <c r="SJY622" s="1831"/>
      <c r="SJZ622" s="1831"/>
      <c r="SKA622" s="1831"/>
      <c r="SKB622" s="1831"/>
      <c r="SKC622" s="1831"/>
      <c r="SKD622" s="1831"/>
      <c r="SKE622" s="1831"/>
      <c r="SKF622" s="1831"/>
      <c r="SKG622" s="1831"/>
      <c r="SKH622" s="1831"/>
      <c r="SKI622" s="1831"/>
      <c r="SKJ622" s="1831"/>
      <c r="SKK622" s="1831"/>
      <c r="SKL622" s="1831"/>
      <c r="SKM622" s="1831"/>
      <c r="SKN622" s="1831"/>
      <c r="SKO622" s="1831"/>
      <c r="SKP622" s="1831"/>
      <c r="SKQ622" s="1831"/>
      <c r="SKR622" s="1831"/>
      <c r="SKS622" s="1831"/>
      <c r="SKT622" s="1831"/>
      <c r="SKU622" s="1831"/>
      <c r="SKV622" s="1831"/>
      <c r="SKW622" s="1831"/>
      <c r="SKX622" s="1831"/>
      <c r="SKY622" s="1831"/>
      <c r="SKZ622" s="1831"/>
      <c r="SLA622" s="1831"/>
      <c r="SLB622" s="1831"/>
      <c r="SLC622" s="1831"/>
      <c r="SLD622" s="1831"/>
      <c r="SLE622" s="1831"/>
      <c r="SLF622" s="1831"/>
      <c r="SLG622" s="1831"/>
      <c r="SLH622" s="1831"/>
      <c r="SLI622" s="1831"/>
      <c r="SLJ622" s="1831"/>
      <c r="SLK622" s="1831"/>
      <c r="SLL622" s="1831"/>
      <c r="SLM622" s="1831"/>
      <c r="SLN622" s="1831"/>
      <c r="SLO622" s="1831"/>
      <c r="SLP622" s="1831"/>
      <c r="SLQ622" s="1831"/>
      <c r="SLR622" s="1831"/>
      <c r="SLS622" s="1831"/>
      <c r="SLT622" s="1831"/>
      <c r="SLU622" s="1831"/>
      <c r="SLV622" s="1831"/>
      <c r="SLW622" s="1831"/>
      <c r="SLX622" s="1831"/>
      <c r="SLY622" s="1831"/>
      <c r="SLZ622" s="1831"/>
      <c r="SMA622" s="1831"/>
      <c r="SMB622" s="1831"/>
      <c r="SMC622" s="1831"/>
      <c r="SMD622" s="1831"/>
      <c r="SME622" s="1831"/>
      <c r="SMF622" s="1831"/>
      <c r="SMG622" s="1831"/>
      <c r="SMH622" s="1831"/>
      <c r="SMI622" s="1831"/>
      <c r="SMJ622" s="1831"/>
      <c r="SMK622" s="1831"/>
      <c r="SML622" s="1831"/>
      <c r="SMM622" s="1831"/>
      <c r="SMN622" s="1831"/>
      <c r="SMO622" s="1831"/>
      <c r="SMP622" s="1831"/>
      <c r="SMQ622" s="1831"/>
      <c r="SMR622" s="1831"/>
      <c r="SMS622" s="1831"/>
      <c r="SMT622" s="1831"/>
      <c r="SMU622" s="1831"/>
      <c r="SMV622" s="1831"/>
      <c r="SMW622" s="1831"/>
      <c r="SMX622" s="1831"/>
      <c r="SMY622" s="1831"/>
      <c r="SMZ622" s="1831"/>
      <c r="SNA622" s="1831"/>
      <c r="SNB622" s="1831"/>
      <c r="SNC622" s="1831"/>
      <c r="SND622" s="1831"/>
      <c r="SNE622" s="1831"/>
      <c r="SNF622" s="1831"/>
      <c r="SNG622" s="1831"/>
      <c r="SNH622" s="1831"/>
      <c r="SNI622" s="1831"/>
      <c r="SNJ622" s="1831"/>
      <c r="SNK622" s="1831"/>
      <c r="SNL622" s="1831"/>
      <c r="SNM622" s="1831"/>
      <c r="SNN622" s="1831"/>
      <c r="SNO622" s="1831"/>
      <c r="SNP622" s="1831"/>
      <c r="SNQ622" s="1831"/>
      <c r="SNR622" s="1831"/>
      <c r="SNS622" s="1831"/>
      <c r="SNT622" s="1831"/>
      <c r="SNU622" s="1831"/>
      <c r="SNV622" s="1831"/>
      <c r="SNW622" s="1831"/>
      <c r="SNX622" s="1831"/>
      <c r="SNY622" s="1831"/>
      <c r="SNZ622" s="1831"/>
      <c r="SOA622" s="1831"/>
      <c r="SOB622" s="1831"/>
      <c r="SOC622" s="1831"/>
      <c r="SOD622" s="1831"/>
      <c r="SOE622" s="1831"/>
      <c r="SOF622" s="1831"/>
      <c r="SOG622" s="1831"/>
      <c r="SOH622" s="1831"/>
      <c r="SOI622" s="1831"/>
      <c r="SOJ622" s="1831"/>
      <c r="SOK622" s="1831"/>
      <c r="SOL622" s="1831"/>
      <c r="SOM622" s="1831"/>
      <c r="SON622" s="1831"/>
      <c r="SOO622" s="1831"/>
      <c r="SOP622" s="1831"/>
      <c r="SOQ622" s="1831"/>
      <c r="SOR622" s="1831"/>
      <c r="SOS622" s="1831"/>
      <c r="SOT622" s="1831"/>
      <c r="SOU622" s="1831"/>
      <c r="SOV622" s="1831"/>
      <c r="SOW622" s="1831"/>
      <c r="SOX622" s="1831"/>
      <c r="SOY622" s="1831"/>
      <c r="SOZ622" s="1831"/>
      <c r="SPA622" s="1831"/>
      <c r="SPB622" s="1831"/>
      <c r="SPC622" s="1831"/>
      <c r="SPD622" s="1831"/>
      <c r="SPE622" s="1831"/>
      <c r="SPF622" s="1831"/>
      <c r="SPG622" s="1831"/>
      <c r="SPH622" s="1831"/>
      <c r="SPI622" s="1831"/>
      <c r="SPJ622" s="1831"/>
      <c r="SPK622" s="1831"/>
      <c r="SPL622" s="1831"/>
      <c r="SPM622" s="1831"/>
      <c r="SPN622" s="1831"/>
      <c r="SPO622" s="1831"/>
      <c r="SPP622" s="1831"/>
      <c r="SPQ622" s="1831"/>
      <c r="SPR622" s="1831"/>
      <c r="SPS622" s="1831"/>
      <c r="SPT622" s="1831"/>
      <c r="SPU622" s="1831"/>
      <c r="SPV622" s="1831"/>
      <c r="SPW622" s="1831"/>
      <c r="SPX622" s="1831"/>
      <c r="SPY622" s="1831"/>
      <c r="SPZ622" s="1831"/>
      <c r="SQA622" s="1831"/>
      <c r="SQB622" s="1831"/>
      <c r="SQC622" s="1831"/>
      <c r="SQD622" s="1831"/>
      <c r="SQE622" s="1831"/>
      <c r="SQF622" s="1831"/>
      <c r="SQG622" s="1831"/>
      <c r="SQH622" s="1831"/>
      <c r="SQI622" s="1831"/>
      <c r="SQJ622" s="1831"/>
      <c r="SQK622" s="1831"/>
      <c r="SQL622" s="1831"/>
      <c r="SQM622" s="1831"/>
      <c r="SQN622" s="1831"/>
      <c r="SQO622" s="1831"/>
      <c r="SQP622" s="1831"/>
      <c r="SQQ622" s="1831"/>
      <c r="SQR622" s="1831"/>
      <c r="SQS622" s="1831"/>
      <c r="SQT622" s="1831"/>
      <c r="SQU622" s="1831"/>
      <c r="SQV622" s="1831"/>
      <c r="SQW622" s="1831"/>
      <c r="SQX622" s="1831"/>
      <c r="SQY622" s="1831"/>
      <c r="SQZ622" s="1831"/>
      <c r="SRA622" s="1831"/>
      <c r="SRB622" s="1831"/>
      <c r="SRC622" s="1831"/>
      <c r="SRD622" s="1831"/>
      <c r="SRE622" s="1831"/>
      <c r="SRF622" s="1831"/>
      <c r="SRG622" s="1831"/>
      <c r="SRH622" s="1831"/>
      <c r="SRI622" s="1831"/>
      <c r="SRJ622" s="1831"/>
      <c r="SRK622" s="1831"/>
      <c r="SRL622" s="1831"/>
      <c r="SRM622" s="1831"/>
      <c r="SRN622" s="1831"/>
      <c r="SRO622" s="1831"/>
      <c r="SRP622" s="1831"/>
      <c r="SRQ622" s="1831"/>
      <c r="SRR622" s="1831"/>
      <c r="SRS622" s="1831"/>
      <c r="SRT622" s="1831"/>
      <c r="SRU622" s="1831"/>
      <c r="SRV622" s="1831"/>
      <c r="SRW622" s="1831"/>
      <c r="SRX622" s="1831"/>
      <c r="SRY622" s="1831"/>
      <c r="SRZ622" s="1831"/>
      <c r="SSA622" s="1831"/>
      <c r="SSB622" s="1831"/>
      <c r="SSC622" s="1831"/>
      <c r="SSD622" s="1831"/>
      <c r="SSE622" s="1831"/>
      <c r="SSF622" s="1831"/>
      <c r="SSG622" s="1831"/>
      <c r="SSH622" s="1831"/>
      <c r="SSI622" s="1831"/>
      <c r="SSJ622" s="1831"/>
      <c r="SSK622" s="1831"/>
      <c r="SSL622" s="1831"/>
      <c r="SSM622" s="1831"/>
      <c r="SSN622" s="1831"/>
      <c r="SSO622" s="1831"/>
      <c r="SSP622" s="1831"/>
      <c r="SSQ622" s="1831"/>
      <c r="SSR622" s="1831"/>
      <c r="SSS622" s="1831"/>
      <c r="SST622" s="1831"/>
      <c r="SSU622" s="1831"/>
      <c r="SSV622" s="1831"/>
      <c r="SSW622" s="1831"/>
      <c r="SSX622" s="1831"/>
      <c r="SSY622" s="1831"/>
      <c r="SSZ622" s="1831"/>
      <c r="STA622" s="1831"/>
      <c r="STB622" s="1831"/>
      <c r="STC622" s="1831"/>
      <c r="STD622" s="1831"/>
      <c r="STE622" s="1831"/>
      <c r="STF622" s="1831"/>
      <c r="STG622" s="1831"/>
      <c r="STH622" s="1831"/>
      <c r="STI622" s="1831"/>
      <c r="STJ622" s="1831"/>
      <c r="STK622" s="1831"/>
      <c r="STL622" s="1831"/>
      <c r="STM622" s="1831"/>
      <c r="STN622" s="1831"/>
      <c r="STO622" s="1831"/>
      <c r="STP622" s="1831"/>
      <c r="STQ622" s="1831"/>
      <c r="STR622" s="1831"/>
      <c r="STS622" s="1831"/>
      <c r="STT622" s="1831"/>
      <c r="STU622" s="1831"/>
      <c r="STV622" s="1831"/>
      <c r="STW622" s="1831"/>
      <c r="STX622" s="1831"/>
      <c r="STY622" s="1831"/>
      <c r="STZ622" s="1831"/>
      <c r="SUA622" s="1831"/>
      <c r="SUB622" s="1831"/>
      <c r="SUC622" s="1831"/>
      <c r="SUD622" s="1831"/>
      <c r="SUE622" s="1831"/>
      <c r="SUF622" s="1831"/>
      <c r="SUG622" s="1831"/>
      <c r="SUH622" s="1831"/>
      <c r="SUI622" s="1831"/>
      <c r="SUJ622" s="1831"/>
      <c r="SUK622" s="1831"/>
      <c r="SUL622" s="1831"/>
      <c r="SUM622" s="1831"/>
      <c r="SUN622" s="1831"/>
      <c r="SUO622" s="1831"/>
      <c r="SUP622" s="1831"/>
      <c r="SUQ622" s="1831"/>
      <c r="SUR622" s="1831"/>
      <c r="SUS622" s="1831"/>
      <c r="SUT622" s="1831"/>
      <c r="SUU622" s="1831"/>
      <c r="SUV622" s="1831"/>
      <c r="SUW622" s="1831"/>
      <c r="SUX622" s="1831"/>
      <c r="SUY622" s="1831"/>
      <c r="SUZ622" s="1831"/>
      <c r="SVA622" s="1831"/>
      <c r="SVB622" s="1831"/>
      <c r="SVC622" s="1831"/>
      <c r="SVD622" s="1831"/>
      <c r="SVE622" s="1831"/>
      <c r="SVF622" s="1831"/>
      <c r="SVG622" s="1831"/>
      <c r="SVH622" s="1831"/>
      <c r="SVI622" s="1831"/>
      <c r="SVJ622" s="1831"/>
      <c r="SVK622" s="1831"/>
      <c r="SVL622" s="1831"/>
      <c r="SVM622" s="1831"/>
      <c r="SVN622" s="1831"/>
      <c r="SVO622" s="1831"/>
      <c r="SVP622" s="1831"/>
      <c r="SVQ622" s="1831"/>
      <c r="SVR622" s="1831"/>
      <c r="SVS622" s="1831"/>
      <c r="SVT622" s="1831"/>
      <c r="SVU622" s="1831"/>
      <c r="SVV622" s="1831"/>
      <c r="SVW622" s="1831"/>
      <c r="SVX622" s="1831"/>
      <c r="SVY622" s="1831"/>
      <c r="SVZ622" s="1831"/>
      <c r="SWA622" s="1831"/>
      <c r="SWB622" s="1831"/>
      <c r="SWC622" s="1831"/>
      <c r="SWD622" s="1831"/>
      <c r="SWE622" s="1831"/>
      <c r="SWF622" s="1831"/>
      <c r="SWG622" s="1831"/>
      <c r="SWH622" s="1831"/>
      <c r="SWI622" s="1831"/>
      <c r="SWJ622" s="1831"/>
      <c r="SWK622" s="1831"/>
      <c r="SWL622" s="1831"/>
      <c r="SWM622" s="1831"/>
      <c r="SWN622" s="1831"/>
      <c r="SWO622" s="1831"/>
      <c r="SWP622" s="1831"/>
      <c r="SWQ622" s="1831"/>
      <c r="SWR622" s="1831"/>
      <c r="SWS622" s="1831"/>
      <c r="SWT622" s="1831"/>
      <c r="SWU622" s="1831"/>
      <c r="SWV622" s="1831"/>
      <c r="SWW622" s="1831"/>
      <c r="SWX622" s="1831"/>
      <c r="SWY622" s="1831"/>
      <c r="SWZ622" s="1831"/>
      <c r="SXA622" s="1831"/>
      <c r="SXB622" s="1831"/>
      <c r="SXC622" s="1831"/>
      <c r="SXD622" s="1831"/>
      <c r="SXE622" s="1831"/>
      <c r="SXF622" s="1831"/>
      <c r="SXG622" s="1831"/>
      <c r="SXH622" s="1831"/>
      <c r="SXI622" s="1831"/>
      <c r="SXJ622" s="1831"/>
      <c r="SXK622" s="1831"/>
      <c r="SXL622" s="1831"/>
      <c r="SXM622" s="1831"/>
      <c r="SXN622" s="1831"/>
      <c r="SXO622" s="1831"/>
      <c r="SXP622" s="1831"/>
      <c r="SXQ622" s="1831"/>
      <c r="SXR622" s="1831"/>
      <c r="SXS622" s="1831"/>
      <c r="SXT622" s="1831"/>
      <c r="SXU622" s="1831"/>
      <c r="SXV622" s="1831"/>
      <c r="SXW622" s="1831"/>
      <c r="SXX622" s="1831"/>
      <c r="SXY622" s="1831"/>
      <c r="SXZ622" s="1831"/>
      <c r="SYA622" s="1831"/>
      <c r="SYB622" s="1831"/>
      <c r="SYC622" s="1831"/>
      <c r="SYD622" s="1831"/>
      <c r="SYE622" s="1831"/>
      <c r="SYF622" s="1831"/>
      <c r="SYG622" s="1831"/>
      <c r="SYH622" s="1831"/>
      <c r="SYI622" s="1831"/>
      <c r="SYJ622" s="1831"/>
      <c r="SYK622" s="1831"/>
      <c r="SYL622" s="1831"/>
      <c r="SYM622" s="1831"/>
      <c r="SYN622" s="1831"/>
      <c r="SYO622" s="1831"/>
      <c r="SYP622" s="1831"/>
      <c r="SYQ622" s="1831"/>
      <c r="SYR622" s="1831"/>
      <c r="SYS622" s="1831"/>
      <c r="SYT622" s="1831"/>
      <c r="SYU622" s="1831"/>
      <c r="SYV622" s="1831"/>
      <c r="SYW622" s="1831"/>
      <c r="SYX622" s="1831"/>
      <c r="SYY622" s="1831"/>
      <c r="SYZ622" s="1831"/>
      <c r="SZA622" s="1831"/>
      <c r="SZB622" s="1831"/>
      <c r="SZC622" s="1831"/>
      <c r="SZD622" s="1831"/>
      <c r="SZE622" s="1831"/>
      <c r="SZF622" s="1831"/>
      <c r="SZG622" s="1831"/>
      <c r="SZH622" s="1831"/>
      <c r="SZI622" s="1831"/>
      <c r="SZJ622" s="1831"/>
      <c r="SZK622" s="1831"/>
      <c r="SZL622" s="1831"/>
      <c r="SZM622" s="1831"/>
      <c r="SZN622" s="1831"/>
      <c r="SZO622" s="1831"/>
      <c r="SZP622" s="1831"/>
      <c r="SZQ622" s="1831"/>
      <c r="SZR622" s="1831"/>
      <c r="SZS622" s="1831"/>
      <c r="SZT622" s="1831"/>
      <c r="SZU622" s="1831"/>
      <c r="SZV622" s="1831"/>
      <c r="SZW622" s="1831"/>
      <c r="SZX622" s="1831"/>
      <c r="SZY622" s="1831"/>
      <c r="SZZ622" s="1831"/>
      <c r="TAA622" s="1831"/>
      <c r="TAB622" s="1831"/>
      <c r="TAC622" s="1831"/>
      <c r="TAD622" s="1831"/>
      <c r="TAE622" s="1831"/>
      <c r="TAF622" s="1831"/>
      <c r="TAG622" s="1831"/>
      <c r="TAH622" s="1831"/>
      <c r="TAI622" s="1831"/>
      <c r="TAJ622" s="1831"/>
      <c r="TAK622" s="1831"/>
      <c r="TAL622" s="1831"/>
      <c r="TAM622" s="1831"/>
      <c r="TAN622" s="1831"/>
      <c r="TAO622" s="1831"/>
      <c r="TAP622" s="1831"/>
      <c r="TAQ622" s="1831"/>
      <c r="TAR622" s="1831"/>
      <c r="TAS622" s="1831"/>
      <c r="TAT622" s="1831"/>
      <c r="TAU622" s="1831"/>
      <c r="TAV622" s="1831"/>
      <c r="TAW622" s="1831"/>
      <c r="TAX622" s="1831"/>
      <c r="TAY622" s="1831"/>
      <c r="TAZ622" s="1831"/>
      <c r="TBA622" s="1831"/>
      <c r="TBB622" s="1831"/>
      <c r="TBC622" s="1831"/>
      <c r="TBD622" s="1831"/>
      <c r="TBE622" s="1831"/>
      <c r="TBF622" s="1831"/>
      <c r="TBG622" s="1831"/>
      <c r="TBH622" s="1831"/>
      <c r="TBI622" s="1831"/>
      <c r="TBJ622" s="1831"/>
      <c r="TBK622" s="1831"/>
      <c r="TBL622" s="1831"/>
      <c r="TBM622" s="1831"/>
      <c r="TBN622" s="1831"/>
      <c r="TBO622" s="1831"/>
      <c r="TBP622" s="1831"/>
      <c r="TBQ622" s="1831"/>
      <c r="TBR622" s="1831"/>
      <c r="TBS622" s="1831"/>
      <c r="TBT622" s="1831"/>
      <c r="TBU622" s="1831"/>
      <c r="TBV622" s="1831"/>
      <c r="TBW622" s="1831"/>
      <c r="TBX622" s="1831"/>
      <c r="TBY622" s="1831"/>
      <c r="TBZ622" s="1831"/>
      <c r="TCA622" s="1831"/>
      <c r="TCB622" s="1831"/>
      <c r="TCC622" s="1831"/>
      <c r="TCD622" s="1831"/>
      <c r="TCE622" s="1831"/>
      <c r="TCF622" s="1831"/>
      <c r="TCG622" s="1831"/>
      <c r="TCH622" s="1831"/>
      <c r="TCI622" s="1831"/>
      <c r="TCJ622" s="1831"/>
      <c r="TCK622" s="1831"/>
      <c r="TCL622" s="1831"/>
      <c r="TCM622" s="1831"/>
      <c r="TCN622" s="1831"/>
      <c r="TCO622" s="1831"/>
      <c r="TCP622" s="1831"/>
      <c r="TCQ622" s="1831"/>
      <c r="TCR622" s="1831"/>
      <c r="TCS622" s="1831"/>
      <c r="TCT622" s="1831"/>
      <c r="TCU622" s="1831"/>
      <c r="TCV622" s="1831"/>
      <c r="TCW622" s="1831"/>
      <c r="TCX622" s="1831"/>
      <c r="TCY622" s="1831"/>
      <c r="TCZ622" s="1831"/>
      <c r="TDA622" s="1831"/>
      <c r="TDB622" s="1831"/>
      <c r="TDC622" s="1831"/>
      <c r="TDD622" s="1831"/>
      <c r="TDE622" s="1831"/>
      <c r="TDF622" s="1831"/>
      <c r="TDG622" s="1831"/>
      <c r="TDH622" s="1831"/>
      <c r="TDI622" s="1831"/>
      <c r="TDJ622" s="1831"/>
      <c r="TDK622" s="1831"/>
      <c r="TDL622" s="1831"/>
      <c r="TDM622" s="1831"/>
      <c r="TDN622" s="1831"/>
      <c r="TDO622" s="1831"/>
      <c r="TDP622" s="1831"/>
      <c r="TDQ622" s="1831"/>
      <c r="TDR622" s="1831"/>
      <c r="TDS622" s="1831"/>
      <c r="TDT622" s="1831"/>
      <c r="TDU622" s="1831"/>
      <c r="TDV622" s="1831"/>
      <c r="TDW622" s="1831"/>
      <c r="TDX622" s="1831"/>
      <c r="TDY622" s="1831"/>
      <c r="TDZ622" s="1831"/>
      <c r="TEA622" s="1831"/>
      <c r="TEB622" s="1831"/>
      <c r="TEC622" s="1831"/>
      <c r="TED622" s="1831"/>
      <c r="TEE622" s="1831"/>
      <c r="TEF622" s="1831"/>
      <c r="TEG622" s="1831"/>
      <c r="TEH622" s="1831"/>
      <c r="TEI622" s="1831"/>
      <c r="TEJ622" s="1831"/>
      <c r="TEK622" s="1831"/>
      <c r="TEL622" s="1831"/>
      <c r="TEM622" s="1831"/>
      <c r="TEN622" s="1831"/>
      <c r="TEO622" s="1831"/>
      <c r="TEP622" s="1831"/>
      <c r="TEQ622" s="1831"/>
      <c r="TER622" s="1831"/>
      <c r="TES622" s="1831"/>
      <c r="TET622" s="1831"/>
      <c r="TEU622" s="1831"/>
      <c r="TEV622" s="1831"/>
      <c r="TEW622" s="1831"/>
      <c r="TEX622" s="1831"/>
      <c r="TEY622" s="1831"/>
      <c r="TEZ622" s="1831"/>
      <c r="TFA622" s="1831"/>
      <c r="TFB622" s="1831"/>
      <c r="TFC622" s="1831"/>
      <c r="TFD622" s="1831"/>
      <c r="TFE622" s="1831"/>
      <c r="TFF622" s="1831"/>
      <c r="TFG622" s="1831"/>
      <c r="TFH622" s="1831"/>
      <c r="TFI622" s="1831"/>
      <c r="TFJ622" s="1831"/>
      <c r="TFK622" s="1831"/>
      <c r="TFL622" s="1831"/>
      <c r="TFM622" s="1831"/>
      <c r="TFN622" s="1831"/>
      <c r="TFO622" s="1831"/>
      <c r="TFP622" s="1831"/>
      <c r="TFQ622" s="1831"/>
      <c r="TFR622" s="1831"/>
      <c r="TFS622" s="1831"/>
      <c r="TFT622" s="1831"/>
      <c r="TFU622" s="1831"/>
      <c r="TFV622" s="1831"/>
      <c r="TFW622" s="1831"/>
      <c r="TFX622" s="1831"/>
      <c r="TFY622" s="1831"/>
      <c r="TFZ622" s="1831"/>
      <c r="TGA622" s="1831"/>
      <c r="TGB622" s="1831"/>
      <c r="TGC622" s="1831"/>
      <c r="TGD622" s="1831"/>
      <c r="TGE622" s="1831"/>
      <c r="TGF622" s="1831"/>
      <c r="TGG622" s="1831"/>
      <c r="TGH622" s="1831"/>
      <c r="TGI622" s="1831"/>
      <c r="TGJ622" s="1831"/>
      <c r="TGK622" s="1831"/>
      <c r="TGL622" s="1831"/>
      <c r="TGM622" s="1831"/>
      <c r="TGN622" s="1831"/>
      <c r="TGO622" s="1831"/>
      <c r="TGP622" s="1831"/>
      <c r="TGQ622" s="1831"/>
      <c r="TGR622" s="1831"/>
      <c r="TGS622" s="1831"/>
      <c r="TGT622" s="1831"/>
      <c r="TGU622" s="1831"/>
      <c r="TGV622" s="1831"/>
      <c r="TGW622" s="1831"/>
      <c r="TGX622" s="1831"/>
      <c r="TGY622" s="1831"/>
      <c r="TGZ622" s="1831"/>
      <c r="THA622" s="1831"/>
      <c r="THB622" s="1831"/>
      <c r="THC622" s="1831"/>
      <c r="THD622" s="1831"/>
      <c r="THE622" s="1831"/>
      <c r="THF622" s="1831"/>
      <c r="THG622" s="1831"/>
      <c r="THH622" s="1831"/>
      <c r="THI622" s="1831"/>
      <c r="THJ622" s="1831"/>
      <c r="THK622" s="1831"/>
      <c r="THL622" s="1831"/>
      <c r="THM622" s="1831"/>
      <c r="THN622" s="1831"/>
      <c r="THO622" s="1831"/>
      <c r="THP622" s="1831"/>
      <c r="THQ622" s="1831"/>
      <c r="THR622" s="1831"/>
      <c r="THS622" s="1831"/>
      <c r="THT622" s="1831"/>
      <c r="THU622" s="1831"/>
      <c r="THV622" s="1831"/>
      <c r="THW622" s="1831"/>
      <c r="THX622" s="1831"/>
      <c r="THY622" s="1831"/>
      <c r="THZ622" s="1831"/>
      <c r="TIA622" s="1831"/>
      <c r="TIB622" s="1831"/>
      <c r="TIC622" s="1831"/>
      <c r="TID622" s="1831"/>
      <c r="TIE622" s="1831"/>
      <c r="TIF622" s="1831"/>
      <c r="TIG622" s="1831"/>
      <c r="TIH622" s="1831"/>
      <c r="TII622" s="1831"/>
      <c r="TIJ622" s="1831"/>
      <c r="TIK622" s="1831"/>
      <c r="TIL622" s="1831"/>
      <c r="TIM622" s="1831"/>
      <c r="TIN622" s="1831"/>
      <c r="TIO622" s="1831"/>
      <c r="TIP622" s="1831"/>
      <c r="TIQ622" s="1831"/>
      <c r="TIR622" s="1831"/>
      <c r="TIS622" s="1831"/>
      <c r="TIT622" s="1831"/>
      <c r="TIU622" s="1831"/>
      <c r="TIV622" s="1831"/>
      <c r="TIW622" s="1831"/>
      <c r="TIX622" s="1831"/>
      <c r="TIY622" s="1831"/>
      <c r="TIZ622" s="1831"/>
      <c r="TJA622" s="1831"/>
      <c r="TJB622" s="1831"/>
      <c r="TJC622" s="1831"/>
      <c r="TJD622" s="1831"/>
      <c r="TJE622" s="1831"/>
      <c r="TJF622" s="1831"/>
      <c r="TJG622" s="1831"/>
      <c r="TJH622" s="1831"/>
      <c r="TJI622" s="1831"/>
      <c r="TJJ622" s="1831"/>
      <c r="TJK622" s="1831"/>
      <c r="TJL622" s="1831"/>
      <c r="TJM622" s="1831"/>
      <c r="TJN622" s="1831"/>
      <c r="TJO622" s="1831"/>
      <c r="TJP622" s="1831"/>
      <c r="TJQ622" s="1831"/>
      <c r="TJR622" s="1831"/>
      <c r="TJS622" s="1831"/>
      <c r="TJT622" s="1831"/>
      <c r="TJU622" s="1831"/>
      <c r="TJV622" s="1831"/>
      <c r="TJW622" s="1831"/>
      <c r="TJX622" s="1831"/>
      <c r="TJY622" s="1831"/>
      <c r="TJZ622" s="1831"/>
      <c r="TKA622" s="1831"/>
      <c r="TKB622" s="1831"/>
      <c r="TKC622" s="1831"/>
      <c r="TKD622" s="1831"/>
      <c r="TKE622" s="1831"/>
      <c r="TKF622" s="1831"/>
      <c r="TKG622" s="1831"/>
      <c r="TKH622" s="1831"/>
      <c r="TKI622" s="1831"/>
      <c r="TKJ622" s="1831"/>
      <c r="TKK622" s="1831"/>
      <c r="TKL622" s="1831"/>
      <c r="TKM622" s="1831"/>
      <c r="TKN622" s="1831"/>
      <c r="TKO622" s="1831"/>
      <c r="TKP622" s="1831"/>
      <c r="TKQ622" s="1831"/>
      <c r="TKR622" s="1831"/>
      <c r="TKS622" s="1831"/>
      <c r="TKT622" s="1831"/>
      <c r="TKU622" s="1831"/>
      <c r="TKV622" s="1831"/>
      <c r="TKW622" s="1831"/>
      <c r="TKX622" s="1831"/>
      <c r="TKY622" s="1831"/>
      <c r="TKZ622" s="1831"/>
      <c r="TLA622" s="1831"/>
      <c r="TLB622" s="1831"/>
      <c r="TLC622" s="1831"/>
      <c r="TLD622" s="1831"/>
      <c r="TLE622" s="1831"/>
      <c r="TLF622" s="1831"/>
      <c r="TLG622" s="1831"/>
      <c r="TLH622" s="1831"/>
      <c r="TLI622" s="1831"/>
      <c r="TLJ622" s="1831"/>
      <c r="TLK622" s="1831"/>
      <c r="TLL622" s="1831"/>
      <c r="TLM622" s="1831"/>
      <c r="TLN622" s="1831"/>
      <c r="TLO622" s="1831"/>
      <c r="TLP622" s="1831"/>
      <c r="TLQ622" s="1831"/>
      <c r="TLR622" s="1831"/>
      <c r="TLS622" s="1831"/>
      <c r="TLT622" s="1831"/>
      <c r="TLU622" s="1831"/>
      <c r="TLV622" s="1831"/>
      <c r="TLW622" s="1831"/>
      <c r="TLX622" s="1831"/>
      <c r="TLY622" s="1831"/>
      <c r="TLZ622" s="1831"/>
      <c r="TMA622" s="1831"/>
      <c r="TMB622" s="1831"/>
      <c r="TMC622" s="1831"/>
      <c r="TMD622" s="1831"/>
      <c r="TME622" s="1831"/>
      <c r="TMF622" s="1831"/>
      <c r="TMG622" s="1831"/>
      <c r="TMH622" s="1831"/>
      <c r="TMI622" s="1831"/>
      <c r="TMJ622" s="1831"/>
      <c r="TMK622" s="1831"/>
      <c r="TML622" s="1831"/>
      <c r="TMM622" s="1831"/>
      <c r="TMN622" s="1831"/>
      <c r="TMO622" s="1831"/>
      <c r="TMP622" s="1831"/>
      <c r="TMQ622" s="1831"/>
      <c r="TMR622" s="1831"/>
      <c r="TMS622" s="1831"/>
      <c r="TMT622" s="1831"/>
      <c r="TMU622" s="1831"/>
      <c r="TMV622" s="1831"/>
      <c r="TMW622" s="1831"/>
      <c r="TMX622" s="1831"/>
      <c r="TMY622" s="1831"/>
      <c r="TMZ622" s="1831"/>
      <c r="TNA622" s="1831"/>
      <c r="TNB622" s="1831"/>
      <c r="TNC622" s="1831"/>
      <c r="TND622" s="1831"/>
      <c r="TNE622" s="1831"/>
      <c r="TNF622" s="1831"/>
      <c r="TNG622" s="1831"/>
      <c r="TNH622" s="1831"/>
      <c r="TNI622" s="1831"/>
      <c r="TNJ622" s="1831"/>
      <c r="TNK622" s="1831"/>
      <c r="TNL622" s="1831"/>
      <c r="TNM622" s="1831"/>
      <c r="TNN622" s="1831"/>
      <c r="TNO622" s="1831"/>
      <c r="TNP622" s="1831"/>
      <c r="TNQ622" s="1831"/>
      <c r="TNR622" s="1831"/>
      <c r="TNS622" s="1831"/>
      <c r="TNT622" s="1831"/>
      <c r="TNU622" s="1831"/>
      <c r="TNV622" s="1831"/>
      <c r="TNW622" s="1831"/>
      <c r="TNX622" s="1831"/>
      <c r="TNY622" s="1831"/>
      <c r="TNZ622" s="1831"/>
      <c r="TOA622" s="1831"/>
      <c r="TOB622" s="1831"/>
      <c r="TOC622" s="1831"/>
      <c r="TOD622" s="1831"/>
      <c r="TOE622" s="1831"/>
      <c r="TOF622" s="1831"/>
      <c r="TOG622" s="1831"/>
      <c r="TOH622" s="1831"/>
      <c r="TOI622" s="1831"/>
      <c r="TOJ622" s="1831"/>
      <c r="TOK622" s="1831"/>
      <c r="TOL622" s="1831"/>
      <c r="TOM622" s="1831"/>
      <c r="TON622" s="1831"/>
      <c r="TOO622" s="1831"/>
      <c r="TOP622" s="1831"/>
      <c r="TOQ622" s="1831"/>
      <c r="TOR622" s="1831"/>
      <c r="TOS622" s="1831"/>
      <c r="TOT622" s="1831"/>
      <c r="TOU622" s="1831"/>
      <c r="TOV622" s="1831"/>
      <c r="TOW622" s="1831"/>
      <c r="TOX622" s="1831"/>
      <c r="TOY622" s="1831"/>
      <c r="TOZ622" s="1831"/>
      <c r="TPA622" s="1831"/>
      <c r="TPB622" s="1831"/>
      <c r="TPC622" s="1831"/>
      <c r="TPD622" s="1831"/>
      <c r="TPE622" s="1831"/>
      <c r="TPF622" s="1831"/>
      <c r="TPG622" s="1831"/>
      <c r="TPH622" s="1831"/>
      <c r="TPI622" s="1831"/>
      <c r="TPJ622" s="1831"/>
      <c r="TPK622" s="1831"/>
      <c r="TPL622" s="1831"/>
      <c r="TPM622" s="1831"/>
      <c r="TPN622" s="1831"/>
      <c r="TPO622" s="1831"/>
      <c r="TPP622" s="1831"/>
      <c r="TPQ622" s="1831"/>
      <c r="TPR622" s="1831"/>
      <c r="TPS622" s="1831"/>
      <c r="TPT622" s="1831"/>
      <c r="TPU622" s="1831"/>
      <c r="TPV622" s="1831"/>
      <c r="TPW622" s="1831"/>
      <c r="TPX622" s="1831"/>
      <c r="TPY622" s="1831"/>
      <c r="TPZ622" s="1831"/>
      <c r="TQA622" s="1831"/>
      <c r="TQB622" s="1831"/>
      <c r="TQC622" s="1831"/>
      <c r="TQD622" s="1831"/>
      <c r="TQE622" s="1831"/>
      <c r="TQF622" s="1831"/>
      <c r="TQG622" s="1831"/>
      <c r="TQH622" s="1831"/>
      <c r="TQI622" s="1831"/>
      <c r="TQJ622" s="1831"/>
      <c r="TQK622" s="1831"/>
      <c r="TQL622" s="1831"/>
      <c r="TQM622" s="1831"/>
      <c r="TQN622" s="1831"/>
      <c r="TQO622" s="1831"/>
      <c r="TQP622" s="1831"/>
      <c r="TQQ622" s="1831"/>
      <c r="TQR622" s="1831"/>
      <c r="TQS622" s="1831"/>
      <c r="TQT622" s="1831"/>
      <c r="TQU622" s="1831"/>
      <c r="TQV622" s="1831"/>
      <c r="TQW622" s="1831"/>
      <c r="TQX622" s="1831"/>
      <c r="TQY622" s="1831"/>
      <c r="TQZ622" s="1831"/>
      <c r="TRA622" s="1831"/>
      <c r="TRB622" s="1831"/>
      <c r="TRC622" s="1831"/>
      <c r="TRD622" s="1831"/>
      <c r="TRE622" s="1831"/>
      <c r="TRF622" s="1831"/>
      <c r="TRG622" s="1831"/>
      <c r="TRH622" s="1831"/>
      <c r="TRI622" s="1831"/>
      <c r="TRJ622" s="1831"/>
      <c r="TRK622" s="1831"/>
      <c r="TRL622" s="1831"/>
      <c r="TRM622" s="1831"/>
      <c r="TRN622" s="1831"/>
      <c r="TRO622" s="1831"/>
      <c r="TRP622" s="1831"/>
      <c r="TRQ622" s="1831"/>
      <c r="TRR622" s="1831"/>
      <c r="TRS622" s="1831"/>
      <c r="TRT622" s="1831"/>
      <c r="TRU622" s="1831"/>
      <c r="TRV622" s="1831"/>
      <c r="TRW622" s="1831"/>
      <c r="TRX622" s="1831"/>
      <c r="TRY622" s="1831"/>
      <c r="TRZ622" s="1831"/>
      <c r="TSA622" s="1831"/>
      <c r="TSB622" s="1831"/>
      <c r="TSC622" s="1831"/>
      <c r="TSD622" s="1831"/>
      <c r="TSE622" s="1831"/>
      <c r="TSF622" s="1831"/>
      <c r="TSG622" s="1831"/>
      <c r="TSH622" s="1831"/>
      <c r="TSI622" s="1831"/>
      <c r="TSJ622" s="1831"/>
      <c r="TSK622" s="1831"/>
      <c r="TSL622" s="1831"/>
      <c r="TSM622" s="1831"/>
      <c r="TSN622" s="1831"/>
      <c r="TSO622" s="1831"/>
      <c r="TSP622" s="1831"/>
      <c r="TSQ622" s="1831"/>
      <c r="TSR622" s="1831"/>
      <c r="TSS622" s="1831"/>
      <c r="TST622" s="1831"/>
      <c r="TSU622" s="1831"/>
      <c r="TSV622" s="1831"/>
      <c r="TSW622" s="1831"/>
      <c r="TSX622" s="1831"/>
      <c r="TSY622" s="1831"/>
      <c r="TSZ622" s="1831"/>
      <c r="TTA622" s="1831"/>
      <c r="TTB622" s="1831"/>
      <c r="TTC622" s="1831"/>
      <c r="TTD622" s="1831"/>
      <c r="TTE622" s="1831"/>
      <c r="TTF622" s="1831"/>
      <c r="TTG622" s="1831"/>
      <c r="TTH622" s="1831"/>
      <c r="TTI622" s="1831"/>
      <c r="TTJ622" s="1831"/>
      <c r="TTK622" s="1831"/>
      <c r="TTL622" s="1831"/>
      <c r="TTM622" s="1831"/>
      <c r="TTN622" s="1831"/>
      <c r="TTO622" s="1831"/>
      <c r="TTP622" s="1831"/>
      <c r="TTQ622" s="1831"/>
      <c r="TTR622" s="1831"/>
      <c r="TTS622" s="1831"/>
      <c r="TTT622" s="1831"/>
      <c r="TTU622" s="1831"/>
      <c r="TTV622" s="1831"/>
      <c r="TTW622" s="1831"/>
      <c r="TTX622" s="1831"/>
      <c r="TTY622" s="1831"/>
      <c r="TTZ622" s="1831"/>
      <c r="TUA622" s="1831"/>
      <c r="TUB622" s="1831"/>
      <c r="TUC622" s="1831"/>
      <c r="TUD622" s="1831"/>
      <c r="TUE622" s="1831"/>
      <c r="TUF622" s="1831"/>
      <c r="TUG622" s="1831"/>
      <c r="TUH622" s="1831"/>
      <c r="TUI622" s="1831"/>
      <c r="TUJ622" s="1831"/>
      <c r="TUK622" s="1831"/>
      <c r="TUL622" s="1831"/>
      <c r="TUM622" s="1831"/>
      <c r="TUN622" s="1831"/>
      <c r="TUO622" s="1831"/>
      <c r="TUP622" s="1831"/>
      <c r="TUQ622" s="1831"/>
      <c r="TUR622" s="1831"/>
      <c r="TUS622" s="1831"/>
      <c r="TUT622" s="1831"/>
      <c r="TUU622" s="1831"/>
      <c r="TUV622" s="1831"/>
      <c r="TUW622" s="1831"/>
      <c r="TUX622" s="1831"/>
      <c r="TUY622" s="1831"/>
      <c r="TUZ622" s="1831"/>
      <c r="TVA622" s="1831"/>
      <c r="TVB622" s="1831"/>
      <c r="TVC622" s="1831"/>
      <c r="TVD622" s="1831"/>
      <c r="TVE622" s="1831"/>
      <c r="TVF622" s="1831"/>
      <c r="TVG622" s="1831"/>
      <c r="TVH622" s="1831"/>
      <c r="TVI622" s="1831"/>
      <c r="TVJ622" s="1831"/>
      <c r="TVK622" s="1831"/>
      <c r="TVL622" s="1831"/>
      <c r="TVM622" s="1831"/>
      <c r="TVN622" s="1831"/>
      <c r="TVO622" s="1831"/>
      <c r="TVP622" s="1831"/>
      <c r="TVQ622" s="1831"/>
      <c r="TVR622" s="1831"/>
      <c r="TVS622" s="1831"/>
      <c r="TVT622" s="1831"/>
      <c r="TVU622" s="1831"/>
      <c r="TVV622" s="1831"/>
      <c r="TVW622" s="1831"/>
      <c r="TVX622" s="1831"/>
      <c r="TVY622" s="1831"/>
      <c r="TVZ622" s="1831"/>
      <c r="TWA622" s="1831"/>
      <c r="TWB622" s="1831"/>
      <c r="TWC622" s="1831"/>
      <c r="TWD622" s="1831"/>
      <c r="TWE622" s="1831"/>
      <c r="TWF622" s="1831"/>
      <c r="TWG622" s="1831"/>
      <c r="TWH622" s="1831"/>
      <c r="TWI622" s="1831"/>
      <c r="TWJ622" s="1831"/>
      <c r="TWK622" s="1831"/>
      <c r="TWL622" s="1831"/>
      <c r="TWM622" s="1831"/>
      <c r="TWN622" s="1831"/>
      <c r="TWO622" s="1831"/>
      <c r="TWP622" s="1831"/>
      <c r="TWQ622" s="1831"/>
      <c r="TWR622" s="1831"/>
      <c r="TWS622" s="1831"/>
      <c r="TWT622" s="1831"/>
      <c r="TWU622" s="1831"/>
      <c r="TWV622" s="1831"/>
      <c r="TWW622" s="1831"/>
      <c r="TWX622" s="1831"/>
      <c r="TWY622" s="1831"/>
      <c r="TWZ622" s="1831"/>
      <c r="TXA622" s="1831"/>
      <c r="TXB622" s="1831"/>
      <c r="TXC622" s="1831"/>
      <c r="TXD622" s="1831"/>
      <c r="TXE622" s="1831"/>
      <c r="TXF622" s="1831"/>
      <c r="TXG622" s="1831"/>
      <c r="TXH622" s="1831"/>
      <c r="TXI622" s="1831"/>
      <c r="TXJ622" s="1831"/>
      <c r="TXK622" s="1831"/>
      <c r="TXL622" s="1831"/>
      <c r="TXM622" s="1831"/>
      <c r="TXN622" s="1831"/>
      <c r="TXO622" s="1831"/>
      <c r="TXP622" s="1831"/>
      <c r="TXQ622" s="1831"/>
      <c r="TXR622" s="1831"/>
      <c r="TXS622" s="1831"/>
      <c r="TXT622" s="1831"/>
      <c r="TXU622" s="1831"/>
      <c r="TXV622" s="1831"/>
      <c r="TXW622" s="1831"/>
      <c r="TXX622" s="1831"/>
      <c r="TXY622" s="1831"/>
      <c r="TXZ622" s="1831"/>
      <c r="TYA622" s="1831"/>
      <c r="TYB622" s="1831"/>
      <c r="TYC622" s="1831"/>
      <c r="TYD622" s="1831"/>
      <c r="TYE622" s="1831"/>
      <c r="TYF622" s="1831"/>
      <c r="TYG622" s="1831"/>
      <c r="TYH622" s="1831"/>
      <c r="TYI622" s="1831"/>
      <c r="TYJ622" s="1831"/>
      <c r="TYK622" s="1831"/>
      <c r="TYL622" s="1831"/>
      <c r="TYM622" s="1831"/>
      <c r="TYN622" s="1831"/>
      <c r="TYO622" s="1831"/>
      <c r="TYP622" s="1831"/>
      <c r="TYQ622" s="1831"/>
      <c r="TYR622" s="1831"/>
      <c r="TYS622" s="1831"/>
      <c r="TYT622" s="1831"/>
      <c r="TYU622" s="1831"/>
      <c r="TYV622" s="1831"/>
      <c r="TYW622" s="1831"/>
      <c r="TYX622" s="1831"/>
      <c r="TYY622" s="1831"/>
      <c r="TYZ622" s="1831"/>
      <c r="TZA622" s="1831"/>
      <c r="TZB622" s="1831"/>
      <c r="TZC622" s="1831"/>
      <c r="TZD622" s="1831"/>
      <c r="TZE622" s="1831"/>
      <c r="TZF622" s="1831"/>
      <c r="TZG622" s="1831"/>
      <c r="TZH622" s="1831"/>
      <c r="TZI622" s="1831"/>
      <c r="TZJ622" s="1831"/>
      <c r="TZK622" s="1831"/>
      <c r="TZL622" s="1831"/>
      <c r="TZM622" s="1831"/>
      <c r="TZN622" s="1831"/>
      <c r="TZO622" s="1831"/>
      <c r="TZP622" s="1831"/>
      <c r="TZQ622" s="1831"/>
      <c r="TZR622" s="1831"/>
      <c r="TZS622" s="1831"/>
      <c r="TZT622" s="1831"/>
      <c r="TZU622" s="1831"/>
      <c r="TZV622" s="1831"/>
      <c r="TZW622" s="1831"/>
      <c r="TZX622" s="1831"/>
      <c r="TZY622" s="1831"/>
      <c r="TZZ622" s="1831"/>
      <c r="UAA622" s="1831"/>
      <c r="UAB622" s="1831"/>
      <c r="UAC622" s="1831"/>
      <c r="UAD622" s="1831"/>
      <c r="UAE622" s="1831"/>
      <c r="UAF622" s="1831"/>
      <c r="UAG622" s="1831"/>
      <c r="UAH622" s="1831"/>
      <c r="UAI622" s="1831"/>
      <c r="UAJ622" s="1831"/>
      <c r="UAK622" s="1831"/>
      <c r="UAL622" s="1831"/>
      <c r="UAM622" s="1831"/>
      <c r="UAN622" s="1831"/>
      <c r="UAO622" s="1831"/>
      <c r="UAP622" s="1831"/>
      <c r="UAQ622" s="1831"/>
      <c r="UAR622" s="1831"/>
      <c r="UAS622" s="1831"/>
      <c r="UAT622" s="1831"/>
      <c r="UAU622" s="1831"/>
      <c r="UAV622" s="1831"/>
      <c r="UAW622" s="1831"/>
      <c r="UAX622" s="1831"/>
      <c r="UAY622" s="1831"/>
      <c r="UAZ622" s="1831"/>
      <c r="UBA622" s="1831"/>
      <c r="UBB622" s="1831"/>
      <c r="UBC622" s="1831"/>
      <c r="UBD622" s="1831"/>
      <c r="UBE622" s="1831"/>
      <c r="UBF622" s="1831"/>
      <c r="UBG622" s="1831"/>
      <c r="UBH622" s="1831"/>
      <c r="UBI622" s="1831"/>
      <c r="UBJ622" s="1831"/>
      <c r="UBK622" s="1831"/>
      <c r="UBL622" s="1831"/>
      <c r="UBM622" s="1831"/>
      <c r="UBN622" s="1831"/>
      <c r="UBO622" s="1831"/>
      <c r="UBP622" s="1831"/>
      <c r="UBQ622" s="1831"/>
      <c r="UBR622" s="1831"/>
      <c r="UBS622" s="1831"/>
      <c r="UBT622" s="1831"/>
      <c r="UBU622" s="1831"/>
      <c r="UBV622" s="1831"/>
      <c r="UBW622" s="1831"/>
      <c r="UBX622" s="1831"/>
      <c r="UBY622" s="1831"/>
      <c r="UBZ622" s="1831"/>
      <c r="UCA622" s="1831"/>
      <c r="UCB622" s="1831"/>
      <c r="UCC622" s="1831"/>
      <c r="UCD622" s="1831"/>
      <c r="UCE622" s="1831"/>
      <c r="UCF622" s="1831"/>
      <c r="UCG622" s="1831"/>
      <c r="UCH622" s="1831"/>
      <c r="UCI622" s="1831"/>
      <c r="UCJ622" s="1831"/>
      <c r="UCK622" s="1831"/>
      <c r="UCL622" s="1831"/>
      <c r="UCM622" s="1831"/>
      <c r="UCN622" s="1831"/>
      <c r="UCO622" s="1831"/>
      <c r="UCP622" s="1831"/>
      <c r="UCQ622" s="1831"/>
      <c r="UCR622" s="1831"/>
      <c r="UCS622" s="1831"/>
      <c r="UCT622" s="1831"/>
      <c r="UCU622" s="1831"/>
      <c r="UCV622" s="1831"/>
      <c r="UCW622" s="1831"/>
      <c r="UCX622" s="1831"/>
      <c r="UCY622" s="1831"/>
      <c r="UCZ622" s="1831"/>
      <c r="UDA622" s="1831"/>
      <c r="UDB622" s="1831"/>
      <c r="UDC622" s="1831"/>
      <c r="UDD622" s="1831"/>
      <c r="UDE622" s="1831"/>
      <c r="UDF622" s="1831"/>
      <c r="UDG622" s="1831"/>
      <c r="UDH622" s="1831"/>
      <c r="UDI622" s="1831"/>
      <c r="UDJ622" s="1831"/>
      <c r="UDK622" s="1831"/>
      <c r="UDL622" s="1831"/>
      <c r="UDM622" s="1831"/>
      <c r="UDN622" s="1831"/>
      <c r="UDO622" s="1831"/>
      <c r="UDP622" s="1831"/>
      <c r="UDQ622" s="1831"/>
      <c r="UDR622" s="1831"/>
      <c r="UDS622" s="1831"/>
      <c r="UDT622" s="1831"/>
      <c r="UDU622" s="1831"/>
      <c r="UDV622" s="1831"/>
      <c r="UDW622" s="1831"/>
      <c r="UDX622" s="1831"/>
      <c r="UDY622" s="1831"/>
      <c r="UDZ622" s="1831"/>
      <c r="UEA622" s="1831"/>
      <c r="UEB622" s="1831"/>
      <c r="UEC622" s="1831"/>
      <c r="UED622" s="1831"/>
      <c r="UEE622" s="1831"/>
      <c r="UEF622" s="1831"/>
      <c r="UEG622" s="1831"/>
      <c r="UEH622" s="1831"/>
      <c r="UEI622" s="1831"/>
      <c r="UEJ622" s="1831"/>
      <c r="UEK622" s="1831"/>
      <c r="UEL622" s="1831"/>
      <c r="UEM622" s="1831"/>
      <c r="UEN622" s="1831"/>
      <c r="UEO622" s="1831"/>
      <c r="UEP622" s="1831"/>
      <c r="UEQ622" s="1831"/>
      <c r="UER622" s="1831"/>
      <c r="UES622" s="1831"/>
      <c r="UET622" s="1831"/>
      <c r="UEU622" s="1831"/>
      <c r="UEV622" s="1831"/>
      <c r="UEW622" s="1831"/>
      <c r="UEX622" s="1831"/>
      <c r="UEY622" s="1831"/>
      <c r="UEZ622" s="1831"/>
      <c r="UFA622" s="1831"/>
      <c r="UFB622" s="1831"/>
      <c r="UFC622" s="1831"/>
      <c r="UFD622" s="1831"/>
      <c r="UFE622" s="1831"/>
      <c r="UFF622" s="1831"/>
      <c r="UFG622" s="1831"/>
      <c r="UFH622" s="1831"/>
      <c r="UFI622" s="1831"/>
      <c r="UFJ622" s="1831"/>
      <c r="UFK622" s="1831"/>
      <c r="UFL622" s="1831"/>
      <c r="UFM622" s="1831"/>
      <c r="UFN622" s="1831"/>
      <c r="UFO622" s="1831"/>
      <c r="UFP622" s="1831"/>
      <c r="UFQ622" s="1831"/>
      <c r="UFR622" s="1831"/>
      <c r="UFS622" s="1831"/>
      <c r="UFT622" s="1831"/>
      <c r="UFU622" s="1831"/>
      <c r="UFV622" s="1831"/>
      <c r="UFW622" s="1831"/>
      <c r="UFX622" s="1831"/>
      <c r="UFY622" s="1831"/>
      <c r="UFZ622" s="1831"/>
      <c r="UGA622" s="1831"/>
      <c r="UGB622" s="1831"/>
      <c r="UGC622" s="1831"/>
      <c r="UGD622" s="1831"/>
      <c r="UGE622" s="1831"/>
      <c r="UGF622" s="1831"/>
      <c r="UGG622" s="1831"/>
      <c r="UGH622" s="1831"/>
      <c r="UGI622" s="1831"/>
      <c r="UGJ622" s="1831"/>
      <c r="UGK622" s="1831"/>
      <c r="UGL622" s="1831"/>
      <c r="UGM622" s="1831"/>
      <c r="UGN622" s="1831"/>
      <c r="UGO622" s="1831"/>
      <c r="UGP622" s="1831"/>
      <c r="UGQ622" s="1831"/>
      <c r="UGR622" s="1831"/>
      <c r="UGS622" s="1831"/>
      <c r="UGT622" s="1831"/>
      <c r="UGU622" s="1831"/>
      <c r="UGV622" s="1831"/>
      <c r="UGW622" s="1831"/>
      <c r="UGX622" s="1831"/>
      <c r="UGY622" s="1831"/>
      <c r="UGZ622" s="1831"/>
      <c r="UHA622" s="1831"/>
      <c r="UHB622" s="1831"/>
      <c r="UHC622" s="1831"/>
      <c r="UHD622" s="1831"/>
      <c r="UHE622" s="1831"/>
      <c r="UHF622" s="1831"/>
      <c r="UHG622" s="1831"/>
      <c r="UHH622" s="1831"/>
      <c r="UHI622" s="1831"/>
      <c r="UHJ622" s="1831"/>
      <c r="UHK622" s="1831"/>
      <c r="UHL622" s="1831"/>
      <c r="UHM622" s="1831"/>
      <c r="UHN622" s="1831"/>
      <c r="UHO622" s="1831"/>
      <c r="UHP622" s="1831"/>
      <c r="UHQ622" s="1831"/>
      <c r="UHR622" s="1831"/>
      <c r="UHS622" s="1831"/>
      <c r="UHT622" s="1831"/>
      <c r="UHU622" s="1831"/>
      <c r="UHV622" s="1831"/>
      <c r="UHW622" s="1831"/>
      <c r="UHX622" s="1831"/>
      <c r="UHY622" s="1831"/>
      <c r="UHZ622" s="1831"/>
      <c r="UIA622" s="1831"/>
      <c r="UIB622" s="1831"/>
      <c r="UIC622" s="1831"/>
      <c r="UID622" s="1831"/>
      <c r="UIE622" s="1831"/>
      <c r="UIF622" s="1831"/>
      <c r="UIG622" s="1831"/>
      <c r="UIH622" s="1831"/>
      <c r="UII622" s="1831"/>
      <c r="UIJ622" s="1831"/>
      <c r="UIK622" s="1831"/>
      <c r="UIL622" s="1831"/>
      <c r="UIM622" s="1831"/>
      <c r="UIN622" s="1831"/>
      <c r="UIO622" s="1831"/>
      <c r="UIP622" s="1831"/>
      <c r="UIQ622" s="1831"/>
      <c r="UIR622" s="1831"/>
      <c r="UIS622" s="1831"/>
      <c r="UIT622" s="1831"/>
      <c r="UIU622" s="1831"/>
      <c r="UIV622" s="1831"/>
      <c r="UIW622" s="1831"/>
      <c r="UIX622" s="1831"/>
      <c r="UIY622" s="1831"/>
      <c r="UIZ622" s="1831"/>
      <c r="UJA622" s="1831"/>
      <c r="UJB622" s="1831"/>
      <c r="UJC622" s="1831"/>
      <c r="UJD622" s="1831"/>
      <c r="UJE622" s="1831"/>
      <c r="UJF622" s="1831"/>
      <c r="UJG622" s="1831"/>
      <c r="UJH622" s="1831"/>
      <c r="UJI622" s="1831"/>
      <c r="UJJ622" s="1831"/>
      <c r="UJK622" s="1831"/>
      <c r="UJL622" s="1831"/>
      <c r="UJM622" s="1831"/>
      <c r="UJN622" s="1831"/>
      <c r="UJO622" s="1831"/>
      <c r="UJP622" s="1831"/>
      <c r="UJQ622" s="1831"/>
      <c r="UJR622" s="1831"/>
      <c r="UJS622" s="1831"/>
      <c r="UJT622" s="1831"/>
      <c r="UJU622" s="1831"/>
      <c r="UJV622" s="1831"/>
      <c r="UJW622" s="1831"/>
      <c r="UJX622" s="1831"/>
      <c r="UJY622" s="1831"/>
      <c r="UJZ622" s="1831"/>
      <c r="UKA622" s="1831"/>
      <c r="UKB622" s="1831"/>
      <c r="UKC622" s="1831"/>
      <c r="UKD622" s="1831"/>
      <c r="UKE622" s="1831"/>
      <c r="UKF622" s="1831"/>
      <c r="UKG622" s="1831"/>
      <c r="UKH622" s="1831"/>
      <c r="UKI622" s="1831"/>
      <c r="UKJ622" s="1831"/>
      <c r="UKK622" s="1831"/>
      <c r="UKL622" s="1831"/>
      <c r="UKM622" s="1831"/>
      <c r="UKN622" s="1831"/>
      <c r="UKO622" s="1831"/>
      <c r="UKP622" s="1831"/>
      <c r="UKQ622" s="1831"/>
      <c r="UKR622" s="1831"/>
      <c r="UKS622" s="1831"/>
      <c r="UKT622" s="1831"/>
      <c r="UKU622" s="1831"/>
      <c r="UKV622" s="1831"/>
      <c r="UKW622" s="1831"/>
      <c r="UKX622" s="1831"/>
      <c r="UKY622" s="1831"/>
      <c r="UKZ622" s="1831"/>
      <c r="ULA622" s="1831"/>
      <c r="ULB622" s="1831"/>
      <c r="ULC622" s="1831"/>
      <c r="ULD622" s="1831"/>
      <c r="ULE622" s="1831"/>
      <c r="ULF622" s="1831"/>
      <c r="ULG622" s="1831"/>
      <c r="ULH622" s="1831"/>
      <c r="ULI622" s="1831"/>
      <c r="ULJ622" s="1831"/>
      <c r="ULK622" s="1831"/>
      <c r="ULL622" s="1831"/>
      <c r="ULM622" s="1831"/>
      <c r="ULN622" s="1831"/>
      <c r="ULO622" s="1831"/>
      <c r="ULP622" s="1831"/>
      <c r="ULQ622" s="1831"/>
      <c r="ULR622" s="1831"/>
      <c r="ULS622" s="1831"/>
      <c r="ULT622" s="1831"/>
      <c r="ULU622" s="1831"/>
      <c r="ULV622" s="1831"/>
      <c r="ULW622" s="1831"/>
      <c r="ULX622" s="1831"/>
      <c r="ULY622" s="1831"/>
      <c r="ULZ622" s="1831"/>
      <c r="UMA622" s="1831"/>
      <c r="UMB622" s="1831"/>
      <c r="UMC622" s="1831"/>
      <c r="UMD622" s="1831"/>
      <c r="UME622" s="1831"/>
      <c r="UMF622" s="1831"/>
      <c r="UMG622" s="1831"/>
      <c r="UMH622" s="1831"/>
      <c r="UMI622" s="1831"/>
      <c r="UMJ622" s="1831"/>
      <c r="UMK622" s="1831"/>
      <c r="UML622" s="1831"/>
      <c r="UMM622" s="1831"/>
      <c r="UMN622" s="1831"/>
      <c r="UMO622" s="1831"/>
      <c r="UMP622" s="1831"/>
      <c r="UMQ622" s="1831"/>
      <c r="UMR622" s="1831"/>
      <c r="UMS622" s="1831"/>
      <c r="UMT622" s="1831"/>
      <c r="UMU622" s="1831"/>
      <c r="UMV622" s="1831"/>
      <c r="UMW622" s="1831"/>
      <c r="UMX622" s="1831"/>
      <c r="UMY622" s="1831"/>
      <c r="UMZ622" s="1831"/>
      <c r="UNA622" s="1831"/>
      <c r="UNB622" s="1831"/>
      <c r="UNC622" s="1831"/>
      <c r="UND622" s="1831"/>
      <c r="UNE622" s="1831"/>
      <c r="UNF622" s="1831"/>
      <c r="UNG622" s="1831"/>
      <c r="UNH622" s="1831"/>
      <c r="UNI622" s="1831"/>
      <c r="UNJ622" s="1831"/>
      <c r="UNK622" s="1831"/>
      <c r="UNL622" s="1831"/>
      <c r="UNM622" s="1831"/>
      <c r="UNN622" s="1831"/>
      <c r="UNO622" s="1831"/>
      <c r="UNP622" s="1831"/>
      <c r="UNQ622" s="1831"/>
      <c r="UNR622" s="1831"/>
      <c r="UNS622" s="1831"/>
      <c r="UNT622" s="1831"/>
      <c r="UNU622" s="1831"/>
      <c r="UNV622" s="1831"/>
      <c r="UNW622" s="1831"/>
      <c r="UNX622" s="1831"/>
      <c r="UNY622" s="1831"/>
      <c r="UNZ622" s="1831"/>
      <c r="UOA622" s="1831"/>
      <c r="UOB622" s="1831"/>
      <c r="UOC622" s="1831"/>
      <c r="UOD622" s="1831"/>
      <c r="UOE622" s="1831"/>
      <c r="UOF622" s="1831"/>
      <c r="UOG622" s="1831"/>
      <c r="UOH622" s="1831"/>
      <c r="UOI622" s="1831"/>
      <c r="UOJ622" s="1831"/>
      <c r="UOK622" s="1831"/>
      <c r="UOL622" s="1831"/>
      <c r="UOM622" s="1831"/>
      <c r="UON622" s="1831"/>
      <c r="UOO622" s="1831"/>
      <c r="UOP622" s="1831"/>
      <c r="UOQ622" s="1831"/>
      <c r="UOR622" s="1831"/>
      <c r="UOS622" s="1831"/>
      <c r="UOT622" s="1831"/>
      <c r="UOU622" s="1831"/>
      <c r="UOV622" s="1831"/>
      <c r="UOW622" s="1831"/>
      <c r="UOX622" s="1831"/>
      <c r="UOY622" s="1831"/>
      <c r="UOZ622" s="1831"/>
      <c r="UPA622" s="1831"/>
      <c r="UPB622" s="1831"/>
      <c r="UPC622" s="1831"/>
      <c r="UPD622" s="1831"/>
      <c r="UPE622" s="1831"/>
      <c r="UPF622" s="1831"/>
      <c r="UPG622" s="1831"/>
      <c r="UPH622" s="1831"/>
      <c r="UPI622" s="1831"/>
      <c r="UPJ622" s="1831"/>
      <c r="UPK622" s="1831"/>
      <c r="UPL622" s="1831"/>
      <c r="UPM622" s="1831"/>
      <c r="UPN622" s="1831"/>
      <c r="UPO622" s="1831"/>
      <c r="UPP622" s="1831"/>
      <c r="UPQ622" s="1831"/>
      <c r="UPR622" s="1831"/>
      <c r="UPS622" s="1831"/>
      <c r="UPT622" s="1831"/>
      <c r="UPU622" s="1831"/>
      <c r="UPV622" s="1831"/>
      <c r="UPW622" s="1831"/>
      <c r="UPX622" s="1831"/>
      <c r="UPY622" s="1831"/>
      <c r="UPZ622" s="1831"/>
      <c r="UQA622" s="1831"/>
      <c r="UQB622" s="1831"/>
      <c r="UQC622" s="1831"/>
      <c r="UQD622" s="1831"/>
      <c r="UQE622" s="1831"/>
      <c r="UQF622" s="1831"/>
      <c r="UQG622" s="1831"/>
      <c r="UQH622" s="1831"/>
      <c r="UQI622" s="1831"/>
      <c r="UQJ622" s="1831"/>
      <c r="UQK622" s="1831"/>
      <c r="UQL622" s="1831"/>
      <c r="UQM622" s="1831"/>
      <c r="UQN622" s="1831"/>
      <c r="UQO622" s="1831"/>
      <c r="UQP622" s="1831"/>
      <c r="UQQ622" s="1831"/>
      <c r="UQR622" s="1831"/>
      <c r="UQS622" s="1831"/>
      <c r="UQT622" s="1831"/>
      <c r="UQU622" s="1831"/>
      <c r="UQV622" s="1831"/>
      <c r="UQW622" s="1831"/>
      <c r="UQX622" s="1831"/>
      <c r="UQY622" s="1831"/>
      <c r="UQZ622" s="1831"/>
      <c r="URA622" s="1831"/>
      <c r="URB622" s="1831"/>
      <c r="URC622" s="1831"/>
      <c r="URD622" s="1831"/>
      <c r="URE622" s="1831"/>
      <c r="URF622" s="1831"/>
      <c r="URG622" s="1831"/>
      <c r="URH622" s="1831"/>
      <c r="URI622" s="1831"/>
      <c r="URJ622" s="1831"/>
      <c r="URK622" s="1831"/>
      <c r="URL622" s="1831"/>
      <c r="URM622" s="1831"/>
      <c r="URN622" s="1831"/>
      <c r="URO622" s="1831"/>
      <c r="URP622" s="1831"/>
      <c r="URQ622" s="1831"/>
      <c r="URR622" s="1831"/>
      <c r="URS622" s="1831"/>
      <c r="URT622" s="1831"/>
      <c r="URU622" s="1831"/>
      <c r="URV622" s="1831"/>
      <c r="URW622" s="1831"/>
      <c r="URX622" s="1831"/>
      <c r="URY622" s="1831"/>
      <c r="URZ622" s="1831"/>
      <c r="USA622" s="1831"/>
      <c r="USB622" s="1831"/>
      <c r="USC622" s="1831"/>
      <c r="USD622" s="1831"/>
      <c r="USE622" s="1831"/>
      <c r="USF622" s="1831"/>
      <c r="USG622" s="1831"/>
      <c r="USH622" s="1831"/>
      <c r="USI622" s="1831"/>
      <c r="USJ622" s="1831"/>
      <c r="USK622" s="1831"/>
      <c r="USL622" s="1831"/>
      <c r="USM622" s="1831"/>
      <c r="USN622" s="1831"/>
      <c r="USO622" s="1831"/>
      <c r="USP622" s="1831"/>
      <c r="USQ622" s="1831"/>
      <c r="USR622" s="1831"/>
      <c r="USS622" s="1831"/>
      <c r="UST622" s="1831"/>
      <c r="USU622" s="1831"/>
      <c r="USV622" s="1831"/>
      <c r="USW622" s="1831"/>
      <c r="USX622" s="1831"/>
      <c r="USY622" s="1831"/>
      <c r="USZ622" s="1831"/>
      <c r="UTA622" s="1831"/>
      <c r="UTB622" s="1831"/>
      <c r="UTC622" s="1831"/>
      <c r="UTD622" s="1831"/>
      <c r="UTE622" s="1831"/>
      <c r="UTF622" s="1831"/>
      <c r="UTG622" s="1831"/>
      <c r="UTH622" s="1831"/>
      <c r="UTI622" s="1831"/>
      <c r="UTJ622" s="1831"/>
      <c r="UTK622" s="1831"/>
      <c r="UTL622" s="1831"/>
      <c r="UTM622" s="1831"/>
      <c r="UTN622" s="1831"/>
      <c r="UTO622" s="1831"/>
      <c r="UTP622" s="1831"/>
      <c r="UTQ622" s="1831"/>
      <c r="UTR622" s="1831"/>
      <c r="UTS622" s="1831"/>
      <c r="UTT622" s="1831"/>
      <c r="UTU622" s="1831"/>
      <c r="UTV622" s="1831"/>
      <c r="UTW622" s="1831"/>
      <c r="UTX622" s="1831"/>
      <c r="UTY622" s="1831"/>
      <c r="UTZ622" s="1831"/>
      <c r="UUA622" s="1831"/>
      <c r="UUB622" s="1831"/>
      <c r="UUC622" s="1831"/>
      <c r="UUD622" s="1831"/>
      <c r="UUE622" s="1831"/>
      <c r="UUF622" s="1831"/>
      <c r="UUG622" s="1831"/>
      <c r="UUH622" s="1831"/>
      <c r="UUI622" s="1831"/>
      <c r="UUJ622" s="1831"/>
      <c r="UUK622" s="1831"/>
      <c r="UUL622" s="1831"/>
      <c r="UUM622" s="1831"/>
      <c r="UUN622" s="1831"/>
      <c r="UUO622" s="1831"/>
      <c r="UUP622" s="1831"/>
      <c r="UUQ622" s="1831"/>
      <c r="UUR622" s="1831"/>
      <c r="UUS622" s="1831"/>
      <c r="UUT622" s="1831"/>
      <c r="UUU622" s="1831"/>
      <c r="UUV622" s="1831"/>
      <c r="UUW622" s="1831"/>
      <c r="UUX622" s="1831"/>
      <c r="UUY622" s="1831"/>
      <c r="UUZ622" s="1831"/>
      <c r="UVA622" s="1831"/>
      <c r="UVB622" s="1831"/>
      <c r="UVC622" s="1831"/>
      <c r="UVD622" s="1831"/>
      <c r="UVE622" s="1831"/>
      <c r="UVF622" s="1831"/>
      <c r="UVG622" s="1831"/>
      <c r="UVH622" s="1831"/>
      <c r="UVI622" s="1831"/>
      <c r="UVJ622" s="1831"/>
      <c r="UVK622" s="1831"/>
      <c r="UVL622" s="1831"/>
      <c r="UVM622" s="1831"/>
      <c r="UVN622" s="1831"/>
      <c r="UVO622" s="1831"/>
      <c r="UVP622" s="1831"/>
      <c r="UVQ622" s="1831"/>
      <c r="UVR622" s="1831"/>
      <c r="UVS622" s="1831"/>
      <c r="UVT622" s="1831"/>
      <c r="UVU622" s="1831"/>
      <c r="UVV622" s="1831"/>
      <c r="UVW622" s="1831"/>
      <c r="UVX622" s="1831"/>
      <c r="UVY622" s="1831"/>
      <c r="UVZ622" s="1831"/>
      <c r="UWA622" s="1831"/>
      <c r="UWB622" s="1831"/>
      <c r="UWC622" s="1831"/>
      <c r="UWD622" s="1831"/>
      <c r="UWE622" s="1831"/>
      <c r="UWF622" s="1831"/>
      <c r="UWG622" s="1831"/>
      <c r="UWH622" s="1831"/>
      <c r="UWI622" s="1831"/>
      <c r="UWJ622" s="1831"/>
      <c r="UWK622" s="1831"/>
      <c r="UWL622" s="1831"/>
      <c r="UWM622" s="1831"/>
      <c r="UWN622" s="1831"/>
      <c r="UWO622" s="1831"/>
      <c r="UWP622" s="1831"/>
      <c r="UWQ622" s="1831"/>
      <c r="UWR622" s="1831"/>
      <c r="UWS622" s="1831"/>
      <c r="UWT622" s="1831"/>
      <c r="UWU622" s="1831"/>
      <c r="UWV622" s="1831"/>
      <c r="UWW622" s="1831"/>
      <c r="UWX622" s="1831"/>
      <c r="UWY622" s="1831"/>
      <c r="UWZ622" s="1831"/>
      <c r="UXA622" s="1831"/>
      <c r="UXB622" s="1831"/>
      <c r="UXC622" s="1831"/>
      <c r="UXD622" s="1831"/>
      <c r="UXE622" s="1831"/>
      <c r="UXF622" s="1831"/>
      <c r="UXG622" s="1831"/>
      <c r="UXH622" s="1831"/>
      <c r="UXI622" s="1831"/>
      <c r="UXJ622" s="1831"/>
      <c r="UXK622" s="1831"/>
      <c r="UXL622" s="1831"/>
      <c r="UXM622" s="1831"/>
      <c r="UXN622" s="1831"/>
      <c r="UXO622" s="1831"/>
      <c r="UXP622" s="1831"/>
      <c r="UXQ622" s="1831"/>
      <c r="UXR622" s="1831"/>
      <c r="UXS622" s="1831"/>
      <c r="UXT622" s="1831"/>
      <c r="UXU622" s="1831"/>
      <c r="UXV622" s="1831"/>
      <c r="UXW622" s="1831"/>
      <c r="UXX622" s="1831"/>
      <c r="UXY622" s="1831"/>
      <c r="UXZ622" s="1831"/>
      <c r="UYA622" s="1831"/>
      <c r="UYB622" s="1831"/>
      <c r="UYC622" s="1831"/>
      <c r="UYD622" s="1831"/>
      <c r="UYE622" s="1831"/>
      <c r="UYF622" s="1831"/>
      <c r="UYG622" s="1831"/>
      <c r="UYH622" s="1831"/>
      <c r="UYI622" s="1831"/>
      <c r="UYJ622" s="1831"/>
      <c r="UYK622" s="1831"/>
      <c r="UYL622" s="1831"/>
      <c r="UYM622" s="1831"/>
      <c r="UYN622" s="1831"/>
      <c r="UYO622" s="1831"/>
      <c r="UYP622" s="1831"/>
      <c r="UYQ622" s="1831"/>
      <c r="UYR622" s="1831"/>
      <c r="UYS622" s="1831"/>
      <c r="UYT622" s="1831"/>
      <c r="UYU622" s="1831"/>
      <c r="UYV622" s="1831"/>
      <c r="UYW622" s="1831"/>
      <c r="UYX622" s="1831"/>
      <c r="UYY622" s="1831"/>
      <c r="UYZ622" s="1831"/>
      <c r="UZA622" s="1831"/>
      <c r="UZB622" s="1831"/>
      <c r="UZC622" s="1831"/>
      <c r="UZD622" s="1831"/>
      <c r="UZE622" s="1831"/>
      <c r="UZF622" s="1831"/>
      <c r="UZG622" s="1831"/>
      <c r="UZH622" s="1831"/>
      <c r="UZI622" s="1831"/>
      <c r="UZJ622" s="1831"/>
      <c r="UZK622" s="1831"/>
      <c r="UZL622" s="1831"/>
      <c r="UZM622" s="1831"/>
      <c r="UZN622" s="1831"/>
      <c r="UZO622" s="1831"/>
      <c r="UZP622" s="1831"/>
      <c r="UZQ622" s="1831"/>
      <c r="UZR622" s="1831"/>
      <c r="UZS622" s="1831"/>
      <c r="UZT622" s="1831"/>
      <c r="UZU622" s="1831"/>
      <c r="UZV622" s="1831"/>
      <c r="UZW622" s="1831"/>
      <c r="UZX622" s="1831"/>
      <c r="UZY622" s="1831"/>
      <c r="UZZ622" s="1831"/>
      <c r="VAA622" s="1831"/>
      <c r="VAB622" s="1831"/>
      <c r="VAC622" s="1831"/>
      <c r="VAD622" s="1831"/>
      <c r="VAE622" s="1831"/>
      <c r="VAF622" s="1831"/>
      <c r="VAG622" s="1831"/>
      <c r="VAH622" s="1831"/>
      <c r="VAI622" s="1831"/>
      <c r="VAJ622" s="1831"/>
      <c r="VAK622" s="1831"/>
      <c r="VAL622" s="1831"/>
      <c r="VAM622" s="1831"/>
      <c r="VAN622" s="1831"/>
      <c r="VAO622" s="1831"/>
      <c r="VAP622" s="1831"/>
      <c r="VAQ622" s="1831"/>
      <c r="VAR622" s="1831"/>
      <c r="VAS622" s="1831"/>
      <c r="VAT622" s="1831"/>
      <c r="VAU622" s="1831"/>
      <c r="VAV622" s="1831"/>
      <c r="VAW622" s="1831"/>
      <c r="VAX622" s="1831"/>
      <c r="VAY622" s="1831"/>
      <c r="VAZ622" s="1831"/>
      <c r="VBA622" s="1831"/>
      <c r="VBB622" s="1831"/>
      <c r="VBC622" s="1831"/>
      <c r="VBD622" s="1831"/>
      <c r="VBE622" s="1831"/>
      <c r="VBF622" s="1831"/>
      <c r="VBG622" s="1831"/>
      <c r="VBH622" s="1831"/>
      <c r="VBI622" s="1831"/>
      <c r="VBJ622" s="1831"/>
      <c r="VBK622" s="1831"/>
      <c r="VBL622" s="1831"/>
      <c r="VBM622" s="1831"/>
      <c r="VBN622" s="1831"/>
      <c r="VBO622" s="1831"/>
      <c r="VBP622" s="1831"/>
      <c r="VBQ622" s="1831"/>
      <c r="VBR622" s="1831"/>
      <c r="VBS622" s="1831"/>
      <c r="VBT622" s="1831"/>
      <c r="VBU622" s="1831"/>
      <c r="VBV622" s="1831"/>
      <c r="VBW622" s="1831"/>
      <c r="VBX622" s="1831"/>
      <c r="VBY622" s="1831"/>
      <c r="VBZ622" s="1831"/>
      <c r="VCA622" s="1831"/>
      <c r="VCB622" s="1831"/>
      <c r="VCC622" s="1831"/>
      <c r="VCD622" s="1831"/>
      <c r="VCE622" s="1831"/>
      <c r="VCF622" s="1831"/>
      <c r="VCG622" s="1831"/>
      <c r="VCH622" s="1831"/>
      <c r="VCI622" s="1831"/>
      <c r="VCJ622" s="1831"/>
      <c r="VCK622" s="1831"/>
      <c r="VCL622" s="1831"/>
      <c r="VCM622" s="1831"/>
      <c r="VCN622" s="1831"/>
      <c r="VCO622" s="1831"/>
      <c r="VCP622" s="1831"/>
      <c r="VCQ622" s="1831"/>
      <c r="VCR622" s="1831"/>
      <c r="VCS622" s="1831"/>
      <c r="VCT622" s="1831"/>
      <c r="VCU622" s="1831"/>
      <c r="VCV622" s="1831"/>
      <c r="VCW622" s="1831"/>
      <c r="VCX622" s="1831"/>
      <c r="VCY622" s="1831"/>
      <c r="VCZ622" s="1831"/>
      <c r="VDA622" s="1831"/>
      <c r="VDB622" s="1831"/>
      <c r="VDC622" s="1831"/>
      <c r="VDD622" s="1831"/>
      <c r="VDE622" s="1831"/>
      <c r="VDF622" s="1831"/>
      <c r="VDG622" s="1831"/>
      <c r="VDH622" s="1831"/>
      <c r="VDI622" s="1831"/>
      <c r="VDJ622" s="1831"/>
      <c r="VDK622" s="1831"/>
      <c r="VDL622" s="1831"/>
      <c r="VDM622" s="1831"/>
      <c r="VDN622" s="1831"/>
      <c r="VDO622" s="1831"/>
      <c r="VDP622" s="1831"/>
      <c r="VDQ622" s="1831"/>
      <c r="VDR622" s="1831"/>
      <c r="VDS622" s="1831"/>
      <c r="VDT622" s="1831"/>
      <c r="VDU622" s="1831"/>
      <c r="VDV622" s="1831"/>
      <c r="VDW622" s="1831"/>
      <c r="VDX622" s="1831"/>
      <c r="VDY622" s="1831"/>
      <c r="VDZ622" s="1831"/>
      <c r="VEA622" s="1831"/>
      <c r="VEB622" s="1831"/>
      <c r="VEC622" s="1831"/>
      <c r="VED622" s="1831"/>
      <c r="VEE622" s="1831"/>
      <c r="VEF622" s="1831"/>
      <c r="VEG622" s="1831"/>
      <c r="VEH622" s="1831"/>
      <c r="VEI622" s="1831"/>
      <c r="VEJ622" s="1831"/>
      <c r="VEK622" s="1831"/>
      <c r="VEL622" s="1831"/>
      <c r="VEM622" s="1831"/>
      <c r="VEN622" s="1831"/>
      <c r="VEO622" s="1831"/>
      <c r="VEP622" s="1831"/>
      <c r="VEQ622" s="1831"/>
      <c r="VER622" s="1831"/>
      <c r="VES622" s="1831"/>
      <c r="VET622" s="1831"/>
      <c r="VEU622" s="1831"/>
      <c r="VEV622" s="1831"/>
      <c r="VEW622" s="1831"/>
      <c r="VEX622" s="1831"/>
      <c r="VEY622" s="1831"/>
      <c r="VEZ622" s="1831"/>
      <c r="VFA622" s="1831"/>
      <c r="VFB622" s="1831"/>
      <c r="VFC622" s="1831"/>
      <c r="VFD622" s="1831"/>
      <c r="VFE622" s="1831"/>
      <c r="VFF622" s="1831"/>
      <c r="VFG622" s="1831"/>
      <c r="VFH622" s="1831"/>
      <c r="VFI622" s="1831"/>
      <c r="VFJ622" s="1831"/>
      <c r="VFK622" s="1831"/>
      <c r="VFL622" s="1831"/>
      <c r="VFM622" s="1831"/>
      <c r="VFN622" s="1831"/>
      <c r="VFO622" s="1831"/>
      <c r="VFP622" s="1831"/>
      <c r="VFQ622" s="1831"/>
      <c r="VFR622" s="1831"/>
      <c r="VFS622" s="1831"/>
      <c r="VFT622" s="1831"/>
      <c r="VFU622" s="1831"/>
      <c r="VFV622" s="1831"/>
      <c r="VFW622" s="1831"/>
      <c r="VFX622" s="1831"/>
      <c r="VFY622" s="1831"/>
      <c r="VFZ622" s="1831"/>
      <c r="VGA622" s="1831"/>
      <c r="VGB622" s="1831"/>
      <c r="VGC622" s="1831"/>
      <c r="VGD622" s="1831"/>
      <c r="VGE622" s="1831"/>
      <c r="VGF622" s="1831"/>
      <c r="VGG622" s="1831"/>
      <c r="VGH622" s="1831"/>
      <c r="VGI622" s="1831"/>
      <c r="VGJ622" s="1831"/>
      <c r="VGK622" s="1831"/>
      <c r="VGL622" s="1831"/>
      <c r="VGM622" s="1831"/>
      <c r="VGN622" s="1831"/>
      <c r="VGO622" s="1831"/>
      <c r="VGP622" s="1831"/>
      <c r="VGQ622" s="1831"/>
      <c r="VGR622" s="1831"/>
      <c r="VGS622" s="1831"/>
      <c r="VGT622" s="1831"/>
      <c r="VGU622" s="1831"/>
      <c r="VGV622" s="1831"/>
      <c r="VGW622" s="1831"/>
      <c r="VGX622" s="1831"/>
      <c r="VGY622" s="1831"/>
      <c r="VGZ622" s="1831"/>
      <c r="VHA622" s="1831"/>
      <c r="VHB622" s="1831"/>
      <c r="VHC622" s="1831"/>
      <c r="VHD622" s="1831"/>
      <c r="VHE622" s="1831"/>
      <c r="VHF622" s="1831"/>
      <c r="VHG622" s="1831"/>
      <c r="VHH622" s="1831"/>
      <c r="VHI622" s="1831"/>
      <c r="VHJ622" s="1831"/>
      <c r="VHK622" s="1831"/>
      <c r="VHL622" s="1831"/>
      <c r="VHM622" s="1831"/>
      <c r="VHN622" s="1831"/>
      <c r="VHO622" s="1831"/>
      <c r="VHP622" s="1831"/>
      <c r="VHQ622" s="1831"/>
      <c r="VHR622" s="1831"/>
      <c r="VHS622" s="1831"/>
      <c r="VHT622" s="1831"/>
      <c r="VHU622" s="1831"/>
      <c r="VHV622" s="1831"/>
      <c r="VHW622" s="1831"/>
      <c r="VHX622" s="1831"/>
      <c r="VHY622" s="1831"/>
      <c r="VHZ622" s="1831"/>
      <c r="VIA622" s="1831"/>
      <c r="VIB622" s="1831"/>
      <c r="VIC622" s="1831"/>
      <c r="VID622" s="1831"/>
      <c r="VIE622" s="1831"/>
      <c r="VIF622" s="1831"/>
      <c r="VIG622" s="1831"/>
      <c r="VIH622" s="1831"/>
      <c r="VII622" s="1831"/>
      <c r="VIJ622" s="1831"/>
      <c r="VIK622" s="1831"/>
      <c r="VIL622" s="1831"/>
      <c r="VIM622" s="1831"/>
      <c r="VIN622" s="1831"/>
      <c r="VIO622" s="1831"/>
      <c r="VIP622" s="1831"/>
      <c r="VIQ622" s="1831"/>
      <c r="VIR622" s="1831"/>
      <c r="VIS622" s="1831"/>
      <c r="VIT622" s="1831"/>
      <c r="VIU622" s="1831"/>
      <c r="VIV622" s="1831"/>
      <c r="VIW622" s="1831"/>
      <c r="VIX622" s="1831"/>
      <c r="VIY622" s="1831"/>
      <c r="VIZ622" s="1831"/>
      <c r="VJA622" s="1831"/>
      <c r="VJB622" s="1831"/>
      <c r="VJC622" s="1831"/>
      <c r="VJD622" s="1831"/>
      <c r="VJE622" s="1831"/>
      <c r="VJF622" s="1831"/>
      <c r="VJG622" s="1831"/>
      <c r="VJH622" s="1831"/>
      <c r="VJI622" s="1831"/>
      <c r="VJJ622" s="1831"/>
      <c r="VJK622" s="1831"/>
      <c r="VJL622" s="1831"/>
      <c r="VJM622" s="1831"/>
      <c r="VJN622" s="1831"/>
      <c r="VJO622" s="1831"/>
      <c r="VJP622" s="1831"/>
      <c r="VJQ622" s="1831"/>
      <c r="VJR622" s="1831"/>
      <c r="VJS622" s="1831"/>
      <c r="VJT622" s="1831"/>
      <c r="VJU622" s="1831"/>
      <c r="VJV622" s="1831"/>
      <c r="VJW622" s="1831"/>
      <c r="VJX622" s="1831"/>
      <c r="VJY622" s="1831"/>
      <c r="VJZ622" s="1831"/>
      <c r="VKA622" s="1831"/>
      <c r="VKB622" s="1831"/>
      <c r="VKC622" s="1831"/>
      <c r="VKD622" s="1831"/>
      <c r="VKE622" s="1831"/>
      <c r="VKF622" s="1831"/>
      <c r="VKG622" s="1831"/>
      <c r="VKH622" s="1831"/>
      <c r="VKI622" s="1831"/>
      <c r="VKJ622" s="1831"/>
      <c r="VKK622" s="1831"/>
      <c r="VKL622" s="1831"/>
      <c r="VKM622" s="1831"/>
      <c r="VKN622" s="1831"/>
      <c r="VKO622" s="1831"/>
      <c r="VKP622" s="1831"/>
      <c r="VKQ622" s="1831"/>
      <c r="VKR622" s="1831"/>
      <c r="VKS622" s="1831"/>
      <c r="VKT622" s="1831"/>
      <c r="VKU622" s="1831"/>
      <c r="VKV622" s="1831"/>
      <c r="VKW622" s="1831"/>
      <c r="VKX622" s="1831"/>
      <c r="VKY622" s="1831"/>
      <c r="VKZ622" s="1831"/>
      <c r="VLA622" s="1831"/>
      <c r="VLB622" s="1831"/>
      <c r="VLC622" s="1831"/>
      <c r="VLD622" s="1831"/>
      <c r="VLE622" s="1831"/>
      <c r="VLF622" s="1831"/>
      <c r="VLG622" s="1831"/>
      <c r="VLH622" s="1831"/>
      <c r="VLI622" s="1831"/>
      <c r="VLJ622" s="1831"/>
      <c r="VLK622" s="1831"/>
      <c r="VLL622" s="1831"/>
      <c r="VLM622" s="1831"/>
      <c r="VLN622" s="1831"/>
      <c r="VLO622" s="1831"/>
      <c r="VLP622" s="1831"/>
      <c r="VLQ622" s="1831"/>
      <c r="VLR622" s="1831"/>
      <c r="VLS622" s="1831"/>
      <c r="VLT622" s="1831"/>
      <c r="VLU622" s="1831"/>
      <c r="VLV622" s="1831"/>
      <c r="VLW622" s="1831"/>
      <c r="VLX622" s="1831"/>
      <c r="VLY622" s="1831"/>
      <c r="VLZ622" s="1831"/>
      <c r="VMA622" s="1831"/>
      <c r="VMB622" s="1831"/>
      <c r="VMC622" s="1831"/>
      <c r="VMD622" s="1831"/>
      <c r="VME622" s="1831"/>
      <c r="VMF622" s="1831"/>
      <c r="VMG622" s="1831"/>
      <c r="VMH622" s="1831"/>
      <c r="VMI622" s="1831"/>
      <c r="VMJ622" s="1831"/>
      <c r="VMK622" s="1831"/>
      <c r="VML622" s="1831"/>
      <c r="VMM622" s="1831"/>
      <c r="VMN622" s="1831"/>
      <c r="VMO622" s="1831"/>
      <c r="VMP622" s="1831"/>
      <c r="VMQ622" s="1831"/>
      <c r="VMR622" s="1831"/>
      <c r="VMS622" s="1831"/>
      <c r="VMT622" s="1831"/>
      <c r="VMU622" s="1831"/>
      <c r="VMV622" s="1831"/>
      <c r="VMW622" s="1831"/>
      <c r="VMX622" s="1831"/>
      <c r="VMY622" s="1831"/>
      <c r="VMZ622" s="1831"/>
      <c r="VNA622" s="1831"/>
      <c r="VNB622" s="1831"/>
      <c r="VNC622" s="1831"/>
      <c r="VND622" s="1831"/>
      <c r="VNE622" s="1831"/>
      <c r="VNF622" s="1831"/>
      <c r="VNG622" s="1831"/>
      <c r="VNH622" s="1831"/>
      <c r="VNI622" s="1831"/>
      <c r="VNJ622" s="1831"/>
      <c r="VNK622" s="1831"/>
      <c r="VNL622" s="1831"/>
      <c r="VNM622" s="1831"/>
      <c r="VNN622" s="1831"/>
      <c r="VNO622" s="1831"/>
      <c r="VNP622" s="1831"/>
      <c r="VNQ622" s="1831"/>
      <c r="VNR622" s="1831"/>
      <c r="VNS622" s="1831"/>
      <c r="VNT622" s="1831"/>
      <c r="VNU622" s="1831"/>
      <c r="VNV622" s="1831"/>
      <c r="VNW622" s="1831"/>
      <c r="VNX622" s="1831"/>
      <c r="VNY622" s="1831"/>
      <c r="VNZ622" s="1831"/>
      <c r="VOA622" s="1831"/>
      <c r="VOB622" s="1831"/>
      <c r="VOC622" s="1831"/>
      <c r="VOD622" s="1831"/>
      <c r="VOE622" s="1831"/>
      <c r="VOF622" s="1831"/>
      <c r="VOG622" s="1831"/>
      <c r="VOH622" s="1831"/>
      <c r="VOI622" s="1831"/>
      <c r="VOJ622" s="1831"/>
      <c r="VOK622" s="1831"/>
      <c r="VOL622" s="1831"/>
      <c r="VOM622" s="1831"/>
      <c r="VON622" s="1831"/>
      <c r="VOO622" s="1831"/>
      <c r="VOP622" s="1831"/>
      <c r="VOQ622" s="1831"/>
      <c r="VOR622" s="1831"/>
      <c r="VOS622" s="1831"/>
      <c r="VOT622" s="1831"/>
      <c r="VOU622" s="1831"/>
      <c r="VOV622" s="1831"/>
      <c r="VOW622" s="1831"/>
      <c r="VOX622" s="1831"/>
      <c r="VOY622" s="1831"/>
      <c r="VOZ622" s="1831"/>
      <c r="VPA622" s="1831"/>
      <c r="VPB622" s="1831"/>
      <c r="VPC622" s="1831"/>
      <c r="VPD622" s="1831"/>
      <c r="VPE622" s="1831"/>
      <c r="VPF622" s="1831"/>
      <c r="VPG622" s="1831"/>
      <c r="VPH622" s="1831"/>
      <c r="VPI622" s="1831"/>
      <c r="VPJ622" s="1831"/>
      <c r="VPK622" s="1831"/>
      <c r="VPL622" s="1831"/>
      <c r="VPM622" s="1831"/>
      <c r="VPN622" s="1831"/>
      <c r="VPO622" s="1831"/>
      <c r="VPP622" s="1831"/>
      <c r="VPQ622" s="1831"/>
      <c r="VPR622" s="1831"/>
      <c r="VPS622" s="1831"/>
      <c r="VPT622" s="1831"/>
      <c r="VPU622" s="1831"/>
      <c r="VPV622" s="1831"/>
      <c r="VPW622" s="1831"/>
      <c r="VPX622" s="1831"/>
      <c r="VPY622" s="1831"/>
      <c r="VPZ622" s="1831"/>
      <c r="VQA622" s="1831"/>
      <c r="VQB622" s="1831"/>
      <c r="VQC622" s="1831"/>
      <c r="VQD622" s="1831"/>
      <c r="VQE622" s="1831"/>
      <c r="VQF622" s="1831"/>
      <c r="VQG622" s="1831"/>
      <c r="VQH622" s="1831"/>
      <c r="VQI622" s="1831"/>
      <c r="VQJ622" s="1831"/>
      <c r="VQK622" s="1831"/>
      <c r="VQL622" s="1831"/>
      <c r="VQM622" s="1831"/>
      <c r="VQN622" s="1831"/>
      <c r="VQO622" s="1831"/>
      <c r="VQP622" s="1831"/>
      <c r="VQQ622" s="1831"/>
      <c r="VQR622" s="1831"/>
      <c r="VQS622" s="1831"/>
      <c r="VQT622" s="1831"/>
      <c r="VQU622" s="1831"/>
      <c r="VQV622" s="1831"/>
      <c r="VQW622" s="1831"/>
      <c r="VQX622" s="1831"/>
      <c r="VQY622" s="1831"/>
      <c r="VQZ622" s="1831"/>
      <c r="VRA622" s="1831"/>
      <c r="VRB622" s="1831"/>
      <c r="VRC622" s="1831"/>
      <c r="VRD622" s="1831"/>
      <c r="VRE622" s="1831"/>
      <c r="VRF622" s="1831"/>
      <c r="VRG622" s="1831"/>
      <c r="VRH622" s="1831"/>
      <c r="VRI622" s="1831"/>
      <c r="VRJ622" s="1831"/>
      <c r="VRK622" s="1831"/>
      <c r="VRL622" s="1831"/>
      <c r="VRM622" s="1831"/>
      <c r="VRN622" s="1831"/>
      <c r="VRO622" s="1831"/>
      <c r="VRP622" s="1831"/>
      <c r="VRQ622" s="1831"/>
      <c r="VRR622" s="1831"/>
      <c r="VRS622" s="1831"/>
      <c r="VRT622" s="1831"/>
      <c r="VRU622" s="1831"/>
      <c r="VRV622" s="1831"/>
      <c r="VRW622" s="1831"/>
      <c r="VRX622" s="1831"/>
      <c r="VRY622" s="1831"/>
      <c r="VRZ622" s="1831"/>
      <c r="VSA622" s="1831"/>
      <c r="VSB622" s="1831"/>
      <c r="VSC622" s="1831"/>
      <c r="VSD622" s="1831"/>
      <c r="VSE622" s="1831"/>
      <c r="VSF622" s="1831"/>
      <c r="VSG622" s="1831"/>
      <c r="VSH622" s="1831"/>
      <c r="VSI622" s="1831"/>
      <c r="VSJ622" s="1831"/>
      <c r="VSK622" s="1831"/>
      <c r="VSL622" s="1831"/>
      <c r="VSM622" s="1831"/>
      <c r="VSN622" s="1831"/>
      <c r="VSO622" s="1831"/>
      <c r="VSP622" s="1831"/>
      <c r="VSQ622" s="1831"/>
      <c r="VSR622" s="1831"/>
      <c r="VSS622" s="1831"/>
      <c r="VST622" s="1831"/>
      <c r="VSU622" s="1831"/>
      <c r="VSV622" s="1831"/>
      <c r="VSW622" s="1831"/>
      <c r="VSX622" s="1831"/>
      <c r="VSY622" s="1831"/>
      <c r="VSZ622" s="1831"/>
      <c r="VTA622" s="1831"/>
      <c r="VTB622" s="1831"/>
      <c r="VTC622" s="1831"/>
      <c r="VTD622" s="1831"/>
      <c r="VTE622" s="1831"/>
      <c r="VTF622" s="1831"/>
      <c r="VTG622" s="1831"/>
      <c r="VTH622" s="1831"/>
      <c r="VTI622" s="1831"/>
      <c r="VTJ622" s="1831"/>
      <c r="VTK622" s="1831"/>
      <c r="VTL622" s="1831"/>
      <c r="VTM622" s="1831"/>
      <c r="VTN622" s="1831"/>
      <c r="VTO622" s="1831"/>
      <c r="VTP622" s="1831"/>
      <c r="VTQ622" s="1831"/>
      <c r="VTR622" s="1831"/>
      <c r="VTS622" s="1831"/>
      <c r="VTT622" s="1831"/>
      <c r="VTU622" s="1831"/>
      <c r="VTV622" s="1831"/>
      <c r="VTW622" s="1831"/>
      <c r="VTX622" s="1831"/>
      <c r="VTY622" s="1831"/>
      <c r="VTZ622" s="1831"/>
      <c r="VUA622" s="1831"/>
      <c r="VUB622" s="1831"/>
      <c r="VUC622" s="1831"/>
      <c r="VUD622" s="1831"/>
      <c r="VUE622" s="1831"/>
      <c r="VUF622" s="1831"/>
      <c r="VUG622" s="1831"/>
      <c r="VUH622" s="1831"/>
      <c r="VUI622" s="1831"/>
      <c r="VUJ622" s="1831"/>
      <c r="VUK622" s="1831"/>
      <c r="VUL622" s="1831"/>
      <c r="VUM622" s="1831"/>
      <c r="VUN622" s="1831"/>
      <c r="VUO622" s="1831"/>
      <c r="VUP622" s="1831"/>
      <c r="VUQ622" s="1831"/>
      <c r="VUR622" s="1831"/>
      <c r="VUS622" s="1831"/>
      <c r="VUT622" s="1831"/>
      <c r="VUU622" s="1831"/>
      <c r="VUV622" s="1831"/>
      <c r="VUW622" s="1831"/>
      <c r="VUX622" s="1831"/>
      <c r="VUY622" s="1831"/>
      <c r="VUZ622" s="1831"/>
      <c r="VVA622" s="1831"/>
      <c r="VVB622" s="1831"/>
      <c r="VVC622" s="1831"/>
      <c r="VVD622" s="1831"/>
      <c r="VVE622" s="1831"/>
      <c r="VVF622" s="1831"/>
      <c r="VVG622" s="1831"/>
      <c r="VVH622" s="1831"/>
      <c r="VVI622" s="1831"/>
      <c r="VVJ622" s="1831"/>
      <c r="VVK622" s="1831"/>
      <c r="VVL622" s="1831"/>
      <c r="VVM622" s="1831"/>
      <c r="VVN622" s="1831"/>
      <c r="VVO622" s="1831"/>
      <c r="VVP622" s="1831"/>
      <c r="VVQ622" s="1831"/>
      <c r="VVR622" s="1831"/>
      <c r="VVS622" s="1831"/>
      <c r="VVT622" s="1831"/>
      <c r="VVU622" s="1831"/>
      <c r="VVV622" s="1831"/>
      <c r="VVW622" s="1831"/>
      <c r="VVX622" s="1831"/>
      <c r="VVY622" s="1831"/>
      <c r="VVZ622" s="1831"/>
      <c r="VWA622" s="1831"/>
      <c r="VWB622" s="1831"/>
      <c r="VWC622" s="1831"/>
      <c r="VWD622" s="1831"/>
      <c r="VWE622" s="1831"/>
      <c r="VWF622" s="1831"/>
      <c r="VWG622" s="1831"/>
      <c r="VWH622" s="1831"/>
      <c r="VWI622" s="1831"/>
      <c r="VWJ622" s="1831"/>
      <c r="VWK622" s="1831"/>
      <c r="VWL622" s="1831"/>
      <c r="VWM622" s="1831"/>
      <c r="VWN622" s="1831"/>
      <c r="VWO622" s="1831"/>
      <c r="VWP622" s="1831"/>
      <c r="VWQ622" s="1831"/>
      <c r="VWR622" s="1831"/>
      <c r="VWS622" s="1831"/>
      <c r="VWT622" s="1831"/>
      <c r="VWU622" s="1831"/>
      <c r="VWV622" s="1831"/>
      <c r="VWW622" s="1831"/>
      <c r="VWX622" s="1831"/>
      <c r="VWY622" s="1831"/>
      <c r="VWZ622" s="1831"/>
      <c r="VXA622" s="1831"/>
      <c r="VXB622" s="1831"/>
      <c r="VXC622" s="1831"/>
      <c r="VXD622" s="1831"/>
      <c r="VXE622" s="1831"/>
      <c r="VXF622" s="1831"/>
      <c r="VXG622" s="1831"/>
      <c r="VXH622" s="1831"/>
      <c r="VXI622" s="1831"/>
      <c r="VXJ622" s="1831"/>
      <c r="VXK622" s="1831"/>
      <c r="VXL622" s="1831"/>
      <c r="VXM622" s="1831"/>
      <c r="VXN622" s="1831"/>
      <c r="VXO622" s="1831"/>
      <c r="VXP622" s="1831"/>
      <c r="VXQ622" s="1831"/>
      <c r="VXR622" s="1831"/>
      <c r="VXS622" s="1831"/>
      <c r="VXT622" s="1831"/>
      <c r="VXU622" s="1831"/>
      <c r="VXV622" s="1831"/>
      <c r="VXW622" s="1831"/>
      <c r="VXX622" s="1831"/>
      <c r="VXY622" s="1831"/>
      <c r="VXZ622" s="1831"/>
      <c r="VYA622" s="1831"/>
      <c r="VYB622" s="1831"/>
      <c r="VYC622" s="1831"/>
      <c r="VYD622" s="1831"/>
      <c r="VYE622" s="1831"/>
      <c r="VYF622" s="1831"/>
      <c r="VYG622" s="1831"/>
      <c r="VYH622" s="1831"/>
      <c r="VYI622" s="1831"/>
      <c r="VYJ622" s="1831"/>
      <c r="VYK622" s="1831"/>
      <c r="VYL622" s="1831"/>
      <c r="VYM622" s="1831"/>
      <c r="VYN622" s="1831"/>
      <c r="VYO622" s="1831"/>
      <c r="VYP622" s="1831"/>
      <c r="VYQ622" s="1831"/>
      <c r="VYR622" s="1831"/>
      <c r="VYS622" s="1831"/>
      <c r="VYT622" s="1831"/>
      <c r="VYU622" s="1831"/>
      <c r="VYV622" s="1831"/>
      <c r="VYW622" s="1831"/>
      <c r="VYX622" s="1831"/>
      <c r="VYY622" s="1831"/>
      <c r="VYZ622" s="1831"/>
      <c r="VZA622" s="1831"/>
      <c r="VZB622" s="1831"/>
      <c r="VZC622" s="1831"/>
      <c r="VZD622" s="1831"/>
      <c r="VZE622" s="1831"/>
      <c r="VZF622" s="1831"/>
      <c r="VZG622" s="1831"/>
      <c r="VZH622" s="1831"/>
      <c r="VZI622" s="1831"/>
      <c r="VZJ622" s="1831"/>
      <c r="VZK622" s="1831"/>
      <c r="VZL622" s="1831"/>
      <c r="VZM622" s="1831"/>
      <c r="VZN622" s="1831"/>
      <c r="VZO622" s="1831"/>
      <c r="VZP622" s="1831"/>
      <c r="VZQ622" s="1831"/>
      <c r="VZR622" s="1831"/>
      <c r="VZS622" s="1831"/>
      <c r="VZT622" s="1831"/>
      <c r="VZU622" s="1831"/>
      <c r="VZV622" s="1831"/>
      <c r="VZW622" s="1831"/>
      <c r="VZX622" s="1831"/>
      <c r="VZY622" s="1831"/>
      <c r="VZZ622" s="1831"/>
      <c r="WAA622" s="1831"/>
      <c r="WAB622" s="1831"/>
      <c r="WAC622" s="1831"/>
      <c r="WAD622" s="1831"/>
      <c r="WAE622" s="1831"/>
      <c r="WAF622" s="1831"/>
      <c r="WAG622" s="1831"/>
      <c r="WAH622" s="1831"/>
      <c r="WAI622" s="1831"/>
      <c r="WAJ622" s="1831"/>
      <c r="WAK622" s="1831"/>
      <c r="WAL622" s="1831"/>
      <c r="WAM622" s="1831"/>
      <c r="WAN622" s="1831"/>
      <c r="WAO622" s="1831"/>
      <c r="WAP622" s="1831"/>
      <c r="WAQ622" s="1831"/>
      <c r="WAR622" s="1831"/>
      <c r="WAS622" s="1831"/>
      <c r="WAT622" s="1831"/>
      <c r="WAU622" s="1831"/>
      <c r="WAV622" s="1831"/>
      <c r="WAW622" s="1831"/>
      <c r="WAX622" s="1831"/>
      <c r="WAY622" s="1831"/>
      <c r="WAZ622" s="1831"/>
      <c r="WBA622" s="1831"/>
      <c r="WBB622" s="1831"/>
      <c r="WBC622" s="1831"/>
      <c r="WBD622" s="1831"/>
      <c r="WBE622" s="1831"/>
      <c r="WBF622" s="1831"/>
      <c r="WBG622" s="1831"/>
      <c r="WBH622" s="1831"/>
      <c r="WBI622" s="1831"/>
      <c r="WBJ622" s="1831"/>
      <c r="WBK622" s="1831"/>
      <c r="WBL622" s="1831"/>
      <c r="WBM622" s="1831"/>
      <c r="WBN622" s="1831"/>
      <c r="WBO622" s="1831"/>
      <c r="WBP622" s="1831"/>
      <c r="WBQ622" s="1831"/>
      <c r="WBR622" s="1831"/>
      <c r="WBS622" s="1831"/>
      <c r="WBT622" s="1831"/>
      <c r="WBU622" s="1831"/>
      <c r="WBV622" s="1831"/>
      <c r="WBW622" s="1831"/>
      <c r="WBX622" s="1831"/>
      <c r="WBY622" s="1831"/>
      <c r="WBZ622" s="1831"/>
      <c r="WCA622" s="1831"/>
      <c r="WCB622" s="1831"/>
      <c r="WCC622" s="1831"/>
      <c r="WCD622" s="1831"/>
      <c r="WCE622" s="1831"/>
      <c r="WCF622" s="1831"/>
      <c r="WCG622" s="1831"/>
      <c r="WCH622" s="1831"/>
      <c r="WCI622" s="1831"/>
      <c r="WCJ622" s="1831"/>
      <c r="WCK622" s="1831"/>
      <c r="WCL622" s="1831"/>
      <c r="WCM622" s="1831"/>
      <c r="WCN622" s="1831"/>
      <c r="WCO622" s="1831"/>
      <c r="WCP622" s="1831"/>
      <c r="WCQ622" s="1831"/>
      <c r="WCR622" s="1831"/>
      <c r="WCS622" s="1831"/>
      <c r="WCT622" s="1831"/>
      <c r="WCU622" s="1831"/>
      <c r="WCV622" s="1831"/>
      <c r="WCW622" s="1831"/>
      <c r="WCX622" s="1831"/>
      <c r="WCY622" s="1831"/>
      <c r="WCZ622" s="1831"/>
      <c r="WDA622" s="1831"/>
      <c r="WDB622" s="1831"/>
      <c r="WDC622" s="1831"/>
      <c r="WDD622" s="1831"/>
      <c r="WDE622" s="1831"/>
      <c r="WDF622" s="1831"/>
      <c r="WDG622" s="1831"/>
      <c r="WDH622" s="1831"/>
      <c r="WDI622" s="1831"/>
      <c r="WDJ622" s="1831"/>
      <c r="WDK622" s="1831"/>
      <c r="WDL622" s="1831"/>
      <c r="WDM622" s="1831"/>
      <c r="WDN622" s="1831"/>
      <c r="WDO622" s="1831"/>
      <c r="WDP622" s="1831"/>
      <c r="WDQ622" s="1831"/>
      <c r="WDR622" s="1831"/>
      <c r="WDS622" s="1831"/>
      <c r="WDT622" s="1831"/>
      <c r="WDU622" s="1831"/>
      <c r="WDV622" s="1831"/>
      <c r="WDW622" s="1831"/>
      <c r="WDX622" s="1831"/>
      <c r="WDY622" s="1831"/>
      <c r="WDZ622" s="1831"/>
      <c r="WEA622" s="1831"/>
      <c r="WEB622" s="1831"/>
      <c r="WEC622" s="1831"/>
      <c r="WED622" s="1831"/>
      <c r="WEE622" s="1831"/>
      <c r="WEF622" s="1831"/>
      <c r="WEG622" s="1831"/>
      <c r="WEH622" s="1831"/>
      <c r="WEI622" s="1831"/>
      <c r="WEJ622" s="1831"/>
      <c r="WEK622" s="1831"/>
      <c r="WEL622" s="1831"/>
      <c r="WEM622" s="1831"/>
      <c r="WEN622" s="1831"/>
      <c r="WEO622" s="1831"/>
      <c r="WEP622" s="1831"/>
      <c r="WEQ622" s="1831"/>
      <c r="WER622" s="1831"/>
      <c r="WES622" s="1831"/>
      <c r="WET622" s="1831"/>
      <c r="WEU622" s="1831"/>
      <c r="WEV622" s="1831"/>
      <c r="WEW622" s="1831"/>
      <c r="WEX622" s="1831"/>
      <c r="WEY622" s="1831"/>
      <c r="WEZ622" s="1831"/>
      <c r="WFA622" s="1831"/>
      <c r="WFB622" s="1831"/>
      <c r="WFC622" s="1831"/>
      <c r="WFD622" s="1831"/>
      <c r="WFE622" s="1831"/>
      <c r="WFF622" s="1831"/>
      <c r="WFG622" s="1831"/>
      <c r="WFH622" s="1831"/>
      <c r="WFI622" s="1831"/>
      <c r="WFJ622" s="1831"/>
      <c r="WFK622" s="1831"/>
      <c r="WFL622" s="1831"/>
      <c r="WFM622" s="1831"/>
      <c r="WFN622" s="1831"/>
      <c r="WFO622" s="1831"/>
      <c r="WFP622" s="1831"/>
      <c r="WFQ622" s="1831"/>
      <c r="WFR622" s="1831"/>
      <c r="WFS622" s="1831"/>
      <c r="WFT622" s="1831"/>
      <c r="WFU622" s="1831"/>
      <c r="WFV622" s="1831"/>
      <c r="WFW622" s="1831"/>
      <c r="WFX622" s="1831"/>
      <c r="WFY622" s="1831"/>
      <c r="WFZ622" s="1831"/>
      <c r="WGA622" s="1831"/>
      <c r="WGB622" s="1831"/>
      <c r="WGC622" s="1831"/>
      <c r="WGD622" s="1831"/>
      <c r="WGE622" s="1831"/>
      <c r="WGF622" s="1831"/>
      <c r="WGG622" s="1831"/>
      <c r="WGH622" s="1831"/>
      <c r="WGI622" s="1831"/>
      <c r="WGJ622" s="1831"/>
      <c r="WGK622" s="1831"/>
      <c r="WGL622" s="1831"/>
      <c r="WGM622" s="1831"/>
      <c r="WGN622" s="1831"/>
      <c r="WGO622" s="1831"/>
      <c r="WGP622" s="1831"/>
      <c r="WGQ622" s="1831"/>
      <c r="WGR622" s="1831"/>
      <c r="WGS622" s="1831"/>
      <c r="WGT622" s="1831"/>
      <c r="WGU622" s="1831"/>
      <c r="WGV622" s="1831"/>
      <c r="WGW622" s="1831"/>
      <c r="WGX622" s="1831"/>
      <c r="WGY622" s="1831"/>
      <c r="WGZ622" s="1831"/>
      <c r="WHA622" s="1831"/>
      <c r="WHB622" s="1831"/>
      <c r="WHC622" s="1831"/>
      <c r="WHD622" s="1831"/>
      <c r="WHE622" s="1831"/>
      <c r="WHF622" s="1831"/>
      <c r="WHG622" s="1831"/>
      <c r="WHH622" s="1831"/>
      <c r="WHI622" s="1831"/>
      <c r="WHJ622" s="1831"/>
      <c r="WHK622" s="1831"/>
      <c r="WHL622" s="1831"/>
      <c r="WHM622" s="1831"/>
      <c r="WHN622" s="1831"/>
      <c r="WHO622" s="1831"/>
      <c r="WHP622" s="1831"/>
      <c r="WHQ622" s="1831"/>
      <c r="WHR622" s="1831"/>
      <c r="WHS622" s="1831"/>
      <c r="WHT622" s="1831"/>
      <c r="WHU622" s="1831"/>
      <c r="WHV622" s="1831"/>
      <c r="WHW622" s="1831"/>
      <c r="WHX622" s="1831"/>
      <c r="WHY622" s="1831"/>
      <c r="WHZ622" s="1831"/>
      <c r="WIA622" s="1831"/>
      <c r="WIB622" s="1831"/>
      <c r="WIC622" s="1831"/>
      <c r="WID622" s="1831"/>
      <c r="WIE622" s="1831"/>
      <c r="WIF622" s="1831"/>
      <c r="WIG622" s="1831"/>
      <c r="WIH622" s="1831"/>
      <c r="WII622" s="1831"/>
      <c r="WIJ622" s="1831"/>
      <c r="WIK622" s="1831"/>
      <c r="WIL622" s="1831"/>
      <c r="WIM622" s="1831"/>
      <c r="WIN622" s="1831"/>
      <c r="WIO622" s="1831"/>
      <c r="WIP622" s="1831"/>
      <c r="WIQ622" s="1831"/>
      <c r="WIR622" s="1831"/>
      <c r="WIS622" s="1831"/>
      <c r="WIT622" s="1831"/>
      <c r="WIU622" s="1831"/>
      <c r="WIV622" s="1831"/>
      <c r="WIW622" s="1831"/>
      <c r="WIX622" s="1831"/>
      <c r="WIY622" s="1831"/>
      <c r="WIZ622" s="1831"/>
      <c r="WJA622" s="1831"/>
      <c r="WJB622" s="1831"/>
      <c r="WJC622" s="1831"/>
      <c r="WJD622" s="1831"/>
      <c r="WJE622" s="1831"/>
      <c r="WJF622" s="1831"/>
      <c r="WJG622" s="1831"/>
      <c r="WJH622" s="1831"/>
      <c r="WJI622" s="1831"/>
      <c r="WJJ622" s="1831"/>
      <c r="WJK622" s="1831"/>
      <c r="WJL622" s="1831"/>
      <c r="WJM622" s="1831"/>
      <c r="WJN622" s="1831"/>
      <c r="WJO622" s="1831"/>
      <c r="WJP622" s="1831"/>
      <c r="WJQ622" s="1831"/>
      <c r="WJR622" s="1831"/>
      <c r="WJS622" s="1831"/>
      <c r="WJT622" s="1831"/>
      <c r="WJU622" s="1831"/>
      <c r="WJV622" s="1831"/>
      <c r="WJW622" s="1831"/>
      <c r="WJX622" s="1831"/>
      <c r="WJY622" s="1831"/>
      <c r="WJZ622" s="1831"/>
      <c r="WKA622" s="1831"/>
      <c r="WKB622" s="1831"/>
      <c r="WKC622" s="1831"/>
      <c r="WKD622" s="1831"/>
      <c r="WKE622" s="1831"/>
      <c r="WKF622" s="1831"/>
      <c r="WKG622" s="1831"/>
      <c r="WKH622" s="1831"/>
      <c r="WKI622" s="1831"/>
      <c r="WKJ622" s="1831"/>
      <c r="WKK622" s="1831"/>
      <c r="WKL622" s="1831"/>
      <c r="WKM622" s="1831"/>
      <c r="WKN622" s="1831"/>
      <c r="WKO622" s="1831"/>
      <c r="WKP622" s="1831"/>
      <c r="WKQ622" s="1831"/>
      <c r="WKR622" s="1831"/>
      <c r="WKS622" s="1831"/>
      <c r="WKT622" s="1831"/>
      <c r="WKU622" s="1831"/>
      <c r="WKV622" s="1831"/>
      <c r="WKW622" s="1831"/>
      <c r="WKX622" s="1831"/>
      <c r="WKY622" s="1831"/>
      <c r="WKZ622" s="1831"/>
      <c r="WLA622" s="1831"/>
      <c r="WLB622" s="1831"/>
      <c r="WLC622" s="1831"/>
      <c r="WLD622" s="1831"/>
      <c r="WLE622" s="1831"/>
      <c r="WLF622" s="1831"/>
      <c r="WLG622" s="1831"/>
      <c r="WLH622" s="1831"/>
      <c r="WLI622" s="1831"/>
      <c r="WLJ622" s="1831"/>
      <c r="WLK622" s="1831"/>
      <c r="WLL622" s="1831"/>
      <c r="WLM622" s="1831"/>
      <c r="WLN622" s="1831"/>
      <c r="WLO622" s="1831"/>
      <c r="WLP622" s="1831"/>
      <c r="WLQ622" s="1831"/>
      <c r="WLR622" s="1831"/>
      <c r="WLS622" s="1831"/>
      <c r="WLT622" s="1831"/>
      <c r="WLU622" s="1831"/>
      <c r="WLV622" s="1831"/>
      <c r="WLW622" s="1831"/>
      <c r="WLX622" s="1831"/>
      <c r="WLY622" s="1831"/>
      <c r="WLZ622" s="1831"/>
      <c r="WMA622" s="1831"/>
      <c r="WMB622" s="1831"/>
      <c r="WMC622" s="1831"/>
      <c r="WMD622" s="1831"/>
      <c r="WME622" s="1831"/>
      <c r="WMF622" s="1831"/>
      <c r="WMG622" s="1831"/>
      <c r="WMH622" s="1831"/>
      <c r="WMI622" s="1831"/>
      <c r="WMJ622" s="1831"/>
      <c r="WMK622" s="1831"/>
      <c r="WML622" s="1831"/>
      <c r="WMM622" s="1831"/>
      <c r="WMN622" s="1831"/>
      <c r="WMO622" s="1831"/>
      <c r="WMP622" s="1831"/>
      <c r="WMQ622" s="1831"/>
      <c r="WMR622" s="1831"/>
      <c r="WMS622" s="1831"/>
      <c r="WMT622" s="1831"/>
      <c r="WMU622" s="1831"/>
      <c r="WMV622" s="1831"/>
      <c r="WMW622" s="1831"/>
      <c r="WMX622" s="1831"/>
      <c r="WMY622" s="1831"/>
      <c r="WMZ622" s="1831"/>
      <c r="WNA622" s="1831"/>
      <c r="WNB622" s="1831"/>
      <c r="WNC622" s="1831"/>
      <c r="WND622" s="1831"/>
      <c r="WNE622" s="1831"/>
      <c r="WNF622" s="1831"/>
      <c r="WNG622" s="1831"/>
      <c r="WNH622" s="1831"/>
      <c r="WNI622" s="1831"/>
      <c r="WNJ622" s="1831"/>
      <c r="WNK622" s="1831"/>
      <c r="WNL622" s="1831"/>
      <c r="WNM622" s="1831"/>
      <c r="WNN622" s="1831"/>
      <c r="WNO622" s="1831"/>
      <c r="WNP622" s="1831"/>
      <c r="WNQ622" s="1831"/>
      <c r="WNR622" s="1831"/>
      <c r="WNS622" s="1831"/>
      <c r="WNT622" s="1831"/>
      <c r="WNU622" s="1831"/>
      <c r="WNV622" s="1831"/>
      <c r="WNW622" s="1831"/>
      <c r="WNX622" s="1831"/>
      <c r="WNY622" s="1831"/>
      <c r="WNZ622" s="1831"/>
      <c r="WOA622" s="1831"/>
      <c r="WOB622" s="1831"/>
      <c r="WOC622" s="1831"/>
      <c r="WOD622" s="1831"/>
      <c r="WOE622" s="1831"/>
      <c r="WOF622" s="1831"/>
      <c r="WOG622" s="1831"/>
      <c r="WOH622" s="1831"/>
      <c r="WOI622" s="1831"/>
      <c r="WOJ622" s="1831"/>
      <c r="WOK622" s="1831"/>
      <c r="WOL622" s="1831"/>
      <c r="WOM622" s="1831"/>
      <c r="WON622" s="1831"/>
      <c r="WOO622" s="1831"/>
      <c r="WOP622" s="1831"/>
      <c r="WOQ622" s="1831"/>
      <c r="WOR622" s="1831"/>
      <c r="WOS622" s="1831"/>
      <c r="WOT622" s="1831"/>
      <c r="WOU622" s="1831"/>
      <c r="WOV622" s="1831"/>
      <c r="WOW622" s="1831"/>
      <c r="WOX622" s="1831"/>
      <c r="WOY622" s="1831"/>
      <c r="WOZ622" s="1831"/>
      <c r="WPA622" s="1831"/>
      <c r="WPB622" s="1831"/>
      <c r="WPC622" s="1831"/>
      <c r="WPD622" s="1831"/>
      <c r="WPE622" s="1831"/>
      <c r="WPF622" s="1831"/>
      <c r="WPG622" s="1831"/>
      <c r="WPH622" s="1831"/>
      <c r="WPI622" s="1831"/>
      <c r="WPJ622" s="1831"/>
      <c r="WPK622" s="1831"/>
      <c r="WPL622" s="1831"/>
      <c r="WPM622" s="1831"/>
      <c r="WPN622" s="1831"/>
      <c r="WPO622" s="1831"/>
      <c r="WPP622" s="1831"/>
      <c r="WPQ622" s="1831"/>
      <c r="WPR622" s="1831"/>
      <c r="WPS622" s="1831"/>
      <c r="WPT622" s="1831"/>
      <c r="WPU622" s="1831"/>
      <c r="WPV622" s="1831"/>
      <c r="WPW622" s="1831"/>
      <c r="WPX622" s="1831"/>
      <c r="WPY622" s="1831"/>
      <c r="WPZ622" s="1831"/>
      <c r="WQA622" s="1831"/>
      <c r="WQB622" s="1831"/>
      <c r="WQC622" s="1831"/>
      <c r="WQD622" s="1831"/>
      <c r="WQE622" s="1831"/>
      <c r="WQF622" s="1831"/>
      <c r="WQG622" s="1831"/>
      <c r="WQH622" s="1831"/>
      <c r="WQI622" s="1831"/>
      <c r="WQJ622" s="1831"/>
      <c r="WQK622" s="1831"/>
      <c r="WQL622" s="1831"/>
      <c r="WQM622" s="1831"/>
      <c r="WQN622" s="1831"/>
      <c r="WQO622" s="1831"/>
      <c r="WQP622" s="1831"/>
      <c r="WQQ622" s="1831"/>
      <c r="WQR622" s="1831"/>
      <c r="WQS622" s="1831"/>
      <c r="WQT622" s="1831"/>
      <c r="WQU622" s="1831"/>
      <c r="WQV622" s="1831"/>
      <c r="WQW622" s="1831"/>
      <c r="WQX622" s="1831"/>
      <c r="WQY622" s="1831"/>
      <c r="WQZ622" s="1831"/>
      <c r="WRA622" s="1831"/>
      <c r="WRB622" s="1831"/>
      <c r="WRC622" s="1831"/>
      <c r="WRD622" s="1831"/>
      <c r="WRE622" s="1831"/>
      <c r="WRF622" s="1831"/>
      <c r="WRG622" s="1831"/>
      <c r="WRH622" s="1831"/>
      <c r="WRI622" s="1831"/>
      <c r="WRJ622" s="1831"/>
      <c r="WRK622" s="1831"/>
      <c r="WRL622" s="1831"/>
      <c r="WRM622" s="1831"/>
      <c r="WRN622" s="1831"/>
      <c r="WRO622" s="1831"/>
      <c r="WRP622" s="1831"/>
      <c r="WRQ622" s="1831"/>
      <c r="WRR622" s="1831"/>
      <c r="WRS622" s="1831"/>
      <c r="WRT622" s="1831"/>
      <c r="WRU622" s="1831"/>
      <c r="WRV622" s="1831"/>
      <c r="WRW622" s="1831"/>
      <c r="WRX622" s="1831"/>
      <c r="WRY622" s="1831"/>
      <c r="WRZ622" s="1831"/>
      <c r="WSA622" s="1831"/>
      <c r="WSB622" s="1831"/>
      <c r="WSC622" s="1831"/>
      <c r="WSD622" s="1831"/>
      <c r="WSE622" s="1831"/>
      <c r="WSF622" s="1831"/>
      <c r="WSG622" s="1831"/>
      <c r="WSH622" s="1831"/>
      <c r="WSI622" s="1831"/>
      <c r="WSJ622" s="1831"/>
      <c r="WSK622" s="1831"/>
      <c r="WSL622" s="1831"/>
      <c r="WSM622" s="1831"/>
      <c r="WSN622" s="1831"/>
      <c r="WSO622" s="1831"/>
      <c r="WSP622" s="1831"/>
      <c r="WSQ622" s="1831"/>
      <c r="WSR622" s="1831"/>
      <c r="WSS622" s="1831"/>
      <c r="WST622" s="1831"/>
      <c r="WSU622" s="1831"/>
      <c r="WSV622" s="1831"/>
      <c r="WSW622" s="1831"/>
      <c r="WSX622" s="1831"/>
      <c r="WSY622" s="1831"/>
      <c r="WSZ622" s="1831"/>
      <c r="WTA622" s="1831"/>
      <c r="WTB622" s="1831"/>
      <c r="WTC622" s="1831"/>
      <c r="WTD622" s="1831"/>
      <c r="WTE622" s="1831"/>
      <c r="WTF622" s="1831"/>
      <c r="WTG622" s="1831"/>
      <c r="WTH622" s="1831"/>
      <c r="WTI622" s="1831"/>
      <c r="WTJ622" s="1831"/>
      <c r="WTK622" s="1831"/>
      <c r="WTL622" s="1831"/>
      <c r="WTM622" s="1831"/>
      <c r="WTN622" s="1831"/>
      <c r="WTO622" s="1831"/>
      <c r="WTP622" s="1831"/>
      <c r="WTQ622" s="1831"/>
      <c r="WTR622" s="1831"/>
      <c r="WTS622" s="1831"/>
      <c r="WTT622" s="1831"/>
      <c r="WTU622" s="1831"/>
      <c r="WTV622" s="1831"/>
      <c r="WTW622" s="1831"/>
      <c r="WTX622" s="1831"/>
      <c r="WTY622" s="1831"/>
      <c r="WTZ622" s="1831"/>
      <c r="WUA622" s="1831"/>
      <c r="WUB622" s="1831"/>
      <c r="WUC622" s="1831"/>
      <c r="WUD622" s="1831"/>
      <c r="WUE622" s="1831"/>
      <c r="WUF622" s="1831"/>
      <c r="WUG622" s="1831"/>
      <c r="WUH622" s="1831"/>
      <c r="WUI622" s="1831"/>
      <c r="WUJ622" s="1831"/>
      <c r="WUK622" s="1831"/>
      <c r="WUL622" s="1831"/>
      <c r="WUM622" s="1831"/>
      <c r="WUN622" s="1831"/>
      <c r="WUO622" s="1831"/>
      <c r="WUP622" s="1831"/>
      <c r="WUQ622" s="1831"/>
      <c r="WUR622" s="1831"/>
      <c r="WUS622" s="1831"/>
      <c r="WUT622" s="1831"/>
      <c r="WUU622" s="1831"/>
      <c r="WUV622" s="1831"/>
      <c r="WUW622" s="1831"/>
      <c r="WUX622" s="1831"/>
      <c r="WUY622" s="1831"/>
      <c r="WUZ622" s="1831"/>
      <c r="WVA622" s="1831"/>
      <c r="WVB622" s="1831"/>
      <c r="WVC622" s="1831"/>
      <c r="WVD622" s="1831"/>
      <c r="WVE622" s="1831"/>
      <c r="WVF622" s="1831"/>
      <c r="WVG622" s="1831"/>
      <c r="WVH622" s="1831"/>
      <c r="WVI622" s="1831"/>
      <c r="WVJ622" s="1831"/>
      <c r="WVK622" s="1831"/>
      <c r="WVL622" s="1831"/>
      <c r="WVM622" s="1831"/>
      <c r="WVN622" s="1831"/>
      <c r="WVO622" s="1831"/>
      <c r="WVP622" s="1831"/>
      <c r="WVQ622" s="1831"/>
      <c r="WVR622" s="1831"/>
      <c r="WVS622" s="1831"/>
      <c r="WVT622" s="1831"/>
      <c r="WVU622" s="1831"/>
      <c r="WVV622" s="1831"/>
      <c r="WVW622" s="1831"/>
      <c r="WVX622" s="1831"/>
      <c r="WVY622" s="1831"/>
      <c r="WVZ622" s="1831"/>
      <c r="WWA622" s="1831"/>
      <c r="WWB622" s="1831"/>
      <c r="WWC622" s="1831"/>
      <c r="WWD622" s="1831"/>
      <c r="WWE622" s="1831"/>
      <c r="WWF622" s="1831"/>
      <c r="WWG622" s="1831"/>
      <c r="WWH622" s="1831"/>
      <c r="WWI622" s="1831"/>
      <c r="WWJ622" s="1831"/>
      <c r="WWK622" s="1831"/>
      <c r="WWL622" s="1831"/>
      <c r="WWM622" s="1831"/>
      <c r="WWN622" s="1831"/>
      <c r="WWO622" s="1831"/>
      <c r="WWP622" s="1831"/>
      <c r="WWQ622" s="1831"/>
      <c r="WWR622" s="1831"/>
      <c r="WWS622" s="1831"/>
      <c r="WWT622" s="1831"/>
      <c r="WWU622" s="1831"/>
      <c r="WWV622" s="1831"/>
      <c r="WWW622" s="1831"/>
      <c r="WWX622" s="1831"/>
      <c r="WWY622" s="1831"/>
      <c r="WWZ622" s="1831"/>
      <c r="WXA622" s="1831"/>
      <c r="WXB622" s="1831"/>
      <c r="WXC622" s="1831"/>
      <c r="WXD622" s="1831"/>
      <c r="WXE622" s="1831"/>
      <c r="WXF622" s="1831"/>
      <c r="WXG622" s="1831"/>
      <c r="WXH622" s="1831"/>
      <c r="WXI622" s="1831"/>
      <c r="WXJ622" s="1831"/>
      <c r="WXK622" s="1831"/>
      <c r="WXL622" s="1831"/>
      <c r="WXM622" s="1831"/>
      <c r="WXN622" s="1831"/>
      <c r="WXO622" s="1831"/>
      <c r="WXP622" s="1831"/>
      <c r="WXQ622" s="1831"/>
      <c r="WXR622" s="1831"/>
      <c r="WXS622" s="1831"/>
      <c r="WXT622" s="1831"/>
      <c r="WXU622" s="1831"/>
      <c r="WXV622" s="1831"/>
      <c r="WXW622" s="1831"/>
      <c r="WXX622" s="1831"/>
      <c r="WXY622" s="1831"/>
      <c r="WXZ622" s="1831"/>
      <c r="WYA622" s="1831"/>
      <c r="WYB622" s="1831"/>
      <c r="WYC622" s="1831"/>
      <c r="WYD622" s="1831"/>
      <c r="WYE622" s="1831"/>
      <c r="WYF622" s="1831"/>
      <c r="WYG622" s="1831"/>
      <c r="WYH622" s="1831"/>
      <c r="WYI622" s="1831"/>
      <c r="WYJ622" s="1831"/>
      <c r="WYK622" s="1831"/>
      <c r="WYL622" s="1831"/>
      <c r="WYM622" s="1831"/>
      <c r="WYN622" s="1831"/>
      <c r="WYO622" s="1831"/>
      <c r="WYP622" s="1831"/>
      <c r="WYQ622" s="1831"/>
      <c r="WYR622" s="1831"/>
      <c r="WYS622" s="1831"/>
      <c r="WYT622" s="1831"/>
      <c r="WYU622" s="1831"/>
      <c r="WYV622" s="1831"/>
      <c r="WYW622" s="1831"/>
      <c r="WYX622" s="1831"/>
      <c r="WYY622" s="1831"/>
      <c r="WYZ622" s="1831"/>
      <c r="WZA622" s="1831"/>
      <c r="WZB622" s="1831"/>
      <c r="WZC622" s="1831"/>
      <c r="WZD622" s="1831"/>
      <c r="WZE622" s="1831"/>
      <c r="WZF622" s="1831"/>
      <c r="WZG622" s="1831"/>
      <c r="WZH622" s="1831"/>
      <c r="WZI622" s="1831"/>
      <c r="WZJ622" s="1831"/>
      <c r="WZK622" s="1831"/>
      <c r="WZL622" s="1831"/>
      <c r="WZM622" s="1831"/>
      <c r="WZN622" s="1831"/>
      <c r="WZO622" s="1831"/>
      <c r="WZP622" s="1831"/>
      <c r="WZQ622" s="1831"/>
      <c r="WZR622" s="1831"/>
      <c r="WZS622" s="1831"/>
      <c r="WZT622" s="1831"/>
      <c r="WZU622" s="1831"/>
      <c r="WZV622" s="1831"/>
      <c r="WZW622" s="1831"/>
      <c r="WZX622" s="1831"/>
      <c r="WZY622" s="1831"/>
      <c r="WZZ622" s="1831"/>
      <c r="XAA622" s="1831"/>
      <c r="XAB622" s="1831"/>
      <c r="XAC622" s="1831"/>
      <c r="XAD622" s="1831"/>
      <c r="XAE622" s="1831"/>
      <c r="XAF622" s="1831"/>
      <c r="XAG622" s="1831"/>
      <c r="XAH622" s="1831"/>
      <c r="XAI622" s="1831"/>
      <c r="XAJ622" s="1831"/>
      <c r="XAK622" s="1831"/>
      <c r="XAL622" s="1831"/>
      <c r="XAM622" s="1831"/>
      <c r="XAN622" s="1831"/>
      <c r="XAO622" s="1831"/>
      <c r="XAP622" s="1831"/>
      <c r="XAQ622" s="1831"/>
      <c r="XAR622" s="1831"/>
      <c r="XAS622" s="1831"/>
      <c r="XAT622" s="1831"/>
      <c r="XAU622" s="1831"/>
      <c r="XAV622" s="1831"/>
      <c r="XAW622" s="1831"/>
      <c r="XAX622" s="1831"/>
      <c r="XAY622" s="1831"/>
      <c r="XAZ622" s="1831"/>
      <c r="XBA622" s="1831"/>
      <c r="XBB622" s="1831"/>
      <c r="XBC622" s="1831"/>
      <c r="XBD622" s="1831"/>
      <c r="XBE622" s="1831"/>
      <c r="XBF622" s="1831"/>
      <c r="XBG622" s="1831"/>
      <c r="XBH622" s="1831"/>
      <c r="XBI622" s="1831"/>
      <c r="XBJ622" s="1831"/>
      <c r="XBK622" s="1831"/>
      <c r="XBL622" s="1831"/>
      <c r="XBM622" s="1831"/>
      <c r="XBN622" s="1831"/>
      <c r="XBO622" s="1831"/>
      <c r="XBP622" s="1831"/>
      <c r="XBQ622" s="1831"/>
      <c r="XBR622" s="1831"/>
      <c r="XBS622" s="1831"/>
      <c r="XBT622" s="1831"/>
      <c r="XBU622" s="1831"/>
      <c r="XBV622" s="1831"/>
      <c r="XBW622" s="1831"/>
      <c r="XBX622" s="1831"/>
      <c r="XBY622" s="1831"/>
      <c r="XBZ622" s="1831"/>
      <c r="XCA622" s="1831"/>
      <c r="XCB622" s="1831"/>
      <c r="XCC622" s="1831"/>
      <c r="XCD622" s="1831"/>
      <c r="XCE622" s="1831"/>
      <c r="XCF622" s="1831"/>
      <c r="XCG622" s="1831"/>
      <c r="XCH622" s="1831"/>
      <c r="XCI622" s="1831"/>
      <c r="XCJ622" s="1831"/>
      <c r="XCK622" s="1831"/>
      <c r="XCL622" s="1831"/>
      <c r="XCM622" s="1831"/>
      <c r="XCN622" s="1831"/>
      <c r="XCO622" s="1831"/>
      <c r="XCP622" s="1831"/>
      <c r="XCQ622" s="1831"/>
      <c r="XCR622" s="1831"/>
      <c r="XCS622" s="1831"/>
      <c r="XCT622" s="1831"/>
      <c r="XCU622" s="1831"/>
      <c r="XCV622" s="1831"/>
      <c r="XCW622" s="1831"/>
      <c r="XCX622" s="1831"/>
      <c r="XCY622" s="1831"/>
      <c r="XCZ622" s="1831"/>
      <c r="XDA622" s="1831"/>
      <c r="XDB622" s="1831"/>
      <c r="XDC622" s="1831"/>
      <c r="XDD622" s="1831"/>
      <c r="XDE622" s="1831"/>
      <c r="XDF622" s="1831"/>
      <c r="XDG622" s="1831"/>
      <c r="XDH622" s="1831"/>
      <c r="XDI622" s="1831"/>
      <c r="XDJ622" s="1831"/>
      <c r="XDK622" s="1831"/>
      <c r="XDL622" s="1831"/>
      <c r="XDM622" s="1831"/>
      <c r="XDN622" s="1831"/>
      <c r="XDO622" s="1831"/>
      <c r="XDP622" s="1831"/>
      <c r="XDQ622" s="1831"/>
      <c r="XDR622" s="1831"/>
      <c r="XDS622" s="1831"/>
      <c r="XDT622" s="1831"/>
      <c r="XDU622" s="1831"/>
      <c r="XDV622" s="1831"/>
      <c r="XDW622" s="1831"/>
      <c r="XDX622" s="1831"/>
      <c r="XDY622" s="1831"/>
      <c r="XDZ622" s="1831"/>
      <c r="XEA622" s="1831"/>
      <c r="XEB622" s="1831"/>
      <c r="XEC622" s="1831"/>
      <c r="XED622" s="1831"/>
      <c r="XEE622" s="1831"/>
      <c r="XEF622" s="1831"/>
      <c r="XEG622" s="1831"/>
      <c r="XEH622" s="1831"/>
      <c r="XEI622" s="1831"/>
      <c r="XEJ622" s="1831"/>
      <c r="XEK622" s="1831"/>
      <c r="XEL622" s="1831"/>
      <c r="XEM622" s="1831"/>
      <c r="XEN622" s="1831"/>
      <c r="XEO622" s="1831"/>
      <c r="XEP622" s="1831"/>
      <c r="XEQ622" s="1831"/>
      <c r="XER622" s="1831"/>
      <c r="XES622" s="1831"/>
      <c r="XET622" s="1831"/>
      <c r="XEU622" s="1831"/>
      <c r="XEV622" s="1831"/>
      <c r="XEW622" s="1831"/>
      <c r="XEX622" s="1831"/>
    </row>
    <row r="623" spans="1:16378" s="2062" customFormat="1" ht="9.9" customHeight="1" x14ac:dyDescent="0.3"/>
  </sheetData>
  <sheetProtection algorithmName="SHA-512" hashValue="QiGIbcGhtVVKKR3UmVvbrnt1wTSUqeR8sfVBAfEU1kfx7SHBdEFSSwPgnd1FNbijRcEQ2CH+jR6lu97OzcF04Q==" saltValue="4sFoQeZgI3+EdNqgV2GyzQ==" spinCount="100000" sheet="1" scenarios="1" formatCells="0" formatColumns="0" formatRows="0" pivotTables="0"/>
  <mergeCells count="69">
    <mergeCell ref="X566:Y566"/>
    <mergeCell ref="H608:L608"/>
    <mergeCell ref="O608:R608"/>
    <mergeCell ref="V608:Y609"/>
    <mergeCell ref="X613:Y613"/>
    <mergeCell ref="H514:L514"/>
    <mergeCell ref="O514:R514"/>
    <mergeCell ref="V514:Y515"/>
    <mergeCell ref="X519:Y519"/>
    <mergeCell ref="H561:L561"/>
    <mergeCell ref="O561:R561"/>
    <mergeCell ref="V561:Y562"/>
    <mergeCell ref="X472:Y472"/>
    <mergeCell ref="AQ410:AR410"/>
    <mergeCell ref="H411:I411"/>
    <mergeCell ref="AQ411:AR411"/>
    <mergeCell ref="H412:I412"/>
    <mergeCell ref="AQ412:AR412"/>
    <mergeCell ref="H413:I413"/>
    <mergeCell ref="AQ413:AR413"/>
    <mergeCell ref="H414:I414"/>
    <mergeCell ref="AQ414:AR414"/>
    <mergeCell ref="H467:L467"/>
    <mergeCell ref="O467:R467"/>
    <mergeCell ref="V467:Y468"/>
    <mergeCell ref="AT328:AV328"/>
    <mergeCell ref="AQ329:AS329"/>
    <mergeCell ref="AT329:AV329"/>
    <mergeCell ref="G408:G414"/>
    <mergeCell ref="H408:I408"/>
    <mergeCell ref="AP408:AP414"/>
    <mergeCell ref="AQ408:AR408"/>
    <mergeCell ref="H409:I409"/>
    <mergeCell ref="AQ409:AR409"/>
    <mergeCell ref="H410:I410"/>
    <mergeCell ref="AQ328:AS328"/>
    <mergeCell ref="X275:Y275"/>
    <mergeCell ref="G327:I327"/>
    <mergeCell ref="J327:L327"/>
    <mergeCell ref="G328:I328"/>
    <mergeCell ref="J328:L328"/>
    <mergeCell ref="H270:L270"/>
    <mergeCell ref="V270:Y271"/>
    <mergeCell ref="Q134:R134"/>
    <mergeCell ref="S134:T134"/>
    <mergeCell ref="X137:Y137"/>
    <mergeCell ref="Q140:R140"/>
    <mergeCell ref="Q141:R141"/>
    <mergeCell ref="H178:L178"/>
    <mergeCell ref="O178:R178"/>
    <mergeCell ref="V178:Y179"/>
    <mergeCell ref="X183:Y183"/>
    <mergeCell ref="H224:L224"/>
    <mergeCell ref="O224:R224"/>
    <mergeCell ref="V224:Y225"/>
    <mergeCell ref="X229:Y229"/>
    <mergeCell ref="X91:Y91"/>
    <mergeCell ref="H132:L132"/>
    <mergeCell ref="O132:T132"/>
    <mergeCell ref="V132:Y133"/>
    <mergeCell ref="Q133:R133"/>
    <mergeCell ref="S133:T133"/>
    <mergeCell ref="H40:L40"/>
    <mergeCell ref="O40:R40"/>
    <mergeCell ref="V40:Y41"/>
    <mergeCell ref="X45:Y45"/>
    <mergeCell ref="H86:L86"/>
    <mergeCell ref="O86:R86"/>
    <mergeCell ref="V86:Y87"/>
  </mergeCells>
  <conditionalFormatting sqref="G289:AI289">
    <cfRule type="cellIs" dxfId="252" priority="17" operator="equal">
      <formula>0</formula>
    </cfRule>
  </conditionalFormatting>
  <conditionalFormatting sqref="CD302">
    <cfRule type="cellIs" dxfId="251" priority="14" operator="lessThan">
      <formula>0</formula>
    </cfRule>
    <cfRule type="cellIs" dxfId="250" priority="15" operator="lessThan">
      <formula>0</formula>
    </cfRule>
    <cfRule type="cellIs" dxfId="249" priority="16" operator="lessThan">
      <formula>-7</formula>
    </cfRule>
  </conditionalFormatting>
  <conditionalFormatting sqref="CF302 CH302 CJ302 CL302 CN302 CP302 CR302 CT302 CV302 CX302 CZ302 DB302 DD302 DF302 DH302 DJ302 DL302">
    <cfRule type="cellIs" dxfId="248" priority="13" operator="lessThan">
      <formula>0</formula>
    </cfRule>
  </conditionalFormatting>
  <conditionalFormatting sqref="DN302">
    <cfRule type="cellIs" dxfId="247" priority="12" operator="lessThan">
      <formula>0</formula>
    </cfRule>
  </conditionalFormatting>
  <conditionalFormatting sqref="EJ302">
    <cfRule type="cellIs" dxfId="246" priority="11" operator="lessThan">
      <formula>0</formula>
    </cfRule>
  </conditionalFormatting>
  <conditionalFormatting sqref="DP302">
    <cfRule type="cellIs" dxfId="245" priority="10" operator="lessThan">
      <formula>0</formula>
    </cfRule>
  </conditionalFormatting>
  <conditionalFormatting sqref="DR302">
    <cfRule type="cellIs" dxfId="244" priority="9" operator="lessThan">
      <formula>0</formula>
    </cfRule>
  </conditionalFormatting>
  <conditionalFormatting sqref="DT302">
    <cfRule type="cellIs" dxfId="243" priority="8" operator="lessThan">
      <formula>0</formula>
    </cfRule>
  </conditionalFormatting>
  <conditionalFormatting sqref="DV302">
    <cfRule type="cellIs" dxfId="242" priority="7" operator="lessThan">
      <formula>0</formula>
    </cfRule>
  </conditionalFormatting>
  <conditionalFormatting sqref="DX302">
    <cfRule type="cellIs" dxfId="241" priority="6" operator="lessThan">
      <formula>0</formula>
    </cfRule>
  </conditionalFormatting>
  <conditionalFormatting sqref="DZ302">
    <cfRule type="cellIs" dxfId="240" priority="5" operator="lessThan">
      <formula>0</formula>
    </cfRule>
  </conditionalFormatting>
  <conditionalFormatting sqref="EB302">
    <cfRule type="cellIs" dxfId="239" priority="4" operator="lessThan">
      <formula>0</formula>
    </cfRule>
  </conditionalFormatting>
  <conditionalFormatting sqref="ED302">
    <cfRule type="cellIs" dxfId="238" priority="3" operator="lessThan">
      <formula>0</formula>
    </cfRule>
  </conditionalFormatting>
  <conditionalFormatting sqref="EF302">
    <cfRule type="cellIs" dxfId="237" priority="2" operator="lessThan">
      <formula>0</formula>
    </cfRule>
  </conditionalFormatting>
  <conditionalFormatting sqref="EH302">
    <cfRule type="cellIs" dxfId="236" priority="1" operator="lessThan">
      <formula>0</formula>
    </cfRule>
  </conditionalFormatting>
  <pageMargins left="0.7" right="0.7" top="0.75" bottom="0.75" header="0.3" footer="0.3"/>
  <pageSetup orientation="portrait" horizontalDpi="90" verticalDpi="9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0000000}">
          <x14:formula1>
            <xm:f>PPD_DD_2!$E$46:$E$66</xm:f>
          </x14:formula1>
          <xm:sqref>L470 L472 L474 L476 E439 Y470:Y471 L49:L53 Y473:Y475 L47 Y273:Y274 Y138:Y140 L135 L139 E58 L517 L519 L521 L523 E486 Y517:Y518 Y520:Y522 L564 L566 L568 L570 E533 Y564:Y565 Y567:Y569 L613 L615 L617 E580 Y611:Y612 Y614:Y616 L91 E12 Y43:Y44 Y46:Y48 L43 L141 Y89:Y90 Y92:Y94 L89 L95 L611 L45 L93 E104 L137 Y135:Y136 Y276:Y278 L273 L277 E242 L275 L279 Y181:Y182 Y184:Y186 L181 L185 E150 L183 L187 Y227:Y228 Y230:Y232 L227 L231 E196 L229 L233</xm:sqref>
        </x14:dataValidation>
        <x14:dataValidation type="list" allowBlank="1" showInputMessage="1" showErrorMessage="1" xr:uid="{00000000-0002-0000-0300-000001000000}">
          <x14:formula1>
            <xm:f>PPD_DD_2!$D$68:$D$80</xm:f>
          </x14:formula1>
          <xm:sqref>K470 K472 K474 K476 D439 D242 K135 K137 K139 K141 K517 K519 K521 K523 D486 K564 K566 K568 K570 D533 K611 K613 K615 K617 D580 K43 K45 K47 D58 D12 K89 K91 K93 K49:K53 K95 D104 K273 K275 K277 K279 X43:X44 X46:X48 X89:X90 X92:X94 X135:X136 X138:X140 X273:X274 X276:X278 X470:X471 X473:X475 X517:X518 X520:X522 X564:X565 X567:X569 X611:X612 X614:X616 D150 K181 K183 K185 K187 X181:X182 X184:X186 D196 K227 K229 K231 K233 X227:X228 X230:X232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92D050"/>
  </sheetPr>
  <dimension ref="A1:BY92"/>
  <sheetViews>
    <sheetView showGridLines="0" zoomScale="70" zoomScaleNormal="70" workbookViewId="0">
      <pane ySplit="5" topLeftCell="A6" activePane="bottomLeft" state="frozen"/>
      <selection activeCell="H18" sqref="H18:AD18"/>
      <selection pane="bottomLeft" activeCell="H18" sqref="H18:AD18"/>
    </sheetView>
  </sheetViews>
  <sheetFormatPr defaultColWidth="9.109375" defaultRowHeight="13.8" x14ac:dyDescent="0.25"/>
  <cols>
    <col min="1" max="1" width="4" style="2065" customWidth="1"/>
    <col min="2" max="2" width="7.109375" style="2065" bestFit="1" customWidth="1"/>
    <col min="3" max="3" width="59.109375" style="2065" customWidth="1"/>
    <col min="4" max="4" width="16.109375" style="2065" customWidth="1"/>
    <col min="5" max="5" width="10" style="2065" customWidth="1"/>
    <col min="6" max="6" width="10.88671875" style="2065" customWidth="1"/>
    <col min="7" max="7" width="7.109375" style="2134" customWidth="1"/>
    <col min="8" max="36" width="11" style="2065" customWidth="1"/>
    <col min="37" max="37" width="17.6640625" style="2065" customWidth="1"/>
    <col min="38" max="39" width="7.88671875" style="2065" customWidth="1"/>
    <col min="40" max="40" width="6.5546875" style="2065" customWidth="1"/>
    <col min="41" max="41" width="39.5546875" style="2065" customWidth="1"/>
    <col min="42" max="42" width="16.44140625" style="2065" customWidth="1"/>
    <col min="43" max="44" width="10.109375" style="2065" customWidth="1"/>
    <col min="45" max="45" width="7.109375" style="2065" customWidth="1"/>
    <col min="46" max="46" width="7.6640625" style="2065" bestFit="1" customWidth="1"/>
    <col min="47" max="47" width="10" style="2065" bestFit="1" customWidth="1"/>
    <col min="48" max="48" width="7.6640625" style="2065" customWidth="1"/>
    <col min="49" max="74" width="9.33203125" style="2065" bestFit="1" customWidth="1"/>
    <col min="75" max="75" width="13.5546875" style="2065" customWidth="1"/>
    <col min="76" max="16384" width="9.109375" style="2065"/>
  </cols>
  <sheetData>
    <row r="1" spans="1:77" ht="14.4" thickBot="1" x14ac:dyDescent="0.3">
      <c r="A1" s="2063"/>
      <c r="B1" s="2063"/>
      <c r="C1" s="2063"/>
      <c r="D1" s="2063"/>
      <c r="E1" s="2063"/>
      <c r="F1" s="2063"/>
      <c r="G1" s="2064"/>
      <c r="H1" s="2063"/>
      <c r="I1" s="2063"/>
      <c r="J1" s="2063"/>
      <c r="K1" s="2063"/>
      <c r="L1" s="2063"/>
      <c r="M1" s="2063"/>
      <c r="N1" s="2063"/>
      <c r="O1" s="2063"/>
      <c r="P1" s="2063"/>
      <c r="Q1" s="2063"/>
      <c r="R1" s="2063"/>
      <c r="S1" s="2063"/>
      <c r="T1" s="2063"/>
      <c r="U1" s="2063"/>
      <c r="V1" s="2063"/>
      <c r="W1" s="2063"/>
      <c r="X1" s="2063"/>
      <c r="Y1" s="2063"/>
      <c r="Z1" s="2063"/>
      <c r="AA1" s="2063"/>
      <c r="AB1" s="2063"/>
      <c r="AC1" s="2063"/>
      <c r="AD1" s="2063"/>
      <c r="AE1" s="2063"/>
      <c r="AF1" s="2063"/>
      <c r="AG1" s="2063"/>
      <c r="AH1" s="2063"/>
      <c r="AI1" s="2063"/>
      <c r="AJ1" s="2063"/>
      <c r="AK1" s="2063"/>
      <c r="AL1" s="2063"/>
      <c r="AM1" s="2063"/>
      <c r="AN1" s="2063"/>
      <c r="AO1" s="2063"/>
      <c r="AP1" s="2063"/>
      <c r="AQ1" s="2063"/>
      <c r="AR1" s="2063"/>
      <c r="AS1" s="2063"/>
      <c r="AT1" s="2063"/>
      <c r="AU1" s="2063"/>
      <c r="AV1" s="2063"/>
      <c r="AW1" s="2063"/>
      <c r="AX1" s="2063"/>
      <c r="AY1" s="2063"/>
      <c r="AZ1" s="2063"/>
      <c r="BA1" s="2063"/>
      <c r="BB1" s="2063"/>
      <c r="BC1" s="2063"/>
      <c r="BD1" s="2063"/>
      <c r="BE1" s="2063"/>
      <c r="BF1" s="2063"/>
      <c r="BG1" s="2063"/>
      <c r="BH1" s="2063"/>
      <c r="BI1" s="2063"/>
      <c r="BJ1" s="2063"/>
      <c r="BK1" s="2063"/>
      <c r="BL1" s="2063"/>
      <c r="BM1" s="2063"/>
      <c r="BN1" s="2063"/>
      <c r="BO1" s="2063"/>
      <c r="BP1" s="2063"/>
      <c r="BQ1" s="2063"/>
      <c r="BR1" s="2063"/>
      <c r="BS1" s="2063"/>
      <c r="BT1" s="2063"/>
      <c r="BU1" s="2063"/>
      <c r="BV1" s="2063"/>
      <c r="BW1" s="2063"/>
      <c r="BX1" s="2063"/>
      <c r="BY1" s="2063"/>
    </row>
    <row r="2" spans="1:77" s="2067" customFormat="1" ht="23.25" customHeight="1" thickBot="1" x14ac:dyDescent="0.3">
      <c r="A2" s="2066"/>
      <c r="B2" s="3307" t="s">
        <v>1536</v>
      </c>
      <c r="C2" s="3308"/>
      <c r="D2" s="3308"/>
      <c r="E2" s="3308"/>
      <c r="F2" s="3308"/>
      <c r="G2" s="3308"/>
      <c r="H2" s="3308"/>
      <c r="I2" s="3308"/>
      <c r="J2" s="3308"/>
      <c r="K2" s="3308"/>
      <c r="L2" s="3308"/>
      <c r="M2" s="3308"/>
      <c r="N2" s="3308"/>
      <c r="O2" s="3308"/>
      <c r="P2" s="3308"/>
      <c r="Q2" s="3308"/>
      <c r="R2" s="3308"/>
      <c r="S2" s="3308"/>
      <c r="T2" s="3308"/>
      <c r="U2" s="3308"/>
      <c r="V2" s="3308"/>
      <c r="W2" s="3308"/>
      <c r="X2" s="3308"/>
      <c r="Y2" s="3308"/>
      <c r="Z2" s="3308"/>
      <c r="AA2" s="3308"/>
      <c r="AB2" s="3308"/>
      <c r="AC2" s="3308"/>
      <c r="AD2" s="3308"/>
      <c r="AE2" s="3308"/>
      <c r="AF2" s="3308"/>
      <c r="AG2" s="3308"/>
      <c r="AH2" s="3308"/>
      <c r="AI2" s="3308"/>
      <c r="AJ2" s="3308"/>
      <c r="AK2" s="3309"/>
      <c r="AL2" s="2066"/>
      <c r="AM2" s="2066"/>
      <c r="AN2" s="3307" t="str">
        <f>"Capital and Depreciation: "&amp;Comp</f>
        <v>Capital and Depreciation: Def Exit</v>
      </c>
      <c r="AO2" s="3308"/>
      <c r="AP2" s="3308"/>
      <c r="AQ2" s="3308"/>
      <c r="AR2" s="3308"/>
      <c r="AS2" s="3308"/>
      <c r="AT2" s="3308"/>
      <c r="AU2" s="3308"/>
      <c r="AV2" s="3308"/>
      <c r="AW2" s="3308"/>
      <c r="AX2" s="3308"/>
      <c r="AY2" s="3308"/>
      <c r="AZ2" s="3308"/>
      <c r="BA2" s="3308"/>
      <c r="BB2" s="3308"/>
      <c r="BC2" s="3308"/>
      <c r="BD2" s="3308"/>
      <c r="BE2" s="3308"/>
      <c r="BF2" s="3308"/>
      <c r="BG2" s="3308"/>
      <c r="BH2" s="3308"/>
      <c r="BI2" s="3308"/>
      <c r="BJ2" s="3308"/>
      <c r="BK2" s="3308"/>
      <c r="BL2" s="3308"/>
      <c r="BM2" s="3308"/>
      <c r="BN2" s="3308"/>
      <c r="BO2" s="3308"/>
      <c r="BP2" s="3308"/>
      <c r="BQ2" s="3308"/>
      <c r="BR2" s="3308"/>
      <c r="BS2" s="3308"/>
      <c r="BT2" s="3308"/>
      <c r="BU2" s="3308"/>
      <c r="BV2" s="3308"/>
      <c r="BW2" s="3309"/>
      <c r="BX2" s="2066"/>
      <c r="BY2" s="2066"/>
    </row>
    <row r="3" spans="1:77" x14ac:dyDescent="0.25">
      <c r="A3" s="2063"/>
      <c r="B3" s="2063"/>
      <c r="C3" s="2068"/>
      <c r="D3" s="2068"/>
      <c r="E3" s="2068"/>
      <c r="F3" s="2068"/>
      <c r="G3" s="2064"/>
      <c r="H3" s="2063"/>
      <c r="I3" s="2063"/>
      <c r="J3" s="2063"/>
      <c r="K3" s="2063"/>
      <c r="L3" s="2063"/>
      <c r="M3" s="2063"/>
      <c r="N3" s="2063"/>
      <c r="O3" s="2063"/>
      <c r="P3" s="2063"/>
      <c r="Q3" s="2063"/>
      <c r="R3" s="2063"/>
      <c r="S3" s="2063"/>
      <c r="T3" s="2063"/>
      <c r="U3" s="2063"/>
      <c r="V3" s="2063"/>
      <c r="W3" s="2063"/>
      <c r="X3" s="2063"/>
      <c r="Y3" s="2063"/>
      <c r="Z3" s="2063"/>
      <c r="AA3" s="2063"/>
      <c r="AB3" s="2063"/>
      <c r="AC3" s="2063"/>
      <c r="AD3" s="2063"/>
      <c r="AE3" s="2063"/>
      <c r="AF3" s="2063"/>
      <c r="AG3" s="2063"/>
      <c r="AH3" s="2063"/>
      <c r="AI3" s="2063"/>
      <c r="AJ3" s="2063"/>
      <c r="AK3" s="2063"/>
      <c r="AL3" s="2063"/>
      <c r="AM3" s="2063"/>
      <c r="AN3" s="2063"/>
      <c r="AO3" s="2063"/>
      <c r="AP3" s="2063"/>
      <c r="AQ3" s="2063"/>
      <c r="AR3" s="2063"/>
      <c r="AS3" s="2063"/>
      <c r="AT3" s="2063"/>
      <c r="AU3" s="2063"/>
      <c r="AV3" s="2063"/>
      <c r="AW3" s="2063"/>
      <c r="AX3" s="2063"/>
      <c r="AY3" s="2063"/>
      <c r="AZ3" s="2063"/>
      <c r="BA3" s="2063"/>
      <c r="BB3" s="2063"/>
      <c r="BC3" s="2063"/>
      <c r="BD3" s="2063"/>
      <c r="BE3" s="2063"/>
      <c r="BF3" s="2063"/>
      <c r="BG3" s="2063"/>
      <c r="BH3" s="2063"/>
      <c r="BI3" s="2063"/>
      <c r="BJ3" s="2063"/>
      <c r="BK3" s="2063"/>
      <c r="BL3" s="2063"/>
      <c r="BM3" s="2063"/>
      <c r="BN3" s="2063"/>
      <c r="BO3" s="2063"/>
      <c r="BP3" s="2063"/>
      <c r="BQ3" s="2063"/>
      <c r="BR3" s="2063"/>
      <c r="BS3" s="2063"/>
      <c r="BT3" s="2063"/>
      <c r="BU3" s="2063"/>
      <c r="BV3" s="2063"/>
      <c r="BW3" s="2063"/>
      <c r="BX3" s="2063"/>
      <c r="BY3" s="2063"/>
    </row>
    <row r="4" spans="1:77" hidden="1" x14ac:dyDescent="0.25">
      <c r="A4" s="2063"/>
      <c r="B4" s="2063"/>
      <c r="C4" s="2068"/>
      <c r="D4" s="2068"/>
      <c r="E4" s="2068"/>
      <c r="F4" s="2068"/>
      <c r="G4" s="2064"/>
      <c r="H4" s="2063">
        <f>ProjStartFY</f>
        <v>18</v>
      </c>
      <c r="I4" s="2063">
        <f>ProjStartFY+1</f>
        <v>19</v>
      </c>
      <c r="J4" s="2063">
        <f>ProjStartFY+2</f>
        <v>20</v>
      </c>
      <c r="K4" s="2063">
        <f>ProjStartFY+3</f>
        <v>21</v>
      </c>
      <c r="L4" s="2063">
        <f>ProjStartFY+4</f>
        <v>22</v>
      </c>
      <c r="M4" s="2063">
        <f>ProjStartFY+5</f>
        <v>23</v>
      </c>
      <c r="N4" s="2063">
        <f>ProjStartFY+6</f>
        <v>24</v>
      </c>
      <c r="O4" s="2063">
        <f>ProjStartFY+7</f>
        <v>25</v>
      </c>
      <c r="P4" s="2063">
        <f>ProjStartFY+8</f>
        <v>26</v>
      </c>
      <c r="Q4" s="2063">
        <f>ProjStartFY+9</f>
        <v>27</v>
      </c>
      <c r="R4" s="2063">
        <f>ProjStartFY+10</f>
        <v>28</v>
      </c>
      <c r="S4" s="2063">
        <f>ProjStartFY+11</f>
        <v>29</v>
      </c>
      <c r="T4" s="2063">
        <f>ProjStartFY+12</f>
        <v>30</v>
      </c>
      <c r="U4" s="2063">
        <f>ProjStartFY+13</f>
        <v>31</v>
      </c>
      <c r="V4" s="2063">
        <f>ProjStartFY+14</f>
        <v>32</v>
      </c>
      <c r="W4" s="2063">
        <f>ProjStartFY+15</f>
        <v>33</v>
      </c>
      <c r="X4" s="2063">
        <f>ProjStartFY+16</f>
        <v>34</v>
      </c>
      <c r="Y4" s="2063">
        <f>ProjStartFY+17</f>
        <v>35</v>
      </c>
      <c r="Z4" s="2063">
        <f>ProjStartFY+18</f>
        <v>36</v>
      </c>
      <c r="AA4" s="2063">
        <f>ProjStartFY+19</f>
        <v>37</v>
      </c>
      <c r="AB4" s="2063">
        <f>ProjStartFY+20</f>
        <v>38</v>
      </c>
      <c r="AC4" s="2063">
        <f>ProjStartFY+21</f>
        <v>39</v>
      </c>
      <c r="AD4" s="2063">
        <f>ProjStartFY+22</f>
        <v>40</v>
      </c>
      <c r="AE4" s="2063">
        <f>ProjStartFY+23</f>
        <v>41</v>
      </c>
      <c r="AF4" s="2063">
        <f>ProjStartFY+24</f>
        <v>42</v>
      </c>
      <c r="AG4" s="2063">
        <f>ProjStartFY+25</f>
        <v>43</v>
      </c>
      <c r="AH4" s="2063">
        <f>ProjStartFY+26</f>
        <v>44</v>
      </c>
      <c r="AI4" s="2063">
        <f>ProjStartFY+27</f>
        <v>45</v>
      </c>
      <c r="AJ4" s="2063">
        <f>ProjStartFY+28</f>
        <v>46</v>
      </c>
      <c r="AK4" s="2063"/>
      <c r="AL4" s="2063"/>
      <c r="AM4" s="2063"/>
      <c r="AN4" s="2063"/>
      <c r="AO4" s="2063"/>
      <c r="AP4" s="2063"/>
      <c r="AQ4" s="2063"/>
      <c r="AR4" s="2063"/>
      <c r="AS4" s="2063"/>
      <c r="AT4" s="2063">
        <f>ProjStartFY</f>
        <v>18</v>
      </c>
      <c r="AU4" s="2063">
        <f>ProjStartFY+1</f>
        <v>19</v>
      </c>
      <c r="AV4" s="2063">
        <f>ProjStartFY+2</f>
        <v>20</v>
      </c>
      <c r="AW4" s="2063">
        <f>ProjStartFY+3</f>
        <v>21</v>
      </c>
      <c r="AX4" s="2063">
        <f>ProjStartFY+4</f>
        <v>22</v>
      </c>
      <c r="AY4" s="2063">
        <f>ProjStartFY+5</f>
        <v>23</v>
      </c>
      <c r="AZ4" s="2063">
        <f>ProjStartFY+6</f>
        <v>24</v>
      </c>
      <c r="BA4" s="2063">
        <f>ProjStartFY+7</f>
        <v>25</v>
      </c>
      <c r="BB4" s="2063">
        <f>ProjStartFY+8</f>
        <v>26</v>
      </c>
      <c r="BC4" s="2063">
        <f>ProjStartFY+9</f>
        <v>27</v>
      </c>
      <c r="BD4" s="2063">
        <f>ProjStartFY+10</f>
        <v>28</v>
      </c>
      <c r="BE4" s="2063">
        <f>ProjStartFY+11</f>
        <v>29</v>
      </c>
      <c r="BF4" s="2063">
        <f>ProjStartFY+12</f>
        <v>30</v>
      </c>
      <c r="BG4" s="2063">
        <f>ProjStartFY+13</f>
        <v>31</v>
      </c>
      <c r="BH4" s="2063">
        <f>ProjStartFY+14</f>
        <v>32</v>
      </c>
      <c r="BI4" s="2063">
        <f>ProjStartFY+15</f>
        <v>33</v>
      </c>
      <c r="BJ4" s="2063">
        <f>ProjStartFY+16</f>
        <v>34</v>
      </c>
      <c r="BK4" s="2063">
        <f>ProjStartFY+17</f>
        <v>35</v>
      </c>
      <c r="BL4" s="2063">
        <f>ProjStartFY+18</f>
        <v>36</v>
      </c>
      <c r="BM4" s="2063">
        <f>ProjStartFY+19</f>
        <v>37</v>
      </c>
      <c r="BN4" s="2063">
        <f>ProjStartFY+20</f>
        <v>38</v>
      </c>
      <c r="BO4" s="2063">
        <f>ProjStartFY+21</f>
        <v>39</v>
      </c>
      <c r="BP4" s="2063">
        <f>ProjStartFY+22</f>
        <v>40</v>
      </c>
      <c r="BQ4" s="2063">
        <f>ProjStartFY+23</f>
        <v>41</v>
      </c>
      <c r="BR4" s="2063">
        <f>ProjStartFY+24</f>
        <v>42</v>
      </c>
      <c r="BS4" s="2063">
        <f>ProjStartFY+25</f>
        <v>43</v>
      </c>
      <c r="BT4" s="2063">
        <f>ProjStartFY+26</f>
        <v>44</v>
      </c>
      <c r="BU4" s="2063">
        <f>ProjStartFY+27</f>
        <v>45</v>
      </c>
      <c r="BV4" s="2063">
        <f>ProjStartFY+28</f>
        <v>46</v>
      </c>
      <c r="BW4" s="2063"/>
      <c r="BX4" s="2063"/>
      <c r="BY4" s="2063"/>
    </row>
    <row r="5" spans="1:77" ht="27.6" x14ac:dyDescent="0.25">
      <c r="A5" s="2063"/>
      <c r="B5" s="2069" t="s">
        <v>1537</v>
      </c>
      <c r="C5" s="2069" t="s">
        <v>1538</v>
      </c>
      <c r="D5" s="2070" t="s">
        <v>1539</v>
      </c>
      <c r="E5" s="2069" t="s">
        <v>1540</v>
      </c>
      <c r="F5" s="2069" t="s">
        <v>1541</v>
      </c>
      <c r="G5" s="2069" t="s">
        <v>1461</v>
      </c>
      <c r="H5" s="2071" t="str">
        <f>"FY"&amp;ProjStartFY</f>
        <v>FY18</v>
      </c>
      <c r="I5" s="2072" t="str">
        <f>"FY"&amp;ProjStartFY+1</f>
        <v>FY19</v>
      </c>
      <c r="J5" s="2072" t="str">
        <f>"FY"&amp;ProjStartFY+2</f>
        <v>FY20</v>
      </c>
      <c r="K5" s="2072" t="str">
        <f>"FY"&amp;ProjStartFY+3</f>
        <v>FY21</v>
      </c>
      <c r="L5" s="2072" t="str">
        <f>"FY"&amp;ProjStartFY+4</f>
        <v>FY22</v>
      </c>
      <c r="M5" s="2072" t="str">
        <f>"FY"&amp;ProjStartFY+5</f>
        <v>FY23</v>
      </c>
      <c r="N5" s="2072" t="str">
        <f>"FY"&amp;ProjStartFY+6</f>
        <v>FY24</v>
      </c>
      <c r="O5" s="2072" t="str">
        <f>"FY"&amp;ProjStartFY+7</f>
        <v>FY25</v>
      </c>
      <c r="P5" s="2072" t="str">
        <f>"FY"&amp;ProjStartFY+8</f>
        <v>FY26</v>
      </c>
      <c r="Q5" s="2072" t="str">
        <f>"FY"&amp;ProjStartFY+9</f>
        <v>FY27</v>
      </c>
      <c r="R5" s="2072" t="str">
        <f>"FY"&amp;ProjStartFY+10</f>
        <v>FY28</v>
      </c>
      <c r="S5" s="2072" t="str">
        <f>"FY"&amp;ProjStartFY+11</f>
        <v>FY29</v>
      </c>
      <c r="T5" s="2072" t="str">
        <f>"FY"&amp;ProjStartFY+12</f>
        <v>FY30</v>
      </c>
      <c r="U5" s="2072" t="str">
        <f>"FY"&amp;ProjStartFY+13</f>
        <v>FY31</v>
      </c>
      <c r="V5" s="2072" t="str">
        <f>"FY"&amp;ProjStartFY+14</f>
        <v>FY32</v>
      </c>
      <c r="W5" s="2072" t="str">
        <f>"FY"&amp;ProjStartFY+15</f>
        <v>FY33</v>
      </c>
      <c r="X5" s="2072" t="str">
        <f>"FY"&amp;ProjStartFY+16</f>
        <v>FY34</v>
      </c>
      <c r="Y5" s="2072" t="str">
        <f>"FY"&amp;ProjStartFY+17</f>
        <v>FY35</v>
      </c>
      <c r="Z5" s="2072" t="str">
        <f>"FY"&amp;ProjStartFY+18</f>
        <v>FY36</v>
      </c>
      <c r="AA5" s="2072" t="str">
        <f>"FY"&amp;ProjStartFY+19</f>
        <v>FY37</v>
      </c>
      <c r="AB5" s="2072" t="str">
        <f>"FY"&amp;ProjStartFY+20</f>
        <v>FY38</v>
      </c>
      <c r="AC5" s="2072" t="str">
        <f>"FY"&amp;ProjStartFY+21</f>
        <v>FY39</v>
      </c>
      <c r="AD5" s="2072" t="str">
        <f>"FY"&amp;ProjStartFY+22</f>
        <v>FY40</v>
      </c>
      <c r="AE5" s="2072" t="str">
        <f>"FY"&amp;ProjStartFY+23</f>
        <v>FY41</v>
      </c>
      <c r="AF5" s="2072" t="str">
        <f>"FY"&amp;ProjStartFY+24</f>
        <v>FY42</v>
      </c>
      <c r="AG5" s="2072" t="str">
        <f>"FY"&amp;ProjStartFY+25</f>
        <v>FY43</v>
      </c>
      <c r="AH5" s="2072" t="str">
        <f>"FY"&amp;ProjStartFY+26</f>
        <v>FY44</v>
      </c>
      <c r="AI5" s="2072" t="str">
        <f>"FY"&amp;ProjStartFY+27</f>
        <v>FY45</v>
      </c>
      <c r="AJ5" s="2072" t="str">
        <f>"FY"&amp;ProjStartFY+28</f>
        <v>FY46</v>
      </c>
      <c r="AK5" s="2073" t="s">
        <v>655</v>
      </c>
      <c r="AL5" s="2063"/>
      <c r="AM5" s="2063"/>
      <c r="AN5" s="2069" t="s">
        <v>1537</v>
      </c>
      <c r="AO5" s="2069" t="s">
        <v>1538</v>
      </c>
      <c r="AP5" s="2070" t="s">
        <v>1539</v>
      </c>
      <c r="AQ5" s="2069" t="s">
        <v>1540</v>
      </c>
      <c r="AR5" s="2069" t="s">
        <v>1541</v>
      </c>
      <c r="AS5" s="2069" t="s">
        <v>1461</v>
      </c>
      <c r="AT5" s="2071" t="str">
        <f>"FY"&amp;ProjStartFY</f>
        <v>FY18</v>
      </c>
      <c r="AU5" s="2072" t="str">
        <f>"FY"&amp;ProjStartFY+1</f>
        <v>FY19</v>
      </c>
      <c r="AV5" s="2072" t="str">
        <f>"FY"&amp;ProjStartFY+2</f>
        <v>FY20</v>
      </c>
      <c r="AW5" s="2072" t="str">
        <f>"FY"&amp;ProjStartFY+3</f>
        <v>FY21</v>
      </c>
      <c r="AX5" s="2072" t="str">
        <f>"FY"&amp;ProjStartFY+4</f>
        <v>FY22</v>
      </c>
      <c r="AY5" s="2072" t="str">
        <f>"FY"&amp;ProjStartFY+5</f>
        <v>FY23</v>
      </c>
      <c r="AZ5" s="2072" t="str">
        <f>"FY"&amp;ProjStartFY+6</f>
        <v>FY24</v>
      </c>
      <c r="BA5" s="2072" t="str">
        <f>"FY"&amp;ProjStartFY+7</f>
        <v>FY25</v>
      </c>
      <c r="BB5" s="2072" t="str">
        <f>"FY"&amp;ProjStartFY+8</f>
        <v>FY26</v>
      </c>
      <c r="BC5" s="2072" t="str">
        <f>"FY"&amp;ProjStartFY+9</f>
        <v>FY27</v>
      </c>
      <c r="BD5" s="2072" t="str">
        <f>"FY"&amp;ProjStartFY+10</f>
        <v>FY28</v>
      </c>
      <c r="BE5" s="2072" t="str">
        <f>"FY"&amp;ProjStartFY+11</f>
        <v>FY29</v>
      </c>
      <c r="BF5" s="2072" t="str">
        <f>"FY"&amp;ProjStartFY+12</f>
        <v>FY30</v>
      </c>
      <c r="BG5" s="2072" t="str">
        <f>"FY"&amp;ProjStartFY+13</f>
        <v>FY31</v>
      </c>
      <c r="BH5" s="2072" t="str">
        <f>"FY"&amp;ProjStartFY+14</f>
        <v>FY32</v>
      </c>
      <c r="BI5" s="2072" t="str">
        <f>"FY"&amp;ProjStartFY+15</f>
        <v>FY33</v>
      </c>
      <c r="BJ5" s="2072" t="str">
        <f>"FY"&amp;ProjStartFY+16</f>
        <v>FY34</v>
      </c>
      <c r="BK5" s="2072" t="str">
        <f>"FY"&amp;ProjStartFY+17</f>
        <v>FY35</v>
      </c>
      <c r="BL5" s="2072" t="str">
        <f>"FY"&amp;ProjStartFY+18</f>
        <v>FY36</v>
      </c>
      <c r="BM5" s="2072" t="str">
        <f>"FY"&amp;ProjStartFY+19</f>
        <v>FY37</v>
      </c>
      <c r="BN5" s="2072" t="str">
        <f>"FY"&amp;ProjStartFY+20</f>
        <v>FY38</v>
      </c>
      <c r="BO5" s="2072" t="str">
        <f>"FY"&amp;ProjStartFY+21</f>
        <v>FY39</v>
      </c>
      <c r="BP5" s="2072" t="str">
        <f>"FY"&amp;ProjStartFY+22</f>
        <v>FY40</v>
      </c>
      <c r="BQ5" s="2072" t="str">
        <f>"FY"&amp;ProjStartFY+23</f>
        <v>FY41</v>
      </c>
      <c r="BR5" s="2072" t="str">
        <f>"FY"&amp;ProjStartFY+24</f>
        <v>FY42</v>
      </c>
      <c r="BS5" s="2072" t="str">
        <f>"FY"&amp;ProjStartFY+25</f>
        <v>FY43</v>
      </c>
      <c r="BT5" s="2072" t="str">
        <f>"FY"&amp;ProjStartFY+26</f>
        <v>FY44</v>
      </c>
      <c r="BU5" s="2072" t="str">
        <f>"FY"&amp;ProjStartFY+27</f>
        <v>FY45</v>
      </c>
      <c r="BV5" s="2072" t="str">
        <f>"FY"&amp;ProjStartFY+28</f>
        <v>FY46</v>
      </c>
      <c r="BW5" s="2073" t="s">
        <v>655</v>
      </c>
      <c r="BX5" s="2063"/>
      <c r="BY5" s="2063"/>
    </row>
    <row r="6" spans="1:77" x14ac:dyDescent="0.25">
      <c r="A6" s="2063"/>
      <c r="B6" s="2074">
        <v>1</v>
      </c>
      <c r="C6" s="2075"/>
      <c r="D6" s="2076"/>
      <c r="E6" s="2077" t="s">
        <v>1229</v>
      </c>
      <c r="F6" s="2078" t="s">
        <v>1229</v>
      </c>
      <c r="G6" s="2079">
        <f t="shared" ref="G6:G13" si="0">IF(OR(E6="N/A",F6="N/A"),0,IF(OR(E6="Oct",E6="Nov",E6="Dec"),F6+1,F6))</f>
        <v>0</v>
      </c>
      <c r="H6" s="2080"/>
      <c r="I6" s="2081"/>
      <c r="J6" s="2082"/>
      <c r="K6" s="2082"/>
      <c r="L6" s="2082"/>
      <c r="M6" s="2082"/>
      <c r="N6" s="2082"/>
      <c r="O6" s="2082"/>
      <c r="P6" s="2082"/>
      <c r="Q6" s="2082"/>
      <c r="R6" s="2082"/>
      <c r="S6" s="2081"/>
      <c r="T6" s="2081"/>
      <c r="U6" s="2081"/>
      <c r="V6" s="2081"/>
      <c r="W6" s="2081"/>
      <c r="X6" s="2081"/>
      <c r="Y6" s="2081"/>
      <c r="Z6" s="2081"/>
      <c r="AA6" s="2081"/>
      <c r="AB6" s="2081"/>
      <c r="AC6" s="2081"/>
      <c r="AD6" s="2081"/>
      <c r="AE6" s="2081"/>
      <c r="AF6" s="2081"/>
      <c r="AG6" s="2081"/>
      <c r="AH6" s="2081"/>
      <c r="AI6" s="2081"/>
      <c r="AJ6" s="2078"/>
      <c r="AK6" s="2083">
        <f>SUM(H6:AJ6)</f>
        <v>0</v>
      </c>
      <c r="AL6" s="2084"/>
      <c r="AM6" s="2063"/>
      <c r="AN6" s="2074">
        <v>1</v>
      </c>
      <c r="AO6" s="2075" t="s">
        <v>1542</v>
      </c>
      <c r="AP6" s="2076"/>
      <c r="AQ6" s="2077" t="s">
        <v>1229</v>
      </c>
      <c r="AR6" s="2078" t="s">
        <v>1229</v>
      </c>
      <c r="AS6" s="2079">
        <f t="shared" ref="AS6:AS35" si="1">IF(OR(AQ6="N/A",AR6="N/A"),0,IF(OR(AQ6="Oct",AQ6="Nov",AQ6="Dec"),AR6+1,AR6))</f>
        <v>0</v>
      </c>
      <c r="AT6" s="2080"/>
      <c r="AU6" s="2081"/>
      <c r="AV6" s="2081"/>
      <c r="AW6" s="2081"/>
      <c r="AX6" s="2081"/>
      <c r="AY6" s="2081"/>
      <c r="AZ6" s="2081"/>
      <c r="BA6" s="2081"/>
      <c r="BB6" s="2081"/>
      <c r="BC6" s="2081"/>
      <c r="BD6" s="2081"/>
      <c r="BE6" s="2081"/>
      <c r="BF6" s="2081"/>
      <c r="BG6" s="2081"/>
      <c r="BH6" s="2081"/>
      <c r="BI6" s="2081"/>
      <c r="BJ6" s="2081"/>
      <c r="BK6" s="2081"/>
      <c r="BL6" s="2081"/>
      <c r="BM6" s="2081"/>
      <c r="BN6" s="2081"/>
      <c r="BO6" s="2081"/>
      <c r="BP6" s="2081"/>
      <c r="BQ6" s="2081"/>
      <c r="BR6" s="2081"/>
      <c r="BS6" s="2081"/>
      <c r="BT6" s="2081"/>
      <c r="BU6" s="2081"/>
      <c r="BV6" s="2078"/>
      <c r="BW6" s="2083">
        <f>SUM(AT6:BV6)</f>
        <v>0</v>
      </c>
      <c r="BX6" s="2063"/>
      <c r="BY6" s="2063"/>
    </row>
    <row r="7" spans="1:77" x14ac:dyDescent="0.25">
      <c r="A7" s="2063"/>
      <c r="B7" s="2085">
        <f>B6+1</f>
        <v>2</v>
      </c>
      <c r="C7" s="2086"/>
      <c r="D7" s="2087"/>
      <c r="E7" s="2088" t="s">
        <v>1229</v>
      </c>
      <c r="F7" s="2089" t="s">
        <v>1229</v>
      </c>
      <c r="G7" s="2079">
        <f t="shared" si="0"/>
        <v>0</v>
      </c>
      <c r="H7" s="2090"/>
      <c r="I7" s="2082"/>
      <c r="J7" s="2082"/>
      <c r="K7" s="2082"/>
      <c r="L7" s="2082"/>
      <c r="M7" s="2082"/>
      <c r="N7" s="2082"/>
      <c r="O7" s="2082"/>
      <c r="P7" s="2082"/>
      <c r="Q7" s="2082"/>
      <c r="R7" s="2082"/>
      <c r="S7" s="2082"/>
      <c r="T7" s="2082"/>
      <c r="U7" s="2082"/>
      <c r="V7" s="2082"/>
      <c r="W7" s="2082"/>
      <c r="X7" s="2082"/>
      <c r="Y7" s="2082"/>
      <c r="Z7" s="2082"/>
      <c r="AA7" s="2082"/>
      <c r="AB7" s="2082"/>
      <c r="AC7" s="2082"/>
      <c r="AD7" s="2082"/>
      <c r="AE7" s="2082"/>
      <c r="AF7" s="2082"/>
      <c r="AG7" s="2082"/>
      <c r="AH7" s="2082"/>
      <c r="AI7" s="2082"/>
      <c r="AJ7" s="2089"/>
      <c r="AK7" s="2091">
        <f t="shared" ref="AK7:AK35" si="2">SUM(H7:AJ7)</f>
        <v>0</v>
      </c>
      <c r="AL7" s="2084"/>
      <c r="AM7" s="2063"/>
      <c r="AN7" s="2085">
        <f>AN6+1</f>
        <v>2</v>
      </c>
      <c r="AO7" s="2086"/>
      <c r="AP7" s="2087"/>
      <c r="AQ7" s="2088" t="s">
        <v>1229</v>
      </c>
      <c r="AR7" s="2089" t="s">
        <v>1229</v>
      </c>
      <c r="AS7" s="2079">
        <f t="shared" si="1"/>
        <v>0</v>
      </c>
      <c r="AT7" s="2090"/>
      <c r="AU7" s="2082"/>
      <c r="AV7" s="2082"/>
      <c r="AW7" s="2082"/>
      <c r="AX7" s="2082"/>
      <c r="AY7" s="2082"/>
      <c r="AZ7" s="2082"/>
      <c r="BA7" s="2082"/>
      <c r="BB7" s="2082"/>
      <c r="BC7" s="2082"/>
      <c r="BD7" s="2082"/>
      <c r="BE7" s="2082"/>
      <c r="BF7" s="2082"/>
      <c r="BG7" s="2082"/>
      <c r="BH7" s="2082"/>
      <c r="BI7" s="2082"/>
      <c r="BJ7" s="2082"/>
      <c r="BK7" s="2082"/>
      <c r="BL7" s="2082"/>
      <c r="BM7" s="2082"/>
      <c r="BN7" s="2082"/>
      <c r="BO7" s="2082"/>
      <c r="BP7" s="2082"/>
      <c r="BQ7" s="2082"/>
      <c r="BR7" s="2082"/>
      <c r="BS7" s="2082"/>
      <c r="BT7" s="2082"/>
      <c r="BU7" s="2082"/>
      <c r="BV7" s="2089"/>
      <c r="BW7" s="2091">
        <f t="shared" ref="BW7:BW35" si="3">SUM(AT7:BV7)</f>
        <v>0</v>
      </c>
      <c r="BX7" s="2063"/>
      <c r="BY7" s="2063"/>
    </row>
    <row r="8" spans="1:77" x14ac:dyDescent="0.25">
      <c r="A8" s="2063"/>
      <c r="B8" s="2085">
        <f t="shared" ref="B8:B35" si="4">B7+1</f>
        <v>3</v>
      </c>
      <c r="C8" s="2086"/>
      <c r="D8" s="2087"/>
      <c r="E8" s="2088" t="s">
        <v>1229</v>
      </c>
      <c r="F8" s="2089" t="s">
        <v>1229</v>
      </c>
      <c r="G8" s="2079">
        <f t="shared" si="0"/>
        <v>0</v>
      </c>
      <c r="H8" s="2090"/>
      <c r="I8" s="2082"/>
      <c r="J8" s="2082"/>
      <c r="K8" s="2082"/>
      <c r="L8" s="2082"/>
      <c r="M8" s="2082"/>
      <c r="N8" s="2082"/>
      <c r="O8" s="2082"/>
      <c r="P8" s="2082"/>
      <c r="Q8" s="2082"/>
      <c r="R8" s="2082"/>
      <c r="S8" s="2082"/>
      <c r="T8" s="2082"/>
      <c r="U8" s="2082"/>
      <c r="V8" s="2082"/>
      <c r="W8" s="2082"/>
      <c r="X8" s="2082"/>
      <c r="Y8" s="2082"/>
      <c r="Z8" s="2082"/>
      <c r="AA8" s="2082"/>
      <c r="AB8" s="2082"/>
      <c r="AC8" s="2082"/>
      <c r="AD8" s="2082"/>
      <c r="AE8" s="2082"/>
      <c r="AF8" s="2082"/>
      <c r="AG8" s="2082"/>
      <c r="AH8" s="2082"/>
      <c r="AI8" s="2082"/>
      <c r="AJ8" s="2089"/>
      <c r="AK8" s="2091">
        <f t="shared" si="2"/>
        <v>0</v>
      </c>
      <c r="AL8" s="2084"/>
      <c r="AM8" s="2063"/>
      <c r="AN8" s="2085">
        <f t="shared" ref="AN8:AN35" si="5">AN7+1</f>
        <v>3</v>
      </c>
      <c r="AO8" s="2086"/>
      <c r="AP8" s="2087"/>
      <c r="AQ8" s="2088" t="s">
        <v>1229</v>
      </c>
      <c r="AR8" s="2089" t="s">
        <v>1229</v>
      </c>
      <c r="AS8" s="2079">
        <f t="shared" si="1"/>
        <v>0</v>
      </c>
      <c r="AT8" s="2090"/>
      <c r="AU8" s="2082"/>
      <c r="AV8" s="2082"/>
      <c r="AW8" s="2082"/>
      <c r="AX8" s="2082"/>
      <c r="AY8" s="2082"/>
      <c r="AZ8" s="2082"/>
      <c r="BA8" s="2082"/>
      <c r="BB8" s="2082"/>
      <c r="BC8" s="2082"/>
      <c r="BD8" s="2082"/>
      <c r="BE8" s="2082"/>
      <c r="BF8" s="2082"/>
      <c r="BG8" s="2082"/>
      <c r="BH8" s="2082"/>
      <c r="BI8" s="2082"/>
      <c r="BJ8" s="2082"/>
      <c r="BK8" s="2082"/>
      <c r="BL8" s="2082"/>
      <c r="BM8" s="2082"/>
      <c r="BN8" s="2082"/>
      <c r="BO8" s="2082"/>
      <c r="BP8" s="2082"/>
      <c r="BQ8" s="2082"/>
      <c r="BR8" s="2082"/>
      <c r="BS8" s="2082"/>
      <c r="BT8" s="2082"/>
      <c r="BU8" s="2082"/>
      <c r="BV8" s="2089"/>
      <c r="BW8" s="2091">
        <f t="shared" si="3"/>
        <v>0</v>
      </c>
      <c r="BX8" s="2063"/>
      <c r="BY8" s="2063"/>
    </row>
    <row r="9" spans="1:77" x14ac:dyDescent="0.25">
      <c r="A9" s="2063"/>
      <c r="B9" s="2085">
        <f t="shared" si="4"/>
        <v>4</v>
      </c>
      <c r="C9" s="2086"/>
      <c r="D9" s="2087"/>
      <c r="E9" s="2088" t="s">
        <v>1229</v>
      </c>
      <c r="F9" s="2089" t="s">
        <v>1229</v>
      </c>
      <c r="G9" s="2079">
        <f t="shared" si="0"/>
        <v>0</v>
      </c>
      <c r="H9" s="2090"/>
      <c r="I9" s="2082"/>
      <c r="J9" s="2082"/>
      <c r="K9" s="2082"/>
      <c r="L9" s="2082"/>
      <c r="M9" s="2082"/>
      <c r="N9" s="2082"/>
      <c r="O9" s="2082"/>
      <c r="P9" s="2082"/>
      <c r="Q9" s="2082"/>
      <c r="R9" s="2082"/>
      <c r="S9" s="2082"/>
      <c r="T9" s="2082"/>
      <c r="U9" s="2082"/>
      <c r="V9" s="2082"/>
      <c r="W9" s="2082"/>
      <c r="X9" s="2082"/>
      <c r="Y9" s="2082"/>
      <c r="Z9" s="2082"/>
      <c r="AA9" s="2082"/>
      <c r="AB9" s="2082"/>
      <c r="AC9" s="2082"/>
      <c r="AD9" s="2082"/>
      <c r="AE9" s="2082"/>
      <c r="AF9" s="2082"/>
      <c r="AG9" s="2082"/>
      <c r="AH9" s="2082"/>
      <c r="AI9" s="2082"/>
      <c r="AJ9" s="2089"/>
      <c r="AK9" s="2091">
        <f t="shared" si="2"/>
        <v>0</v>
      </c>
      <c r="AL9" s="2084"/>
      <c r="AM9" s="2063"/>
      <c r="AN9" s="2085">
        <f t="shared" si="5"/>
        <v>4</v>
      </c>
      <c r="AO9" s="2086"/>
      <c r="AP9" s="2087"/>
      <c r="AQ9" s="2088" t="s">
        <v>1229</v>
      </c>
      <c r="AR9" s="2089" t="s">
        <v>1229</v>
      </c>
      <c r="AS9" s="2079">
        <f t="shared" si="1"/>
        <v>0</v>
      </c>
      <c r="AT9" s="2090"/>
      <c r="AU9" s="2082"/>
      <c r="AV9" s="2082"/>
      <c r="AW9" s="2082"/>
      <c r="AX9" s="2082"/>
      <c r="AY9" s="2082"/>
      <c r="AZ9" s="2082"/>
      <c r="BA9" s="2082"/>
      <c r="BB9" s="2082"/>
      <c r="BC9" s="2082"/>
      <c r="BD9" s="2082"/>
      <c r="BE9" s="2082"/>
      <c r="BF9" s="2082"/>
      <c r="BG9" s="2082"/>
      <c r="BH9" s="2082"/>
      <c r="BI9" s="2082"/>
      <c r="BJ9" s="2082"/>
      <c r="BK9" s="2082"/>
      <c r="BL9" s="2082"/>
      <c r="BM9" s="2082"/>
      <c r="BN9" s="2082"/>
      <c r="BO9" s="2082"/>
      <c r="BP9" s="2082"/>
      <c r="BQ9" s="2082"/>
      <c r="BR9" s="2082"/>
      <c r="BS9" s="2082"/>
      <c r="BT9" s="2082"/>
      <c r="BU9" s="2082"/>
      <c r="BV9" s="2089"/>
      <c r="BW9" s="2091">
        <f t="shared" si="3"/>
        <v>0</v>
      </c>
      <c r="BX9" s="2063"/>
      <c r="BY9" s="2063"/>
    </row>
    <row r="10" spans="1:77" x14ac:dyDescent="0.25">
      <c r="A10" s="2063"/>
      <c r="B10" s="2085">
        <f t="shared" si="4"/>
        <v>5</v>
      </c>
      <c r="C10" s="2086"/>
      <c r="D10" s="2087"/>
      <c r="E10" s="2088" t="s">
        <v>1229</v>
      </c>
      <c r="F10" s="2089" t="s">
        <v>1229</v>
      </c>
      <c r="G10" s="2079">
        <f t="shared" si="0"/>
        <v>0</v>
      </c>
      <c r="H10" s="2090"/>
      <c r="I10" s="2082"/>
      <c r="J10" s="2082"/>
      <c r="K10" s="2082"/>
      <c r="L10" s="2082"/>
      <c r="M10" s="2082"/>
      <c r="N10" s="2082"/>
      <c r="O10" s="2082"/>
      <c r="P10" s="2082"/>
      <c r="Q10" s="2082"/>
      <c r="R10" s="2082"/>
      <c r="S10" s="2082"/>
      <c r="T10" s="2082"/>
      <c r="U10" s="2082"/>
      <c r="V10" s="2082"/>
      <c r="W10" s="2082"/>
      <c r="X10" s="2082"/>
      <c r="Y10" s="2082"/>
      <c r="Z10" s="2082"/>
      <c r="AA10" s="2082"/>
      <c r="AB10" s="2082"/>
      <c r="AC10" s="2082"/>
      <c r="AD10" s="2082"/>
      <c r="AE10" s="2082"/>
      <c r="AF10" s="2082"/>
      <c r="AG10" s="2082"/>
      <c r="AH10" s="2082"/>
      <c r="AI10" s="2082"/>
      <c r="AJ10" s="2089"/>
      <c r="AK10" s="2091">
        <f t="shared" si="2"/>
        <v>0</v>
      </c>
      <c r="AL10" s="2084"/>
      <c r="AM10" s="2063"/>
      <c r="AN10" s="2085">
        <f t="shared" si="5"/>
        <v>5</v>
      </c>
      <c r="AO10" s="2086"/>
      <c r="AP10" s="2087"/>
      <c r="AQ10" s="2088" t="s">
        <v>1229</v>
      </c>
      <c r="AR10" s="2089" t="s">
        <v>1229</v>
      </c>
      <c r="AS10" s="2079">
        <f t="shared" si="1"/>
        <v>0</v>
      </c>
      <c r="AT10" s="2090"/>
      <c r="AU10" s="2082"/>
      <c r="AV10" s="2082"/>
      <c r="AW10" s="2082"/>
      <c r="AX10" s="2082"/>
      <c r="AY10" s="2082"/>
      <c r="AZ10" s="2082"/>
      <c r="BA10" s="2082"/>
      <c r="BB10" s="2082"/>
      <c r="BC10" s="2082"/>
      <c r="BD10" s="2082"/>
      <c r="BE10" s="2082"/>
      <c r="BF10" s="2082"/>
      <c r="BG10" s="2082"/>
      <c r="BH10" s="2082"/>
      <c r="BI10" s="2082"/>
      <c r="BJ10" s="2082"/>
      <c r="BK10" s="2082"/>
      <c r="BL10" s="2082"/>
      <c r="BM10" s="2082"/>
      <c r="BN10" s="2082"/>
      <c r="BO10" s="2082"/>
      <c r="BP10" s="2082"/>
      <c r="BQ10" s="2082"/>
      <c r="BR10" s="2082"/>
      <c r="BS10" s="2082"/>
      <c r="BT10" s="2082"/>
      <c r="BU10" s="2082"/>
      <c r="BV10" s="2089"/>
      <c r="BW10" s="2091">
        <f t="shared" si="3"/>
        <v>0</v>
      </c>
      <c r="BX10" s="2063"/>
      <c r="BY10" s="2063"/>
    </row>
    <row r="11" spans="1:77" x14ac:dyDescent="0.25">
      <c r="A11" s="2063"/>
      <c r="B11" s="2085">
        <f t="shared" si="4"/>
        <v>6</v>
      </c>
      <c r="C11" s="2086"/>
      <c r="D11" s="2087"/>
      <c r="E11" s="2088" t="s">
        <v>1229</v>
      </c>
      <c r="F11" s="2089" t="s">
        <v>1229</v>
      </c>
      <c r="G11" s="2079">
        <f t="shared" si="0"/>
        <v>0</v>
      </c>
      <c r="H11" s="2090"/>
      <c r="I11" s="2082"/>
      <c r="J11" s="2082"/>
      <c r="K11" s="2082"/>
      <c r="L11" s="2082"/>
      <c r="M11" s="2082"/>
      <c r="N11" s="2082"/>
      <c r="O11" s="2082"/>
      <c r="P11" s="2082"/>
      <c r="Q11" s="2082"/>
      <c r="R11" s="2082"/>
      <c r="S11" s="2082"/>
      <c r="T11" s="2082"/>
      <c r="U11" s="2082"/>
      <c r="V11" s="2082"/>
      <c r="W11" s="2082"/>
      <c r="X11" s="2082"/>
      <c r="Y11" s="2082"/>
      <c r="Z11" s="2082"/>
      <c r="AA11" s="2082"/>
      <c r="AB11" s="2082"/>
      <c r="AC11" s="2082"/>
      <c r="AD11" s="2082"/>
      <c r="AE11" s="2082"/>
      <c r="AF11" s="2082"/>
      <c r="AG11" s="2082"/>
      <c r="AH11" s="2082"/>
      <c r="AI11" s="2082"/>
      <c r="AJ11" s="2089"/>
      <c r="AK11" s="2091">
        <f t="shared" si="2"/>
        <v>0</v>
      </c>
      <c r="AL11" s="2084"/>
      <c r="AM11" s="2063"/>
      <c r="AN11" s="2085">
        <f t="shared" si="5"/>
        <v>6</v>
      </c>
      <c r="AO11" s="2086"/>
      <c r="AP11" s="2087"/>
      <c r="AQ11" s="2088" t="s">
        <v>1229</v>
      </c>
      <c r="AR11" s="2089" t="s">
        <v>1229</v>
      </c>
      <c r="AS11" s="2079">
        <f t="shared" si="1"/>
        <v>0</v>
      </c>
      <c r="AT11" s="2090"/>
      <c r="AU11" s="2082"/>
      <c r="AV11" s="2082"/>
      <c r="AW11" s="2082"/>
      <c r="AX11" s="2082"/>
      <c r="AY11" s="2082"/>
      <c r="AZ11" s="2082"/>
      <c r="BA11" s="2082"/>
      <c r="BB11" s="2082"/>
      <c r="BC11" s="2082"/>
      <c r="BD11" s="2082"/>
      <c r="BE11" s="2082"/>
      <c r="BF11" s="2082"/>
      <c r="BG11" s="2082"/>
      <c r="BH11" s="2082"/>
      <c r="BI11" s="2082"/>
      <c r="BJ11" s="2082"/>
      <c r="BK11" s="2082"/>
      <c r="BL11" s="2082"/>
      <c r="BM11" s="2082"/>
      <c r="BN11" s="2082"/>
      <c r="BO11" s="2082"/>
      <c r="BP11" s="2082"/>
      <c r="BQ11" s="2082"/>
      <c r="BR11" s="2082"/>
      <c r="BS11" s="2082"/>
      <c r="BT11" s="2082"/>
      <c r="BU11" s="2082"/>
      <c r="BV11" s="2089"/>
      <c r="BW11" s="2091">
        <f t="shared" si="3"/>
        <v>0</v>
      </c>
      <c r="BX11" s="2063"/>
      <c r="BY11" s="2063"/>
    </row>
    <row r="12" spans="1:77" x14ac:dyDescent="0.25">
      <c r="A12" s="2063"/>
      <c r="B12" s="2085">
        <f t="shared" si="4"/>
        <v>7</v>
      </c>
      <c r="C12" s="2086"/>
      <c r="D12" s="2087"/>
      <c r="E12" s="2088" t="s">
        <v>1229</v>
      </c>
      <c r="F12" s="2089" t="s">
        <v>1229</v>
      </c>
      <c r="G12" s="2079">
        <f t="shared" si="0"/>
        <v>0</v>
      </c>
      <c r="H12" s="2090"/>
      <c r="I12" s="2082"/>
      <c r="J12" s="2082"/>
      <c r="K12" s="2082"/>
      <c r="L12" s="2082"/>
      <c r="M12" s="2082"/>
      <c r="N12" s="2082"/>
      <c r="O12" s="2082"/>
      <c r="P12" s="2082"/>
      <c r="Q12" s="2082"/>
      <c r="R12" s="2082"/>
      <c r="S12" s="2082"/>
      <c r="T12" s="2082"/>
      <c r="U12" s="2082"/>
      <c r="V12" s="2082"/>
      <c r="W12" s="2082"/>
      <c r="X12" s="2082"/>
      <c r="Y12" s="2082"/>
      <c r="Z12" s="2082"/>
      <c r="AA12" s="2082"/>
      <c r="AB12" s="2082"/>
      <c r="AC12" s="2082"/>
      <c r="AD12" s="2082"/>
      <c r="AE12" s="2082"/>
      <c r="AF12" s="2082"/>
      <c r="AG12" s="2082"/>
      <c r="AH12" s="2082"/>
      <c r="AI12" s="2082"/>
      <c r="AJ12" s="2089"/>
      <c r="AK12" s="2091">
        <f t="shared" si="2"/>
        <v>0</v>
      </c>
      <c r="AL12" s="2084"/>
      <c r="AM12" s="2063"/>
      <c r="AN12" s="2085">
        <f t="shared" si="5"/>
        <v>7</v>
      </c>
      <c r="AO12" s="2086"/>
      <c r="AP12" s="2087"/>
      <c r="AQ12" s="2088" t="s">
        <v>1229</v>
      </c>
      <c r="AR12" s="2089" t="s">
        <v>1229</v>
      </c>
      <c r="AS12" s="2079">
        <f t="shared" si="1"/>
        <v>0</v>
      </c>
      <c r="AT12" s="2090"/>
      <c r="AU12" s="2082"/>
      <c r="AV12" s="2082"/>
      <c r="AW12" s="2082"/>
      <c r="AX12" s="2082"/>
      <c r="AY12" s="2082"/>
      <c r="AZ12" s="2082"/>
      <c r="BA12" s="2082"/>
      <c r="BB12" s="2082"/>
      <c r="BC12" s="2082"/>
      <c r="BD12" s="2082"/>
      <c r="BE12" s="2082"/>
      <c r="BF12" s="2082"/>
      <c r="BG12" s="2082"/>
      <c r="BH12" s="2082"/>
      <c r="BI12" s="2082"/>
      <c r="BJ12" s="2082"/>
      <c r="BK12" s="2082"/>
      <c r="BL12" s="2082"/>
      <c r="BM12" s="2082"/>
      <c r="BN12" s="2082"/>
      <c r="BO12" s="2082"/>
      <c r="BP12" s="2082"/>
      <c r="BQ12" s="2082"/>
      <c r="BR12" s="2082"/>
      <c r="BS12" s="2082"/>
      <c r="BT12" s="2082"/>
      <c r="BU12" s="2082"/>
      <c r="BV12" s="2089"/>
      <c r="BW12" s="2091">
        <f t="shared" si="3"/>
        <v>0</v>
      </c>
      <c r="BX12" s="2063"/>
      <c r="BY12" s="2063"/>
    </row>
    <row r="13" spans="1:77" x14ac:dyDescent="0.25">
      <c r="A13" s="2063"/>
      <c r="B13" s="2085">
        <f t="shared" si="4"/>
        <v>8</v>
      </c>
      <c r="C13" s="2086"/>
      <c r="D13" s="2087"/>
      <c r="E13" s="2088" t="s">
        <v>1229</v>
      </c>
      <c r="F13" s="2089" t="s">
        <v>1229</v>
      </c>
      <c r="G13" s="2079">
        <f t="shared" si="0"/>
        <v>0</v>
      </c>
      <c r="H13" s="2090"/>
      <c r="I13" s="2082"/>
      <c r="J13" s="2082"/>
      <c r="K13" s="2082"/>
      <c r="L13" s="2082"/>
      <c r="M13" s="2082"/>
      <c r="N13" s="2082"/>
      <c r="O13" s="2082"/>
      <c r="P13" s="2082"/>
      <c r="Q13" s="2082"/>
      <c r="R13" s="2082"/>
      <c r="S13" s="2082"/>
      <c r="T13" s="2082"/>
      <c r="U13" s="2082"/>
      <c r="V13" s="2082"/>
      <c r="W13" s="2082"/>
      <c r="X13" s="2082"/>
      <c r="Y13" s="2082"/>
      <c r="Z13" s="2082"/>
      <c r="AA13" s="2082"/>
      <c r="AB13" s="2082"/>
      <c r="AC13" s="2082"/>
      <c r="AD13" s="2082"/>
      <c r="AE13" s="2082"/>
      <c r="AF13" s="2082"/>
      <c r="AG13" s="2082"/>
      <c r="AH13" s="2082"/>
      <c r="AI13" s="2082"/>
      <c r="AJ13" s="2089"/>
      <c r="AK13" s="2091">
        <f t="shared" si="2"/>
        <v>0</v>
      </c>
      <c r="AL13" s="2084"/>
      <c r="AM13" s="2063"/>
      <c r="AN13" s="2085">
        <f t="shared" si="5"/>
        <v>8</v>
      </c>
      <c r="AO13" s="2086"/>
      <c r="AP13" s="2087"/>
      <c r="AQ13" s="2088" t="s">
        <v>1229</v>
      </c>
      <c r="AR13" s="2089" t="s">
        <v>1229</v>
      </c>
      <c r="AS13" s="2079">
        <f t="shared" si="1"/>
        <v>0</v>
      </c>
      <c r="AT13" s="2090"/>
      <c r="AU13" s="2082"/>
      <c r="AV13" s="2082"/>
      <c r="AW13" s="2082"/>
      <c r="AX13" s="2082"/>
      <c r="AY13" s="2082"/>
      <c r="AZ13" s="2082"/>
      <c r="BA13" s="2082"/>
      <c r="BB13" s="2082"/>
      <c r="BC13" s="2082"/>
      <c r="BD13" s="2082"/>
      <c r="BE13" s="2082"/>
      <c r="BF13" s="2082"/>
      <c r="BG13" s="2082"/>
      <c r="BH13" s="2082"/>
      <c r="BI13" s="2082"/>
      <c r="BJ13" s="2082"/>
      <c r="BK13" s="2082"/>
      <c r="BL13" s="2082"/>
      <c r="BM13" s="2082"/>
      <c r="BN13" s="2082"/>
      <c r="BO13" s="2082"/>
      <c r="BP13" s="2082"/>
      <c r="BQ13" s="2082"/>
      <c r="BR13" s="2082"/>
      <c r="BS13" s="2082"/>
      <c r="BT13" s="2082"/>
      <c r="BU13" s="2082"/>
      <c r="BV13" s="2089"/>
      <c r="BW13" s="2091">
        <f t="shared" si="3"/>
        <v>0</v>
      </c>
      <c r="BX13" s="2063"/>
      <c r="BY13" s="2063"/>
    </row>
    <row r="14" spans="1:77" x14ac:dyDescent="0.25">
      <c r="A14" s="2063"/>
      <c r="B14" s="2085">
        <f t="shared" si="4"/>
        <v>9</v>
      </c>
      <c r="C14" s="2086"/>
      <c r="D14" s="2087"/>
      <c r="E14" s="2088" t="s">
        <v>1229</v>
      </c>
      <c r="F14" s="2089" t="s">
        <v>1229</v>
      </c>
      <c r="G14" s="2079">
        <f>IF(OR(E14="N/A",F14="N/A"),0,IF(OR(E14="Oct",E14="Nov",E14="Dec"),F14+1,F14))</f>
        <v>0</v>
      </c>
      <c r="H14" s="2090"/>
      <c r="I14" s="2082"/>
      <c r="J14" s="2082"/>
      <c r="K14" s="2082"/>
      <c r="L14" s="2082"/>
      <c r="M14" s="2082"/>
      <c r="N14" s="2082"/>
      <c r="O14" s="2082"/>
      <c r="P14" s="2082"/>
      <c r="Q14" s="2082"/>
      <c r="R14" s="2082"/>
      <c r="S14" s="2082"/>
      <c r="T14" s="2082"/>
      <c r="U14" s="2082"/>
      <c r="V14" s="2082"/>
      <c r="W14" s="2082"/>
      <c r="X14" s="2082"/>
      <c r="Y14" s="2082"/>
      <c r="Z14" s="2082"/>
      <c r="AA14" s="2082"/>
      <c r="AB14" s="2082"/>
      <c r="AC14" s="2082"/>
      <c r="AD14" s="2082"/>
      <c r="AE14" s="2082"/>
      <c r="AF14" s="2082"/>
      <c r="AG14" s="2082"/>
      <c r="AH14" s="2082"/>
      <c r="AI14" s="2082"/>
      <c r="AJ14" s="2089"/>
      <c r="AK14" s="2091">
        <f t="shared" si="2"/>
        <v>0</v>
      </c>
      <c r="AL14" s="2084"/>
      <c r="AM14" s="2063"/>
      <c r="AN14" s="2085">
        <f t="shared" si="5"/>
        <v>9</v>
      </c>
      <c r="AO14" s="2086"/>
      <c r="AP14" s="2087"/>
      <c r="AQ14" s="2088" t="s">
        <v>1229</v>
      </c>
      <c r="AR14" s="2089" t="s">
        <v>1229</v>
      </c>
      <c r="AS14" s="2079">
        <f t="shared" si="1"/>
        <v>0</v>
      </c>
      <c r="AT14" s="2090"/>
      <c r="AU14" s="2082"/>
      <c r="AV14" s="2082"/>
      <c r="AW14" s="2082"/>
      <c r="AX14" s="2082"/>
      <c r="AY14" s="2082"/>
      <c r="AZ14" s="2082"/>
      <c r="BA14" s="2082"/>
      <c r="BB14" s="2082"/>
      <c r="BC14" s="2082"/>
      <c r="BD14" s="2082"/>
      <c r="BE14" s="2082"/>
      <c r="BF14" s="2082"/>
      <c r="BG14" s="2082"/>
      <c r="BH14" s="2082"/>
      <c r="BI14" s="2082"/>
      <c r="BJ14" s="2082"/>
      <c r="BK14" s="2082"/>
      <c r="BL14" s="2082"/>
      <c r="BM14" s="2082"/>
      <c r="BN14" s="2082"/>
      <c r="BO14" s="2082"/>
      <c r="BP14" s="2082"/>
      <c r="BQ14" s="2082"/>
      <c r="BR14" s="2082"/>
      <c r="BS14" s="2082"/>
      <c r="BT14" s="2082"/>
      <c r="BU14" s="2082"/>
      <c r="BV14" s="2089"/>
      <c r="BW14" s="2091">
        <f t="shared" si="3"/>
        <v>0</v>
      </c>
      <c r="BX14" s="2063"/>
      <c r="BY14" s="2063"/>
    </row>
    <row r="15" spans="1:77" x14ac:dyDescent="0.25">
      <c r="A15" s="2063"/>
      <c r="B15" s="2085">
        <f t="shared" si="4"/>
        <v>10</v>
      </c>
      <c r="C15" s="2086" t="s">
        <v>1543</v>
      </c>
      <c r="D15" s="2087"/>
      <c r="E15" s="2088" t="s">
        <v>1229</v>
      </c>
      <c r="F15" s="2089" t="s">
        <v>1229</v>
      </c>
      <c r="G15" s="2079">
        <f>IF(OR(E15="N/A",F15="N/A"),0,IF(OR(E15="Oct",E15="Nov",E15="Dec"),F15+1,F15))</f>
        <v>0</v>
      </c>
      <c r="H15" s="2090"/>
      <c r="I15" s="2082"/>
      <c r="J15" s="2082"/>
      <c r="K15" s="2082"/>
      <c r="L15" s="2082"/>
      <c r="M15" s="2082"/>
      <c r="N15" s="2082"/>
      <c r="O15" s="2082"/>
      <c r="P15" s="2082"/>
      <c r="Q15" s="2082"/>
      <c r="R15" s="2082"/>
      <c r="S15" s="2082"/>
      <c r="T15" s="2082"/>
      <c r="U15" s="2082"/>
      <c r="V15" s="2082"/>
      <c r="W15" s="2082"/>
      <c r="X15" s="2082"/>
      <c r="Y15" s="2082"/>
      <c r="Z15" s="2082"/>
      <c r="AA15" s="2082"/>
      <c r="AB15" s="2082"/>
      <c r="AC15" s="2082"/>
      <c r="AD15" s="2082"/>
      <c r="AE15" s="2082"/>
      <c r="AF15" s="2082"/>
      <c r="AG15" s="2082"/>
      <c r="AH15" s="2082"/>
      <c r="AI15" s="2082"/>
      <c r="AJ15" s="2089"/>
      <c r="AK15" s="2091">
        <f t="shared" si="2"/>
        <v>0</v>
      </c>
      <c r="AL15" s="2084"/>
      <c r="AM15" s="2063"/>
      <c r="AN15" s="2085">
        <f t="shared" si="5"/>
        <v>10</v>
      </c>
      <c r="AO15" s="2086"/>
      <c r="AP15" s="2087"/>
      <c r="AQ15" s="2088" t="s">
        <v>1229</v>
      </c>
      <c r="AR15" s="2089" t="s">
        <v>1229</v>
      </c>
      <c r="AS15" s="2079">
        <f t="shared" si="1"/>
        <v>0</v>
      </c>
      <c r="AT15" s="2090"/>
      <c r="AU15" s="2082"/>
      <c r="AV15" s="2082"/>
      <c r="AW15" s="2082"/>
      <c r="AX15" s="2082"/>
      <c r="AY15" s="2082"/>
      <c r="AZ15" s="2082"/>
      <c r="BA15" s="2082"/>
      <c r="BB15" s="2082"/>
      <c r="BC15" s="2082"/>
      <c r="BD15" s="2082"/>
      <c r="BE15" s="2082"/>
      <c r="BF15" s="2082"/>
      <c r="BG15" s="2082"/>
      <c r="BH15" s="2082"/>
      <c r="BI15" s="2082"/>
      <c r="BJ15" s="2082"/>
      <c r="BK15" s="2082"/>
      <c r="BL15" s="2082"/>
      <c r="BM15" s="2082"/>
      <c r="BN15" s="2082"/>
      <c r="BO15" s="2082"/>
      <c r="BP15" s="2082"/>
      <c r="BQ15" s="2082"/>
      <c r="BR15" s="2082"/>
      <c r="BS15" s="2082"/>
      <c r="BT15" s="2082"/>
      <c r="BU15" s="2082"/>
      <c r="BV15" s="2089"/>
      <c r="BW15" s="2091">
        <f t="shared" si="3"/>
        <v>0</v>
      </c>
      <c r="BX15" s="2063"/>
      <c r="BY15" s="2063"/>
    </row>
    <row r="16" spans="1:77" x14ac:dyDescent="0.25">
      <c r="A16" s="2063"/>
      <c r="B16" s="2085">
        <f t="shared" si="4"/>
        <v>11</v>
      </c>
      <c r="C16" s="2086" t="s">
        <v>1544</v>
      </c>
      <c r="D16" s="2087"/>
      <c r="E16" s="2088" t="s">
        <v>1229</v>
      </c>
      <c r="F16" s="2089" t="s">
        <v>1229</v>
      </c>
      <c r="G16" s="2079">
        <f t="shared" ref="G16:G35" si="6">IF(OR(E16="N/A",F16="N/A"),0,IF(OR(E16="Oct",E16="Nov",E16="Dec"),F16+1,F16))</f>
        <v>0</v>
      </c>
      <c r="H16" s="2090"/>
      <c r="I16" s="2082"/>
      <c r="J16" s="2082"/>
      <c r="K16" s="2082"/>
      <c r="L16" s="2082"/>
      <c r="M16" s="2082"/>
      <c r="N16" s="2082"/>
      <c r="O16" s="2082"/>
      <c r="P16" s="2082"/>
      <c r="Q16" s="2082"/>
      <c r="R16" s="2082"/>
      <c r="S16" s="2082"/>
      <c r="T16" s="2082"/>
      <c r="U16" s="2082"/>
      <c r="V16" s="2082"/>
      <c r="W16" s="2082"/>
      <c r="X16" s="2082"/>
      <c r="Y16" s="2082"/>
      <c r="Z16" s="2082"/>
      <c r="AA16" s="2082"/>
      <c r="AB16" s="2082"/>
      <c r="AC16" s="2082"/>
      <c r="AD16" s="2082"/>
      <c r="AE16" s="2082"/>
      <c r="AF16" s="2082"/>
      <c r="AG16" s="2082"/>
      <c r="AH16" s="2082"/>
      <c r="AI16" s="2082"/>
      <c r="AJ16" s="2089"/>
      <c r="AK16" s="2091">
        <f t="shared" si="2"/>
        <v>0</v>
      </c>
      <c r="AL16" s="2084"/>
      <c r="AM16" s="2063"/>
      <c r="AN16" s="2085">
        <f t="shared" si="5"/>
        <v>11</v>
      </c>
      <c r="AO16" s="2086"/>
      <c r="AP16" s="2087"/>
      <c r="AQ16" s="2088" t="s">
        <v>1229</v>
      </c>
      <c r="AR16" s="2089" t="s">
        <v>1229</v>
      </c>
      <c r="AS16" s="2079">
        <f t="shared" si="1"/>
        <v>0</v>
      </c>
      <c r="AT16" s="2090"/>
      <c r="AU16" s="2082"/>
      <c r="AV16" s="2082"/>
      <c r="AW16" s="2082"/>
      <c r="AX16" s="2082"/>
      <c r="AY16" s="2082"/>
      <c r="AZ16" s="2082"/>
      <c r="BA16" s="2082"/>
      <c r="BB16" s="2082"/>
      <c r="BC16" s="2082"/>
      <c r="BD16" s="2082"/>
      <c r="BE16" s="2082"/>
      <c r="BF16" s="2082"/>
      <c r="BG16" s="2082"/>
      <c r="BH16" s="2082"/>
      <c r="BI16" s="2082"/>
      <c r="BJ16" s="2082"/>
      <c r="BK16" s="2082"/>
      <c r="BL16" s="2082"/>
      <c r="BM16" s="2082"/>
      <c r="BN16" s="2082"/>
      <c r="BO16" s="2082"/>
      <c r="BP16" s="2082"/>
      <c r="BQ16" s="2082"/>
      <c r="BR16" s="2082"/>
      <c r="BS16" s="2082"/>
      <c r="BT16" s="2082"/>
      <c r="BU16" s="2082"/>
      <c r="BV16" s="2089"/>
      <c r="BW16" s="2091">
        <f t="shared" si="3"/>
        <v>0</v>
      </c>
      <c r="BX16" s="2063"/>
      <c r="BY16" s="2063"/>
    </row>
    <row r="17" spans="1:77" x14ac:dyDescent="0.25">
      <c r="A17" s="2063"/>
      <c r="B17" s="2085">
        <f t="shared" si="4"/>
        <v>12</v>
      </c>
      <c r="C17" s="2086" t="s">
        <v>1545</v>
      </c>
      <c r="D17" s="2092"/>
      <c r="E17" s="2088" t="s">
        <v>1229</v>
      </c>
      <c r="F17" s="2089" t="s">
        <v>1229</v>
      </c>
      <c r="G17" s="2079">
        <f t="shared" si="6"/>
        <v>0</v>
      </c>
      <c r="H17" s="2090"/>
      <c r="I17" s="2082"/>
      <c r="J17" s="2082"/>
      <c r="K17" s="2082"/>
      <c r="L17" s="2082"/>
      <c r="M17" s="2082"/>
      <c r="N17" s="2082"/>
      <c r="O17" s="2082"/>
      <c r="P17" s="2082"/>
      <c r="Q17" s="2082"/>
      <c r="R17" s="2082"/>
      <c r="S17" s="2082"/>
      <c r="T17" s="2082"/>
      <c r="U17" s="2082"/>
      <c r="V17" s="2082"/>
      <c r="W17" s="2082"/>
      <c r="X17" s="2082"/>
      <c r="Y17" s="2082"/>
      <c r="Z17" s="2082"/>
      <c r="AA17" s="2082"/>
      <c r="AB17" s="2082"/>
      <c r="AC17" s="2082"/>
      <c r="AD17" s="2082"/>
      <c r="AE17" s="2082"/>
      <c r="AF17" s="2082"/>
      <c r="AG17" s="2082"/>
      <c r="AH17" s="2082"/>
      <c r="AI17" s="2082"/>
      <c r="AJ17" s="2089"/>
      <c r="AK17" s="2091">
        <f t="shared" si="2"/>
        <v>0</v>
      </c>
      <c r="AL17" s="2093"/>
      <c r="AM17" s="2093"/>
      <c r="AN17" s="2085">
        <f t="shared" si="5"/>
        <v>12</v>
      </c>
      <c r="AO17" s="2086" t="s">
        <v>1545</v>
      </c>
      <c r="AP17" s="2092"/>
      <c r="AQ17" s="2088" t="s">
        <v>1229</v>
      </c>
      <c r="AR17" s="2089" t="s">
        <v>1229</v>
      </c>
      <c r="AS17" s="2079">
        <f t="shared" si="1"/>
        <v>0</v>
      </c>
      <c r="AT17" s="2090"/>
      <c r="AU17" s="2082"/>
      <c r="AV17" s="2082"/>
      <c r="AW17" s="2082"/>
      <c r="AX17" s="2082"/>
      <c r="AY17" s="2082"/>
      <c r="AZ17" s="2082"/>
      <c r="BA17" s="2082"/>
      <c r="BB17" s="2082"/>
      <c r="BC17" s="2082"/>
      <c r="BD17" s="2082"/>
      <c r="BE17" s="2082"/>
      <c r="BF17" s="2082"/>
      <c r="BG17" s="2082"/>
      <c r="BH17" s="2082"/>
      <c r="BI17" s="2082"/>
      <c r="BJ17" s="2082"/>
      <c r="BK17" s="2082"/>
      <c r="BL17" s="2082"/>
      <c r="BM17" s="2082"/>
      <c r="BN17" s="2082"/>
      <c r="BO17" s="2082"/>
      <c r="BP17" s="2082"/>
      <c r="BQ17" s="2082"/>
      <c r="BR17" s="2082"/>
      <c r="BS17" s="2082"/>
      <c r="BT17" s="2082"/>
      <c r="BU17" s="2082"/>
      <c r="BV17" s="2089"/>
      <c r="BW17" s="2091">
        <f t="shared" si="3"/>
        <v>0</v>
      </c>
      <c r="BX17" s="2063"/>
      <c r="BY17" s="2063"/>
    </row>
    <row r="18" spans="1:77" x14ac:dyDescent="0.25">
      <c r="A18" s="2063"/>
      <c r="B18" s="2085">
        <f t="shared" si="4"/>
        <v>13</v>
      </c>
      <c r="C18" s="2086" t="s">
        <v>1546</v>
      </c>
      <c r="D18" s="2092"/>
      <c r="E18" s="2088" t="s">
        <v>1229</v>
      </c>
      <c r="F18" s="2089" t="s">
        <v>1229</v>
      </c>
      <c r="G18" s="2079">
        <f t="shared" si="6"/>
        <v>0</v>
      </c>
      <c r="H18" s="2090"/>
      <c r="I18" s="2082"/>
      <c r="J18" s="2082"/>
      <c r="K18" s="2082"/>
      <c r="L18" s="2082"/>
      <c r="M18" s="2082"/>
      <c r="N18" s="2082"/>
      <c r="O18" s="2082"/>
      <c r="P18" s="2082"/>
      <c r="Q18" s="2082"/>
      <c r="R18" s="2082"/>
      <c r="S18" s="2082"/>
      <c r="T18" s="2082"/>
      <c r="U18" s="2082"/>
      <c r="V18" s="2082"/>
      <c r="W18" s="2082"/>
      <c r="X18" s="2082"/>
      <c r="Y18" s="2082"/>
      <c r="Z18" s="2082"/>
      <c r="AA18" s="2082"/>
      <c r="AB18" s="2082"/>
      <c r="AC18" s="2082"/>
      <c r="AD18" s="2082"/>
      <c r="AE18" s="2082"/>
      <c r="AF18" s="2082"/>
      <c r="AG18" s="2082"/>
      <c r="AH18" s="2082"/>
      <c r="AI18" s="2082"/>
      <c r="AJ18" s="2089"/>
      <c r="AK18" s="2091">
        <f t="shared" si="2"/>
        <v>0</v>
      </c>
      <c r="AL18" s="2093"/>
      <c r="AM18" s="2093"/>
      <c r="AN18" s="2085">
        <f t="shared" si="5"/>
        <v>13</v>
      </c>
      <c r="AO18" s="2086" t="s">
        <v>1546</v>
      </c>
      <c r="AP18" s="2092"/>
      <c r="AQ18" s="2088" t="s">
        <v>1229</v>
      </c>
      <c r="AR18" s="2089" t="s">
        <v>1229</v>
      </c>
      <c r="AS18" s="2079">
        <f t="shared" si="1"/>
        <v>0</v>
      </c>
      <c r="AT18" s="2090"/>
      <c r="AU18" s="2082"/>
      <c r="AV18" s="2082"/>
      <c r="AW18" s="2082"/>
      <c r="AX18" s="2082"/>
      <c r="AY18" s="2082"/>
      <c r="AZ18" s="2082"/>
      <c r="BA18" s="2082"/>
      <c r="BB18" s="2082"/>
      <c r="BC18" s="2082"/>
      <c r="BD18" s="2082"/>
      <c r="BE18" s="2082"/>
      <c r="BF18" s="2082"/>
      <c r="BG18" s="2082"/>
      <c r="BH18" s="2082"/>
      <c r="BI18" s="2082"/>
      <c r="BJ18" s="2082"/>
      <c r="BK18" s="2082"/>
      <c r="BL18" s="2082"/>
      <c r="BM18" s="2082"/>
      <c r="BN18" s="2082"/>
      <c r="BO18" s="2082"/>
      <c r="BP18" s="2082"/>
      <c r="BQ18" s="2082"/>
      <c r="BR18" s="2082"/>
      <c r="BS18" s="2082"/>
      <c r="BT18" s="2082"/>
      <c r="BU18" s="2082"/>
      <c r="BV18" s="2089"/>
      <c r="BW18" s="2091">
        <f t="shared" si="3"/>
        <v>0</v>
      </c>
      <c r="BX18" s="2063"/>
      <c r="BY18" s="2063"/>
    </row>
    <row r="19" spans="1:77" x14ac:dyDescent="0.25">
      <c r="A19" s="2063"/>
      <c r="B19" s="2085">
        <f t="shared" si="4"/>
        <v>14</v>
      </c>
      <c r="C19" s="2086" t="s">
        <v>1547</v>
      </c>
      <c r="D19" s="2092"/>
      <c r="E19" s="2088" t="s">
        <v>1229</v>
      </c>
      <c r="F19" s="2089" t="s">
        <v>1229</v>
      </c>
      <c r="G19" s="2079">
        <f t="shared" si="6"/>
        <v>0</v>
      </c>
      <c r="H19" s="2090"/>
      <c r="I19" s="2082"/>
      <c r="J19" s="2082"/>
      <c r="K19" s="2082"/>
      <c r="L19" s="2082"/>
      <c r="M19" s="2082"/>
      <c r="N19" s="2082"/>
      <c r="O19" s="2082"/>
      <c r="P19" s="2082"/>
      <c r="Q19" s="2082"/>
      <c r="R19" s="2082"/>
      <c r="S19" s="2082"/>
      <c r="T19" s="2082"/>
      <c r="U19" s="2082"/>
      <c r="V19" s="2082"/>
      <c r="W19" s="2082"/>
      <c r="X19" s="2082"/>
      <c r="Y19" s="2082"/>
      <c r="Z19" s="2082"/>
      <c r="AA19" s="2082"/>
      <c r="AB19" s="2082"/>
      <c r="AC19" s="2082"/>
      <c r="AD19" s="2082"/>
      <c r="AE19" s="2082"/>
      <c r="AF19" s="2082"/>
      <c r="AG19" s="2082"/>
      <c r="AH19" s="2082"/>
      <c r="AI19" s="2082"/>
      <c r="AJ19" s="2089"/>
      <c r="AK19" s="2091">
        <f t="shared" si="2"/>
        <v>0</v>
      </c>
      <c r="AL19" s="2093"/>
      <c r="AM19" s="2093"/>
      <c r="AN19" s="2085">
        <f t="shared" si="5"/>
        <v>14</v>
      </c>
      <c r="AO19" s="2086" t="s">
        <v>1547</v>
      </c>
      <c r="AP19" s="2092"/>
      <c r="AQ19" s="2088" t="s">
        <v>1229</v>
      </c>
      <c r="AR19" s="2089" t="s">
        <v>1229</v>
      </c>
      <c r="AS19" s="2079">
        <f t="shared" si="1"/>
        <v>0</v>
      </c>
      <c r="AT19" s="2090"/>
      <c r="AU19" s="2082"/>
      <c r="AV19" s="2082"/>
      <c r="AW19" s="2082"/>
      <c r="AX19" s="2082"/>
      <c r="AY19" s="2082"/>
      <c r="AZ19" s="2082"/>
      <c r="BA19" s="2082"/>
      <c r="BB19" s="2082"/>
      <c r="BC19" s="2082"/>
      <c r="BD19" s="2082"/>
      <c r="BE19" s="2082"/>
      <c r="BF19" s="2082"/>
      <c r="BG19" s="2082"/>
      <c r="BH19" s="2082"/>
      <c r="BI19" s="2082"/>
      <c r="BJ19" s="2082"/>
      <c r="BK19" s="2082"/>
      <c r="BL19" s="2082"/>
      <c r="BM19" s="2082"/>
      <c r="BN19" s="2082"/>
      <c r="BO19" s="2082"/>
      <c r="BP19" s="2082"/>
      <c r="BQ19" s="2082"/>
      <c r="BR19" s="2082"/>
      <c r="BS19" s="2082"/>
      <c r="BT19" s="2082"/>
      <c r="BU19" s="2082"/>
      <c r="BV19" s="2089"/>
      <c r="BW19" s="2091">
        <f t="shared" si="3"/>
        <v>0</v>
      </c>
      <c r="BX19" s="2063"/>
      <c r="BY19" s="2063"/>
    </row>
    <row r="20" spans="1:77" x14ac:dyDescent="0.25">
      <c r="A20" s="2063"/>
      <c r="B20" s="2085">
        <f t="shared" si="4"/>
        <v>15</v>
      </c>
      <c r="C20" s="2086" t="s">
        <v>1548</v>
      </c>
      <c r="D20" s="2092"/>
      <c r="E20" s="2088" t="s">
        <v>1229</v>
      </c>
      <c r="F20" s="2089" t="s">
        <v>1229</v>
      </c>
      <c r="G20" s="2079">
        <f t="shared" si="6"/>
        <v>0</v>
      </c>
      <c r="H20" s="2090"/>
      <c r="I20" s="2082"/>
      <c r="J20" s="2082"/>
      <c r="K20" s="2082"/>
      <c r="L20" s="2082"/>
      <c r="M20" s="2082"/>
      <c r="N20" s="2082"/>
      <c r="O20" s="2082"/>
      <c r="P20" s="2082"/>
      <c r="Q20" s="2082"/>
      <c r="R20" s="2082"/>
      <c r="S20" s="2082"/>
      <c r="T20" s="2082"/>
      <c r="U20" s="2082"/>
      <c r="V20" s="2082"/>
      <c r="W20" s="2082"/>
      <c r="X20" s="2082"/>
      <c r="Y20" s="2082"/>
      <c r="Z20" s="2082"/>
      <c r="AA20" s="2082"/>
      <c r="AB20" s="2082"/>
      <c r="AC20" s="2082"/>
      <c r="AD20" s="2082"/>
      <c r="AE20" s="2082"/>
      <c r="AF20" s="2082"/>
      <c r="AG20" s="2082"/>
      <c r="AH20" s="2082"/>
      <c r="AI20" s="2082"/>
      <c r="AJ20" s="2089"/>
      <c r="AK20" s="2091">
        <f t="shared" si="2"/>
        <v>0</v>
      </c>
      <c r="AL20" s="2093"/>
      <c r="AM20" s="2093"/>
      <c r="AN20" s="2085">
        <f t="shared" si="5"/>
        <v>15</v>
      </c>
      <c r="AO20" s="2086" t="s">
        <v>1548</v>
      </c>
      <c r="AP20" s="2092"/>
      <c r="AQ20" s="2088" t="s">
        <v>1229</v>
      </c>
      <c r="AR20" s="2089" t="s">
        <v>1229</v>
      </c>
      <c r="AS20" s="2079">
        <f t="shared" si="1"/>
        <v>0</v>
      </c>
      <c r="AT20" s="2090"/>
      <c r="AU20" s="2082"/>
      <c r="AV20" s="2082"/>
      <c r="AW20" s="2082"/>
      <c r="AX20" s="2082"/>
      <c r="AY20" s="2082"/>
      <c r="AZ20" s="2082"/>
      <c r="BA20" s="2082"/>
      <c r="BB20" s="2082"/>
      <c r="BC20" s="2082"/>
      <c r="BD20" s="2082"/>
      <c r="BE20" s="2082"/>
      <c r="BF20" s="2082"/>
      <c r="BG20" s="2082"/>
      <c r="BH20" s="2082"/>
      <c r="BI20" s="2082"/>
      <c r="BJ20" s="2082"/>
      <c r="BK20" s="2082"/>
      <c r="BL20" s="2082"/>
      <c r="BM20" s="2082"/>
      <c r="BN20" s="2082"/>
      <c r="BO20" s="2082"/>
      <c r="BP20" s="2082"/>
      <c r="BQ20" s="2082"/>
      <c r="BR20" s="2082"/>
      <c r="BS20" s="2082"/>
      <c r="BT20" s="2082"/>
      <c r="BU20" s="2082"/>
      <c r="BV20" s="2089"/>
      <c r="BW20" s="2091">
        <f t="shared" si="3"/>
        <v>0</v>
      </c>
      <c r="BX20" s="2063"/>
      <c r="BY20" s="2063"/>
    </row>
    <row r="21" spans="1:77" x14ac:dyDescent="0.25">
      <c r="A21" s="2063"/>
      <c r="B21" s="2085">
        <f t="shared" si="4"/>
        <v>16</v>
      </c>
      <c r="C21" s="2086" t="s">
        <v>1549</v>
      </c>
      <c r="D21" s="2092"/>
      <c r="E21" s="2088" t="s">
        <v>1229</v>
      </c>
      <c r="F21" s="2089" t="s">
        <v>1229</v>
      </c>
      <c r="G21" s="2079">
        <f t="shared" si="6"/>
        <v>0</v>
      </c>
      <c r="H21" s="2090"/>
      <c r="I21" s="2082"/>
      <c r="J21" s="2082"/>
      <c r="K21" s="2082"/>
      <c r="L21" s="2082"/>
      <c r="M21" s="2082"/>
      <c r="N21" s="2082"/>
      <c r="O21" s="2082"/>
      <c r="P21" s="2082"/>
      <c r="Q21" s="2082"/>
      <c r="R21" s="2082"/>
      <c r="S21" s="2082"/>
      <c r="T21" s="2082"/>
      <c r="U21" s="2082"/>
      <c r="V21" s="2082"/>
      <c r="W21" s="2082"/>
      <c r="X21" s="2082"/>
      <c r="Y21" s="2082"/>
      <c r="Z21" s="2082"/>
      <c r="AA21" s="2082"/>
      <c r="AB21" s="2082"/>
      <c r="AC21" s="2082"/>
      <c r="AD21" s="2082"/>
      <c r="AE21" s="2082"/>
      <c r="AF21" s="2082"/>
      <c r="AG21" s="2082"/>
      <c r="AH21" s="2082"/>
      <c r="AI21" s="2082"/>
      <c r="AJ21" s="2089"/>
      <c r="AK21" s="2091">
        <f t="shared" si="2"/>
        <v>0</v>
      </c>
      <c r="AL21" s="2093"/>
      <c r="AM21" s="2093"/>
      <c r="AN21" s="2085">
        <f t="shared" si="5"/>
        <v>16</v>
      </c>
      <c r="AO21" s="2086" t="s">
        <v>1549</v>
      </c>
      <c r="AP21" s="2092"/>
      <c r="AQ21" s="2088" t="s">
        <v>1229</v>
      </c>
      <c r="AR21" s="2089" t="s">
        <v>1229</v>
      </c>
      <c r="AS21" s="2079">
        <f t="shared" si="1"/>
        <v>0</v>
      </c>
      <c r="AT21" s="2090"/>
      <c r="AU21" s="2082"/>
      <c r="AV21" s="2082"/>
      <c r="AW21" s="2082"/>
      <c r="AX21" s="2082"/>
      <c r="AY21" s="2082"/>
      <c r="AZ21" s="2082"/>
      <c r="BA21" s="2082"/>
      <c r="BB21" s="2082"/>
      <c r="BC21" s="2082"/>
      <c r="BD21" s="2082"/>
      <c r="BE21" s="2082"/>
      <c r="BF21" s="2082"/>
      <c r="BG21" s="2082"/>
      <c r="BH21" s="2082"/>
      <c r="BI21" s="2082"/>
      <c r="BJ21" s="2082"/>
      <c r="BK21" s="2082"/>
      <c r="BL21" s="2082"/>
      <c r="BM21" s="2082"/>
      <c r="BN21" s="2082"/>
      <c r="BO21" s="2082"/>
      <c r="BP21" s="2082"/>
      <c r="BQ21" s="2082"/>
      <c r="BR21" s="2082"/>
      <c r="BS21" s="2082"/>
      <c r="BT21" s="2082"/>
      <c r="BU21" s="2082"/>
      <c r="BV21" s="2089"/>
      <c r="BW21" s="2091">
        <f t="shared" si="3"/>
        <v>0</v>
      </c>
      <c r="BX21" s="2063"/>
      <c r="BY21" s="2063"/>
    </row>
    <row r="22" spans="1:77" x14ac:dyDescent="0.25">
      <c r="A22" s="2063"/>
      <c r="B22" s="2085">
        <f t="shared" si="4"/>
        <v>17</v>
      </c>
      <c r="C22" s="2086" t="s">
        <v>1550</v>
      </c>
      <c r="D22" s="2092"/>
      <c r="E22" s="2088" t="s">
        <v>1229</v>
      </c>
      <c r="F22" s="2089" t="s">
        <v>1229</v>
      </c>
      <c r="G22" s="2079">
        <f t="shared" si="6"/>
        <v>0</v>
      </c>
      <c r="H22" s="2090"/>
      <c r="I22" s="2082"/>
      <c r="J22" s="2082"/>
      <c r="K22" s="2082"/>
      <c r="L22" s="2082"/>
      <c r="M22" s="2082"/>
      <c r="N22" s="2082"/>
      <c r="O22" s="2082"/>
      <c r="P22" s="2082"/>
      <c r="Q22" s="2082"/>
      <c r="R22" s="2082"/>
      <c r="S22" s="2082"/>
      <c r="T22" s="2082"/>
      <c r="U22" s="2082"/>
      <c r="V22" s="2082"/>
      <c r="W22" s="2082"/>
      <c r="X22" s="2082"/>
      <c r="Y22" s="2082"/>
      <c r="Z22" s="2082"/>
      <c r="AA22" s="2082"/>
      <c r="AB22" s="2082"/>
      <c r="AC22" s="2082"/>
      <c r="AD22" s="2082"/>
      <c r="AE22" s="2082"/>
      <c r="AF22" s="2082"/>
      <c r="AG22" s="2082"/>
      <c r="AH22" s="2082"/>
      <c r="AI22" s="2082"/>
      <c r="AJ22" s="2089"/>
      <c r="AK22" s="2091">
        <f t="shared" si="2"/>
        <v>0</v>
      </c>
      <c r="AL22" s="2093"/>
      <c r="AM22" s="2093"/>
      <c r="AN22" s="2085">
        <f t="shared" si="5"/>
        <v>17</v>
      </c>
      <c r="AO22" s="2086" t="s">
        <v>1550</v>
      </c>
      <c r="AP22" s="2092"/>
      <c r="AQ22" s="2088" t="s">
        <v>1229</v>
      </c>
      <c r="AR22" s="2089" t="s">
        <v>1229</v>
      </c>
      <c r="AS22" s="2079">
        <f t="shared" si="1"/>
        <v>0</v>
      </c>
      <c r="AT22" s="2090"/>
      <c r="AU22" s="2082"/>
      <c r="AV22" s="2082"/>
      <c r="AW22" s="2082"/>
      <c r="AX22" s="2082"/>
      <c r="AY22" s="2082"/>
      <c r="AZ22" s="2082"/>
      <c r="BA22" s="2082"/>
      <c r="BB22" s="2082"/>
      <c r="BC22" s="2082"/>
      <c r="BD22" s="2082"/>
      <c r="BE22" s="2082"/>
      <c r="BF22" s="2082"/>
      <c r="BG22" s="2082"/>
      <c r="BH22" s="2082"/>
      <c r="BI22" s="2082"/>
      <c r="BJ22" s="2082"/>
      <c r="BK22" s="2082"/>
      <c r="BL22" s="2082"/>
      <c r="BM22" s="2082"/>
      <c r="BN22" s="2082"/>
      <c r="BO22" s="2082"/>
      <c r="BP22" s="2082"/>
      <c r="BQ22" s="2082"/>
      <c r="BR22" s="2082"/>
      <c r="BS22" s="2082"/>
      <c r="BT22" s="2082"/>
      <c r="BU22" s="2082"/>
      <c r="BV22" s="2089"/>
      <c r="BW22" s="2091">
        <f t="shared" si="3"/>
        <v>0</v>
      </c>
      <c r="BX22" s="2063"/>
      <c r="BY22" s="2063"/>
    </row>
    <row r="23" spans="1:77" x14ac:dyDescent="0.25">
      <c r="A23" s="2063"/>
      <c r="B23" s="2085">
        <f t="shared" si="4"/>
        <v>18</v>
      </c>
      <c r="C23" s="2086" t="s">
        <v>1551</v>
      </c>
      <c r="D23" s="2092"/>
      <c r="E23" s="2088" t="s">
        <v>1229</v>
      </c>
      <c r="F23" s="2089" t="s">
        <v>1229</v>
      </c>
      <c r="G23" s="2079">
        <f t="shared" si="6"/>
        <v>0</v>
      </c>
      <c r="H23" s="2090"/>
      <c r="I23" s="2082"/>
      <c r="J23" s="2082"/>
      <c r="K23" s="2082"/>
      <c r="L23" s="2082"/>
      <c r="M23" s="2082"/>
      <c r="N23" s="2082"/>
      <c r="O23" s="2082"/>
      <c r="P23" s="2082"/>
      <c r="Q23" s="2082"/>
      <c r="R23" s="2082"/>
      <c r="S23" s="2082"/>
      <c r="T23" s="2082"/>
      <c r="U23" s="2082"/>
      <c r="V23" s="2082"/>
      <c r="W23" s="2082"/>
      <c r="X23" s="2082"/>
      <c r="Y23" s="2082"/>
      <c r="Z23" s="2082"/>
      <c r="AA23" s="2082"/>
      <c r="AB23" s="2082"/>
      <c r="AC23" s="2082"/>
      <c r="AD23" s="2082"/>
      <c r="AE23" s="2082"/>
      <c r="AF23" s="2082"/>
      <c r="AG23" s="2082"/>
      <c r="AH23" s="2082"/>
      <c r="AI23" s="2082"/>
      <c r="AJ23" s="2089"/>
      <c r="AK23" s="2091">
        <f t="shared" si="2"/>
        <v>0</v>
      </c>
      <c r="AL23" s="2093"/>
      <c r="AM23" s="2093"/>
      <c r="AN23" s="2085">
        <f t="shared" si="5"/>
        <v>18</v>
      </c>
      <c r="AO23" s="2086" t="s">
        <v>1551</v>
      </c>
      <c r="AP23" s="2092"/>
      <c r="AQ23" s="2088" t="s">
        <v>1229</v>
      </c>
      <c r="AR23" s="2089" t="s">
        <v>1229</v>
      </c>
      <c r="AS23" s="2079">
        <f t="shared" si="1"/>
        <v>0</v>
      </c>
      <c r="AT23" s="2090"/>
      <c r="AU23" s="2082"/>
      <c r="AV23" s="2082"/>
      <c r="AW23" s="2082"/>
      <c r="AX23" s="2082"/>
      <c r="AY23" s="2082"/>
      <c r="AZ23" s="2082"/>
      <c r="BA23" s="2082"/>
      <c r="BB23" s="2082"/>
      <c r="BC23" s="2082"/>
      <c r="BD23" s="2082"/>
      <c r="BE23" s="2082"/>
      <c r="BF23" s="2082"/>
      <c r="BG23" s="2082"/>
      <c r="BH23" s="2082"/>
      <c r="BI23" s="2082"/>
      <c r="BJ23" s="2082"/>
      <c r="BK23" s="2082"/>
      <c r="BL23" s="2082"/>
      <c r="BM23" s="2082"/>
      <c r="BN23" s="2082"/>
      <c r="BO23" s="2082"/>
      <c r="BP23" s="2082"/>
      <c r="BQ23" s="2082"/>
      <c r="BR23" s="2082"/>
      <c r="BS23" s="2082"/>
      <c r="BT23" s="2082"/>
      <c r="BU23" s="2082"/>
      <c r="BV23" s="2089"/>
      <c r="BW23" s="2091">
        <f t="shared" si="3"/>
        <v>0</v>
      </c>
      <c r="BX23" s="2063"/>
      <c r="BY23" s="2063"/>
    </row>
    <row r="24" spans="1:77" x14ac:dyDescent="0.25">
      <c r="A24" s="2063"/>
      <c r="B24" s="2085">
        <f t="shared" si="4"/>
        <v>19</v>
      </c>
      <c r="C24" s="2086" t="s">
        <v>1552</v>
      </c>
      <c r="D24" s="2092"/>
      <c r="E24" s="2088" t="s">
        <v>1229</v>
      </c>
      <c r="F24" s="2089" t="s">
        <v>1229</v>
      </c>
      <c r="G24" s="2079">
        <f t="shared" si="6"/>
        <v>0</v>
      </c>
      <c r="H24" s="2090"/>
      <c r="I24" s="2082"/>
      <c r="J24" s="2082"/>
      <c r="K24" s="2082"/>
      <c r="L24" s="2082"/>
      <c r="M24" s="2082"/>
      <c r="N24" s="2082"/>
      <c r="O24" s="2082"/>
      <c r="P24" s="2082"/>
      <c r="Q24" s="2082"/>
      <c r="R24" s="2082"/>
      <c r="S24" s="2082"/>
      <c r="T24" s="2082"/>
      <c r="U24" s="2082"/>
      <c r="V24" s="2082"/>
      <c r="W24" s="2082"/>
      <c r="X24" s="2082"/>
      <c r="Y24" s="2082"/>
      <c r="Z24" s="2082"/>
      <c r="AA24" s="2082"/>
      <c r="AB24" s="2082"/>
      <c r="AC24" s="2082"/>
      <c r="AD24" s="2082"/>
      <c r="AE24" s="2082"/>
      <c r="AF24" s="2082"/>
      <c r="AG24" s="2082"/>
      <c r="AH24" s="2082"/>
      <c r="AI24" s="2082"/>
      <c r="AJ24" s="2089"/>
      <c r="AK24" s="2091">
        <f t="shared" si="2"/>
        <v>0</v>
      </c>
      <c r="AL24" s="2093"/>
      <c r="AM24" s="2093"/>
      <c r="AN24" s="2085">
        <f t="shared" si="5"/>
        <v>19</v>
      </c>
      <c r="AO24" s="2086" t="s">
        <v>1552</v>
      </c>
      <c r="AP24" s="2092"/>
      <c r="AQ24" s="2088" t="s">
        <v>1229</v>
      </c>
      <c r="AR24" s="2089" t="s">
        <v>1229</v>
      </c>
      <c r="AS24" s="2079">
        <f t="shared" si="1"/>
        <v>0</v>
      </c>
      <c r="AT24" s="2090"/>
      <c r="AU24" s="2082"/>
      <c r="AV24" s="2082"/>
      <c r="AW24" s="2082"/>
      <c r="AX24" s="2082"/>
      <c r="AY24" s="2082"/>
      <c r="AZ24" s="2082"/>
      <c r="BA24" s="2082"/>
      <c r="BB24" s="2082"/>
      <c r="BC24" s="2082"/>
      <c r="BD24" s="2082"/>
      <c r="BE24" s="2082"/>
      <c r="BF24" s="2082"/>
      <c r="BG24" s="2082"/>
      <c r="BH24" s="2082"/>
      <c r="BI24" s="2082"/>
      <c r="BJ24" s="2082"/>
      <c r="BK24" s="2082"/>
      <c r="BL24" s="2082"/>
      <c r="BM24" s="2082"/>
      <c r="BN24" s="2082"/>
      <c r="BO24" s="2082"/>
      <c r="BP24" s="2082"/>
      <c r="BQ24" s="2082"/>
      <c r="BR24" s="2082"/>
      <c r="BS24" s="2082"/>
      <c r="BT24" s="2082"/>
      <c r="BU24" s="2082"/>
      <c r="BV24" s="2089"/>
      <c r="BW24" s="2091">
        <f t="shared" si="3"/>
        <v>0</v>
      </c>
      <c r="BX24" s="2063"/>
      <c r="BY24" s="2063"/>
    </row>
    <row r="25" spans="1:77" x14ac:dyDescent="0.25">
      <c r="A25" s="2063"/>
      <c r="B25" s="2085">
        <f t="shared" si="4"/>
        <v>20</v>
      </c>
      <c r="C25" s="2086" t="s">
        <v>1553</v>
      </c>
      <c r="D25" s="2092"/>
      <c r="E25" s="2088" t="s">
        <v>1229</v>
      </c>
      <c r="F25" s="2089" t="s">
        <v>1229</v>
      </c>
      <c r="G25" s="2079">
        <f t="shared" si="6"/>
        <v>0</v>
      </c>
      <c r="H25" s="2090"/>
      <c r="I25" s="2082"/>
      <c r="J25" s="2082"/>
      <c r="K25" s="2082"/>
      <c r="L25" s="2082"/>
      <c r="M25" s="2082"/>
      <c r="N25" s="2082"/>
      <c r="O25" s="2082"/>
      <c r="P25" s="2082"/>
      <c r="Q25" s="2082"/>
      <c r="R25" s="2082"/>
      <c r="S25" s="2082"/>
      <c r="T25" s="2082"/>
      <c r="U25" s="2082"/>
      <c r="V25" s="2082"/>
      <c r="W25" s="2082"/>
      <c r="X25" s="2082"/>
      <c r="Y25" s="2082"/>
      <c r="Z25" s="2082"/>
      <c r="AA25" s="2082"/>
      <c r="AB25" s="2082"/>
      <c r="AC25" s="2082"/>
      <c r="AD25" s="2082"/>
      <c r="AE25" s="2082"/>
      <c r="AF25" s="2082"/>
      <c r="AG25" s="2082"/>
      <c r="AH25" s="2082"/>
      <c r="AI25" s="2082"/>
      <c r="AJ25" s="2089"/>
      <c r="AK25" s="2091">
        <f t="shared" si="2"/>
        <v>0</v>
      </c>
      <c r="AL25" s="2093"/>
      <c r="AM25" s="2093"/>
      <c r="AN25" s="2085">
        <f t="shared" si="5"/>
        <v>20</v>
      </c>
      <c r="AO25" s="2086" t="s">
        <v>1553</v>
      </c>
      <c r="AP25" s="2092"/>
      <c r="AQ25" s="2088" t="s">
        <v>1229</v>
      </c>
      <c r="AR25" s="2089" t="s">
        <v>1229</v>
      </c>
      <c r="AS25" s="2079">
        <f t="shared" si="1"/>
        <v>0</v>
      </c>
      <c r="AT25" s="2090"/>
      <c r="AU25" s="2082"/>
      <c r="AV25" s="2082"/>
      <c r="AW25" s="2082"/>
      <c r="AX25" s="2082"/>
      <c r="AY25" s="2082"/>
      <c r="AZ25" s="2082"/>
      <c r="BA25" s="2082"/>
      <c r="BB25" s="2082"/>
      <c r="BC25" s="2082"/>
      <c r="BD25" s="2082"/>
      <c r="BE25" s="2082"/>
      <c r="BF25" s="2082"/>
      <c r="BG25" s="2082"/>
      <c r="BH25" s="2082"/>
      <c r="BI25" s="2082"/>
      <c r="BJ25" s="2082"/>
      <c r="BK25" s="2082"/>
      <c r="BL25" s="2082"/>
      <c r="BM25" s="2082"/>
      <c r="BN25" s="2082"/>
      <c r="BO25" s="2082"/>
      <c r="BP25" s="2082"/>
      <c r="BQ25" s="2082"/>
      <c r="BR25" s="2082"/>
      <c r="BS25" s="2082"/>
      <c r="BT25" s="2082"/>
      <c r="BU25" s="2082"/>
      <c r="BV25" s="2089"/>
      <c r="BW25" s="2091">
        <f t="shared" si="3"/>
        <v>0</v>
      </c>
      <c r="BX25" s="2063"/>
      <c r="BY25" s="2063"/>
    </row>
    <row r="26" spans="1:77" x14ac:dyDescent="0.25">
      <c r="A26" s="2063"/>
      <c r="B26" s="2085">
        <f t="shared" si="4"/>
        <v>21</v>
      </c>
      <c r="C26" s="2086" t="s">
        <v>1554</v>
      </c>
      <c r="D26" s="2092"/>
      <c r="E26" s="2088" t="s">
        <v>1229</v>
      </c>
      <c r="F26" s="2089" t="s">
        <v>1229</v>
      </c>
      <c r="G26" s="2079">
        <f t="shared" si="6"/>
        <v>0</v>
      </c>
      <c r="H26" s="2090"/>
      <c r="I26" s="2082"/>
      <c r="J26" s="2082"/>
      <c r="K26" s="2082"/>
      <c r="L26" s="2082"/>
      <c r="M26" s="2082"/>
      <c r="N26" s="2082"/>
      <c r="O26" s="2082"/>
      <c r="P26" s="2082"/>
      <c r="Q26" s="2082"/>
      <c r="R26" s="2082"/>
      <c r="S26" s="2082"/>
      <c r="T26" s="2082"/>
      <c r="U26" s="2082"/>
      <c r="V26" s="2082"/>
      <c r="W26" s="2082"/>
      <c r="X26" s="2082"/>
      <c r="Y26" s="2082"/>
      <c r="Z26" s="2082"/>
      <c r="AA26" s="2082"/>
      <c r="AB26" s="2082"/>
      <c r="AC26" s="2082"/>
      <c r="AD26" s="2082"/>
      <c r="AE26" s="2082"/>
      <c r="AF26" s="2082"/>
      <c r="AG26" s="2082"/>
      <c r="AH26" s="2082"/>
      <c r="AI26" s="2082"/>
      <c r="AJ26" s="2089"/>
      <c r="AK26" s="2091">
        <f t="shared" si="2"/>
        <v>0</v>
      </c>
      <c r="AL26" s="2093"/>
      <c r="AM26" s="2093"/>
      <c r="AN26" s="2085">
        <f t="shared" si="5"/>
        <v>21</v>
      </c>
      <c r="AO26" s="2086" t="s">
        <v>1554</v>
      </c>
      <c r="AP26" s="2092"/>
      <c r="AQ26" s="2088" t="s">
        <v>1229</v>
      </c>
      <c r="AR26" s="2089" t="s">
        <v>1229</v>
      </c>
      <c r="AS26" s="2079">
        <f t="shared" si="1"/>
        <v>0</v>
      </c>
      <c r="AT26" s="2090"/>
      <c r="AU26" s="2082"/>
      <c r="AV26" s="2082"/>
      <c r="AW26" s="2082"/>
      <c r="AX26" s="2082"/>
      <c r="AY26" s="2082"/>
      <c r="AZ26" s="2082"/>
      <c r="BA26" s="2082"/>
      <c r="BB26" s="2082"/>
      <c r="BC26" s="2082"/>
      <c r="BD26" s="2082"/>
      <c r="BE26" s="2082"/>
      <c r="BF26" s="2082"/>
      <c r="BG26" s="2082"/>
      <c r="BH26" s="2082"/>
      <c r="BI26" s="2082"/>
      <c r="BJ26" s="2082"/>
      <c r="BK26" s="2082"/>
      <c r="BL26" s="2082"/>
      <c r="BM26" s="2082"/>
      <c r="BN26" s="2082"/>
      <c r="BO26" s="2082"/>
      <c r="BP26" s="2082"/>
      <c r="BQ26" s="2082"/>
      <c r="BR26" s="2082"/>
      <c r="BS26" s="2082"/>
      <c r="BT26" s="2082"/>
      <c r="BU26" s="2082"/>
      <c r="BV26" s="2089"/>
      <c r="BW26" s="2091">
        <f t="shared" si="3"/>
        <v>0</v>
      </c>
      <c r="BX26" s="2063"/>
      <c r="BY26" s="2063"/>
    </row>
    <row r="27" spans="1:77" x14ac:dyDescent="0.25">
      <c r="A27" s="2063"/>
      <c r="B27" s="2085">
        <f t="shared" si="4"/>
        <v>22</v>
      </c>
      <c r="C27" s="2086" t="s">
        <v>1555</v>
      </c>
      <c r="D27" s="2092"/>
      <c r="E27" s="2088" t="s">
        <v>1229</v>
      </c>
      <c r="F27" s="2089" t="s">
        <v>1229</v>
      </c>
      <c r="G27" s="2079">
        <f t="shared" si="6"/>
        <v>0</v>
      </c>
      <c r="H27" s="2090"/>
      <c r="I27" s="2082"/>
      <c r="J27" s="2082"/>
      <c r="K27" s="2082"/>
      <c r="L27" s="2082"/>
      <c r="M27" s="2082"/>
      <c r="N27" s="2082"/>
      <c r="O27" s="2082"/>
      <c r="P27" s="2082"/>
      <c r="Q27" s="2082"/>
      <c r="R27" s="2082"/>
      <c r="S27" s="2082"/>
      <c r="T27" s="2082"/>
      <c r="U27" s="2082"/>
      <c r="V27" s="2082"/>
      <c r="W27" s="2082"/>
      <c r="X27" s="2082"/>
      <c r="Y27" s="2082"/>
      <c r="Z27" s="2082"/>
      <c r="AA27" s="2082"/>
      <c r="AB27" s="2082"/>
      <c r="AC27" s="2082"/>
      <c r="AD27" s="2082"/>
      <c r="AE27" s="2082"/>
      <c r="AF27" s="2082"/>
      <c r="AG27" s="2082"/>
      <c r="AH27" s="2082"/>
      <c r="AI27" s="2082"/>
      <c r="AJ27" s="2089"/>
      <c r="AK27" s="2091">
        <f t="shared" si="2"/>
        <v>0</v>
      </c>
      <c r="AL27" s="2093"/>
      <c r="AM27" s="2093"/>
      <c r="AN27" s="2085">
        <f t="shared" si="5"/>
        <v>22</v>
      </c>
      <c r="AO27" s="2086" t="s">
        <v>1555</v>
      </c>
      <c r="AP27" s="2092"/>
      <c r="AQ27" s="2088" t="s">
        <v>1229</v>
      </c>
      <c r="AR27" s="2089" t="s">
        <v>1229</v>
      </c>
      <c r="AS27" s="2079">
        <f t="shared" si="1"/>
        <v>0</v>
      </c>
      <c r="AT27" s="2090"/>
      <c r="AU27" s="2082"/>
      <c r="AV27" s="2082"/>
      <c r="AW27" s="2082"/>
      <c r="AX27" s="2082"/>
      <c r="AY27" s="2082"/>
      <c r="AZ27" s="2082"/>
      <c r="BA27" s="2082"/>
      <c r="BB27" s="2082"/>
      <c r="BC27" s="2082"/>
      <c r="BD27" s="2082"/>
      <c r="BE27" s="2082"/>
      <c r="BF27" s="2082"/>
      <c r="BG27" s="2082"/>
      <c r="BH27" s="2082"/>
      <c r="BI27" s="2082"/>
      <c r="BJ27" s="2082"/>
      <c r="BK27" s="2082"/>
      <c r="BL27" s="2082"/>
      <c r="BM27" s="2082"/>
      <c r="BN27" s="2082"/>
      <c r="BO27" s="2082"/>
      <c r="BP27" s="2082"/>
      <c r="BQ27" s="2082"/>
      <c r="BR27" s="2082"/>
      <c r="BS27" s="2082"/>
      <c r="BT27" s="2082"/>
      <c r="BU27" s="2082"/>
      <c r="BV27" s="2089"/>
      <c r="BW27" s="2091">
        <f t="shared" si="3"/>
        <v>0</v>
      </c>
      <c r="BX27" s="2063"/>
      <c r="BY27" s="2063"/>
    </row>
    <row r="28" spans="1:77" x14ac:dyDescent="0.25">
      <c r="A28" s="2063"/>
      <c r="B28" s="2085">
        <f t="shared" si="4"/>
        <v>23</v>
      </c>
      <c r="C28" s="2086" t="s">
        <v>1556</v>
      </c>
      <c r="D28" s="2092"/>
      <c r="E28" s="2088" t="s">
        <v>1229</v>
      </c>
      <c r="F28" s="2089" t="s">
        <v>1229</v>
      </c>
      <c r="G28" s="2079">
        <f t="shared" si="6"/>
        <v>0</v>
      </c>
      <c r="H28" s="2090"/>
      <c r="I28" s="2082"/>
      <c r="J28" s="2082"/>
      <c r="K28" s="2082"/>
      <c r="L28" s="2082"/>
      <c r="M28" s="2082"/>
      <c r="N28" s="2082"/>
      <c r="O28" s="2082"/>
      <c r="P28" s="2082"/>
      <c r="Q28" s="2082"/>
      <c r="R28" s="2082"/>
      <c r="S28" s="2082"/>
      <c r="T28" s="2082"/>
      <c r="U28" s="2082"/>
      <c r="V28" s="2082"/>
      <c r="W28" s="2082"/>
      <c r="X28" s="2082"/>
      <c r="Y28" s="2082"/>
      <c r="Z28" s="2082"/>
      <c r="AA28" s="2082"/>
      <c r="AB28" s="2082"/>
      <c r="AC28" s="2082"/>
      <c r="AD28" s="2082"/>
      <c r="AE28" s="2082"/>
      <c r="AF28" s="2082"/>
      <c r="AG28" s="2082"/>
      <c r="AH28" s="2082"/>
      <c r="AI28" s="2082"/>
      <c r="AJ28" s="2089"/>
      <c r="AK28" s="2091">
        <f t="shared" si="2"/>
        <v>0</v>
      </c>
      <c r="AL28" s="2093"/>
      <c r="AM28" s="2093"/>
      <c r="AN28" s="2085">
        <f t="shared" si="5"/>
        <v>23</v>
      </c>
      <c r="AO28" s="2086" t="s">
        <v>1556</v>
      </c>
      <c r="AP28" s="2092"/>
      <c r="AQ28" s="2088" t="s">
        <v>1229</v>
      </c>
      <c r="AR28" s="2089" t="s">
        <v>1229</v>
      </c>
      <c r="AS28" s="2079">
        <f t="shared" si="1"/>
        <v>0</v>
      </c>
      <c r="AT28" s="2090"/>
      <c r="AU28" s="2082"/>
      <c r="AV28" s="2082"/>
      <c r="AW28" s="2082"/>
      <c r="AX28" s="2082"/>
      <c r="AY28" s="2082"/>
      <c r="AZ28" s="2082"/>
      <c r="BA28" s="2082"/>
      <c r="BB28" s="2082"/>
      <c r="BC28" s="2082"/>
      <c r="BD28" s="2082"/>
      <c r="BE28" s="2082"/>
      <c r="BF28" s="2082"/>
      <c r="BG28" s="2082"/>
      <c r="BH28" s="2082"/>
      <c r="BI28" s="2082"/>
      <c r="BJ28" s="2082"/>
      <c r="BK28" s="2082"/>
      <c r="BL28" s="2082"/>
      <c r="BM28" s="2082"/>
      <c r="BN28" s="2082"/>
      <c r="BO28" s="2082"/>
      <c r="BP28" s="2082"/>
      <c r="BQ28" s="2082"/>
      <c r="BR28" s="2082"/>
      <c r="BS28" s="2082"/>
      <c r="BT28" s="2082"/>
      <c r="BU28" s="2082"/>
      <c r="BV28" s="2089"/>
      <c r="BW28" s="2091">
        <f t="shared" si="3"/>
        <v>0</v>
      </c>
      <c r="BX28" s="2063"/>
      <c r="BY28" s="2063"/>
    </row>
    <row r="29" spans="1:77" x14ac:dyDescent="0.25">
      <c r="A29" s="2063"/>
      <c r="B29" s="2085">
        <f t="shared" si="4"/>
        <v>24</v>
      </c>
      <c r="C29" s="2086" t="s">
        <v>1557</v>
      </c>
      <c r="D29" s="2092"/>
      <c r="E29" s="2088" t="s">
        <v>1229</v>
      </c>
      <c r="F29" s="2089" t="s">
        <v>1229</v>
      </c>
      <c r="G29" s="2079">
        <f t="shared" si="6"/>
        <v>0</v>
      </c>
      <c r="H29" s="2090"/>
      <c r="I29" s="2082"/>
      <c r="J29" s="2082"/>
      <c r="K29" s="2082"/>
      <c r="L29" s="2082"/>
      <c r="M29" s="2082"/>
      <c r="N29" s="2082"/>
      <c r="O29" s="2082"/>
      <c r="P29" s="2082"/>
      <c r="Q29" s="2082"/>
      <c r="R29" s="2082"/>
      <c r="S29" s="2082"/>
      <c r="T29" s="2082"/>
      <c r="U29" s="2082"/>
      <c r="V29" s="2082"/>
      <c r="W29" s="2082"/>
      <c r="X29" s="2082"/>
      <c r="Y29" s="2082"/>
      <c r="Z29" s="2082"/>
      <c r="AA29" s="2082"/>
      <c r="AB29" s="2082"/>
      <c r="AC29" s="2082"/>
      <c r="AD29" s="2082"/>
      <c r="AE29" s="2082"/>
      <c r="AF29" s="2082"/>
      <c r="AG29" s="2082"/>
      <c r="AH29" s="2082"/>
      <c r="AI29" s="2082"/>
      <c r="AJ29" s="2089"/>
      <c r="AK29" s="2091">
        <f t="shared" si="2"/>
        <v>0</v>
      </c>
      <c r="AL29" s="2093"/>
      <c r="AM29" s="2093"/>
      <c r="AN29" s="2085">
        <f t="shared" si="5"/>
        <v>24</v>
      </c>
      <c r="AO29" s="2086" t="s">
        <v>1557</v>
      </c>
      <c r="AP29" s="2092"/>
      <c r="AQ29" s="2088" t="s">
        <v>1229</v>
      </c>
      <c r="AR29" s="2089" t="s">
        <v>1229</v>
      </c>
      <c r="AS29" s="2079">
        <f t="shared" si="1"/>
        <v>0</v>
      </c>
      <c r="AT29" s="2090"/>
      <c r="AU29" s="2082"/>
      <c r="AV29" s="2082"/>
      <c r="AW29" s="2082"/>
      <c r="AX29" s="2082"/>
      <c r="AY29" s="2082"/>
      <c r="AZ29" s="2082"/>
      <c r="BA29" s="2082"/>
      <c r="BB29" s="2082"/>
      <c r="BC29" s="2082"/>
      <c r="BD29" s="2082"/>
      <c r="BE29" s="2082"/>
      <c r="BF29" s="2082"/>
      <c r="BG29" s="2082"/>
      <c r="BH29" s="2082"/>
      <c r="BI29" s="2082"/>
      <c r="BJ29" s="2082"/>
      <c r="BK29" s="2082"/>
      <c r="BL29" s="2082"/>
      <c r="BM29" s="2082"/>
      <c r="BN29" s="2082"/>
      <c r="BO29" s="2082"/>
      <c r="BP29" s="2082"/>
      <c r="BQ29" s="2082"/>
      <c r="BR29" s="2082"/>
      <c r="BS29" s="2082"/>
      <c r="BT29" s="2082"/>
      <c r="BU29" s="2082"/>
      <c r="BV29" s="2089"/>
      <c r="BW29" s="2091">
        <f t="shared" si="3"/>
        <v>0</v>
      </c>
      <c r="BX29" s="2063"/>
      <c r="BY29" s="2063"/>
    </row>
    <row r="30" spans="1:77" x14ac:dyDescent="0.25">
      <c r="A30" s="2063"/>
      <c r="B30" s="2085">
        <f t="shared" si="4"/>
        <v>25</v>
      </c>
      <c r="C30" s="2086" t="s">
        <v>1558</v>
      </c>
      <c r="D30" s="2092"/>
      <c r="E30" s="2088" t="s">
        <v>1229</v>
      </c>
      <c r="F30" s="2089" t="s">
        <v>1229</v>
      </c>
      <c r="G30" s="2079">
        <f t="shared" si="6"/>
        <v>0</v>
      </c>
      <c r="H30" s="2090"/>
      <c r="I30" s="2082"/>
      <c r="J30" s="2082"/>
      <c r="K30" s="2082"/>
      <c r="L30" s="2082"/>
      <c r="M30" s="2082"/>
      <c r="N30" s="2082"/>
      <c r="O30" s="2082"/>
      <c r="P30" s="2082"/>
      <c r="Q30" s="2082"/>
      <c r="R30" s="2082"/>
      <c r="S30" s="2082"/>
      <c r="T30" s="2082"/>
      <c r="U30" s="2082"/>
      <c r="V30" s="2082"/>
      <c r="W30" s="2082"/>
      <c r="X30" s="2082"/>
      <c r="Y30" s="2082"/>
      <c r="Z30" s="2082"/>
      <c r="AA30" s="2082"/>
      <c r="AB30" s="2082"/>
      <c r="AC30" s="2082"/>
      <c r="AD30" s="2082"/>
      <c r="AE30" s="2082"/>
      <c r="AF30" s="2082"/>
      <c r="AG30" s="2082"/>
      <c r="AH30" s="2082"/>
      <c r="AI30" s="2082"/>
      <c r="AJ30" s="2089"/>
      <c r="AK30" s="2091">
        <f t="shared" si="2"/>
        <v>0</v>
      </c>
      <c r="AL30" s="2093"/>
      <c r="AM30" s="2093"/>
      <c r="AN30" s="2085">
        <f t="shared" si="5"/>
        <v>25</v>
      </c>
      <c r="AO30" s="2086" t="s">
        <v>1558</v>
      </c>
      <c r="AP30" s="2092"/>
      <c r="AQ30" s="2088" t="s">
        <v>1229</v>
      </c>
      <c r="AR30" s="2089" t="s">
        <v>1229</v>
      </c>
      <c r="AS30" s="2079">
        <f t="shared" si="1"/>
        <v>0</v>
      </c>
      <c r="AT30" s="2090"/>
      <c r="AU30" s="2082"/>
      <c r="AV30" s="2082"/>
      <c r="AW30" s="2082"/>
      <c r="AX30" s="2082"/>
      <c r="AY30" s="2082"/>
      <c r="AZ30" s="2082"/>
      <c r="BA30" s="2082"/>
      <c r="BB30" s="2082"/>
      <c r="BC30" s="2082"/>
      <c r="BD30" s="2082"/>
      <c r="BE30" s="2082"/>
      <c r="BF30" s="2082"/>
      <c r="BG30" s="2082"/>
      <c r="BH30" s="2082"/>
      <c r="BI30" s="2082"/>
      <c r="BJ30" s="2082"/>
      <c r="BK30" s="2082"/>
      <c r="BL30" s="2082"/>
      <c r="BM30" s="2082"/>
      <c r="BN30" s="2082"/>
      <c r="BO30" s="2082"/>
      <c r="BP30" s="2082"/>
      <c r="BQ30" s="2082"/>
      <c r="BR30" s="2082"/>
      <c r="BS30" s="2082"/>
      <c r="BT30" s="2082"/>
      <c r="BU30" s="2082"/>
      <c r="BV30" s="2089"/>
      <c r="BW30" s="2091">
        <f t="shared" si="3"/>
        <v>0</v>
      </c>
      <c r="BX30" s="2063"/>
      <c r="BY30" s="2063"/>
    </row>
    <row r="31" spans="1:77" x14ac:dyDescent="0.25">
      <c r="A31" s="2063"/>
      <c r="B31" s="2085">
        <f t="shared" si="4"/>
        <v>26</v>
      </c>
      <c r="C31" s="2086" t="s">
        <v>1559</v>
      </c>
      <c r="D31" s="2092"/>
      <c r="E31" s="2088" t="s">
        <v>1229</v>
      </c>
      <c r="F31" s="2089" t="s">
        <v>1229</v>
      </c>
      <c r="G31" s="2079">
        <f t="shared" si="6"/>
        <v>0</v>
      </c>
      <c r="H31" s="2090"/>
      <c r="I31" s="2082"/>
      <c r="J31" s="2082"/>
      <c r="K31" s="2082"/>
      <c r="L31" s="2082"/>
      <c r="M31" s="2082"/>
      <c r="N31" s="2082"/>
      <c r="O31" s="2082"/>
      <c r="P31" s="2082"/>
      <c r="Q31" s="2082"/>
      <c r="R31" s="2082"/>
      <c r="S31" s="2082"/>
      <c r="T31" s="2082"/>
      <c r="U31" s="2082"/>
      <c r="V31" s="2082"/>
      <c r="W31" s="2082"/>
      <c r="X31" s="2082"/>
      <c r="Y31" s="2082"/>
      <c r="Z31" s="2082"/>
      <c r="AA31" s="2082"/>
      <c r="AB31" s="2082"/>
      <c r="AC31" s="2082"/>
      <c r="AD31" s="2082"/>
      <c r="AE31" s="2082"/>
      <c r="AF31" s="2082"/>
      <c r="AG31" s="2082"/>
      <c r="AH31" s="2082"/>
      <c r="AI31" s="2082"/>
      <c r="AJ31" s="2089"/>
      <c r="AK31" s="2091">
        <f t="shared" si="2"/>
        <v>0</v>
      </c>
      <c r="AL31" s="2093"/>
      <c r="AM31" s="2093"/>
      <c r="AN31" s="2085">
        <f t="shared" si="5"/>
        <v>26</v>
      </c>
      <c r="AO31" s="2086" t="s">
        <v>1559</v>
      </c>
      <c r="AP31" s="2092"/>
      <c r="AQ31" s="2088" t="s">
        <v>1229</v>
      </c>
      <c r="AR31" s="2089" t="s">
        <v>1229</v>
      </c>
      <c r="AS31" s="2079">
        <f t="shared" si="1"/>
        <v>0</v>
      </c>
      <c r="AT31" s="2090"/>
      <c r="AU31" s="2082"/>
      <c r="AV31" s="2082"/>
      <c r="AW31" s="2082"/>
      <c r="AX31" s="2082"/>
      <c r="AY31" s="2082"/>
      <c r="AZ31" s="2082"/>
      <c r="BA31" s="2082"/>
      <c r="BB31" s="2082"/>
      <c r="BC31" s="2082"/>
      <c r="BD31" s="2082"/>
      <c r="BE31" s="2082"/>
      <c r="BF31" s="2082"/>
      <c r="BG31" s="2082"/>
      <c r="BH31" s="2082"/>
      <c r="BI31" s="2082"/>
      <c r="BJ31" s="2082"/>
      <c r="BK31" s="2082"/>
      <c r="BL31" s="2082"/>
      <c r="BM31" s="2082"/>
      <c r="BN31" s="2082"/>
      <c r="BO31" s="2082"/>
      <c r="BP31" s="2082"/>
      <c r="BQ31" s="2082"/>
      <c r="BR31" s="2082"/>
      <c r="BS31" s="2082"/>
      <c r="BT31" s="2082"/>
      <c r="BU31" s="2082"/>
      <c r="BV31" s="2089"/>
      <c r="BW31" s="2091">
        <f t="shared" si="3"/>
        <v>0</v>
      </c>
      <c r="BX31" s="2063"/>
      <c r="BY31" s="2063"/>
    </row>
    <row r="32" spans="1:77" x14ac:dyDescent="0.25">
      <c r="A32" s="2063"/>
      <c r="B32" s="2085">
        <f t="shared" si="4"/>
        <v>27</v>
      </c>
      <c r="C32" s="2086" t="s">
        <v>1560</v>
      </c>
      <c r="D32" s="2092"/>
      <c r="E32" s="2088" t="s">
        <v>1229</v>
      </c>
      <c r="F32" s="2089" t="s">
        <v>1229</v>
      </c>
      <c r="G32" s="2079">
        <f t="shared" si="6"/>
        <v>0</v>
      </c>
      <c r="H32" s="2090"/>
      <c r="I32" s="2082"/>
      <c r="J32" s="2082"/>
      <c r="K32" s="2082"/>
      <c r="L32" s="2082"/>
      <c r="M32" s="2082"/>
      <c r="N32" s="2082"/>
      <c r="O32" s="2082"/>
      <c r="P32" s="2082"/>
      <c r="Q32" s="2082"/>
      <c r="R32" s="2082"/>
      <c r="S32" s="2082"/>
      <c r="T32" s="2082"/>
      <c r="U32" s="2082"/>
      <c r="V32" s="2082"/>
      <c r="W32" s="2082"/>
      <c r="X32" s="2082"/>
      <c r="Y32" s="2082"/>
      <c r="Z32" s="2082"/>
      <c r="AA32" s="2082"/>
      <c r="AB32" s="2082"/>
      <c r="AC32" s="2082"/>
      <c r="AD32" s="2082"/>
      <c r="AE32" s="2082"/>
      <c r="AF32" s="2082"/>
      <c r="AG32" s="2082"/>
      <c r="AH32" s="2082"/>
      <c r="AI32" s="2082"/>
      <c r="AJ32" s="2089"/>
      <c r="AK32" s="2091">
        <f t="shared" si="2"/>
        <v>0</v>
      </c>
      <c r="AL32" s="2093"/>
      <c r="AM32" s="2093"/>
      <c r="AN32" s="2085">
        <f t="shared" si="5"/>
        <v>27</v>
      </c>
      <c r="AO32" s="2086" t="s">
        <v>1560</v>
      </c>
      <c r="AP32" s="2092"/>
      <c r="AQ32" s="2088" t="s">
        <v>1229</v>
      </c>
      <c r="AR32" s="2089" t="s">
        <v>1229</v>
      </c>
      <c r="AS32" s="2079">
        <f t="shared" si="1"/>
        <v>0</v>
      </c>
      <c r="AT32" s="2090"/>
      <c r="AU32" s="2082"/>
      <c r="AV32" s="2082"/>
      <c r="AW32" s="2082"/>
      <c r="AX32" s="2082"/>
      <c r="AY32" s="2082"/>
      <c r="AZ32" s="2082"/>
      <c r="BA32" s="2082"/>
      <c r="BB32" s="2082"/>
      <c r="BC32" s="2082"/>
      <c r="BD32" s="2082"/>
      <c r="BE32" s="2082"/>
      <c r="BF32" s="2082"/>
      <c r="BG32" s="2082"/>
      <c r="BH32" s="2082"/>
      <c r="BI32" s="2082"/>
      <c r="BJ32" s="2082"/>
      <c r="BK32" s="2082"/>
      <c r="BL32" s="2082"/>
      <c r="BM32" s="2082"/>
      <c r="BN32" s="2082"/>
      <c r="BO32" s="2082"/>
      <c r="BP32" s="2082"/>
      <c r="BQ32" s="2082"/>
      <c r="BR32" s="2082"/>
      <c r="BS32" s="2082"/>
      <c r="BT32" s="2082"/>
      <c r="BU32" s="2082"/>
      <c r="BV32" s="2089"/>
      <c r="BW32" s="2091">
        <f t="shared" si="3"/>
        <v>0</v>
      </c>
      <c r="BX32" s="2063"/>
      <c r="BY32" s="2063"/>
    </row>
    <row r="33" spans="1:77" x14ac:dyDescent="0.25">
      <c r="A33" s="2063"/>
      <c r="B33" s="2085">
        <f t="shared" si="4"/>
        <v>28</v>
      </c>
      <c r="C33" s="2086" t="s">
        <v>1561</v>
      </c>
      <c r="D33" s="2092"/>
      <c r="E33" s="2088" t="s">
        <v>1229</v>
      </c>
      <c r="F33" s="2089" t="s">
        <v>1229</v>
      </c>
      <c r="G33" s="2079">
        <f t="shared" si="6"/>
        <v>0</v>
      </c>
      <c r="H33" s="2090"/>
      <c r="I33" s="2082"/>
      <c r="J33" s="2082"/>
      <c r="K33" s="2082"/>
      <c r="L33" s="2082"/>
      <c r="M33" s="2082"/>
      <c r="N33" s="2082"/>
      <c r="O33" s="2082"/>
      <c r="P33" s="2082"/>
      <c r="Q33" s="2082"/>
      <c r="R33" s="2082"/>
      <c r="S33" s="2082"/>
      <c r="T33" s="2082"/>
      <c r="U33" s="2082"/>
      <c r="V33" s="2082"/>
      <c r="W33" s="2082"/>
      <c r="X33" s="2082"/>
      <c r="Y33" s="2082"/>
      <c r="Z33" s="2082"/>
      <c r="AA33" s="2082"/>
      <c r="AB33" s="2082"/>
      <c r="AC33" s="2082"/>
      <c r="AD33" s="2082"/>
      <c r="AE33" s="2082"/>
      <c r="AF33" s="2082"/>
      <c r="AG33" s="2082"/>
      <c r="AH33" s="2082"/>
      <c r="AI33" s="2082"/>
      <c r="AJ33" s="2089"/>
      <c r="AK33" s="2091">
        <f t="shared" si="2"/>
        <v>0</v>
      </c>
      <c r="AL33" s="2093"/>
      <c r="AM33" s="2093"/>
      <c r="AN33" s="2085">
        <f t="shared" si="5"/>
        <v>28</v>
      </c>
      <c r="AO33" s="2086" t="s">
        <v>1561</v>
      </c>
      <c r="AP33" s="2092"/>
      <c r="AQ33" s="2088" t="s">
        <v>1229</v>
      </c>
      <c r="AR33" s="2089" t="s">
        <v>1229</v>
      </c>
      <c r="AS33" s="2079">
        <f t="shared" si="1"/>
        <v>0</v>
      </c>
      <c r="AT33" s="2090"/>
      <c r="AU33" s="2082"/>
      <c r="AV33" s="2082"/>
      <c r="AW33" s="2082"/>
      <c r="AX33" s="2082"/>
      <c r="AY33" s="2082"/>
      <c r="AZ33" s="2082"/>
      <c r="BA33" s="2082"/>
      <c r="BB33" s="2082"/>
      <c r="BC33" s="2082"/>
      <c r="BD33" s="2082"/>
      <c r="BE33" s="2082"/>
      <c r="BF33" s="2082"/>
      <c r="BG33" s="2082"/>
      <c r="BH33" s="2082"/>
      <c r="BI33" s="2082"/>
      <c r="BJ33" s="2082"/>
      <c r="BK33" s="2082"/>
      <c r="BL33" s="2082"/>
      <c r="BM33" s="2082"/>
      <c r="BN33" s="2082"/>
      <c r="BO33" s="2082"/>
      <c r="BP33" s="2082"/>
      <c r="BQ33" s="2082"/>
      <c r="BR33" s="2082"/>
      <c r="BS33" s="2082"/>
      <c r="BT33" s="2082"/>
      <c r="BU33" s="2082"/>
      <c r="BV33" s="2089"/>
      <c r="BW33" s="2091">
        <f t="shared" si="3"/>
        <v>0</v>
      </c>
      <c r="BX33" s="2063"/>
      <c r="BY33" s="2063"/>
    </row>
    <row r="34" spans="1:77" x14ac:dyDescent="0.25">
      <c r="A34" s="2063"/>
      <c r="B34" s="2085">
        <f t="shared" si="4"/>
        <v>29</v>
      </c>
      <c r="C34" s="2086" t="s">
        <v>1562</v>
      </c>
      <c r="D34" s="2092"/>
      <c r="E34" s="2088" t="s">
        <v>1229</v>
      </c>
      <c r="F34" s="2089" t="s">
        <v>1229</v>
      </c>
      <c r="G34" s="2079">
        <f t="shared" si="6"/>
        <v>0</v>
      </c>
      <c r="H34" s="2090"/>
      <c r="I34" s="2082"/>
      <c r="J34" s="2082"/>
      <c r="K34" s="2082"/>
      <c r="L34" s="2082"/>
      <c r="M34" s="2082"/>
      <c r="N34" s="2082"/>
      <c r="O34" s="2082"/>
      <c r="P34" s="2082"/>
      <c r="Q34" s="2082"/>
      <c r="R34" s="2082"/>
      <c r="S34" s="2082"/>
      <c r="T34" s="2082"/>
      <c r="U34" s="2082"/>
      <c r="V34" s="2082"/>
      <c r="W34" s="2082"/>
      <c r="X34" s="2082"/>
      <c r="Y34" s="2082"/>
      <c r="Z34" s="2082"/>
      <c r="AA34" s="2082"/>
      <c r="AB34" s="2082"/>
      <c r="AC34" s="2082"/>
      <c r="AD34" s="2082"/>
      <c r="AE34" s="2082"/>
      <c r="AF34" s="2082"/>
      <c r="AG34" s="2082"/>
      <c r="AH34" s="2082"/>
      <c r="AI34" s="2082"/>
      <c r="AJ34" s="2089"/>
      <c r="AK34" s="2091">
        <f t="shared" si="2"/>
        <v>0</v>
      </c>
      <c r="AL34" s="2093"/>
      <c r="AM34" s="2093"/>
      <c r="AN34" s="2085">
        <f t="shared" si="5"/>
        <v>29</v>
      </c>
      <c r="AO34" s="2086" t="s">
        <v>1562</v>
      </c>
      <c r="AP34" s="2092"/>
      <c r="AQ34" s="2088" t="s">
        <v>1229</v>
      </c>
      <c r="AR34" s="2089" t="s">
        <v>1229</v>
      </c>
      <c r="AS34" s="2079">
        <f t="shared" si="1"/>
        <v>0</v>
      </c>
      <c r="AT34" s="2090"/>
      <c r="AU34" s="2082"/>
      <c r="AV34" s="2082"/>
      <c r="AW34" s="2082"/>
      <c r="AX34" s="2082"/>
      <c r="AY34" s="2082"/>
      <c r="AZ34" s="2082"/>
      <c r="BA34" s="2082"/>
      <c r="BB34" s="2082"/>
      <c r="BC34" s="2082"/>
      <c r="BD34" s="2082"/>
      <c r="BE34" s="2082"/>
      <c r="BF34" s="2082"/>
      <c r="BG34" s="2082"/>
      <c r="BH34" s="2082"/>
      <c r="BI34" s="2082"/>
      <c r="BJ34" s="2082"/>
      <c r="BK34" s="2082"/>
      <c r="BL34" s="2082"/>
      <c r="BM34" s="2082"/>
      <c r="BN34" s="2082"/>
      <c r="BO34" s="2082"/>
      <c r="BP34" s="2082"/>
      <c r="BQ34" s="2082"/>
      <c r="BR34" s="2082"/>
      <c r="BS34" s="2082"/>
      <c r="BT34" s="2082"/>
      <c r="BU34" s="2082"/>
      <c r="BV34" s="2089"/>
      <c r="BW34" s="2091">
        <f t="shared" si="3"/>
        <v>0</v>
      </c>
      <c r="BX34" s="2063"/>
      <c r="BY34" s="2063"/>
    </row>
    <row r="35" spans="1:77" ht="14.4" thickBot="1" x14ac:dyDescent="0.3">
      <c r="A35" s="2063"/>
      <c r="B35" s="2085">
        <f t="shared" si="4"/>
        <v>30</v>
      </c>
      <c r="C35" s="2086" t="s">
        <v>1563</v>
      </c>
      <c r="D35" s="2092"/>
      <c r="E35" s="2088" t="s">
        <v>1229</v>
      </c>
      <c r="F35" s="2089" t="s">
        <v>1229</v>
      </c>
      <c r="G35" s="2079">
        <f t="shared" si="6"/>
        <v>0</v>
      </c>
      <c r="H35" s="2090"/>
      <c r="I35" s="2082"/>
      <c r="J35" s="2082"/>
      <c r="K35" s="2082"/>
      <c r="L35" s="2082"/>
      <c r="M35" s="2082"/>
      <c r="N35" s="2082"/>
      <c r="O35" s="2082"/>
      <c r="P35" s="2082"/>
      <c r="Q35" s="2082"/>
      <c r="R35" s="2082"/>
      <c r="S35" s="2082"/>
      <c r="T35" s="2082"/>
      <c r="U35" s="2082"/>
      <c r="V35" s="2082"/>
      <c r="W35" s="2082"/>
      <c r="X35" s="2082"/>
      <c r="Y35" s="2082"/>
      <c r="Z35" s="2082"/>
      <c r="AA35" s="2082"/>
      <c r="AB35" s="2082"/>
      <c r="AC35" s="2082"/>
      <c r="AD35" s="2082"/>
      <c r="AE35" s="2082"/>
      <c r="AF35" s="2082"/>
      <c r="AG35" s="2082"/>
      <c r="AH35" s="2082"/>
      <c r="AI35" s="2082"/>
      <c r="AJ35" s="2089"/>
      <c r="AK35" s="2091">
        <f t="shared" si="2"/>
        <v>0</v>
      </c>
      <c r="AL35" s="2093"/>
      <c r="AM35" s="2093"/>
      <c r="AN35" s="2085">
        <f t="shared" si="5"/>
        <v>30</v>
      </c>
      <c r="AO35" s="2086" t="s">
        <v>1563</v>
      </c>
      <c r="AP35" s="2092"/>
      <c r="AQ35" s="2088" t="s">
        <v>1229</v>
      </c>
      <c r="AR35" s="2089" t="s">
        <v>1229</v>
      </c>
      <c r="AS35" s="2079">
        <f t="shared" si="1"/>
        <v>0</v>
      </c>
      <c r="AT35" s="2090"/>
      <c r="AU35" s="2082"/>
      <c r="AV35" s="2082"/>
      <c r="AW35" s="2082"/>
      <c r="AX35" s="2082"/>
      <c r="AY35" s="2082"/>
      <c r="AZ35" s="2082"/>
      <c r="BA35" s="2082"/>
      <c r="BB35" s="2082"/>
      <c r="BC35" s="2082"/>
      <c r="BD35" s="2082"/>
      <c r="BE35" s="2082"/>
      <c r="BF35" s="2082"/>
      <c r="BG35" s="2082"/>
      <c r="BH35" s="2082"/>
      <c r="BI35" s="2082"/>
      <c r="BJ35" s="2082"/>
      <c r="BK35" s="2082"/>
      <c r="BL35" s="2082"/>
      <c r="BM35" s="2082"/>
      <c r="BN35" s="2082"/>
      <c r="BO35" s="2082"/>
      <c r="BP35" s="2082"/>
      <c r="BQ35" s="2082"/>
      <c r="BR35" s="2082"/>
      <c r="BS35" s="2082"/>
      <c r="BT35" s="2082"/>
      <c r="BU35" s="2082"/>
      <c r="BV35" s="2089"/>
      <c r="BW35" s="2091">
        <f t="shared" si="3"/>
        <v>0</v>
      </c>
      <c r="BX35" s="2063"/>
      <c r="BY35" s="2063"/>
    </row>
    <row r="36" spans="1:77" ht="14.4" thickBot="1" x14ac:dyDescent="0.3">
      <c r="A36" s="2063"/>
      <c r="B36" s="2094"/>
      <c r="C36" s="2095" t="s">
        <v>1564</v>
      </c>
      <c r="D36" s="2095"/>
      <c r="E36" s="2095"/>
      <c r="F36" s="2095"/>
      <c r="G36" s="2096"/>
      <c r="H36" s="2097">
        <f>SUM(H6:H35)</f>
        <v>0</v>
      </c>
      <c r="I36" s="2098">
        <f t="shared" ref="I36:AK36" si="7">SUM(I6:I35)</f>
        <v>0</v>
      </c>
      <c r="J36" s="2098">
        <f t="shared" si="7"/>
        <v>0</v>
      </c>
      <c r="K36" s="2098">
        <f t="shared" si="7"/>
        <v>0</v>
      </c>
      <c r="L36" s="2098">
        <f t="shared" si="7"/>
        <v>0</v>
      </c>
      <c r="M36" s="2098">
        <f t="shared" si="7"/>
        <v>0</v>
      </c>
      <c r="N36" s="2098">
        <f t="shared" si="7"/>
        <v>0</v>
      </c>
      <c r="O36" s="2098">
        <f t="shared" si="7"/>
        <v>0</v>
      </c>
      <c r="P36" s="2098">
        <f t="shared" si="7"/>
        <v>0</v>
      </c>
      <c r="Q36" s="2098">
        <f t="shared" si="7"/>
        <v>0</v>
      </c>
      <c r="R36" s="2098">
        <f t="shared" si="7"/>
        <v>0</v>
      </c>
      <c r="S36" s="2098">
        <f t="shared" si="7"/>
        <v>0</v>
      </c>
      <c r="T36" s="2098">
        <f t="shared" si="7"/>
        <v>0</v>
      </c>
      <c r="U36" s="2098">
        <f t="shared" si="7"/>
        <v>0</v>
      </c>
      <c r="V36" s="2098">
        <f t="shared" si="7"/>
        <v>0</v>
      </c>
      <c r="W36" s="2098">
        <f t="shared" si="7"/>
        <v>0</v>
      </c>
      <c r="X36" s="2098">
        <f t="shared" si="7"/>
        <v>0</v>
      </c>
      <c r="Y36" s="2098">
        <f t="shared" si="7"/>
        <v>0</v>
      </c>
      <c r="Z36" s="2098">
        <f t="shared" si="7"/>
        <v>0</v>
      </c>
      <c r="AA36" s="2098">
        <f t="shared" si="7"/>
        <v>0</v>
      </c>
      <c r="AB36" s="2098">
        <f t="shared" si="7"/>
        <v>0</v>
      </c>
      <c r="AC36" s="2098">
        <f t="shared" si="7"/>
        <v>0</v>
      </c>
      <c r="AD36" s="2098">
        <f t="shared" si="7"/>
        <v>0</v>
      </c>
      <c r="AE36" s="2098">
        <f t="shared" si="7"/>
        <v>0</v>
      </c>
      <c r="AF36" s="2098">
        <f t="shared" si="7"/>
        <v>0</v>
      </c>
      <c r="AG36" s="2098">
        <f t="shared" si="7"/>
        <v>0</v>
      </c>
      <c r="AH36" s="2098">
        <f t="shared" si="7"/>
        <v>0</v>
      </c>
      <c r="AI36" s="2098">
        <f t="shared" si="7"/>
        <v>0</v>
      </c>
      <c r="AJ36" s="2098">
        <f t="shared" si="7"/>
        <v>0</v>
      </c>
      <c r="AK36" s="2099">
        <f t="shared" si="7"/>
        <v>0</v>
      </c>
      <c r="AL36" s="2084"/>
      <c r="AM36" s="2063"/>
      <c r="AN36" s="2094"/>
      <c r="AO36" s="2095" t="s">
        <v>1564</v>
      </c>
      <c r="AP36" s="2095"/>
      <c r="AQ36" s="2095"/>
      <c r="AR36" s="2095"/>
      <c r="AS36" s="2096"/>
      <c r="AT36" s="2097">
        <f>SUM(AT6:AT35)</f>
        <v>0</v>
      </c>
      <c r="AU36" s="2098">
        <f t="shared" ref="AU36:BW36" si="8">SUM(AU6:AU35)</f>
        <v>0</v>
      </c>
      <c r="AV36" s="2098">
        <f t="shared" si="8"/>
        <v>0</v>
      </c>
      <c r="AW36" s="2098">
        <f t="shared" si="8"/>
        <v>0</v>
      </c>
      <c r="AX36" s="2098">
        <f t="shared" si="8"/>
        <v>0</v>
      </c>
      <c r="AY36" s="2098">
        <f t="shared" si="8"/>
        <v>0</v>
      </c>
      <c r="AZ36" s="2098">
        <f t="shared" si="8"/>
        <v>0</v>
      </c>
      <c r="BA36" s="2098">
        <f t="shared" si="8"/>
        <v>0</v>
      </c>
      <c r="BB36" s="2098">
        <f t="shared" si="8"/>
        <v>0</v>
      </c>
      <c r="BC36" s="2098">
        <f t="shared" si="8"/>
        <v>0</v>
      </c>
      <c r="BD36" s="2098">
        <f t="shared" si="8"/>
        <v>0</v>
      </c>
      <c r="BE36" s="2098">
        <f t="shared" si="8"/>
        <v>0</v>
      </c>
      <c r="BF36" s="2098">
        <f t="shared" si="8"/>
        <v>0</v>
      </c>
      <c r="BG36" s="2098">
        <f t="shared" si="8"/>
        <v>0</v>
      </c>
      <c r="BH36" s="2098">
        <f t="shared" si="8"/>
        <v>0</v>
      </c>
      <c r="BI36" s="2098">
        <f t="shared" si="8"/>
        <v>0</v>
      </c>
      <c r="BJ36" s="2098">
        <f t="shared" si="8"/>
        <v>0</v>
      </c>
      <c r="BK36" s="2098">
        <f t="shared" si="8"/>
        <v>0</v>
      </c>
      <c r="BL36" s="2098">
        <f t="shared" si="8"/>
        <v>0</v>
      </c>
      <c r="BM36" s="2098">
        <f t="shared" si="8"/>
        <v>0</v>
      </c>
      <c r="BN36" s="2098">
        <f t="shared" si="8"/>
        <v>0</v>
      </c>
      <c r="BO36" s="2098">
        <f t="shared" si="8"/>
        <v>0</v>
      </c>
      <c r="BP36" s="2098">
        <f t="shared" si="8"/>
        <v>0</v>
      </c>
      <c r="BQ36" s="2098">
        <f t="shared" si="8"/>
        <v>0</v>
      </c>
      <c r="BR36" s="2098">
        <f t="shared" si="8"/>
        <v>0</v>
      </c>
      <c r="BS36" s="2098">
        <f t="shared" si="8"/>
        <v>0</v>
      </c>
      <c r="BT36" s="2098">
        <f t="shared" si="8"/>
        <v>0</v>
      </c>
      <c r="BU36" s="2098">
        <f t="shared" si="8"/>
        <v>0</v>
      </c>
      <c r="BV36" s="2098">
        <f t="shared" si="8"/>
        <v>0</v>
      </c>
      <c r="BW36" s="2099">
        <f t="shared" si="8"/>
        <v>0</v>
      </c>
      <c r="BX36" s="2063"/>
      <c r="BY36" s="2063"/>
    </row>
    <row r="37" spans="1:77" x14ac:dyDescent="0.25">
      <c r="A37" s="2063"/>
      <c r="B37" s="2063"/>
      <c r="C37" s="2063"/>
      <c r="D37" s="2063"/>
      <c r="E37" s="2084"/>
      <c r="F37" s="2084"/>
      <c r="G37" s="2100"/>
      <c r="H37" s="2063"/>
      <c r="I37" s="2063"/>
      <c r="J37" s="2063"/>
      <c r="K37" s="2063"/>
      <c r="L37" s="2063"/>
      <c r="M37" s="2063"/>
      <c r="N37" s="2063"/>
      <c r="O37" s="2063"/>
      <c r="P37" s="2063"/>
      <c r="Q37" s="2063"/>
      <c r="R37" s="2063"/>
      <c r="S37" s="2063"/>
      <c r="T37" s="2063"/>
      <c r="U37" s="2063"/>
      <c r="V37" s="2063"/>
      <c r="W37" s="2063"/>
      <c r="X37" s="2063"/>
      <c r="Y37" s="2063"/>
      <c r="Z37" s="2063"/>
      <c r="AA37" s="2063"/>
      <c r="AB37" s="2063"/>
      <c r="AC37" s="2063"/>
      <c r="AD37" s="2063"/>
      <c r="AE37" s="2063"/>
      <c r="AF37" s="2063"/>
      <c r="AG37" s="2063"/>
      <c r="AH37" s="2063"/>
      <c r="AI37" s="2063"/>
      <c r="AJ37" s="2063"/>
      <c r="AK37" s="2063"/>
      <c r="AL37" s="2063"/>
      <c r="AM37" s="2063"/>
      <c r="AN37" s="2063"/>
      <c r="AO37" s="2063"/>
      <c r="AP37" s="2063"/>
      <c r="AQ37" s="2063"/>
      <c r="AR37" s="2063"/>
      <c r="AS37" s="2063"/>
      <c r="AT37" s="2063"/>
      <c r="AU37" s="2063"/>
      <c r="AV37" s="2063"/>
      <c r="AW37" s="2063"/>
      <c r="AX37" s="2063"/>
      <c r="AY37" s="2063"/>
      <c r="AZ37" s="2063"/>
      <c r="BA37" s="2063"/>
      <c r="BB37" s="2063"/>
      <c r="BC37" s="2063"/>
      <c r="BD37" s="2063"/>
      <c r="BE37" s="2063"/>
      <c r="BF37" s="2063"/>
      <c r="BG37" s="2063"/>
      <c r="BH37" s="2063"/>
      <c r="BI37" s="2063"/>
      <c r="BJ37" s="2063"/>
      <c r="BK37" s="2063"/>
      <c r="BL37" s="2063"/>
      <c r="BM37" s="2063"/>
      <c r="BN37" s="2063"/>
      <c r="BO37" s="2063"/>
      <c r="BP37" s="2063"/>
      <c r="BQ37" s="2063"/>
      <c r="BR37" s="2063"/>
      <c r="BS37" s="2063"/>
      <c r="BT37" s="2063"/>
      <c r="BU37" s="2063"/>
      <c r="BV37" s="2063"/>
      <c r="BW37" s="2063"/>
      <c r="BX37" s="2063"/>
      <c r="BY37" s="2063"/>
    </row>
    <row r="38" spans="1:77" ht="27.6" x14ac:dyDescent="0.25">
      <c r="A38" s="2063"/>
      <c r="B38" s="2069" t="s">
        <v>1537</v>
      </c>
      <c r="C38" s="2069" t="s">
        <v>1565</v>
      </c>
      <c r="D38" s="2070" t="s">
        <v>1566</v>
      </c>
      <c r="E38" s="2101"/>
      <c r="F38" s="2102"/>
      <c r="G38" s="2103"/>
      <c r="H38" s="2071" t="str">
        <f t="shared" ref="H38:AJ38" si="9">+H5</f>
        <v>FY18</v>
      </c>
      <c r="I38" s="2072" t="str">
        <f t="shared" si="9"/>
        <v>FY19</v>
      </c>
      <c r="J38" s="2072" t="str">
        <f t="shared" si="9"/>
        <v>FY20</v>
      </c>
      <c r="K38" s="2072" t="str">
        <f t="shared" si="9"/>
        <v>FY21</v>
      </c>
      <c r="L38" s="2072" t="str">
        <f t="shared" si="9"/>
        <v>FY22</v>
      </c>
      <c r="M38" s="2072" t="str">
        <f t="shared" si="9"/>
        <v>FY23</v>
      </c>
      <c r="N38" s="2072" t="str">
        <f t="shared" si="9"/>
        <v>FY24</v>
      </c>
      <c r="O38" s="2072" t="str">
        <f t="shared" si="9"/>
        <v>FY25</v>
      </c>
      <c r="P38" s="2072" t="str">
        <f t="shared" si="9"/>
        <v>FY26</v>
      </c>
      <c r="Q38" s="2072" t="str">
        <f t="shared" si="9"/>
        <v>FY27</v>
      </c>
      <c r="R38" s="2072" t="str">
        <f t="shared" si="9"/>
        <v>FY28</v>
      </c>
      <c r="S38" s="2072" t="str">
        <f t="shared" si="9"/>
        <v>FY29</v>
      </c>
      <c r="T38" s="2072" t="str">
        <f t="shared" si="9"/>
        <v>FY30</v>
      </c>
      <c r="U38" s="2072" t="str">
        <f t="shared" si="9"/>
        <v>FY31</v>
      </c>
      <c r="V38" s="2072" t="str">
        <f t="shared" si="9"/>
        <v>FY32</v>
      </c>
      <c r="W38" s="2072" t="str">
        <f t="shared" si="9"/>
        <v>FY33</v>
      </c>
      <c r="X38" s="2072" t="str">
        <f t="shared" si="9"/>
        <v>FY34</v>
      </c>
      <c r="Y38" s="2072" t="str">
        <f t="shared" si="9"/>
        <v>FY35</v>
      </c>
      <c r="Z38" s="2072" t="str">
        <f t="shared" si="9"/>
        <v>FY36</v>
      </c>
      <c r="AA38" s="2072" t="str">
        <f t="shared" si="9"/>
        <v>FY37</v>
      </c>
      <c r="AB38" s="2072" t="str">
        <f t="shared" si="9"/>
        <v>FY38</v>
      </c>
      <c r="AC38" s="2072" t="str">
        <f t="shared" si="9"/>
        <v>FY39</v>
      </c>
      <c r="AD38" s="2072" t="str">
        <f t="shared" si="9"/>
        <v>FY40</v>
      </c>
      <c r="AE38" s="2072" t="str">
        <f t="shared" si="9"/>
        <v>FY41</v>
      </c>
      <c r="AF38" s="2072" t="str">
        <f t="shared" si="9"/>
        <v>FY42</v>
      </c>
      <c r="AG38" s="2072" t="str">
        <f t="shared" si="9"/>
        <v>FY43</v>
      </c>
      <c r="AH38" s="2072" t="str">
        <f t="shared" si="9"/>
        <v>FY44</v>
      </c>
      <c r="AI38" s="2072" t="str">
        <f t="shared" si="9"/>
        <v>FY45</v>
      </c>
      <c r="AJ38" s="2072" t="str">
        <f t="shared" si="9"/>
        <v>FY46</v>
      </c>
      <c r="AK38" s="2073" t="s">
        <v>655</v>
      </c>
      <c r="AL38" s="2063"/>
      <c r="AM38" s="2063"/>
      <c r="AN38" s="2069" t="s">
        <v>1537</v>
      </c>
      <c r="AO38" s="2069" t="s">
        <v>1565</v>
      </c>
      <c r="AP38" s="2070" t="s">
        <v>1566</v>
      </c>
      <c r="AQ38" s="2101"/>
      <c r="AR38" s="2102"/>
      <c r="AS38" s="2103"/>
      <c r="AT38" s="2071" t="str">
        <f t="shared" ref="AT38:BV38" si="10">+AT5</f>
        <v>FY18</v>
      </c>
      <c r="AU38" s="2072" t="str">
        <f t="shared" si="10"/>
        <v>FY19</v>
      </c>
      <c r="AV38" s="2072" t="str">
        <f t="shared" si="10"/>
        <v>FY20</v>
      </c>
      <c r="AW38" s="2072" t="str">
        <f t="shared" si="10"/>
        <v>FY21</v>
      </c>
      <c r="AX38" s="2072" t="str">
        <f t="shared" si="10"/>
        <v>FY22</v>
      </c>
      <c r="AY38" s="2072" t="str">
        <f t="shared" si="10"/>
        <v>FY23</v>
      </c>
      <c r="AZ38" s="2072" t="str">
        <f t="shared" si="10"/>
        <v>FY24</v>
      </c>
      <c r="BA38" s="2072" t="str">
        <f t="shared" si="10"/>
        <v>FY25</v>
      </c>
      <c r="BB38" s="2072" t="str">
        <f t="shared" si="10"/>
        <v>FY26</v>
      </c>
      <c r="BC38" s="2072" t="str">
        <f t="shared" si="10"/>
        <v>FY27</v>
      </c>
      <c r="BD38" s="2072" t="str">
        <f t="shared" si="10"/>
        <v>FY28</v>
      </c>
      <c r="BE38" s="2072" t="str">
        <f t="shared" si="10"/>
        <v>FY29</v>
      </c>
      <c r="BF38" s="2072" t="str">
        <f t="shared" si="10"/>
        <v>FY30</v>
      </c>
      <c r="BG38" s="2072" t="str">
        <f t="shared" si="10"/>
        <v>FY31</v>
      </c>
      <c r="BH38" s="2072" t="str">
        <f t="shared" si="10"/>
        <v>FY32</v>
      </c>
      <c r="BI38" s="2072" t="str">
        <f t="shared" si="10"/>
        <v>FY33</v>
      </c>
      <c r="BJ38" s="2072" t="str">
        <f t="shared" si="10"/>
        <v>FY34</v>
      </c>
      <c r="BK38" s="2072" t="str">
        <f t="shared" si="10"/>
        <v>FY35</v>
      </c>
      <c r="BL38" s="2072" t="str">
        <f t="shared" si="10"/>
        <v>FY36</v>
      </c>
      <c r="BM38" s="2072" t="str">
        <f t="shared" si="10"/>
        <v>FY37</v>
      </c>
      <c r="BN38" s="2072" t="str">
        <f t="shared" si="10"/>
        <v>FY38</v>
      </c>
      <c r="BO38" s="2072" t="str">
        <f t="shared" si="10"/>
        <v>FY39</v>
      </c>
      <c r="BP38" s="2072" t="str">
        <f t="shared" si="10"/>
        <v>FY40</v>
      </c>
      <c r="BQ38" s="2072" t="str">
        <f t="shared" si="10"/>
        <v>FY41</v>
      </c>
      <c r="BR38" s="2072" t="str">
        <f t="shared" si="10"/>
        <v>FY42</v>
      </c>
      <c r="BS38" s="2072" t="str">
        <f t="shared" si="10"/>
        <v>FY43</v>
      </c>
      <c r="BT38" s="2072" t="str">
        <f t="shared" si="10"/>
        <v>FY44</v>
      </c>
      <c r="BU38" s="2072" t="str">
        <f t="shared" si="10"/>
        <v>FY45</v>
      </c>
      <c r="BV38" s="2072" t="str">
        <f t="shared" si="10"/>
        <v>FY46</v>
      </c>
      <c r="BW38" s="2073" t="s">
        <v>655</v>
      </c>
      <c r="BX38" s="2063"/>
      <c r="BY38" s="2063"/>
    </row>
    <row r="39" spans="1:77" x14ac:dyDescent="0.25">
      <c r="A39" s="2063"/>
      <c r="B39" s="2074">
        <f>B6</f>
        <v>1</v>
      </c>
      <c r="C39" s="2104">
        <f>C6</f>
        <v>0</v>
      </c>
      <c r="D39" s="2105">
        <f t="shared" ref="D39:D68" si="11">IFERROR(AK6/D6/12,0)</f>
        <v>0</v>
      </c>
      <c r="E39" s="2063"/>
      <c r="F39" s="2106"/>
      <c r="G39" s="2107"/>
      <c r="H39" s="2108">
        <f t="shared" ref="H39:AJ47" si="12">IF(H$4=$G6,$D39*(12-VLOOKUP($E6,$E$79:$F$90,2,0)),IF(AND(H$4&gt;$G6,H$4&lt;($G6+$D6)),$D39*12,IF(H$4=($G6+$D6),$D39*VLOOKUP($E6,$E$79:$F$90,2,0),0)))</f>
        <v>0</v>
      </c>
      <c r="I39" s="2109">
        <f t="shared" si="12"/>
        <v>0</v>
      </c>
      <c r="J39" s="2109">
        <f t="shared" si="12"/>
        <v>0</v>
      </c>
      <c r="K39" s="2109">
        <f t="shared" si="12"/>
        <v>0</v>
      </c>
      <c r="L39" s="2109">
        <f t="shared" si="12"/>
        <v>0</v>
      </c>
      <c r="M39" s="2109">
        <f t="shared" si="12"/>
        <v>0</v>
      </c>
      <c r="N39" s="2109">
        <f t="shared" si="12"/>
        <v>0</v>
      </c>
      <c r="O39" s="2109">
        <f t="shared" si="12"/>
        <v>0</v>
      </c>
      <c r="P39" s="2109">
        <f t="shared" si="12"/>
        <v>0</v>
      </c>
      <c r="Q39" s="2109">
        <f t="shared" si="12"/>
        <v>0</v>
      </c>
      <c r="R39" s="2109">
        <f t="shared" si="12"/>
        <v>0</v>
      </c>
      <c r="S39" s="2109">
        <f t="shared" si="12"/>
        <v>0</v>
      </c>
      <c r="T39" s="2109">
        <f t="shared" si="12"/>
        <v>0</v>
      </c>
      <c r="U39" s="2109">
        <f t="shared" si="12"/>
        <v>0</v>
      </c>
      <c r="V39" s="2109">
        <f t="shared" si="12"/>
        <v>0</v>
      </c>
      <c r="W39" s="2109">
        <f t="shared" si="12"/>
        <v>0</v>
      </c>
      <c r="X39" s="2109">
        <f t="shared" si="12"/>
        <v>0</v>
      </c>
      <c r="Y39" s="2109">
        <f t="shared" si="12"/>
        <v>0</v>
      </c>
      <c r="Z39" s="2109">
        <f t="shared" si="12"/>
        <v>0</v>
      </c>
      <c r="AA39" s="2109">
        <f t="shared" si="12"/>
        <v>0</v>
      </c>
      <c r="AB39" s="2109">
        <f t="shared" si="12"/>
        <v>0</v>
      </c>
      <c r="AC39" s="2109">
        <f t="shared" si="12"/>
        <v>0</v>
      </c>
      <c r="AD39" s="2109">
        <f t="shared" si="12"/>
        <v>0</v>
      </c>
      <c r="AE39" s="2109">
        <f t="shared" si="12"/>
        <v>0</v>
      </c>
      <c r="AF39" s="2109">
        <f t="shared" si="12"/>
        <v>0</v>
      </c>
      <c r="AG39" s="2109">
        <f t="shared" si="12"/>
        <v>0</v>
      </c>
      <c r="AH39" s="2109">
        <f t="shared" si="12"/>
        <v>0</v>
      </c>
      <c r="AI39" s="2109">
        <f t="shared" si="12"/>
        <v>0</v>
      </c>
      <c r="AJ39" s="2110">
        <f t="shared" si="12"/>
        <v>0</v>
      </c>
      <c r="AK39" s="2083">
        <f t="shared" ref="AK39:AK68" si="13">SUM(H39:AJ39)</f>
        <v>0</v>
      </c>
      <c r="AL39" s="2063"/>
      <c r="AM39" s="2084"/>
      <c r="AN39" s="2074">
        <f>AN6</f>
        <v>1</v>
      </c>
      <c r="AO39" s="2104" t="str">
        <f>AO6</f>
        <v>AAA - Assembly Line</v>
      </c>
      <c r="AP39" s="2105">
        <f t="shared" ref="AP39:AP68" si="14">IFERROR(BW6/AP6/12,0)</f>
        <v>0</v>
      </c>
      <c r="AQ39" s="2063"/>
      <c r="AR39" s="2106"/>
      <c r="AS39" s="2107"/>
      <c r="AT39" s="2108">
        <f>IF(AT$4=$AS6,$AP39*(12-VLOOKUP($AQ6,$E$79:$F$90,2,0)),IF(AND(AT$4&gt;$AS6,AT$4&lt;($AS6+$AP6)),$AP39*12,IF(AT$4=($AS6+$AP6),$AP39*VLOOKUP($AQ6,$E$79:$F$90,2,0),0)))</f>
        <v>0</v>
      </c>
      <c r="AU39" s="2109">
        <f t="shared" ref="AU39:BV39" si="15">IF(AU$4=$AS6,$AP39*(12-VLOOKUP($AQ6,$E$79:$F$90,2,0)),IF(AND(AU$4&gt;$AS6,AU$4&lt;($AS6+$AP6)),$AP39*12,IF(AU$4=($AS6+$AP6),$AP39*VLOOKUP($AQ6,$E$79:$F$90,2,0),0)))</f>
        <v>0</v>
      </c>
      <c r="AV39" s="2109">
        <f t="shared" si="15"/>
        <v>0</v>
      </c>
      <c r="AW39" s="2109">
        <f t="shared" si="15"/>
        <v>0</v>
      </c>
      <c r="AX39" s="2109">
        <f t="shared" si="15"/>
        <v>0</v>
      </c>
      <c r="AY39" s="2109">
        <f t="shared" si="15"/>
        <v>0</v>
      </c>
      <c r="AZ39" s="2109">
        <f t="shared" si="15"/>
        <v>0</v>
      </c>
      <c r="BA39" s="2109">
        <f t="shared" si="15"/>
        <v>0</v>
      </c>
      <c r="BB39" s="2109">
        <f t="shared" si="15"/>
        <v>0</v>
      </c>
      <c r="BC39" s="2109">
        <f t="shared" si="15"/>
        <v>0</v>
      </c>
      <c r="BD39" s="2109">
        <f t="shared" si="15"/>
        <v>0</v>
      </c>
      <c r="BE39" s="2109">
        <f t="shared" si="15"/>
        <v>0</v>
      </c>
      <c r="BF39" s="2109">
        <f t="shared" si="15"/>
        <v>0</v>
      </c>
      <c r="BG39" s="2109">
        <f t="shared" si="15"/>
        <v>0</v>
      </c>
      <c r="BH39" s="2109">
        <f t="shared" si="15"/>
        <v>0</v>
      </c>
      <c r="BI39" s="2109">
        <f t="shared" si="15"/>
        <v>0</v>
      </c>
      <c r="BJ39" s="2109">
        <f t="shared" si="15"/>
        <v>0</v>
      </c>
      <c r="BK39" s="2109">
        <f t="shared" si="15"/>
        <v>0</v>
      </c>
      <c r="BL39" s="2109">
        <f t="shared" si="15"/>
        <v>0</v>
      </c>
      <c r="BM39" s="2109">
        <f t="shared" si="15"/>
        <v>0</v>
      </c>
      <c r="BN39" s="2109">
        <f t="shared" si="15"/>
        <v>0</v>
      </c>
      <c r="BO39" s="2109">
        <f t="shared" si="15"/>
        <v>0</v>
      </c>
      <c r="BP39" s="2109">
        <f t="shared" si="15"/>
        <v>0</v>
      </c>
      <c r="BQ39" s="2109">
        <f t="shared" si="15"/>
        <v>0</v>
      </c>
      <c r="BR39" s="2109">
        <f t="shared" si="15"/>
        <v>0</v>
      </c>
      <c r="BS39" s="2109">
        <f t="shared" si="15"/>
        <v>0</v>
      </c>
      <c r="BT39" s="2109">
        <f t="shared" si="15"/>
        <v>0</v>
      </c>
      <c r="BU39" s="2109">
        <f t="shared" si="15"/>
        <v>0</v>
      </c>
      <c r="BV39" s="2110">
        <f t="shared" si="15"/>
        <v>0</v>
      </c>
      <c r="BW39" s="2083">
        <f t="shared" ref="BW39:BW68" si="16">SUM(AT39:BV39)</f>
        <v>0</v>
      </c>
      <c r="BX39" s="2063"/>
      <c r="BY39" s="2063"/>
    </row>
    <row r="40" spans="1:77" x14ac:dyDescent="0.25">
      <c r="A40" s="2063"/>
      <c r="B40" s="2085">
        <f t="shared" ref="B40:C55" si="17">B7</f>
        <v>2</v>
      </c>
      <c r="C40" s="2111">
        <f t="shared" si="17"/>
        <v>0</v>
      </c>
      <c r="D40" s="2112">
        <f t="shared" si="11"/>
        <v>0</v>
      </c>
      <c r="E40" s="2063"/>
      <c r="F40" s="2106"/>
      <c r="G40" s="2107"/>
      <c r="H40" s="2113">
        <f t="shared" si="12"/>
        <v>0</v>
      </c>
      <c r="I40" s="2114">
        <f t="shared" si="12"/>
        <v>0</v>
      </c>
      <c r="J40" s="2114">
        <f t="shared" si="12"/>
        <v>0</v>
      </c>
      <c r="K40" s="2114">
        <f t="shared" si="12"/>
        <v>0</v>
      </c>
      <c r="L40" s="2114">
        <f t="shared" si="12"/>
        <v>0</v>
      </c>
      <c r="M40" s="2114">
        <f t="shared" si="12"/>
        <v>0</v>
      </c>
      <c r="N40" s="2114">
        <f t="shared" si="12"/>
        <v>0</v>
      </c>
      <c r="O40" s="2114">
        <f t="shared" si="12"/>
        <v>0</v>
      </c>
      <c r="P40" s="2114">
        <f t="shared" si="12"/>
        <v>0</v>
      </c>
      <c r="Q40" s="2114">
        <f t="shared" si="12"/>
        <v>0</v>
      </c>
      <c r="R40" s="2114">
        <f t="shared" si="12"/>
        <v>0</v>
      </c>
      <c r="S40" s="2114">
        <f t="shared" si="12"/>
        <v>0</v>
      </c>
      <c r="T40" s="2114">
        <f t="shared" si="12"/>
        <v>0</v>
      </c>
      <c r="U40" s="2114">
        <f t="shared" si="12"/>
        <v>0</v>
      </c>
      <c r="V40" s="2114">
        <f t="shared" si="12"/>
        <v>0</v>
      </c>
      <c r="W40" s="2114">
        <f t="shared" si="12"/>
        <v>0</v>
      </c>
      <c r="X40" s="2114">
        <f t="shared" si="12"/>
        <v>0</v>
      </c>
      <c r="Y40" s="2114">
        <f t="shared" si="12"/>
        <v>0</v>
      </c>
      <c r="Z40" s="2114">
        <f t="shared" si="12"/>
        <v>0</v>
      </c>
      <c r="AA40" s="2114">
        <f t="shared" si="12"/>
        <v>0</v>
      </c>
      <c r="AB40" s="2114">
        <f t="shared" si="12"/>
        <v>0</v>
      </c>
      <c r="AC40" s="2114">
        <f t="shared" si="12"/>
        <v>0</v>
      </c>
      <c r="AD40" s="2114">
        <f t="shared" si="12"/>
        <v>0</v>
      </c>
      <c r="AE40" s="2114">
        <f t="shared" si="12"/>
        <v>0</v>
      </c>
      <c r="AF40" s="2114">
        <f t="shared" si="12"/>
        <v>0</v>
      </c>
      <c r="AG40" s="2114">
        <f t="shared" si="12"/>
        <v>0</v>
      </c>
      <c r="AH40" s="2114">
        <f t="shared" si="12"/>
        <v>0</v>
      </c>
      <c r="AI40" s="2114">
        <f t="shared" si="12"/>
        <v>0</v>
      </c>
      <c r="AJ40" s="2115">
        <f t="shared" si="12"/>
        <v>0</v>
      </c>
      <c r="AK40" s="2091">
        <f t="shared" si="13"/>
        <v>0</v>
      </c>
      <c r="AL40" s="2063"/>
      <c r="AM40" s="2084"/>
      <c r="AN40" s="2085">
        <f t="shared" ref="AN40:AO55" si="18">AN7</f>
        <v>2</v>
      </c>
      <c r="AO40" s="2111">
        <f t="shared" si="18"/>
        <v>0</v>
      </c>
      <c r="AP40" s="2112">
        <f t="shared" si="14"/>
        <v>0</v>
      </c>
      <c r="AQ40" s="2063"/>
      <c r="AR40" s="2106"/>
      <c r="AS40" s="2107"/>
      <c r="AT40" s="2113">
        <f t="shared" ref="AT40:BV48" si="19">IF(AT$4=$AS7,$AP40*(12-VLOOKUP($AQ7,$E$79:$F$90,2,0)),IF(AND(AT$4&gt;$AS7,AT$4&lt;($AS7+$AP7)),$AP40*12,IF(AT$4=($AS7+$AP7),$AP40*VLOOKUP($AQ7,$E$79:$F$90,2,0),0)))</f>
        <v>0</v>
      </c>
      <c r="AU40" s="2114">
        <f t="shared" si="19"/>
        <v>0</v>
      </c>
      <c r="AV40" s="2114">
        <f t="shared" si="19"/>
        <v>0</v>
      </c>
      <c r="AW40" s="2114">
        <f t="shared" si="19"/>
        <v>0</v>
      </c>
      <c r="AX40" s="2114">
        <f t="shared" si="19"/>
        <v>0</v>
      </c>
      <c r="AY40" s="2114">
        <f t="shared" si="19"/>
        <v>0</v>
      </c>
      <c r="AZ40" s="2114">
        <f t="shared" si="19"/>
        <v>0</v>
      </c>
      <c r="BA40" s="2114">
        <f t="shared" si="19"/>
        <v>0</v>
      </c>
      <c r="BB40" s="2114">
        <f t="shared" si="19"/>
        <v>0</v>
      </c>
      <c r="BC40" s="2114">
        <f t="shared" si="19"/>
        <v>0</v>
      </c>
      <c r="BD40" s="2114">
        <f t="shared" si="19"/>
        <v>0</v>
      </c>
      <c r="BE40" s="2114">
        <f t="shared" si="19"/>
        <v>0</v>
      </c>
      <c r="BF40" s="2114">
        <f t="shared" si="19"/>
        <v>0</v>
      </c>
      <c r="BG40" s="2114">
        <f t="shared" si="19"/>
        <v>0</v>
      </c>
      <c r="BH40" s="2114">
        <f t="shared" si="19"/>
        <v>0</v>
      </c>
      <c r="BI40" s="2114">
        <f t="shared" si="19"/>
        <v>0</v>
      </c>
      <c r="BJ40" s="2114">
        <f t="shared" si="19"/>
        <v>0</v>
      </c>
      <c r="BK40" s="2114">
        <f t="shared" si="19"/>
        <v>0</v>
      </c>
      <c r="BL40" s="2114">
        <f t="shared" si="19"/>
        <v>0</v>
      </c>
      <c r="BM40" s="2114">
        <f t="shared" si="19"/>
        <v>0</v>
      </c>
      <c r="BN40" s="2114">
        <f t="shared" si="19"/>
        <v>0</v>
      </c>
      <c r="BO40" s="2114">
        <f t="shared" si="19"/>
        <v>0</v>
      </c>
      <c r="BP40" s="2114">
        <f t="shared" si="19"/>
        <v>0</v>
      </c>
      <c r="BQ40" s="2114">
        <f t="shared" si="19"/>
        <v>0</v>
      </c>
      <c r="BR40" s="2114">
        <f t="shared" si="19"/>
        <v>0</v>
      </c>
      <c r="BS40" s="2114">
        <f t="shared" si="19"/>
        <v>0</v>
      </c>
      <c r="BT40" s="2114">
        <f t="shared" si="19"/>
        <v>0</v>
      </c>
      <c r="BU40" s="2114">
        <f t="shared" si="19"/>
        <v>0</v>
      </c>
      <c r="BV40" s="2115">
        <f t="shared" si="19"/>
        <v>0</v>
      </c>
      <c r="BW40" s="2091">
        <f t="shared" si="16"/>
        <v>0</v>
      </c>
      <c r="BX40" s="2063"/>
      <c r="BY40" s="2063"/>
    </row>
    <row r="41" spans="1:77" x14ac:dyDescent="0.25">
      <c r="A41" s="2063"/>
      <c r="B41" s="2085">
        <f t="shared" si="17"/>
        <v>3</v>
      </c>
      <c r="C41" s="2111">
        <f t="shared" si="17"/>
        <v>0</v>
      </c>
      <c r="D41" s="2112">
        <f t="shared" si="11"/>
        <v>0</v>
      </c>
      <c r="E41" s="2063"/>
      <c r="F41" s="2106"/>
      <c r="G41" s="2107"/>
      <c r="H41" s="2113">
        <f t="shared" si="12"/>
        <v>0</v>
      </c>
      <c r="I41" s="2114">
        <f t="shared" si="12"/>
        <v>0</v>
      </c>
      <c r="J41" s="2114">
        <f t="shared" si="12"/>
        <v>0</v>
      </c>
      <c r="K41" s="2114">
        <f t="shared" si="12"/>
        <v>0</v>
      </c>
      <c r="L41" s="2114">
        <f t="shared" si="12"/>
        <v>0</v>
      </c>
      <c r="M41" s="2114">
        <f t="shared" si="12"/>
        <v>0</v>
      </c>
      <c r="N41" s="2114">
        <f t="shared" si="12"/>
        <v>0</v>
      </c>
      <c r="O41" s="2114">
        <f t="shared" si="12"/>
        <v>0</v>
      </c>
      <c r="P41" s="2114">
        <f t="shared" si="12"/>
        <v>0</v>
      </c>
      <c r="Q41" s="2114">
        <f t="shared" si="12"/>
        <v>0</v>
      </c>
      <c r="R41" s="2114">
        <f t="shared" si="12"/>
        <v>0</v>
      </c>
      <c r="S41" s="2114">
        <f t="shared" si="12"/>
        <v>0</v>
      </c>
      <c r="T41" s="2114">
        <f t="shared" si="12"/>
        <v>0</v>
      </c>
      <c r="U41" s="2114">
        <f t="shared" si="12"/>
        <v>0</v>
      </c>
      <c r="V41" s="2114">
        <f t="shared" si="12"/>
        <v>0</v>
      </c>
      <c r="W41" s="2114">
        <f t="shared" si="12"/>
        <v>0</v>
      </c>
      <c r="X41" s="2114">
        <f t="shared" si="12"/>
        <v>0</v>
      </c>
      <c r="Y41" s="2114">
        <f t="shared" si="12"/>
        <v>0</v>
      </c>
      <c r="Z41" s="2114">
        <f t="shared" si="12"/>
        <v>0</v>
      </c>
      <c r="AA41" s="2114">
        <f t="shared" si="12"/>
        <v>0</v>
      </c>
      <c r="AB41" s="2114">
        <f t="shared" si="12"/>
        <v>0</v>
      </c>
      <c r="AC41" s="2114">
        <f t="shared" si="12"/>
        <v>0</v>
      </c>
      <c r="AD41" s="2114">
        <f t="shared" si="12"/>
        <v>0</v>
      </c>
      <c r="AE41" s="2114">
        <f t="shared" si="12"/>
        <v>0</v>
      </c>
      <c r="AF41" s="2114">
        <f t="shared" si="12"/>
        <v>0</v>
      </c>
      <c r="AG41" s="2114">
        <f t="shared" si="12"/>
        <v>0</v>
      </c>
      <c r="AH41" s="2114">
        <f t="shared" si="12"/>
        <v>0</v>
      </c>
      <c r="AI41" s="2114">
        <f t="shared" si="12"/>
        <v>0</v>
      </c>
      <c r="AJ41" s="2115">
        <f t="shared" si="12"/>
        <v>0</v>
      </c>
      <c r="AK41" s="2091">
        <f t="shared" si="13"/>
        <v>0</v>
      </c>
      <c r="AL41" s="2063"/>
      <c r="AM41" s="2084"/>
      <c r="AN41" s="2085">
        <f t="shared" si="18"/>
        <v>3</v>
      </c>
      <c r="AO41" s="2111">
        <f t="shared" si="18"/>
        <v>0</v>
      </c>
      <c r="AP41" s="2112">
        <f t="shared" si="14"/>
        <v>0</v>
      </c>
      <c r="AQ41" s="2063"/>
      <c r="AR41" s="2106"/>
      <c r="AS41" s="2107"/>
      <c r="AT41" s="2113">
        <f t="shared" si="19"/>
        <v>0</v>
      </c>
      <c r="AU41" s="2114">
        <f t="shared" si="19"/>
        <v>0</v>
      </c>
      <c r="AV41" s="2114">
        <f t="shared" si="19"/>
        <v>0</v>
      </c>
      <c r="AW41" s="2114">
        <f t="shared" si="19"/>
        <v>0</v>
      </c>
      <c r="AX41" s="2114">
        <f t="shared" si="19"/>
        <v>0</v>
      </c>
      <c r="AY41" s="2114">
        <f t="shared" si="19"/>
        <v>0</v>
      </c>
      <c r="AZ41" s="2114">
        <f t="shared" si="19"/>
        <v>0</v>
      </c>
      <c r="BA41" s="2114">
        <f t="shared" si="19"/>
        <v>0</v>
      </c>
      <c r="BB41" s="2114">
        <f t="shared" si="19"/>
        <v>0</v>
      </c>
      <c r="BC41" s="2114">
        <f t="shared" si="19"/>
        <v>0</v>
      </c>
      <c r="BD41" s="2114">
        <f t="shared" si="19"/>
        <v>0</v>
      </c>
      <c r="BE41" s="2114">
        <f t="shared" si="19"/>
        <v>0</v>
      </c>
      <c r="BF41" s="2114">
        <f t="shared" si="19"/>
        <v>0</v>
      </c>
      <c r="BG41" s="2114">
        <f t="shared" si="19"/>
        <v>0</v>
      </c>
      <c r="BH41" s="2114">
        <f t="shared" si="19"/>
        <v>0</v>
      </c>
      <c r="BI41" s="2114">
        <f t="shared" si="19"/>
        <v>0</v>
      </c>
      <c r="BJ41" s="2114">
        <f t="shared" si="19"/>
        <v>0</v>
      </c>
      <c r="BK41" s="2114">
        <f t="shared" si="19"/>
        <v>0</v>
      </c>
      <c r="BL41" s="2114">
        <f t="shared" si="19"/>
        <v>0</v>
      </c>
      <c r="BM41" s="2114">
        <f t="shared" si="19"/>
        <v>0</v>
      </c>
      <c r="BN41" s="2114">
        <f t="shared" si="19"/>
        <v>0</v>
      </c>
      <c r="BO41" s="2114">
        <f t="shared" si="19"/>
        <v>0</v>
      </c>
      <c r="BP41" s="2114">
        <f t="shared" si="19"/>
        <v>0</v>
      </c>
      <c r="BQ41" s="2114">
        <f t="shared" si="19"/>
        <v>0</v>
      </c>
      <c r="BR41" s="2114">
        <f t="shared" si="19"/>
        <v>0</v>
      </c>
      <c r="BS41" s="2114">
        <f t="shared" si="19"/>
        <v>0</v>
      </c>
      <c r="BT41" s="2114">
        <f t="shared" si="19"/>
        <v>0</v>
      </c>
      <c r="BU41" s="2114">
        <f t="shared" si="19"/>
        <v>0</v>
      </c>
      <c r="BV41" s="2115">
        <f t="shared" si="19"/>
        <v>0</v>
      </c>
      <c r="BW41" s="2091">
        <f t="shared" si="16"/>
        <v>0</v>
      </c>
      <c r="BX41" s="2063"/>
      <c r="BY41" s="2063"/>
    </row>
    <row r="42" spans="1:77" x14ac:dyDescent="0.25">
      <c r="A42" s="2063"/>
      <c r="B42" s="2085">
        <f t="shared" si="17"/>
        <v>4</v>
      </c>
      <c r="C42" s="2111">
        <f t="shared" si="17"/>
        <v>0</v>
      </c>
      <c r="D42" s="2112">
        <f t="shared" si="11"/>
        <v>0</v>
      </c>
      <c r="E42" s="2063"/>
      <c r="F42" s="2106"/>
      <c r="G42" s="2107"/>
      <c r="H42" s="2113">
        <f t="shared" si="12"/>
        <v>0</v>
      </c>
      <c r="I42" s="2114">
        <f t="shared" si="12"/>
        <v>0</v>
      </c>
      <c r="J42" s="2114">
        <f t="shared" si="12"/>
        <v>0</v>
      </c>
      <c r="K42" s="2114">
        <f t="shared" si="12"/>
        <v>0</v>
      </c>
      <c r="L42" s="2114">
        <f t="shared" si="12"/>
        <v>0</v>
      </c>
      <c r="M42" s="2114">
        <f t="shared" si="12"/>
        <v>0</v>
      </c>
      <c r="N42" s="2114">
        <f t="shared" si="12"/>
        <v>0</v>
      </c>
      <c r="O42" s="2114">
        <f t="shared" si="12"/>
        <v>0</v>
      </c>
      <c r="P42" s="2114">
        <f t="shared" si="12"/>
        <v>0</v>
      </c>
      <c r="Q42" s="2114">
        <f t="shared" si="12"/>
        <v>0</v>
      </c>
      <c r="R42" s="2114">
        <f t="shared" si="12"/>
        <v>0</v>
      </c>
      <c r="S42" s="2114">
        <f t="shared" si="12"/>
        <v>0</v>
      </c>
      <c r="T42" s="2114">
        <f t="shared" si="12"/>
        <v>0</v>
      </c>
      <c r="U42" s="2114">
        <f t="shared" si="12"/>
        <v>0</v>
      </c>
      <c r="V42" s="2114">
        <f t="shared" si="12"/>
        <v>0</v>
      </c>
      <c r="W42" s="2114">
        <f t="shared" si="12"/>
        <v>0</v>
      </c>
      <c r="X42" s="2114">
        <f t="shared" si="12"/>
        <v>0</v>
      </c>
      <c r="Y42" s="2114">
        <f t="shared" si="12"/>
        <v>0</v>
      </c>
      <c r="Z42" s="2114">
        <f t="shared" si="12"/>
        <v>0</v>
      </c>
      <c r="AA42" s="2114">
        <f t="shared" si="12"/>
        <v>0</v>
      </c>
      <c r="AB42" s="2114">
        <f t="shared" si="12"/>
        <v>0</v>
      </c>
      <c r="AC42" s="2114">
        <f t="shared" si="12"/>
        <v>0</v>
      </c>
      <c r="AD42" s="2114">
        <f t="shared" si="12"/>
        <v>0</v>
      </c>
      <c r="AE42" s="2114">
        <f t="shared" si="12"/>
        <v>0</v>
      </c>
      <c r="AF42" s="2114">
        <f t="shared" si="12"/>
        <v>0</v>
      </c>
      <c r="AG42" s="2114">
        <f t="shared" si="12"/>
        <v>0</v>
      </c>
      <c r="AH42" s="2114">
        <f t="shared" si="12"/>
        <v>0</v>
      </c>
      <c r="AI42" s="2114">
        <f t="shared" si="12"/>
        <v>0</v>
      </c>
      <c r="AJ42" s="2115">
        <f t="shared" si="12"/>
        <v>0</v>
      </c>
      <c r="AK42" s="2091">
        <f t="shared" si="13"/>
        <v>0</v>
      </c>
      <c r="AL42" s="2084"/>
      <c r="AM42" s="2084"/>
      <c r="AN42" s="2085">
        <f t="shared" si="18"/>
        <v>4</v>
      </c>
      <c r="AO42" s="2111">
        <f t="shared" si="18"/>
        <v>0</v>
      </c>
      <c r="AP42" s="2112">
        <f t="shared" si="14"/>
        <v>0</v>
      </c>
      <c r="AQ42" s="2063"/>
      <c r="AR42" s="2106"/>
      <c r="AS42" s="2107"/>
      <c r="AT42" s="2113">
        <f t="shared" si="19"/>
        <v>0</v>
      </c>
      <c r="AU42" s="2114">
        <f t="shared" si="19"/>
        <v>0</v>
      </c>
      <c r="AV42" s="2114">
        <f t="shared" si="19"/>
        <v>0</v>
      </c>
      <c r="AW42" s="2114">
        <f t="shared" si="19"/>
        <v>0</v>
      </c>
      <c r="AX42" s="2114">
        <f t="shared" si="19"/>
        <v>0</v>
      </c>
      <c r="AY42" s="2114">
        <f t="shared" si="19"/>
        <v>0</v>
      </c>
      <c r="AZ42" s="2114">
        <f t="shared" si="19"/>
        <v>0</v>
      </c>
      <c r="BA42" s="2114">
        <f t="shared" si="19"/>
        <v>0</v>
      </c>
      <c r="BB42" s="2114">
        <f t="shared" si="19"/>
        <v>0</v>
      </c>
      <c r="BC42" s="2114">
        <f t="shared" si="19"/>
        <v>0</v>
      </c>
      <c r="BD42" s="2114">
        <f t="shared" si="19"/>
        <v>0</v>
      </c>
      <c r="BE42" s="2114">
        <f t="shared" si="19"/>
        <v>0</v>
      </c>
      <c r="BF42" s="2114">
        <f t="shared" si="19"/>
        <v>0</v>
      </c>
      <c r="BG42" s="2114">
        <f t="shared" si="19"/>
        <v>0</v>
      </c>
      <c r="BH42" s="2114">
        <f t="shared" si="19"/>
        <v>0</v>
      </c>
      <c r="BI42" s="2114">
        <f t="shared" si="19"/>
        <v>0</v>
      </c>
      <c r="BJ42" s="2114">
        <f t="shared" si="19"/>
        <v>0</v>
      </c>
      <c r="BK42" s="2114">
        <f t="shared" si="19"/>
        <v>0</v>
      </c>
      <c r="BL42" s="2114">
        <f t="shared" si="19"/>
        <v>0</v>
      </c>
      <c r="BM42" s="2114">
        <f t="shared" si="19"/>
        <v>0</v>
      </c>
      <c r="BN42" s="2114">
        <f t="shared" si="19"/>
        <v>0</v>
      </c>
      <c r="BO42" s="2114">
        <f t="shared" si="19"/>
        <v>0</v>
      </c>
      <c r="BP42" s="2114">
        <f t="shared" si="19"/>
        <v>0</v>
      </c>
      <c r="BQ42" s="2114">
        <f t="shared" si="19"/>
        <v>0</v>
      </c>
      <c r="BR42" s="2114">
        <f t="shared" si="19"/>
        <v>0</v>
      </c>
      <c r="BS42" s="2114">
        <f t="shared" si="19"/>
        <v>0</v>
      </c>
      <c r="BT42" s="2114">
        <f t="shared" si="19"/>
        <v>0</v>
      </c>
      <c r="BU42" s="2114">
        <f t="shared" si="19"/>
        <v>0</v>
      </c>
      <c r="BV42" s="2115">
        <f t="shared" si="19"/>
        <v>0</v>
      </c>
      <c r="BW42" s="2091">
        <f t="shared" si="16"/>
        <v>0</v>
      </c>
      <c r="BX42" s="2063"/>
      <c r="BY42" s="2063"/>
    </row>
    <row r="43" spans="1:77" x14ac:dyDescent="0.25">
      <c r="A43" s="2063"/>
      <c r="B43" s="2085">
        <f t="shared" si="17"/>
        <v>5</v>
      </c>
      <c r="C43" s="2111">
        <f t="shared" si="17"/>
        <v>0</v>
      </c>
      <c r="D43" s="2112">
        <f t="shared" si="11"/>
        <v>0</v>
      </c>
      <c r="E43" s="2063"/>
      <c r="F43" s="2106"/>
      <c r="G43" s="2107"/>
      <c r="H43" s="2113">
        <f t="shared" si="12"/>
        <v>0</v>
      </c>
      <c r="I43" s="2114">
        <f t="shared" si="12"/>
        <v>0</v>
      </c>
      <c r="J43" s="2114">
        <f t="shared" si="12"/>
        <v>0</v>
      </c>
      <c r="K43" s="2114">
        <f t="shared" si="12"/>
        <v>0</v>
      </c>
      <c r="L43" s="2114">
        <f t="shared" si="12"/>
        <v>0</v>
      </c>
      <c r="M43" s="2114">
        <f t="shared" si="12"/>
        <v>0</v>
      </c>
      <c r="N43" s="2114">
        <f t="shared" si="12"/>
        <v>0</v>
      </c>
      <c r="O43" s="2114">
        <f t="shared" si="12"/>
        <v>0</v>
      </c>
      <c r="P43" s="2114">
        <f t="shared" si="12"/>
        <v>0</v>
      </c>
      <c r="Q43" s="2114">
        <f t="shared" si="12"/>
        <v>0</v>
      </c>
      <c r="R43" s="2114">
        <f t="shared" si="12"/>
        <v>0</v>
      </c>
      <c r="S43" s="2114">
        <f t="shared" si="12"/>
        <v>0</v>
      </c>
      <c r="T43" s="2114">
        <f t="shared" si="12"/>
        <v>0</v>
      </c>
      <c r="U43" s="2114">
        <f t="shared" si="12"/>
        <v>0</v>
      </c>
      <c r="V43" s="2114">
        <f t="shared" si="12"/>
        <v>0</v>
      </c>
      <c r="W43" s="2114">
        <f t="shared" si="12"/>
        <v>0</v>
      </c>
      <c r="X43" s="2114">
        <f t="shared" si="12"/>
        <v>0</v>
      </c>
      <c r="Y43" s="2114">
        <f t="shared" si="12"/>
        <v>0</v>
      </c>
      <c r="Z43" s="2114">
        <f t="shared" si="12"/>
        <v>0</v>
      </c>
      <c r="AA43" s="2114">
        <f t="shared" si="12"/>
        <v>0</v>
      </c>
      <c r="AB43" s="2114">
        <f t="shared" si="12"/>
        <v>0</v>
      </c>
      <c r="AC43" s="2114">
        <f t="shared" si="12"/>
        <v>0</v>
      </c>
      <c r="AD43" s="2114">
        <f t="shared" si="12"/>
        <v>0</v>
      </c>
      <c r="AE43" s="2114">
        <f t="shared" si="12"/>
        <v>0</v>
      </c>
      <c r="AF43" s="2114">
        <f t="shared" si="12"/>
        <v>0</v>
      </c>
      <c r="AG43" s="2114">
        <f t="shared" si="12"/>
        <v>0</v>
      </c>
      <c r="AH43" s="2114">
        <f t="shared" si="12"/>
        <v>0</v>
      </c>
      <c r="AI43" s="2114">
        <f t="shared" si="12"/>
        <v>0</v>
      </c>
      <c r="AJ43" s="2115">
        <f t="shared" si="12"/>
        <v>0</v>
      </c>
      <c r="AK43" s="2091">
        <f t="shared" si="13"/>
        <v>0</v>
      </c>
      <c r="AL43" s="2084"/>
      <c r="AM43" s="2084"/>
      <c r="AN43" s="2085">
        <f t="shared" si="18"/>
        <v>5</v>
      </c>
      <c r="AO43" s="2111">
        <f t="shared" si="18"/>
        <v>0</v>
      </c>
      <c r="AP43" s="2112">
        <f t="shared" si="14"/>
        <v>0</v>
      </c>
      <c r="AQ43" s="2063"/>
      <c r="AR43" s="2106"/>
      <c r="AS43" s="2107"/>
      <c r="AT43" s="2113">
        <f t="shared" si="19"/>
        <v>0</v>
      </c>
      <c r="AU43" s="2114">
        <f t="shared" si="19"/>
        <v>0</v>
      </c>
      <c r="AV43" s="2114">
        <f t="shared" si="19"/>
        <v>0</v>
      </c>
      <c r="AW43" s="2114">
        <f t="shared" si="19"/>
        <v>0</v>
      </c>
      <c r="AX43" s="2114">
        <f t="shared" si="19"/>
        <v>0</v>
      </c>
      <c r="AY43" s="2114">
        <f t="shared" si="19"/>
        <v>0</v>
      </c>
      <c r="AZ43" s="2114">
        <f t="shared" si="19"/>
        <v>0</v>
      </c>
      <c r="BA43" s="2114">
        <f t="shared" si="19"/>
        <v>0</v>
      </c>
      <c r="BB43" s="2114">
        <f t="shared" si="19"/>
        <v>0</v>
      </c>
      <c r="BC43" s="2114">
        <f t="shared" si="19"/>
        <v>0</v>
      </c>
      <c r="BD43" s="2114">
        <f t="shared" si="19"/>
        <v>0</v>
      </c>
      <c r="BE43" s="2114">
        <f t="shared" si="19"/>
        <v>0</v>
      </c>
      <c r="BF43" s="2114">
        <f t="shared" si="19"/>
        <v>0</v>
      </c>
      <c r="BG43" s="2114">
        <f t="shared" si="19"/>
        <v>0</v>
      </c>
      <c r="BH43" s="2114">
        <f t="shared" si="19"/>
        <v>0</v>
      </c>
      <c r="BI43" s="2114">
        <f t="shared" si="19"/>
        <v>0</v>
      </c>
      <c r="BJ43" s="2114">
        <f t="shared" si="19"/>
        <v>0</v>
      </c>
      <c r="BK43" s="2114">
        <f t="shared" si="19"/>
        <v>0</v>
      </c>
      <c r="BL43" s="2114">
        <f t="shared" si="19"/>
        <v>0</v>
      </c>
      <c r="BM43" s="2114">
        <f t="shared" si="19"/>
        <v>0</v>
      </c>
      <c r="BN43" s="2114">
        <f t="shared" si="19"/>
        <v>0</v>
      </c>
      <c r="BO43" s="2114">
        <f t="shared" si="19"/>
        <v>0</v>
      </c>
      <c r="BP43" s="2114">
        <f t="shared" si="19"/>
        <v>0</v>
      </c>
      <c r="BQ43" s="2114">
        <f t="shared" si="19"/>
        <v>0</v>
      </c>
      <c r="BR43" s="2114">
        <f t="shared" si="19"/>
        <v>0</v>
      </c>
      <c r="BS43" s="2114">
        <f t="shared" si="19"/>
        <v>0</v>
      </c>
      <c r="BT43" s="2114">
        <f t="shared" si="19"/>
        <v>0</v>
      </c>
      <c r="BU43" s="2114">
        <f t="shared" si="19"/>
        <v>0</v>
      </c>
      <c r="BV43" s="2115">
        <f t="shared" si="19"/>
        <v>0</v>
      </c>
      <c r="BW43" s="2091">
        <f t="shared" si="16"/>
        <v>0</v>
      </c>
      <c r="BX43" s="2063"/>
      <c r="BY43" s="2063"/>
    </row>
    <row r="44" spans="1:77" x14ac:dyDescent="0.25">
      <c r="A44" s="2063"/>
      <c r="B44" s="2085">
        <f t="shared" si="17"/>
        <v>6</v>
      </c>
      <c r="C44" s="2111">
        <f t="shared" si="17"/>
        <v>0</v>
      </c>
      <c r="D44" s="2112">
        <f t="shared" si="11"/>
        <v>0</v>
      </c>
      <c r="E44" s="2063"/>
      <c r="F44" s="2106"/>
      <c r="G44" s="2107"/>
      <c r="H44" s="2113">
        <f t="shared" si="12"/>
        <v>0</v>
      </c>
      <c r="I44" s="2114">
        <f t="shared" si="12"/>
        <v>0</v>
      </c>
      <c r="J44" s="2114">
        <f t="shared" si="12"/>
        <v>0</v>
      </c>
      <c r="K44" s="2114">
        <f t="shared" si="12"/>
        <v>0</v>
      </c>
      <c r="L44" s="2114">
        <f t="shared" si="12"/>
        <v>0</v>
      </c>
      <c r="M44" s="2114">
        <f t="shared" si="12"/>
        <v>0</v>
      </c>
      <c r="N44" s="2114">
        <f t="shared" si="12"/>
        <v>0</v>
      </c>
      <c r="O44" s="2114">
        <f t="shared" si="12"/>
        <v>0</v>
      </c>
      <c r="P44" s="2114">
        <f t="shared" si="12"/>
        <v>0</v>
      </c>
      <c r="Q44" s="2114">
        <f t="shared" si="12"/>
        <v>0</v>
      </c>
      <c r="R44" s="2114">
        <f t="shared" si="12"/>
        <v>0</v>
      </c>
      <c r="S44" s="2114">
        <f t="shared" si="12"/>
        <v>0</v>
      </c>
      <c r="T44" s="2114">
        <f t="shared" si="12"/>
        <v>0</v>
      </c>
      <c r="U44" s="2114">
        <f t="shared" si="12"/>
        <v>0</v>
      </c>
      <c r="V44" s="2114">
        <f t="shared" si="12"/>
        <v>0</v>
      </c>
      <c r="W44" s="2114">
        <f t="shared" si="12"/>
        <v>0</v>
      </c>
      <c r="X44" s="2114">
        <f t="shared" si="12"/>
        <v>0</v>
      </c>
      <c r="Y44" s="2114">
        <f t="shared" si="12"/>
        <v>0</v>
      </c>
      <c r="Z44" s="2114">
        <f t="shared" si="12"/>
        <v>0</v>
      </c>
      <c r="AA44" s="2114">
        <f t="shared" si="12"/>
        <v>0</v>
      </c>
      <c r="AB44" s="2114">
        <f t="shared" si="12"/>
        <v>0</v>
      </c>
      <c r="AC44" s="2114">
        <f t="shared" si="12"/>
        <v>0</v>
      </c>
      <c r="AD44" s="2114">
        <f t="shared" si="12"/>
        <v>0</v>
      </c>
      <c r="AE44" s="2114">
        <f t="shared" si="12"/>
        <v>0</v>
      </c>
      <c r="AF44" s="2114">
        <f t="shared" si="12"/>
        <v>0</v>
      </c>
      <c r="AG44" s="2114">
        <f t="shared" si="12"/>
        <v>0</v>
      </c>
      <c r="AH44" s="2114">
        <f t="shared" si="12"/>
        <v>0</v>
      </c>
      <c r="AI44" s="2114">
        <f t="shared" si="12"/>
        <v>0</v>
      </c>
      <c r="AJ44" s="2115">
        <f t="shared" si="12"/>
        <v>0</v>
      </c>
      <c r="AK44" s="2091">
        <f t="shared" si="13"/>
        <v>0</v>
      </c>
      <c r="AL44" s="2084"/>
      <c r="AM44" s="2084"/>
      <c r="AN44" s="2085">
        <f t="shared" si="18"/>
        <v>6</v>
      </c>
      <c r="AO44" s="2111">
        <f t="shared" si="18"/>
        <v>0</v>
      </c>
      <c r="AP44" s="2112">
        <f t="shared" si="14"/>
        <v>0</v>
      </c>
      <c r="AQ44" s="2063"/>
      <c r="AR44" s="2106"/>
      <c r="AS44" s="2107"/>
      <c r="AT44" s="2113">
        <f t="shared" si="19"/>
        <v>0</v>
      </c>
      <c r="AU44" s="2114">
        <f t="shared" si="19"/>
        <v>0</v>
      </c>
      <c r="AV44" s="2114">
        <f t="shared" si="19"/>
        <v>0</v>
      </c>
      <c r="AW44" s="2114">
        <f t="shared" si="19"/>
        <v>0</v>
      </c>
      <c r="AX44" s="2114">
        <f t="shared" si="19"/>
        <v>0</v>
      </c>
      <c r="AY44" s="2114">
        <f t="shared" si="19"/>
        <v>0</v>
      </c>
      <c r="AZ44" s="2114">
        <f t="shared" si="19"/>
        <v>0</v>
      </c>
      <c r="BA44" s="2114">
        <f t="shared" si="19"/>
        <v>0</v>
      </c>
      <c r="BB44" s="2114">
        <f t="shared" si="19"/>
        <v>0</v>
      </c>
      <c r="BC44" s="2114">
        <f t="shared" si="19"/>
        <v>0</v>
      </c>
      <c r="BD44" s="2114">
        <f t="shared" si="19"/>
        <v>0</v>
      </c>
      <c r="BE44" s="2114">
        <f t="shared" si="19"/>
        <v>0</v>
      </c>
      <c r="BF44" s="2114">
        <f t="shared" si="19"/>
        <v>0</v>
      </c>
      <c r="BG44" s="2114">
        <f t="shared" si="19"/>
        <v>0</v>
      </c>
      <c r="BH44" s="2114">
        <f t="shared" si="19"/>
        <v>0</v>
      </c>
      <c r="BI44" s="2114">
        <f t="shared" si="19"/>
        <v>0</v>
      </c>
      <c r="BJ44" s="2114">
        <f t="shared" si="19"/>
        <v>0</v>
      </c>
      <c r="BK44" s="2114">
        <f t="shared" si="19"/>
        <v>0</v>
      </c>
      <c r="BL44" s="2114">
        <f t="shared" si="19"/>
        <v>0</v>
      </c>
      <c r="BM44" s="2114">
        <f t="shared" si="19"/>
        <v>0</v>
      </c>
      <c r="BN44" s="2114">
        <f t="shared" si="19"/>
        <v>0</v>
      </c>
      <c r="BO44" s="2114">
        <f t="shared" si="19"/>
        <v>0</v>
      </c>
      <c r="BP44" s="2114">
        <f t="shared" si="19"/>
        <v>0</v>
      </c>
      <c r="BQ44" s="2114">
        <f t="shared" si="19"/>
        <v>0</v>
      </c>
      <c r="BR44" s="2114">
        <f t="shared" si="19"/>
        <v>0</v>
      </c>
      <c r="BS44" s="2114">
        <f t="shared" si="19"/>
        <v>0</v>
      </c>
      <c r="BT44" s="2114">
        <f t="shared" si="19"/>
        <v>0</v>
      </c>
      <c r="BU44" s="2114">
        <f t="shared" si="19"/>
        <v>0</v>
      </c>
      <c r="BV44" s="2115">
        <f t="shared" si="19"/>
        <v>0</v>
      </c>
      <c r="BW44" s="2091">
        <f t="shared" si="16"/>
        <v>0</v>
      </c>
      <c r="BX44" s="2063"/>
      <c r="BY44" s="2063"/>
    </row>
    <row r="45" spans="1:77" x14ac:dyDescent="0.25">
      <c r="A45" s="2063"/>
      <c r="B45" s="2085">
        <f t="shared" si="17"/>
        <v>7</v>
      </c>
      <c r="C45" s="2111">
        <f t="shared" si="17"/>
        <v>0</v>
      </c>
      <c r="D45" s="2112">
        <f t="shared" si="11"/>
        <v>0</v>
      </c>
      <c r="E45" s="2063"/>
      <c r="F45" s="2106"/>
      <c r="G45" s="2107"/>
      <c r="H45" s="2113">
        <f t="shared" si="12"/>
        <v>0</v>
      </c>
      <c r="I45" s="2114">
        <f t="shared" si="12"/>
        <v>0</v>
      </c>
      <c r="J45" s="2114">
        <f t="shared" si="12"/>
        <v>0</v>
      </c>
      <c r="K45" s="2114">
        <f t="shared" si="12"/>
        <v>0</v>
      </c>
      <c r="L45" s="2114">
        <f t="shared" si="12"/>
        <v>0</v>
      </c>
      <c r="M45" s="2114">
        <f t="shared" si="12"/>
        <v>0</v>
      </c>
      <c r="N45" s="2114">
        <f t="shared" si="12"/>
        <v>0</v>
      </c>
      <c r="O45" s="2114">
        <f t="shared" si="12"/>
        <v>0</v>
      </c>
      <c r="P45" s="2114">
        <f t="shared" si="12"/>
        <v>0</v>
      </c>
      <c r="Q45" s="2114">
        <f t="shared" si="12"/>
        <v>0</v>
      </c>
      <c r="R45" s="2114">
        <f t="shared" si="12"/>
        <v>0</v>
      </c>
      <c r="S45" s="2114">
        <f t="shared" si="12"/>
        <v>0</v>
      </c>
      <c r="T45" s="2114">
        <f t="shared" si="12"/>
        <v>0</v>
      </c>
      <c r="U45" s="2114">
        <f t="shared" si="12"/>
        <v>0</v>
      </c>
      <c r="V45" s="2114">
        <f t="shared" si="12"/>
        <v>0</v>
      </c>
      <c r="W45" s="2114">
        <f t="shared" si="12"/>
        <v>0</v>
      </c>
      <c r="X45" s="2114">
        <f t="shared" si="12"/>
        <v>0</v>
      </c>
      <c r="Y45" s="2114">
        <f t="shared" si="12"/>
        <v>0</v>
      </c>
      <c r="Z45" s="2114">
        <f t="shared" si="12"/>
        <v>0</v>
      </c>
      <c r="AA45" s="2114">
        <f t="shared" si="12"/>
        <v>0</v>
      </c>
      <c r="AB45" s="2114">
        <f t="shared" si="12"/>
        <v>0</v>
      </c>
      <c r="AC45" s="2114">
        <f t="shared" si="12"/>
        <v>0</v>
      </c>
      <c r="AD45" s="2114">
        <f t="shared" si="12"/>
        <v>0</v>
      </c>
      <c r="AE45" s="2114">
        <f t="shared" si="12"/>
        <v>0</v>
      </c>
      <c r="AF45" s="2114">
        <f t="shared" si="12"/>
        <v>0</v>
      </c>
      <c r="AG45" s="2114">
        <f t="shared" si="12"/>
        <v>0</v>
      </c>
      <c r="AH45" s="2114">
        <f t="shared" si="12"/>
        <v>0</v>
      </c>
      <c r="AI45" s="2114">
        <f t="shared" si="12"/>
        <v>0</v>
      </c>
      <c r="AJ45" s="2115">
        <f t="shared" si="12"/>
        <v>0</v>
      </c>
      <c r="AK45" s="2091">
        <f t="shared" si="13"/>
        <v>0</v>
      </c>
      <c r="AL45" s="2084"/>
      <c r="AM45" s="2084"/>
      <c r="AN45" s="2085">
        <f t="shared" si="18"/>
        <v>7</v>
      </c>
      <c r="AO45" s="2111">
        <f t="shared" si="18"/>
        <v>0</v>
      </c>
      <c r="AP45" s="2112">
        <f t="shared" si="14"/>
        <v>0</v>
      </c>
      <c r="AQ45" s="2063"/>
      <c r="AR45" s="2106"/>
      <c r="AS45" s="2107"/>
      <c r="AT45" s="2113">
        <f t="shared" si="19"/>
        <v>0</v>
      </c>
      <c r="AU45" s="2114">
        <f t="shared" si="19"/>
        <v>0</v>
      </c>
      <c r="AV45" s="2114">
        <f t="shared" si="19"/>
        <v>0</v>
      </c>
      <c r="AW45" s="2114">
        <f t="shared" si="19"/>
        <v>0</v>
      </c>
      <c r="AX45" s="2114">
        <f t="shared" si="19"/>
        <v>0</v>
      </c>
      <c r="AY45" s="2114">
        <f t="shared" si="19"/>
        <v>0</v>
      </c>
      <c r="AZ45" s="2114">
        <f t="shared" si="19"/>
        <v>0</v>
      </c>
      <c r="BA45" s="2114">
        <f t="shared" si="19"/>
        <v>0</v>
      </c>
      <c r="BB45" s="2114">
        <f t="shared" si="19"/>
        <v>0</v>
      </c>
      <c r="BC45" s="2114">
        <f t="shared" si="19"/>
        <v>0</v>
      </c>
      <c r="BD45" s="2114">
        <f t="shared" si="19"/>
        <v>0</v>
      </c>
      <c r="BE45" s="2114">
        <f t="shared" si="19"/>
        <v>0</v>
      </c>
      <c r="BF45" s="2114">
        <f t="shared" si="19"/>
        <v>0</v>
      </c>
      <c r="BG45" s="2114">
        <f t="shared" si="19"/>
        <v>0</v>
      </c>
      <c r="BH45" s="2114">
        <f t="shared" si="19"/>
        <v>0</v>
      </c>
      <c r="BI45" s="2114">
        <f t="shared" si="19"/>
        <v>0</v>
      </c>
      <c r="BJ45" s="2114">
        <f t="shared" si="19"/>
        <v>0</v>
      </c>
      <c r="BK45" s="2114">
        <f t="shared" si="19"/>
        <v>0</v>
      </c>
      <c r="BL45" s="2114">
        <f t="shared" si="19"/>
        <v>0</v>
      </c>
      <c r="BM45" s="2114">
        <f t="shared" si="19"/>
        <v>0</v>
      </c>
      <c r="BN45" s="2114">
        <f t="shared" si="19"/>
        <v>0</v>
      </c>
      <c r="BO45" s="2114">
        <f t="shared" si="19"/>
        <v>0</v>
      </c>
      <c r="BP45" s="2114">
        <f t="shared" si="19"/>
        <v>0</v>
      </c>
      <c r="BQ45" s="2114">
        <f t="shared" si="19"/>
        <v>0</v>
      </c>
      <c r="BR45" s="2114">
        <f t="shared" si="19"/>
        <v>0</v>
      </c>
      <c r="BS45" s="2114">
        <f t="shared" si="19"/>
        <v>0</v>
      </c>
      <c r="BT45" s="2114">
        <f t="shared" si="19"/>
        <v>0</v>
      </c>
      <c r="BU45" s="2114">
        <f t="shared" si="19"/>
        <v>0</v>
      </c>
      <c r="BV45" s="2115">
        <f t="shared" si="19"/>
        <v>0</v>
      </c>
      <c r="BW45" s="2091">
        <f t="shared" si="16"/>
        <v>0</v>
      </c>
      <c r="BX45" s="2063"/>
      <c r="BY45" s="2063"/>
    </row>
    <row r="46" spans="1:77" x14ac:dyDescent="0.25">
      <c r="A46" s="2063"/>
      <c r="B46" s="2085">
        <f t="shared" si="17"/>
        <v>8</v>
      </c>
      <c r="C46" s="2111">
        <f t="shared" si="17"/>
        <v>0</v>
      </c>
      <c r="D46" s="2112">
        <f t="shared" si="11"/>
        <v>0</v>
      </c>
      <c r="E46" s="2063"/>
      <c r="F46" s="2106"/>
      <c r="G46" s="2107"/>
      <c r="H46" s="2113">
        <f t="shared" si="12"/>
        <v>0</v>
      </c>
      <c r="I46" s="2114">
        <f t="shared" si="12"/>
        <v>0</v>
      </c>
      <c r="J46" s="2114">
        <f t="shared" si="12"/>
        <v>0</v>
      </c>
      <c r="K46" s="2114">
        <f t="shared" si="12"/>
        <v>0</v>
      </c>
      <c r="L46" s="2114">
        <f t="shared" si="12"/>
        <v>0</v>
      </c>
      <c r="M46" s="2114">
        <f t="shared" si="12"/>
        <v>0</v>
      </c>
      <c r="N46" s="2114">
        <f t="shared" si="12"/>
        <v>0</v>
      </c>
      <c r="O46" s="2114">
        <f t="shared" si="12"/>
        <v>0</v>
      </c>
      <c r="P46" s="2114">
        <f t="shared" si="12"/>
        <v>0</v>
      </c>
      <c r="Q46" s="2114">
        <f t="shared" si="12"/>
        <v>0</v>
      </c>
      <c r="R46" s="2114">
        <f t="shared" si="12"/>
        <v>0</v>
      </c>
      <c r="S46" s="2114">
        <f t="shared" si="12"/>
        <v>0</v>
      </c>
      <c r="T46" s="2114">
        <f t="shared" si="12"/>
        <v>0</v>
      </c>
      <c r="U46" s="2114">
        <f t="shared" si="12"/>
        <v>0</v>
      </c>
      <c r="V46" s="2114">
        <f t="shared" si="12"/>
        <v>0</v>
      </c>
      <c r="W46" s="2114">
        <f t="shared" si="12"/>
        <v>0</v>
      </c>
      <c r="X46" s="2114">
        <f t="shared" si="12"/>
        <v>0</v>
      </c>
      <c r="Y46" s="2114">
        <f t="shared" si="12"/>
        <v>0</v>
      </c>
      <c r="Z46" s="2114">
        <f t="shared" si="12"/>
        <v>0</v>
      </c>
      <c r="AA46" s="2114">
        <f t="shared" si="12"/>
        <v>0</v>
      </c>
      <c r="AB46" s="2114">
        <f t="shared" si="12"/>
        <v>0</v>
      </c>
      <c r="AC46" s="2114">
        <f t="shared" si="12"/>
        <v>0</v>
      </c>
      <c r="AD46" s="2114">
        <f t="shared" si="12"/>
        <v>0</v>
      </c>
      <c r="AE46" s="2114">
        <f t="shared" si="12"/>
        <v>0</v>
      </c>
      <c r="AF46" s="2114">
        <f t="shared" si="12"/>
        <v>0</v>
      </c>
      <c r="AG46" s="2114">
        <f t="shared" si="12"/>
        <v>0</v>
      </c>
      <c r="AH46" s="2114">
        <f t="shared" si="12"/>
        <v>0</v>
      </c>
      <c r="AI46" s="2114">
        <f t="shared" si="12"/>
        <v>0</v>
      </c>
      <c r="AJ46" s="2115">
        <f t="shared" si="12"/>
        <v>0</v>
      </c>
      <c r="AK46" s="2091">
        <f t="shared" si="13"/>
        <v>0</v>
      </c>
      <c r="AL46" s="2084"/>
      <c r="AM46" s="2084"/>
      <c r="AN46" s="2085">
        <f t="shared" si="18"/>
        <v>8</v>
      </c>
      <c r="AO46" s="2111">
        <f t="shared" si="18"/>
        <v>0</v>
      </c>
      <c r="AP46" s="2112">
        <f t="shared" si="14"/>
        <v>0</v>
      </c>
      <c r="AQ46" s="2063"/>
      <c r="AR46" s="2106"/>
      <c r="AS46" s="2107"/>
      <c r="AT46" s="2113">
        <f t="shared" si="19"/>
        <v>0</v>
      </c>
      <c r="AU46" s="2114">
        <f t="shared" si="19"/>
        <v>0</v>
      </c>
      <c r="AV46" s="2114">
        <f t="shared" si="19"/>
        <v>0</v>
      </c>
      <c r="AW46" s="2114">
        <f t="shared" si="19"/>
        <v>0</v>
      </c>
      <c r="AX46" s="2114">
        <f t="shared" si="19"/>
        <v>0</v>
      </c>
      <c r="AY46" s="2114">
        <f t="shared" si="19"/>
        <v>0</v>
      </c>
      <c r="AZ46" s="2114">
        <f t="shared" si="19"/>
        <v>0</v>
      </c>
      <c r="BA46" s="2114">
        <f t="shared" si="19"/>
        <v>0</v>
      </c>
      <c r="BB46" s="2114">
        <f t="shared" si="19"/>
        <v>0</v>
      </c>
      <c r="BC46" s="2114">
        <f t="shared" si="19"/>
        <v>0</v>
      </c>
      <c r="BD46" s="2114">
        <f t="shared" si="19"/>
        <v>0</v>
      </c>
      <c r="BE46" s="2114">
        <f t="shared" si="19"/>
        <v>0</v>
      </c>
      <c r="BF46" s="2114">
        <f t="shared" si="19"/>
        <v>0</v>
      </c>
      <c r="BG46" s="2114">
        <f t="shared" si="19"/>
        <v>0</v>
      </c>
      <c r="BH46" s="2114">
        <f t="shared" si="19"/>
        <v>0</v>
      </c>
      <c r="BI46" s="2114">
        <f t="shared" si="19"/>
        <v>0</v>
      </c>
      <c r="BJ46" s="2114">
        <f t="shared" si="19"/>
        <v>0</v>
      </c>
      <c r="BK46" s="2114">
        <f t="shared" si="19"/>
        <v>0</v>
      </c>
      <c r="BL46" s="2114">
        <f t="shared" si="19"/>
        <v>0</v>
      </c>
      <c r="BM46" s="2114">
        <f t="shared" si="19"/>
        <v>0</v>
      </c>
      <c r="BN46" s="2114">
        <f t="shared" si="19"/>
        <v>0</v>
      </c>
      <c r="BO46" s="2114">
        <f t="shared" si="19"/>
        <v>0</v>
      </c>
      <c r="BP46" s="2114">
        <f t="shared" si="19"/>
        <v>0</v>
      </c>
      <c r="BQ46" s="2114">
        <f t="shared" si="19"/>
        <v>0</v>
      </c>
      <c r="BR46" s="2114">
        <f t="shared" si="19"/>
        <v>0</v>
      </c>
      <c r="BS46" s="2114">
        <f t="shared" si="19"/>
        <v>0</v>
      </c>
      <c r="BT46" s="2114">
        <f t="shared" si="19"/>
        <v>0</v>
      </c>
      <c r="BU46" s="2114">
        <f t="shared" si="19"/>
        <v>0</v>
      </c>
      <c r="BV46" s="2115">
        <f t="shared" si="19"/>
        <v>0</v>
      </c>
      <c r="BW46" s="2091">
        <f t="shared" si="16"/>
        <v>0</v>
      </c>
      <c r="BX46" s="2063"/>
      <c r="BY46" s="2063"/>
    </row>
    <row r="47" spans="1:77" x14ac:dyDescent="0.25">
      <c r="A47" s="2063"/>
      <c r="B47" s="2085">
        <f t="shared" si="17"/>
        <v>9</v>
      </c>
      <c r="C47" s="2111">
        <f t="shared" si="17"/>
        <v>0</v>
      </c>
      <c r="D47" s="2112">
        <f t="shared" si="11"/>
        <v>0</v>
      </c>
      <c r="E47" s="2063"/>
      <c r="F47" s="2106"/>
      <c r="G47" s="2107"/>
      <c r="H47" s="2113">
        <f t="shared" si="12"/>
        <v>0</v>
      </c>
      <c r="I47" s="2114">
        <f t="shared" si="12"/>
        <v>0</v>
      </c>
      <c r="J47" s="2114">
        <f t="shared" si="12"/>
        <v>0</v>
      </c>
      <c r="K47" s="2114">
        <f t="shared" si="12"/>
        <v>0</v>
      </c>
      <c r="L47" s="2114">
        <f t="shared" si="12"/>
        <v>0</v>
      </c>
      <c r="M47" s="2114">
        <f t="shared" si="12"/>
        <v>0</v>
      </c>
      <c r="N47" s="2114">
        <f t="shared" si="12"/>
        <v>0</v>
      </c>
      <c r="O47" s="2114">
        <f t="shared" si="12"/>
        <v>0</v>
      </c>
      <c r="P47" s="2114">
        <f t="shared" si="12"/>
        <v>0</v>
      </c>
      <c r="Q47" s="2114">
        <f t="shared" si="12"/>
        <v>0</v>
      </c>
      <c r="R47" s="2114">
        <f t="shared" si="12"/>
        <v>0</v>
      </c>
      <c r="S47" s="2114">
        <f t="shared" si="12"/>
        <v>0</v>
      </c>
      <c r="T47" s="2114">
        <f t="shared" si="12"/>
        <v>0</v>
      </c>
      <c r="U47" s="2114">
        <f t="shared" si="12"/>
        <v>0</v>
      </c>
      <c r="V47" s="2114">
        <f t="shared" si="12"/>
        <v>0</v>
      </c>
      <c r="W47" s="2114">
        <f t="shared" si="12"/>
        <v>0</v>
      </c>
      <c r="X47" s="2114">
        <f t="shared" si="12"/>
        <v>0</v>
      </c>
      <c r="Y47" s="2114">
        <f t="shared" si="12"/>
        <v>0</v>
      </c>
      <c r="Z47" s="2114">
        <f t="shared" si="12"/>
        <v>0</v>
      </c>
      <c r="AA47" s="2114">
        <f t="shared" si="12"/>
        <v>0</v>
      </c>
      <c r="AB47" s="2114">
        <f t="shared" si="12"/>
        <v>0</v>
      </c>
      <c r="AC47" s="2114">
        <f t="shared" si="12"/>
        <v>0</v>
      </c>
      <c r="AD47" s="2114">
        <f t="shared" si="12"/>
        <v>0</v>
      </c>
      <c r="AE47" s="2114">
        <f t="shared" ref="AE47:AJ47" si="20">IF(AE$4=$G14,$D47*(12-VLOOKUP($E14,$E$79:$F$90,2,0)),IF(AND(AE$4&gt;$G14,AE$4&lt;($G14+$D14)),$D47*12,IF(AE$4=($G14+$D14),$D47*VLOOKUP($E14,$E$79:$F$90,2,0),0)))</f>
        <v>0</v>
      </c>
      <c r="AF47" s="2114">
        <f t="shared" si="20"/>
        <v>0</v>
      </c>
      <c r="AG47" s="2114">
        <f t="shared" si="20"/>
        <v>0</v>
      </c>
      <c r="AH47" s="2114">
        <f t="shared" si="20"/>
        <v>0</v>
      </c>
      <c r="AI47" s="2114">
        <f t="shared" si="20"/>
        <v>0</v>
      </c>
      <c r="AJ47" s="2115">
        <f t="shared" si="20"/>
        <v>0</v>
      </c>
      <c r="AK47" s="2091">
        <f t="shared" si="13"/>
        <v>0</v>
      </c>
      <c r="AL47" s="2084"/>
      <c r="AM47" s="2084"/>
      <c r="AN47" s="2085">
        <f t="shared" si="18"/>
        <v>9</v>
      </c>
      <c r="AO47" s="2111">
        <f t="shared" si="18"/>
        <v>0</v>
      </c>
      <c r="AP47" s="2112">
        <f t="shared" si="14"/>
        <v>0</v>
      </c>
      <c r="AQ47" s="2063"/>
      <c r="AR47" s="2106"/>
      <c r="AS47" s="2107"/>
      <c r="AT47" s="2113">
        <f t="shared" si="19"/>
        <v>0</v>
      </c>
      <c r="AU47" s="2114">
        <f t="shared" si="19"/>
        <v>0</v>
      </c>
      <c r="AV47" s="2114">
        <f t="shared" si="19"/>
        <v>0</v>
      </c>
      <c r="AW47" s="2114">
        <f t="shared" si="19"/>
        <v>0</v>
      </c>
      <c r="AX47" s="2114">
        <f t="shared" si="19"/>
        <v>0</v>
      </c>
      <c r="AY47" s="2114">
        <f t="shared" si="19"/>
        <v>0</v>
      </c>
      <c r="AZ47" s="2114">
        <f t="shared" si="19"/>
        <v>0</v>
      </c>
      <c r="BA47" s="2114">
        <f t="shared" si="19"/>
        <v>0</v>
      </c>
      <c r="BB47" s="2114">
        <f t="shared" si="19"/>
        <v>0</v>
      </c>
      <c r="BC47" s="2114">
        <f t="shared" si="19"/>
        <v>0</v>
      </c>
      <c r="BD47" s="2114">
        <f t="shared" si="19"/>
        <v>0</v>
      </c>
      <c r="BE47" s="2114">
        <f t="shared" si="19"/>
        <v>0</v>
      </c>
      <c r="BF47" s="2114">
        <f t="shared" si="19"/>
        <v>0</v>
      </c>
      <c r="BG47" s="2114">
        <f t="shared" si="19"/>
        <v>0</v>
      </c>
      <c r="BH47" s="2114">
        <f t="shared" si="19"/>
        <v>0</v>
      </c>
      <c r="BI47" s="2114">
        <f t="shared" si="19"/>
        <v>0</v>
      </c>
      <c r="BJ47" s="2114">
        <f t="shared" si="19"/>
        <v>0</v>
      </c>
      <c r="BK47" s="2114">
        <f t="shared" si="19"/>
        <v>0</v>
      </c>
      <c r="BL47" s="2114">
        <f t="shared" si="19"/>
        <v>0</v>
      </c>
      <c r="BM47" s="2114">
        <f t="shared" si="19"/>
        <v>0</v>
      </c>
      <c r="BN47" s="2114">
        <f t="shared" si="19"/>
        <v>0</v>
      </c>
      <c r="BO47" s="2114">
        <f t="shared" si="19"/>
        <v>0</v>
      </c>
      <c r="BP47" s="2114">
        <f t="shared" si="19"/>
        <v>0</v>
      </c>
      <c r="BQ47" s="2114">
        <f t="shared" si="19"/>
        <v>0</v>
      </c>
      <c r="BR47" s="2114">
        <f t="shared" si="19"/>
        <v>0</v>
      </c>
      <c r="BS47" s="2114">
        <f t="shared" si="19"/>
        <v>0</v>
      </c>
      <c r="BT47" s="2114">
        <f t="shared" si="19"/>
        <v>0</v>
      </c>
      <c r="BU47" s="2114">
        <f t="shared" si="19"/>
        <v>0</v>
      </c>
      <c r="BV47" s="2115">
        <f t="shared" si="19"/>
        <v>0</v>
      </c>
      <c r="BW47" s="2091">
        <f t="shared" si="16"/>
        <v>0</v>
      </c>
      <c r="BX47" s="2063"/>
      <c r="BY47" s="2063"/>
    </row>
    <row r="48" spans="1:77" x14ac:dyDescent="0.25">
      <c r="A48" s="2063"/>
      <c r="B48" s="2085">
        <f t="shared" si="17"/>
        <v>10</v>
      </c>
      <c r="C48" s="2111" t="str">
        <f t="shared" si="17"/>
        <v xml:space="preserve">JJJ </v>
      </c>
      <c r="D48" s="2112">
        <f t="shared" si="11"/>
        <v>0</v>
      </c>
      <c r="E48" s="2063"/>
      <c r="F48" s="2106"/>
      <c r="G48" s="2107"/>
      <c r="H48" s="2113">
        <f t="shared" ref="H48:AJ56" si="21">IF(H$4=$G15,$D48*(12-VLOOKUP($E15,$E$79:$F$90,2,0)),IF(AND(H$4&gt;$G15,H$4&lt;($G15+$D15)),$D48*12,IF(H$4=($G15+$D15),$D48*VLOOKUP($E15,$E$79:$F$90,2,0),0)))</f>
        <v>0</v>
      </c>
      <c r="I48" s="2114">
        <f t="shared" si="21"/>
        <v>0</v>
      </c>
      <c r="J48" s="2114">
        <f t="shared" si="21"/>
        <v>0</v>
      </c>
      <c r="K48" s="2114">
        <f t="shared" si="21"/>
        <v>0</v>
      </c>
      <c r="L48" s="2114">
        <f t="shared" si="21"/>
        <v>0</v>
      </c>
      <c r="M48" s="2114">
        <f t="shared" si="21"/>
        <v>0</v>
      </c>
      <c r="N48" s="2114">
        <f t="shared" si="21"/>
        <v>0</v>
      </c>
      <c r="O48" s="2114">
        <f t="shared" si="21"/>
        <v>0</v>
      </c>
      <c r="P48" s="2114">
        <f t="shared" si="21"/>
        <v>0</v>
      </c>
      <c r="Q48" s="2114">
        <f t="shared" si="21"/>
        <v>0</v>
      </c>
      <c r="R48" s="2114">
        <f t="shared" si="21"/>
        <v>0</v>
      </c>
      <c r="S48" s="2114">
        <f t="shared" si="21"/>
        <v>0</v>
      </c>
      <c r="T48" s="2114">
        <f t="shared" si="21"/>
        <v>0</v>
      </c>
      <c r="U48" s="2114">
        <f t="shared" si="21"/>
        <v>0</v>
      </c>
      <c r="V48" s="2114">
        <f t="shared" si="21"/>
        <v>0</v>
      </c>
      <c r="W48" s="2114">
        <f t="shared" si="21"/>
        <v>0</v>
      </c>
      <c r="X48" s="2114">
        <f t="shared" si="21"/>
        <v>0</v>
      </c>
      <c r="Y48" s="2114">
        <f t="shared" si="21"/>
        <v>0</v>
      </c>
      <c r="Z48" s="2114">
        <f t="shared" si="21"/>
        <v>0</v>
      </c>
      <c r="AA48" s="2114">
        <f t="shared" si="21"/>
        <v>0</v>
      </c>
      <c r="AB48" s="2114">
        <f t="shared" si="21"/>
        <v>0</v>
      </c>
      <c r="AC48" s="2114">
        <f t="shared" si="21"/>
        <v>0</v>
      </c>
      <c r="AD48" s="2114">
        <f t="shared" si="21"/>
        <v>0</v>
      </c>
      <c r="AE48" s="2114">
        <f t="shared" si="21"/>
        <v>0</v>
      </c>
      <c r="AF48" s="2114">
        <f t="shared" si="21"/>
        <v>0</v>
      </c>
      <c r="AG48" s="2114">
        <f t="shared" si="21"/>
        <v>0</v>
      </c>
      <c r="AH48" s="2114">
        <f t="shared" si="21"/>
        <v>0</v>
      </c>
      <c r="AI48" s="2114">
        <f t="shared" si="21"/>
        <v>0</v>
      </c>
      <c r="AJ48" s="2115">
        <f t="shared" si="21"/>
        <v>0</v>
      </c>
      <c r="AK48" s="2091">
        <f t="shared" si="13"/>
        <v>0</v>
      </c>
      <c r="AL48" s="2084"/>
      <c r="AM48" s="2084"/>
      <c r="AN48" s="2085">
        <f t="shared" si="18"/>
        <v>10</v>
      </c>
      <c r="AO48" s="2111">
        <f t="shared" si="18"/>
        <v>0</v>
      </c>
      <c r="AP48" s="2112">
        <f t="shared" si="14"/>
        <v>0</v>
      </c>
      <c r="AQ48" s="2063"/>
      <c r="AR48" s="2106"/>
      <c r="AS48" s="2107"/>
      <c r="AT48" s="2113">
        <f t="shared" si="19"/>
        <v>0</v>
      </c>
      <c r="AU48" s="2114">
        <f t="shared" si="19"/>
        <v>0</v>
      </c>
      <c r="AV48" s="2114">
        <f t="shared" si="19"/>
        <v>0</v>
      </c>
      <c r="AW48" s="2114">
        <f t="shared" si="19"/>
        <v>0</v>
      </c>
      <c r="AX48" s="2114">
        <f t="shared" si="19"/>
        <v>0</v>
      </c>
      <c r="AY48" s="2114">
        <f t="shared" si="19"/>
        <v>0</v>
      </c>
      <c r="AZ48" s="2114">
        <f t="shared" si="19"/>
        <v>0</v>
      </c>
      <c r="BA48" s="2114">
        <f t="shared" si="19"/>
        <v>0</v>
      </c>
      <c r="BB48" s="2114">
        <f t="shared" si="19"/>
        <v>0</v>
      </c>
      <c r="BC48" s="2114">
        <f t="shared" si="19"/>
        <v>0</v>
      </c>
      <c r="BD48" s="2114">
        <f t="shared" si="19"/>
        <v>0</v>
      </c>
      <c r="BE48" s="2114">
        <f t="shared" si="19"/>
        <v>0</v>
      </c>
      <c r="BF48" s="2114">
        <f t="shared" si="19"/>
        <v>0</v>
      </c>
      <c r="BG48" s="2114">
        <f t="shared" si="19"/>
        <v>0</v>
      </c>
      <c r="BH48" s="2114">
        <f t="shared" si="19"/>
        <v>0</v>
      </c>
      <c r="BI48" s="2114">
        <f t="shared" si="19"/>
        <v>0</v>
      </c>
      <c r="BJ48" s="2114">
        <f t="shared" si="19"/>
        <v>0</v>
      </c>
      <c r="BK48" s="2114">
        <f t="shared" si="19"/>
        <v>0</v>
      </c>
      <c r="BL48" s="2114">
        <f t="shared" si="19"/>
        <v>0</v>
      </c>
      <c r="BM48" s="2114">
        <f t="shared" si="19"/>
        <v>0</v>
      </c>
      <c r="BN48" s="2114">
        <f t="shared" si="19"/>
        <v>0</v>
      </c>
      <c r="BO48" s="2114">
        <f t="shared" si="19"/>
        <v>0</v>
      </c>
      <c r="BP48" s="2114">
        <f t="shared" si="19"/>
        <v>0</v>
      </c>
      <c r="BQ48" s="2114">
        <f t="shared" ref="BQ48:BV48" si="22">IF(BQ$4=$AS15,$AP48*(12-VLOOKUP($AQ15,$E$79:$F$90,2,0)),IF(AND(BQ$4&gt;$AS15,BQ$4&lt;($AS15+$AP15)),$AP48*12,IF(BQ$4=($AS15+$AP15),$AP48*VLOOKUP($AQ15,$E$79:$F$90,2,0),0)))</f>
        <v>0</v>
      </c>
      <c r="BR48" s="2114">
        <f t="shared" si="22"/>
        <v>0</v>
      </c>
      <c r="BS48" s="2114">
        <f t="shared" si="22"/>
        <v>0</v>
      </c>
      <c r="BT48" s="2114">
        <f t="shared" si="22"/>
        <v>0</v>
      </c>
      <c r="BU48" s="2114">
        <f t="shared" si="22"/>
        <v>0</v>
      </c>
      <c r="BV48" s="2115">
        <f t="shared" si="22"/>
        <v>0</v>
      </c>
      <c r="BW48" s="2091">
        <f t="shared" si="16"/>
        <v>0</v>
      </c>
      <c r="BX48" s="2063"/>
      <c r="BY48" s="2063"/>
    </row>
    <row r="49" spans="1:77" x14ac:dyDescent="0.25">
      <c r="A49" s="2063"/>
      <c r="B49" s="2085">
        <f t="shared" si="17"/>
        <v>11</v>
      </c>
      <c r="C49" s="2111" t="str">
        <f t="shared" si="17"/>
        <v>KKK</v>
      </c>
      <c r="D49" s="2112">
        <f t="shared" si="11"/>
        <v>0</v>
      </c>
      <c r="E49" s="2063"/>
      <c r="F49" s="2106"/>
      <c r="G49" s="2107"/>
      <c r="H49" s="2113">
        <f t="shared" si="21"/>
        <v>0</v>
      </c>
      <c r="I49" s="2114">
        <f t="shared" si="21"/>
        <v>0</v>
      </c>
      <c r="J49" s="2114">
        <f t="shared" si="21"/>
        <v>0</v>
      </c>
      <c r="K49" s="2114">
        <f t="shared" si="21"/>
        <v>0</v>
      </c>
      <c r="L49" s="2114">
        <f t="shared" si="21"/>
        <v>0</v>
      </c>
      <c r="M49" s="2114">
        <f t="shared" si="21"/>
        <v>0</v>
      </c>
      <c r="N49" s="2114">
        <f t="shared" si="21"/>
        <v>0</v>
      </c>
      <c r="O49" s="2114">
        <f t="shared" si="21"/>
        <v>0</v>
      </c>
      <c r="P49" s="2114">
        <f t="shared" si="21"/>
        <v>0</v>
      </c>
      <c r="Q49" s="2114">
        <f t="shared" si="21"/>
        <v>0</v>
      </c>
      <c r="R49" s="2114">
        <f t="shared" si="21"/>
        <v>0</v>
      </c>
      <c r="S49" s="2114">
        <f t="shared" si="21"/>
        <v>0</v>
      </c>
      <c r="T49" s="2114">
        <f t="shared" si="21"/>
        <v>0</v>
      </c>
      <c r="U49" s="2114">
        <f t="shared" si="21"/>
        <v>0</v>
      </c>
      <c r="V49" s="2114">
        <f t="shared" si="21"/>
        <v>0</v>
      </c>
      <c r="W49" s="2114">
        <f t="shared" si="21"/>
        <v>0</v>
      </c>
      <c r="X49" s="2114">
        <f t="shared" si="21"/>
        <v>0</v>
      </c>
      <c r="Y49" s="2114">
        <f t="shared" si="21"/>
        <v>0</v>
      </c>
      <c r="Z49" s="2114">
        <f t="shared" si="21"/>
        <v>0</v>
      </c>
      <c r="AA49" s="2114">
        <f t="shared" si="21"/>
        <v>0</v>
      </c>
      <c r="AB49" s="2114">
        <f t="shared" si="21"/>
        <v>0</v>
      </c>
      <c r="AC49" s="2114">
        <f t="shared" si="21"/>
        <v>0</v>
      </c>
      <c r="AD49" s="2114">
        <f t="shared" si="21"/>
        <v>0</v>
      </c>
      <c r="AE49" s="2114">
        <f t="shared" si="21"/>
        <v>0</v>
      </c>
      <c r="AF49" s="2114">
        <f t="shared" si="21"/>
        <v>0</v>
      </c>
      <c r="AG49" s="2114">
        <f t="shared" si="21"/>
        <v>0</v>
      </c>
      <c r="AH49" s="2114">
        <f t="shared" si="21"/>
        <v>0</v>
      </c>
      <c r="AI49" s="2114">
        <f t="shared" si="21"/>
        <v>0</v>
      </c>
      <c r="AJ49" s="2115">
        <f t="shared" si="21"/>
        <v>0</v>
      </c>
      <c r="AK49" s="2091">
        <f t="shared" si="13"/>
        <v>0</v>
      </c>
      <c r="AL49" s="2084"/>
      <c r="AM49" s="2084"/>
      <c r="AN49" s="2085">
        <f t="shared" si="18"/>
        <v>11</v>
      </c>
      <c r="AO49" s="2111">
        <f t="shared" si="18"/>
        <v>0</v>
      </c>
      <c r="AP49" s="2112">
        <f t="shared" si="14"/>
        <v>0</v>
      </c>
      <c r="AQ49" s="2063"/>
      <c r="AR49" s="2106"/>
      <c r="AS49" s="2107"/>
      <c r="AT49" s="2113">
        <f t="shared" ref="AT49:BV57" si="23">IF(AT$4=$AS16,$AP49*(12-VLOOKUP($AQ16,$E$79:$F$90,2,0)),IF(AND(AT$4&gt;$AS16,AT$4&lt;($AS16+$AP16)),$AP49*12,IF(AT$4=($AS16+$AP16),$AP49*VLOOKUP($AQ16,$E$79:$F$90,2,0),0)))</f>
        <v>0</v>
      </c>
      <c r="AU49" s="2114">
        <f t="shared" si="23"/>
        <v>0</v>
      </c>
      <c r="AV49" s="2114">
        <f t="shared" si="23"/>
        <v>0</v>
      </c>
      <c r="AW49" s="2114">
        <f t="shared" si="23"/>
        <v>0</v>
      </c>
      <c r="AX49" s="2114">
        <f t="shared" si="23"/>
        <v>0</v>
      </c>
      <c r="AY49" s="2114">
        <f t="shared" si="23"/>
        <v>0</v>
      </c>
      <c r="AZ49" s="2114">
        <f t="shared" si="23"/>
        <v>0</v>
      </c>
      <c r="BA49" s="2114">
        <f t="shared" si="23"/>
        <v>0</v>
      </c>
      <c r="BB49" s="2114">
        <f t="shared" si="23"/>
        <v>0</v>
      </c>
      <c r="BC49" s="2114">
        <f t="shared" si="23"/>
        <v>0</v>
      </c>
      <c r="BD49" s="2114">
        <f t="shared" si="23"/>
        <v>0</v>
      </c>
      <c r="BE49" s="2114">
        <f t="shared" si="23"/>
        <v>0</v>
      </c>
      <c r="BF49" s="2114">
        <f t="shared" si="23"/>
        <v>0</v>
      </c>
      <c r="BG49" s="2114">
        <f t="shared" si="23"/>
        <v>0</v>
      </c>
      <c r="BH49" s="2114">
        <f t="shared" si="23"/>
        <v>0</v>
      </c>
      <c r="BI49" s="2114">
        <f t="shared" si="23"/>
        <v>0</v>
      </c>
      <c r="BJ49" s="2114">
        <f t="shared" si="23"/>
        <v>0</v>
      </c>
      <c r="BK49" s="2114">
        <f t="shared" si="23"/>
        <v>0</v>
      </c>
      <c r="BL49" s="2114">
        <f t="shared" si="23"/>
        <v>0</v>
      </c>
      <c r="BM49" s="2114">
        <f t="shared" si="23"/>
        <v>0</v>
      </c>
      <c r="BN49" s="2114">
        <f t="shared" si="23"/>
        <v>0</v>
      </c>
      <c r="BO49" s="2114">
        <f t="shared" si="23"/>
        <v>0</v>
      </c>
      <c r="BP49" s="2114">
        <f t="shared" si="23"/>
        <v>0</v>
      </c>
      <c r="BQ49" s="2114">
        <f t="shared" si="23"/>
        <v>0</v>
      </c>
      <c r="BR49" s="2114">
        <f t="shared" si="23"/>
        <v>0</v>
      </c>
      <c r="BS49" s="2114">
        <f t="shared" si="23"/>
        <v>0</v>
      </c>
      <c r="BT49" s="2114">
        <f t="shared" si="23"/>
        <v>0</v>
      </c>
      <c r="BU49" s="2114">
        <f t="shared" si="23"/>
        <v>0</v>
      </c>
      <c r="BV49" s="2115">
        <f t="shared" si="23"/>
        <v>0</v>
      </c>
      <c r="BW49" s="2091">
        <f t="shared" si="16"/>
        <v>0</v>
      </c>
      <c r="BX49" s="2063"/>
      <c r="BY49" s="2063"/>
    </row>
    <row r="50" spans="1:77" x14ac:dyDescent="0.25">
      <c r="A50" s="2063"/>
      <c r="B50" s="2085">
        <f t="shared" si="17"/>
        <v>12</v>
      </c>
      <c r="C50" s="2116" t="str">
        <f t="shared" si="17"/>
        <v>LLL</v>
      </c>
      <c r="D50" s="2112">
        <f t="shared" si="11"/>
        <v>0</v>
      </c>
      <c r="E50" s="2063"/>
      <c r="F50" s="2106"/>
      <c r="G50" s="2107"/>
      <c r="H50" s="2113">
        <f t="shared" si="21"/>
        <v>0</v>
      </c>
      <c r="I50" s="2114">
        <f t="shared" si="21"/>
        <v>0</v>
      </c>
      <c r="J50" s="2114">
        <f t="shared" si="21"/>
        <v>0</v>
      </c>
      <c r="K50" s="2114">
        <f t="shared" si="21"/>
        <v>0</v>
      </c>
      <c r="L50" s="2114">
        <f t="shared" si="21"/>
        <v>0</v>
      </c>
      <c r="M50" s="2114">
        <f t="shared" si="21"/>
        <v>0</v>
      </c>
      <c r="N50" s="2114">
        <f t="shared" si="21"/>
        <v>0</v>
      </c>
      <c r="O50" s="2114">
        <f t="shared" si="21"/>
        <v>0</v>
      </c>
      <c r="P50" s="2114">
        <f t="shared" si="21"/>
        <v>0</v>
      </c>
      <c r="Q50" s="2114">
        <f t="shared" si="21"/>
        <v>0</v>
      </c>
      <c r="R50" s="2114">
        <f t="shared" si="21"/>
        <v>0</v>
      </c>
      <c r="S50" s="2114">
        <f t="shared" si="21"/>
        <v>0</v>
      </c>
      <c r="T50" s="2114">
        <f t="shared" si="21"/>
        <v>0</v>
      </c>
      <c r="U50" s="2114">
        <f t="shared" si="21"/>
        <v>0</v>
      </c>
      <c r="V50" s="2114">
        <f t="shared" si="21"/>
        <v>0</v>
      </c>
      <c r="W50" s="2114">
        <f t="shared" si="21"/>
        <v>0</v>
      </c>
      <c r="X50" s="2114">
        <f t="shared" si="21"/>
        <v>0</v>
      </c>
      <c r="Y50" s="2114">
        <f t="shared" si="21"/>
        <v>0</v>
      </c>
      <c r="Z50" s="2114">
        <f t="shared" si="21"/>
        <v>0</v>
      </c>
      <c r="AA50" s="2114">
        <f t="shared" si="21"/>
        <v>0</v>
      </c>
      <c r="AB50" s="2114">
        <f t="shared" si="21"/>
        <v>0</v>
      </c>
      <c r="AC50" s="2114">
        <f t="shared" si="21"/>
        <v>0</v>
      </c>
      <c r="AD50" s="2114">
        <f t="shared" si="21"/>
        <v>0</v>
      </c>
      <c r="AE50" s="2114">
        <f t="shared" si="21"/>
        <v>0</v>
      </c>
      <c r="AF50" s="2114">
        <f t="shared" si="21"/>
        <v>0</v>
      </c>
      <c r="AG50" s="2114">
        <f t="shared" si="21"/>
        <v>0</v>
      </c>
      <c r="AH50" s="2114">
        <f t="shared" si="21"/>
        <v>0</v>
      </c>
      <c r="AI50" s="2114">
        <f t="shared" si="21"/>
        <v>0</v>
      </c>
      <c r="AJ50" s="2115">
        <f t="shared" si="21"/>
        <v>0</v>
      </c>
      <c r="AK50" s="2091">
        <f t="shared" si="13"/>
        <v>0</v>
      </c>
      <c r="AL50" s="2084"/>
      <c r="AM50" s="2084"/>
      <c r="AN50" s="2085">
        <f t="shared" si="18"/>
        <v>12</v>
      </c>
      <c r="AO50" s="2116" t="str">
        <f t="shared" si="18"/>
        <v>LLL</v>
      </c>
      <c r="AP50" s="2112">
        <f t="shared" si="14"/>
        <v>0</v>
      </c>
      <c r="AQ50" s="2063"/>
      <c r="AR50" s="2106"/>
      <c r="AS50" s="2107"/>
      <c r="AT50" s="2113">
        <f t="shared" si="23"/>
        <v>0</v>
      </c>
      <c r="AU50" s="2114">
        <f t="shared" si="23"/>
        <v>0</v>
      </c>
      <c r="AV50" s="2114">
        <f t="shared" si="23"/>
        <v>0</v>
      </c>
      <c r="AW50" s="2114">
        <f t="shared" si="23"/>
        <v>0</v>
      </c>
      <c r="AX50" s="2114">
        <f t="shared" si="23"/>
        <v>0</v>
      </c>
      <c r="AY50" s="2114">
        <f t="shared" si="23"/>
        <v>0</v>
      </c>
      <c r="AZ50" s="2114">
        <f t="shared" si="23"/>
        <v>0</v>
      </c>
      <c r="BA50" s="2114">
        <f t="shared" si="23"/>
        <v>0</v>
      </c>
      <c r="BB50" s="2114">
        <f t="shared" si="23"/>
        <v>0</v>
      </c>
      <c r="BC50" s="2114">
        <f t="shared" si="23"/>
        <v>0</v>
      </c>
      <c r="BD50" s="2114">
        <f t="shared" si="23"/>
        <v>0</v>
      </c>
      <c r="BE50" s="2114">
        <f t="shared" si="23"/>
        <v>0</v>
      </c>
      <c r="BF50" s="2114">
        <f t="shared" si="23"/>
        <v>0</v>
      </c>
      <c r="BG50" s="2114">
        <f t="shared" si="23"/>
        <v>0</v>
      </c>
      <c r="BH50" s="2114">
        <f t="shared" si="23"/>
        <v>0</v>
      </c>
      <c r="BI50" s="2114">
        <f t="shared" si="23"/>
        <v>0</v>
      </c>
      <c r="BJ50" s="2114">
        <f t="shared" si="23"/>
        <v>0</v>
      </c>
      <c r="BK50" s="2114">
        <f t="shared" si="23"/>
        <v>0</v>
      </c>
      <c r="BL50" s="2114">
        <f t="shared" si="23"/>
        <v>0</v>
      </c>
      <c r="BM50" s="2114">
        <f t="shared" si="23"/>
        <v>0</v>
      </c>
      <c r="BN50" s="2114">
        <f t="shared" si="23"/>
        <v>0</v>
      </c>
      <c r="BO50" s="2114">
        <f t="shared" si="23"/>
        <v>0</v>
      </c>
      <c r="BP50" s="2114">
        <f t="shared" si="23"/>
        <v>0</v>
      </c>
      <c r="BQ50" s="2114">
        <f t="shared" si="23"/>
        <v>0</v>
      </c>
      <c r="BR50" s="2114">
        <f t="shared" si="23"/>
        <v>0</v>
      </c>
      <c r="BS50" s="2114">
        <f t="shared" si="23"/>
        <v>0</v>
      </c>
      <c r="BT50" s="2114">
        <f t="shared" si="23"/>
        <v>0</v>
      </c>
      <c r="BU50" s="2114">
        <f t="shared" si="23"/>
        <v>0</v>
      </c>
      <c r="BV50" s="2115">
        <f t="shared" si="23"/>
        <v>0</v>
      </c>
      <c r="BW50" s="2091">
        <f t="shared" si="16"/>
        <v>0</v>
      </c>
      <c r="BX50" s="2063"/>
      <c r="BY50" s="2063"/>
    </row>
    <row r="51" spans="1:77" x14ac:dyDescent="0.25">
      <c r="A51" s="2063"/>
      <c r="B51" s="2085">
        <f t="shared" si="17"/>
        <v>13</v>
      </c>
      <c r="C51" s="2116" t="str">
        <f t="shared" si="17"/>
        <v>MMM</v>
      </c>
      <c r="D51" s="2112">
        <f t="shared" si="11"/>
        <v>0</v>
      </c>
      <c r="E51" s="2063"/>
      <c r="F51" s="2106"/>
      <c r="G51" s="2107"/>
      <c r="H51" s="2113">
        <f t="shared" si="21"/>
        <v>0</v>
      </c>
      <c r="I51" s="2114">
        <f t="shared" si="21"/>
        <v>0</v>
      </c>
      <c r="J51" s="2114">
        <f t="shared" si="21"/>
        <v>0</v>
      </c>
      <c r="K51" s="2114">
        <f t="shared" si="21"/>
        <v>0</v>
      </c>
      <c r="L51" s="2114">
        <f t="shared" si="21"/>
        <v>0</v>
      </c>
      <c r="M51" s="2114">
        <f t="shared" si="21"/>
        <v>0</v>
      </c>
      <c r="N51" s="2114">
        <f t="shared" si="21"/>
        <v>0</v>
      </c>
      <c r="O51" s="2114">
        <f t="shared" si="21"/>
        <v>0</v>
      </c>
      <c r="P51" s="2114">
        <f t="shared" si="21"/>
        <v>0</v>
      </c>
      <c r="Q51" s="2114">
        <f t="shared" si="21"/>
        <v>0</v>
      </c>
      <c r="R51" s="2114">
        <f t="shared" si="21"/>
        <v>0</v>
      </c>
      <c r="S51" s="2114">
        <f t="shared" si="21"/>
        <v>0</v>
      </c>
      <c r="T51" s="2114">
        <f t="shared" si="21"/>
        <v>0</v>
      </c>
      <c r="U51" s="2114">
        <f t="shared" si="21"/>
        <v>0</v>
      </c>
      <c r="V51" s="2114">
        <f t="shared" si="21"/>
        <v>0</v>
      </c>
      <c r="W51" s="2114">
        <f t="shared" si="21"/>
        <v>0</v>
      </c>
      <c r="X51" s="2114">
        <f t="shared" si="21"/>
        <v>0</v>
      </c>
      <c r="Y51" s="2114">
        <f t="shared" si="21"/>
        <v>0</v>
      </c>
      <c r="Z51" s="2114">
        <f t="shared" si="21"/>
        <v>0</v>
      </c>
      <c r="AA51" s="2114">
        <f t="shared" si="21"/>
        <v>0</v>
      </c>
      <c r="AB51" s="2114">
        <f t="shared" si="21"/>
        <v>0</v>
      </c>
      <c r="AC51" s="2114">
        <f t="shared" si="21"/>
        <v>0</v>
      </c>
      <c r="AD51" s="2114">
        <f t="shared" si="21"/>
        <v>0</v>
      </c>
      <c r="AE51" s="2114">
        <f t="shared" si="21"/>
        <v>0</v>
      </c>
      <c r="AF51" s="2114">
        <f t="shared" si="21"/>
        <v>0</v>
      </c>
      <c r="AG51" s="2114">
        <f t="shared" si="21"/>
        <v>0</v>
      </c>
      <c r="AH51" s="2114">
        <f t="shared" si="21"/>
        <v>0</v>
      </c>
      <c r="AI51" s="2114">
        <f t="shared" si="21"/>
        <v>0</v>
      </c>
      <c r="AJ51" s="2115">
        <f t="shared" si="21"/>
        <v>0</v>
      </c>
      <c r="AK51" s="2091">
        <f t="shared" si="13"/>
        <v>0</v>
      </c>
      <c r="AL51" s="2084"/>
      <c r="AM51" s="2084"/>
      <c r="AN51" s="2085">
        <f t="shared" si="18"/>
        <v>13</v>
      </c>
      <c r="AO51" s="2116" t="str">
        <f t="shared" si="18"/>
        <v>MMM</v>
      </c>
      <c r="AP51" s="2112">
        <f t="shared" si="14"/>
        <v>0</v>
      </c>
      <c r="AQ51" s="2063"/>
      <c r="AR51" s="2106"/>
      <c r="AS51" s="2107"/>
      <c r="AT51" s="2113">
        <f t="shared" si="23"/>
        <v>0</v>
      </c>
      <c r="AU51" s="2114">
        <f t="shared" si="23"/>
        <v>0</v>
      </c>
      <c r="AV51" s="2114">
        <f t="shared" si="23"/>
        <v>0</v>
      </c>
      <c r="AW51" s="2114">
        <f t="shared" si="23"/>
        <v>0</v>
      </c>
      <c r="AX51" s="2114">
        <f t="shared" si="23"/>
        <v>0</v>
      </c>
      <c r="AY51" s="2114">
        <f t="shared" si="23"/>
        <v>0</v>
      </c>
      <c r="AZ51" s="2114">
        <f t="shared" si="23"/>
        <v>0</v>
      </c>
      <c r="BA51" s="2114">
        <f t="shared" si="23"/>
        <v>0</v>
      </c>
      <c r="BB51" s="2114">
        <f t="shared" si="23"/>
        <v>0</v>
      </c>
      <c r="BC51" s="2114">
        <f t="shared" si="23"/>
        <v>0</v>
      </c>
      <c r="BD51" s="2114">
        <f t="shared" si="23"/>
        <v>0</v>
      </c>
      <c r="BE51" s="2114">
        <f t="shared" si="23"/>
        <v>0</v>
      </c>
      <c r="BF51" s="2114">
        <f t="shared" si="23"/>
        <v>0</v>
      </c>
      <c r="BG51" s="2114">
        <f t="shared" si="23"/>
        <v>0</v>
      </c>
      <c r="BH51" s="2114">
        <f t="shared" si="23"/>
        <v>0</v>
      </c>
      <c r="BI51" s="2114">
        <f t="shared" si="23"/>
        <v>0</v>
      </c>
      <c r="BJ51" s="2114">
        <f t="shared" si="23"/>
        <v>0</v>
      </c>
      <c r="BK51" s="2114">
        <f t="shared" si="23"/>
        <v>0</v>
      </c>
      <c r="BL51" s="2114">
        <f t="shared" si="23"/>
        <v>0</v>
      </c>
      <c r="BM51" s="2114">
        <f t="shared" si="23"/>
        <v>0</v>
      </c>
      <c r="BN51" s="2114">
        <f t="shared" si="23"/>
        <v>0</v>
      </c>
      <c r="BO51" s="2114">
        <f t="shared" si="23"/>
        <v>0</v>
      </c>
      <c r="BP51" s="2114">
        <f t="shared" si="23"/>
        <v>0</v>
      </c>
      <c r="BQ51" s="2114">
        <f t="shared" si="23"/>
        <v>0</v>
      </c>
      <c r="BR51" s="2114">
        <f t="shared" si="23"/>
        <v>0</v>
      </c>
      <c r="BS51" s="2114">
        <f t="shared" si="23"/>
        <v>0</v>
      </c>
      <c r="BT51" s="2114">
        <f t="shared" si="23"/>
        <v>0</v>
      </c>
      <c r="BU51" s="2114">
        <f t="shared" si="23"/>
        <v>0</v>
      </c>
      <c r="BV51" s="2115">
        <f t="shared" si="23"/>
        <v>0</v>
      </c>
      <c r="BW51" s="2091">
        <f t="shared" si="16"/>
        <v>0</v>
      </c>
      <c r="BX51" s="2063"/>
      <c r="BY51" s="2063"/>
    </row>
    <row r="52" spans="1:77" x14ac:dyDescent="0.25">
      <c r="A52" s="2063"/>
      <c r="B52" s="2085">
        <f t="shared" si="17"/>
        <v>14</v>
      </c>
      <c r="C52" s="2116" t="str">
        <f t="shared" si="17"/>
        <v>NNN</v>
      </c>
      <c r="D52" s="2112">
        <f t="shared" si="11"/>
        <v>0</v>
      </c>
      <c r="E52" s="2063"/>
      <c r="F52" s="2106"/>
      <c r="G52" s="2107"/>
      <c r="H52" s="2113">
        <f t="shared" si="21"/>
        <v>0</v>
      </c>
      <c r="I52" s="2114">
        <f t="shared" si="21"/>
        <v>0</v>
      </c>
      <c r="J52" s="2114">
        <f t="shared" si="21"/>
        <v>0</v>
      </c>
      <c r="K52" s="2114">
        <f t="shared" si="21"/>
        <v>0</v>
      </c>
      <c r="L52" s="2114">
        <f t="shared" si="21"/>
        <v>0</v>
      </c>
      <c r="M52" s="2114">
        <f t="shared" si="21"/>
        <v>0</v>
      </c>
      <c r="N52" s="2114">
        <f t="shared" si="21"/>
        <v>0</v>
      </c>
      <c r="O52" s="2114">
        <f t="shared" si="21"/>
        <v>0</v>
      </c>
      <c r="P52" s="2114">
        <f t="shared" si="21"/>
        <v>0</v>
      </c>
      <c r="Q52" s="2114">
        <f t="shared" si="21"/>
        <v>0</v>
      </c>
      <c r="R52" s="2114">
        <f t="shared" si="21"/>
        <v>0</v>
      </c>
      <c r="S52" s="2114">
        <f t="shared" si="21"/>
        <v>0</v>
      </c>
      <c r="T52" s="2114">
        <f t="shared" si="21"/>
        <v>0</v>
      </c>
      <c r="U52" s="2114">
        <f t="shared" si="21"/>
        <v>0</v>
      </c>
      <c r="V52" s="2114">
        <f t="shared" si="21"/>
        <v>0</v>
      </c>
      <c r="W52" s="2114">
        <f t="shared" si="21"/>
        <v>0</v>
      </c>
      <c r="X52" s="2114">
        <f t="shared" si="21"/>
        <v>0</v>
      </c>
      <c r="Y52" s="2114">
        <f t="shared" si="21"/>
        <v>0</v>
      </c>
      <c r="Z52" s="2114">
        <f t="shared" si="21"/>
        <v>0</v>
      </c>
      <c r="AA52" s="2114">
        <f t="shared" si="21"/>
        <v>0</v>
      </c>
      <c r="AB52" s="2114">
        <f t="shared" si="21"/>
        <v>0</v>
      </c>
      <c r="AC52" s="2114">
        <f t="shared" si="21"/>
        <v>0</v>
      </c>
      <c r="AD52" s="2114">
        <f t="shared" si="21"/>
        <v>0</v>
      </c>
      <c r="AE52" s="2114">
        <f t="shared" si="21"/>
        <v>0</v>
      </c>
      <c r="AF52" s="2114">
        <f t="shared" si="21"/>
        <v>0</v>
      </c>
      <c r="AG52" s="2114">
        <f t="shared" si="21"/>
        <v>0</v>
      </c>
      <c r="AH52" s="2114">
        <f t="shared" si="21"/>
        <v>0</v>
      </c>
      <c r="AI52" s="2114">
        <f t="shared" si="21"/>
        <v>0</v>
      </c>
      <c r="AJ52" s="2115">
        <f t="shared" si="21"/>
        <v>0</v>
      </c>
      <c r="AK52" s="2091">
        <f t="shared" si="13"/>
        <v>0</v>
      </c>
      <c r="AL52" s="2084"/>
      <c r="AM52" s="2084"/>
      <c r="AN52" s="2085">
        <f t="shared" si="18"/>
        <v>14</v>
      </c>
      <c r="AO52" s="2116" t="str">
        <f t="shared" si="18"/>
        <v>NNN</v>
      </c>
      <c r="AP52" s="2112">
        <f t="shared" si="14"/>
        <v>0</v>
      </c>
      <c r="AQ52" s="2063"/>
      <c r="AR52" s="2106"/>
      <c r="AS52" s="2107"/>
      <c r="AT52" s="2113">
        <f t="shared" si="23"/>
        <v>0</v>
      </c>
      <c r="AU52" s="2114">
        <f t="shared" si="23"/>
        <v>0</v>
      </c>
      <c r="AV52" s="2114">
        <f t="shared" si="23"/>
        <v>0</v>
      </c>
      <c r="AW52" s="2114">
        <f t="shared" si="23"/>
        <v>0</v>
      </c>
      <c r="AX52" s="2114">
        <f t="shared" si="23"/>
        <v>0</v>
      </c>
      <c r="AY52" s="2114">
        <f t="shared" si="23"/>
        <v>0</v>
      </c>
      <c r="AZ52" s="2114">
        <f t="shared" si="23"/>
        <v>0</v>
      </c>
      <c r="BA52" s="2114">
        <f t="shared" si="23"/>
        <v>0</v>
      </c>
      <c r="BB52" s="2114">
        <f t="shared" si="23"/>
        <v>0</v>
      </c>
      <c r="BC52" s="2114">
        <f t="shared" si="23"/>
        <v>0</v>
      </c>
      <c r="BD52" s="2114">
        <f t="shared" si="23"/>
        <v>0</v>
      </c>
      <c r="BE52" s="2114">
        <f t="shared" si="23"/>
        <v>0</v>
      </c>
      <c r="BF52" s="2114">
        <f t="shared" si="23"/>
        <v>0</v>
      </c>
      <c r="BG52" s="2114">
        <f t="shared" si="23"/>
        <v>0</v>
      </c>
      <c r="BH52" s="2114">
        <f t="shared" si="23"/>
        <v>0</v>
      </c>
      <c r="BI52" s="2114">
        <f t="shared" si="23"/>
        <v>0</v>
      </c>
      <c r="BJ52" s="2114">
        <f t="shared" si="23"/>
        <v>0</v>
      </c>
      <c r="BK52" s="2114">
        <f t="shared" si="23"/>
        <v>0</v>
      </c>
      <c r="BL52" s="2114">
        <f t="shared" si="23"/>
        <v>0</v>
      </c>
      <c r="BM52" s="2114">
        <f t="shared" si="23"/>
        <v>0</v>
      </c>
      <c r="BN52" s="2114">
        <f t="shared" si="23"/>
        <v>0</v>
      </c>
      <c r="BO52" s="2114">
        <f t="shared" si="23"/>
        <v>0</v>
      </c>
      <c r="BP52" s="2114">
        <f t="shared" si="23"/>
        <v>0</v>
      </c>
      <c r="BQ52" s="2114">
        <f t="shared" si="23"/>
        <v>0</v>
      </c>
      <c r="BR52" s="2114">
        <f t="shared" si="23"/>
        <v>0</v>
      </c>
      <c r="BS52" s="2114">
        <f t="shared" si="23"/>
        <v>0</v>
      </c>
      <c r="BT52" s="2114">
        <f t="shared" si="23"/>
        <v>0</v>
      </c>
      <c r="BU52" s="2114">
        <f t="shared" si="23"/>
        <v>0</v>
      </c>
      <c r="BV52" s="2115">
        <f t="shared" si="23"/>
        <v>0</v>
      </c>
      <c r="BW52" s="2091">
        <f t="shared" si="16"/>
        <v>0</v>
      </c>
      <c r="BX52" s="2063"/>
      <c r="BY52" s="2063"/>
    </row>
    <row r="53" spans="1:77" x14ac:dyDescent="0.25">
      <c r="A53" s="2063"/>
      <c r="B53" s="2085">
        <f t="shared" si="17"/>
        <v>15</v>
      </c>
      <c r="C53" s="2116" t="str">
        <f t="shared" si="17"/>
        <v>OOO</v>
      </c>
      <c r="D53" s="2112">
        <f t="shared" si="11"/>
        <v>0</v>
      </c>
      <c r="E53" s="2063"/>
      <c r="F53" s="2106"/>
      <c r="G53" s="2107"/>
      <c r="H53" s="2113">
        <f t="shared" si="21"/>
        <v>0</v>
      </c>
      <c r="I53" s="2114">
        <f t="shared" si="21"/>
        <v>0</v>
      </c>
      <c r="J53" s="2114">
        <f t="shared" si="21"/>
        <v>0</v>
      </c>
      <c r="K53" s="2114">
        <f t="shared" si="21"/>
        <v>0</v>
      </c>
      <c r="L53" s="2114">
        <f t="shared" si="21"/>
        <v>0</v>
      </c>
      <c r="M53" s="2114">
        <f t="shared" si="21"/>
        <v>0</v>
      </c>
      <c r="N53" s="2114">
        <f t="shared" si="21"/>
        <v>0</v>
      </c>
      <c r="O53" s="2114">
        <f t="shared" si="21"/>
        <v>0</v>
      </c>
      <c r="P53" s="2114">
        <f t="shared" si="21"/>
        <v>0</v>
      </c>
      <c r="Q53" s="2114">
        <f t="shared" si="21"/>
        <v>0</v>
      </c>
      <c r="R53" s="2114">
        <f t="shared" si="21"/>
        <v>0</v>
      </c>
      <c r="S53" s="2114">
        <f t="shared" si="21"/>
        <v>0</v>
      </c>
      <c r="T53" s="2114">
        <f t="shared" si="21"/>
        <v>0</v>
      </c>
      <c r="U53" s="2114">
        <f t="shared" si="21"/>
        <v>0</v>
      </c>
      <c r="V53" s="2114">
        <f t="shared" si="21"/>
        <v>0</v>
      </c>
      <c r="W53" s="2114">
        <f t="shared" si="21"/>
        <v>0</v>
      </c>
      <c r="X53" s="2114">
        <f t="shared" si="21"/>
        <v>0</v>
      </c>
      <c r="Y53" s="2114">
        <f t="shared" si="21"/>
        <v>0</v>
      </c>
      <c r="Z53" s="2114">
        <f t="shared" si="21"/>
        <v>0</v>
      </c>
      <c r="AA53" s="2114">
        <f t="shared" si="21"/>
        <v>0</v>
      </c>
      <c r="AB53" s="2114">
        <f t="shared" si="21"/>
        <v>0</v>
      </c>
      <c r="AC53" s="2114">
        <f t="shared" si="21"/>
        <v>0</v>
      </c>
      <c r="AD53" s="2114">
        <f t="shared" si="21"/>
        <v>0</v>
      </c>
      <c r="AE53" s="2114">
        <f t="shared" si="21"/>
        <v>0</v>
      </c>
      <c r="AF53" s="2114">
        <f t="shared" si="21"/>
        <v>0</v>
      </c>
      <c r="AG53" s="2114">
        <f t="shared" si="21"/>
        <v>0</v>
      </c>
      <c r="AH53" s="2114">
        <f t="shared" si="21"/>
        <v>0</v>
      </c>
      <c r="AI53" s="2114">
        <f t="shared" si="21"/>
        <v>0</v>
      </c>
      <c r="AJ53" s="2115">
        <f t="shared" si="21"/>
        <v>0</v>
      </c>
      <c r="AK53" s="2091">
        <f t="shared" si="13"/>
        <v>0</v>
      </c>
      <c r="AL53" s="2063"/>
      <c r="AM53" s="2084"/>
      <c r="AN53" s="2085">
        <f t="shared" si="18"/>
        <v>15</v>
      </c>
      <c r="AO53" s="2116" t="str">
        <f t="shared" si="18"/>
        <v>OOO</v>
      </c>
      <c r="AP53" s="2112">
        <f t="shared" si="14"/>
        <v>0</v>
      </c>
      <c r="AQ53" s="2063"/>
      <c r="AR53" s="2106"/>
      <c r="AS53" s="2107"/>
      <c r="AT53" s="2113">
        <f t="shared" si="23"/>
        <v>0</v>
      </c>
      <c r="AU53" s="2114">
        <f t="shared" si="23"/>
        <v>0</v>
      </c>
      <c r="AV53" s="2114">
        <f t="shared" si="23"/>
        <v>0</v>
      </c>
      <c r="AW53" s="2114">
        <f t="shared" si="23"/>
        <v>0</v>
      </c>
      <c r="AX53" s="2114">
        <f t="shared" si="23"/>
        <v>0</v>
      </c>
      <c r="AY53" s="2114">
        <f t="shared" si="23"/>
        <v>0</v>
      </c>
      <c r="AZ53" s="2114">
        <f t="shared" si="23"/>
        <v>0</v>
      </c>
      <c r="BA53" s="2114">
        <f t="shared" si="23"/>
        <v>0</v>
      </c>
      <c r="BB53" s="2114">
        <f t="shared" si="23"/>
        <v>0</v>
      </c>
      <c r="BC53" s="2114">
        <f t="shared" si="23"/>
        <v>0</v>
      </c>
      <c r="BD53" s="2114">
        <f t="shared" si="23"/>
        <v>0</v>
      </c>
      <c r="BE53" s="2114">
        <f t="shared" si="23"/>
        <v>0</v>
      </c>
      <c r="BF53" s="2114">
        <f t="shared" si="23"/>
        <v>0</v>
      </c>
      <c r="BG53" s="2114">
        <f t="shared" si="23"/>
        <v>0</v>
      </c>
      <c r="BH53" s="2114">
        <f t="shared" si="23"/>
        <v>0</v>
      </c>
      <c r="BI53" s="2114">
        <f t="shared" si="23"/>
        <v>0</v>
      </c>
      <c r="BJ53" s="2114">
        <f t="shared" si="23"/>
        <v>0</v>
      </c>
      <c r="BK53" s="2114">
        <f t="shared" si="23"/>
        <v>0</v>
      </c>
      <c r="BL53" s="2114">
        <f t="shared" si="23"/>
        <v>0</v>
      </c>
      <c r="BM53" s="2114">
        <f t="shared" si="23"/>
        <v>0</v>
      </c>
      <c r="BN53" s="2114">
        <f t="shared" si="23"/>
        <v>0</v>
      </c>
      <c r="BO53" s="2114">
        <f t="shared" si="23"/>
        <v>0</v>
      </c>
      <c r="BP53" s="2114">
        <f t="shared" si="23"/>
        <v>0</v>
      </c>
      <c r="BQ53" s="2114">
        <f t="shared" si="23"/>
        <v>0</v>
      </c>
      <c r="BR53" s="2114">
        <f t="shared" si="23"/>
        <v>0</v>
      </c>
      <c r="BS53" s="2114">
        <f t="shared" si="23"/>
        <v>0</v>
      </c>
      <c r="BT53" s="2114">
        <f t="shared" si="23"/>
        <v>0</v>
      </c>
      <c r="BU53" s="2114">
        <f t="shared" si="23"/>
        <v>0</v>
      </c>
      <c r="BV53" s="2115">
        <f t="shared" si="23"/>
        <v>0</v>
      </c>
      <c r="BW53" s="2091">
        <f t="shared" si="16"/>
        <v>0</v>
      </c>
      <c r="BX53" s="2063"/>
      <c r="BY53" s="2063"/>
    </row>
    <row r="54" spans="1:77" x14ac:dyDescent="0.25">
      <c r="A54" s="2063"/>
      <c r="B54" s="2085">
        <f t="shared" si="17"/>
        <v>16</v>
      </c>
      <c r="C54" s="2116" t="str">
        <f t="shared" si="17"/>
        <v>PPP</v>
      </c>
      <c r="D54" s="2112">
        <f t="shared" si="11"/>
        <v>0</v>
      </c>
      <c r="E54" s="2117"/>
      <c r="F54" s="2117"/>
      <c r="G54" s="2118"/>
      <c r="H54" s="2113">
        <f t="shared" si="21"/>
        <v>0</v>
      </c>
      <c r="I54" s="2114">
        <f t="shared" si="21"/>
        <v>0</v>
      </c>
      <c r="J54" s="2114">
        <f t="shared" si="21"/>
        <v>0</v>
      </c>
      <c r="K54" s="2114">
        <f t="shared" si="21"/>
        <v>0</v>
      </c>
      <c r="L54" s="2114">
        <f t="shared" si="21"/>
        <v>0</v>
      </c>
      <c r="M54" s="2114">
        <f t="shared" si="21"/>
        <v>0</v>
      </c>
      <c r="N54" s="2114">
        <f t="shared" si="21"/>
        <v>0</v>
      </c>
      <c r="O54" s="2114">
        <f t="shared" si="21"/>
        <v>0</v>
      </c>
      <c r="P54" s="2114">
        <f t="shared" si="21"/>
        <v>0</v>
      </c>
      <c r="Q54" s="2114">
        <f t="shared" si="21"/>
        <v>0</v>
      </c>
      <c r="R54" s="2114">
        <f t="shared" si="21"/>
        <v>0</v>
      </c>
      <c r="S54" s="2114">
        <f t="shared" si="21"/>
        <v>0</v>
      </c>
      <c r="T54" s="2114">
        <f t="shared" si="21"/>
        <v>0</v>
      </c>
      <c r="U54" s="2114">
        <f t="shared" si="21"/>
        <v>0</v>
      </c>
      <c r="V54" s="2114">
        <f t="shared" si="21"/>
        <v>0</v>
      </c>
      <c r="W54" s="2114">
        <f t="shared" si="21"/>
        <v>0</v>
      </c>
      <c r="X54" s="2114">
        <f t="shared" si="21"/>
        <v>0</v>
      </c>
      <c r="Y54" s="2114">
        <f t="shared" si="21"/>
        <v>0</v>
      </c>
      <c r="Z54" s="2114">
        <f t="shared" si="21"/>
        <v>0</v>
      </c>
      <c r="AA54" s="2114">
        <f t="shared" si="21"/>
        <v>0</v>
      </c>
      <c r="AB54" s="2114">
        <f t="shared" si="21"/>
        <v>0</v>
      </c>
      <c r="AC54" s="2114">
        <f t="shared" si="21"/>
        <v>0</v>
      </c>
      <c r="AD54" s="2114">
        <f t="shared" si="21"/>
        <v>0</v>
      </c>
      <c r="AE54" s="2114">
        <f t="shared" si="21"/>
        <v>0</v>
      </c>
      <c r="AF54" s="2114">
        <f t="shared" si="21"/>
        <v>0</v>
      </c>
      <c r="AG54" s="2114">
        <f t="shared" si="21"/>
        <v>0</v>
      </c>
      <c r="AH54" s="2114">
        <f t="shared" si="21"/>
        <v>0</v>
      </c>
      <c r="AI54" s="2114">
        <f t="shared" si="21"/>
        <v>0</v>
      </c>
      <c r="AJ54" s="2115">
        <f t="shared" si="21"/>
        <v>0</v>
      </c>
      <c r="AK54" s="2091">
        <f t="shared" si="13"/>
        <v>0</v>
      </c>
      <c r="AL54" s="2063"/>
      <c r="AM54" s="2084"/>
      <c r="AN54" s="2085">
        <f t="shared" si="18"/>
        <v>16</v>
      </c>
      <c r="AO54" s="2116" t="str">
        <f t="shared" si="18"/>
        <v>PPP</v>
      </c>
      <c r="AP54" s="2112">
        <f t="shared" si="14"/>
        <v>0</v>
      </c>
      <c r="AQ54" s="2117"/>
      <c r="AR54" s="2117"/>
      <c r="AS54" s="2118"/>
      <c r="AT54" s="2113">
        <f t="shared" si="23"/>
        <v>0</v>
      </c>
      <c r="AU54" s="2114">
        <f t="shared" si="23"/>
        <v>0</v>
      </c>
      <c r="AV54" s="2114">
        <f t="shared" si="23"/>
        <v>0</v>
      </c>
      <c r="AW54" s="2114">
        <f t="shared" si="23"/>
        <v>0</v>
      </c>
      <c r="AX54" s="2114">
        <f t="shared" si="23"/>
        <v>0</v>
      </c>
      <c r="AY54" s="2114">
        <f t="shared" si="23"/>
        <v>0</v>
      </c>
      <c r="AZ54" s="2114">
        <f t="shared" si="23"/>
        <v>0</v>
      </c>
      <c r="BA54" s="2114">
        <f t="shared" si="23"/>
        <v>0</v>
      </c>
      <c r="BB54" s="2114">
        <f t="shared" si="23"/>
        <v>0</v>
      </c>
      <c r="BC54" s="2114">
        <f t="shared" si="23"/>
        <v>0</v>
      </c>
      <c r="BD54" s="2114">
        <f t="shared" si="23"/>
        <v>0</v>
      </c>
      <c r="BE54" s="2114">
        <f t="shared" si="23"/>
        <v>0</v>
      </c>
      <c r="BF54" s="2114">
        <f t="shared" si="23"/>
        <v>0</v>
      </c>
      <c r="BG54" s="2114">
        <f t="shared" si="23"/>
        <v>0</v>
      </c>
      <c r="BH54" s="2114">
        <f t="shared" si="23"/>
        <v>0</v>
      </c>
      <c r="BI54" s="2114">
        <f t="shared" si="23"/>
        <v>0</v>
      </c>
      <c r="BJ54" s="2114">
        <f t="shared" si="23"/>
        <v>0</v>
      </c>
      <c r="BK54" s="2114">
        <f t="shared" si="23"/>
        <v>0</v>
      </c>
      <c r="BL54" s="2114">
        <f t="shared" si="23"/>
        <v>0</v>
      </c>
      <c r="BM54" s="2114">
        <f t="shared" si="23"/>
        <v>0</v>
      </c>
      <c r="BN54" s="2114">
        <f t="shared" si="23"/>
        <v>0</v>
      </c>
      <c r="BO54" s="2114">
        <f t="shared" si="23"/>
        <v>0</v>
      </c>
      <c r="BP54" s="2114">
        <f t="shared" si="23"/>
        <v>0</v>
      </c>
      <c r="BQ54" s="2114">
        <f t="shared" si="23"/>
        <v>0</v>
      </c>
      <c r="BR54" s="2114">
        <f t="shared" si="23"/>
        <v>0</v>
      </c>
      <c r="BS54" s="2114">
        <f t="shared" si="23"/>
        <v>0</v>
      </c>
      <c r="BT54" s="2114">
        <f t="shared" si="23"/>
        <v>0</v>
      </c>
      <c r="BU54" s="2114">
        <f t="shared" si="23"/>
        <v>0</v>
      </c>
      <c r="BV54" s="2115">
        <f t="shared" si="23"/>
        <v>0</v>
      </c>
      <c r="BW54" s="2091">
        <f t="shared" si="16"/>
        <v>0</v>
      </c>
      <c r="BX54" s="2063"/>
      <c r="BY54" s="2063"/>
    </row>
    <row r="55" spans="1:77" x14ac:dyDescent="0.25">
      <c r="A55" s="2063"/>
      <c r="B55" s="2085">
        <f t="shared" si="17"/>
        <v>17</v>
      </c>
      <c r="C55" s="2116" t="str">
        <f t="shared" si="17"/>
        <v>QQQ</v>
      </c>
      <c r="D55" s="2112">
        <f t="shared" si="11"/>
        <v>0</v>
      </c>
      <c r="E55" s="2119"/>
      <c r="F55" s="2119"/>
      <c r="G55" s="2118"/>
      <c r="H55" s="2113">
        <f t="shared" si="21"/>
        <v>0</v>
      </c>
      <c r="I55" s="2114">
        <f t="shared" si="21"/>
        <v>0</v>
      </c>
      <c r="J55" s="2114">
        <f t="shared" si="21"/>
        <v>0</v>
      </c>
      <c r="K55" s="2114">
        <f t="shared" si="21"/>
        <v>0</v>
      </c>
      <c r="L55" s="2114">
        <f t="shared" si="21"/>
        <v>0</v>
      </c>
      <c r="M55" s="2114">
        <f t="shared" si="21"/>
        <v>0</v>
      </c>
      <c r="N55" s="2114">
        <f t="shared" si="21"/>
        <v>0</v>
      </c>
      <c r="O55" s="2114">
        <f t="shared" si="21"/>
        <v>0</v>
      </c>
      <c r="P55" s="2114">
        <f t="shared" si="21"/>
        <v>0</v>
      </c>
      <c r="Q55" s="2114">
        <f t="shared" si="21"/>
        <v>0</v>
      </c>
      <c r="R55" s="2114">
        <f t="shared" si="21"/>
        <v>0</v>
      </c>
      <c r="S55" s="2114">
        <f t="shared" si="21"/>
        <v>0</v>
      </c>
      <c r="T55" s="2114">
        <f t="shared" si="21"/>
        <v>0</v>
      </c>
      <c r="U55" s="2114">
        <f t="shared" si="21"/>
        <v>0</v>
      </c>
      <c r="V55" s="2114">
        <f t="shared" si="21"/>
        <v>0</v>
      </c>
      <c r="W55" s="2114">
        <f t="shared" si="21"/>
        <v>0</v>
      </c>
      <c r="X55" s="2114">
        <f t="shared" si="21"/>
        <v>0</v>
      </c>
      <c r="Y55" s="2114">
        <f t="shared" si="21"/>
        <v>0</v>
      </c>
      <c r="Z55" s="2114">
        <f t="shared" si="21"/>
        <v>0</v>
      </c>
      <c r="AA55" s="2114">
        <f t="shared" si="21"/>
        <v>0</v>
      </c>
      <c r="AB55" s="2114">
        <f t="shared" si="21"/>
        <v>0</v>
      </c>
      <c r="AC55" s="2114">
        <f t="shared" si="21"/>
        <v>0</v>
      </c>
      <c r="AD55" s="2114">
        <f t="shared" si="21"/>
        <v>0</v>
      </c>
      <c r="AE55" s="2114">
        <f t="shared" si="21"/>
        <v>0</v>
      </c>
      <c r="AF55" s="2114">
        <f t="shared" si="21"/>
        <v>0</v>
      </c>
      <c r="AG55" s="2114">
        <f t="shared" si="21"/>
        <v>0</v>
      </c>
      <c r="AH55" s="2114">
        <f t="shared" si="21"/>
        <v>0</v>
      </c>
      <c r="AI55" s="2114">
        <f t="shared" si="21"/>
        <v>0</v>
      </c>
      <c r="AJ55" s="2115">
        <f t="shared" si="21"/>
        <v>0</v>
      </c>
      <c r="AK55" s="2091">
        <f t="shared" si="13"/>
        <v>0</v>
      </c>
      <c r="AL55" s="2063"/>
      <c r="AM55" s="2084"/>
      <c r="AN55" s="2085">
        <f t="shared" si="18"/>
        <v>17</v>
      </c>
      <c r="AO55" s="2116" t="str">
        <f t="shared" si="18"/>
        <v>QQQ</v>
      </c>
      <c r="AP55" s="2112">
        <f t="shared" si="14"/>
        <v>0</v>
      </c>
      <c r="AQ55" s="2119"/>
      <c r="AR55" s="2119"/>
      <c r="AS55" s="2118"/>
      <c r="AT55" s="2113">
        <f t="shared" si="23"/>
        <v>0</v>
      </c>
      <c r="AU55" s="2114">
        <f t="shared" si="23"/>
        <v>0</v>
      </c>
      <c r="AV55" s="2114">
        <f t="shared" si="23"/>
        <v>0</v>
      </c>
      <c r="AW55" s="2114">
        <f t="shared" si="23"/>
        <v>0</v>
      </c>
      <c r="AX55" s="2114">
        <f t="shared" si="23"/>
        <v>0</v>
      </c>
      <c r="AY55" s="2114">
        <f t="shared" si="23"/>
        <v>0</v>
      </c>
      <c r="AZ55" s="2114">
        <f t="shared" si="23"/>
        <v>0</v>
      </c>
      <c r="BA55" s="2114">
        <f t="shared" si="23"/>
        <v>0</v>
      </c>
      <c r="BB55" s="2114">
        <f t="shared" si="23"/>
        <v>0</v>
      </c>
      <c r="BC55" s="2114">
        <f t="shared" si="23"/>
        <v>0</v>
      </c>
      <c r="BD55" s="2114">
        <f t="shared" si="23"/>
        <v>0</v>
      </c>
      <c r="BE55" s="2114">
        <f t="shared" si="23"/>
        <v>0</v>
      </c>
      <c r="BF55" s="2114">
        <f t="shared" si="23"/>
        <v>0</v>
      </c>
      <c r="BG55" s="2114">
        <f t="shared" si="23"/>
        <v>0</v>
      </c>
      <c r="BH55" s="2114">
        <f t="shared" si="23"/>
        <v>0</v>
      </c>
      <c r="BI55" s="2114">
        <f t="shared" si="23"/>
        <v>0</v>
      </c>
      <c r="BJ55" s="2114">
        <f t="shared" si="23"/>
        <v>0</v>
      </c>
      <c r="BK55" s="2114">
        <f t="shared" si="23"/>
        <v>0</v>
      </c>
      <c r="BL55" s="2114">
        <f t="shared" si="23"/>
        <v>0</v>
      </c>
      <c r="BM55" s="2114">
        <f t="shared" si="23"/>
        <v>0</v>
      </c>
      <c r="BN55" s="2114">
        <f t="shared" si="23"/>
        <v>0</v>
      </c>
      <c r="BO55" s="2114">
        <f t="shared" si="23"/>
        <v>0</v>
      </c>
      <c r="BP55" s="2114">
        <f t="shared" si="23"/>
        <v>0</v>
      </c>
      <c r="BQ55" s="2114">
        <f t="shared" si="23"/>
        <v>0</v>
      </c>
      <c r="BR55" s="2114">
        <f t="shared" si="23"/>
        <v>0</v>
      </c>
      <c r="BS55" s="2114">
        <f t="shared" si="23"/>
        <v>0</v>
      </c>
      <c r="BT55" s="2114">
        <f t="shared" si="23"/>
        <v>0</v>
      </c>
      <c r="BU55" s="2114">
        <f t="shared" si="23"/>
        <v>0</v>
      </c>
      <c r="BV55" s="2115">
        <f t="shared" si="23"/>
        <v>0</v>
      </c>
      <c r="BW55" s="2091">
        <f t="shared" si="16"/>
        <v>0</v>
      </c>
      <c r="BX55" s="2063"/>
      <c r="BY55" s="2063"/>
    </row>
    <row r="56" spans="1:77" x14ac:dyDescent="0.25">
      <c r="A56" s="2063"/>
      <c r="B56" s="2085">
        <f t="shared" ref="B56:C68" si="24">B23</f>
        <v>18</v>
      </c>
      <c r="C56" s="2116" t="str">
        <f t="shared" si="24"/>
        <v>RRR</v>
      </c>
      <c r="D56" s="2112">
        <f t="shared" si="11"/>
        <v>0</v>
      </c>
      <c r="E56" s="2119"/>
      <c r="F56" s="2119"/>
      <c r="G56" s="2120"/>
      <c r="H56" s="2113">
        <f t="shared" si="21"/>
        <v>0</v>
      </c>
      <c r="I56" s="2114">
        <f t="shared" si="21"/>
        <v>0</v>
      </c>
      <c r="J56" s="2114">
        <f t="shared" si="21"/>
        <v>0</v>
      </c>
      <c r="K56" s="2114">
        <f t="shared" si="21"/>
        <v>0</v>
      </c>
      <c r="L56" s="2114">
        <f t="shared" si="21"/>
        <v>0</v>
      </c>
      <c r="M56" s="2114">
        <f t="shared" si="21"/>
        <v>0</v>
      </c>
      <c r="N56" s="2114">
        <f t="shared" si="21"/>
        <v>0</v>
      </c>
      <c r="O56" s="2114">
        <f t="shared" si="21"/>
        <v>0</v>
      </c>
      <c r="P56" s="2114">
        <f t="shared" si="21"/>
        <v>0</v>
      </c>
      <c r="Q56" s="2114">
        <f t="shared" si="21"/>
        <v>0</v>
      </c>
      <c r="R56" s="2114">
        <f t="shared" si="21"/>
        <v>0</v>
      </c>
      <c r="S56" s="2114">
        <f t="shared" si="21"/>
        <v>0</v>
      </c>
      <c r="T56" s="2114">
        <f t="shared" si="21"/>
        <v>0</v>
      </c>
      <c r="U56" s="2114">
        <f t="shared" si="21"/>
        <v>0</v>
      </c>
      <c r="V56" s="2114">
        <f t="shared" si="21"/>
        <v>0</v>
      </c>
      <c r="W56" s="2114">
        <f t="shared" si="21"/>
        <v>0</v>
      </c>
      <c r="X56" s="2114">
        <f t="shared" si="21"/>
        <v>0</v>
      </c>
      <c r="Y56" s="2114">
        <f t="shared" si="21"/>
        <v>0</v>
      </c>
      <c r="Z56" s="2114">
        <f t="shared" si="21"/>
        <v>0</v>
      </c>
      <c r="AA56" s="2114">
        <f t="shared" si="21"/>
        <v>0</v>
      </c>
      <c r="AB56" s="2114">
        <f t="shared" si="21"/>
        <v>0</v>
      </c>
      <c r="AC56" s="2114">
        <f t="shared" si="21"/>
        <v>0</v>
      </c>
      <c r="AD56" s="2114">
        <f t="shared" si="21"/>
        <v>0</v>
      </c>
      <c r="AE56" s="2114">
        <f t="shared" ref="AE56:AJ56" si="25">IF(AE$4=$G23,$D56*(12-VLOOKUP($E23,$E$79:$F$90,2,0)),IF(AND(AE$4&gt;$G23,AE$4&lt;($G23+$D23)),$D56*12,IF(AE$4=($G23+$D23),$D56*VLOOKUP($E23,$E$79:$F$90,2,0),0)))</f>
        <v>0</v>
      </c>
      <c r="AF56" s="2114">
        <f t="shared" si="25"/>
        <v>0</v>
      </c>
      <c r="AG56" s="2114">
        <f t="shared" si="25"/>
        <v>0</v>
      </c>
      <c r="AH56" s="2114">
        <f t="shared" si="25"/>
        <v>0</v>
      </c>
      <c r="AI56" s="2114">
        <f t="shared" si="25"/>
        <v>0</v>
      </c>
      <c r="AJ56" s="2115">
        <f t="shared" si="25"/>
        <v>0</v>
      </c>
      <c r="AK56" s="2091">
        <f t="shared" si="13"/>
        <v>0</v>
      </c>
      <c r="AL56" s="2084"/>
      <c r="AM56" s="2084"/>
      <c r="AN56" s="2085">
        <f t="shared" ref="AN56:AO68" si="26">AN23</f>
        <v>18</v>
      </c>
      <c r="AO56" s="2116" t="str">
        <f t="shared" si="26"/>
        <v>RRR</v>
      </c>
      <c r="AP56" s="2112">
        <f t="shared" si="14"/>
        <v>0</v>
      </c>
      <c r="AQ56" s="2119"/>
      <c r="AR56" s="2119"/>
      <c r="AS56" s="2120"/>
      <c r="AT56" s="2113">
        <f t="shared" si="23"/>
        <v>0</v>
      </c>
      <c r="AU56" s="2114">
        <f t="shared" si="23"/>
        <v>0</v>
      </c>
      <c r="AV56" s="2114">
        <f t="shared" si="23"/>
        <v>0</v>
      </c>
      <c r="AW56" s="2114">
        <f t="shared" si="23"/>
        <v>0</v>
      </c>
      <c r="AX56" s="2114">
        <f t="shared" si="23"/>
        <v>0</v>
      </c>
      <c r="AY56" s="2114">
        <f t="shared" si="23"/>
        <v>0</v>
      </c>
      <c r="AZ56" s="2114">
        <f t="shared" si="23"/>
        <v>0</v>
      </c>
      <c r="BA56" s="2114">
        <f t="shared" si="23"/>
        <v>0</v>
      </c>
      <c r="BB56" s="2114">
        <f t="shared" si="23"/>
        <v>0</v>
      </c>
      <c r="BC56" s="2114">
        <f t="shared" si="23"/>
        <v>0</v>
      </c>
      <c r="BD56" s="2114">
        <f t="shared" si="23"/>
        <v>0</v>
      </c>
      <c r="BE56" s="2114">
        <f t="shared" si="23"/>
        <v>0</v>
      </c>
      <c r="BF56" s="2114">
        <f t="shared" si="23"/>
        <v>0</v>
      </c>
      <c r="BG56" s="2114">
        <f t="shared" si="23"/>
        <v>0</v>
      </c>
      <c r="BH56" s="2114">
        <f t="shared" si="23"/>
        <v>0</v>
      </c>
      <c r="BI56" s="2114">
        <f t="shared" si="23"/>
        <v>0</v>
      </c>
      <c r="BJ56" s="2114">
        <f t="shared" si="23"/>
        <v>0</v>
      </c>
      <c r="BK56" s="2114">
        <f t="shared" si="23"/>
        <v>0</v>
      </c>
      <c r="BL56" s="2114">
        <f t="shared" si="23"/>
        <v>0</v>
      </c>
      <c r="BM56" s="2114">
        <f t="shared" si="23"/>
        <v>0</v>
      </c>
      <c r="BN56" s="2114">
        <f t="shared" si="23"/>
        <v>0</v>
      </c>
      <c r="BO56" s="2114">
        <f t="shared" si="23"/>
        <v>0</v>
      </c>
      <c r="BP56" s="2114">
        <f t="shared" si="23"/>
        <v>0</v>
      </c>
      <c r="BQ56" s="2114">
        <f t="shared" si="23"/>
        <v>0</v>
      </c>
      <c r="BR56" s="2114">
        <f t="shared" si="23"/>
        <v>0</v>
      </c>
      <c r="BS56" s="2114">
        <f t="shared" si="23"/>
        <v>0</v>
      </c>
      <c r="BT56" s="2114">
        <f t="shared" si="23"/>
        <v>0</v>
      </c>
      <c r="BU56" s="2114">
        <f t="shared" si="23"/>
        <v>0</v>
      </c>
      <c r="BV56" s="2115">
        <f t="shared" si="23"/>
        <v>0</v>
      </c>
      <c r="BW56" s="2091">
        <f t="shared" si="16"/>
        <v>0</v>
      </c>
      <c r="BX56" s="2063"/>
      <c r="BY56" s="2063"/>
    </row>
    <row r="57" spans="1:77" x14ac:dyDescent="0.25">
      <c r="A57" s="2063"/>
      <c r="B57" s="2085">
        <f t="shared" si="24"/>
        <v>19</v>
      </c>
      <c r="C57" s="2116" t="str">
        <f t="shared" si="24"/>
        <v>SSS</v>
      </c>
      <c r="D57" s="2112">
        <f t="shared" si="11"/>
        <v>0</v>
      </c>
      <c r="E57" s="2119"/>
      <c r="F57" s="2119"/>
      <c r="G57" s="2120"/>
      <c r="H57" s="2113">
        <f t="shared" ref="H57:AJ65" si="27">IF(H$4=$G24,$D57*(12-VLOOKUP($E24,$E$79:$F$90,2,0)),IF(AND(H$4&gt;$G24,H$4&lt;($G24+$D24)),$D57*12,IF(H$4=($G24+$D24),$D57*VLOOKUP($E24,$E$79:$F$90,2,0),0)))</f>
        <v>0</v>
      </c>
      <c r="I57" s="2114">
        <f t="shared" si="27"/>
        <v>0</v>
      </c>
      <c r="J57" s="2114">
        <f t="shared" si="27"/>
        <v>0</v>
      </c>
      <c r="K57" s="2114">
        <f t="shared" si="27"/>
        <v>0</v>
      </c>
      <c r="L57" s="2114">
        <f t="shared" si="27"/>
        <v>0</v>
      </c>
      <c r="M57" s="2114">
        <f t="shared" si="27"/>
        <v>0</v>
      </c>
      <c r="N57" s="2114">
        <f t="shared" si="27"/>
        <v>0</v>
      </c>
      <c r="O57" s="2114">
        <f t="shared" si="27"/>
        <v>0</v>
      </c>
      <c r="P57" s="2114">
        <f t="shared" si="27"/>
        <v>0</v>
      </c>
      <c r="Q57" s="2114">
        <f t="shared" si="27"/>
        <v>0</v>
      </c>
      <c r="R57" s="2114">
        <f t="shared" si="27"/>
        <v>0</v>
      </c>
      <c r="S57" s="2114">
        <f t="shared" si="27"/>
        <v>0</v>
      </c>
      <c r="T57" s="2114">
        <f t="shared" si="27"/>
        <v>0</v>
      </c>
      <c r="U57" s="2114">
        <f t="shared" si="27"/>
        <v>0</v>
      </c>
      <c r="V57" s="2114">
        <f t="shared" si="27"/>
        <v>0</v>
      </c>
      <c r="W57" s="2114">
        <f t="shared" si="27"/>
        <v>0</v>
      </c>
      <c r="X57" s="2114">
        <f t="shared" si="27"/>
        <v>0</v>
      </c>
      <c r="Y57" s="2114">
        <f t="shared" si="27"/>
        <v>0</v>
      </c>
      <c r="Z57" s="2114">
        <f t="shared" si="27"/>
        <v>0</v>
      </c>
      <c r="AA57" s="2114">
        <f t="shared" si="27"/>
        <v>0</v>
      </c>
      <c r="AB57" s="2114">
        <f t="shared" si="27"/>
        <v>0</v>
      </c>
      <c r="AC57" s="2114">
        <f t="shared" si="27"/>
        <v>0</v>
      </c>
      <c r="AD57" s="2114">
        <f t="shared" si="27"/>
        <v>0</v>
      </c>
      <c r="AE57" s="2114">
        <f t="shared" si="27"/>
        <v>0</v>
      </c>
      <c r="AF57" s="2114">
        <f t="shared" si="27"/>
        <v>0</v>
      </c>
      <c r="AG57" s="2114">
        <f t="shared" si="27"/>
        <v>0</v>
      </c>
      <c r="AH57" s="2114">
        <f t="shared" si="27"/>
        <v>0</v>
      </c>
      <c r="AI57" s="2114">
        <f t="shared" si="27"/>
        <v>0</v>
      </c>
      <c r="AJ57" s="2115">
        <f t="shared" si="27"/>
        <v>0</v>
      </c>
      <c r="AK57" s="2091">
        <f t="shared" si="13"/>
        <v>0</v>
      </c>
      <c r="AL57" s="2084"/>
      <c r="AM57" s="2084"/>
      <c r="AN57" s="2085">
        <f t="shared" si="26"/>
        <v>19</v>
      </c>
      <c r="AO57" s="2116" t="str">
        <f t="shared" si="26"/>
        <v>SSS</v>
      </c>
      <c r="AP57" s="2112">
        <f t="shared" si="14"/>
        <v>0</v>
      </c>
      <c r="AQ57" s="2119"/>
      <c r="AR57" s="2119"/>
      <c r="AS57" s="2120"/>
      <c r="AT57" s="2113">
        <f t="shared" si="23"/>
        <v>0</v>
      </c>
      <c r="AU57" s="2114">
        <f t="shared" si="23"/>
        <v>0</v>
      </c>
      <c r="AV57" s="2114">
        <f t="shared" si="23"/>
        <v>0</v>
      </c>
      <c r="AW57" s="2114">
        <f t="shared" si="23"/>
        <v>0</v>
      </c>
      <c r="AX57" s="2114">
        <f t="shared" si="23"/>
        <v>0</v>
      </c>
      <c r="AY57" s="2114">
        <f t="shared" si="23"/>
        <v>0</v>
      </c>
      <c r="AZ57" s="2114">
        <f t="shared" si="23"/>
        <v>0</v>
      </c>
      <c r="BA57" s="2114">
        <f t="shared" si="23"/>
        <v>0</v>
      </c>
      <c r="BB57" s="2114">
        <f t="shared" si="23"/>
        <v>0</v>
      </c>
      <c r="BC57" s="2114">
        <f t="shared" si="23"/>
        <v>0</v>
      </c>
      <c r="BD57" s="2114">
        <f t="shared" si="23"/>
        <v>0</v>
      </c>
      <c r="BE57" s="2114">
        <f t="shared" si="23"/>
        <v>0</v>
      </c>
      <c r="BF57" s="2114">
        <f t="shared" si="23"/>
        <v>0</v>
      </c>
      <c r="BG57" s="2114">
        <f t="shared" si="23"/>
        <v>0</v>
      </c>
      <c r="BH57" s="2114">
        <f t="shared" si="23"/>
        <v>0</v>
      </c>
      <c r="BI57" s="2114">
        <f t="shared" si="23"/>
        <v>0</v>
      </c>
      <c r="BJ57" s="2114">
        <f t="shared" si="23"/>
        <v>0</v>
      </c>
      <c r="BK57" s="2114">
        <f t="shared" si="23"/>
        <v>0</v>
      </c>
      <c r="BL57" s="2114">
        <f t="shared" si="23"/>
        <v>0</v>
      </c>
      <c r="BM57" s="2114">
        <f t="shared" si="23"/>
        <v>0</v>
      </c>
      <c r="BN57" s="2114">
        <f t="shared" si="23"/>
        <v>0</v>
      </c>
      <c r="BO57" s="2114">
        <f t="shared" si="23"/>
        <v>0</v>
      </c>
      <c r="BP57" s="2114">
        <f t="shared" si="23"/>
        <v>0</v>
      </c>
      <c r="BQ57" s="2114">
        <f t="shared" ref="BQ57:BV57" si="28">IF(BQ$4=$AS24,$AP57*(12-VLOOKUP($AQ24,$E$79:$F$90,2,0)),IF(AND(BQ$4&gt;$AS24,BQ$4&lt;($AS24+$AP24)),$AP57*12,IF(BQ$4=($AS24+$AP24),$AP57*VLOOKUP($AQ24,$E$79:$F$90,2,0),0)))</f>
        <v>0</v>
      </c>
      <c r="BR57" s="2114">
        <f t="shared" si="28"/>
        <v>0</v>
      </c>
      <c r="BS57" s="2114">
        <f t="shared" si="28"/>
        <v>0</v>
      </c>
      <c r="BT57" s="2114">
        <f t="shared" si="28"/>
        <v>0</v>
      </c>
      <c r="BU57" s="2114">
        <f t="shared" si="28"/>
        <v>0</v>
      </c>
      <c r="BV57" s="2115">
        <f t="shared" si="28"/>
        <v>0</v>
      </c>
      <c r="BW57" s="2091">
        <f t="shared" si="16"/>
        <v>0</v>
      </c>
      <c r="BX57" s="2063"/>
      <c r="BY57" s="2063"/>
    </row>
    <row r="58" spans="1:77" x14ac:dyDescent="0.25">
      <c r="A58" s="2063"/>
      <c r="B58" s="2085">
        <f t="shared" si="24"/>
        <v>20</v>
      </c>
      <c r="C58" s="2116" t="str">
        <f t="shared" si="24"/>
        <v>TTT</v>
      </c>
      <c r="D58" s="2112">
        <f t="shared" si="11"/>
        <v>0</v>
      </c>
      <c r="E58" s="2117"/>
      <c r="F58" s="2117"/>
      <c r="G58" s="2120"/>
      <c r="H58" s="2113">
        <f t="shared" si="27"/>
        <v>0</v>
      </c>
      <c r="I58" s="2114">
        <f t="shared" si="27"/>
        <v>0</v>
      </c>
      <c r="J58" s="2114">
        <f t="shared" si="27"/>
        <v>0</v>
      </c>
      <c r="K58" s="2114">
        <f t="shared" si="27"/>
        <v>0</v>
      </c>
      <c r="L58" s="2114">
        <f t="shared" si="27"/>
        <v>0</v>
      </c>
      <c r="M58" s="2114">
        <f t="shared" si="27"/>
        <v>0</v>
      </c>
      <c r="N58" s="2114">
        <f t="shared" si="27"/>
        <v>0</v>
      </c>
      <c r="O58" s="2114">
        <f t="shared" si="27"/>
        <v>0</v>
      </c>
      <c r="P58" s="2114">
        <f t="shared" si="27"/>
        <v>0</v>
      </c>
      <c r="Q58" s="2114">
        <f t="shared" si="27"/>
        <v>0</v>
      </c>
      <c r="R58" s="2114">
        <f t="shared" si="27"/>
        <v>0</v>
      </c>
      <c r="S58" s="2114">
        <f t="shared" si="27"/>
        <v>0</v>
      </c>
      <c r="T58" s="2114">
        <f t="shared" si="27"/>
        <v>0</v>
      </c>
      <c r="U58" s="2114">
        <f t="shared" si="27"/>
        <v>0</v>
      </c>
      <c r="V58" s="2114">
        <f t="shared" si="27"/>
        <v>0</v>
      </c>
      <c r="W58" s="2114">
        <f t="shared" si="27"/>
        <v>0</v>
      </c>
      <c r="X58" s="2114">
        <f t="shared" si="27"/>
        <v>0</v>
      </c>
      <c r="Y58" s="2114">
        <f t="shared" si="27"/>
        <v>0</v>
      </c>
      <c r="Z58" s="2114">
        <f t="shared" si="27"/>
        <v>0</v>
      </c>
      <c r="AA58" s="2114">
        <f t="shared" si="27"/>
        <v>0</v>
      </c>
      <c r="AB58" s="2114">
        <f t="shared" si="27"/>
        <v>0</v>
      </c>
      <c r="AC58" s="2114">
        <f t="shared" si="27"/>
        <v>0</v>
      </c>
      <c r="AD58" s="2114">
        <f t="shared" si="27"/>
        <v>0</v>
      </c>
      <c r="AE58" s="2114">
        <f t="shared" si="27"/>
        <v>0</v>
      </c>
      <c r="AF58" s="2114">
        <f t="shared" si="27"/>
        <v>0</v>
      </c>
      <c r="AG58" s="2114">
        <f t="shared" si="27"/>
        <v>0</v>
      </c>
      <c r="AH58" s="2114">
        <f t="shared" si="27"/>
        <v>0</v>
      </c>
      <c r="AI58" s="2114">
        <f t="shared" si="27"/>
        <v>0</v>
      </c>
      <c r="AJ58" s="2115">
        <f t="shared" si="27"/>
        <v>0</v>
      </c>
      <c r="AK58" s="2091">
        <f t="shared" si="13"/>
        <v>0</v>
      </c>
      <c r="AL58" s="2063"/>
      <c r="AM58" s="2084"/>
      <c r="AN58" s="2085">
        <f t="shared" si="26"/>
        <v>20</v>
      </c>
      <c r="AO58" s="2116" t="str">
        <f t="shared" si="26"/>
        <v>TTT</v>
      </c>
      <c r="AP58" s="2112">
        <f t="shared" si="14"/>
        <v>0</v>
      </c>
      <c r="AQ58" s="2117"/>
      <c r="AR58" s="2117"/>
      <c r="AS58" s="2120"/>
      <c r="AT58" s="2113">
        <f t="shared" ref="AT58:BV66" si="29">IF(AT$4=$AS25,$AP58*(12-VLOOKUP($AQ25,$E$79:$F$90,2,0)),IF(AND(AT$4&gt;$AS25,AT$4&lt;($AS25+$AP25)),$AP58*12,IF(AT$4=($AS25+$AP25),$AP58*VLOOKUP($AQ25,$E$79:$F$90,2,0),0)))</f>
        <v>0</v>
      </c>
      <c r="AU58" s="2114">
        <f t="shared" si="29"/>
        <v>0</v>
      </c>
      <c r="AV58" s="2114">
        <f t="shared" si="29"/>
        <v>0</v>
      </c>
      <c r="AW58" s="2114">
        <f t="shared" si="29"/>
        <v>0</v>
      </c>
      <c r="AX58" s="2114">
        <f t="shared" si="29"/>
        <v>0</v>
      </c>
      <c r="AY58" s="2114">
        <f t="shared" si="29"/>
        <v>0</v>
      </c>
      <c r="AZ58" s="2114">
        <f t="shared" si="29"/>
        <v>0</v>
      </c>
      <c r="BA58" s="2114">
        <f t="shared" si="29"/>
        <v>0</v>
      </c>
      <c r="BB58" s="2114">
        <f t="shared" si="29"/>
        <v>0</v>
      </c>
      <c r="BC58" s="2114">
        <f t="shared" si="29"/>
        <v>0</v>
      </c>
      <c r="BD58" s="2114">
        <f t="shared" si="29"/>
        <v>0</v>
      </c>
      <c r="BE58" s="2114">
        <f t="shared" si="29"/>
        <v>0</v>
      </c>
      <c r="BF58" s="2114">
        <f t="shared" si="29"/>
        <v>0</v>
      </c>
      <c r="BG58" s="2114">
        <f t="shared" si="29"/>
        <v>0</v>
      </c>
      <c r="BH58" s="2114">
        <f t="shared" si="29"/>
        <v>0</v>
      </c>
      <c r="BI58" s="2114">
        <f t="shared" si="29"/>
        <v>0</v>
      </c>
      <c r="BJ58" s="2114">
        <f t="shared" si="29"/>
        <v>0</v>
      </c>
      <c r="BK58" s="2114">
        <f t="shared" si="29"/>
        <v>0</v>
      </c>
      <c r="BL58" s="2114">
        <f t="shared" si="29"/>
        <v>0</v>
      </c>
      <c r="BM58" s="2114">
        <f t="shared" si="29"/>
        <v>0</v>
      </c>
      <c r="BN58" s="2114">
        <f t="shared" si="29"/>
        <v>0</v>
      </c>
      <c r="BO58" s="2114">
        <f t="shared" si="29"/>
        <v>0</v>
      </c>
      <c r="BP58" s="2114">
        <f t="shared" si="29"/>
        <v>0</v>
      </c>
      <c r="BQ58" s="2114">
        <f t="shared" si="29"/>
        <v>0</v>
      </c>
      <c r="BR58" s="2114">
        <f t="shared" si="29"/>
        <v>0</v>
      </c>
      <c r="BS58" s="2114">
        <f t="shared" si="29"/>
        <v>0</v>
      </c>
      <c r="BT58" s="2114">
        <f t="shared" si="29"/>
        <v>0</v>
      </c>
      <c r="BU58" s="2114">
        <f t="shared" si="29"/>
        <v>0</v>
      </c>
      <c r="BV58" s="2115">
        <f t="shared" si="29"/>
        <v>0</v>
      </c>
      <c r="BW58" s="2091">
        <f t="shared" si="16"/>
        <v>0</v>
      </c>
      <c r="BX58" s="2063"/>
      <c r="BY58" s="2063"/>
    </row>
    <row r="59" spans="1:77" x14ac:dyDescent="0.25">
      <c r="A59" s="2063"/>
      <c r="B59" s="2085">
        <f t="shared" si="24"/>
        <v>21</v>
      </c>
      <c r="C59" s="2116" t="str">
        <f t="shared" si="24"/>
        <v>UUU</v>
      </c>
      <c r="D59" s="2112">
        <f t="shared" si="11"/>
        <v>0</v>
      </c>
      <c r="E59" s="2117"/>
      <c r="F59" s="2117"/>
      <c r="G59" s="2118"/>
      <c r="H59" s="2113">
        <f t="shared" si="27"/>
        <v>0</v>
      </c>
      <c r="I59" s="2114">
        <f t="shared" si="27"/>
        <v>0</v>
      </c>
      <c r="J59" s="2114">
        <f t="shared" si="27"/>
        <v>0</v>
      </c>
      <c r="K59" s="2114">
        <f t="shared" si="27"/>
        <v>0</v>
      </c>
      <c r="L59" s="2114">
        <f t="shared" si="27"/>
        <v>0</v>
      </c>
      <c r="M59" s="2114">
        <f t="shared" si="27"/>
        <v>0</v>
      </c>
      <c r="N59" s="2114">
        <f t="shared" si="27"/>
        <v>0</v>
      </c>
      <c r="O59" s="2114">
        <f t="shared" si="27"/>
        <v>0</v>
      </c>
      <c r="P59" s="2114">
        <f t="shared" si="27"/>
        <v>0</v>
      </c>
      <c r="Q59" s="2114">
        <f t="shared" si="27"/>
        <v>0</v>
      </c>
      <c r="R59" s="2114">
        <f t="shared" si="27"/>
        <v>0</v>
      </c>
      <c r="S59" s="2114">
        <f t="shared" si="27"/>
        <v>0</v>
      </c>
      <c r="T59" s="2114">
        <f t="shared" si="27"/>
        <v>0</v>
      </c>
      <c r="U59" s="2114">
        <f t="shared" si="27"/>
        <v>0</v>
      </c>
      <c r="V59" s="2114">
        <f t="shared" si="27"/>
        <v>0</v>
      </c>
      <c r="W59" s="2114">
        <f t="shared" si="27"/>
        <v>0</v>
      </c>
      <c r="X59" s="2114">
        <f t="shared" si="27"/>
        <v>0</v>
      </c>
      <c r="Y59" s="2114">
        <f t="shared" si="27"/>
        <v>0</v>
      </c>
      <c r="Z59" s="2114">
        <f t="shared" si="27"/>
        <v>0</v>
      </c>
      <c r="AA59" s="2114">
        <f t="shared" si="27"/>
        <v>0</v>
      </c>
      <c r="AB59" s="2114">
        <f t="shared" si="27"/>
        <v>0</v>
      </c>
      <c r="AC59" s="2114">
        <f t="shared" si="27"/>
        <v>0</v>
      </c>
      <c r="AD59" s="2114">
        <f t="shared" si="27"/>
        <v>0</v>
      </c>
      <c r="AE59" s="2114">
        <f t="shared" si="27"/>
        <v>0</v>
      </c>
      <c r="AF59" s="2114">
        <f t="shared" si="27"/>
        <v>0</v>
      </c>
      <c r="AG59" s="2114">
        <f t="shared" si="27"/>
        <v>0</v>
      </c>
      <c r="AH59" s="2114">
        <f t="shared" si="27"/>
        <v>0</v>
      </c>
      <c r="AI59" s="2114">
        <f t="shared" si="27"/>
        <v>0</v>
      </c>
      <c r="AJ59" s="2115">
        <f t="shared" si="27"/>
        <v>0</v>
      </c>
      <c r="AK59" s="2091">
        <f t="shared" si="13"/>
        <v>0</v>
      </c>
      <c r="AL59" s="2063"/>
      <c r="AM59" s="2084"/>
      <c r="AN59" s="2085">
        <f t="shared" si="26"/>
        <v>21</v>
      </c>
      <c r="AO59" s="2116" t="str">
        <f t="shared" si="26"/>
        <v>UUU</v>
      </c>
      <c r="AP59" s="2112">
        <f t="shared" si="14"/>
        <v>0</v>
      </c>
      <c r="AQ59" s="2117"/>
      <c r="AR59" s="2117"/>
      <c r="AS59" s="2118"/>
      <c r="AT59" s="2113">
        <f t="shared" si="29"/>
        <v>0</v>
      </c>
      <c r="AU59" s="2114">
        <f t="shared" si="29"/>
        <v>0</v>
      </c>
      <c r="AV59" s="2114">
        <f t="shared" si="29"/>
        <v>0</v>
      </c>
      <c r="AW59" s="2114">
        <f t="shared" si="29"/>
        <v>0</v>
      </c>
      <c r="AX59" s="2114">
        <f t="shared" si="29"/>
        <v>0</v>
      </c>
      <c r="AY59" s="2114">
        <f t="shared" si="29"/>
        <v>0</v>
      </c>
      <c r="AZ59" s="2114">
        <f t="shared" si="29"/>
        <v>0</v>
      </c>
      <c r="BA59" s="2114">
        <f t="shared" si="29"/>
        <v>0</v>
      </c>
      <c r="BB59" s="2114">
        <f t="shared" si="29"/>
        <v>0</v>
      </c>
      <c r="BC59" s="2114">
        <f t="shared" si="29"/>
        <v>0</v>
      </c>
      <c r="BD59" s="2114">
        <f t="shared" si="29"/>
        <v>0</v>
      </c>
      <c r="BE59" s="2114">
        <f t="shared" si="29"/>
        <v>0</v>
      </c>
      <c r="BF59" s="2114">
        <f t="shared" si="29"/>
        <v>0</v>
      </c>
      <c r="BG59" s="2114">
        <f t="shared" si="29"/>
        <v>0</v>
      </c>
      <c r="BH59" s="2114">
        <f t="shared" si="29"/>
        <v>0</v>
      </c>
      <c r="BI59" s="2114">
        <f t="shared" si="29"/>
        <v>0</v>
      </c>
      <c r="BJ59" s="2114">
        <f t="shared" si="29"/>
        <v>0</v>
      </c>
      <c r="BK59" s="2114">
        <f t="shared" si="29"/>
        <v>0</v>
      </c>
      <c r="BL59" s="2114">
        <f t="shared" si="29"/>
        <v>0</v>
      </c>
      <c r="BM59" s="2114">
        <f t="shared" si="29"/>
        <v>0</v>
      </c>
      <c r="BN59" s="2114">
        <f t="shared" si="29"/>
        <v>0</v>
      </c>
      <c r="BO59" s="2114">
        <f t="shared" si="29"/>
        <v>0</v>
      </c>
      <c r="BP59" s="2114">
        <f t="shared" si="29"/>
        <v>0</v>
      </c>
      <c r="BQ59" s="2114">
        <f t="shared" si="29"/>
        <v>0</v>
      </c>
      <c r="BR59" s="2114">
        <f t="shared" si="29"/>
        <v>0</v>
      </c>
      <c r="BS59" s="2114">
        <f t="shared" si="29"/>
        <v>0</v>
      </c>
      <c r="BT59" s="2114">
        <f t="shared" si="29"/>
        <v>0</v>
      </c>
      <c r="BU59" s="2114">
        <f t="shared" si="29"/>
        <v>0</v>
      </c>
      <c r="BV59" s="2115">
        <f t="shared" si="29"/>
        <v>0</v>
      </c>
      <c r="BW59" s="2091">
        <f t="shared" si="16"/>
        <v>0</v>
      </c>
      <c r="BX59" s="2063"/>
      <c r="BY59" s="2063"/>
    </row>
    <row r="60" spans="1:77" x14ac:dyDescent="0.25">
      <c r="A60" s="2063"/>
      <c r="B60" s="2085">
        <f t="shared" si="24"/>
        <v>22</v>
      </c>
      <c r="C60" s="2116" t="str">
        <f t="shared" si="24"/>
        <v>VVV</v>
      </c>
      <c r="D60" s="2112">
        <f t="shared" si="11"/>
        <v>0</v>
      </c>
      <c r="E60" s="2117"/>
      <c r="F60" s="2117"/>
      <c r="G60" s="2118"/>
      <c r="H60" s="2113">
        <f t="shared" si="27"/>
        <v>0</v>
      </c>
      <c r="I60" s="2114">
        <f t="shared" si="27"/>
        <v>0</v>
      </c>
      <c r="J60" s="2114">
        <f t="shared" si="27"/>
        <v>0</v>
      </c>
      <c r="K60" s="2114">
        <f t="shared" si="27"/>
        <v>0</v>
      </c>
      <c r="L60" s="2114">
        <f t="shared" si="27"/>
        <v>0</v>
      </c>
      <c r="M60" s="2114">
        <f t="shared" si="27"/>
        <v>0</v>
      </c>
      <c r="N60" s="2114">
        <f t="shared" si="27"/>
        <v>0</v>
      </c>
      <c r="O60" s="2114">
        <f t="shared" si="27"/>
        <v>0</v>
      </c>
      <c r="P60" s="2114">
        <f t="shared" si="27"/>
        <v>0</v>
      </c>
      <c r="Q60" s="2114">
        <f t="shared" si="27"/>
        <v>0</v>
      </c>
      <c r="R60" s="2114">
        <f t="shared" si="27"/>
        <v>0</v>
      </c>
      <c r="S60" s="2114">
        <f t="shared" si="27"/>
        <v>0</v>
      </c>
      <c r="T60" s="2114">
        <f t="shared" si="27"/>
        <v>0</v>
      </c>
      <c r="U60" s="2114">
        <f t="shared" si="27"/>
        <v>0</v>
      </c>
      <c r="V60" s="2114">
        <f t="shared" si="27"/>
        <v>0</v>
      </c>
      <c r="W60" s="2114">
        <f t="shared" si="27"/>
        <v>0</v>
      </c>
      <c r="X60" s="2114">
        <f t="shared" si="27"/>
        <v>0</v>
      </c>
      <c r="Y60" s="2114">
        <f t="shared" si="27"/>
        <v>0</v>
      </c>
      <c r="Z60" s="2114">
        <f t="shared" si="27"/>
        <v>0</v>
      </c>
      <c r="AA60" s="2114">
        <f t="shared" si="27"/>
        <v>0</v>
      </c>
      <c r="AB60" s="2114">
        <f t="shared" si="27"/>
        <v>0</v>
      </c>
      <c r="AC60" s="2114">
        <f t="shared" si="27"/>
        <v>0</v>
      </c>
      <c r="AD60" s="2114">
        <f t="shared" si="27"/>
        <v>0</v>
      </c>
      <c r="AE60" s="2114">
        <f t="shared" si="27"/>
        <v>0</v>
      </c>
      <c r="AF60" s="2114">
        <f t="shared" si="27"/>
        <v>0</v>
      </c>
      <c r="AG60" s="2114">
        <f t="shared" si="27"/>
        <v>0</v>
      </c>
      <c r="AH60" s="2114">
        <f t="shared" si="27"/>
        <v>0</v>
      </c>
      <c r="AI60" s="2114">
        <f t="shared" si="27"/>
        <v>0</v>
      </c>
      <c r="AJ60" s="2115">
        <f t="shared" si="27"/>
        <v>0</v>
      </c>
      <c r="AK60" s="2091">
        <f t="shared" si="13"/>
        <v>0</v>
      </c>
      <c r="AL60" s="2063"/>
      <c r="AM60" s="2084"/>
      <c r="AN60" s="2085">
        <f t="shared" si="26"/>
        <v>22</v>
      </c>
      <c r="AO60" s="2116" t="str">
        <f t="shared" si="26"/>
        <v>VVV</v>
      </c>
      <c r="AP60" s="2112">
        <f t="shared" si="14"/>
        <v>0</v>
      </c>
      <c r="AQ60" s="2117"/>
      <c r="AR60" s="2117"/>
      <c r="AS60" s="2118"/>
      <c r="AT60" s="2113">
        <f t="shared" si="29"/>
        <v>0</v>
      </c>
      <c r="AU60" s="2114">
        <f t="shared" si="29"/>
        <v>0</v>
      </c>
      <c r="AV60" s="2114">
        <f t="shared" si="29"/>
        <v>0</v>
      </c>
      <c r="AW60" s="2114">
        <f t="shared" si="29"/>
        <v>0</v>
      </c>
      <c r="AX60" s="2114">
        <f t="shared" si="29"/>
        <v>0</v>
      </c>
      <c r="AY60" s="2114">
        <f t="shared" si="29"/>
        <v>0</v>
      </c>
      <c r="AZ60" s="2114">
        <f t="shared" si="29"/>
        <v>0</v>
      </c>
      <c r="BA60" s="2114">
        <f t="shared" si="29"/>
        <v>0</v>
      </c>
      <c r="BB60" s="2114">
        <f t="shared" si="29"/>
        <v>0</v>
      </c>
      <c r="BC60" s="2114">
        <f t="shared" si="29"/>
        <v>0</v>
      </c>
      <c r="BD60" s="2114">
        <f t="shared" si="29"/>
        <v>0</v>
      </c>
      <c r="BE60" s="2114">
        <f t="shared" si="29"/>
        <v>0</v>
      </c>
      <c r="BF60" s="2114">
        <f t="shared" si="29"/>
        <v>0</v>
      </c>
      <c r="BG60" s="2114">
        <f t="shared" si="29"/>
        <v>0</v>
      </c>
      <c r="BH60" s="2114">
        <f t="shared" si="29"/>
        <v>0</v>
      </c>
      <c r="BI60" s="2114">
        <f t="shared" si="29"/>
        <v>0</v>
      </c>
      <c r="BJ60" s="2114">
        <f t="shared" si="29"/>
        <v>0</v>
      </c>
      <c r="BK60" s="2114">
        <f t="shared" si="29"/>
        <v>0</v>
      </c>
      <c r="BL60" s="2114">
        <f t="shared" si="29"/>
        <v>0</v>
      </c>
      <c r="BM60" s="2114">
        <f t="shared" si="29"/>
        <v>0</v>
      </c>
      <c r="BN60" s="2114">
        <f t="shared" si="29"/>
        <v>0</v>
      </c>
      <c r="BO60" s="2114">
        <f t="shared" si="29"/>
        <v>0</v>
      </c>
      <c r="BP60" s="2114">
        <f t="shared" si="29"/>
        <v>0</v>
      </c>
      <c r="BQ60" s="2114">
        <f t="shared" si="29"/>
        <v>0</v>
      </c>
      <c r="BR60" s="2114">
        <f t="shared" si="29"/>
        <v>0</v>
      </c>
      <c r="BS60" s="2114">
        <f t="shared" si="29"/>
        <v>0</v>
      </c>
      <c r="BT60" s="2114">
        <f t="shared" si="29"/>
        <v>0</v>
      </c>
      <c r="BU60" s="2114">
        <f t="shared" si="29"/>
        <v>0</v>
      </c>
      <c r="BV60" s="2115">
        <f t="shared" si="29"/>
        <v>0</v>
      </c>
      <c r="BW60" s="2091">
        <f t="shared" si="16"/>
        <v>0</v>
      </c>
      <c r="BX60" s="2063"/>
      <c r="BY60" s="2063"/>
    </row>
    <row r="61" spans="1:77" x14ac:dyDescent="0.25">
      <c r="A61" s="2063"/>
      <c r="B61" s="2085">
        <f t="shared" si="24"/>
        <v>23</v>
      </c>
      <c r="C61" s="2116" t="str">
        <f t="shared" si="24"/>
        <v>WWW</v>
      </c>
      <c r="D61" s="2112">
        <f t="shared" si="11"/>
        <v>0</v>
      </c>
      <c r="E61" s="2119"/>
      <c r="F61" s="2119"/>
      <c r="G61" s="2118"/>
      <c r="H61" s="2113">
        <f t="shared" si="27"/>
        <v>0</v>
      </c>
      <c r="I61" s="2114">
        <f t="shared" si="27"/>
        <v>0</v>
      </c>
      <c r="J61" s="2114">
        <f t="shared" si="27"/>
        <v>0</v>
      </c>
      <c r="K61" s="2114">
        <f t="shared" si="27"/>
        <v>0</v>
      </c>
      <c r="L61" s="2114">
        <f t="shared" si="27"/>
        <v>0</v>
      </c>
      <c r="M61" s="2114">
        <f t="shared" si="27"/>
        <v>0</v>
      </c>
      <c r="N61" s="2114">
        <f t="shared" si="27"/>
        <v>0</v>
      </c>
      <c r="O61" s="2114">
        <f t="shared" si="27"/>
        <v>0</v>
      </c>
      <c r="P61" s="2114">
        <f t="shared" si="27"/>
        <v>0</v>
      </c>
      <c r="Q61" s="2114">
        <f t="shared" si="27"/>
        <v>0</v>
      </c>
      <c r="R61" s="2114">
        <f t="shared" si="27"/>
        <v>0</v>
      </c>
      <c r="S61" s="2114">
        <f t="shared" si="27"/>
        <v>0</v>
      </c>
      <c r="T61" s="2114">
        <f t="shared" si="27"/>
        <v>0</v>
      </c>
      <c r="U61" s="2114">
        <f t="shared" si="27"/>
        <v>0</v>
      </c>
      <c r="V61" s="2114">
        <f t="shared" si="27"/>
        <v>0</v>
      </c>
      <c r="W61" s="2114">
        <f t="shared" si="27"/>
        <v>0</v>
      </c>
      <c r="X61" s="2114">
        <f t="shared" si="27"/>
        <v>0</v>
      </c>
      <c r="Y61" s="2114">
        <f t="shared" si="27"/>
        <v>0</v>
      </c>
      <c r="Z61" s="2114">
        <f t="shared" si="27"/>
        <v>0</v>
      </c>
      <c r="AA61" s="2114">
        <f t="shared" si="27"/>
        <v>0</v>
      </c>
      <c r="AB61" s="2114">
        <f t="shared" si="27"/>
        <v>0</v>
      </c>
      <c r="AC61" s="2114">
        <f t="shared" si="27"/>
        <v>0</v>
      </c>
      <c r="AD61" s="2114">
        <f t="shared" si="27"/>
        <v>0</v>
      </c>
      <c r="AE61" s="2114">
        <f t="shared" si="27"/>
        <v>0</v>
      </c>
      <c r="AF61" s="2114">
        <f t="shared" si="27"/>
        <v>0</v>
      </c>
      <c r="AG61" s="2114">
        <f t="shared" si="27"/>
        <v>0</v>
      </c>
      <c r="AH61" s="2114">
        <f t="shared" si="27"/>
        <v>0</v>
      </c>
      <c r="AI61" s="2114">
        <f t="shared" si="27"/>
        <v>0</v>
      </c>
      <c r="AJ61" s="2115">
        <f t="shared" si="27"/>
        <v>0</v>
      </c>
      <c r="AK61" s="2091">
        <f t="shared" si="13"/>
        <v>0</v>
      </c>
      <c r="AL61" s="2063"/>
      <c r="AM61" s="2084"/>
      <c r="AN61" s="2085">
        <f t="shared" si="26"/>
        <v>23</v>
      </c>
      <c r="AO61" s="2116" t="str">
        <f t="shared" si="26"/>
        <v>WWW</v>
      </c>
      <c r="AP61" s="2112">
        <f t="shared" si="14"/>
        <v>0</v>
      </c>
      <c r="AQ61" s="2119"/>
      <c r="AR61" s="2119"/>
      <c r="AS61" s="2118"/>
      <c r="AT61" s="2113">
        <f t="shared" si="29"/>
        <v>0</v>
      </c>
      <c r="AU61" s="2114">
        <f t="shared" si="29"/>
        <v>0</v>
      </c>
      <c r="AV61" s="2114">
        <f t="shared" si="29"/>
        <v>0</v>
      </c>
      <c r="AW61" s="2114">
        <f t="shared" si="29"/>
        <v>0</v>
      </c>
      <c r="AX61" s="2114">
        <f t="shared" si="29"/>
        <v>0</v>
      </c>
      <c r="AY61" s="2114">
        <f t="shared" si="29"/>
        <v>0</v>
      </c>
      <c r="AZ61" s="2114">
        <f t="shared" si="29"/>
        <v>0</v>
      </c>
      <c r="BA61" s="2114">
        <f t="shared" si="29"/>
        <v>0</v>
      </c>
      <c r="BB61" s="2114">
        <f t="shared" si="29"/>
        <v>0</v>
      </c>
      <c r="BC61" s="2114">
        <f t="shared" si="29"/>
        <v>0</v>
      </c>
      <c r="BD61" s="2114">
        <f t="shared" si="29"/>
        <v>0</v>
      </c>
      <c r="BE61" s="2114">
        <f t="shared" si="29"/>
        <v>0</v>
      </c>
      <c r="BF61" s="2114">
        <f t="shared" si="29"/>
        <v>0</v>
      </c>
      <c r="BG61" s="2114">
        <f t="shared" si="29"/>
        <v>0</v>
      </c>
      <c r="BH61" s="2114">
        <f t="shared" si="29"/>
        <v>0</v>
      </c>
      <c r="BI61" s="2114">
        <f t="shared" si="29"/>
        <v>0</v>
      </c>
      <c r="BJ61" s="2114">
        <f t="shared" si="29"/>
        <v>0</v>
      </c>
      <c r="BK61" s="2114">
        <f t="shared" si="29"/>
        <v>0</v>
      </c>
      <c r="BL61" s="2114">
        <f t="shared" si="29"/>
        <v>0</v>
      </c>
      <c r="BM61" s="2114">
        <f t="shared" si="29"/>
        <v>0</v>
      </c>
      <c r="BN61" s="2114">
        <f t="shared" si="29"/>
        <v>0</v>
      </c>
      <c r="BO61" s="2114">
        <f t="shared" si="29"/>
        <v>0</v>
      </c>
      <c r="BP61" s="2114">
        <f t="shared" si="29"/>
        <v>0</v>
      </c>
      <c r="BQ61" s="2114">
        <f t="shared" si="29"/>
        <v>0</v>
      </c>
      <c r="BR61" s="2114">
        <f t="shared" si="29"/>
        <v>0</v>
      </c>
      <c r="BS61" s="2114">
        <f t="shared" si="29"/>
        <v>0</v>
      </c>
      <c r="BT61" s="2114">
        <f t="shared" si="29"/>
        <v>0</v>
      </c>
      <c r="BU61" s="2114">
        <f t="shared" si="29"/>
        <v>0</v>
      </c>
      <c r="BV61" s="2115">
        <f t="shared" si="29"/>
        <v>0</v>
      </c>
      <c r="BW61" s="2091">
        <f t="shared" si="16"/>
        <v>0</v>
      </c>
      <c r="BX61" s="2063"/>
      <c r="BY61" s="2063"/>
    </row>
    <row r="62" spans="1:77" x14ac:dyDescent="0.25">
      <c r="A62" s="2063"/>
      <c r="B62" s="2085">
        <f t="shared" si="24"/>
        <v>24</v>
      </c>
      <c r="C62" s="2116" t="str">
        <f t="shared" si="24"/>
        <v>XXX</v>
      </c>
      <c r="D62" s="2112">
        <f t="shared" si="11"/>
        <v>0</v>
      </c>
      <c r="E62" s="2119"/>
      <c r="F62" s="2119"/>
      <c r="G62" s="2118"/>
      <c r="H62" s="2113">
        <f t="shared" si="27"/>
        <v>0</v>
      </c>
      <c r="I62" s="2114">
        <f t="shared" si="27"/>
        <v>0</v>
      </c>
      <c r="J62" s="2114">
        <f t="shared" si="27"/>
        <v>0</v>
      </c>
      <c r="K62" s="2114">
        <f t="shared" si="27"/>
        <v>0</v>
      </c>
      <c r="L62" s="2114">
        <f t="shared" si="27"/>
        <v>0</v>
      </c>
      <c r="M62" s="2114">
        <f t="shared" si="27"/>
        <v>0</v>
      </c>
      <c r="N62" s="2114">
        <f t="shared" si="27"/>
        <v>0</v>
      </c>
      <c r="O62" s="2114">
        <f t="shared" si="27"/>
        <v>0</v>
      </c>
      <c r="P62" s="2114">
        <f t="shared" si="27"/>
        <v>0</v>
      </c>
      <c r="Q62" s="2114">
        <f t="shared" si="27"/>
        <v>0</v>
      </c>
      <c r="R62" s="2114">
        <f t="shared" si="27"/>
        <v>0</v>
      </c>
      <c r="S62" s="2114">
        <f t="shared" si="27"/>
        <v>0</v>
      </c>
      <c r="T62" s="2114">
        <f t="shared" si="27"/>
        <v>0</v>
      </c>
      <c r="U62" s="2114">
        <f t="shared" si="27"/>
        <v>0</v>
      </c>
      <c r="V62" s="2114">
        <f t="shared" si="27"/>
        <v>0</v>
      </c>
      <c r="W62" s="2114">
        <f t="shared" si="27"/>
        <v>0</v>
      </c>
      <c r="X62" s="2114">
        <f t="shared" si="27"/>
        <v>0</v>
      </c>
      <c r="Y62" s="2114">
        <f t="shared" si="27"/>
        <v>0</v>
      </c>
      <c r="Z62" s="2114">
        <f t="shared" si="27"/>
        <v>0</v>
      </c>
      <c r="AA62" s="2114">
        <f t="shared" si="27"/>
        <v>0</v>
      </c>
      <c r="AB62" s="2114">
        <f t="shared" si="27"/>
        <v>0</v>
      </c>
      <c r="AC62" s="2114">
        <f t="shared" si="27"/>
        <v>0</v>
      </c>
      <c r="AD62" s="2114">
        <f t="shared" si="27"/>
        <v>0</v>
      </c>
      <c r="AE62" s="2114">
        <f t="shared" si="27"/>
        <v>0</v>
      </c>
      <c r="AF62" s="2114">
        <f t="shared" si="27"/>
        <v>0</v>
      </c>
      <c r="AG62" s="2114">
        <f t="shared" si="27"/>
        <v>0</v>
      </c>
      <c r="AH62" s="2114">
        <f t="shared" si="27"/>
        <v>0</v>
      </c>
      <c r="AI62" s="2114">
        <f t="shared" si="27"/>
        <v>0</v>
      </c>
      <c r="AJ62" s="2115">
        <f t="shared" si="27"/>
        <v>0</v>
      </c>
      <c r="AK62" s="2091">
        <f t="shared" si="13"/>
        <v>0</v>
      </c>
      <c r="AL62" s="2063"/>
      <c r="AM62" s="2084"/>
      <c r="AN62" s="2085">
        <f t="shared" si="26"/>
        <v>24</v>
      </c>
      <c r="AO62" s="2116" t="str">
        <f t="shared" si="26"/>
        <v>XXX</v>
      </c>
      <c r="AP62" s="2112">
        <f t="shared" si="14"/>
        <v>0</v>
      </c>
      <c r="AQ62" s="2119"/>
      <c r="AR62" s="2119"/>
      <c r="AS62" s="2118"/>
      <c r="AT62" s="2113">
        <f t="shared" si="29"/>
        <v>0</v>
      </c>
      <c r="AU62" s="2114">
        <f t="shared" si="29"/>
        <v>0</v>
      </c>
      <c r="AV62" s="2114">
        <f t="shared" si="29"/>
        <v>0</v>
      </c>
      <c r="AW62" s="2114">
        <f t="shared" si="29"/>
        <v>0</v>
      </c>
      <c r="AX62" s="2114">
        <f t="shared" si="29"/>
        <v>0</v>
      </c>
      <c r="AY62" s="2114">
        <f t="shared" si="29"/>
        <v>0</v>
      </c>
      <c r="AZ62" s="2114">
        <f t="shared" si="29"/>
        <v>0</v>
      </c>
      <c r="BA62" s="2114">
        <f t="shared" si="29"/>
        <v>0</v>
      </c>
      <c r="BB62" s="2114">
        <f t="shared" si="29"/>
        <v>0</v>
      </c>
      <c r="BC62" s="2114">
        <f t="shared" si="29"/>
        <v>0</v>
      </c>
      <c r="BD62" s="2114">
        <f t="shared" si="29"/>
        <v>0</v>
      </c>
      <c r="BE62" s="2114">
        <f t="shared" si="29"/>
        <v>0</v>
      </c>
      <c r="BF62" s="2114">
        <f t="shared" si="29"/>
        <v>0</v>
      </c>
      <c r="BG62" s="2114">
        <f t="shared" si="29"/>
        <v>0</v>
      </c>
      <c r="BH62" s="2114">
        <f t="shared" si="29"/>
        <v>0</v>
      </c>
      <c r="BI62" s="2114">
        <f t="shared" si="29"/>
        <v>0</v>
      </c>
      <c r="BJ62" s="2114">
        <f t="shared" si="29"/>
        <v>0</v>
      </c>
      <c r="BK62" s="2114">
        <f t="shared" si="29"/>
        <v>0</v>
      </c>
      <c r="BL62" s="2114">
        <f t="shared" si="29"/>
        <v>0</v>
      </c>
      <c r="BM62" s="2114">
        <f t="shared" si="29"/>
        <v>0</v>
      </c>
      <c r="BN62" s="2114">
        <f t="shared" si="29"/>
        <v>0</v>
      </c>
      <c r="BO62" s="2114">
        <f t="shared" si="29"/>
        <v>0</v>
      </c>
      <c r="BP62" s="2114">
        <f t="shared" si="29"/>
        <v>0</v>
      </c>
      <c r="BQ62" s="2114">
        <f t="shared" si="29"/>
        <v>0</v>
      </c>
      <c r="BR62" s="2114">
        <f t="shared" si="29"/>
        <v>0</v>
      </c>
      <c r="BS62" s="2114">
        <f t="shared" si="29"/>
        <v>0</v>
      </c>
      <c r="BT62" s="2114">
        <f t="shared" si="29"/>
        <v>0</v>
      </c>
      <c r="BU62" s="2114">
        <f t="shared" si="29"/>
        <v>0</v>
      </c>
      <c r="BV62" s="2115">
        <f t="shared" si="29"/>
        <v>0</v>
      </c>
      <c r="BW62" s="2091">
        <f t="shared" si="16"/>
        <v>0</v>
      </c>
      <c r="BX62" s="2063"/>
      <c r="BY62" s="2063"/>
    </row>
    <row r="63" spans="1:77" x14ac:dyDescent="0.25">
      <c r="A63" s="2063"/>
      <c r="B63" s="2085">
        <f t="shared" si="24"/>
        <v>25</v>
      </c>
      <c r="C63" s="2116" t="str">
        <f t="shared" si="24"/>
        <v>YYY</v>
      </c>
      <c r="D63" s="2112">
        <f t="shared" si="11"/>
        <v>0</v>
      </c>
      <c r="E63" s="2119"/>
      <c r="F63" s="2119"/>
      <c r="G63" s="2118"/>
      <c r="H63" s="2113">
        <f t="shared" si="27"/>
        <v>0</v>
      </c>
      <c r="I63" s="2114">
        <f t="shared" si="27"/>
        <v>0</v>
      </c>
      <c r="J63" s="2114">
        <f t="shared" si="27"/>
        <v>0</v>
      </c>
      <c r="K63" s="2114">
        <f t="shared" si="27"/>
        <v>0</v>
      </c>
      <c r="L63" s="2114">
        <f t="shared" si="27"/>
        <v>0</v>
      </c>
      <c r="M63" s="2114">
        <f t="shared" si="27"/>
        <v>0</v>
      </c>
      <c r="N63" s="2114">
        <f t="shared" si="27"/>
        <v>0</v>
      </c>
      <c r="O63" s="2114">
        <f t="shared" si="27"/>
        <v>0</v>
      </c>
      <c r="P63" s="2114">
        <f t="shared" si="27"/>
        <v>0</v>
      </c>
      <c r="Q63" s="2114">
        <f t="shared" si="27"/>
        <v>0</v>
      </c>
      <c r="R63" s="2114">
        <f t="shared" si="27"/>
        <v>0</v>
      </c>
      <c r="S63" s="2114">
        <f t="shared" si="27"/>
        <v>0</v>
      </c>
      <c r="T63" s="2114">
        <f t="shared" si="27"/>
        <v>0</v>
      </c>
      <c r="U63" s="2114">
        <f t="shared" si="27"/>
        <v>0</v>
      </c>
      <c r="V63" s="2114">
        <f t="shared" si="27"/>
        <v>0</v>
      </c>
      <c r="W63" s="2114">
        <f t="shared" si="27"/>
        <v>0</v>
      </c>
      <c r="X63" s="2114">
        <f t="shared" si="27"/>
        <v>0</v>
      </c>
      <c r="Y63" s="2114">
        <f t="shared" si="27"/>
        <v>0</v>
      </c>
      <c r="Z63" s="2114">
        <f t="shared" si="27"/>
        <v>0</v>
      </c>
      <c r="AA63" s="2114">
        <f t="shared" si="27"/>
        <v>0</v>
      </c>
      <c r="AB63" s="2114">
        <f t="shared" si="27"/>
        <v>0</v>
      </c>
      <c r="AC63" s="2114">
        <f t="shared" si="27"/>
        <v>0</v>
      </c>
      <c r="AD63" s="2114">
        <f t="shared" si="27"/>
        <v>0</v>
      </c>
      <c r="AE63" s="2114">
        <f t="shared" si="27"/>
        <v>0</v>
      </c>
      <c r="AF63" s="2114">
        <f t="shared" si="27"/>
        <v>0</v>
      </c>
      <c r="AG63" s="2114">
        <f t="shared" si="27"/>
        <v>0</v>
      </c>
      <c r="AH63" s="2114">
        <f t="shared" si="27"/>
        <v>0</v>
      </c>
      <c r="AI63" s="2114">
        <f t="shared" si="27"/>
        <v>0</v>
      </c>
      <c r="AJ63" s="2115">
        <f t="shared" si="27"/>
        <v>0</v>
      </c>
      <c r="AK63" s="2091">
        <f t="shared" si="13"/>
        <v>0</v>
      </c>
      <c r="AL63" s="2063"/>
      <c r="AM63" s="2084"/>
      <c r="AN63" s="2085">
        <f t="shared" si="26"/>
        <v>25</v>
      </c>
      <c r="AO63" s="2116" t="str">
        <f t="shared" si="26"/>
        <v>YYY</v>
      </c>
      <c r="AP63" s="2112">
        <f t="shared" si="14"/>
        <v>0</v>
      </c>
      <c r="AQ63" s="2119"/>
      <c r="AR63" s="2119"/>
      <c r="AS63" s="2118"/>
      <c r="AT63" s="2113">
        <f t="shared" si="29"/>
        <v>0</v>
      </c>
      <c r="AU63" s="2114">
        <f t="shared" si="29"/>
        <v>0</v>
      </c>
      <c r="AV63" s="2114">
        <f t="shared" si="29"/>
        <v>0</v>
      </c>
      <c r="AW63" s="2114">
        <f t="shared" si="29"/>
        <v>0</v>
      </c>
      <c r="AX63" s="2114">
        <f t="shared" si="29"/>
        <v>0</v>
      </c>
      <c r="AY63" s="2114">
        <f t="shared" si="29"/>
        <v>0</v>
      </c>
      <c r="AZ63" s="2114">
        <f t="shared" si="29"/>
        <v>0</v>
      </c>
      <c r="BA63" s="2114">
        <f t="shared" si="29"/>
        <v>0</v>
      </c>
      <c r="BB63" s="2114">
        <f t="shared" si="29"/>
        <v>0</v>
      </c>
      <c r="BC63" s="2114">
        <f t="shared" si="29"/>
        <v>0</v>
      </c>
      <c r="BD63" s="2114">
        <f t="shared" si="29"/>
        <v>0</v>
      </c>
      <c r="BE63" s="2114">
        <f t="shared" si="29"/>
        <v>0</v>
      </c>
      <c r="BF63" s="2114">
        <f t="shared" si="29"/>
        <v>0</v>
      </c>
      <c r="BG63" s="2114">
        <f t="shared" si="29"/>
        <v>0</v>
      </c>
      <c r="BH63" s="2114">
        <f t="shared" si="29"/>
        <v>0</v>
      </c>
      <c r="BI63" s="2114">
        <f t="shared" si="29"/>
        <v>0</v>
      </c>
      <c r="BJ63" s="2114">
        <f t="shared" si="29"/>
        <v>0</v>
      </c>
      <c r="BK63" s="2114">
        <f t="shared" si="29"/>
        <v>0</v>
      </c>
      <c r="BL63" s="2114">
        <f t="shared" si="29"/>
        <v>0</v>
      </c>
      <c r="BM63" s="2114">
        <f t="shared" si="29"/>
        <v>0</v>
      </c>
      <c r="BN63" s="2114">
        <f t="shared" si="29"/>
        <v>0</v>
      </c>
      <c r="BO63" s="2114">
        <f t="shared" si="29"/>
        <v>0</v>
      </c>
      <c r="BP63" s="2114">
        <f t="shared" si="29"/>
        <v>0</v>
      </c>
      <c r="BQ63" s="2114">
        <f t="shared" si="29"/>
        <v>0</v>
      </c>
      <c r="BR63" s="2114">
        <f t="shared" si="29"/>
        <v>0</v>
      </c>
      <c r="BS63" s="2114">
        <f t="shared" si="29"/>
        <v>0</v>
      </c>
      <c r="BT63" s="2114">
        <f t="shared" si="29"/>
        <v>0</v>
      </c>
      <c r="BU63" s="2114">
        <f t="shared" si="29"/>
        <v>0</v>
      </c>
      <c r="BV63" s="2115">
        <f t="shared" si="29"/>
        <v>0</v>
      </c>
      <c r="BW63" s="2091">
        <f t="shared" si="16"/>
        <v>0</v>
      </c>
      <c r="BX63" s="2063"/>
      <c r="BY63" s="2063"/>
    </row>
    <row r="64" spans="1:77" x14ac:dyDescent="0.25">
      <c r="A64" s="2063"/>
      <c r="B64" s="2085">
        <f t="shared" si="24"/>
        <v>26</v>
      </c>
      <c r="C64" s="2116" t="str">
        <f t="shared" si="24"/>
        <v>ZZZ</v>
      </c>
      <c r="D64" s="2112">
        <f t="shared" si="11"/>
        <v>0</v>
      </c>
      <c r="E64" s="2119"/>
      <c r="F64" s="2119"/>
      <c r="G64" s="2120"/>
      <c r="H64" s="2113">
        <f t="shared" si="27"/>
        <v>0</v>
      </c>
      <c r="I64" s="2114">
        <f t="shared" si="27"/>
        <v>0</v>
      </c>
      <c r="J64" s="2114">
        <f t="shared" si="27"/>
        <v>0</v>
      </c>
      <c r="K64" s="2114">
        <f t="shared" si="27"/>
        <v>0</v>
      </c>
      <c r="L64" s="2114">
        <f t="shared" si="27"/>
        <v>0</v>
      </c>
      <c r="M64" s="2114">
        <f t="shared" si="27"/>
        <v>0</v>
      </c>
      <c r="N64" s="2114">
        <f t="shared" si="27"/>
        <v>0</v>
      </c>
      <c r="O64" s="2114">
        <f t="shared" si="27"/>
        <v>0</v>
      </c>
      <c r="P64" s="2114">
        <f t="shared" si="27"/>
        <v>0</v>
      </c>
      <c r="Q64" s="2114">
        <f t="shared" si="27"/>
        <v>0</v>
      </c>
      <c r="R64" s="2114">
        <f t="shared" si="27"/>
        <v>0</v>
      </c>
      <c r="S64" s="2114">
        <f t="shared" si="27"/>
        <v>0</v>
      </c>
      <c r="T64" s="2114">
        <f t="shared" si="27"/>
        <v>0</v>
      </c>
      <c r="U64" s="2114">
        <f t="shared" si="27"/>
        <v>0</v>
      </c>
      <c r="V64" s="2114">
        <f t="shared" si="27"/>
        <v>0</v>
      </c>
      <c r="W64" s="2114">
        <f t="shared" si="27"/>
        <v>0</v>
      </c>
      <c r="X64" s="2114">
        <f t="shared" si="27"/>
        <v>0</v>
      </c>
      <c r="Y64" s="2114">
        <f t="shared" si="27"/>
        <v>0</v>
      </c>
      <c r="Z64" s="2114">
        <f t="shared" si="27"/>
        <v>0</v>
      </c>
      <c r="AA64" s="2114">
        <f t="shared" si="27"/>
        <v>0</v>
      </c>
      <c r="AB64" s="2114">
        <f t="shared" si="27"/>
        <v>0</v>
      </c>
      <c r="AC64" s="2114">
        <f t="shared" si="27"/>
        <v>0</v>
      </c>
      <c r="AD64" s="2114">
        <f t="shared" si="27"/>
        <v>0</v>
      </c>
      <c r="AE64" s="2114">
        <f t="shared" si="27"/>
        <v>0</v>
      </c>
      <c r="AF64" s="2114">
        <f t="shared" si="27"/>
        <v>0</v>
      </c>
      <c r="AG64" s="2114">
        <f t="shared" si="27"/>
        <v>0</v>
      </c>
      <c r="AH64" s="2114">
        <f t="shared" si="27"/>
        <v>0</v>
      </c>
      <c r="AI64" s="2114">
        <f t="shared" si="27"/>
        <v>0</v>
      </c>
      <c r="AJ64" s="2115">
        <f t="shared" si="27"/>
        <v>0</v>
      </c>
      <c r="AK64" s="2091">
        <f t="shared" si="13"/>
        <v>0</v>
      </c>
      <c r="AL64" s="2084"/>
      <c r="AM64" s="2084"/>
      <c r="AN64" s="2085">
        <f t="shared" si="26"/>
        <v>26</v>
      </c>
      <c r="AO64" s="2116" t="str">
        <f t="shared" si="26"/>
        <v>ZZZ</v>
      </c>
      <c r="AP64" s="2112">
        <f t="shared" si="14"/>
        <v>0</v>
      </c>
      <c r="AQ64" s="2119"/>
      <c r="AR64" s="2119"/>
      <c r="AS64" s="2120"/>
      <c r="AT64" s="2113">
        <f t="shared" si="29"/>
        <v>0</v>
      </c>
      <c r="AU64" s="2114">
        <f t="shared" si="29"/>
        <v>0</v>
      </c>
      <c r="AV64" s="2114">
        <f t="shared" si="29"/>
        <v>0</v>
      </c>
      <c r="AW64" s="2114">
        <f t="shared" si="29"/>
        <v>0</v>
      </c>
      <c r="AX64" s="2114">
        <f t="shared" si="29"/>
        <v>0</v>
      </c>
      <c r="AY64" s="2114">
        <f t="shared" si="29"/>
        <v>0</v>
      </c>
      <c r="AZ64" s="2114">
        <f t="shared" si="29"/>
        <v>0</v>
      </c>
      <c r="BA64" s="2114">
        <f t="shared" si="29"/>
        <v>0</v>
      </c>
      <c r="BB64" s="2114">
        <f t="shared" si="29"/>
        <v>0</v>
      </c>
      <c r="BC64" s="2114">
        <f t="shared" si="29"/>
        <v>0</v>
      </c>
      <c r="BD64" s="2114">
        <f t="shared" si="29"/>
        <v>0</v>
      </c>
      <c r="BE64" s="2114">
        <f t="shared" si="29"/>
        <v>0</v>
      </c>
      <c r="BF64" s="2114">
        <f t="shared" si="29"/>
        <v>0</v>
      </c>
      <c r="BG64" s="2114">
        <f t="shared" si="29"/>
        <v>0</v>
      </c>
      <c r="BH64" s="2114">
        <f t="shared" si="29"/>
        <v>0</v>
      </c>
      <c r="BI64" s="2114">
        <f t="shared" si="29"/>
        <v>0</v>
      </c>
      <c r="BJ64" s="2114">
        <f t="shared" si="29"/>
        <v>0</v>
      </c>
      <c r="BK64" s="2114">
        <f t="shared" si="29"/>
        <v>0</v>
      </c>
      <c r="BL64" s="2114">
        <f t="shared" si="29"/>
        <v>0</v>
      </c>
      <c r="BM64" s="2114">
        <f t="shared" si="29"/>
        <v>0</v>
      </c>
      <c r="BN64" s="2114">
        <f t="shared" si="29"/>
        <v>0</v>
      </c>
      <c r="BO64" s="2114">
        <f t="shared" si="29"/>
        <v>0</v>
      </c>
      <c r="BP64" s="2114">
        <f t="shared" si="29"/>
        <v>0</v>
      </c>
      <c r="BQ64" s="2114">
        <f t="shared" si="29"/>
        <v>0</v>
      </c>
      <c r="BR64" s="2114">
        <f t="shared" si="29"/>
        <v>0</v>
      </c>
      <c r="BS64" s="2114">
        <f t="shared" si="29"/>
        <v>0</v>
      </c>
      <c r="BT64" s="2114">
        <f t="shared" si="29"/>
        <v>0</v>
      </c>
      <c r="BU64" s="2114">
        <f t="shared" si="29"/>
        <v>0</v>
      </c>
      <c r="BV64" s="2115">
        <f t="shared" si="29"/>
        <v>0</v>
      </c>
      <c r="BW64" s="2091">
        <f t="shared" si="16"/>
        <v>0</v>
      </c>
      <c r="BX64" s="2063"/>
      <c r="BY64" s="2063"/>
    </row>
    <row r="65" spans="1:77" x14ac:dyDescent="0.25">
      <c r="A65" s="2063"/>
      <c r="B65" s="2085">
        <f t="shared" si="24"/>
        <v>27</v>
      </c>
      <c r="C65" s="2116" t="str">
        <f t="shared" si="24"/>
        <v>AA1</v>
      </c>
      <c r="D65" s="2112">
        <f t="shared" si="11"/>
        <v>0</v>
      </c>
      <c r="E65" s="2119"/>
      <c r="F65" s="2119"/>
      <c r="G65" s="2120"/>
      <c r="H65" s="2113">
        <f t="shared" si="27"/>
        <v>0</v>
      </c>
      <c r="I65" s="2114">
        <f t="shared" si="27"/>
        <v>0</v>
      </c>
      <c r="J65" s="2114">
        <f t="shared" si="27"/>
        <v>0</v>
      </c>
      <c r="K65" s="2114">
        <f t="shared" si="27"/>
        <v>0</v>
      </c>
      <c r="L65" s="2114">
        <f t="shared" si="27"/>
        <v>0</v>
      </c>
      <c r="M65" s="2114">
        <f t="shared" si="27"/>
        <v>0</v>
      </c>
      <c r="N65" s="2114">
        <f t="shared" si="27"/>
        <v>0</v>
      </c>
      <c r="O65" s="2114">
        <f t="shared" si="27"/>
        <v>0</v>
      </c>
      <c r="P65" s="2114">
        <f t="shared" si="27"/>
        <v>0</v>
      </c>
      <c r="Q65" s="2114">
        <f t="shared" si="27"/>
        <v>0</v>
      </c>
      <c r="R65" s="2114">
        <f t="shared" si="27"/>
        <v>0</v>
      </c>
      <c r="S65" s="2114">
        <f t="shared" si="27"/>
        <v>0</v>
      </c>
      <c r="T65" s="2114">
        <f t="shared" si="27"/>
        <v>0</v>
      </c>
      <c r="U65" s="2114">
        <f t="shared" si="27"/>
        <v>0</v>
      </c>
      <c r="V65" s="2114">
        <f t="shared" si="27"/>
        <v>0</v>
      </c>
      <c r="W65" s="2114">
        <f t="shared" si="27"/>
        <v>0</v>
      </c>
      <c r="X65" s="2114">
        <f t="shared" si="27"/>
        <v>0</v>
      </c>
      <c r="Y65" s="2114">
        <f t="shared" si="27"/>
        <v>0</v>
      </c>
      <c r="Z65" s="2114">
        <f t="shared" si="27"/>
        <v>0</v>
      </c>
      <c r="AA65" s="2114">
        <f t="shared" si="27"/>
        <v>0</v>
      </c>
      <c r="AB65" s="2114">
        <f t="shared" si="27"/>
        <v>0</v>
      </c>
      <c r="AC65" s="2114">
        <f t="shared" si="27"/>
        <v>0</v>
      </c>
      <c r="AD65" s="2114">
        <f t="shared" si="27"/>
        <v>0</v>
      </c>
      <c r="AE65" s="2114">
        <f t="shared" ref="AE65:AJ65" si="30">IF(AE$4=$G32,$D65*(12-VLOOKUP($E32,$E$79:$F$90,2,0)),IF(AND(AE$4&gt;$G32,AE$4&lt;($G32+$D32)),$D65*12,IF(AE$4=($G32+$D32),$D65*VLOOKUP($E32,$E$79:$F$90,2,0),0)))</f>
        <v>0</v>
      </c>
      <c r="AF65" s="2114">
        <f t="shared" si="30"/>
        <v>0</v>
      </c>
      <c r="AG65" s="2114">
        <f t="shared" si="30"/>
        <v>0</v>
      </c>
      <c r="AH65" s="2114">
        <f t="shared" si="30"/>
        <v>0</v>
      </c>
      <c r="AI65" s="2114">
        <f t="shared" si="30"/>
        <v>0</v>
      </c>
      <c r="AJ65" s="2115">
        <f t="shared" si="30"/>
        <v>0</v>
      </c>
      <c r="AK65" s="2091">
        <f t="shared" si="13"/>
        <v>0</v>
      </c>
      <c r="AL65" s="2084"/>
      <c r="AM65" s="2084"/>
      <c r="AN65" s="2085">
        <f t="shared" si="26"/>
        <v>27</v>
      </c>
      <c r="AO65" s="2116" t="str">
        <f t="shared" si="26"/>
        <v>AA1</v>
      </c>
      <c r="AP65" s="2112">
        <f t="shared" si="14"/>
        <v>0</v>
      </c>
      <c r="AQ65" s="2119"/>
      <c r="AR65" s="2119"/>
      <c r="AS65" s="2120"/>
      <c r="AT65" s="2113">
        <f t="shared" si="29"/>
        <v>0</v>
      </c>
      <c r="AU65" s="2114">
        <f t="shared" si="29"/>
        <v>0</v>
      </c>
      <c r="AV65" s="2114">
        <f t="shared" si="29"/>
        <v>0</v>
      </c>
      <c r="AW65" s="2114">
        <f t="shared" si="29"/>
        <v>0</v>
      </c>
      <c r="AX65" s="2114">
        <f t="shared" si="29"/>
        <v>0</v>
      </c>
      <c r="AY65" s="2114">
        <f t="shared" si="29"/>
        <v>0</v>
      </c>
      <c r="AZ65" s="2114">
        <f t="shared" si="29"/>
        <v>0</v>
      </c>
      <c r="BA65" s="2114">
        <f t="shared" si="29"/>
        <v>0</v>
      </c>
      <c r="BB65" s="2114">
        <f t="shared" si="29"/>
        <v>0</v>
      </c>
      <c r="BC65" s="2114">
        <f t="shared" si="29"/>
        <v>0</v>
      </c>
      <c r="BD65" s="2114">
        <f t="shared" si="29"/>
        <v>0</v>
      </c>
      <c r="BE65" s="2114">
        <f t="shared" si="29"/>
        <v>0</v>
      </c>
      <c r="BF65" s="2114">
        <f t="shared" si="29"/>
        <v>0</v>
      </c>
      <c r="BG65" s="2114">
        <f t="shared" si="29"/>
        <v>0</v>
      </c>
      <c r="BH65" s="2114">
        <f t="shared" si="29"/>
        <v>0</v>
      </c>
      <c r="BI65" s="2114">
        <f t="shared" si="29"/>
        <v>0</v>
      </c>
      <c r="BJ65" s="2114">
        <f t="shared" si="29"/>
        <v>0</v>
      </c>
      <c r="BK65" s="2114">
        <f t="shared" si="29"/>
        <v>0</v>
      </c>
      <c r="BL65" s="2114">
        <f t="shared" si="29"/>
        <v>0</v>
      </c>
      <c r="BM65" s="2114">
        <f t="shared" si="29"/>
        <v>0</v>
      </c>
      <c r="BN65" s="2114">
        <f t="shared" si="29"/>
        <v>0</v>
      </c>
      <c r="BO65" s="2114">
        <f t="shared" si="29"/>
        <v>0</v>
      </c>
      <c r="BP65" s="2114">
        <f t="shared" si="29"/>
        <v>0</v>
      </c>
      <c r="BQ65" s="2114">
        <f t="shared" si="29"/>
        <v>0</v>
      </c>
      <c r="BR65" s="2114">
        <f t="shared" si="29"/>
        <v>0</v>
      </c>
      <c r="BS65" s="2114">
        <f t="shared" si="29"/>
        <v>0</v>
      </c>
      <c r="BT65" s="2114">
        <f t="shared" si="29"/>
        <v>0</v>
      </c>
      <c r="BU65" s="2114">
        <f t="shared" si="29"/>
        <v>0</v>
      </c>
      <c r="BV65" s="2115">
        <f t="shared" si="29"/>
        <v>0</v>
      </c>
      <c r="BW65" s="2091">
        <f t="shared" si="16"/>
        <v>0</v>
      </c>
      <c r="BX65" s="2063"/>
      <c r="BY65" s="2063"/>
    </row>
    <row r="66" spans="1:77" x14ac:dyDescent="0.25">
      <c r="A66" s="2063"/>
      <c r="B66" s="2085">
        <f t="shared" si="24"/>
        <v>28</v>
      </c>
      <c r="C66" s="2116" t="str">
        <f t="shared" si="24"/>
        <v>BB1</v>
      </c>
      <c r="D66" s="2112">
        <f t="shared" si="11"/>
        <v>0</v>
      </c>
      <c r="E66" s="2119"/>
      <c r="F66" s="2119"/>
      <c r="G66" s="2120"/>
      <c r="H66" s="2113">
        <f t="shared" ref="H66:AJ68" si="31">IF(H$4=$G33,$D66*(12-VLOOKUP($E33,$E$79:$F$90,2,0)),IF(AND(H$4&gt;$G33,H$4&lt;($G33+$D33)),$D66*12,IF(H$4=($G33+$D33),$D66*VLOOKUP($E33,$E$79:$F$90,2,0),0)))</f>
        <v>0</v>
      </c>
      <c r="I66" s="2114">
        <f t="shared" si="31"/>
        <v>0</v>
      </c>
      <c r="J66" s="2114">
        <f t="shared" si="31"/>
        <v>0</v>
      </c>
      <c r="K66" s="2114">
        <f t="shared" si="31"/>
        <v>0</v>
      </c>
      <c r="L66" s="2114">
        <f t="shared" si="31"/>
        <v>0</v>
      </c>
      <c r="M66" s="2114">
        <f t="shared" si="31"/>
        <v>0</v>
      </c>
      <c r="N66" s="2114">
        <f t="shared" si="31"/>
        <v>0</v>
      </c>
      <c r="O66" s="2114">
        <f t="shared" si="31"/>
        <v>0</v>
      </c>
      <c r="P66" s="2114">
        <f t="shared" si="31"/>
        <v>0</v>
      </c>
      <c r="Q66" s="2114">
        <f t="shared" si="31"/>
        <v>0</v>
      </c>
      <c r="R66" s="2114">
        <f t="shared" si="31"/>
        <v>0</v>
      </c>
      <c r="S66" s="2114">
        <f t="shared" si="31"/>
        <v>0</v>
      </c>
      <c r="T66" s="2114">
        <f t="shared" si="31"/>
        <v>0</v>
      </c>
      <c r="U66" s="2114">
        <f t="shared" si="31"/>
        <v>0</v>
      </c>
      <c r="V66" s="2114">
        <f t="shared" si="31"/>
        <v>0</v>
      </c>
      <c r="W66" s="2114">
        <f t="shared" si="31"/>
        <v>0</v>
      </c>
      <c r="X66" s="2114">
        <f t="shared" si="31"/>
        <v>0</v>
      </c>
      <c r="Y66" s="2114">
        <f t="shared" si="31"/>
        <v>0</v>
      </c>
      <c r="Z66" s="2114">
        <f t="shared" si="31"/>
        <v>0</v>
      </c>
      <c r="AA66" s="2114">
        <f t="shared" si="31"/>
        <v>0</v>
      </c>
      <c r="AB66" s="2114">
        <f t="shared" si="31"/>
        <v>0</v>
      </c>
      <c r="AC66" s="2114">
        <f t="shared" si="31"/>
        <v>0</v>
      </c>
      <c r="AD66" s="2114">
        <f t="shared" si="31"/>
        <v>0</v>
      </c>
      <c r="AE66" s="2114">
        <f t="shared" si="31"/>
        <v>0</v>
      </c>
      <c r="AF66" s="2114">
        <f t="shared" si="31"/>
        <v>0</v>
      </c>
      <c r="AG66" s="2114">
        <f t="shared" si="31"/>
        <v>0</v>
      </c>
      <c r="AH66" s="2114">
        <f t="shared" si="31"/>
        <v>0</v>
      </c>
      <c r="AI66" s="2114">
        <f t="shared" si="31"/>
        <v>0</v>
      </c>
      <c r="AJ66" s="2115">
        <f t="shared" si="31"/>
        <v>0</v>
      </c>
      <c r="AK66" s="2091">
        <f t="shared" si="13"/>
        <v>0</v>
      </c>
      <c r="AL66" s="2084"/>
      <c r="AM66" s="2084"/>
      <c r="AN66" s="2085">
        <f t="shared" si="26"/>
        <v>28</v>
      </c>
      <c r="AO66" s="2116" t="str">
        <f t="shared" si="26"/>
        <v>BB1</v>
      </c>
      <c r="AP66" s="2112">
        <f t="shared" si="14"/>
        <v>0</v>
      </c>
      <c r="AQ66" s="2119"/>
      <c r="AR66" s="2119"/>
      <c r="AS66" s="2120"/>
      <c r="AT66" s="2113">
        <f t="shared" si="29"/>
        <v>0</v>
      </c>
      <c r="AU66" s="2114">
        <f t="shared" si="29"/>
        <v>0</v>
      </c>
      <c r="AV66" s="2114">
        <f t="shared" si="29"/>
        <v>0</v>
      </c>
      <c r="AW66" s="2114">
        <f t="shared" si="29"/>
        <v>0</v>
      </c>
      <c r="AX66" s="2114">
        <f t="shared" si="29"/>
        <v>0</v>
      </c>
      <c r="AY66" s="2114">
        <f t="shared" si="29"/>
        <v>0</v>
      </c>
      <c r="AZ66" s="2114">
        <f t="shared" si="29"/>
        <v>0</v>
      </c>
      <c r="BA66" s="2114">
        <f t="shared" si="29"/>
        <v>0</v>
      </c>
      <c r="BB66" s="2114">
        <f t="shared" si="29"/>
        <v>0</v>
      </c>
      <c r="BC66" s="2114">
        <f t="shared" si="29"/>
        <v>0</v>
      </c>
      <c r="BD66" s="2114">
        <f t="shared" si="29"/>
        <v>0</v>
      </c>
      <c r="BE66" s="2114">
        <f t="shared" si="29"/>
        <v>0</v>
      </c>
      <c r="BF66" s="2114">
        <f t="shared" si="29"/>
        <v>0</v>
      </c>
      <c r="BG66" s="2114">
        <f t="shared" si="29"/>
        <v>0</v>
      </c>
      <c r="BH66" s="2114">
        <f t="shared" si="29"/>
        <v>0</v>
      </c>
      <c r="BI66" s="2114">
        <f t="shared" si="29"/>
        <v>0</v>
      </c>
      <c r="BJ66" s="2114">
        <f t="shared" si="29"/>
        <v>0</v>
      </c>
      <c r="BK66" s="2114">
        <f t="shared" si="29"/>
        <v>0</v>
      </c>
      <c r="BL66" s="2114">
        <f t="shared" si="29"/>
        <v>0</v>
      </c>
      <c r="BM66" s="2114">
        <f t="shared" si="29"/>
        <v>0</v>
      </c>
      <c r="BN66" s="2114">
        <f t="shared" si="29"/>
        <v>0</v>
      </c>
      <c r="BO66" s="2114">
        <f t="shared" si="29"/>
        <v>0</v>
      </c>
      <c r="BP66" s="2114">
        <f t="shared" si="29"/>
        <v>0</v>
      </c>
      <c r="BQ66" s="2114">
        <f t="shared" ref="BQ66:BV66" si="32">IF(BQ$4=$AS33,$AP66*(12-VLOOKUP($AQ33,$E$79:$F$90,2,0)),IF(AND(BQ$4&gt;$AS33,BQ$4&lt;($AS33+$AP33)),$AP66*12,IF(BQ$4=($AS33+$AP33),$AP66*VLOOKUP($AQ33,$E$79:$F$90,2,0),0)))</f>
        <v>0</v>
      </c>
      <c r="BR66" s="2114">
        <f t="shared" si="32"/>
        <v>0</v>
      </c>
      <c r="BS66" s="2114">
        <f t="shared" si="32"/>
        <v>0</v>
      </c>
      <c r="BT66" s="2114">
        <f t="shared" si="32"/>
        <v>0</v>
      </c>
      <c r="BU66" s="2114">
        <f t="shared" si="32"/>
        <v>0</v>
      </c>
      <c r="BV66" s="2115">
        <f t="shared" si="32"/>
        <v>0</v>
      </c>
      <c r="BW66" s="2091">
        <f t="shared" si="16"/>
        <v>0</v>
      </c>
      <c r="BX66" s="2063"/>
      <c r="BY66" s="2063"/>
    </row>
    <row r="67" spans="1:77" x14ac:dyDescent="0.25">
      <c r="A67" s="2063"/>
      <c r="B67" s="2085">
        <f t="shared" si="24"/>
        <v>29</v>
      </c>
      <c r="C67" s="2116" t="str">
        <f t="shared" si="24"/>
        <v>CC1</v>
      </c>
      <c r="D67" s="2112">
        <f t="shared" si="11"/>
        <v>0</v>
      </c>
      <c r="E67" s="2119"/>
      <c r="F67" s="2119"/>
      <c r="G67" s="2118"/>
      <c r="H67" s="2113">
        <f t="shared" si="31"/>
        <v>0</v>
      </c>
      <c r="I67" s="2114">
        <f t="shared" si="31"/>
        <v>0</v>
      </c>
      <c r="J67" s="2114">
        <f t="shared" si="31"/>
        <v>0</v>
      </c>
      <c r="K67" s="2114">
        <f t="shared" si="31"/>
        <v>0</v>
      </c>
      <c r="L67" s="2114">
        <f t="shared" si="31"/>
        <v>0</v>
      </c>
      <c r="M67" s="2114">
        <f t="shared" si="31"/>
        <v>0</v>
      </c>
      <c r="N67" s="2114">
        <f t="shared" si="31"/>
        <v>0</v>
      </c>
      <c r="O67" s="2114">
        <f t="shared" si="31"/>
        <v>0</v>
      </c>
      <c r="P67" s="2114">
        <f t="shared" si="31"/>
        <v>0</v>
      </c>
      <c r="Q67" s="2114">
        <f t="shared" si="31"/>
        <v>0</v>
      </c>
      <c r="R67" s="2114">
        <f t="shared" si="31"/>
        <v>0</v>
      </c>
      <c r="S67" s="2114">
        <f t="shared" si="31"/>
        <v>0</v>
      </c>
      <c r="T67" s="2114">
        <f t="shared" si="31"/>
        <v>0</v>
      </c>
      <c r="U67" s="2114">
        <f t="shared" si="31"/>
        <v>0</v>
      </c>
      <c r="V67" s="2114">
        <f t="shared" si="31"/>
        <v>0</v>
      </c>
      <c r="W67" s="2114">
        <f t="shared" si="31"/>
        <v>0</v>
      </c>
      <c r="X67" s="2114">
        <f t="shared" si="31"/>
        <v>0</v>
      </c>
      <c r="Y67" s="2114">
        <f t="shared" si="31"/>
        <v>0</v>
      </c>
      <c r="Z67" s="2114">
        <f t="shared" si="31"/>
        <v>0</v>
      </c>
      <c r="AA67" s="2114">
        <f t="shared" si="31"/>
        <v>0</v>
      </c>
      <c r="AB67" s="2114">
        <f t="shared" si="31"/>
        <v>0</v>
      </c>
      <c r="AC67" s="2114">
        <f t="shared" si="31"/>
        <v>0</v>
      </c>
      <c r="AD67" s="2114">
        <f t="shared" si="31"/>
        <v>0</v>
      </c>
      <c r="AE67" s="2114">
        <f t="shared" si="31"/>
        <v>0</v>
      </c>
      <c r="AF67" s="2114">
        <f t="shared" si="31"/>
        <v>0</v>
      </c>
      <c r="AG67" s="2114">
        <f t="shared" si="31"/>
        <v>0</v>
      </c>
      <c r="AH67" s="2114">
        <f t="shared" si="31"/>
        <v>0</v>
      </c>
      <c r="AI67" s="2114">
        <f t="shared" si="31"/>
        <v>0</v>
      </c>
      <c r="AJ67" s="2115">
        <f t="shared" si="31"/>
        <v>0</v>
      </c>
      <c r="AK67" s="2091">
        <f t="shared" si="13"/>
        <v>0</v>
      </c>
      <c r="AL67" s="2063"/>
      <c r="AM67" s="2084"/>
      <c r="AN67" s="2085">
        <f t="shared" si="26"/>
        <v>29</v>
      </c>
      <c r="AO67" s="2116" t="str">
        <f t="shared" si="26"/>
        <v>CC1</v>
      </c>
      <c r="AP67" s="2112">
        <f t="shared" si="14"/>
        <v>0</v>
      </c>
      <c r="AQ67" s="2119"/>
      <c r="AR67" s="2119"/>
      <c r="AS67" s="2118"/>
      <c r="AT67" s="2113">
        <f t="shared" ref="AT67:BV68" si="33">IF(AT$4=$AS34,$AP67*(12-VLOOKUP($AQ34,$E$79:$F$90,2,0)),IF(AND(AT$4&gt;$AS34,AT$4&lt;($AS34+$AP34)),$AP67*12,IF(AT$4=($AS34+$AP34),$AP67*VLOOKUP($AQ34,$E$79:$F$90,2,0),0)))</f>
        <v>0</v>
      </c>
      <c r="AU67" s="2114">
        <f t="shared" si="33"/>
        <v>0</v>
      </c>
      <c r="AV67" s="2114">
        <f t="shared" si="33"/>
        <v>0</v>
      </c>
      <c r="AW67" s="2114">
        <f t="shared" si="33"/>
        <v>0</v>
      </c>
      <c r="AX67" s="2114">
        <f t="shared" si="33"/>
        <v>0</v>
      </c>
      <c r="AY67" s="2114">
        <f t="shared" si="33"/>
        <v>0</v>
      </c>
      <c r="AZ67" s="2114">
        <f t="shared" si="33"/>
        <v>0</v>
      </c>
      <c r="BA67" s="2114">
        <f t="shared" si="33"/>
        <v>0</v>
      </c>
      <c r="BB67" s="2114">
        <f t="shared" si="33"/>
        <v>0</v>
      </c>
      <c r="BC67" s="2114">
        <f t="shared" si="33"/>
        <v>0</v>
      </c>
      <c r="BD67" s="2114">
        <f t="shared" si="33"/>
        <v>0</v>
      </c>
      <c r="BE67" s="2114">
        <f t="shared" si="33"/>
        <v>0</v>
      </c>
      <c r="BF67" s="2114">
        <f t="shared" si="33"/>
        <v>0</v>
      </c>
      <c r="BG67" s="2114">
        <f t="shared" si="33"/>
        <v>0</v>
      </c>
      <c r="BH67" s="2114">
        <f t="shared" si="33"/>
        <v>0</v>
      </c>
      <c r="BI67" s="2114">
        <f t="shared" si="33"/>
        <v>0</v>
      </c>
      <c r="BJ67" s="2114">
        <f t="shared" si="33"/>
        <v>0</v>
      </c>
      <c r="BK67" s="2114">
        <f t="shared" si="33"/>
        <v>0</v>
      </c>
      <c r="BL67" s="2114">
        <f t="shared" si="33"/>
        <v>0</v>
      </c>
      <c r="BM67" s="2114">
        <f t="shared" si="33"/>
        <v>0</v>
      </c>
      <c r="BN67" s="2114">
        <f t="shared" si="33"/>
        <v>0</v>
      </c>
      <c r="BO67" s="2114">
        <f t="shared" si="33"/>
        <v>0</v>
      </c>
      <c r="BP67" s="2114">
        <f t="shared" si="33"/>
        <v>0</v>
      </c>
      <c r="BQ67" s="2114">
        <f t="shared" si="33"/>
        <v>0</v>
      </c>
      <c r="BR67" s="2114">
        <f t="shared" si="33"/>
        <v>0</v>
      </c>
      <c r="BS67" s="2114">
        <f t="shared" si="33"/>
        <v>0</v>
      </c>
      <c r="BT67" s="2114">
        <f t="shared" si="33"/>
        <v>0</v>
      </c>
      <c r="BU67" s="2114">
        <f t="shared" si="33"/>
        <v>0</v>
      </c>
      <c r="BV67" s="2115">
        <f t="shared" si="33"/>
        <v>0</v>
      </c>
      <c r="BW67" s="2091">
        <f t="shared" si="16"/>
        <v>0</v>
      </c>
      <c r="BX67" s="2063"/>
      <c r="BY67" s="2063"/>
    </row>
    <row r="68" spans="1:77" ht="14.4" thickBot="1" x14ac:dyDescent="0.3">
      <c r="A68" s="2063"/>
      <c r="B68" s="2121">
        <f t="shared" si="24"/>
        <v>30</v>
      </c>
      <c r="C68" s="2122" t="str">
        <f t="shared" si="24"/>
        <v>DD1</v>
      </c>
      <c r="D68" s="2123">
        <f t="shared" si="11"/>
        <v>0</v>
      </c>
      <c r="E68" s="2117"/>
      <c r="F68" s="2117"/>
      <c r="G68" s="2118"/>
      <c r="H68" s="2124">
        <f t="shared" si="31"/>
        <v>0</v>
      </c>
      <c r="I68" s="2125">
        <f t="shared" si="31"/>
        <v>0</v>
      </c>
      <c r="J68" s="2125">
        <f t="shared" si="31"/>
        <v>0</v>
      </c>
      <c r="K68" s="2125">
        <f t="shared" si="31"/>
        <v>0</v>
      </c>
      <c r="L68" s="2125">
        <f t="shared" si="31"/>
        <v>0</v>
      </c>
      <c r="M68" s="2125">
        <f t="shared" si="31"/>
        <v>0</v>
      </c>
      <c r="N68" s="2125">
        <f t="shared" si="31"/>
        <v>0</v>
      </c>
      <c r="O68" s="2125">
        <f t="shared" si="31"/>
        <v>0</v>
      </c>
      <c r="P68" s="2125">
        <f t="shared" si="31"/>
        <v>0</v>
      </c>
      <c r="Q68" s="2125">
        <f t="shared" si="31"/>
        <v>0</v>
      </c>
      <c r="R68" s="2125">
        <f t="shared" si="31"/>
        <v>0</v>
      </c>
      <c r="S68" s="2125">
        <f t="shared" si="31"/>
        <v>0</v>
      </c>
      <c r="T68" s="2125">
        <f t="shared" si="31"/>
        <v>0</v>
      </c>
      <c r="U68" s="2125">
        <f t="shared" si="31"/>
        <v>0</v>
      </c>
      <c r="V68" s="2125">
        <f t="shared" si="31"/>
        <v>0</v>
      </c>
      <c r="W68" s="2125">
        <f t="shared" si="31"/>
        <v>0</v>
      </c>
      <c r="X68" s="2125">
        <f t="shared" si="31"/>
        <v>0</v>
      </c>
      <c r="Y68" s="2125">
        <f t="shared" si="31"/>
        <v>0</v>
      </c>
      <c r="Z68" s="2125">
        <f t="shared" si="31"/>
        <v>0</v>
      </c>
      <c r="AA68" s="2125">
        <f t="shared" si="31"/>
        <v>0</v>
      </c>
      <c r="AB68" s="2125">
        <f t="shared" si="31"/>
        <v>0</v>
      </c>
      <c r="AC68" s="2125">
        <f t="shared" si="31"/>
        <v>0</v>
      </c>
      <c r="AD68" s="2125">
        <f t="shared" si="31"/>
        <v>0</v>
      </c>
      <c r="AE68" s="2125">
        <f t="shared" si="31"/>
        <v>0</v>
      </c>
      <c r="AF68" s="2125">
        <f t="shared" si="31"/>
        <v>0</v>
      </c>
      <c r="AG68" s="2125">
        <f t="shared" si="31"/>
        <v>0</v>
      </c>
      <c r="AH68" s="2125">
        <f t="shared" si="31"/>
        <v>0</v>
      </c>
      <c r="AI68" s="2125">
        <f t="shared" si="31"/>
        <v>0</v>
      </c>
      <c r="AJ68" s="2126">
        <f t="shared" si="31"/>
        <v>0</v>
      </c>
      <c r="AK68" s="2127">
        <f t="shared" si="13"/>
        <v>0</v>
      </c>
      <c r="AL68" s="2063"/>
      <c r="AM68" s="2084"/>
      <c r="AN68" s="2121">
        <f t="shared" si="26"/>
        <v>30</v>
      </c>
      <c r="AO68" s="2122" t="str">
        <f t="shared" si="26"/>
        <v>DD1</v>
      </c>
      <c r="AP68" s="2123">
        <f t="shared" si="14"/>
        <v>0</v>
      </c>
      <c r="AQ68" s="2117"/>
      <c r="AR68" s="2117"/>
      <c r="AS68" s="2118"/>
      <c r="AT68" s="2124">
        <f t="shared" si="33"/>
        <v>0</v>
      </c>
      <c r="AU68" s="2125">
        <f t="shared" si="33"/>
        <v>0</v>
      </c>
      <c r="AV68" s="2125">
        <f t="shared" si="33"/>
        <v>0</v>
      </c>
      <c r="AW68" s="2125">
        <f t="shared" si="33"/>
        <v>0</v>
      </c>
      <c r="AX68" s="2125">
        <f t="shared" si="33"/>
        <v>0</v>
      </c>
      <c r="AY68" s="2125">
        <f t="shared" si="33"/>
        <v>0</v>
      </c>
      <c r="AZ68" s="2125">
        <f t="shared" si="33"/>
        <v>0</v>
      </c>
      <c r="BA68" s="2125">
        <f t="shared" si="33"/>
        <v>0</v>
      </c>
      <c r="BB68" s="2125">
        <f t="shared" si="33"/>
        <v>0</v>
      </c>
      <c r="BC68" s="2125">
        <f t="shared" si="33"/>
        <v>0</v>
      </c>
      <c r="BD68" s="2125">
        <f t="shared" si="33"/>
        <v>0</v>
      </c>
      <c r="BE68" s="2125">
        <f t="shared" si="33"/>
        <v>0</v>
      </c>
      <c r="BF68" s="2125">
        <f t="shared" si="33"/>
        <v>0</v>
      </c>
      <c r="BG68" s="2125">
        <f t="shared" si="33"/>
        <v>0</v>
      </c>
      <c r="BH68" s="2125">
        <f t="shared" si="33"/>
        <v>0</v>
      </c>
      <c r="BI68" s="2125">
        <f t="shared" si="33"/>
        <v>0</v>
      </c>
      <c r="BJ68" s="2125">
        <f t="shared" si="33"/>
        <v>0</v>
      </c>
      <c r="BK68" s="2125">
        <f t="shared" si="33"/>
        <v>0</v>
      </c>
      <c r="BL68" s="2125">
        <f t="shared" si="33"/>
        <v>0</v>
      </c>
      <c r="BM68" s="2125">
        <f t="shared" si="33"/>
        <v>0</v>
      </c>
      <c r="BN68" s="2125">
        <f t="shared" si="33"/>
        <v>0</v>
      </c>
      <c r="BO68" s="2125">
        <f t="shared" si="33"/>
        <v>0</v>
      </c>
      <c r="BP68" s="2125">
        <f t="shared" si="33"/>
        <v>0</v>
      </c>
      <c r="BQ68" s="2125">
        <f t="shared" si="33"/>
        <v>0</v>
      </c>
      <c r="BR68" s="2125">
        <f t="shared" si="33"/>
        <v>0</v>
      </c>
      <c r="BS68" s="2125">
        <f t="shared" si="33"/>
        <v>0</v>
      </c>
      <c r="BT68" s="2125">
        <f t="shared" si="33"/>
        <v>0</v>
      </c>
      <c r="BU68" s="2125">
        <f t="shared" si="33"/>
        <v>0</v>
      </c>
      <c r="BV68" s="2126">
        <f t="shared" si="33"/>
        <v>0</v>
      </c>
      <c r="BW68" s="2127">
        <f t="shared" si="16"/>
        <v>0</v>
      </c>
      <c r="BX68" s="2063"/>
      <c r="BY68" s="2063"/>
    </row>
    <row r="69" spans="1:77" ht="14.4" thickBot="1" x14ac:dyDescent="0.3">
      <c r="A69" s="2063"/>
      <c r="B69" s="2128"/>
      <c r="C69" s="2095" t="s">
        <v>1567</v>
      </c>
      <c r="D69" s="2095"/>
      <c r="E69" s="2095"/>
      <c r="F69" s="2095"/>
      <c r="G69" s="2129"/>
      <c r="H69" s="2097">
        <f>SUM(H39:H68)</f>
        <v>0</v>
      </c>
      <c r="I69" s="2098">
        <f t="shared" ref="I69:AK69" si="34">SUM(I39:I68)</f>
        <v>0</v>
      </c>
      <c r="J69" s="2098">
        <f t="shared" si="34"/>
        <v>0</v>
      </c>
      <c r="K69" s="2098">
        <f t="shared" si="34"/>
        <v>0</v>
      </c>
      <c r="L69" s="2098">
        <f t="shared" si="34"/>
        <v>0</v>
      </c>
      <c r="M69" s="2098">
        <f t="shared" si="34"/>
        <v>0</v>
      </c>
      <c r="N69" s="2098">
        <f t="shared" si="34"/>
        <v>0</v>
      </c>
      <c r="O69" s="2098">
        <f t="shared" si="34"/>
        <v>0</v>
      </c>
      <c r="P69" s="2098">
        <f t="shared" si="34"/>
        <v>0</v>
      </c>
      <c r="Q69" s="2098">
        <f t="shared" si="34"/>
        <v>0</v>
      </c>
      <c r="R69" s="2098">
        <f t="shared" si="34"/>
        <v>0</v>
      </c>
      <c r="S69" s="2098">
        <f t="shared" si="34"/>
        <v>0</v>
      </c>
      <c r="T69" s="2098">
        <f t="shared" si="34"/>
        <v>0</v>
      </c>
      <c r="U69" s="2098">
        <f t="shared" si="34"/>
        <v>0</v>
      </c>
      <c r="V69" s="2098">
        <f t="shared" si="34"/>
        <v>0</v>
      </c>
      <c r="W69" s="2098">
        <f t="shared" si="34"/>
        <v>0</v>
      </c>
      <c r="X69" s="2098">
        <f t="shared" si="34"/>
        <v>0</v>
      </c>
      <c r="Y69" s="2098">
        <f t="shared" si="34"/>
        <v>0</v>
      </c>
      <c r="Z69" s="2098">
        <f t="shared" si="34"/>
        <v>0</v>
      </c>
      <c r="AA69" s="2098">
        <f t="shared" si="34"/>
        <v>0</v>
      </c>
      <c r="AB69" s="2098">
        <f t="shared" si="34"/>
        <v>0</v>
      </c>
      <c r="AC69" s="2098">
        <f t="shared" si="34"/>
        <v>0</v>
      </c>
      <c r="AD69" s="2098">
        <f t="shared" si="34"/>
        <v>0</v>
      </c>
      <c r="AE69" s="2098">
        <f t="shared" si="34"/>
        <v>0</v>
      </c>
      <c r="AF69" s="2098">
        <f t="shared" si="34"/>
        <v>0</v>
      </c>
      <c r="AG69" s="2098">
        <f t="shared" si="34"/>
        <v>0</v>
      </c>
      <c r="AH69" s="2098">
        <f t="shared" si="34"/>
        <v>0</v>
      </c>
      <c r="AI69" s="2098">
        <f t="shared" si="34"/>
        <v>0</v>
      </c>
      <c r="AJ69" s="2098">
        <f t="shared" si="34"/>
        <v>0</v>
      </c>
      <c r="AK69" s="2099">
        <f t="shared" si="34"/>
        <v>0</v>
      </c>
      <c r="AL69" s="2063"/>
      <c r="AM69" s="2063"/>
      <c r="AN69" s="2128"/>
      <c r="AO69" s="2095" t="s">
        <v>1567</v>
      </c>
      <c r="AP69" s="2095"/>
      <c r="AQ69" s="2095"/>
      <c r="AR69" s="2095"/>
      <c r="AS69" s="2129"/>
      <c r="AT69" s="2097">
        <f>SUM(AT39:AT68)</f>
        <v>0</v>
      </c>
      <c r="AU69" s="2098">
        <f t="shared" ref="AU69:BW69" si="35">SUM(AU39:AU68)</f>
        <v>0</v>
      </c>
      <c r="AV69" s="2098">
        <f t="shared" si="35"/>
        <v>0</v>
      </c>
      <c r="AW69" s="2098">
        <f t="shared" si="35"/>
        <v>0</v>
      </c>
      <c r="AX69" s="2098">
        <f t="shared" si="35"/>
        <v>0</v>
      </c>
      <c r="AY69" s="2098">
        <f t="shared" si="35"/>
        <v>0</v>
      </c>
      <c r="AZ69" s="2098">
        <f t="shared" si="35"/>
        <v>0</v>
      </c>
      <c r="BA69" s="2098">
        <f t="shared" si="35"/>
        <v>0</v>
      </c>
      <c r="BB69" s="2098">
        <f t="shared" si="35"/>
        <v>0</v>
      </c>
      <c r="BC69" s="2098">
        <f t="shared" si="35"/>
        <v>0</v>
      </c>
      <c r="BD69" s="2098">
        <f t="shared" si="35"/>
        <v>0</v>
      </c>
      <c r="BE69" s="2098">
        <f t="shared" si="35"/>
        <v>0</v>
      </c>
      <c r="BF69" s="2098">
        <f t="shared" si="35"/>
        <v>0</v>
      </c>
      <c r="BG69" s="2098">
        <f t="shared" si="35"/>
        <v>0</v>
      </c>
      <c r="BH69" s="2098">
        <f t="shared" si="35"/>
        <v>0</v>
      </c>
      <c r="BI69" s="2098">
        <f t="shared" si="35"/>
        <v>0</v>
      </c>
      <c r="BJ69" s="2098">
        <f t="shared" si="35"/>
        <v>0</v>
      </c>
      <c r="BK69" s="2098">
        <f t="shared" si="35"/>
        <v>0</v>
      </c>
      <c r="BL69" s="2098">
        <f t="shared" si="35"/>
        <v>0</v>
      </c>
      <c r="BM69" s="2098">
        <f t="shared" si="35"/>
        <v>0</v>
      </c>
      <c r="BN69" s="2098">
        <f t="shared" si="35"/>
        <v>0</v>
      </c>
      <c r="BO69" s="2098">
        <f t="shared" si="35"/>
        <v>0</v>
      </c>
      <c r="BP69" s="2098">
        <f t="shared" si="35"/>
        <v>0</v>
      </c>
      <c r="BQ69" s="2098">
        <f t="shared" si="35"/>
        <v>0</v>
      </c>
      <c r="BR69" s="2098">
        <f t="shared" si="35"/>
        <v>0</v>
      </c>
      <c r="BS69" s="2098">
        <f t="shared" si="35"/>
        <v>0</v>
      </c>
      <c r="BT69" s="2098">
        <f t="shared" si="35"/>
        <v>0</v>
      </c>
      <c r="BU69" s="2098">
        <f t="shared" si="35"/>
        <v>0</v>
      </c>
      <c r="BV69" s="2098">
        <f t="shared" si="35"/>
        <v>0</v>
      </c>
      <c r="BW69" s="2099">
        <f t="shared" si="35"/>
        <v>0</v>
      </c>
      <c r="BX69" s="2063"/>
      <c r="BY69" s="2063"/>
    </row>
    <row r="70" spans="1:77" x14ac:dyDescent="0.25">
      <c r="A70" s="2063"/>
      <c r="B70" s="2063"/>
      <c r="C70" s="2063"/>
      <c r="D70" s="2063"/>
      <c r="E70" s="2084"/>
      <c r="F70" s="2084"/>
      <c r="G70" s="2100"/>
      <c r="H70" s="2063"/>
      <c r="I70" s="2063"/>
      <c r="J70" s="2063"/>
      <c r="K70" s="2063"/>
      <c r="L70" s="2063"/>
      <c r="M70" s="2063"/>
      <c r="N70" s="2063"/>
      <c r="O70" s="2063"/>
      <c r="P70" s="2063"/>
      <c r="Q70" s="2063"/>
      <c r="R70" s="2063"/>
      <c r="S70" s="2063"/>
      <c r="T70" s="2063"/>
      <c r="U70" s="2063"/>
      <c r="V70" s="2063"/>
      <c r="W70" s="2063"/>
      <c r="X70" s="2063"/>
      <c r="Y70" s="2063"/>
      <c r="Z70" s="2063"/>
      <c r="AA70" s="2063"/>
      <c r="AB70" s="2063"/>
      <c r="AC70" s="2063"/>
      <c r="AD70" s="2063"/>
      <c r="AE70" s="2063"/>
      <c r="AF70" s="2063"/>
      <c r="AG70" s="2063"/>
      <c r="AH70" s="2063"/>
      <c r="AI70" s="2063"/>
      <c r="AJ70" s="2063"/>
      <c r="AK70" s="2063"/>
      <c r="AL70" s="2063"/>
      <c r="AM70" s="2063"/>
      <c r="AN70" s="2063"/>
      <c r="AO70" s="2063"/>
      <c r="AP70" s="2063"/>
      <c r="AQ70" s="2063"/>
      <c r="AR70" s="2063"/>
      <c r="AS70" s="2063"/>
      <c r="AT70" s="2063"/>
      <c r="AU70" s="2063"/>
      <c r="AV70" s="2063"/>
      <c r="AW70" s="2063"/>
      <c r="AX70" s="2063"/>
      <c r="AY70" s="2063"/>
      <c r="AZ70" s="2063"/>
      <c r="BA70" s="2063"/>
      <c r="BB70" s="2063"/>
      <c r="BC70" s="2063"/>
      <c r="BD70" s="2063"/>
      <c r="BE70" s="2063"/>
      <c r="BF70" s="2063"/>
      <c r="BG70" s="2063"/>
      <c r="BH70" s="2063"/>
      <c r="BI70" s="2063"/>
      <c r="BJ70" s="2063"/>
      <c r="BK70" s="2063"/>
      <c r="BL70" s="2063"/>
      <c r="BM70" s="2063"/>
      <c r="BN70" s="2063"/>
      <c r="BO70" s="2063"/>
      <c r="BP70" s="2063"/>
      <c r="BQ70" s="2063"/>
      <c r="BR70" s="2063"/>
      <c r="BS70" s="2063"/>
      <c r="BT70" s="2063"/>
      <c r="BU70" s="2063"/>
      <c r="BV70" s="2063"/>
      <c r="BW70" s="2063"/>
      <c r="BX70" s="2063"/>
      <c r="BY70" s="2063"/>
    </row>
    <row r="71" spans="1:77" x14ac:dyDescent="0.25">
      <c r="A71" s="2063"/>
      <c r="B71" s="2063"/>
      <c r="C71" s="2063"/>
      <c r="D71" s="2063"/>
      <c r="E71" s="2063"/>
      <c r="F71" s="2063"/>
      <c r="G71" s="2100"/>
      <c r="H71" s="2063"/>
      <c r="I71" s="2063"/>
      <c r="J71" s="2063"/>
      <c r="K71" s="2063"/>
      <c r="L71" s="2063"/>
      <c r="M71" s="2063"/>
      <c r="N71" s="2063"/>
      <c r="O71" s="2063"/>
      <c r="P71" s="2063"/>
      <c r="Q71" s="2063"/>
      <c r="R71" s="2063"/>
      <c r="S71" s="2063"/>
      <c r="T71" s="2063"/>
      <c r="U71" s="2063"/>
      <c r="V71" s="2063"/>
      <c r="W71" s="2063"/>
      <c r="X71" s="2063"/>
      <c r="Y71" s="2063"/>
      <c r="Z71" s="2063"/>
      <c r="AA71" s="2063"/>
      <c r="AB71" s="2063"/>
      <c r="AC71" s="2063"/>
      <c r="AD71" s="2063"/>
      <c r="AE71" s="2063"/>
      <c r="AF71" s="2063"/>
      <c r="AG71" s="2063"/>
      <c r="AH71" s="2063"/>
      <c r="AI71" s="2063"/>
      <c r="AJ71" s="2063"/>
      <c r="AK71" s="2063"/>
      <c r="AL71" s="2063"/>
      <c r="AM71" s="2063"/>
      <c r="AN71" s="2063"/>
      <c r="AO71" s="2063"/>
      <c r="AP71" s="2063"/>
      <c r="AQ71" s="2063"/>
      <c r="AR71" s="2063"/>
      <c r="AS71" s="2063"/>
      <c r="AT71" s="2063"/>
      <c r="AU71" s="2063"/>
      <c r="AV71" s="2063"/>
      <c r="AW71" s="2063"/>
      <c r="AX71" s="2063"/>
      <c r="AY71" s="2063"/>
      <c r="AZ71" s="2063"/>
      <c r="BA71" s="2063"/>
      <c r="BB71" s="2063"/>
      <c r="BC71" s="2063"/>
      <c r="BD71" s="2063"/>
      <c r="BE71" s="2063"/>
      <c r="BF71" s="2063"/>
      <c r="BG71" s="2063"/>
      <c r="BH71" s="2063"/>
      <c r="BI71" s="2063"/>
      <c r="BJ71" s="2063"/>
      <c r="BK71" s="2063"/>
      <c r="BL71" s="2063"/>
      <c r="BM71" s="2063"/>
      <c r="BN71" s="2063"/>
      <c r="BO71" s="2063"/>
      <c r="BP71" s="2063"/>
      <c r="BQ71" s="2063"/>
      <c r="BR71" s="2063"/>
      <c r="BS71" s="2063"/>
      <c r="BT71" s="2063"/>
      <c r="BU71" s="2063"/>
      <c r="BV71" s="2063"/>
      <c r="BW71" s="2063"/>
      <c r="BX71" s="2063"/>
      <c r="BY71" s="2063"/>
    </row>
    <row r="72" spans="1:77" x14ac:dyDescent="0.25">
      <c r="A72" s="2063"/>
      <c r="B72" s="2063"/>
      <c r="C72" s="2063"/>
      <c r="D72" s="2063"/>
      <c r="E72" s="2063"/>
      <c r="F72" s="2063"/>
      <c r="G72" s="2100"/>
      <c r="H72" s="2063"/>
      <c r="I72" s="2063"/>
      <c r="J72" s="2063"/>
      <c r="K72" s="2063"/>
      <c r="L72" s="2063"/>
      <c r="M72" s="2063"/>
      <c r="N72" s="2063"/>
      <c r="O72" s="2063"/>
      <c r="P72" s="2063"/>
      <c r="Q72" s="2063"/>
      <c r="R72" s="2063"/>
      <c r="S72" s="2063"/>
      <c r="T72" s="2063"/>
      <c r="U72" s="2063"/>
      <c r="V72" s="2063"/>
      <c r="W72" s="2063"/>
      <c r="X72" s="2063"/>
      <c r="Y72" s="2063"/>
      <c r="Z72" s="2063"/>
      <c r="AA72" s="2063"/>
      <c r="AB72" s="2063"/>
      <c r="AC72" s="2063"/>
      <c r="AD72" s="2063"/>
      <c r="AE72" s="2063"/>
      <c r="AF72" s="2063"/>
      <c r="AG72" s="2063"/>
      <c r="AH72" s="2063"/>
      <c r="AI72" s="2063"/>
      <c r="AJ72" s="2063"/>
      <c r="AK72" s="2063"/>
      <c r="AL72" s="2063"/>
      <c r="AM72" s="2063"/>
      <c r="AN72" s="2063"/>
      <c r="AO72" s="2063"/>
      <c r="AP72" s="2063"/>
      <c r="AQ72" s="2063"/>
      <c r="AR72" s="2063"/>
      <c r="AS72" s="2063"/>
      <c r="AT72" s="2063"/>
      <c r="AU72" s="2063"/>
      <c r="AV72" s="2063"/>
      <c r="AW72" s="2063"/>
      <c r="AX72" s="2063"/>
      <c r="AY72" s="2063"/>
      <c r="AZ72" s="2063"/>
      <c r="BA72" s="2063"/>
      <c r="BB72" s="2063"/>
      <c r="BC72" s="2063"/>
      <c r="BD72" s="2063"/>
      <c r="BE72" s="2063"/>
      <c r="BF72" s="2063"/>
      <c r="BG72" s="2063"/>
      <c r="BH72" s="2063"/>
      <c r="BI72" s="2063"/>
      <c r="BJ72" s="2063"/>
      <c r="BK72" s="2063"/>
      <c r="BL72" s="2063"/>
      <c r="BM72" s="2063"/>
      <c r="BN72" s="2063"/>
      <c r="BO72" s="2063"/>
      <c r="BP72" s="2063"/>
      <c r="BQ72" s="2063"/>
      <c r="BR72" s="2063"/>
      <c r="BS72" s="2063"/>
      <c r="BT72" s="2063"/>
      <c r="BU72" s="2063"/>
      <c r="BV72" s="2063"/>
      <c r="BW72" s="2063"/>
      <c r="BX72" s="2063"/>
      <c r="BY72" s="2063"/>
    </row>
    <row r="73" spans="1:77" x14ac:dyDescent="0.25">
      <c r="A73" s="2063"/>
      <c r="B73" s="2063"/>
      <c r="C73" s="2063"/>
      <c r="D73" s="2063"/>
      <c r="E73" s="2063"/>
      <c r="F73" s="2063"/>
      <c r="G73" s="2100"/>
      <c r="H73" s="2063"/>
      <c r="I73" s="2063"/>
      <c r="J73" s="2063"/>
      <c r="K73" s="2063"/>
      <c r="L73" s="2063"/>
      <c r="M73" s="2063"/>
      <c r="N73" s="2063"/>
      <c r="O73" s="2063"/>
      <c r="P73" s="2063"/>
      <c r="Q73" s="2063"/>
      <c r="R73" s="2063"/>
      <c r="S73" s="2063"/>
      <c r="T73" s="2063"/>
      <c r="U73" s="2063"/>
      <c r="V73" s="2063"/>
      <c r="W73" s="2063"/>
      <c r="X73" s="2063"/>
      <c r="Y73" s="2063"/>
      <c r="Z73" s="2063"/>
      <c r="AA73" s="2063"/>
      <c r="AB73" s="2063"/>
      <c r="AC73" s="2063"/>
      <c r="AD73" s="2063"/>
      <c r="AE73" s="2063"/>
      <c r="AF73" s="2063"/>
      <c r="AG73" s="2063"/>
      <c r="AH73" s="2063"/>
      <c r="AI73" s="2063"/>
      <c r="AJ73" s="2063"/>
      <c r="AK73" s="2063"/>
      <c r="AL73" s="2063"/>
      <c r="AM73" s="2063"/>
      <c r="AN73" s="2063"/>
      <c r="AO73" s="2063"/>
      <c r="AP73" s="2063"/>
      <c r="AQ73" s="2063"/>
      <c r="AR73" s="2063"/>
      <c r="AS73" s="2063"/>
      <c r="AT73" s="2063"/>
      <c r="AU73" s="2063"/>
      <c r="AV73" s="2063"/>
      <c r="AW73" s="2063"/>
      <c r="AX73" s="2063"/>
      <c r="AY73" s="2063"/>
      <c r="AZ73" s="2063"/>
      <c r="BA73" s="2063"/>
      <c r="BB73" s="2063"/>
      <c r="BC73" s="2063"/>
      <c r="BD73" s="2063"/>
      <c r="BE73" s="2063"/>
      <c r="BF73" s="2063"/>
      <c r="BG73" s="2063"/>
      <c r="BH73" s="2063"/>
      <c r="BI73" s="2063"/>
      <c r="BJ73" s="2063"/>
      <c r="BK73" s="2063"/>
      <c r="BL73" s="2063"/>
      <c r="BM73" s="2063"/>
      <c r="BN73" s="2063"/>
      <c r="BO73" s="2063"/>
      <c r="BP73" s="2063"/>
      <c r="BQ73" s="2063"/>
      <c r="BR73" s="2063"/>
      <c r="BS73" s="2063"/>
      <c r="BT73" s="2063"/>
      <c r="BU73" s="2063"/>
      <c r="BV73" s="2063"/>
      <c r="BW73" s="2063"/>
      <c r="BX73" s="2063"/>
      <c r="BY73" s="2063"/>
    </row>
    <row r="74" spans="1:77" x14ac:dyDescent="0.25">
      <c r="A74" s="2063"/>
      <c r="B74" s="2063"/>
      <c r="C74" s="2063"/>
      <c r="D74" s="2130"/>
      <c r="E74" s="2063"/>
      <c r="F74" s="2063"/>
      <c r="G74" s="2100"/>
      <c r="H74" s="2063"/>
      <c r="I74" s="2063"/>
      <c r="J74" s="2063"/>
      <c r="K74" s="2063"/>
      <c r="L74" s="2063"/>
      <c r="M74" s="2063"/>
      <c r="N74" s="2063"/>
      <c r="O74" s="2063"/>
      <c r="P74" s="2063"/>
      <c r="Q74" s="2063"/>
      <c r="R74" s="2063"/>
      <c r="S74" s="2063"/>
      <c r="T74" s="2063"/>
      <c r="U74" s="2063"/>
      <c r="V74" s="2063"/>
      <c r="W74" s="2063"/>
      <c r="X74" s="2063"/>
      <c r="Y74" s="2063"/>
      <c r="Z74" s="2063"/>
      <c r="AA74" s="2063"/>
      <c r="AB74" s="2063"/>
      <c r="AC74" s="2063"/>
      <c r="AD74" s="2063"/>
      <c r="AE74" s="2063"/>
      <c r="AF74" s="2063"/>
      <c r="AG74" s="2063"/>
      <c r="AH74" s="2063"/>
      <c r="AI74" s="2063"/>
      <c r="AJ74" s="2063"/>
      <c r="AK74" s="2063"/>
      <c r="AL74" s="2063"/>
      <c r="AM74" s="2063"/>
      <c r="AN74" s="2063"/>
      <c r="AO74" s="2063"/>
      <c r="AP74" s="2063"/>
      <c r="AQ74" s="2063"/>
      <c r="AR74" s="2063"/>
      <c r="AS74" s="2063"/>
      <c r="AT74" s="2063"/>
      <c r="AU74" s="2063"/>
      <c r="AV74" s="2063"/>
      <c r="AW74" s="2063"/>
      <c r="AX74" s="2063"/>
      <c r="AY74" s="2063"/>
      <c r="AZ74" s="2063"/>
      <c r="BA74" s="2063"/>
      <c r="BB74" s="2063"/>
      <c r="BC74" s="2063"/>
      <c r="BD74" s="2063"/>
      <c r="BE74" s="2063"/>
      <c r="BF74" s="2063"/>
      <c r="BG74" s="2063"/>
      <c r="BH74" s="2063"/>
      <c r="BI74" s="2063"/>
      <c r="BJ74" s="2063"/>
      <c r="BK74" s="2063"/>
      <c r="BL74" s="2063"/>
      <c r="BM74" s="2063"/>
      <c r="BN74" s="2063"/>
      <c r="BO74" s="2063"/>
      <c r="BP74" s="2063"/>
      <c r="BQ74" s="2063"/>
      <c r="BR74" s="2063"/>
      <c r="BS74" s="2063"/>
      <c r="BT74" s="2063"/>
      <c r="BU74" s="2063"/>
      <c r="BV74" s="2063"/>
      <c r="BW74" s="2063"/>
      <c r="BX74" s="2063"/>
      <c r="BY74" s="2063"/>
    </row>
    <row r="75" spans="1:77" x14ac:dyDescent="0.25">
      <c r="A75" s="2063"/>
      <c r="B75" s="2063"/>
      <c r="C75" s="2063"/>
      <c r="D75" s="2063"/>
      <c r="E75" s="2063"/>
      <c r="F75" s="2063"/>
      <c r="G75" s="2100"/>
      <c r="H75" s="2063"/>
      <c r="I75" s="2063"/>
      <c r="J75" s="2063"/>
      <c r="K75" s="2063"/>
      <c r="L75" s="2063"/>
      <c r="M75" s="2063"/>
      <c r="N75" s="2063"/>
      <c r="O75" s="2063"/>
      <c r="P75" s="2063"/>
      <c r="Q75" s="2063"/>
      <c r="R75" s="2063"/>
      <c r="S75" s="2063"/>
      <c r="T75" s="2063"/>
      <c r="U75" s="2063"/>
      <c r="V75" s="2063"/>
      <c r="W75" s="2063"/>
      <c r="X75" s="2063"/>
      <c r="Y75" s="2063"/>
      <c r="Z75" s="2063"/>
      <c r="AA75" s="2063"/>
      <c r="AB75" s="2063"/>
      <c r="AC75" s="2063"/>
      <c r="AD75" s="2063"/>
      <c r="AE75" s="2063"/>
      <c r="AF75" s="2063"/>
      <c r="AG75" s="2063"/>
      <c r="AH75" s="2063"/>
      <c r="AI75" s="2063"/>
      <c r="AJ75" s="2063"/>
      <c r="AK75" s="2063"/>
      <c r="AL75" s="2063"/>
      <c r="AM75" s="2063"/>
      <c r="AN75" s="2063"/>
      <c r="AO75" s="2063"/>
      <c r="AP75" s="2063"/>
      <c r="AQ75" s="2063"/>
      <c r="AR75" s="2063"/>
      <c r="AS75" s="2063"/>
      <c r="AT75" s="2063"/>
      <c r="AU75" s="2063"/>
      <c r="AV75" s="2063"/>
      <c r="AW75" s="2063"/>
      <c r="AX75" s="2063"/>
      <c r="AY75" s="2063"/>
      <c r="AZ75" s="2063"/>
      <c r="BA75" s="2063"/>
      <c r="BB75" s="2063"/>
      <c r="BC75" s="2063"/>
      <c r="BD75" s="2063"/>
      <c r="BE75" s="2063"/>
      <c r="BF75" s="2063"/>
      <c r="BG75" s="2063"/>
      <c r="BH75" s="2063"/>
      <c r="BI75" s="2063"/>
      <c r="BJ75" s="2063"/>
      <c r="BK75" s="2063"/>
      <c r="BL75" s="2063"/>
      <c r="BM75" s="2063"/>
      <c r="BN75" s="2063"/>
      <c r="BO75" s="2063"/>
      <c r="BP75" s="2063"/>
      <c r="BQ75" s="2063"/>
      <c r="BR75" s="2063"/>
      <c r="BS75" s="2063"/>
      <c r="BT75" s="2063"/>
      <c r="BU75" s="2063"/>
      <c r="BV75" s="2063"/>
      <c r="BW75" s="2063"/>
      <c r="BX75" s="2063"/>
      <c r="BY75" s="2063"/>
    </row>
    <row r="76" spans="1:77" x14ac:dyDescent="0.25">
      <c r="A76" s="2063"/>
      <c r="B76" s="2063"/>
      <c r="C76" s="2063"/>
      <c r="D76" s="2063"/>
      <c r="E76" s="2063"/>
      <c r="F76" s="2063"/>
      <c r="G76" s="2100"/>
      <c r="H76" s="2063"/>
      <c r="I76" s="2063"/>
      <c r="J76" s="2063"/>
      <c r="K76" s="2063"/>
      <c r="L76" s="2063"/>
      <c r="M76" s="2063"/>
      <c r="N76" s="2063"/>
      <c r="O76" s="2063"/>
      <c r="P76" s="2063"/>
      <c r="Q76" s="2063"/>
      <c r="R76" s="2063"/>
      <c r="S76" s="2063"/>
      <c r="T76" s="2063"/>
      <c r="U76" s="2063"/>
      <c r="V76" s="2063"/>
      <c r="W76" s="2063"/>
      <c r="X76" s="2063"/>
      <c r="Y76" s="2063"/>
      <c r="Z76" s="2063"/>
      <c r="AA76" s="2063"/>
      <c r="AB76" s="2063"/>
      <c r="AC76" s="2063"/>
      <c r="AD76" s="2063"/>
      <c r="AE76" s="2063"/>
      <c r="AF76" s="2063"/>
      <c r="AG76" s="2063"/>
      <c r="AH76" s="2063"/>
      <c r="AI76" s="2063"/>
      <c r="AJ76" s="2063"/>
      <c r="AK76" s="2063"/>
      <c r="AL76" s="2063"/>
      <c r="AM76" s="2063"/>
      <c r="AN76" s="2063"/>
      <c r="AO76" s="2063"/>
      <c r="AP76" s="2063"/>
      <c r="AQ76" s="2063"/>
      <c r="AR76" s="2063"/>
      <c r="AS76" s="2063"/>
      <c r="AT76" s="2063"/>
      <c r="AU76" s="2063"/>
      <c r="AV76" s="2063"/>
      <c r="AW76" s="2063"/>
      <c r="AX76" s="2063"/>
      <c r="AY76" s="2063"/>
      <c r="AZ76" s="2063"/>
      <c r="BA76" s="2063"/>
      <c r="BB76" s="2063"/>
      <c r="BC76" s="2063"/>
      <c r="BD76" s="2063"/>
      <c r="BE76" s="2063"/>
      <c r="BF76" s="2063"/>
      <c r="BG76" s="2063"/>
      <c r="BH76" s="2063"/>
      <c r="BI76" s="2063"/>
      <c r="BJ76" s="2063"/>
      <c r="BK76" s="2063"/>
      <c r="BL76" s="2063"/>
      <c r="BM76" s="2063"/>
      <c r="BN76" s="2063"/>
      <c r="BO76" s="2063"/>
      <c r="BP76" s="2063"/>
      <c r="BQ76" s="2063"/>
      <c r="BR76" s="2063"/>
      <c r="BS76" s="2063"/>
      <c r="BT76" s="2063"/>
      <c r="BU76" s="2063"/>
      <c r="BV76" s="2063"/>
      <c r="BW76" s="2063"/>
      <c r="BX76" s="2063"/>
      <c r="BY76" s="2063"/>
    </row>
    <row r="77" spans="1:77" x14ac:dyDescent="0.25">
      <c r="A77" s="2063"/>
      <c r="B77" s="2063"/>
      <c r="C77" s="2063"/>
      <c r="D77" s="2063"/>
      <c r="E77" s="2063"/>
      <c r="F77" s="2063"/>
      <c r="G77" s="2064"/>
      <c r="H77" s="2063"/>
      <c r="I77" s="2063"/>
      <c r="J77" s="2063"/>
      <c r="K77" s="2063"/>
      <c r="L77" s="2063"/>
      <c r="M77" s="2063"/>
      <c r="N77" s="2063"/>
      <c r="O77" s="2063"/>
      <c r="P77" s="2063"/>
      <c r="Q77" s="2063"/>
      <c r="R77" s="2063"/>
      <c r="S77" s="2063"/>
      <c r="T77" s="2063"/>
      <c r="U77" s="2063"/>
      <c r="V77" s="2063"/>
      <c r="W77" s="2063"/>
      <c r="X77" s="2063"/>
      <c r="Y77" s="2063"/>
      <c r="Z77" s="2063"/>
      <c r="AA77" s="2063"/>
      <c r="AB77" s="2063"/>
      <c r="AC77" s="2063"/>
      <c r="AD77" s="2063"/>
      <c r="AE77" s="2063"/>
      <c r="AF77" s="2063"/>
      <c r="AG77" s="2063"/>
      <c r="AH77" s="2063"/>
      <c r="AI77" s="2063"/>
      <c r="AJ77" s="2063"/>
      <c r="AK77" s="2063"/>
      <c r="AL77" s="2063"/>
      <c r="AM77" s="2063"/>
      <c r="AN77" s="2063"/>
      <c r="AO77" s="2063"/>
      <c r="AP77" s="2063"/>
      <c r="AQ77" s="2063"/>
      <c r="AR77" s="2063"/>
      <c r="AS77" s="2063"/>
      <c r="AT77" s="2063"/>
      <c r="AU77" s="2063"/>
      <c r="AV77" s="2063"/>
      <c r="AW77" s="2063"/>
      <c r="AX77" s="2063"/>
      <c r="AY77" s="2063"/>
      <c r="AZ77" s="2063"/>
      <c r="BA77" s="2063"/>
      <c r="BB77" s="2063"/>
      <c r="BC77" s="2063"/>
      <c r="BD77" s="2063"/>
      <c r="BE77" s="2063"/>
      <c r="BF77" s="2063"/>
      <c r="BG77" s="2063"/>
      <c r="BH77" s="2063"/>
      <c r="BI77" s="2063"/>
      <c r="BJ77" s="2063"/>
      <c r="BK77" s="2063"/>
      <c r="BL77" s="2063"/>
      <c r="BM77" s="2063"/>
      <c r="BN77" s="2063"/>
      <c r="BO77" s="2063"/>
      <c r="BP77" s="2063"/>
      <c r="BQ77" s="2063"/>
      <c r="BR77" s="2063"/>
      <c r="BS77" s="2063"/>
      <c r="BT77" s="2063"/>
      <c r="BU77" s="2063"/>
      <c r="BV77" s="2063"/>
      <c r="BW77" s="2063"/>
      <c r="BX77" s="2063"/>
      <c r="BY77" s="2063"/>
    </row>
    <row r="78" spans="1:77" x14ac:dyDescent="0.25">
      <c r="A78" s="2063"/>
      <c r="B78" s="2063"/>
      <c r="C78" s="2063"/>
      <c r="D78" s="2063"/>
      <c r="E78" s="2063"/>
      <c r="F78" s="2063"/>
      <c r="G78" s="2064"/>
      <c r="H78" s="2063"/>
      <c r="I78" s="2063"/>
      <c r="J78" s="2063"/>
      <c r="K78" s="2063"/>
      <c r="L78" s="2063"/>
      <c r="M78" s="2063"/>
      <c r="N78" s="2063"/>
      <c r="O78" s="2063"/>
      <c r="P78" s="2063"/>
      <c r="Q78" s="2063"/>
      <c r="R78" s="2063"/>
      <c r="S78" s="2063"/>
      <c r="T78" s="2063"/>
      <c r="U78" s="2063"/>
      <c r="V78" s="2063"/>
      <c r="W78" s="2063"/>
      <c r="X78" s="2063"/>
      <c r="Y78" s="2063"/>
      <c r="Z78" s="2063"/>
      <c r="AA78" s="2063"/>
      <c r="AB78" s="2063"/>
      <c r="AC78" s="2063"/>
      <c r="AD78" s="2063"/>
      <c r="AE78" s="2063"/>
      <c r="AF78" s="2063"/>
      <c r="AG78" s="2063"/>
      <c r="AH78" s="2063"/>
      <c r="AI78" s="2063"/>
      <c r="AJ78" s="2063"/>
      <c r="AK78" s="2063"/>
      <c r="AL78" s="2063"/>
      <c r="AM78" s="2063"/>
      <c r="AN78" s="2063"/>
      <c r="AO78" s="2063"/>
      <c r="AP78" s="2063"/>
      <c r="AQ78" s="2063"/>
      <c r="AR78" s="2063"/>
      <c r="AS78" s="2063"/>
      <c r="AT78" s="2063"/>
      <c r="AU78" s="2063"/>
      <c r="AV78" s="2063"/>
      <c r="AW78" s="2063"/>
      <c r="AX78" s="2063"/>
      <c r="AY78" s="2063"/>
      <c r="AZ78" s="2063"/>
      <c r="BA78" s="2063"/>
      <c r="BB78" s="2063"/>
      <c r="BC78" s="2063"/>
      <c r="BD78" s="2063"/>
      <c r="BE78" s="2063"/>
      <c r="BF78" s="2063"/>
      <c r="BG78" s="2063"/>
      <c r="BH78" s="2063"/>
      <c r="BI78" s="2063"/>
      <c r="BJ78" s="2063"/>
      <c r="BK78" s="2063"/>
      <c r="BL78" s="2063"/>
      <c r="BM78" s="2063"/>
      <c r="BN78" s="2063"/>
      <c r="BO78" s="2063"/>
      <c r="BP78" s="2063"/>
      <c r="BQ78" s="2063"/>
      <c r="BR78" s="2063"/>
      <c r="BS78" s="2063"/>
      <c r="BT78" s="2063"/>
      <c r="BU78" s="2063"/>
      <c r="BV78" s="2063"/>
      <c r="BW78" s="2063"/>
      <c r="BX78" s="2063"/>
      <c r="BY78" s="2063"/>
    </row>
    <row r="79" spans="1:77" x14ac:dyDescent="0.25">
      <c r="A79" s="2063"/>
      <c r="B79" s="2063"/>
      <c r="C79" s="2063"/>
      <c r="D79" s="2063"/>
      <c r="E79" s="2074" t="s">
        <v>1140</v>
      </c>
      <c r="F79" s="2131">
        <v>4</v>
      </c>
      <c r="G79" s="2064"/>
      <c r="H79" s="2063"/>
      <c r="I79" s="2063"/>
      <c r="J79" s="2063"/>
      <c r="K79" s="2063"/>
      <c r="L79" s="2063"/>
      <c r="M79" s="2063"/>
      <c r="N79" s="2063"/>
      <c r="O79" s="2063"/>
      <c r="P79" s="2063"/>
      <c r="Q79" s="2063"/>
      <c r="R79" s="2063"/>
      <c r="S79" s="2063"/>
      <c r="T79" s="2063"/>
      <c r="U79" s="2063"/>
      <c r="V79" s="2063"/>
      <c r="W79" s="2063"/>
      <c r="X79" s="2063"/>
      <c r="Y79" s="2063"/>
      <c r="Z79" s="2063"/>
      <c r="AA79" s="2063"/>
      <c r="AB79" s="2063"/>
      <c r="AC79" s="2063"/>
      <c r="AD79" s="2063"/>
      <c r="AE79" s="2063"/>
      <c r="AF79" s="2063"/>
      <c r="AG79" s="2063"/>
      <c r="AH79" s="2063"/>
      <c r="AI79" s="2063"/>
      <c r="AJ79" s="2063"/>
      <c r="AK79" s="2063"/>
      <c r="AL79" s="2063"/>
      <c r="AM79" s="2063"/>
      <c r="AN79" s="2063"/>
      <c r="AO79" s="2063"/>
      <c r="AP79" s="2063"/>
      <c r="AQ79" s="2063"/>
      <c r="AR79" s="2063"/>
      <c r="AS79" s="2063"/>
      <c r="AT79" s="2063"/>
      <c r="AU79" s="2063"/>
      <c r="AV79" s="2063"/>
      <c r="AW79" s="2063"/>
      <c r="AX79" s="2063"/>
      <c r="AY79" s="2063"/>
      <c r="AZ79" s="2063"/>
      <c r="BA79" s="2063"/>
      <c r="BB79" s="2063"/>
      <c r="BC79" s="2063"/>
      <c r="BD79" s="2063"/>
      <c r="BE79" s="2063"/>
      <c r="BF79" s="2063"/>
      <c r="BG79" s="2063"/>
      <c r="BH79" s="2063"/>
      <c r="BI79" s="2063"/>
      <c r="BJ79" s="2063"/>
      <c r="BK79" s="2063"/>
      <c r="BL79" s="2063"/>
      <c r="BM79" s="2063"/>
      <c r="BN79" s="2063"/>
      <c r="BO79" s="2063"/>
      <c r="BP79" s="2063"/>
      <c r="BQ79" s="2063"/>
      <c r="BR79" s="2063"/>
      <c r="BS79" s="2063"/>
      <c r="BT79" s="2063"/>
      <c r="BU79" s="2063"/>
      <c r="BV79" s="2063"/>
      <c r="BW79" s="2063"/>
      <c r="BX79" s="2063"/>
      <c r="BY79" s="2063"/>
    </row>
    <row r="80" spans="1:77" x14ac:dyDescent="0.25">
      <c r="A80" s="2063"/>
      <c r="B80" s="2063"/>
      <c r="C80" s="2063"/>
      <c r="D80" s="2063"/>
      <c r="E80" s="2085" t="s">
        <v>1141</v>
      </c>
      <c r="F80" s="2132">
        <v>5</v>
      </c>
      <c r="G80" s="2064"/>
      <c r="H80" s="2063"/>
      <c r="I80" s="2063"/>
      <c r="J80" s="2063"/>
      <c r="K80" s="2063"/>
      <c r="L80" s="2063"/>
      <c r="M80" s="2063"/>
      <c r="N80" s="2063"/>
      <c r="O80" s="2063"/>
      <c r="P80" s="2063"/>
      <c r="Q80" s="2063"/>
      <c r="R80" s="2063"/>
      <c r="S80" s="2063"/>
      <c r="T80" s="2063"/>
      <c r="U80" s="2063"/>
      <c r="V80" s="2063"/>
      <c r="W80" s="2063"/>
      <c r="X80" s="2063"/>
      <c r="Y80" s="2063"/>
      <c r="Z80" s="2063"/>
      <c r="AA80" s="2063"/>
      <c r="AB80" s="2063"/>
      <c r="AC80" s="2063"/>
      <c r="AD80" s="2063"/>
      <c r="AE80" s="2063"/>
      <c r="AF80" s="2063"/>
      <c r="AG80" s="2063"/>
      <c r="AH80" s="2063"/>
      <c r="AI80" s="2063"/>
      <c r="AJ80" s="2063"/>
      <c r="AK80" s="2063"/>
      <c r="AL80" s="2063"/>
      <c r="AM80" s="2063"/>
      <c r="AN80" s="2063"/>
      <c r="AO80" s="2063"/>
      <c r="AP80" s="2063"/>
      <c r="AQ80" s="2063"/>
      <c r="AR80" s="2063"/>
      <c r="AS80" s="2063"/>
      <c r="AT80" s="2063"/>
      <c r="AU80" s="2063"/>
      <c r="AV80" s="2063"/>
      <c r="AW80" s="2063"/>
      <c r="AX80" s="2063"/>
      <c r="AY80" s="2063"/>
      <c r="AZ80" s="2063"/>
      <c r="BA80" s="2063"/>
      <c r="BB80" s="2063"/>
      <c r="BC80" s="2063"/>
      <c r="BD80" s="2063"/>
      <c r="BE80" s="2063"/>
      <c r="BF80" s="2063"/>
      <c r="BG80" s="2063"/>
      <c r="BH80" s="2063"/>
      <c r="BI80" s="2063"/>
      <c r="BJ80" s="2063"/>
      <c r="BK80" s="2063"/>
      <c r="BL80" s="2063"/>
      <c r="BM80" s="2063"/>
      <c r="BN80" s="2063"/>
      <c r="BO80" s="2063"/>
      <c r="BP80" s="2063"/>
      <c r="BQ80" s="2063"/>
      <c r="BR80" s="2063"/>
      <c r="BS80" s="2063"/>
      <c r="BT80" s="2063"/>
      <c r="BU80" s="2063"/>
      <c r="BV80" s="2063"/>
      <c r="BW80" s="2063"/>
      <c r="BX80" s="2063"/>
      <c r="BY80" s="2063"/>
    </row>
    <row r="81" spans="1:77" x14ac:dyDescent="0.25">
      <c r="A81" s="2063"/>
      <c r="B81" s="2063"/>
      <c r="C81" s="2063"/>
      <c r="D81" s="2063"/>
      <c r="E81" s="2085" t="s">
        <v>1142</v>
      </c>
      <c r="F81" s="2132">
        <v>6</v>
      </c>
      <c r="G81" s="2064"/>
      <c r="H81" s="2063"/>
      <c r="I81" s="2063"/>
      <c r="J81" s="2063"/>
      <c r="K81" s="2063"/>
      <c r="L81" s="2063"/>
      <c r="M81" s="2063"/>
      <c r="N81" s="2063"/>
      <c r="O81" s="2063"/>
      <c r="P81" s="2063"/>
      <c r="Q81" s="2063"/>
      <c r="R81" s="2063"/>
      <c r="S81" s="2063"/>
      <c r="T81" s="2063"/>
      <c r="U81" s="2063"/>
      <c r="V81" s="2063"/>
      <c r="W81" s="2063"/>
      <c r="X81" s="2063"/>
      <c r="Y81" s="2063"/>
      <c r="Z81" s="2063"/>
      <c r="AA81" s="2063"/>
      <c r="AB81" s="2063"/>
      <c r="AC81" s="2063"/>
      <c r="AD81" s="2063"/>
      <c r="AE81" s="2063"/>
      <c r="AF81" s="2063"/>
      <c r="AG81" s="2063"/>
      <c r="AH81" s="2063"/>
      <c r="AI81" s="2063"/>
      <c r="AJ81" s="2063"/>
      <c r="AK81" s="2063"/>
      <c r="AL81" s="2063"/>
      <c r="AM81" s="2063"/>
      <c r="AN81" s="2063"/>
      <c r="AO81" s="2063"/>
      <c r="AP81" s="2063"/>
      <c r="AQ81" s="2063"/>
      <c r="AR81" s="2063"/>
      <c r="AS81" s="2063"/>
      <c r="AT81" s="2063"/>
      <c r="AU81" s="2063"/>
      <c r="AV81" s="2063"/>
      <c r="AW81" s="2063"/>
      <c r="AX81" s="2063"/>
      <c r="AY81" s="2063"/>
      <c r="AZ81" s="2063"/>
      <c r="BA81" s="2063"/>
      <c r="BB81" s="2063"/>
      <c r="BC81" s="2063"/>
      <c r="BD81" s="2063"/>
      <c r="BE81" s="2063"/>
      <c r="BF81" s="2063"/>
      <c r="BG81" s="2063"/>
      <c r="BH81" s="2063"/>
      <c r="BI81" s="2063"/>
      <c r="BJ81" s="2063"/>
      <c r="BK81" s="2063"/>
      <c r="BL81" s="2063"/>
      <c r="BM81" s="2063"/>
      <c r="BN81" s="2063"/>
      <c r="BO81" s="2063"/>
      <c r="BP81" s="2063"/>
      <c r="BQ81" s="2063"/>
      <c r="BR81" s="2063"/>
      <c r="BS81" s="2063"/>
      <c r="BT81" s="2063"/>
      <c r="BU81" s="2063"/>
      <c r="BV81" s="2063"/>
      <c r="BW81" s="2063"/>
      <c r="BX81" s="2063"/>
      <c r="BY81" s="2063"/>
    </row>
    <row r="82" spans="1:77" x14ac:dyDescent="0.25">
      <c r="A82" s="2063"/>
      <c r="B82" s="2063"/>
      <c r="C82" s="2063"/>
      <c r="D82" s="2063"/>
      <c r="E82" s="2085" t="s">
        <v>1143</v>
      </c>
      <c r="F82" s="2132">
        <v>7</v>
      </c>
      <c r="G82" s="2064"/>
      <c r="H82" s="2063"/>
      <c r="I82" s="2063"/>
      <c r="J82" s="2063"/>
      <c r="K82" s="2063"/>
      <c r="L82" s="2063"/>
      <c r="M82" s="2063"/>
      <c r="N82" s="2063"/>
      <c r="O82" s="2063"/>
      <c r="P82" s="2063"/>
      <c r="Q82" s="2063"/>
      <c r="R82" s="2063"/>
      <c r="S82" s="2063"/>
      <c r="T82" s="2063"/>
      <c r="U82" s="2063"/>
      <c r="V82" s="2063"/>
      <c r="W82" s="2063"/>
      <c r="X82" s="2063"/>
      <c r="Y82" s="2063"/>
      <c r="Z82" s="2063"/>
      <c r="AA82" s="2063"/>
      <c r="AB82" s="2063"/>
      <c r="AC82" s="2063"/>
      <c r="AD82" s="2063"/>
      <c r="AE82" s="2063"/>
      <c r="AF82" s="2063"/>
      <c r="AG82" s="2063"/>
      <c r="AH82" s="2063"/>
      <c r="AI82" s="2063"/>
      <c r="AJ82" s="2063"/>
      <c r="AK82" s="2063"/>
      <c r="AL82" s="2063"/>
      <c r="AM82" s="2063"/>
      <c r="AN82" s="2063"/>
      <c r="AO82" s="2063"/>
      <c r="AP82" s="2063"/>
      <c r="AQ82" s="2063"/>
      <c r="AR82" s="2063"/>
      <c r="AS82" s="2063"/>
      <c r="AT82" s="2063"/>
      <c r="AU82" s="2063"/>
      <c r="AV82" s="2063"/>
      <c r="AW82" s="2063"/>
      <c r="AX82" s="2063"/>
      <c r="AY82" s="2063"/>
      <c r="AZ82" s="2063"/>
      <c r="BA82" s="2063"/>
      <c r="BB82" s="2063"/>
      <c r="BC82" s="2063"/>
      <c r="BD82" s="2063"/>
      <c r="BE82" s="2063"/>
      <c r="BF82" s="2063"/>
      <c r="BG82" s="2063"/>
      <c r="BH82" s="2063"/>
      <c r="BI82" s="2063"/>
      <c r="BJ82" s="2063"/>
      <c r="BK82" s="2063"/>
      <c r="BL82" s="2063"/>
      <c r="BM82" s="2063"/>
      <c r="BN82" s="2063"/>
      <c r="BO82" s="2063"/>
      <c r="BP82" s="2063"/>
      <c r="BQ82" s="2063"/>
      <c r="BR82" s="2063"/>
      <c r="BS82" s="2063"/>
      <c r="BT82" s="2063"/>
      <c r="BU82" s="2063"/>
      <c r="BV82" s="2063"/>
      <c r="BW82" s="2063"/>
      <c r="BX82" s="2063"/>
      <c r="BY82" s="2063"/>
    </row>
    <row r="83" spans="1:77" x14ac:dyDescent="0.25">
      <c r="A83" s="2063"/>
      <c r="B83" s="2063"/>
      <c r="C83" s="2063"/>
      <c r="D83" s="2063"/>
      <c r="E83" s="2085" t="s">
        <v>1144</v>
      </c>
      <c r="F83" s="2132">
        <v>8</v>
      </c>
      <c r="G83" s="2064"/>
      <c r="H83" s="2063"/>
      <c r="I83" s="2063"/>
      <c r="J83" s="2063"/>
      <c r="K83" s="2063"/>
      <c r="L83" s="2063"/>
      <c r="M83" s="2063"/>
      <c r="N83" s="2063"/>
      <c r="O83" s="2063"/>
      <c r="P83" s="2063"/>
      <c r="Q83" s="2063"/>
      <c r="R83" s="2063"/>
      <c r="S83" s="2063"/>
      <c r="T83" s="2063"/>
      <c r="U83" s="2063"/>
      <c r="V83" s="2063"/>
      <c r="W83" s="2063"/>
      <c r="X83" s="2063"/>
      <c r="Y83" s="2063"/>
      <c r="Z83" s="2063"/>
      <c r="AA83" s="2063"/>
      <c r="AB83" s="2063"/>
      <c r="AC83" s="2063"/>
      <c r="AD83" s="2063"/>
      <c r="AE83" s="2063"/>
      <c r="AF83" s="2063"/>
      <c r="AG83" s="2063"/>
      <c r="AH83" s="2063"/>
      <c r="AI83" s="2063"/>
      <c r="AJ83" s="2063"/>
      <c r="AK83" s="2063"/>
      <c r="AL83" s="2063"/>
      <c r="AM83" s="2063"/>
      <c r="AN83" s="2063"/>
      <c r="AO83" s="2063"/>
      <c r="AP83" s="2063"/>
      <c r="AQ83" s="2063"/>
      <c r="AR83" s="2063"/>
      <c r="AS83" s="2063"/>
      <c r="AT83" s="2063"/>
      <c r="AU83" s="2063"/>
      <c r="AV83" s="2063"/>
      <c r="AW83" s="2063"/>
      <c r="AX83" s="2063"/>
      <c r="AY83" s="2063"/>
      <c r="AZ83" s="2063"/>
      <c r="BA83" s="2063"/>
      <c r="BB83" s="2063"/>
      <c r="BC83" s="2063"/>
      <c r="BD83" s="2063"/>
      <c r="BE83" s="2063"/>
      <c r="BF83" s="2063"/>
      <c r="BG83" s="2063"/>
      <c r="BH83" s="2063"/>
      <c r="BI83" s="2063"/>
      <c r="BJ83" s="2063"/>
      <c r="BK83" s="2063"/>
      <c r="BL83" s="2063"/>
      <c r="BM83" s="2063"/>
      <c r="BN83" s="2063"/>
      <c r="BO83" s="2063"/>
      <c r="BP83" s="2063"/>
      <c r="BQ83" s="2063"/>
      <c r="BR83" s="2063"/>
      <c r="BS83" s="2063"/>
      <c r="BT83" s="2063"/>
      <c r="BU83" s="2063"/>
      <c r="BV83" s="2063"/>
      <c r="BW83" s="2063"/>
      <c r="BX83" s="2063"/>
      <c r="BY83" s="2063"/>
    </row>
    <row r="84" spans="1:77" x14ac:dyDescent="0.25">
      <c r="A84" s="2063"/>
      <c r="B84" s="2063"/>
      <c r="C84" s="2063"/>
      <c r="D84" s="2063"/>
      <c r="E84" s="2085" t="s">
        <v>1145</v>
      </c>
      <c r="F84" s="2132">
        <v>9</v>
      </c>
      <c r="G84" s="2064"/>
      <c r="H84" s="2063"/>
      <c r="I84" s="2063"/>
      <c r="J84" s="2063"/>
      <c r="K84" s="2063"/>
      <c r="L84" s="2063"/>
      <c r="M84" s="2063"/>
      <c r="N84" s="2063"/>
      <c r="O84" s="2063"/>
      <c r="P84" s="2063"/>
      <c r="Q84" s="2063"/>
      <c r="R84" s="2063"/>
      <c r="S84" s="2063"/>
      <c r="T84" s="2063"/>
      <c r="U84" s="2063"/>
      <c r="V84" s="2063"/>
      <c r="W84" s="2063"/>
      <c r="X84" s="2063"/>
      <c r="Y84" s="2063"/>
      <c r="Z84" s="2063"/>
      <c r="AA84" s="2063"/>
      <c r="AB84" s="2063"/>
      <c r="AC84" s="2063"/>
      <c r="AD84" s="2063"/>
      <c r="AE84" s="2063"/>
      <c r="AF84" s="2063"/>
      <c r="AG84" s="2063"/>
      <c r="AH84" s="2063"/>
      <c r="AI84" s="2063"/>
      <c r="AJ84" s="2063"/>
      <c r="AK84" s="2063"/>
      <c r="AL84" s="2063"/>
      <c r="AM84" s="2063"/>
      <c r="AN84" s="2063"/>
      <c r="AO84" s="2063"/>
      <c r="AP84" s="2063"/>
      <c r="AQ84" s="2063"/>
      <c r="AR84" s="2063"/>
      <c r="AS84" s="2063"/>
      <c r="AT84" s="2063"/>
      <c r="AU84" s="2063"/>
      <c r="AV84" s="2063"/>
      <c r="AW84" s="2063"/>
      <c r="AX84" s="2063"/>
      <c r="AY84" s="2063"/>
      <c r="AZ84" s="2063"/>
      <c r="BA84" s="2063"/>
      <c r="BB84" s="2063"/>
      <c r="BC84" s="2063"/>
      <c r="BD84" s="2063"/>
      <c r="BE84" s="2063"/>
      <c r="BF84" s="2063"/>
      <c r="BG84" s="2063"/>
      <c r="BH84" s="2063"/>
      <c r="BI84" s="2063"/>
      <c r="BJ84" s="2063"/>
      <c r="BK84" s="2063"/>
      <c r="BL84" s="2063"/>
      <c r="BM84" s="2063"/>
      <c r="BN84" s="2063"/>
      <c r="BO84" s="2063"/>
      <c r="BP84" s="2063"/>
      <c r="BQ84" s="2063"/>
      <c r="BR84" s="2063"/>
      <c r="BS84" s="2063"/>
      <c r="BT84" s="2063"/>
      <c r="BU84" s="2063"/>
      <c r="BV84" s="2063"/>
      <c r="BW84" s="2063"/>
      <c r="BX84" s="2063"/>
      <c r="BY84" s="2063"/>
    </row>
    <row r="85" spans="1:77" x14ac:dyDescent="0.25">
      <c r="A85" s="2063"/>
      <c r="B85" s="2063"/>
      <c r="C85" s="2063"/>
      <c r="D85" s="2063"/>
      <c r="E85" s="2085" t="s">
        <v>1146</v>
      </c>
      <c r="F85" s="2132">
        <v>10</v>
      </c>
      <c r="G85" s="2064"/>
      <c r="H85" s="2063"/>
      <c r="I85" s="2063"/>
      <c r="J85" s="2063"/>
      <c r="K85" s="2063"/>
      <c r="L85" s="2063"/>
      <c r="M85" s="2063"/>
      <c r="N85" s="2063"/>
      <c r="O85" s="2063"/>
      <c r="P85" s="2063"/>
      <c r="Q85" s="2063"/>
      <c r="R85" s="2063"/>
      <c r="S85" s="2063"/>
      <c r="T85" s="2063"/>
      <c r="U85" s="2063"/>
      <c r="V85" s="2063"/>
      <c r="W85" s="2063"/>
      <c r="X85" s="2063"/>
      <c r="Y85" s="2063"/>
      <c r="Z85" s="2063"/>
      <c r="AA85" s="2063"/>
      <c r="AB85" s="2063"/>
      <c r="AC85" s="2063"/>
      <c r="AD85" s="2063"/>
      <c r="AE85" s="2063"/>
      <c r="AF85" s="2063"/>
      <c r="AG85" s="2063"/>
      <c r="AH85" s="2063"/>
      <c r="AI85" s="2063"/>
      <c r="AJ85" s="2063"/>
      <c r="AK85" s="2063"/>
      <c r="AL85" s="2063"/>
      <c r="AM85" s="2063"/>
      <c r="AN85" s="2063"/>
      <c r="AO85" s="2063"/>
      <c r="AP85" s="2063"/>
      <c r="AQ85" s="2063"/>
      <c r="AR85" s="2063"/>
      <c r="AS85" s="2063"/>
      <c r="AT85" s="2063"/>
      <c r="AU85" s="2063"/>
      <c r="AV85" s="2063"/>
      <c r="AW85" s="2063"/>
      <c r="AX85" s="2063"/>
      <c r="AY85" s="2063"/>
      <c r="AZ85" s="2063"/>
      <c r="BA85" s="2063"/>
      <c r="BB85" s="2063"/>
      <c r="BC85" s="2063"/>
      <c r="BD85" s="2063"/>
      <c r="BE85" s="2063"/>
      <c r="BF85" s="2063"/>
      <c r="BG85" s="2063"/>
      <c r="BH85" s="2063"/>
      <c r="BI85" s="2063"/>
      <c r="BJ85" s="2063"/>
      <c r="BK85" s="2063"/>
      <c r="BL85" s="2063"/>
      <c r="BM85" s="2063"/>
      <c r="BN85" s="2063"/>
      <c r="BO85" s="2063"/>
      <c r="BP85" s="2063"/>
      <c r="BQ85" s="2063"/>
      <c r="BR85" s="2063"/>
      <c r="BS85" s="2063"/>
      <c r="BT85" s="2063"/>
      <c r="BU85" s="2063"/>
      <c r="BV85" s="2063"/>
      <c r="BW85" s="2063"/>
      <c r="BX85" s="2063"/>
      <c r="BY85" s="2063"/>
    </row>
    <row r="86" spans="1:77" x14ac:dyDescent="0.25">
      <c r="A86" s="2063"/>
      <c r="B86" s="2063"/>
      <c r="C86" s="2063"/>
      <c r="D86" s="2063"/>
      <c r="E86" s="2085" t="s">
        <v>1147</v>
      </c>
      <c r="F86" s="2132">
        <v>11</v>
      </c>
      <c r="G86" s="2064"/>
      <c r="H86" s="2063"/>
      <c r="I86" s="2063"/>
      <c r="J86" s="2063"/>
      <c r="K86" s="2063"/>
      <c r="L86" s="2063"/>
      <c r="M86" s="2063"/>
      <c r="N86" s="2063"/>
      <c r="O86" s="2063"/>
      <c r="P86" s="2063"/>
      <c r="Q86" s="2063"/>
      <c r="R86" s="2063"/>
      <c r="S86" s="2063"/>
      <c r="T86" s="2063"/>
      <c r="U86" s="2063"/>
      <c r="V86" s="2063"/>
      <c r="W86" s="2063"/>
      <c r="X86" s="2063"/>
      <c r="Y86" s="2063"/>
      <c r="Z86" s="2063"/>
      <c r="AA86" s="2063"/>
      <c r="AB86" s="2063"/>
      <c r="AC86" s="2063"/>
      <c r="AD86" s="2063"/>
      <c r="AE86" s="2063"/>
      <c r="AF86" s="2063"/>
      <c r="AG86" s="2063"/>
      <c r="AH86" s="2063"/>
      <c r="AI86" s="2063"/>
      <c r="AJ86" s="2063"/>
      <c r="AK86" s="2063"/>
      <c r="AL86" s="2063"/>
      <c r="AM86" s="2063"/>
      <c r="AN86" s="2063"/>
      <c r="AO86" s="2063"/>
      <c r="AP86" s="2063"/>
      <c r="AQ86" s="2063"/>
      <c r="AR86" s="2063"/>
      <c r="AS86" s="2063"/>
      <c r="AT86" s="2063"/>
      <c r="AU86" s="2063"/>
      <c r="AV86" s="2063"/>
      <c r="AW86" s="2063"/>
      <c r="AX86" s="2063"/>
      <c r="AY86" s="2063"/>
      <c r="AZ86" s="2063"/>
      <c r="BA86" s="2063"/>
      <c r="BB86" s="2063"/>
      <c r="BC86" s="2063"/>
      <c r="BD86" s="2063"/>
      <c r="BE86" s="2063"/>
      <c r="BF86" s="2063"/>
      <c r="BG86" s="2063"/>
      <c r="BH86" s="2063"/>
      <c r="BI86" s="2063"/>
      <c r="BJ86" s="2063"/>
      <c r="BK86" s="2063"/>
      <c r="BL86" s="2063"/>
      <c r="BM86" s="2063"/>
      <c r="BN86" s="2063"/>
      <c r="BO86" s="2063"/>
      <c r="BP86" s="2063"/>
      <c r="BQ86" s="2063"/>
      <c r="BR86" s="2063"/>
      <c r="BS86" s="2063"/>
      <c r="BT86" s="2063"/>
      <c r="BU86" s="2063"/>
      <c r="BV86" s="2063"/>
      <c r="BW86" s="2063"/>
      <c r="BX86" s="2063"/>
      <c r="BY86" s="2063"/>
    </row>
    <row r="87" spans="1:77" x14ac:dyDescent="0.25">
      <c r="A87" s="2063"/>
      <c r="B87" s="2063"/>
      <c r="C87" s="2063"/>
      <c r="D87" s="2063"/>
      <c r="E87" s="2085" t="s">
        <v>1148</v>
      </c>
      <c r="F87" s="2132">
        <v>12</v>
      </c>
      <c r="G87" s="2064"/>
      <c r="H87" s="2063"/>
      <c r="I87" s="2063"/>
      <c r="J87" s="2063"/>
      <c r="K87" s="2063"/>
      <c r="L87" s="2063"/>
      <c r="M87" s="2063"/>
      <c r="N87" s="2063"/>
      <c r="O87" s="2063"/>
      <c r="P87" s="2063"/>
      <c r="Q87" s="2063"/>
      <c r="R87" s="2063"/>
      <c r="S87" s="2063"/>
      <c r="T87" s="2063"/>
      <c r="U87" s="2063"/>
      <c r="V87" s="2063"/>
      <c r="W87" s="2063"/>
      <c r="X87" s="2063"/>
      <c r="Y87" s="2063"/>
      <c r="Z87" s="2063"/>
      <c r="AA87" s="2063"/>
      <c r="AB87" s="2063"/>
      <c r="AC87" s="2063"/>
      <c r="AD87" s="2063"/>
      <c r="AE87" s="2063"/>
      <c r="AF87" s="2063"/>
      <c r="AG87" s="2063"/>
      <c r="AH87" s="2063"/>
      <c r="AI87" s="2063"/>
      <c r="AJ87" s="2063"/>
      <c r="AK87" s="2063"/>
      <c r="AL87" s="2063"/>
      <c r="AM87" s="2063"/>
      <c r="AN87" s="2063"/>
      <c r="AO87" s="2063"/>
      <c r="AP87" s="2063"/>
      <c r="AQ87" s="2063"/>
      <c r="AR87" s="2063"/>
      <c r="AS87" s="2063"/>
      <c r="AT87" s="2063"/>
      <c r="AU87" s="2063"/>
      <c r="AV87" s="2063"/>
      <c r="AW87" s="2063"/>
      <c r="AX87" s="2063"/>
      <c r="AY87" s="2063"/>
      <c r="AZ87" s="2063"/>
      <c r="BA87" s="2063"/>
      <c r="BB87" s="2063"/>
      <c r="BC87" s="2063"/>
      <c r="BD87" s="2063"/>
      <c r="BE87" s="2063"/>
      <c r="BF87" s="2063"/>
      <c r="BG87" s="2063"/>
      <c r="BH87" s="2063"/>
      <c r="BI87" s="2063"/>
      <c r="BJ87" s="2063"/>
      <c r="BK87" s="2063"/>
      <c r="BL87" s="2063"/>
      <c r="BM87" s="2063"/>
      <c r="BN87" s="2063"/>
      <c r="BO87" s="2063"/>
      <c r="BP87" s="2063"/>
      <c r="BQ87" s="2063"/>
      <c r="BR87" s="2063"/>
      <c r="BS87" s="2063"/>
      <c r="BT87" s="2063"/>
      <c r="BU87" s="2063"/>
      <c r="BV87" s="2063"/>
      <c r="BW87" s="2063"/>
      <c r="BX87" s="2063"/>
      <c r="BY87" s="2063"/>
    </row>
    <row r="88" spans="1:77" x14ac:dyDescent="0.25">
      <c r="A88" s="2063"/>
      <c r="B88" s="2063"/>
      <c r="C88" s="2063"/>
      <c r="D88" s="2063"/>
      <c r="E88" s="2085" t="s">
        <v>1137</v>
      </c>
      <c r="F88" s="2132">
        <v>1</v>
      </c>
      <c r="G88" s="2064"/>
      <c r="H88" s="2063"/>
      <c r="I88" s="2063"/>
      <c r="J88" s="2063"/>
      <c r="K88" s="2063"/>
      <c r="L88" s="2063"/>
      <c r="M88" s="2063"/>
      <c r="N88" s="2063"/>
      <c r="O88" s="2063"/>
      <c r="P88" s="2063"/>
      <c r="Q88" s="2063"/>
      <c r="R88" s="2063"/>
      <c r="S88" s="2063"/>
      <c r="T88" s="2063"/>
      <c r="U88" s="2063"/>
      <c r="V88" s="2063"/>
      <c r="W88" s="2063"/>
      <c r="X88" s="2063"/>
      <c r="Y88" s="2063"/>
      <c r="Z88" s="2063"/>
      <c r="AA88" s="2063"/>
      <c r="AB88" s="2063"/>
      <c r="AC88" s="2063"/>
      <c r="AD88" s="2063"/>
      <c r="AE88" s="2063"/>
      <c r="AF88" s="2063"/>
      <c r="AG88" s="2063"/>
      <c r="AH88" s="2063"/>
      <c r="AI88" s="2063"/>
      <c r="AJ88" s="2063"/>
      <c r="AK88" s="2063"/>
      <c r="AL88" s="2063"/>
      <c r="AM88" s="2063"/>
      <c r="AN88" s="2063"/>
      <c r="AO88" s="2063"/>
      <c r="AP88" s="2063"/>
      <c r="AQ88" s="2063"/>
      <c r="AR88" s="2063"/>
      <c r="AS88" s="2063"/>
      <c r="AT88" s="2063"/>
      <c r="AU88" s="2063"/>
      <c r="AV88" s="2063"/>
      <c r="AW88" s="2063"/>
      <c r="AX88" s="2063"/>
      <c r="AY88" s="2063"/>
      <c r="AZ88" s="2063"/>
      <c r="BA88" s="2063"/>
      <c r="BB88" s="2063"/>
      <c r="BC88" s="2063"/>
      <c r="BD88" s="2063"/>
      <c r="BE88" s="2063"/>
      <c r="BF88" s="2063"/>
      <c r="BG88" s="2063"/>
      <c r="BH88" s="2063"/>
      <c r="BI88" s="2063"/>
      <c r="BJ88" s="2063"/>
      <c r="BK88" s="2063"/>
      <c r="BL88" s="2063"/>
      <c r="BM88" s="2063"/>
      <c r="BN88" s="2063"/>
      <c r="BO88" s="2063"/>
      <c r="BP88" s="2063"/>
      <c r="BQ88" s="2063"/>
      <c r="BR88" s="2063"/>
      <c r="BS88" s="2063"/>
      <c r="BT88" s="2063"/>
      <c r="BU88" s="2063"/>
      <c r="BV88" s="2063"/>
      <c r="BW88" s="2063"/>
      <c r="BX88" s="2063"/>
      <c r="BY88" s="2063"/>
    </row>
    <row r="89" spans="1:77" x14ac:dyDescent="0.25">
      <c r="A89" s="2063"/>
      <c r="B89" s="2063"/>
      <c r="C89" s="2063"/>
      <c r="D89" s="2063"/>
      <c r="E89" s="2085" t="s">
        <v>1138</v>
      </c>
      <c r="F89" s="2132">
        <v>2</v>
      </c>
      <c r="G89" s="2064"/>
      <c r="H89" s="2063"/>
      <c r="I89" s="2063"/>
      <c r="J89" s="2063"/>
      <c r="K89" s="2063"/>
      <c r="L89" s="2063"/>
      <c r="M89" s="2063"/>
      <c r="N89" s="2063"/>
      <c r="O89" s="2063"/>
      <c r="P89" s="2063"/>
      <c r="Q89" s="2063"/>
      <c r="R89" s="2063"/>
      <c r="S89" s="2063"/>
      <c r="T89" s="2063"/>
      <c r="U89" s="2063"/>
      <c r="V89" s="2063"/>
      <c r="W89" s="2063"/>
      <c r="X89" s="2063"/>
      <c r="Y89" s="2063"/>
      <c r="Z89" s="2063"/>
      <c r="AA89" s="2063"/>
      <c r="AB89" s="2063"/>
      <c r="AC89" s="2063"/>
      <c r="AD89" s="2063"/>
      <c r="AE89" s="2063"/>
      <c r="AF89" s="2063"/>
      <c r="AG89" s="2063"/>
      <c r="AH89" s="2063"/>
      <c r="AI89" s="2063"/>
      <c r="AJ89" s="2063"/>
      <c r="AK89" s="2063"/>
      <c r="AL89" s="2063"/>
      <c r="AM89" s="2063"/>
      <c r="AN89" s="2063"/>
      <c r="AO89" s="2063"/>
      <c r="AP89" s="2063"/>
      <c r="AQ89" s="2063"/>
      <c r="AR89" s="2063"/>
      <c r="AS89" s="2063"/>
      <c r="AT89" s="2063"/>
      <c r="AU89" s="2063"/>
      <c r="AV89" s="2063"/>
      <c r="AW89" s="2063"/>
      <c r="AX89" s="2063"/>
      <c r="AY89" s="2063"/>
      <c r="AZ89" s="2063"/>
      <c r="BA89" s="2063"/>
      <c r="BB89" s="2063"/>
      <c r="BC89" s="2063"/>
      <c r="BD89" s="2063"/>
      <c r="BE89" s="2063"/>
      <c r="BF89" s="2063"/>
      <c r="BG89" s="2063"/>
      <c r="BH89" s="2063"/>
      <c r="BI89" s="2063"/>
      <c r="BJ89" s="2063"/>
      <c r="BK89" s="2063"/>
      <c r="BL89" s="2063"/>
      <c r="BM89" s="2063"/>
      <c r="BN89" s="2063"/>
      <c r="BO89" s="2063"/>
      <c r="BP89" s="2063"/>
      <c r="BQ89" s="2063"/>
      <c r="BR89" s="2063"/>
      <c r="BS89" s="2063"/>
      <c r="BT89" s="2063"/>
      <c r="BU89" s="2063"/>
      <c r="BV89" s="2063"/>
      <c r="BW89" s="2063"/>
      <c r="BX89" s="2063"/>
      <c r="BY89" s="2063"/>
    </row>
    <row r="90" spans="1:77" x14ac:dyDescent="0.25">
      <c r="A90" s="2063"/>
      <c r="B90" s="2063"/>
      <c r="C90" s="2063"/>
      <c r="D90" s="2063"/>
      <c r="E90" s="2121" t="s">
        <v>1139</v>
      </c>
      <c r="F90" s="2133">
        <v>3</v>
      </c>
      <c r="G90" s="2064"/>
      <c r="H90" s="2063"/>
      <c r="I90" s="2063"/>
      <c r="J90" s="2063"/>
      <c r="K90" s="2063"/>
      <c r="L90" s="2063"/>
      <c r="M90" s="2063"/>
      <c r="N90" s="2063"/>
      <c r="O90" s="2063"/>
      <c r="P90" s="2063"/>
      <c r="Q90" s="2063"/>
      <c r="R90" s="2063"/>
      <c r="S90" s="2063"/>
      <c r="T90" s="2063"/>
      <c r="U90" s="2063"/>
      <c r="V90" s="2063"/>
      <c r="W90" s="2063"/>
      <c r="X90" s="2063"/>
      <c r="Y90" s="2063"/>
      <c r="Z90" s="2063"/>
      <c r="AA90" s="2063"/>
      <c r="AB90" s="2063"/>
      <c r="AC90" s="2063"/>
      <c r="AD90" s="2063"/>
      <c r="AE90" s="2063"/>
      <c r="AF90" s="2063"/>
      <c r="AG90" s="2063"/>
      <c r="AH90" s="2063"/>
      <c r="AI90" s="2063"/>
      <c r="AJ90" s="2063"/>
      <c r="AK90" s="2063"/>
      <c r="AL90" s="2063"/>
      <c r="AM90" s="2063"/>
      <c r="AN90" s="2063"/>
      <c r="AO90" s="2063"/>
      <c r="AP90" s="2063"/>
      <c r="AQ90" s="2063"/>
      <c r="AR90" s="2063"/>
      <c r="AS90" s="2063"/>
      <c r="AT90" s="2063"/>
      <c r="AU90" s="2063"/>
      <c r="AV90" s="2063"/>
      <c r="AW90" s="2063"/>
      <c r="AX90" s="2063"/>
      <c r="AY90" s="2063"/>
      <c r="AZ90" s="2063"/>
      <c r="BA90" s="2063"/>
      <c r="BB90" s="2063"/>
      <c r="BC90" s="2063"/>
      <c r="BD90" s="2063"/>
      <c r="BE90" s="2063"/>
      <c r="BF90" s="2063"/>
      <c r="BG90" s="2063"/>
      <c r="BH90" s="2063"/>
      <c r="BI90" s="2063"/>
      <c r="BJ90" s="2063"/>
      <c r="BK90" s="2063"/>
      <c r="BL90" s="2063"/>
      <c r="BM90" s="2063"/>
      <c r="BN90" s="2063"/>
      <c r="BO90" s="2063"/>
      <c r="BP90" s="2063"/>
      <c r="BQ90" s="2063"/>
      <c r="BR90" s="2063"/>
      <c r="BS90" s="2063"/>
      <c r="BT90" s="2063"/>
      <c r="BU90" s="2063"/>
      <c r="BV90" s="2063"/>
      <c r="BW90" s="2063"/>
      <c r="BX90" s="2063"/>
      <c r="BY90" s="2063"/>
    </row>
    <row r="91" spans="1:77" x14ac:dyDescent="0.25">
      <c r="A91" s="2063"/>
      <c r="B91" s="2063"/>
      <c r="C91" s="2063"/>
      <c r="D91" s="2063"/>
      <c r="E91" s="2063"/>
      <c r="F91" s="2063"/>
      <c r="G91" s="2064"/>
      <c r="H91" s="2063"/>
      <c r="I91" s="2063"/>
      <c r="J91" s="2063"/>
      <c r="K91" s="2063"/>
      <c r="L91" s="2063"/>
      <c r="M91" s="2063"/>
      <c r="N91" s="2063"/>
      <c r="O91" s="2063"/>
      <c r="P91" s="2063"/>
      <c r="Q91" s="2063"/>
      <c r="R91" s="2063"/>
      <c r="S91" s="2063"/>
      <c r="T91" s="2063"/>
      <c r="U91" s="2063"/>
      <c r="V91" s="2063"/>
      <c r="W91" s="2063"/>
      <c r="X91" s="2063"/>
      <c r="Y91" s="2063"/>
      <c r="Z91" s="2063"/>
      <c r="AA91" s="2063"/>
      <c r="AB91" s="2063"/>
      <c r="AC91" s="2063"/>
      <c r="AD91" s="2063"/>
      <c r="AE91" s="2063"/>
      <c r="AF91" s="2063"/>
      <c r="AG91" s="2063"/>
      <c r="AH91" s="2063"/>
      <c r="AI91" s="2063"/>
      <c r="AJ91" s="2063"/>
      <c r="AK91" s="2063"/>
      <c r="AL91" s="2063"/>
      <c r="AM91" s="2063"/>
      <c r="AN91" s="2063"/>
      <c r="AO91" s="2063"/>
      <c r="AP91" s="2063"/>
      <c r="AQ91" s="2063"/>
      <c r="AR91" s="2063"/>
      <c r="AS91" s="2063"/>
      <c r="AT91" s="2063"/>
      <c r="AU91" s="2063"/>
      <c r="AV91" s="2063"/>
      <c r="AW91" s="2063"/>
      <c r="AX91" s="2063"/>
      <c r="AY91" s="2063"/>
      <c r="AZ91" s="2063"/>
      <c r="BA91" s="2063"/>
      <c r="BB91" s="2063"/>
      <c r="BC91" s="2063"/>
      <c r="BD91" s="2063"/>
      <c r="BE91" s="2063"/>
      <c r="BF91" s="2063"/>
      <c r="BG91" s="2063"/>
      <c r="BH91" s="2063"/>
      <c r="BI91" s="2063"/>
      <c r="BJ91" s="2063"/>
      <c r="BK91" s="2063"/>
      <c r="BL91" s="2063"/>
      <c r="BM91" s="2063"/>
      <c r="BN91" s="2063"/>
      <c r="BO91" s="2063"/>
      <c r="BP91" s="2063"/>
      <c r="BQ91" s="2063"/>
      <c r="BR91" s="2063"/>
      <c r="BS91" s="2063"/>
      <c r="BT91" s="2063"/>
      <c r="BU91" s="2063"/>
      <c r="BV91" s="2063"/>
      <c r="BW91" s="2063"/>
      <c r="BX91" s="2063"/>
      <c r="BY91" s="2063"/>
    </row>
    <row r="92" spans="1:77" x14ac:dyDescent="0.25">
      <c r="A92" s="2063"/>
      <c r="B92" s="2063"/>
      <c r="C92" s="2063"/>
      <c r="D92" s="2063"/>
      <c r="E92" s="2063"/>
      <c r="F92" s="2063"/>
      <c r="G92" s="2064"/>
      <c r="H92" s="2063"/>
      <c r="I92" s="2063"/>
      <c r="J92" s="2063"/>
      <c r="K92" s="2063"/>
      <c r="L92" s="2063"/>
      <c r="M92" s="2063"/>
      <c r="N92" s="2063"/>
      <c r="O92" s="2063"/>
      <c r="P92" s="2063"/>
      <c r="Q92" s="2063"/>
      <c r="R92" s="2063"/>
      <c r="S92" s="2063"/>
      <c r="T92" s="2063"/>
      <c r="U92" s="2063"/>
      <c r="V92" s="2063"/>
      <c r="W92" s="2063"/>
      <c r="X92" s="2063"/>
      <c r="Y92" s="2063"/>
      <c r="Z92" s="2063"/>
      <c r="AA92" s="2063"/>
      <c r="AB92" s="2063"/>
      <c r="AC92" s="2063"/>
      <c r="AD92" s="2063"/>
      <c r="AE92" s="2063"/>
      <c r="AF92" s="2063"/>
      <c r="AG92" s="2063"/>
      <c r="AH92" s="2063"/>
      <c r="AI92" s="2063"/>
      <c r="AJ92" s="2063"/>
      <c r="AK92" s="2063"/>
      <c r="AL92" s="2063"/>
      <c r="AM92" s="2063"/>
      <c r="AN92" s="2063"/>
      <c r="AO92" s="2063"/>
      <c r="AP92" s="2063"/>
      <c r="AQ92" s="2063"/>
      <c r="AR92" s="2063"/>
      <c r="AS92" s="2063"/>
      <c r="AT92" s="2063"/>
      <c r="AU92" s="2063"/>
      <c r="AV92" s="2063"/>
      <c r="AW92" s="2063"/>
      <c r="AX92" s="2063"/>
      <c r="AY92" s="2063"/>
      <c r="AZ92" s="2063"/>
      <c r="BA92" s="2063"/>
      <c r="BB92" s="2063"/>
      <c r="BC92" s="2063"/>
      <c r="BD92" s="2063"/>
      <c r="BE92" s="2063"/>
      <c r="BF92" s="2063"/>
      <c r="BG92" s="2063"/>
      <c r="BH92" s="2063"/>
      <c r="BI92" s="2063"/>
      <c r="BJ92" s="2063"/>
      <c r="BK92" s="2063"/>
      <c r="BL92" s="2063"/>
      <c r="BM92" s="2063"/>
      <c r="BN92" s="2063"/>
      <c r="BO92" s="2063"/>
      <c r="BP92" s="2063"/>
      <c r="BQ92" s="2063"/>
      <c r="BR92" s="2063"/>
      <c r="BS92" s="2063"/>
      <c r="BT92" s="2063"/>
      <c r="BU92" s="2063"/>
      <c r="BV92" s="2063"/>
      <c r="BW92" s="2063"/>
      <c r="BX92" s="2063"/>
      <c r="BY92" s="2063"/>
    </row>
  </sheetData>
  <sheetProtection algorithmName="SHA-512" hashValue="+af8XV5fLu3ZUtaFgcUpmLza9MO/fgvv/RAjDMEF+eoCcvpzCqgVoEpOY2nXf5pxm/tHLqEE7HBlHLefMkNnSg==" saltValue="hGd0Xyogb72NIuqNPBnnDQ==" spinCount="100000" sheet="1" scenarios="1" formatCells="0" formatColumns="0" formatRows="0" pivotTables="0"/>
  <mergeCells count="2">
    <mergeCell ref="B2:AK2"/>
    <mergeCell ref="AN2:BW2"/>
  </mergeCells>
  <pageMargins left="0" right="0" top="0" bottom="0" header="0" footer="0"/>
  <pageSetup scale="52" fitToHeight="6" orientation="landscape" r:id="rId1"/>
  <rowBreaks count="1" manualBreakCount="1">
    <brk id="36" min="2" max="17"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PPD_DD_2!$E$46:$E$66</xm:f>
          </x14:formula1>
          <xm:sqref>F6:F35 AR6:AR35</xm:sqref>
        </x14:dataValidation>
        <x14:dataValidation type="list" allowBlank="1" showInputMessage="1" showErrorMessage="1" xr:uid="{00000000-0002-0000-0400-000001000000}">
          <x14:formula1>
            <xm:f>PPD_DD_2!$D$68:$D$80</xm:f>
          </x14:formula1>
          <xm:sqref>E6:E35 AQ6:AQ35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pageSetUpPr fitToPage="1"/>
  </sheetPr>
  <dimension ref="A1:CT231"/>
  <sheetViews>
    <sheetView showGridLines="0" zoomScaleNormal="100" workbookViewId="0">
      <pane xSplit="4" ySplit="8" topLeftCell="K149" activePane="bottomRight" state="frozen"/>
      <selection activeCell="H18" sqref="H18:AD18"/>
      <selection pane="topRight" activeCell="H18" sqref="H18:AD18"/>
      <selection pane="bottomLeft" activeCell="H18" sqref="H18:AD18"/>
      <selection pane="bottomRight" activeCell="H18" sqref="H18:AD18"/>
    </sheetView>
  </sheetViews>
  <sheetFormatPr defaultColWidth="9.109375" defaultRowHeight="14.4" outlineLevelRow="2" x14ac:dyDescent="0.3"/>
  <cols>
    <col min="1" max="1" width="1.109375" style="1071" customWidth="1"/>
    <col min="2" max="2" width="22.5546875" style="1071" customWidth="1"/>
    <col min="3" max="3" width="9" style="1071" customWidth="1"/>
    <col min="4" max="4" width="5.6640625" style="1071" customWidth="1"/>
    <col min="5" max="5" width="9.5546875" style="1071" hidden="1" customWidth="1"/>
    <col min="6" max="6" width="5.6640625" style="1071" hidden="1" customWidth="1"/>
    <col min="7" max="7" width="9.5546875" style="1071" hidden="1" customWidth="1"/>
    <col min="8" max="8" width="5.6640625" style="1071" hidden="1" customWidth="1"/>
    <col min="9" max="9" width="7.88671875" style="1071" hidden="1" customWidth="1"/>
    <col min="10" max="10" width="5.6640625" style="1071" hidden="1" customWidth="1"/>
    <col min="11" max="11" width="7.88671875" style="1071" customWidth="1"/>
    <col min="12" max="12" width="5.6640625" style="1071" customWidth="1"/>
    <col min="13" max="13" width="7.88671875" style="1071" customWidth="1"/>
    <col min="14" max="14" width="5.6640625" style="1071" customWidth="1"/>
    <col min="15" max="15" width="7.88671875" style="1071" customWidth="1"/>
    <col min="16" max="16" width="7.109375" style="1071" customWidth="1"/>
    <col min="17" max="17" width="7.88671875" style="1071" customWidth="1"/>
    <col min="18" max="18" width="5.6640625" style="1071" customWidth="1"/>
    <col min="19" max="19" width="9.5546875" style="1071" hidden="1" customWidth="1"/>
    <col min="20" max="20" width="5.6640625" style="1071" hidden="1" customWidth="1"/>
    <col min="21" max="21" width="7.88671875" style="1071" customWidth="1"/>
    <col min="22" max="22" width="5.6640625" style="2429" customWidth="1"/>
    <col min="23" max="23" width="9.5546875" style="1071" hidden="1" customWidth="1"/>
    <col min="24" max="24" width="5.6640625" style="2429" hidden="1" customWidth="1"/>
    <col min="25" max="25" width="7.88671875" style="1071" customWidth="1"/>
    <col min="26" max="26" width="5.6640625" style="2429" customWidth="1"/>
    <col min="27" max="27" width="9.5546875" style="1071" hidden="1" customWidth="1"/>
    <col min="28" max="28" width="5.6640625" style="2429" hidden="1" customWidth="1"/>
    <col min="29" max="29" width="9.5546875" style="1071" hidden="1" customWidth="1"/>
    <col min="30" max="30" width="5.6640625" style="2429" hidden="1" customWidth="1"/>
    <col min="31" max="31" width="7.88671875" style="1071" customWidth="1"/>
    <col min="32" max="32" width="5.6640625" style="2429" customWidth="1"/>
    <col min="33" max="33" width="9.5546875" style="1071" hidden="1" customWidth="1"/>
    <col min="34" max="34" width="5.6640625" style="2429" hidden="1" customWidth="1"/>
    <col min="35" max="35" width="9.5546875" style="1071" hidden="1" customWidth="1"/>
    <col min="36" max="36" width="5.6640625" style="2429" hidden="1" customWidth="1"/>
    <col min="37" max="37" width="7.88671875" style="1071" customWidth="1"/>
    <col min="38" max="38" width="5.6640625" style="2429" customWidth="1"/>
    <col min="39" max="39" width="9.5546875" style="2429" hidden="1" customWidth="1"/>
    <col min="40" max="40" width="5.6640625" style="2429" hidden="1" customWidth="1"/>
    <col min="41" max="41" width="9.5546875" style="2429" hidden="1" customWidth="1"/>
    <col min="42" max="42" width="5.6640625" style="2429" hidden="1" customWidth="1"/>
    <col min="43" max="43" width="9.5546875" style="2429" hidden="1" customWidth="1"/>
    <col min="44" max="44" width="5.6640625" style="2429" hidden="1" customWidth="1"/>
    <col min="45" max="45" width="9.5546875" style="2429" hidden="1" customWidth="1"/>
    <col min="46" max="46" width="5.6640625" style="2429" hidden="1" customWidth="1"/>
    <col min="47" max="47" width="9.5546875" style="2429" hidden="1" customWidth="1"/>
    <col min="48" max="48" width="5.6640625" style="2429" hidden="1" customWidth="1"/>
    <col min="49" max="49" width="9.5546875" style="2429" hidden="1" customWidth="1"/>
    <col min="50" max="50" width="5.6640625" style="2429" hidden="1" customWidth="1"/>
    <col min="51" max="51" width="9.5546875" style="2429" hidden="1" customWidth="1"/>
    <col min="52" max="52" width="5.6640625" style="2429" hidden="1" customWidth="1"/>
    <col min="53" max="53" width="9.5546875" style="2429" hidden="1" customWidth="1"/>
    <col min="54" max="54" width="5.6640625" style="2429" hidden="1" customWidth="1"/>
    <col min="55" max="55" width="9.5546875" style="2429" hidden="1" customWidth="1"/>
    <col min="56" max="56" width="5.6640625" style="2429" hidden="1" customWidth="1"/>
    <col min="57" max="57" width="9.5546875" style="2429" hidden="1" customWidth="1"/>
    <col min="58" max="58" width="5.6640625" style="2429" hidden="1" customWidth="1"/>
    <col min="59" max="59" width="9.5546875" style="2429" hidden="1" customWidth="1"/>
    <col min="60" max="60" width="5.6640625" style="2429" hidden="1" customWidth="1"/>
    <col min="61" max="61" width="9.5546875" style="2429" hidden="1" customWidth="1"/>
    <col min="62" max="62" width="5.6640625" style="2429" hidden="1" customWidth="1"/>
    <col min="63" max="63" width="10.5546875" style="2430" customWidth="1"/>
    <col min="64" max="64" width="6" style="2430" customWidth="1"/>
    <col min="65" max="65" width="8.109375" style="1071" customWidth="1"/>
    <col min="66" max="66" width="1.109375" style="1071" customWidth="1"/>
    <col min="67" max="67" width="2.33203125" style="1071" customWidth="1"/>
    <col min="68" max="68" width="10.5546875" style="1071" customWidth="1"/>
    <col min="69" max="70" width="7.5546875" style="1071" customWidth="1"/>
    <col min="71" max="71" width="2.44140625" style="1831" customWidth="1"/>
    <col min="72" max="72" width="9.109375" style="1071" customWidth="1"/>
    <col min="73" max="73" width="14.6640625" style="1071" customWidth="1"/>
    <col min="74" max="77" width="11.44140625" style="1071" customWidth="1"/>
    <col min="78" max="78" width="9.88671875" style="1071" customWidth="1"/>
    <col min="79" max="79" width="10" style="1071" customWidth="1"/>
    <col min="80" max="80" width="9.109375" style="1071"/>
    <col min="81" max="81" width="13" style="1071" customWidth="1"/>
    <col min="82" max="82" width="10.33203125" style="1071" customWidth="1"/>
    <col min="83" max="83" width="8.44140625" style="1071" customWidth="1"/>
    <col min="84" max="84" width="8.6640625" style="1071" customWidth="1"/>
    <col min="85" max="85" width="7.44140625" style="1071" customWidth="1"/>
    <col min="86" max="87" width="9.109375" style="1071"/>
    <col min="88" max="90" width="9" style="1071" customWidth="1"/>
    <col min="91" max="91" width="4.6640625" style="1071" customWidth="1"/>
    <col min="92" max="92" width="9" style="1071" customWidth="1"/>
    <col min="93" max="93" width="34.88671875" style="1071" customWidth="1"/>
    <col min="94" max="94" width="21.33203125" style="1071" customWidth="1"/>
    <col min="95" max="95" width="22.44140625" style="1071" customWidth="1"/>
    <col min="96" max="96" width="20.5546875" style="1071" bestFit="1" customWidth="1"/>
    <col min="97" max="97" width="18.109375" style="1071" bestFit="1" customWidth="1"/>
    <col min="98" max="100" width="9.109375" style="1071"/>
    <col min="101" max="101" width="14.6640625" style="1071" bestFit="1" customWidth="1"/>
    <col min="102" max="103" width="9.109375" style="1071"/>
    <col min="104" max="104" width="10.109375" style="1071" customWidth="1"/>
    <col min="105" max="16384" width="9.109375" style="1071"/>
  </cols>
  <sheetData>
    <row r="1" spans="1:71" ht="4.5" customHeight="1" thickBot="1" x14ac:dyDescent="0.35">
      <c r="A1" s="1070"/>
      <c r="B1" s="1070"/>
      <c r="C1" s="1070"/>
      <c r="D1" s="1070"/>
      <c r="E1" s="1070"/>
      <c r="F1" s="1070"/>
      <c r="G1" s="1070"/>
      <c r="H1" s="1070"/>
      <c r="I1" s="1070"/>
      <c r="J1" s="1070"/>
      <c r="K1" s="1070"/>
      <c r="L1" s="1070"/>
      <c r="M1" s="1070"/>
      <c r="N1" s="1070"/>
      <c r="O1" s="1070"/>
      <c r="P1" s="1070"/>
      <c r="Q1" s="1070"/>
      <c r="R1" s="1070"/>
      <c r="S1" s="1070"/>
      <c r="T1" s="1070"/>
      <c r="U1" s="1070"/>
      <c r="V1" s="2135"/>
      <c r="W1" s="1070"/>
      <c r="X1" s="2135"/>
      <c r="Y1" s="1070"/>
      <c r="Z1" s="2135"/>
      <c r="AA1" s="1070"/>
      <c r="AB1" s="2135"/>
      <c r="AC1" s="1070"/>
      <c r="AD1" s="2135"/>
      <c r="AE1" s="1070"/>
      <c r="AF1" s="2135"/>
      <c r="AG1" s="1070"/>
      <c r="AH1" s="2135"/>
      <c r="AI1" s="1070"/>
      <c r="AJ1" s="2135"/>
      <c r="AK1" s="1070"/>
      <c r="AL1" s="2135"/>
      <c r="AM1" s="2135"/>
      <c r="AN1" s="2135"/>
      <c r="AO1" s="2135"/>
      <c r="AP1" s="2135"/>
      <c r="AQ1" s="2135"/>
      <c r="AR1" s="2135"/>
      <c r="AS1" s="2135"/>
      <c r="AT1" s="2135"/>
      <c r="AU1" s="2135"/>
      <c r="AV1" s="2135"/>
      <c r="AW1" s="2135"/>
      <c r="AX1" s="2135"/>
      <c r="AY1" s="2135"/>
      <c r="AZ1" s="2135"/>
      <c r="BA1" s="2135"/>
      <c r="BB1" s="2135"/>
      <c r="BC1" s="2135"/>
      <c r="BD1" s="2135"/>
      <c r="BE1" s="2135"/>
      <c r="BF1" s="2135"/>
      <c r="BG1" s="2135"/>
      <c r="BH1" s="2135"/>
      <c r="BI1" s="2135"/>
      <c r="BJ1" s="2135"/>
      <c r="BK1" s="2136"/>
      <c r="BL1" s="2136"/>
      <c r="BM1" s="1070"/>
      <c r="BN1" s="1070"/>
      <c r="BO1" s="1070"/>
      <c r="BP1" s="1070"/>
      <c r="BQ1" s="1070"/>
      <c r="BR1" s="1070"/>
      <c r="BS1" s="1824"/>
    </row>
    <row r="2" spans="1:71" ht="15" thickBot="1" x14ac:dyDescent="0.35">
      <c r="A2" s="1070"/>
      <c r="B2" s="3310" t="s">
        <v>1568</v>
      </c>
      <c r="C2" s="3311"/>
      <c r="D2" s="2137" t="s">
        <v>1569</v>
      </c>
      <c r="E2" s="1070"/>
      <c r="F2" s="1070"/>
      <c r="G2" s="1070"/>
      <c r="H2" s="1070"/>
      <c r="I2" s="1070"/>
      <c r="J2" s="1070"/>
      <c r="K2" s="1070"/>
      <c r="L2" s="1070"/>
      <c r="M2" s="1070"/>
      <c r="N2" s="1070"/>
      <c r="O2" s="1070"/>
      <c r="P2" s="1070"/>
      <c r="Q2" s="1070"/>
      <c r="R2" s="1070"/>
      <c r="S2" s="1070"/>
      <c r="T2" s="1070"/>
      <c r="U2" s="1070"/>
      <c r="V2" s="2135"/>
      <c r="W2" s="1070"/>
      <c r="X2" s="2135"/>
      <c r="Y2" s="1070"/>
      <c r="Z2" s="2135"/>
      <c r="AA2" s="1070"/>
      <c r="AB2" s="2135"/>
      <c r="AC2" s="1070"/>
      <c r="AD2" s="2135"/>
      <c r="AE2" s="1070"/>
      <c r="AF2" s="2135"/>
      <c r="AG2" s="1070"/>
      <c r="AH2" s="2135"/>
      <c r="AI2" s="1070"/>
      <c r="AJ2" s="2135"/>
      <c r="AK2" s="1070"/>
      <c r="AL2" s="2135"/>
      <c r="AM2" s="2135"/>
      <c r="AN2" s="2135"/>
      <c r="AO2" s="2138"/>
      <c r="AP2" s="2138"/>
      <c r="AQ2" s="2138"/>
      <c r="AR2" s="2138"/>
      <c r="AS2" s="2138"/>
      <c r="AT2" s="2138"/>
      <c r="AU2" s="2138"/>
      <c r="AV2" s="2138"/>
      <c r="AW2" s="2138"/>
      <c r="AX2" s="2138"/>
      <c r="AY2" s="2138"/>
      <c r="AZ2" s="2138"/>
      <c r="BA2" s="2138"/>
      <c r="BB2" s="2138"/>
      <c r="BC2" s="2138"/>
      <c r="BD2" s="2138"/>
      <c r="BE2" s="2138"/>
      <c r="BF2" s="2138"/>
      <c r="BG2" s="2138"/>
      <c r="BH2" s="2138"/>
      <c r="BI2" s="2138"/>
      <c r="BJ2" s="2138"/>
      <c r="BK2" s="1082"/>
      <c r="BL2" s="1070"/>
      <c r="BM2" s="1070"/>
      <c r="BN2" s="1070"/>
      <c r="BO2" s="1070"/>
      <c r="BP2" s="1070"/>
      <c r="BQ2" s="1070"/>
      <c r="BR2" s="1070"/>
      <c r="BS2" s="1824"/>
    </row>
    <row r="3" spans="1:71" ht="4.5" customHeight="1" thickBot="1" x14ac:dyDescent="0.35">
      <c r="A3" s="1070"/>
      <c r="B3" s="1070"/>
      <c r="C3" s="2139"/>
      <c r="D3" s="2140"/>
      <c r="E3" s="1070"/>
      <c r="F3" s="1070"/>
      <c r="G3" s="1070"/>
      <c r="H3" s="1070"/>
      <c r="I3" s="1070"/>
      <c r="J3" s="1070"/>
      <c r="K3" s="1070"/>
      <c r="L3" s="1070"/>
      <c r="M3" s="1070"/>
      <c r="N3" s="1070"/>
      <c r="O3" s="1070"/>
      <c r="P3" s="1070"/>
      <c r="Q3" s="1070"/>
      <c r="R3" s="1070"/>
      <c r="S3" s="1070"/>
      <c r="T3" s="1070"/>
      <c r="U3" s="1070"/>
      <c r="V3" s="2135"/>
      <c r="W3" s="1070"/>
      <c r="X3" s="2135"/>
      <c r="Y3" s="1070"/>
      <c r="Z3" s="2135"/>
      <c r="AA3" s="1070"/>
      <c r="AB3" s="2135"/>
      <c r="AC3" s="1070"/>
      <c r="AD3" s="2135"/>
      <c r="AE3" s="1070"/>
      <c r="AF3" s="2135"/>
      <c r="AG3" s="1070"/>
      <c r="AH3" s="2135"/>
      <c r="AI3" s="1070"/>
      <c r="AJ3" s="2135"/>
      <c r="AK3" s="1070"/>
      <c r="AL3" s="2135"/>
      <c r="AM3" s="2135"/>
      <c r="AN3" s="2135"/>
      <c r="AO3" s="2135"/>
      <c r="AP3" s="2135"/>
      <c r="AQ3" s="2135"/>
      <c r="AR3" s="2135"/>
      <c r="AS3" s="2135"/>
      <c r="AT3" s="2135"/>
      <c r="AU3" s="2135"/>
      <c r="AV3" s="2135"/>
      <c r="AW3" s="2135"/>
      <c r="AX3" s="2135"/>
      <c r="AY3" s="2135"/>
      <c r="AZ3" s="2135"/>
      <c r="BA3" s="2135"/>
      <c r="BB3" s="2135"/>
      <c r="BC3" s="2135"/>
      <c r="BD3" s="2135"/>
      <c r="BE3" s="2135"/>
      <c r="BF3" s="2135"/>
      <c r="BG3" s="2135"/>
      <c r="BH3" s="2135"/>
      <c r="BI3" s="2135"/>
      <c r="BJ3" s="2135"/>
      <c r="BK3" s="2136"/>
      <c r="BL3" s="2136"/>
      <c r="BM3" s="1070"/>
      <c r="BN3" s="1070"/>
      <c r="BO3" s="1070"/>
      <c r="BP3" s="1070"/>
      <c r="BQ3" s="1070"/>
      <c r="BR3" s="1070"/>
      <c r="BS3" s="1824"/>
    </row>
    <row r="4" spans="1:71" ht="18.600000000000001" thickBot="1" x14ac:dyDescent="0.4">
      <c r="A4" s="1070"/>
      <c r="B4" s="3238" t="str">
        <f>"Revenue and Profitability ("&amp;D2&amp;"): Actuals / Projections vs. "&amp;Comp</f>
        <v>Revenue and Profitability ($ M): Actuals / Projections vs. Def Exit</v>
      </c>
      <c r="C4" s="3239"/>
      <c r="D4" s="3239"/>
      <c r="E4" s="3239"/>
      <c r="F4" s="3239"/>
      <c r="G4" s="3239"/>
      <c r="H4" s="3239"/>
      <c r="I4" s="3239"/>
      <c r="J4" s="3239"/>
      <c r="K4" s="3239"/>
      <c r="L4" s="3239"/>
      <c r="M4" s="3239"/>
      <c r="N4" s="3239"/>
      <c r="O4" s="3239"/>
      <c r="P4" s="3239"/>
      <c r="Q4" s="3239"/>
      <c r="R4" s="3239"/>
      <c r="S4" s="3239"/>
      <c r="T4" s="3239"/>
      <c r="U4" s="3239"/>
      <c r="V4" s="3239"/>
      <c r="W4" s="3239"/>
      <c r="X4" s="3239"/>
      <c r="Y4" s="3239"/>
      <c r="Z4" s="3239"/>
      <c r="AA4" s="3239"/>
      <c r="AB4" s="3239"/>
      <c r="AC4" s="3239"/>
      <c r="AD4" s="3239"/>
      <c r="AE4" s="3239"/>
      <c r="AF4" s="3239"/>
      <c r="AG4" s="3239"/>
      <c r="AH4" s="3239"/>
      <c r="AI4" s="3239"/>
      <c r="AJ4" s="3239"/>
      <c r="AK4" s="3239"/>
      <c r="AL4" s="3239"/>
      <c r="AM4" s="3239"/>
      <c r="AN4" s="3239"/>
      <c r="AO4" s="3239"/>
      <c r="AP4" s="3239"/>
      <c r="AQ4" s="3239"/>
      <c r="AR4" s="3239"/>
      <c r="AS4" s="3239"/>
      <c r="AT4" s="3239"/>
      <c r="AU4" s="3239"/>
      <c r="AV4" s="3239"/>
      <c r="AW4" s="3239"/>
      <c r="AX4" s="3239"/>
      <c r="AY4" s="3239"/>
      <c r="AZ4" s="3239"/>
      <c r="BA4" s="3239"/>
      <c r="BB4" s="3239"/>
      <c r="BC4" s="3239"/>
      <c r="BD4" s="3239"/>
      <c r="BE4" s="3239"/>
      <c r="BF4" s="3239"/>
      <c r="BG4" s="3239"/>
      <c r="BH4" s="3239"/>
      <c r="BI4" s="3239"/>
      <c r="BJ4" s="3239"/>
      <c r="BK4" s="3239"/>
      <c r="BL4" s="3239"/>
      <c r="BM4" s="3240"/>
      <c r="BN4" s="1070"/>
      <c r="BO4" s="1070"/>
      <c r="BP4" s="1070"/>
      <c r="BQ4" s="1070"/>
      <c r="BR4" s="1070"/>
      <c r="BS4" s="1824"/>
    </row>
    <row r="5" spans="1:71" ht="1.5" customHeight="1" thickBot="1" x14ac:dyDescent="0.4">
      <c r="A5" s="1070"/>
      <c r="B5" s="2141"/>
      <c r="C5" s="2141"/>
      <c r="D5" s="2141"/>
      <c r="E5" s="2141"/>
      <c r="F5" s="2141"/>
      <c r="G5" s="2141"/>
      <c r="H5" s="2141"/>
      <c r="I5" s="2141"/>
      <c r="J5" s="2141"/>
      <c r="K5" s="2141"/>
      <c r="L5" s="2141"/>
      <c r="M5" s="2141"/>
      <c r="N5" s="2141"/>
      <c r="O5" s="2141"/>
      <c r="P5" s="2141"/>
      <c r="Q5" s="2141"/>
      <c r="R5" s="2141"/>
      <c r="S5" s="2141"/>
      <c r="T5" s="2141"/>
      <c r="U5" s="2141"/>
      <c r="V5" s="2141"/>
      <c r="W5" s="2141"/>
      <c r="X5" s="2141"/>
      <c r="Y5" s="2141"/>
      <c r="Z5" s="2141"/>
      <c r="AA5" s="2141"/>
      <c r="AB5" s="2141"/>
      <c r="AC5" s="2141"/>
      <c r="AD5" s="2141"/>
      <c r="AE5" s="2141"/>
      <c r="AF5" s="2141"/>
      <c r="AG5" s="2141"/>
      <c r="AH5" s="2141"/>
      <c r="AI5" s="2141"/>
      <c r="AJ5" s="2141"/>
      <c r="AK5" s="2141"/>
      <c r="AL5" s="2141"/>
      <c r="AM5" s="2141"/>
      <c r="AN5" s="2141"/>
      <c r="AO5" s="2141"/>
      <c r="AP5" s="2141"/>
      <c r="AQ5" s="2141"/>
      <c r="AR5" s="2141"/>
      <c r="AS5" s="2141"/>
      <c r="AT5" s="2141"/>
      <c r="AU5" s="2141"/>
      <c r="AV5" s="2141"/>
      <c r="AW5" s="2141"/>
      <c r="AX5" s="2141"/>
      <c r="AY5" s="2141"/>
      <c r="AZ5" s="2141"/>
      <c r="BA5" s="2141"/>
      <c r="BB5" s="2141"/>
      <c r="BC5" s="2141"/>
      <c r="BD5" s="2141"/>
      <c r="BE5" s="2141"/>
      <c r="BF5" s="2141"/>
      <c r="BG5" s="2141"/>
      <c r="BH5" s="2141"/>
      <c r="BI5" s="2141"/>
      <c r="BJ5" s="2141"/>
      <c r="BK5" s="2141"/>
      <c r="BL5" s="2141"/>
      <c r="BM5" s="2141"/>
      <c r="BN5" s="1070"/>
      <c r="BO5" s="1070"/>
      <c r="BP5" s="1070"/>
      <c r="BQ5" s="1070"/>
      <c r="BR5" s="1070"/>
      <c r="BS5" s="1824"/>
    </row>
    <row r="6" spans="1:71" s="1265" customFormat="1" ht="31.8" thickBot="1" x14ac:dyDescent="0.35">
      <c r="A6" s="1260"/>
      <c r="B6" s="2142"/>
      <c r="C6" s="2142"/>
      <c r="D6" s="2143"/>
      <c r="E6" s="3312">
        <f>IFERROR(IF(Calc!G$113=ASRFY,"ASR",IF(Calc!G$113=ASRFY+1,"ASR",IF(Calc!G$113=ASRFY+2,"ASR",0))),0)</f>
        <v>0</v>
      </c>
      <c r="F6" s="3313"/>
      <c r="G6" s="3314">
        <f>IFERROR(IF(Calc!H$113=ASRFY,"ASR",IF(Calc!H$113=ASRFY+1,"ASR",IF(Calc!H$113=ASRFY+2,"ASR",0))),0)</f>
        <v>0</v>
      </c>
      <c r="H6" s="3313"/>
      <c r="I6" s="3314">
        <f>IFERROR(IF(Calc!I$113=ASRFY,"ASR",IF(Calc!I$113=ASRFY+1,"ASR",IF(Calc!I$113=ASRFY+2,"ASR",0))),0)</f>
        <v>0</v>
      </c>
      <c r="J6" s="3313"/>
      <c r="K6" s="3314">
        <f>IFERROR(IF(Calc!J$113=ASRFY,"ASR",IF(Calc!J$113=ASRFY+1,"ASR",IF(Calc!J$113=ASRFY+2,"ASR",0))),0)</f>
        <v>0</v>
      </c>
      <c r="L6" s="3313"/>
      <c r="M6" s="3314">
        <f>IFERROR(IF(Calc!K$113=ASRFY,"ASR",IF(Calc!K$113=ASRFY+1,"ASR",IF(Calc!K$113=ASRFY+2,"ASR",0))),0)</f>
        <v>0</v>
      </c>
      <c r="N6" s="3313"/>
      <c r="O6" s="3314">
        <f>IFERROR(IF(Calc!L$113=ASRFY,"ASR",IF(Calc!L$113=ASRFY+1,"ASR",IF(Calc!L$113=ASRFY+2,"ASR",0))),0)</f>
        <v>0</v>
      </c>
      <c r="P6" s="3313"/>
      <c r="Q6" s="3314">
        <f>IFERROR(IF(Calc!M$113=ASRFY,"ASR",IF(Calc!M$113=ASRFY+1,"ASR",IF(Calc!M$113=ASRFY+2,"ASR",0))),0)</f>
        <v>0</v>
      </c>
      <c r="R6" s="3313"/>
      <c r="S6" s="3314">
        <f>IFERROR(IF(Calc!N$113=ASRFY,"ASR",IF(Calc!N$113=ASRFY+1,"ASR",IF(Calc!N$113=ASRFY+2,"ASR",0))),0)</f>
        <v>0</v>
      </c>
      <c r="T6" s="3313"/>
      <c r="U6" s="3314">
        <f>IFERROR(IF(Calc!O$113=ASRFY,"ASR",IF(Calc!O$113=ASRFY+1,"ASR",IF(Calc!O$113=ASRFY+2,"ASR",0))),0)</f>
        <v>0</v>
      </c>
      <c r="V6" s="3313"/>
      <c r="W6" s="3314">
        <f>IFERROR(IF(Calc!P$113=ASRFY,"ASR",IF(Calc!P$113=ASRFY+1,"ASR",IF(Calc!P$113=ASRFY+2,"ASR",0))),0)</f>
        <v>0</v>
      </c>
      <c r="X6" s="3313"/>
      <c r="Y6" s="3314">
        <f>IFERROR(IF(Calc!Q$113=ASRFY,"ASR",IF(Calc!Q$113=ASRFY+1,"ASR",IF(Calc!Q$113=ASRFY+2,"ASR",0))),0)</f>
        <v>0</v>
      </c>
      <c r="Z6" s="3313"/>
      <c r="AA6" s="3314">
        <f>IFERROR(IF(Calc!R$113=ASRFY,"ASR",IF(Calc!R$113=ASRFY+1,"ASR",IF(Calc!R$113=ASRFY+2,"ASR",0))),0)</f>
        <v>0</v>
      </c>
      <c r="AB6" s="3313"/>
      <c r="AC6" s="3314">
        <f>IFERROR(IF(Calc!S$113=ASRFY,"ASR",IF(Calc!S$113=ASRFY+1,"ASR",IF(Calc!S$113=ASRFY+2,"ASR",0))),0)</f>
        <v>0</v>
      </c>
      <c r="AD6" s="3313"/>
      <c r="AE6" s="3314">
        <f>IFERROR(IF(Calc!T$113=ASRFY,"ASR",IF(Calc!T$113=ASRFY+1,"ASR",IF(Calc!T$113=ASRFY+2,"ASR",0))),0)</f>
        <v>0</v>
      </c>
      <c r="AF6" s="3313"/>
      <c r="AG6" s="3314">
        <f>IFERROR(IF(Calc!U$113=ASRFY,"ASR",IF(Calc!U$113=ASRFY+1,"ASR",IF(Calc!U$113=ASRFY+2,"ASR",0))),0)</f>
        <v>0</v>
      </c>
      <c r="AH6" s="3313"/>
      <c r="AI6" s="3314">
        <f>IFERROR(IF(Calc!V$113=ASRFY,"ASR",IF(Calc!V$113=ASRFY+1,"ASR",IF(Calc!V$113=ASRFY+2,"ASR",0))),0)</f>
        <v>0</v>
      </c>
      <c r="AJ6" s="3313"/>
      <c r="AK6" s="3314">
        <f>IFERROR(IF(Calc!W$113=ASRFY,"ASR",IF(Calc!W$113=ASRFY+1,"ASR",IF(Calc!W$113=ASRFY+2,"ASR",0))),0)</f>
        <v>0</v>
      </c>
      <c r="AL6" s="3315"/>
      <c r="AM6" s="3314">
        <f>IFERROR(IF(Calc!X$113=ASRFY,"ASR",IF(Calc!X$113=ASRFY+1,"ASR",IF(Calc!X$113=ASRFY+2,"ASR",0))),0)</f>
        <v>0</v>
      </c>
      <c r="AN6" s="3315"/>
      <c r="AO6" s="3314">
        <f>IFERROR(IF(Calc!Y$113=ASRFY,"ASR",IF(Calc!Y$113=ASRFY+1,"ASR",IF(Calc!Y$113=ASRFY+2,"ASR",0))),0)</f>
        <v>0</v>
      </c>
      <c r="AP6" s="3315"/>
      <c r="AQ6" s="3314">
        <f>IFERROR(IF(Calc!Z$113=ASRFY,"ASR",IF(Calc!Z$113=ASRFY+1,"ASR",IF(Calc!Z$113=ASRFY+2,"ASR",0))),0)</f>
        <v>0</v>
      </c>
      <c r="AR6" s="3315"/>
      <c r="AS6" s="3314">
        <f>IFERROR(IF(Calc!AA$113=ASRFY,"ASR",IF(Calc!AA$113=ASRFY+1,"ASR",IF(Calc!AA$113=ASRFY+2,"ASR",0))),0)</f>
        <v>0</v>
      </c>
      <c r="AT6" s="3315"/>
      <c r="AU6" s="3314">
        <f>IFERROR(IF(Calc!AB$113=ASRFY,"ASR",IF(Calc!AB$113=ASRFY+1,"ASR",IF(Calc!AB$113=ASRFY+2,"ASR",0))),0)</f>
        <v>0</v>
      </c>
      <c r="AV6" s="3315"/>
      <c r="AW6" s="3314">
        <f>IFERROR(IF(Calc!AC$113=ASRFY,"ASR",IF(Calc!AC$113=ASRFY+1,"ASR",IF(Calc!AC$113=ASRFY+2,"ASR",0))),0)</f>
        <v>0</v>
      </c>
      <c r="AX6" s="3315"/>
      <c r="AY6" s="3314">
        <f>IFERROR(IF(Calc!AD$113=ASRFY,"ASR",IF(Calc!AD$113=ASRFY+1,"ASR",IF(Calc!AD$113=ASRFY+2,"ASR",0))),0)</f>
        <v>0</v>
      </c>
      <c r="AZ6" s="3315"/>
      <c r="BA6" s="3314">
        <f>IFERROR(IF(Calc!AE$113=ASRFY,"ASR",IF(Calc!AE$113=ASRFY+1,"ASR",IF(Calc!AE$113=ASRFY+2,"ASR",0))),0)</f>
        <v>0</v>
      </c>
      <c r="BB6" s="3315"/>
      <c r="BC6" s="3314">
        <f>IFERROR(IF(Calc!AF$113=ASRFY,"ASR",IF(Calc!AF$113=ASRFY+1,"ASR",IF(Calc!AF$113=ASRFY+2,"ASR",0))),0)</f>
        <v>0</v>
      </c>
      <c r="BD6" s="3315"/>
      <c r="BE6" s="3314">
        <f>IFERROR(IF(Calc!AG$113=ASRFY,"ASR",IF(Calc!AG$113=ASRFY+1,"ASR",IF(Calc!AG$113=ASRFY+2,"ASR",0))),0)</f>
        <v>0</v>
      </c>
      <c r="BF6" s="3315"/>
      <c r="BG6" s="3314">
        <f>IFERROR(IF(Calc!AH$113=ASRFY,"ASR",IF(Calc!AH$113=ASRFY+1,"ASR",IF(Calc!AH$113=ASRFY+2,"ASR",0))),0)</f>
        <v>0</v>
      </c>
      <c r="BH6" s="3315"/>
      <c r="BI6" s="3314">
        <f>IFERROR(IF(Calc!AI$113=ASRFY,"ASR",IF(Calc!AI$113=ASRFY+1,"ASR",IF(Calc!AI$113=ASRFY+2,"ASR",0))),0)</f>
        <v>0</v>
      </c>
      <c r="BJ6" s="3315"/>
      <c r="BK6" s="3316" t="s">
        <v>1570</v>
      </c>
      <c r="BL6" s="3317"/>
      <c r="BM6" s="3318"/>
      <c r="BN6" s="1344"/>
      <c r="BO6" s="1260"/>
      <c r="BP6" s="2144" t="str">
        <f>"15 Yrs Total"</f>
        <v>15 Yrs Total</v>
      </c>
      <c r="BQ6" s="1260"/>
      <c r="BR6" s="1260"/>
      <c r="BS6" s="2145"/>
    </row>
    <row r="7" spans="1:71" ht="24.9" customHeight="1" thickBot="1" x14ac:dyDescent="0.35">
      <c r="A7" s="1070"/>
      <c r="B7" s="2146" t="str">
        <f>Calc!B9</f>
        <v>A</v>
      </c>
      <c r="C7" s="2147"/>
      <c r="D7" s="2148"/>
      <c r="E7" s="2149" t="str">
        <f>+Calc!G9</f>
        <v>FY18</v>
      </c>
      <c r="F7" s="2150" t="str">
        <f>"vs "&amp;Comp</f>
        <v>vs Def Exit</v>
      </c>
      <c r="G7" s="2151" t="str">
        <f>+Calc!H9</f>
        <v>FY19</v>
      </c>
      <c r="H7" s="2150" t="str">
        <f>"vs "&amp;Comp</f>
        <v>vs Def Exit</v>
      </c>
      <c r="I7" s="2151" t="str">
        <f>+Calc!I9</f>
        <v>FY20</v>
      </c>
      <c r="J7" s="2150" t="str">
        <f>"vs "&amp;Comp</f>
        <v>vs Def Exit</v>
      </c>
      <c r="K7" s="2151" t="str">
        <f>+Calc!J9</f>
        <v>FY21</v>
      </c>
      <c r="L7" s="2150" t="str">
        <f>"vs "&amp;Comp</f>
        <v>vs Def Exit</v>
      </c>
      <c r="M7" s="2151" t="str">
        <f>+Calc!K9</f>
        <v>FY22</v>
      </c>
      <c r="N7" s="2150" t="str">
        <f>"vs "&amp;Comp</f>
        <v>vs Def Exit</v>
      </c>
      <c r="O7" s="2151" t="str">
        <f>+Calc!L9</f>
        <v>FY23</v>
      </c>
      <c r="P7" s="2150" t="str">
        <f>"vs "&amp;Comp</f>
        <v>vs Def Exit</v>
      </c>
      <c r="Q7" s="2151" t="str">
        <f>+Calc!M9</f>
        <v>FY24</v>
      </c>
      <c r="R7" s="2150" t="str">
        <f>"vs "&amp;Comp</f>
        <v>vs Def Exit</v>
      </c>
      <c r="S7" s="2151" t="str">
        <f>+Calc!N9</f>
        <v>FY25</v>
      </c>
      <c r="T7" s="2150" t="str">
        <f>"vs "&amp;Comp</f>
        <v>vs Def Exit</v>
      </c>
      <c r="U7" s="2151" t="str">
        <f>+Calc!O9</f>
        <v>FY26</v>
      </c>
      <c r="V7" s="2150" t="str">
        <f>"vs "&amp;Comp</f>
        <v>vs Def Exit</v>
      </c>
      <c r="W7" s="2151" t="str">
        <f>+Calc!P9</f>
        <v>FY27</v>
      </c>
      <c r="X7" s="2150" t="str">
        <f>"vs "&amp;Comp</f>
        <v>vs Def Exit</v>
      </c>
      <c r="Y7" s="2151" t="str">
        <f>+Calc!Q9</f>
        <v>FY28</v>
      </c>
      <c r="Z7" s="2150" t="str">
        <f>"vs "&amp;Comp</f>
        <v>vs Def Exit</v>
      </c>
      <c r="AA7" s="2151" t="str">
        <f>+Calc!R9</f>
        <v>FY29</v>
      </c>
      <c r="AB7" s="2150" t="str">
        <f>"vs "&amp;Comp</f>
        <v>vs Def Exit</v>
      </c>
      <c r="AC7" s="2151" t="str">
        <f>+Calc!S9</f>
        <v>FY30</v>
      </c>
      <c r="AD7" s="2150" t="str">
        <f>"vs "&amp;Comp</f>
        <v>vs Def Exit</v>
      </c>
      <c r="AE7" s="2151" t="str">
        <f>+Calc!T9</f>
        <v>FY31</v>
      </c>
      <c r="AF7" s="2150" t="str">
        <f>"vs "&amp;Comp</f>
        <v>vs Def Exit</v>
      </c>
      <c r="AG7" s="2151" t="str">
        <f>+Calc!U9</f>
        <v>FY32</v>
      </c>
      <c r="AH7" s="2150" t="str">
        <f>"vs "&amp;Comp</f>
        <v>vs Def Exit</v>
      </c>
      <c r="AI7" s="2151" t="str">
        <f>+Calc!V9</f>
        <v>FY33</v>
      </c>
      <c r="AJ7" s="2152" t="str">
        <f>"vs "&amp;Comp</f>
        <v>vs Def Exit</v>
      </c>
      <c r="AK7" s="2144" t="str">
        <f>+Calc!W9</f>
        <v>FY34</v>
      </c>
      <c r="AL7" s="2152" t="str">
        <f>"vs "&amp;Comp</f>
        <v>vs Def Exit</v>
      </c>
      <c r="AM7" s="2144" t="str">
        <f>+Calc!X9</f>
        <v>FY35</v>
      </c>
      <c r="AN7" s="2152" t="str">
        <f>"vs "&amp;Comp</f>
        <v>vs Def Exit</v>
      </c>
      <c r="AO7" s="2144" t="str">
        <f>+Calc!Y9</f>
        <v>FY36</v>
      </c>
      <c r="AP7" s="2152" t="str">
        <f>"vs "&amp;Comp</f>
        <v>vs Def Exit</v>
      </c>
      <c r="AQ7" s="2144" t="str">
        <f>+Calc!Z9</f>
        <v>FY37</v>
      </c>
      <c r="AR7" s="2152" t="str">
        <f>"vs "&amp;Comp</f>
        <v>vs Def Exit</v>
      </c>
      <c r="AS7" s="2144" t="str">
        <f>+Calc!AA9</f>
        <v>FY38</v>
      </c>
      <c r="AT7" s="2152" t="str">
        <f>"vs "&amp;Comp</f>
        <v>vs Def Exit</v>
      </c>
      <c r="AU7" s="2144" t="str">
        <f>+Calc!AB9</f>
        <v>FY39</v>
      </c>
      <c r="AV7" s="2152" t="str">
        <f>"vs "&amp;Comp</f>
        <v>vs Def Exit</v>
      </c>
      <c r="AW7" s="2144" t="str">
        <f>+Calc!AC9</f>
        <v>FY40</v>
      </c>
      <c r="AX7" s="2152" t="str">
        <f>"vs "&amp;Comp</f>
        <v>vs Def Exit</v>
      </c>
      <c r="AY7" s="2144" t="str">
        <f>+Calc!AD9</f>
        <v>FY41</v>
      </c>
      <c r="AZ7" s="2152" t="str">
        <f>"vs "&amp;Comp</f>
        <v>vs Def Exit</v>
      </c>
      <c r="BA7" s="2144" t="str">
        <f>+Calc!AE9</f>
        <v>FY42</v>
      </c>
      <c r="BB7" s="2152" t="str">
        <f>"vs "&amp;Comp</f>
        <v>vs Def Exit</v>
      </c>
      <c r="BC7" s="2144" t="str">
        <f>+Calc!AF9</f>
        <v>FY43</v>
      </c>
      <c r="BD7" s="2152" t="str">
        <f>"vs "&amp;Comp</f>
        <v>vs Def Exit</v>
      </c>
      <c r="BE7" s="2144" t="str">
        <f>+Calc!AG9</f>
        <v>FY44</v>
      </c>
      <c r="BF7" s="2152" t="str">
        <f>"vs "&amp;Comp</f>
        <v>vs Def Exit</v>
      </c>
      <c r="BG7" s="2144" t="str">
        <f>+Calc!AH9</f>
        <v>FY45</v>
      </c>
      <c r="BH7" s="2152" t="str">
        <f>"vs "&amp;Comp</f>
        <v>vs Def Exit</v>
      </c>
      <c r="BI7" s="2144" t="str">
        <f>+Calc!AI9</f>
        <v>FY46</v>
      </c>
      <c r="BJ7" s="2152" t="str">
        <f>"vs "&amp;Comp</f>
        <v>vs Def Exit</v>
      </c>
      <c r="BK7" s="2151" t="str">
        <f>"FY"&amp;CurrentFY&amp;"-"&amp;CurrentFY+9</f>
        <v>FY18-27</v>
      </c>
      <c r="BL7" s="2153"/>
      <c r="BM7" s="2150" t="str">
        <f>"vs "&amp;Comp&amp;" H/(L)"</f>
        <v>vs Def Exit H/(L)</v>
      </c>
      <c r="BN7" s="1070"/>
      <c r="BO7" s="1070"/>
      <c r="BP7" s="2151" t="str">
        <f>"FY"&amp;CurrentFY&amp;"-"&amp;CurrentFY+14</f>
        <v>FY18-32</v>
      </c>
      <c r="BQ7" s="1070"/>
      <c r="BR7" s="1070"/>
      <c r="BS7" s="1824"/>
    </row>
    <row r="8" spans="1:71" ht="3.75" customHeight="1" x14ac:dyDescent="0.3">
      <c r="A8" s="1070"/>
      <c r="B8" s="2154"/>
      <c r="C8" s="2155"/>
      <c r="D8" s="2156"/>
      <c r="E8" s="1201"/>
      <c r="F8" s="2157"/>
      <c r="G8" s="1201"/>
      <c r="H8" s="2157"/>
      <c r="I8" s="1201"/>
      <c r="J8" s="2157"/>
      <c r="K8" s="1201"/>
      <c r="L8" s="2157"/>
      <c r="M8" s="1201"/>
      <c r="N8" s="2157"/>
      <c r="O8" s="1201"/>
      <c r="P8" s="2157"/>
      <c r="Q8" s="1201"/>
      <c r="R8" s="2157"/>
      <c r="S8" s="1201"/>
      <c r="T8" s="2157"/>
      <c r="U8" s="2158"/>
      <c r="V8" s="1875"/>
      <c r="W8" s="2159"/>
      <c r="X8" s="1875"/>
      <c r="Y8" s="2159"/>
      <c r="Z8" s="1875"/>
      <c r="AA8" s="2159"/>
      <c r="AB8" s="1875"/>
      <c r="AC8" s="2159"/>
      <c r="AD8" s="1875"/>
      <c r="AE8" s="2159"/>
      <c r="AF8" s="1875"/>
      <c r="AG8" s="2159"/>
      <c r="AH8" s="1875"/>
      <c r="AI8" s="2159"/>
      <c r="AJ8" s="2160"/>
      <c r="AK8" s="2159"/>
      <c r="AL8" s="1876"/>
      <c r="AM8" s="1876"/>
      <c r="AN8" s="1876"/>
      <c r="AO8" s="1876"/>
      <c r="AP8" s="1876"/>
      <c r="AQ8" s="1876"/>
      <c r="AR8" s="1876"/>
      <c r="AS8" s="1876"/>
      <c r="AT8" s="1876"/>
      <c r="AU8" s="1876"/>
      <c r="AV8" s="1876"/>
      <c r="AW8" s="1876"/>
      <c r="AX8" s="1876"/>
      <c r="AY8" s="1876"/>
      <c r="AZ8" s="1876"/>
      <c r="BA8" s="1876"/>
      <c r="BB8" s="1876"/>
      <c r="BC8" s="1876"/>
      <c r="BD8" s="1876"/>
      <c r="BE8" s="1876"/>
      <c r="BF8" s="1876"/>
      <c r="BG8" s="1876"/>
      <c r="BH8" s="1876"/>
      <c r="BI8" s="1876"/>
      <c r="BJ8" s="1876"/>
      <c r="BK8" s="2159"/>
      <c r="BL8" s="2159"/>
      <c r="BM8" s="2161"/>
      <c r="BN8" s="1070"/>
      <c r="BO8" s="1070"/>
      <c r="BP8" s="1070"/>
      <c r="BQ8" s="1070"/>
      <c r="BR8" s="1070"/>
      <c r="BS8" s="1824"/>
    </row>
    <row r="9" spans="1:71" x14ac:dyDescent="0.3">
      <c r="A9" s="1070"/>
      <c r="B9" s="2162" t="s">
        <v>1571</v>
      </c>
      <c r="C9" s="2163"/>
      <c r="D9" s="2164"/>
      <c r="E9" s="2165">
        <f>IF($D$2="$ K",Calc!G10,Calc!G10/1000)</f>
        <v>0</v>
      </c>
      <c r="F9" s="2166">
        <f>IF(Calc!AQ10=0,0,IF($D$2="$ M",Calc!CA10/1000,Calc!CA10))</f>
        <v>0</v>
      </c>
      <c r="G9" s="2167">
        <f>IF($D$2="$ K",Calc!H10,Calc!H10/1000)</f>
        <v>0</v>
      </c>
      <c r="H9" s="2166">
        <f>IF(Calc!AR10=0,0,IF($D$2="$ M",Calc!CB10/1000,Calc!CB10))</f>
        <v>0</v>
      </c>
      <c r="I9" s="2167">
        <f>IF($D$2="$ K",Calc!I10,Calc!I10/1000)</f>
        <v>0</v>
      </c>
      <c r="J9" s="2166">
        <f>IF(Calc!AS10=0,0,IF($D$2="$ M",Calc!CC10/1000,Calc!CC10))</f>
        <v>0</v>
      </c>
      <c r="K9" s="2167">
        <f>IF($D$2="$ K",Calc!J10,Calc!J10/1000)</f>
        <v>0</v>
      </c>
      <c r="L9" s="2166">
        <f>IF(Calc!AT10=0,0,IF($D$2="$ M",Calc!CD10/1000,Calc!CD10))</f>
        <v>0</v>
      </c>
      <c r="M9" s="2167">
        <f>IF($D$2="$ K",Calc!K10,Calc!K10/1000)</f>
        <v>0</v>
      </c>
      <c r="N9" s="2166">
        <f>IF(Calc!AU10=0,0,IF($D$2="$ M",Calc!CE10/1000,Calc!CE10))</f>
        <v>0</v>
      </c>
      <c r="O9" s="2167">
        <f>IF($D$2="$ K",Calc!L10,Calc!L10/1000)</f>
        <v>0.21622318449868802</v>
      </c>
      <c r="P9" s="2166">
        <f>IF(Calc!AV10=0,0,IF($D$2="$ M",Calc!CF10/1000,Calc!CF10))</f>
        <v>0</v>
      </c>
      <c r="Q9" s="2167">
        <f>IF($D$2="$ K",Calc!M10,Calc!M10/1000)</f>
        <v>0.52280130791721691</v>
      </c>
      <c r="R9" s="2166">
        <f>IF(Calc!AW10=0,0,IF($D$2="$ M",Calc!CG10/1000,Calc!CG10))</f>
        <v>0</v>
      </c>
      <c r="S9" s="2167">
        <f>IF($D$2="$ K",Calc!N10,Calc!N10/1000)</f>
        <v>1.0010657751283358</v>
      </c>
      <c r="T9" s="2166">
        <f>IF(Calc!AX10=0,0,IF($D$2="$ M",Calc!CH10/1000,Calc!CH10))</f>
        <v>0</v>
      </c>
      <c r="U9" s="2167">
        <f>IF($D$2="$ K",Calc!O10,Calc!O10/1000)</f>
        <v>1.5085055947435124</v>
      </c>
      <c r="V9" s="2166">
        <f>IF(Calc!AY10=0,0,IF($D$2="$ M",Calc!CI10/1000,Calc!CI10))</f>
        <v>0</v>
      </c>
      <c r="W9" s="2167">
        <f>IF($D$2="$ K",Calc!P10,Calc!P10/1000)</f>
        <v>2.032916994225257</v>
      </c>
      <c r="X9" s="2166">
        <f>IF(Calc!AZ10=0,0,IF($D$2="$ M",Calc!CJ10/1000,Calc!CJ10))</f>
        <v>0</v>
      </c>
      <c r="Y9" s="2167">
        <f>IF($D$2="$ K",Calc!Q10,Calc!Q10/1000)</f>
        <v>2.2744424536309178</v>
      </c>
      <c r="Z9" s="2166">
        <f>IF(Calc!BA10=0,0,IF($D$2="$ M",Calc!CK10/1000,Calc!CK10))</f>
        <v>0</v>
      </c>
      <c r="AA9" s="2167">
        <f>IF($D$2="$ K",Calc!R10,Calc!R10/1000)</f>
        <v>2.6032235453221499</v>
      </c>
      <c r="AB9" s="2166">
        <f>IF(Calc!BB10=0,0,IF($D$2="$ M",Calc!CL10/1000,Calc!CL10))</f>
        <v>0</v>
      </c>
      <c r="AC9" s="2167">
        <f>IF($D$2="$ K",Calc!S10,Calc!S10/1000)</f>
        <v>3.1468227287695045</v>
      </c>
      <c r="AD9" s="2166">
        <f>IF(Calc!BC10=0,0,IF($D$2="$ M",Calc!CM10/1000,Calc!CM10))</f>
        <v>0</v>
      </c>
      <c r="AE9" s="2167">
        <f>IF($D$2="$ K",Calc!T10,Calc!T10/1000)</f>
        <v>3.4628716218029494</v>
      </c>
      <c r="AF9" s="2166">
        <f>IF(Calc!BD10=0,0,IF($D$2="$ M",Calc!CN10/1000,Calc!CN10))</f>
        <v>0</v>
      </c>
      <c r="AG9" s="2167">
        <f>IF($D$2="$ K",Calc!U10,Calc!U10/1000)</f>
        <v>4.1679122840020293</v>
      </c>
      <c r="AH9" s="2166">
        <f>IF(Calc!BE10=0,0,IF($D$2="$ M",Calc!CO10/1000,Calc!CO10))</f>
        <v>0</v>
      </c>
      <c r="AI9" s="2167">
        <f>IF($D$2="$ K",Calc!V10,Calc!V10/1000)</f>
        <v>4.9331018923760528</v>
      </c>
      <c r="AJ9" s="2166">
        <f>IF(Calc!BF10=0,0,IF($D$2="$ M",Calc!CP10/1000,Calc!CP10))</f>
        <v>0</v>
      </c>
      <c r="AK9" s="2167">
        <f>IF($D$2="$ K",Calc!W10,Calc!W10/1000)</f>
        <v>5.6922432412767874</v>
      </c>
      <c r="AL9" s="2166">
        <f>IF(Calc!BG10=0,0,IF($D$2="$ M",Calc!CQ10/1000,Calc!CQ10))</f>
        <v>0</v>
      </c>
      <c r="AM9" s="2167">
        <f>IF($D$2="$ K",Calc!X10,Calc!X10/1000)</f>
        <v>5.4365886590299723</v>
      </c>
      <c r="AN9" s="2166">
        <f>IF(Calc!BH10=0,0,IF($D$2="$ M",Calc!CR10/1000,Calc!CR10))</f>
        <v>0</v>
      </c>
      <c r="AO9" s="2167">
        <f>IF($D$2="$ K",Calc!Y10,Calc!Y10/1000)</f>
        <v>0</v>
      </c>
      <c r="AP9" s="2166">
        <f>IF(Calc!BJ10=0,0,IF($D$2="$ M",Calc!CS10/1000,Calc!CS10))</f>
        <v>0</v>
      </c>
      <c r="AQ9" s="2167">
        <f>IF($D$2="$ K",Calc!Z10,Calc!Z10/1000)</f>
        <v>0</v>
      </c>
      <c r="AR9" s="2166">
        <f>IF(Calc!BL10=0,0,IF($D$2="$ M",Calc!CT10/1000,Calc!CT10))</f>
        <v>0</v>
      </c>
      <c r="AS9" s="2167">
        <f>IF($D$2="$ K",Calc!AA10,Calc!AA10/1000)</f>
        <v>0</v>
      </c>
      <c r="AT9" s="2166">
        <f>IF(Calc!BN10=0,0,IF($D$2="$ M",Calc!CU10/1000,Calc!CU10))</f>
        <v>0</v>
      </c>
      <c r="AU9" s="2167">
        <f>IF($D$2="$ K",Calc!AB10,Calc!AB10/1000)</f>
        <v>0</v>
      </c>
      <c r="AV9" s="2166">
        <f>IF(Calc!BP10=0,0,IF($D$2="$ M",Calc!CV10/1000,Calc!CV10))</f>
        <v>0</v>
      </c>
      <c r="AW9" s="2167">
        <f>IF($D$2="$ K",Calc!AC10,Calc!AC10/1000)</f>
        <v>0</v>
      </c>
      <c r="AX9" s="2166">
        <f>IF(Calc!BR10=0,0,IF($D$2="$ M",Calc!CW10/1000,Calc!CW10))</f>
        <v>0</v>
      </c>
      <c r="AY9" s="2167">
        <f>IF($D$2="$ K",Calc!AD10,Calc!AD10/1000)</f>
        <v>0</v>
      </c>
      <c r="AZ9" s="2166">
        <f>IF(Calc!BT10=0,0,IF($D$2="$ M",Calc!CX10/1000,Calc!CX10))</f>
        <v>0</v>
      </c>
      <c r="BA9" s="2167">
        <f>IF($D$2="$ K",Calc!AE10,Calc!AE10/1000)</f>
        <v>0</v>
      </c>
      <c r="BB9" s="2166">
        <f>IF(Calc!BV10=0,0,IF($D$2="$ M",Calc!CY10/1000,Calc!CY10))</f>
        <v>0</v>
      </c>
      <c r="BC9" s="2167">
        <f>IF($D$2="$ K",Calc!AF10,Calc!AF10/1000)</f>
        <v>0</v>
      </c>
      <c r="BD9" s="2166">
        <f>IF(Calc!BX10=0,0,IF($D$2="$ M",Calc!CZ10/1000,Calc!CZ10))</f>
        <v>0</v>
      </c>
      <c r="BE9" s="2167">
        <f>IF($D$2="$ K",Calc!AG10,Calc!AG10/1000)</f>
        <v>0</v>
      </c>
      <c r="BF9" s="2166">
        <f>IF(Calc!BZ10=0,0,IF($D$2="$ M",Calc!DA10/1000,Calc!DA10))</f>
        <v>0</v>
      </c>
      <c r="BG9" s="2167">
        <f>IF($D$2="$ K",Calc!AH10,Calc!AH10/1000)</f>
        <v>0</v>
      </c>
      <c r="BH9" s="2166">
        <f>IF(Calc!CB10=0,0,IF($D$2="$ M",Calc!DB10/1000,Calc!DB10))</f>
        <v>0</v>
      </c>
      <c r="BI9" s="2167">
        <f>IF($D$2="$ K",Calc!AI10,Calc!AI10/1000)</f>
        <v>0</v>
      </c>
      <c r="BJ9" s="2166">
        <f>IF(Calc!BS10=0,0,IF($D$2="$ M",Calc!DC10/1000,Calc!DC10))</f>
        <v>0</v>
      </c>
      <c r="BK9" s="2167">
        <f>IF($D$2="$ K",Calc!AJ10,Calc!AJ10/1000)</f>
        <v>5.2815128565130101</v>
      </c>
      <c r="BL9" s="2168"/>
      <c r="BM9" s="2169">
        <f>IF(Calc!BT10=0,0,IF($D$2="$ M",Calc!DD10/1000,Calc!DD10))</f>
        <v>0</v>
      </c>
      <c r="BN9" s="1314"/>
      <c r="BO9" s="1314"/>
      <c r="BP9" s="2170">
        <f>IF($D$2="$ K",Calc!AM10,Calc!AM10/1000)</f>
        <v>20.936785490040563</v>
      </c>
      <c r="BQ9" s="1070"/>
      <c r="BR9" s="1070"/>
      <c r="BS9" s="1824"/>
    </row>
    <row r="10" spans="1:71" x14ac:dyDescent="0.3">
      <c r="A10" s="1070"/>
      <c r="B10" s="2171" t="s">
        <v>1572</v>
      </c>
      <c r="C10" s="2172"/>
      <c r="D10" s="2173"/>
      <c r="E10" s="2174">
        <f>+Calc!G11</f>
        <v>0</v>
      </c>
      <c r="F10" s="2175">
        <f>IF(Calc!AQ11=0,0,Calc!CA11)</f>
        <v>0</v>
      </c>
      <c r="G10" s="2176">
        <f>+Calc!H11</f>
        <v>0</v>
      </c>
      <c r="H10" s="2175">
        <f>IF(Calc!AR11=0,0,Calc!CB11)</f>
        <v>0</v>
      </c>
      <c r="I10" s="2176">
        <f>+Calc!I11</f>
        <v>0</v>
      </c>
      <c r="J10" s="2175">
        <f>IF(Calc!AS11=0,0,Calc!CC11)</f>
        <v>0</v>
      </c>
      <c r="K10" s="2176">
        <f>+Calc!J11</f>
        <v>0</v>
      </c>
      <c r="L10" s="2175">
        <f>IF(Calc!AT11=0,0,Calc!CD11)</f>
        <v>0</v>
      </c>
      <c r="M10" s="2176">
        <f>+Calc!K11</f>
        <v>0</v>
      </c>
      <c r="N10" s="2175">
        <f>IF(Calc!AU11=0,0,Calc!CE11)</f>
        <v>0</v>
      </c>
      <c r="O10" s="2176">
        <f>+Calc!L11</f>
        <v>77.083333333333329</v>
      </c>
      <c r="P10" s="2175">
        <f>IF(Calc!AV11=0,0,Calc!CF11)</f>
        <v>0</v>
      </c>
      <c r="Q10" s="2176">
        <f>+Calc!M11</f>
        <v>73.773207654955726</v>
      </c>
      <c r="R10" s="2175">
        <f>IF(Calc!AW11=0,0,Calc!CG11)</f>
        <v>0</v>
      </c>
      <c r="S10" s="2176">
        <f>+Calc!N11</f>
        <v>73.445692883895134</v>
      </c>
      <c r="T10" s="2175">
        <f>IF(Calc!AX11=0,0,Calc!CH11)</f>
        <v>0</v>
      </c>
      <c r="U10" s="2176">
        <f>+Calc!O11</f>
        <v>73.131313131313121</v>
      </c>
      <c r="V10" s="2175">
        <f>IF(Calc!AY11=0,0,Calc!CI11)</f>
        <v>0</v>
      </c>
      <c r="W10" s="2176">
        <f>+Calc!P11</f>
        <v>67.55861365953109</v>
      </c>
      <c r="X10" s="2175">
        <f>IF(Calc!AZ11=0,0,Calc!CJ11)</f>
        <v>0</v>
      </c>
      <c r="Y10" s="2176">
        <f>+Calc!Q11</f>
        <v>67.209922099220989</v>
      </c>
      <c r="Z10" s="2175">
        <f>IF(Calc!BA11=0,0,Calc!CK11)</f>
        <v>0</v>
      </c>
      <c r="AA10" s="2176">
        <f>+Calc!R11</f>
        <v>63.668972008512043</v>
      </c>
      <c r="AB10" s="2175">
        <f>IF(Calc!BB11=0,0,Calc!CL11)</f>
        <v>0</v>
      </c>
      <c r="AC10" s="2176">
        <f>+Calc!S11</f>
        <v>60.438699261865203</v>
      </c>
      <c r="AD10" s="2175">
        <f>IF(Calc!BC11=0,0,Calc!CM11)</f>
        <v>0</v>
      </c>
      <c r="AE10" s="2176">
        <f>+Calc!T11</f>
        <v>57.41676429877193</v>
      </c>
      <c r="AF10" s="2175">
        <f>IF(Calc!BD11=0,0,Calc!CN11)</f>
        <v>0</v>
      </c>
      <c r="AG10" s="2176">
        <f>+Calc!U11</f>
        <v>57.41676429877193</v>
      </c>
      <c r="AH10" s="2175">
        <f>IF(Calc!BE11=0,0,Calc!CO11)</f>
        <v>0</v>
      </c>
      <c r="AI10" s="2176">
        <f>+Calc!V11</f>
        <v>54.435328548988963</v>
      </c>
      <c r="AJ10" s="2175">
        <f>IF(Calc!BF11=0,0,Calc!CP11)</f>
        <v>0</v>
      </c>
      <c r="AK10" s="2176">
        <f>+Calc!W11</f>
        <v>54.232247286580005</v>
      </c>
      <c r="AL10" s="2175">
        <f>IF(Calc!BG11=0,0,Calc!CQ11)</f>
        <v>0</v>
      </c>
      <c r="AM10" s="2176">
        <f>+Calc!X11</f>
        <v>46.497373017331519</v>
      </c>
      <c r="AN10" s="2175">
        <f>IF(Calc!BH11=0,0,Calc!CR11)</f>
        <v>0</v>
      </c>
      <c r="AO10" s="2176">
        <f>+Calc!Y11</f>
        <v>0</v>
      </c>
      <c r="AP10" s="2175">
        <f>IF(Calc!BJ11=0,0,Calc!CS11)</f>
        <v>0</v>
      </c>
      <c r="AQ10" s="2176">
        <f>+Calc!Z11</f>
        <v>0</v>
      </c>
      <c r="AR10" s="2175">
        <f>IF(Calc!BL11=0,0,Calc!CT11)</f>
        <v>0</v>
      </c>
      <c r="AS10" s="2176">
        <f>+Calc!AA11</f>
        <v>0</v>
      </c>
      <c r="AT10" s="2175">
        <f>IF(Calc!BN11=0,0,Calc!CU11)</f>
        <v>0</v>
      </c>
      <c r="AU10" s="2176">
        <f>+Calc!AB11</f>
        <v>0</v>
      </c>
      <c r="AV10" s="2175">
        <f>IF(Calc!BP11=0,0,Calc!CV11)</f>
        <v>0</v>
      </c>
      <c r="AW10" s="2176">
        <f>+Calc!AC11</f>
        <v>0</v>
      </c>
      <c r="AX10" s="2175">
        <f>IF(Calc!BR11=0,0,Calc!CW11)</f>
        <v>0</v>
      </c>
      <c r="AY10" s="2176">
        <f>+Calc!AD11</f>
        <v>0</v>
      </c>
      <c r="AZ10" s="2175" t="e">
        <f>IF(Calc!BT11=0,0,Calc!CX11)</f>
        <v>#DIV/0!</v>
      </c>
      <c r="BA10" s="2176">
        <f>+Calc!AE11</f>
        <v>0</v>
      </c>
      <c r="BB10" s="2175">
        <f>IF(Calc!BV11=0,0,Calc!CY11)</f>
        <v>0</v>
      </c>
      <c r="BC10" s="2176">
        <f>+Calc!AF11</f>
        <v>0</v>
      </c>
      <c r="BD10" s="2175">
        <f>IF(Calc!BX11=0,0,Calc!CZ11)</f>
        <v>0</v>
      </c>
      <c r="BE10" s="2176">
        <f>+Calc!AG11</f>
        <v>0</v>
      </c>
      <c r="BF10" s="2175">
        <f>IF(Calc!BZ11=0,0,Calc!DA11)</f>
        <v>0</v>
      </c>
      <c r="BG10" s="2176">
        <f>+Calc!AH11</f>
        <v>0</v>
      </c>
      <c r="BH10" s="2175">
        <f>IF(Calc!CB11=0,0,Calc!DB11)</f>
        <v>0</v>
      </c>
      <c r="BI10" s="2176">
        <f>+Calc!AI11</f>
        <v>0</v>
      </c>
      <c r="BJ10" s="2175">
        <f>IF(Calc!BS11=0,0,Calc!DC11)</f>
        <v>0</v>
      </c>
      <c r="BK10" s="2176">
        <f>+Calc!AJ11</f>
        <v>71.271236439974814</v>
      </c>
      <c r="BL10" s="2177"/>
      <c r="BM10" s="2178" t="e">
        <f>IF(Calc!BT11=0,0,Calc!DD11)</f>
        <v>#DIV/0!</v>
      </c>
      <c r="BN10" s="1314"/>
      <c r="BO10" s="1314"/>
      <c r="BP10" s="2179"/>
      <c r="BQ10" s="1070"/>
      <c r="BR10" s="1070"/>
      <c r="BS10" s="1824"/>
    </row>
    <row r="11" spans="1:71" s="1265" customFormat="1" ht="18" x14ac:dyDescent="0.35">
      <c r="A11" s="1260"/>
      <c r="B11" s="2180" t="s">
        <v>1573</v>
      </c>
      <c r="C11" s="2181"/>
      <c r="D11" s="2182"/>
      <c r="E11" s="2183">
        <f>IF($D$2="$ K",Calc!G12,Calc!G12/1000)</f>
        <v>0</v>
      </c>
      <c r="F11" s="2184">
        <f>IF(Calc!AQ12=0,0,IF($D$2="$ M",Calc!CA12/1000,Calc!CA12))</f>
        <v>0</v>
      </c>
      <c r="G11" s="2185">
        <f>IF($D$2="$ K",Calc!H12,Calc!H12/1000)</f>
        <v>0</v>
      </c>
      <c r="H11" s="2184">
        <f>IF(Calc!AR12=0,0,IF($D$2="$ M",Calc!CB12/1000,Calc!CB12))</f>
        <v>0</v>
      </c>
      <c r="I11" s="2185">
        <f>IF($D$2="$ K",Calc!I12,Calc!I12/1000)</f>
        <v>0</v>
      </c>
      <c r="J11" s="2184">
        <f>IF(Calc!AS12=0,0,IF($D$2="$ M",Calc!CC12/1000,Calc!CC12))</f>
        <v>0</v>
      </c>
      <c r="K11" s="2185">
        <f>IF($D$2="$ K",Calc!J12,Calc!J12/1000)</f>
        <v>0</v>
      </c>
      <c r="L11" s="2184">
        <f>IF(Calc!AT12=0,0,IF($D$2="$ M",Calc!CD12/1000,Calc!CD12))</f>
        <v>0</v>
      </c>
      <c r="M11" s="2185">
        <f>IF($D$2="$ K",Calc!K12,Calc!K12/1000)</f>
        <v>0</v>
      </c>
      <c r="N11" s="2184">
        <f>IF(Calc!AU12=0,0,IF($D$2="$ M",Calc!CE12/1000,Calc!CE12))</f>
        <v>0</v>
      </c>
      <c r="O11" s="2185">
        <f>IF($D$2="$ K",Calc!L12,Calc!L12/1000)</f>
        <v>16.667203805107203</v>
      </c>
      <c r="P11" s="2184">
        <f>IF(Calc!AV12=0,0,IF($D$2="$ M",Calc!CF12/1000,Calc!CF12))</f>
        <v>0</v>
      </c>
      <c r="Q11" s="2185">
        <f>IF($D$2="$ K",Calc!M12,Calc!M12/1000)</f>
        <v>38.568729451259294</v>
      </c>
      <c r="R11" s="2184">
        <f>IF(Calc!AW12=0,0,IF($D$2="$ M",Calc!CG12/1000,Calc!CG12))</f>
        <v>0</v>
      </c>
      <c r="S11" s="2185">
        <f>IF($D$2="$ K",Calc!N12,Calc!N12/1000)</f>
        <v>73.523969476654173</v>
      </c>
      <c r="T11" s="2184">
        <f>IF(Calc!AX12=0,0,IF($D$2="$ M",Calc!CH12/1000,Calc!CH12))</f>
        <v>0</v>
      </c>
      <c r="U11" s="2185">
        <f>IF($D$2="$ K",Calc!O12,Calc!O12/1000)</f>
        <v>110.31899500952554</v>
      </c>
      <c r="V11" s="2184">
        <f>IF(Calc!AY12=0,0,IF($D$2="$ M",Calc!CI12/1000,Calc!CI12))</f>
        <v>0</v>
      </c>
      <c r="W11" s="2185">
        <f>IF($D$2="$ K",Calc!P12,Calc!P12/1000)</f>
        <v>137.34105381475933</v>
      </c>
      <c r="X11" s="2184">
        <f>IF(Calc!AZ12=0,0,IF($D$2="$ M",Calc!CJ12/1000,Calc!CJ12))</f>
        <v>0</v>
      </c>
      <c r="Y11" s="2185">
        <f>IF($D$2="$ K",Calc!Q12,Calc!Q12/1000)</f>
        <v>152.86510012769503</v>
      </c>
      <c r="Z11" s="2184">
        <f>IF(Calc!BA12=0,0,IF($D$2="$ M",Calc!CK12/1000,Calc!CK12))</f>
        <v>0</v>
      </c>
      <c r="AA11" s="2185">
        <f>IF($D$2="$ K",Calc!R12,Calc!R12/1000)</f>
        <v>165.74456703901546</v>
      </c>
      <c r="AB11" s="2184">
        <f>IF(Calc!BB12=0,0,IF($D$2="$ M",Calc!CL12/1000,Calc!CL12))</f>
        <v>0</v>
      </c>
      <c r="AC11" s="2185">
        <f>IF($D$2="$ K",Calc!S12,Calc!S12/1000)</f>
        <v>190.18987253450209</v>
      </c>
      <c r="AD11" s="2184">
        <f>IF(Calc!BC12=0,0,IF($D$2="$ M",Calc!CM12/1000,Calc!CM12))</f>
        <v>0</v>
      </c>
      <c r="AE11" s="2185">
        <f>IF($D$2="$ K",Calc!T12,Calc!T12/1000)</f>
        <v>198.82688370596603</v>
      </c>
      <c r="AF11" s="2184">
        <f>IF(Calc!BD12=0,0,IF($D$2="$ M",Calc!CN12/1000,Calc!CN12))</f>
        <v>0</v>
      </c>
      <c r="AG11" s="2185">
        <f>IF($D$2="$ K",Calc!U12,Calc!U12/1000)</f>
        <v>239.30803722850067</v>
      </c>
      <c r="AH11" s="2184">
        <f>IF(Calc!BE12=0,0,IF($D$2="$ M",Calc!CO12/1000,Calc!CO12))</f>
        <v>0</v>
      </c>
      <c r="AI11" s="2185">
        <f>IF($D$2="$ K",Calc!V12,Calc!V12/1000)</f>
        <v>268.53502227712966</v>
      </c>
      <c r="AJ11" s="2184">
        <f>IF(Calc!BF12=0,0,IF($D$2="$ M",Calc!CP12/1000,Calc!CP12))</f>
        <v>0</v>
      </c>
      <c r="AK11" s="2185">
        <f>IF($D$2="$ K",Calc!W12,Calc!W12/1000)</f>
        <v>308.70314307628644</v>
      </c>
      <c r="AL11" s="2184">
        <f>IF(Calc!BG12=0,0,IF($D$2="$ M",Calc!CQ12/1000,Calc!CQ12))</f>
        <v>0</v>
      </c>
      <c r="AM11" s="2185">
        <f>IF($D$2="$ K",Calc!X12,Calc!X12/1000)</f>
        <v>252.78709082071077</v>
      </c>
      <c r="AN11" s="2184">
        <f>IF(Calc!BH12=0,0,IF($D$2="$ M",Calc!CR12/1000,Calc!CR12))</f>
        <v>0</v>
      </c>
      <c r="AO11" s="2185">
        <f>IF($D$2="$ K",Calc!Y12,Calc!Y12/1000)</f>
        <v>0</v>
      </c>
      <c r="AP11" s="2184">
        <f>IF(Calc!BJ12=0,0,IF($D$2="$ M",Calc!CS12/1000,Calc!CS12))</f>
        <v>0</v>
      </c>
      <c r="AQ11" s="2185">
        <f>IF($D$2="$ K",Calc!Z12,Calc!Z12/1000)</f>
        <v>0</v>
      </c>
      <c r="AR11" s="2184">
        <f>IF(Calc!BL12=0,0,IF($D$2="$ M",Calc!CT12/1000,Calc!CT12))</f>
        <v>0</v>
      </c>
      <c r="AS11" s="2185">
        <f>IF($D$2="$ K",Calc!AA12,Calc!AA12/1000)</f>
        <v>0</v>
      </c>
      <c r="AT11" s="2184">
        <f>IF(Calc!BN12=0,0,IF($D$2="$ M",Calc!CU12/1000,Calc!CU12))</f>
        <v>0</v>
      </c>
      <c r="AU11" s="2185">
        <f>IF($D$2="$ K",Calc!AB12,Calc!AB12/1000)</f>
        <v>0</v>
      </c>
      <c r="AV11" s="2184">
        <f>IF(Calc!BP12=0,0,IF($D$2="$ M",Calc!CV12/1000,Calc!CV12))</f>
        <v>0</v>
      </c>
      <c r="AW11" s="2185">
        <f>IF($D$2="$ K",Calc!AC12,Calc!AC12/1000)</f>
        <v>0</v>
      </c>
      <c r="AX11" s="2184">
        <f>IF(Calc!BR12=0,0,IF($D$2="$ M",Calc!CW12/1000,Calc!CW12))</f>
        <v>0</v>
      </c>
      <c r="AY11" s="2185">
        <f>IF($D$2="$ K",Calc!AD12,Calc!AD12/1000)</f>
        <v>0</v>
      </c>
      <c r="AZ11" s="2184">
        <f>IF(Calc!BT12=0,0,IF($D$2="$ M",Calc!CX12/1000,Calc!CX12))</f>
        <v>0</v>
      </c>
      <c r="BA11" s="2185">
        <f>IF($D$2="$ K",Calc!AE12,Calc!AE12/1000)</f>
        <v>0</v>
      </c>
      <c r="BB11" s="2184">
        <f>IF(Calc!BV12=0,0,IF($D$2="$ M",Calc!CY12/1000,Calc!CY12))</f>
        <v>0</v>
      </c>
      <c r="BC11" s="2185">
        <f>IF($D$2="$ K",Calc!AF12,Calc!AF12/1000)</f>
        <v>0</v>
      </c>
      <c r="BD11" s="2184">
        <f>IF(Calc!BX12=0,0,IF($D$2="$ M",Calc!CZ12/1000,Calc!CZ12))</f>
        <v>0</v>
      </c>
      <c r="BE11" s="2185">
        <f>IF($D$2="$ K",Calc!AG12,Calc!AG12/1000)</f>
        <v>0</v>
      </c>
      <c r="BF11" s="2184">
        <f>IF(Calc!BZ12=0,0,IF($D$2="$ M",Calc!DA12/1000,Calc!DA12))</f>
        <v>0</v>
      </c>
      <c r="BG11" s="2185">
        <f>IF($D$2="$ K",Calc!AH12,Calc!AH12/1000)</f>
        <v>0</v>
      </c>
      <c r="BH11" s="2184">
        <f>IF(Calc!CB12=0,0,IF($D$2="$ M",Calc!DB12/1000,Calc!DB12))</f>
        <v>0</v>
      </c>
      <c r="BI11" s="2185">
        <f>IF($D$2="$ K",Calc!AI12,Calc!AI12/1000)</f>
        <v>0</v>
      </c>
      <c r="BJ11" s="2184">
        <f>IF(Calc!BS12=0,0,IF($D$2="$ M",Calc!DC12/1000,Calc!DC12))</f>
        <v>0</v>
      </c>
      <c r="BK11" s="2185">
        <f>IF($D$2="$ K",Calc!AJ12,Calc!AJ12/1000)</f>
        <v>376.41995155730552</v>
      </c>
      <c r="BL11" s="2186"/>
      <c r="BM11" s="2187">
        <f>IF(Calc!BT12=0,0,IF($D$2="$ M",Calc!DD12/1000,Calc!DD12))</f>
        <v>0</v>
      </c>
      <c r="BN11" s="1260"/>
      <c r="BO11" s="1260"/>
      <c r="BP11" s="2188">
        <f>IF($D$2="$ K",Calc!AM12,Calc!AM12/1000)</f>
        <v>1323.3544121929849</v>
      </c>
      <c r="BQ11" s="1260"/>
      <c r="BR11" s="1260"/>
      <c r="BS11" s="2145"/>
    </row>
    <row r="12" spans="1:71" s="2196" customFormat="1" x14ac:dyDescent="0.3">
      <c r="A12" s="2189"/>
      <c r="B12" s="1217" t="s">
        <v>1574</v>
      </c>
      <c r="C12" s="1099"/>
      <c r="D12" s="2190"/>
      <c r="E12" s="2191">
        <f>IF($D$2="$ K",Calc!G13,Calc!G13/1000)</f>
        <v>0</v>
      </c>
      <c r="F12" s="1891">
        <f>IF(Calc!AQ13=0,0,IF($D$2="$ M",Calc!CA13/1000,0))</f>
        <v>0</v>
      </c>
      <c r="G12" s="2192">
        <f>IF($D$2="$ K",Calc!H13,Calc!H13/1000)</f>
        <v>0</v>
      </c>
      <c r="H12" s="1891">
        <f>IF(Calc!AR13=0,0,IF($D$2="$ M",Calc!CB13/1000,0))</f>
        <v>0</v>
      </c>
      <c r="I12" s="2192">
        <f>IF($D$2="$ K",Calc!I13,Calc!I13/1000)</f>
        <v>0</v>
      </c>
      <c r="J12" s="1891">
        <f>IF(Calc!AS13=0,0,IF($D$2="$ M",Calc!CC13/1000,0))</f>
        <v>0</v>
      </c>
      <c r="K12" s="2192">
        <f>IF($D$2="$ K",Calc!J13,Calc!J13/1000)</f>
        <v>0</v>
      </c>
      <c r="L12" s="1891">
        <f>IF(Calc!AT13=0,0,IF($D$2="$ M",Calc!CD13/1000,0))</f>
        <v>0</v>
      </c>
      <c r="M12" s="2192">
        <f>IF($D$2="$ K",Calc!K13,Calc!K13/1000)</f>
        <v>0</v>
      </c>
      <c r="N12" s="1891">
        <f>IF(Calc!AU13=0,0,IF($D$2="$ M",Calc!CE13/1000,0))</f>
        <v>0</v>
      </c>
      <c r="O12" s="2192">
        <f>IF($D$2="$ K",Calc!L13,Calc!L13/1000)</f>
        <v>0</v>
      </c>
      <c r="P12" s="1891">
        <f>IF(Calc!AV13=0,0,IF($D$2="$ M",Calc!CF13/1000,0))</f>
        <v>0</v>
      </c>
      <c r="Q12" s="2192">
        <f>IF($D$2="$ K",Calc!M13,Calc!M13/1000)</f>
        <v>0</v>
      </c>
      <c r="R12" s="1891">
        <f>IF(Calc!AW13=0,0,IF($D$2="$ M",Calc!CG13/1000,0))</f>
        <v>0</v>
      </c>
      <c r="S12" s="2192">
        <f>IF($D$2="$ K",Calc!N13,Calc!N13/1000)</f>
        <v>0</v>
      </c>
      <c r="T12" s="1891">
        <f>IF(Calc!AX13=0,0,IF($D$2="$ M",Calc!CH13/1000,0))</f>
        <v>0</v>
      </c>
      <c r="U12" s="2192">
        <f>IF($D$2="$ K",Calc!O13,Calc!O13/1000)</f>
        <v>0</v>
      </c>
      <c r="V12" s="1891">
        <f>IF(Calc!AY13=0,0,IF($D$2="$ M",Calc!CI13/1000,0))</f>
        <v>0</v>
      </c>
      <c r="W12" s="2192">
        <f>IF($D$2="$ K",Calc!P13,Calc!P13/1000)</f>
        <v>0</v>
      </c>
      <c r="X12" s="1891">
        <f>IF(Calc!AZ13=0,0,IF($D$2="$ M",Calc!CJ13/1000,0))</f>
        <v>0</v>
      </c>
      <c r="Y12" s="2192">
        <f>IF($D$2="$ K",Calc!Q13,Calc!Q13/1000)</f>
        <v>0</v>
      </c>
      <c r="Z12" s="1891">
        <f>IF(Calc!BA13=0,0,IF($D$2="$ M",Calc!CK13/1000,0))</f>
        <v>0</v>
      </c>
      <c r="AA12" s="2192">
        <f>IF($D$2="$ K",Calc!R13,Calc!R13/1000)</f>
        <v>0</v>
      </c>
      <c r="AB12" s="1891">
        <f>IF(Calc!BB13=0,0,IF($D$2="$ M",Calc!CL13/1000,0))</f>
        <v>0</v>
      </c>
      <c r="AC12" s="2192">
        <f>IF($D$2="$ K",Calc!S13,Calc!S13/1000)</f>
        <v>0</v>
      </c>
      <c r="AD12" s="1891">
        <f>IF(Calc!BC13=0,0,IF($D$2="$ M",Calc!CM13/1000,0))</f>
        <v>0</v>
      </c>
      <c r="AE12" s="2192">
        <f>IF($D$2="$ K",Calc!T13,Calc!T13/1000)</f>
        <v>0</v>
      </c>
      <c r="AF12" s="1891">
        <f>IF(Calc!BD13=0,0,IF($D$2="$ M",Calc!CN13/1000,0))</f>
        <v>0</v>
      </c>
      <c r="AG12" s="2192">
        <f>IF($D$2="$ K",Calc!U13,Calc!U13/1000)</f>
        <v>0</v>
      </c>
      <c r="AH12" s="1891">
        <f>IF(Calc!BE13=0,0,IF($D$2="$ M",Calc!CO13/1000,0))</f>
        <v>0</v>
      </c>
      <c r="AI12" s="2192">
        <f>IF($D$2="$ K",Calc!V13,Calc!V13/1000)</f>
        <v>0</v>
      </c>
      <c r="AJ12" s="1891">
        <f>IF(Calc!BF13=0,0,IF($D$2="$ M",Calc!CP13/1000,0))</f>
        <v>0</v>
      </c>
      <c r="AK12" s="2192">
        <f>IF($D$2="$ K",Calc!W13,Calc!W13/1000)</f>
        <v>0</v>
      </c>
      <c r="AL12" s="1891">
        <f>IF(Calc!BG13=0,0,IF($D$2="$ M",Calc!CQ13/1000,0))</f>
        <v>0</v>
      </c>
      <c r="AM12" s="2192">
        <f>IF($D$2="$ K",Calc!X13,Calc!X13/1000)</f>
        <v>0</v>
      </c>
      <c r="AN12" s="1891">
        <f>IF(Calc!BH13=0,0,IF($D$2="$ M",Calc!CR13/1000,0))</f>
        <v>0</v>
      </c>
      <c r="AO12" s="2192">
        <f>IF($D$2="$ K",Calc!Y13,Calc!Y13/1000)</f>
        <v>0</v>
      </c>
      <c r="AP12" s="1891">
        <f>IF(Calc!BJ13=0,0,IF($D$2="$ M",Calc!CS13/1000,0))</f>
        <v>0</v>
      </c>
      <c r="AQ12" s="2192">
        <f>IF($D$2="$ K",Calc!Z13,Calc!Z13/1000)</f>
        <v>0</v>
      </c>
      <c r="AR12" s="1891">
        <f>IF(Calc!BL13=0,0,IF($D$2="$ M",Calc!CT13/1000,0))</f>
        <v>0</v>
      </c>
      <c r="AS12" s="2192">
        <f>IF($D$2="$ K",Calc!AA13,Calc!AA13/1000)</f>
        <v>0</v>
      </c>
      <c r="AT12" s="1891">
        <f>IF(Calc!BN13=0,0,IF($D$2="$ M",Calc!CU13/1000,0))</f>
        <v>0</v>
      </c>
      <c r="AU12" s="2192">
        <f>IF($D$2="$ K",Calc!AB13,Calc!AB13/1000)</f>
        <v>0</v>
      </c>
      <c r="AV12" s="1891">
        <f>IF(Calc!BP13=0,0,IF($D$2="$ M",Calc!CV13/1000,0))</f>
        <v>0</v>
      </c>
      <c r="AW12" s="2192">
        <f>IF($D$2="$ K",Calc!AC13,Calc!AC13/1000)</f>
        <v>0</v>
      </c>
      <c r="AX12" s="1891">
        <f>IF(Calc!BR13=0,0,IF($D$2="$ M",Calc!CW13/1000,0))</f>
        <v>0</v>
      </c>
      <c r="AY12" s="2192">
        <f>IF($D$2="$ K",Calc!AD13,Calc!AD13/1000)</f>
        <v>0</v>
      </c>
      <c r="AZ12" s="1891">
        <f>IF(Calc!BT13=0,0,IF($D$2="$ M",Calc!CX13/1000,0))</f>
        <v>0</v>
      </c>
      <c r="BA12" s="2192">
        <f>IF($D$2="$ K",Calc!AE13,Calc!AE13/1000)</f>
        <v>0</v>
      </c>
      <c r="BB12" s="1891">
        <f>IF(Calc!BV13=0,0,IF($D$2="$ M",Calc!CY13/1000,0))</f>
        <v>0</v>
      </c>
      <c r="BC12" s="2192">
        <f>IF($D$2="$ K",Calc!AF13,Calc!AF13/1000)</f>
        <v>0</v>
      </c>
      <c r="BD12" s="1891">
        <f>IF(Calc!BX13=0,0,IF($D$2="$ M",Calc!CZ13/1000,0))</f>
        <v>0</v>
      </c>
      <c r="BE12" s="2192">
        <f>IF($D$2="$ K",Calc!AG13,Calc!AG13/1000)</f>
        <v>0</v>
      </c>
      <c r="BF12" s="1891">
        <f>IF(Calc!BZ13=0,0,IF($D$2="$ M",Calc!DA13/1000,0))</f>
        <v>0</v>
      </c>
      <c r="BG12" s="2192">
        <f>IF($D$2="$ K",Calc!AH13,Calc!AH13/1000)</f>
        <v>0</v>
      </c>
      <c r="BH12" s="1891">
        <f>IF(Calc!CB13=0,0,IF($D$2="$ M",Calc!DB13/1000,0))</f>
        <v>0</v>
      </c>
      <c r="BI12" s="2192">
        <f>IF($D$2="$ K",Calc!AI13,Calc!AI13/1000)</f>
        <v>0</v>
      </c>
      <c r="BJ12" s="1891">
        <f>IF(Calc!BS13=0,0,IF($D$2="$ M",Calc!DC13/1000,0))</f>
        <v>0</v>
      </c>
      <c r="BK12" s="2192">
        <f>IF($D$2="$ K",Calc!AJ13,Calc!AJ13/1000)</f>
        <v>0</v>
      </c>
      <c r="BL12" s="2193"/>
      <c r="BM12" s="1897">
        <f>IF(Calc!BT13=0,0,IF($D$2="$ M",Calc!DD13/1000,0))</f>
        <v>0</v>
      </c>
      <c r="BN12" s="2189"/>
      <c r="BO12" s="1070"/>
      <c r="BP12" s="2194">
        <f>IF($D$2="$ K",Calc!AM13,Calc!AM13/1000)</f>
        <v>0</v>
      </c>
      <c r="BQ12" s="2189"/>
      <c r="BR12" s="2189"/>
      <c r="BS12" s="2195"/>
    </row>
    <row r="13" spans="1:71" s="2196" customFormat="1" x14ac:dyDescent="0.3">
      <c r="A13" s="2189"/>
      <c r="B13" s="2197" t="s">
        <v>1575</v>
      </c>
      <c r="C13" s="1099"/>
      <c r="D13" s="2190"/>
      <c r="E13" s="2191">
        <f>IF($D$2="$ K",Calc!G14,Calc!G14/1000)</f>
        <v>0</v>
      </c>
      <c r="F13" s="1891">
        <f>IF(Calc!AQ14=0,0,IF($D$2="$ M",Calc!CA14/1000,Calc!CA14))</f>
        <v>0</v>
      </c>
      <c r="G13" s="2192">
        <f>IF($D$2="$ K",Calc!H14,Calc!H14/1000)</f>
        <v>0</v>
      </c>
      <c r="H13" s="1891">
        <f>IF(Calc!AR14=0,0,IF($D$2="$ M",Calc!CB14/1000,Calc!CB14))</f>
        <v>0</v>
      </c>
      <c r="I13" s="2192">
        <f>IF($D$2="$ K",Calc!I14,Calc!I14/1000)</f>
        <v>0</v>
      </c>
      <c r="J13" s="1891">
        <f>IF(Calc!AS14=0,0,IF($D$2="$ M",Calc!CC14/1000,Calc!CC14))</f>
        <v>0</v>
      </c>
      <c r="K13" s="2192">
        <f>IF($D$2="$ K",Calc!J14,Calc!J14/1000)</f>
        <v>0</v>
      </c>
      <c r="L13" s="1891">
        <f>IF(Calc!AT14=0,0,IF($D$2="$ M",Calc!CD14/1000,Calc!CD14))</f>
        <v>0</v>
      </c>
      <c r="M13" s="2192">
        <f>IF($D$2="$ K",Calc!K14,Calc!K14/1000)</f>
        <v>0</v>
      </c>
      <c r="N13" s="1891">
        <f>IF(Calc!AU14=0,0,IF($D$2="$ M",Calc!CE14/1000,Calc!CE14))</f>
        <v>0</v>
      </c>
      <c r="O13" s="2192">
        <f>IF($D$2="$ K",Calc!L14,Calc!L14/1000)</f>
        <v>0</v>
      </c>
      <c r="P13" s="1891">
        <f>IF(Calc!AV14=0,0,IF($D$2="$ M",Calc!CF14/1000,Calc!CF14))</f>
        <v>0</v>
      </c>
      <c r="Q13" s="2192">
        <f>IF($D$2="$ K",Calc!M14,Calc!M14/1000)</f>
        <v>0</v>
      </c>
      <c r="R13" s="1891">
        <f>IF(Calc!AW14=0,0,IF($D$2="$ M",Calc!CG14/1000,Calc!CG14))</f>
        <v>0</v>
      </c>
      <c r="S13" s="2192">
        <f>IF($D$2="$ K",Calc!N14,Calc!N14/1000)</f>
        <v>0</v>
      </c>
      <c r="T13" s="1891">
        <f>IF(Calc!AX14=0,0,IF($D$2="$ M",Calc!CH14/1000,Calc!CH14))</f>
        <v>0</v>
      </c>
      <c r="U13" s="2192">
        <f>IF($D$2="$ K",Calc!O14,Calc!O14/1000)</f>
        <v>0</v>
      </c>
      <c r="V13" s="1891">
        <f>IF(Calc!AY14=0,0,IF($D$2="$ M",Calc!CI14/1000,Calc!CI14))</f>
        <v>0</v>
      </c>
      <c r="W13" s="2192">
        <f>IF($D$2="$ K",Calc!P14,Calc!P14/1000)</f>
        <v>0</v>
      </c>
      <c r="X13" s="1891">
        <f>IF(Calc!AZ14=0,0,IF($D$2="$ M",Calc!CJ14/1000,Calc!CJ14))</f>
        <v>0</v>
      </c>
      <c r="Y13" s="2192">
        <f>IF($D$2="$ K",Calc!Q14,Calc!Q14/1000)</f>
        <v>0</v>
      </c>
      <c r="Z13" s="1891">
        <f>IF(Calc!BA14=0,0,IF($D$2="$ M",Calc!CK14/1000,Calc!CK14))</f>
        <v>0</v>
      </c>
      <c r="AA13" s="2192">
        <f>IF($D$2="$ K",Calc!R14,Calc!R14/1000)</f>
        <v>0</v>
      </c>
      <c r="AB13" s="1891">
        <f>IF(Calc!BB14=0,0,IF($D$2="$ M",Calc!CL14/1000,Calc!CL14))</f>
        <v>0</v>
      </c>
      <c r="AC13" s="2192">
        <f>IF($D$2="$ K",Calc!S14,Calc!S14/1000)</f>
        <v>0</v>
      </c>
      <c r="AD13" s="1891">
        <f>IF(Calc!BC14=0,0,IF($D$2="$ M",Calc!CM14/1000,Calc!CM14))</f>
        <v>0</v>
      </c>
      <c r="AE13" s="2192">
        <f>IF($D$2="$ K",Calc!T14,Calc!T14/1000)</f>
        <v>0</v>
      </c>
      <c r="AF13" s="1891">
        <f>IF(Calc!BD14=0,0,IF($D$2="$ M",Calc!CN14/1000,Calc!CN14))</f>
        <v>0</v>
      </c>
      <c r="AG13" s="2192">
        <f>IF($D$2="$ K",Calc!U14,Calc!U14/1000)</f>
        <v>0</v>
      </c>
      <c r="AH13" s="1891">
        <f>IF(Calc!BE14=0,0,IF($D$2="$ M",Calc!CO14/1000,Calc!CO14))</f>
        <v>0</v>
      </c>
      <c r="AI13" s="2192">
        <f>IF($D$2="$ K",Calc!V14,Calc!V14/1000)</f>
        <v>0</v>
      </c>
      <c r="AJ13" s="1891">
        <f>IF(Calc!BF14=0,0,IF($D$2="$ M",Calc!CP14/1000,Calc!CP14))</f>
        <v>0</v>
      </c>
      <c r="AK13" s="2192">
        <f>IF($D$2="$ K",Calc!W14,Calc!W14/1000)</f>
        <v>0</v>
      </c>
      <c r="AL13" s="1891">
        <f>IF(Calc!BG14=0,0,IF($D$2="$ M",Calc!CQ14/1000,Calc!CQ14))</f>
        <v>0</v>
      </c>
      <c r="AM13" s="2192">
        <f>IF($D$2="$ K",Calc!X14,Calc!X14/1000)</f>
        <v>0</v>
      </c>
      <c r="AN13" s="1891">
        <f>IF(Calc!BH14=0,0,IF($D$2="$ M",Calc!CR14/1000,Calc!CR14))</f>
        <v>0</v>
      </c>
      <c r="AO13" s="2192">
        <f>IF($D$2="$ K",Calc!Y14,Calc!Y14/1000)</f>
        <v>0</v>
      </c>
      <c r="AP13" s="1891">
        <f>IF(Calc!BJ14=0,0,IF($D$2="$ M",Calc!CS14/1000,Calc!CS14))</f>
        <v>0</v>
      </c>
      <c r="AQ13" s="2192">
        <f>IF($D$2="$ K",Calc!Z14,Calc!Z14/1000)</f>
        <v>0</v>
      </c>
      <c r="AR13" s="1891">
        <f>IF(Calc!BL14=0,0,IF($D$2="$ M",Calc!CT14/1000,Calc!CT14))</f>
        <v>0</v>
      </c>
      <c r="AS13" s="2192">
        <f>IF($D$2="$ K",Calc!AA14,Calc!AA14/1000)</f>
        <v>0</v>
      </c>
      <c r="AT13" s="1891">
        <f>IF(Calc!BN14=0,0,IF($D$2="$ M",Calc!CU14/1000,Calc!CU14))</f>
        <v>0</v>
      </c>
      <c r="AU13" s="2192">
        <f>IF($D$2="$ K",Calc!AB14,Calc!AB14/1000)</f>
        <v>0</v>
      </c>
      <c r="AV13" s="1891">
        <f>IF(Calc!BP14=0,0,IF($D$2="$ M",Calc!CV14/1000,Calc!CV14))</f>
        <v>0</v>
      </c>
      <c r="AW13" s="2192">
        <f>IF($D$2="$ K",Calc!AC14,Calc!AC14/1000)</f>
        <v>0</v>
      </c>
      <c r="AX13" s="1891">
        <f>IF(Calc!BR14=0,0,IF($D$2="$ M",Calc!CW14/1000,Calc!CW14))</f>
        <v>0</v>
      </c>
      <c r="AY13" s="2192">
        <f>IF($D$2="$ K",Calc!AD14,Calc!AD14/1000)</f>
        <v>0</v>
      </c>
      <c r="AZ13" s="1891">
        <f>IF(Calc!BT14=0,0,IF($D$2="$ M",Calc!CX14/1000,Calc!CX14))</f>
        <v>0</v>
      </c>
      <c r="BA13" s="2192">
        <f>IF($D$2="$ K",Calc!AE14,Calc!AE14/1000)</f>
        <v>0</v>
      </c>
      <c r="BB13" s="1891">
        <f>IF(Calc!BV14=0,0,IF($D$2="$ M",Calc!CY14/1000,Calc!CY14))</f>
        <v>0</v>
      </c>
      <c r="BC13" s="2192">
        <f>IF($D$2="$ K",Calc!AF14,Calc!AF14/1000)</f>
        <v>0</v>
      </c>
      <c r="BD13" s="1891">
        <f>IF(Calc!BX14=0,0,IF($D$2="$ M",Calc!CZ14/1000,Calc!CZ14))</f>
        <v>0</v>
      </c>
      <c r="BE13" s="2192">
        <f>IF($D$2="$ K",Calc!AG14,Calc!AG14/1000)</f>
        <v>0</v>
      </c>
      <c r="BF13" s="1891">
        <f>IF(Calc!BZ14=0,0,IF($D$2="$ M",Calc!DA14/1000,Calc!DA14))</f>
        <v>0</v>
      </c>
      <c r="BG13" s="2192">
        <f>IF($D$2="$ K",Calc!AH14,Calc!AH14/1000)</f>
        <v>0</v>
      </c>
      <c r="BH13" s="1891">
        <f>IF(Calc!CB14=0,0,IF($D$2="$ M",Calc!DB14/1000,Calc!DB14))</f>
        <v>0</v>
      </c>
      <c r="BI13" s="2192">
        <f>IF($D$2="$ K",Calc!AI14,Calc!AI14/1000)</f>
        <v>0</v>
      </c>
      <c r="BJ13" s="1891">
        <f>IF(Calc!BS14=0,0,IF($D$2="$ M",Calc!DC14/1000,Calc!DC14))</f>
        <v>0</v>
      </c>
      <c r="BK13" s="2192">
        <f>IF($D$2="$ K",Calc!AJ14,Calc!AJ14/1000)</f>
        <v>0</v>
      </c>
      <c r="BL13" s="2193"/>
      <c r="BM13" s="1897">
        <f>IF(Calc!BT14=0,0,IF($D$2="$ M",Calc!DD14/1000,Calc!DD14))</f>
        <v>0</v>
      </c>
      <c r="BN13" s="2189"/>
      <c r="BO13" s="1070"/>
      <c r="BP13" s="2194">
        <f>IF($D$2="$ K",Calc!AM14,Calc!AM14/1000)</f>
        <v>0</v>
      </c>
      <c r="BQ13" s="2189"/>
      <c r="BR13" s="2189"/>
      <c r="BS13" s="2195"/>
    </row>
    <row r="14" spans="1:71" s="2196" customFormat="1" x14ac:dyDescent="0.3">
      <c r="A14" s="2189"/>
      <c r="B14" s="1463" t="s">
        <v>1576</v>
      </c>
      <c r="C14" s="1099"/>
      <c r="D14" s="2190"/>
      <c r="E14" s="2191">
        <f>IF($D$2="$ K",Calc!G15,Calc!G15/1000)</f>
        <v>0</v>
      </c>
      <c r="F14" s="1891">
        <f>IF(Calc!AQ15=0,0,IF($D$2="$ M",Calc!CA15/1000,Calc!CA15))</f>
        <v>0</v>
      </c>
      <c r="G14" s="2192">
        <f>IF($D$2="$ K",Calc!H15,Calc!H15/1000)</f>
        <v>0</v>
      </c>
      <c r="H14" s="1891">
        <f>IF(Calc!AR15=0,0,IF($D$2="$ M",Calc!CB15/1000,Calc!CB15))</f>
        <v>0</v>
      </c>
      <c r="I14" s="2192">
        <f>IF($D$2="$ K",Calc!I15,Calc!I15/1000)</f>
        <v>0</v>
      </c>
      <c r="J14" s="1891">
        <f>IF(Calc!AS15=0,0,IF($D$2="$ M",Calc!CC15/1000,Calc!CC15))</f>
        <v>0</v>
      </c>
      <c r="K14" s="2192">
        <f>IF($D$2="$ K",Calc!J15,Calc!J15/1000)</f>
        <v>0</v>
      </c>
      <c r="L14" s="1891">
        <f>IF(Calc!AT15=0,0,IF($D$2="$ M",Calc!CD15/1000,Calc!CD15))</f>
        <v>0</v>
      </c>
      <c r="M14" s="2192">
        <f>IF($D$2="$ K",Calc!K15,Calc!K15/1000)</f>
        <v>0</v>
      </c>
      <c r="N14" s="1891">
        <f>IF(Calc!AU15=0,0,IF($D$2="$ M",Calc!CE15/1000,Calc!CE15))</f>
        <v>0</v>
      </c>
      <c r="O14" s="2192">
        <f>IF($D$2="$ K",Calc!L15,Calc!L15/1000)</f>
        <v>0</v>
      </c>
      <c r="P14" s="1891">
        <f>IF(Calc!AV15=0,0,IF($D$2="$ M",Calc!CF15/1000,Calc!CF15))</f>
        <v>0</v>
      </c>
      <c r="Q14" s="2192">
        <f>IF($D$2="$ K",Calc!M15,Calc!M15/1000)</f>
        <v>0</v>
      </c>
      <c r="R14" s="1891">
        <f>IF(Calc!AW15=0,0,IF($D$2="$ M",Calc!CG15/1000,Calc!CG15))</f>
        <v>0</v>
      </c>
      <c r="S14" s="2192">
        <f>IF($D$2="$ K",Calc!N15,Calc!N15/1000)</f>
        <v>0</v>
      </c>
      <c r="T14" s="1891">
        <f>IF(Calc!AX15=0,0,IF($D$2="$ M",Calc!CH15/1000,Calc!CH15))</f>
        <v>0</v>
      </c>
      <c r="U14" s="2192">
        <f>IF($D$2="$ K",Calc!O15,Calc!O15/1000)</f>
        <v>0</v>
      </c>
      <c r="V14" s="1891">
        <f>IF(Calc!AY15=0,0,IF($D$2="$ M",Calc!CI15/1000,Calc!CI15))</f>
        <v>0</v>
      </c>
      <c r="W14" s="2192">
        <f>IF($D$2="$ K",Calc!P15,Calc!P15/1000)</f>
        <v>0</v>
      </c>
      <c r="X14" s="1891">
        <f>IF(Calc!AZ15=0,0,IF($D$2="$ M",Calc!CJ15/1000,Calc!CJ15))</f>
        <v>0</v>
      </c>
      <c r="Y14" s="2192">
        <f>IF($D$2="$ K",Calc!Q15,Calc!Q15/1000)</f>
        <v>0</v>
      </c>
      <c r="Z14" s="1891">
        <f>IF(Calc!BA15=0,0,IF($D$2="$ M",Calc!CK15/1000,Calc!CK15))</f>
        <v>0</v>
      </c>
      <c r="AA14" s="2192">
        <f>IF($D$2="$ K",Calc!R15,Calc!R15/1000)</f>
        <v>0</v>
      </c>
      <c r="AB14" s="1891">
        <f>IF(Calc!BB15=0,0,IF($D$2="$ M",Calc!CL15/1000,Calc!CL15))</f>
        <v>0</v>
      </c>
      <c r="AC14" s="2192">
        <f>IF($D$2="$ K",Calc!S15,Calc!S15/1000)</f>
        <v>0</v>
      </c>
      <c r="AD14" s="1891">
        <f>IF(Calc!BC15=0,0,IF($D$2="$ M",Calc!CM15/1000,Calc!CM15))</f>
        <v>0</v>
      </c>
      <c r="AE14" s="2192">
        <f>IF($D$2="$ K",Calc!T15,Calc!T15/1000)</f>
        <v>0</v>
      </c>
      <c r="AF14" s="1891">
        <f>IF(Calc!BD15=0,0,IF($D$2="$ M",Calc!CN15/1000,Calc!CN15))</f>
        <v>0</v>
      </c>
      <c r="AG14" s="2192">
        <f>IF($D$2="$ K",Calc!U15,Calc!U15/1000)</f>
        <v>0</v>
      </c>
      <c r="AH14" s="1891">
        <f>IF(Calc!BE15=0,0,IF($D$2="$ M",Calc!CO15/1000,Calc!CO15))</f>
        <v>0</v>
      </c>
      <c r="AI14" s="2192">
        <f>IF($D$2="$ K",Calc!V15,Calc!V15/1000)</f>
        <v>0</v>
      </c>
      <c r="AJ14" s="1891">
        <f>IF(Calc!BF15=0,0,IF($D$2="$ M",Calc!CP15/1000,Calc!CP15))</f>
        <v>0</v>
      </c>
      <c r="AK14" s="2192">
        <f>IF($D$2="$ K",Calc!W15,Calc!W15/1000)</f>
        <v>0</v>
      </c>
      <c r="AL14" s="1891">
        <f>IF(Calc!BG15=0,0,IF($D$2="$ M",Calc!CQ15/1000,Calc!CQ15))</f>
        <v>0</v>
      </c>
      <c r="AM14" s="2192">
        <f>IF($D$2="$ K",Calc!X15,Calc!X15/1000)</f>
        <v>0</v>
      </c>
      <c r="AN14" s="1891">
        <f>IF(Calc!BH15=0,0,IF($D$2="$ M",Calc!CR15/1000,Calc!CR15))</f>
        <v>0</v>
      </c>
      <c r="AO14" s="2192">
        <f>IF($D$2="$ K",Calc!Y15,Calc!Y15/1000)</f>
        <v>0</v>
      </c>
      <c r="AP14" s="1891">
        <f>IF(Calc!BJ15=0,0,IF($D$2="$ M",Calc!CS15/1000,Calc!CS15))</f>
        <v>0</v>
      </c>
      <c r="AQ14" s="2192">
        <f>IF($D$2="$ K",Calc!Z15,Calc!Z15/1000)</f>
        <v>0</v>
      </c>
      <c r="AR14" s="1891">
        <f>IF(Calc!BL15=0,0,IF($D$2="$ M",Calc!CT15/1000,Calc!CT15))</f>
        <v>0</v>
      </c>
      <c r="AS14" s="2192">
        <f>IF($D$2="$ K",Calc!AA15,Calc!AA15/1000)</f>
        <v>0</v>
      </c>
      <c r="AT14" s="1891">
        <f>IF(Calc!BN15=0,0,IF($D$2="$ M",Calc!CU15/1000,Calc!CU15))</f>
        <v>0</v>
      </c>
      <c r="AU14" s="2192">
        <f>IF($D$2="$ K",Calc!AB15,Calc!AB15/1000)</f>
        <v>0</v>
      </c>
      <c r="AV14" s="1891">
        <f>IF(Calc!BP15=0,0,IF($D$2="$ M",Calc!CV15/1000,Calc!CV15))</f>
        <v>0</v>
      </c>
      <c r="AW14" s="2192">
        <f>IF($D$2="$ K",Calc!AC15,Calc!AC15/1000)</f>
        <v>0</v>
      </c>
      <c r="AX14" s="1891">
        <f>IF(Calc!BR15=0,0,IF($D$2="$ M",Calc!CW15/1000,Calc!CW15))</f>
        <v>0</v>
      </c>
      <c r="AY14" s="2192">
        <f>IF($D$2="$ K",Calc!AD15,Calc!AD15/1000)</f>
        <v>0</v>
      </c>
      <c r="AZ14" s="1891">
        <f>IF(Calc!BT15=0,0,IF($D$2="$ M",Calc!CX15/1000,Calc!CX15))</f>
        <v>0</v>
      </c>
      <c r="BA14" s="2192">
        <f>IF($D$2="$ K",Calc!AE15,Calc!AE15/1000)</f>
        <v>0</v>
      </c>
      <c r="BB14" s="1891">
        <f>IF(Calc!BV15=0,0,IF($D$2="$ M",Calc!CY15/1000,Calc!CY15))</f>
        <v>0</v>
      </c>
      <c r="BC14" s="2192">
        <f>IF($D$2="$ K",Calc!AF15,Calc!AF15/1000)</f>
        <v>0</v>
      </c>
      <c r="BD14" s="1891">
        <f>IF(Calc!BX15=0,0,IF($D$2="$ M",Calc!CZ15/1000,Calc!CZ15))</f>
        <v>0</v>
      </c>
      <c r="BE14" s="2192">
        <f>IF($D$2="$ K",Calc!AG15,Calc!AG15/1000)</f>
        <v>0</v>
      </c>
      <c r="BF14" s="1891">
        <f>IF(Calc!BZ15=0,0,IF($D$2="$ M",Calc!DA15/1000,Calc!DA15))</f>
        <v>0</v>
      </c>
      <c r="BG14" s="2192">
        <f>IF($D$2="$ K",Calc!AH15,Calc!AH15/1000)</f>
        <v>0</v>
      </c>
      <c r="BH14" s="1891">
        <f>IF(Calc!CB15=0,0,IF($D$2="$ M",Calc!DB15/1000,Calc!DB15))</f>
        <v>0</v>
      </c>
      <c r="BI14" s="2192">
        <f>IF($D$2="$ K",Calc!AI15,Calc!AI15/1000)</f>
        <v>0</v>
      </c>
      <c r="BJ14" s="1891">
        <f>IF(Calc!BS15=0,0,IF($D$2="$ M",Calc!DC15/1000,Calc!DC15))</f>
        <v>0</v>
      </c>
      <c r="BK14" s="2192">
        <f>IF($D$2="$ K",Calc!AJ15,Calc!AJ15/1000)</f>
        <v>0</v>
      </c>
      <c r="BL14" s="2193"/>
      <c r="BM14" s="1897">
        <f>IF(Calc!BT15=0,0,IF($D$2="$ M",Calc!DD15/1000,Calc!DD15))</f>
        <v>0</v>
      </c>
      <c r="BN14" s="2189"/>
      <c r="BO14" s="1070"/>
      <c r="BP14" s="2194">
        <f>IF($D$2="$ K",Calc!AM15,Calc!AM15/1000)</f>
        <v>0</v>
      </c>
      <c r="BQ14" s="2189"/>
      <c r="BR14" s="2189"/>
      <c r="BS14" s="2195"/>
    </row>
    <row r="15" spans="1:71" s="1265" customFormat="1" ht="18" x14ac:dyDescent="0.35">
      <c r="A15" s="1260"/>
      <c r="B15" s="2180" t="s">
        <v>784</v>
      </c>
      <c r="C15" s="2181"/>
      <c r="D15" s="2182"/>
      <c r="E15" s="2183">
        <f>IF($D$2="$ K",Calc!G16,Calc!G16/1000)</f>
        <v>0</v>
      </c>
      <c r="F15" s="2184">
        <f>IF(Calc!AQ16=0,0,IF($D$2="$ M",Calc!CA16/1000,Calc!CA16))</f>
        <v>0</v>
      </c>
      <c r="G15" s="2185">
        <f>IF($D$2="$ K",Calc!H16,Calc!H16/1000)</f>
        <v>0</v>
      </c>
      <c r="H15" s="2184">
        <f>IF(Calc!AR16=0,0,IF($D$2="$ M",Calc!CB16/1000,Calc!CB16))</f>
        <v>0</v>
      </c>
      <c r="I15" s="2185">
        <f>IF($D$2="$ K",Calc!I16,Calc!I16/1000)</f>
        <v>0</v>
      </c>
      <c r="J15" s="2184">
        <f>IF(Calc!AS16=0,0,IF($D$2="$ M",Calc!CC16/1000,Calc!CC16))</f>
        <v>0</v>
      </c>
      <c r="K15" s="2185">
        <f>IF($D$2="$ K",Calc!J16,Calc!J16/1000)</f>
        <v>0</v>
      </c>
      <c r="L15" s="2184">
        <f>IF(Calc!AT16=0,0,IF($D$2="$ M",Calc!CD16/1000,Calc!CD16))</f>
        <v>0</v>
      </c>
      <c r="M15" s="2185">
        <f>IF($D$2="$ K",Calc!K16,Calc!K16/1000)</f>
        <v>0</v>
      </c>
      <c r="N15" s="2184">
        <f>IF(Calc!AU16=0,0,IF($D$2="$ M",Calc!CE16/1000,Calc!CE16))</f>
        <v>0</v>
      </c>
      <c r="O15" s="2185">
        <f>IF($D$2="$ K",Calc!L16,Calc!L16/1000)</f>
        <v>16.667203805107203</v>
      </c>
      <c r="P15" s="2184">
        <f>IF(Calc!AV16=0,0,IF($D$2="$ M",Calc!CF16/1000,Calc!CF16))</f>
        <v>0</v>
      </c>
      <c r="Q15" s="2185">
        <f>IF($D$2="$ K",Calc!M16,Calc!M16/1000)</f>
        <v>38.568729451259294</v>
      </c>
      <c r="R15" s="2184">
        <f>IF(Calc!AW16=0,0,IF($D$2="$ M",Calc!CG16/1000,Calc!CG16))</f>
        <v>0</v>
      </c>
      <c r="S15" s="2185">
        <f>IF($D$2="$ K",Calc!N16,Calc!N16/1000)</f>
        <v>73.523969476654173</v>
      </c>
      <c r="T15" s="2184">
        <f>IF(Calc!AX16=0,0,IF($D$2="$ M",Calc!CH16/1000,Calc!CH16))</f>
        <v>0</v>
      </c>
      <c r="U15" s="2185">
        <f>IF($D$2="$ K",Calc!O16,Calc!O16/1000)</f>
        <v>110.31899500952554</v>
      </c>
      <c r="V15" s="2184">
        <f>IF(Calc!AY16=0,0,IF($D$2="$ M",Calc!CI16/1000,Calc!CI16))</f>
        <v>0</v>
      </c>
      <c r="W15" s="2185">
        <f>IF($D$2="$ K",Calc!P16,Calc!P16/1000)</f>
        <v>137.34105381475933</v>
      </c>
      <c r="X15" s="2184">
        <f>IF(Calc!AZ16=0,0,IF($D$2="$ M",Calc!CJ16/1000,Calc!CJ16))</f>
        <v>0</v>
      </c>
      <c r="Y15" s="2185">
        <f>IF($D$2="$ K",Calc!Q16,Calc!Q16/1000)</f>
        <v>152.86510012769503</v>
      </c>
      <c r="Z15" s="2184">
        <f>IF(Calc!BA16=0,0,IF($D$2="$ M",Calc!CK16/1000,Calc!CK16))</f>
        <v>0</v>
      </c>
      <c r="AA15" s="2185">
        <f>IF($D$2="$ K",Calc!R16,Calc!R16/1000)</f>
        <v>165.74456703901546</v>
      </c>
      <c r="AB15" s="2184">
        <f>IF(Calc!BB16=0,0,IF($D$2="$ M",Calc!CL16/1000,Calc!CL16))</f>
        <v>0</v>
      </c>
      <c r="AC15" s="2185">
        <f>IF($D$2="$ K",Calc!S16,Calc!S16/1000)</f>
        <v>190.18987253450209</v>
      </c>
      <c r="AD15" s="2184">
        <f>IF(Calc!BC16=0,0,IF($D$2="$ M",Calc!CM16/1000,Calc!CM16))</f>
        <v>0</v>
      </c>
      <c r="AE15" s="2185">
        <f>IF($D$2="$ K",Calc!T16,Calc!T16/1000)</f>
        <v>198.82688370596603</v>
      </c>
      <c r="AF15" s="2184">
        <f>IF(Calc!BD16=0,0,IF($D$2="$ M",Calc!CN16/1000,Calc!CN16))</f>
        <v>0</v>
      </c>
      <c r="AG15" s="2185">
        <f>IF($D$2="$ K",Calc!U16,Calc!U16/1000)</f>
        <v>239.30803722850067</v>
      </c>
      <c r="AH15" s="2184">
        <f>IF(Calc!BE16=0,0,IF($D$2="$ M",Calc!CO16/1000,Calc!CO16))</f>
        <v>0</v>
      </c>
      <c r="AI15" s="2185">
        <f>IF($D$2="$ K",Calc!V16,Calc!V16/1000)</f>
        <v>268.53502227712966</v>
      </c>
      <c r="AJ15" s="2184">
        <f>IF(Calc!BF16=0,0,IF($D$2="$ M",Calc!CP16/1000,Calc!CP16))</f>
        <v>0</v>
      </c>
      <c r="AK15" s="2185">
        <f>IF($D$2="$ K",Calc!W16,Calc!W16/1000)</f>
        <v>308.70314307628644</v>
      </c>
      <c r="AL15" s="2184">
        <f>IF(Calc!BG16=0,0,IF($D$2="$ M",Calc!CQ16/1000,Calc!CQ16))</f>
        <v>0</v>
      </c>
      <c r="AM15" s="2185">
        <f>IF($D$2="$ K",Calc!X16,Calc!X16/1000)</f>
        <v>252.78709082071077</v>
      </c>
      <c r="AN15" s="2184">
        <f>IF(Calc!BH16=0,0,IF($D$2="$ M",Calc!CR16/1000,Calc!CR16))</f>
        <v>0</v>
      </c>
      <c r="AO15" s="2185">
        <f>IF($D$2="$ K",Calc!Y16,Calc!Y16/1000)</f>
        <v>0</v>
      </c>
      <c r="AP15" s="2184">
        <f>IF(Calc!BJ16=0,0,IF($D$2="$ M",Calc!CS16/1000,Calc!CS16))</f>
        <v>0</v>
      </c>
      <c r="AQ15" s="2185">
        <f>IF($D$2="$ K",Calc!Z16,Calc!Z16/1000)</f>
        <v>0</v>
      </c>
      <c r="AR15" s="2184">
        <f>IF(Calc!BL16=0,0,IF($D$2="$ M",Calc!CT16/1000,Calc!CT16))</f>
        <v>0</v>
      </c>
      <c r="AS15" s="2185">
        <f>IF($D$2="$ K",Calc!AA16,Calc!AA16/1000)</f>
        <v>0</v>
      </c>
      <c r="AT15" s="2184">
        <f>IF(Calc!BN16=0,0,IF($D$2="$ M",Calc!CU16/1000,Calc!CU16))</f>
        <v>0</v>
      </c>
      <c r="AU15" s="2185">
        <f>IF($D$2="$ K",Calc!AB16,Calc!AB16/1000)</f>
        <v>0</v>
      </c>
      <c r="AV15" s="2184">
        <f>IF(Calc!BP16=0,0,IF($D$2="$ M",Calc!CV16/1000,Calc!CV16))</f>
        <v>0</v>
      </c>
      <c r="AW15" s="2185">
        <f>IF($D$2="$ K",Calc!AC16,Calc!AC16/1000)</f>
        <v>0</v>
      </c>
      <c r="AX15" s="2184">
        <f>IF(Calc!BR16=0,0,IF($D$2="$ M",Calc!CW16/1000,Calc!CW16))</f>
        <v>0</v>
      </c>
      <c r="AY15" s="2185">
        <f>IF($D$2="$ K",Calc!AD16,Calc!AD16/1000)</f>
        <v>0</v>
      </c>
      <c r="AZ15" s="2184">
        <f>IF(Calc!BT16=0,0,IF($D$2="$ M",Calc!CX16/1000,Calc!CX16))</f>
        <v>0</v>
      </c>
      <c r="BA15" s="2185">
        <f>IF($D$2="$ K",Calc!AE16,Calc!AE16/1000)</f>
        <v>0</v>
      </c>
      <c r="BB15" s="2184">
        <f>IF(Calc!BV16=0,0,IF($D$2="$ M",Calc!CY16/1000,Calc!CY16))</f>
        <v>0</v>
      </c>
      <c r="BC15" s="2185">
        <f>IF($D$2="$ K",Calc!AF16,Calc!AF16/1000)</f>
        <v>0</v>
      </c>
      <c r="BD15" s="2184">
        <f>IF(Calc!BX16=0,0,IF($D$2="$ M",Calc!CZ16/1000,Calc!CZ16))</f>
        <v>0</v>
      </c>
      <c r="BE15" s="2185">
        <f>IF($D$2="$ K",Calc!AG16,Calc!AG16/1000)</f>
        <v>0</v>
      </c>
      <c r="BF15" s="2184">
        <f>IF(Calc!BZ16=0,0,IF($D$2="$ M",Calc!DA16/1000,Calc!DA16))</f>
        <v>0</v>
      </c>
      <c r="BG15" s="2185">
        <f>IF($D$2="$ K",Calc!AH16,Calc!AH16/1000)</f>
        <v>0</v>
      </c>
      <c r="BH15" s="2184">
        <f>IF(Calc!CB16=0,0,IF($D$2="$ M",Calc!DB16/1000,Calc!DB16))</f>
        <v>0</v>
      </c>
      <c r="BI15" s="2185">
        <f>IF($D$2="$ K",Calc!AI16,Calc!AI16/1000)</f>
        <v>0</v>
      </c>
      <c r="BJ15" s="2184">
        <f>IF(Calc!BS16=0,0,IF($D$2="$ M",Calc!DC16/1000,Calc!DC16))</f>
        <v>0</v>
      </c>
      <c r="BK15" s="2185">
        <f>IF($D$2="$ K",Calc!AJ16,Calc!AJ16/1000)</f>
        <v>376.41995155730552</v>
      </c>
      <c r="BL15" s="2186"/>
      <c r="BM15" s="2187">
        <f>IF(Calc!BT16=0,0,IF($D$2="$ M",Calc!DD16/1000,Calc!DD16))</f>
        <v>0</v>
      </c>
      <c r="BN15" s="1260"/>
      <c r="BO15" s="1260"/>
      <c r="BP15" s="2188">
        <f>IF($D$2="$ K",Calc!AM16,Calc!AM16/1000)</f>
        <v>1323.3544121929849</v>
      </c>
      <c r="BQ15" s="1260"/>
      <c r="BR15" s="1260"/>
      <c r="BS15" s="2145"/>
    </row>
    <row r="16" spans="1:71" s="2206" customFormat="1" x14ac:dyDescent="0.3">
      <c r="A16" s="2198"/>
      <c r="B16" s="2197" t="s">
        <v>1577</v>
      </c>
      <c r="C16" s="1115"/>
      <c r="D16" s="2199"/>
      <c r="E16" s="2200" t="str">
        <f>IF(Calc!G17=0,"",Calc!G17)</f>
        <v/>
      </c>
      <c r="F16" s="2201" t="str">
        <f>IF(Calc!AQ17=0,"",Calc!CA17)</f>
        <v/>
      </c>
      <c r="G16" s="2202" t="str">
        <f>IF(Calc!H17=0,"",Calc!H17)</f>
        <v/>
      </c>
      <c r="H16" s="2201" t="str">
        <f>IF(Calc!AR17=0,"",Calc!CB17)</f>
        <v/>
      </c>
      <c r="I16" s="2202" t="str">
        <f>IF(Calc!I17=0,"",Calc!I17)</f>
        <v/>
      </c>
      <c r="J16" s="2201" t="str">
        <f>IF(Calc!AS17=0,"",Calc!CC17)</f>
        <v/>
      </c>
      <c r="K16" s="2202" t="str">
        <f>IF(Calc!J17=0,"",Calc!J17)</f>
        <v/>
      </c>
      <c r="L16" s="2201" t="str">
        <f>IF(Calc!AT17=0,"",Calc!CD17)</f>
        <v/>
      </c>
      <c r="M16" s="2202" t="str">
        <f>IF(Calc!K17=0,"",Calc!K17)</f>
        <v/>
      </c>
      <c r="N16" s="2201" t="str">
        <f>IF(Calc!AU17=0,"",Calc!CE17)</f>
        <v/>
      </c>
      <c r="O16" s="2202" t="str">
        <f>IF(Calc!L17=0,"",Calc!L17)</f>
        <v/>
      </c>
      <c r="P16" s="2201" t="str">
        <f>IF(Calc!AV17=0,"",Calc!CF17)</f>
        <v/>
      </c>
      <c r="Q16" s="2202" t="str">
        <f>IF(Calc!M17=0,"",Calc!M17)</f>
        <v/>
      </c>
      <c r="R16" s="2201" t="str">
        <f>IF(Calc!AW17=0,"",Calc!CG17)</f>
        <v/>
      </c>
      <c r="S16" s="2202" t="str">
        <f>IF(Calc!N17=0,"",Calc!N17)</f>
        <v/>
      </c>
      <c r="T16" s="2201" t="str">
        <f>IF(Calc!AX17=0,"",Calc!CH17)</f>
        <v/>
      </c>
      <c r="U16" s="2202" t="str">
        <f>IF(Calc!O17=0,"",Calc!O17)</f>
        <v/>
      </c>
      <c r="V16" s="2201" t="str">
        <f>IF(Calc!AY17=0,"",Calc!CI17)</f>
        <v/>
      </c>
      <c r="W16" s="2202" t="str">
        <f>IF(Calc!P17=0,"",Calc!P17)</f>
        <v/>
      </c>
      <c r="X16" s="2201" t="str">
        <f>IF(Calc!AZ17=0,"",Calc!CJ17)</f>
        <v/>
      </c>
      <c r="Y16" s="2202" t="str">
        <f>IF(Calc!Q17=0,"",Calc!Q17)</f>
        <v/>
      </c>
      <c r="Z16" s="2201" t="str">
        <f>IF(Calc!BA17=0,"",Calc!CK17)</f>
        <v/>
      </c>
      <c r="AA16" s="2202" t="str">
        <f>IF(Calc!R17=0,"",Calc!R17)</f>
        <v/>
      </c>
      <c r="AB16" s="2201" t="str">
        <f>IF(Calc!BB17=0,"",Calc!CL17)</f>
        <v/>
      </c>
      <c r="AC16" s="2202" t="str">
        <f>IF(Calc!S17=0,"",Calc!S17)</f>
        <v/>
      </c>
      <c r="AD16" s="2201" t="str">
        <f>IF(Calc!BC17=0,"",Calc!CM17)</f>
        <v/>
      </c>
      <c r="AE16" s="2202" t="str">
        <f>IF(Calc!T17=0,"",Calc!T17)</f>
        <v/>
      </c>
      <c r="AF16" s="2201" t="str">
        <f>IF(Calc!BD17=0,"",Calc!CN17)</f>
        <v/>
      </c>
      <c r="AG16" s="2202" t="str">
        <f>IF(Calc!U17=0,"",Calc!U17)</f>
        <v/>
      </c>
      <c r="AH16" s="2201" t="str">
        <f>IF(Calc!BE17=0,"",Calc!CO17)</f>
        <v/>
      </c>
      <c r="AI16" s="2202" t="str">
        <f>IF(Calc!V17=0,"",Calc!V17)</f>
        <v/>
      </c>
      <c r="AJ16" s="2201" t="str">
        <f>IF(Calc!BF17=0,"",Calc!CP17)</f>
        <v/>
      </c>
      <c r="AK16" s="2202" t="str">
        <f>IF(Calc!W17=0,"",Calc!W17)</f>
        <v/>
      </c>
      <c r="AL16" s="2201" t="str">
        <f>IF(Calc!BG17=0,"",Calc!CQ17)</f>
        <v/>
      </c>
      <c r="AM16" s="2202" t="str">
        <f>IF(Calc!X17=0,"",Calc!X17)</f>
        <v/>
      </c>
      <c r="AN16" s="2201" t="str">
        <f>IF(Calc!BH17=0,"",Calc!CR17)</f>
        <v/>
      </c>
      <c r="AO16" s="2202" t="str">
        <f>IF(Calc!Y17=0,"",Calc!Y17)</f>
        <v/>
      </c>
      <c r="AP16" s="2201" t="str">
        <f>IF(Calc!BJ17=0,"",Calc!CS17)</f>
        <v/>
      </c>
      <c r="AQ16" s="2202" t="str">
        <f>IF(Calc!Z17=0,"",Calc!Z17)</f>
        <v/>
      </c>
      <c r="AR16" s="2201" t="str">
        <f>IF(Calc!BL17=0,"",Calc!CT17)</f>
        <v/>
      </c>
      <c r="AS16" s="2202" t="str">
        <f>IF(Calc!AA17=0,"",Calc!AA17)</f>
        <v/>
      </c>
      <c r="AT16" s="2201" t="str">
        <f>IF(Calc!BN17=0,"",Calc!CU17)</f>
        <v/>
      </c>
      <c r="AU16" s="2202" t="str">
        <f>IF(Calc!AB17=0,"",Calc!AB17)</f>
        <v/>
      </c>
      <c r="AV16" s="2201" t="str">
        <f>IF(Calc!BP17=0,"",Calc!CV17)</f>
        <v/>
      </c>
      <c r="AW16" s="2202" t="str">
        <f>IF(Calc!AC17=0,"",Calc!AC17)</f>
        <v/>
      </c>
      <c r="AX16" s="2201" t="str">
        <f>IF(Calc!BR17=0,"",Calc!CW17)</f>
        <v/>
      </c>
      <c r="AY16" s="2202" t="str">
        <f>IF(Calc!AD17=0,"",Calc!AD17)</f>
        <v/>
      </c>
      <c r="AZ16" s="2201" t="str">
        <f>IF(Calc!BT17=0,"",Calc!CX17)</f>
        <v/>
      </c>
      <c r="BA16" s="2202" t="str">
        <f>IF(Calc!AE17=0,"",Calc!AE17)</f>
        <v/>
      </c>
      <c r="BB16" s="2201" t="str">
        <f>IF(Calc!BV17=0,"",Calc!CY17)</f>
        <v/>
      </c>
      <c r="BC16" s="2202" t="str">
        <f>IF(Calc!AF17=0,"",Calc!AF17)</f>
        <v/>
      </c>
      <c r="BD16" s="2201" t="str">
        <f>IF(Calc!BX17=0,"",Calc!CZ17)</f>
        <v/>
      </c>
      <c r="BE16" s="2202" t="str">
        <f>IF(Calc!AG17=0,"",Calc!AG17)</f>
        <v/>
      </c>
      <c r="BF16" s="2201" t="str">
        <f>IF(Calc!BZ17=0,"",Calc!DA17)</f>
        <v/>
      </c>
      <c r="BG16" s="2202" t="str">
        <f>IF(Calc!AH17=0,"",Calc!AH17)</f>
        <v/>
      </c>
      <c r="BH16" s="2201" t="str">
        <f>IF(Calc!CB17=0,"",Calc!DB17)</f>
        <v/>
      </c>
      <c r="BI16" s="2202" t="str">
        <f>IF(Calc!AI17=0,"",Calc!AI17)</f>
        <v/>
      </c>
      <c r="BJ16" s="2201" t="str">
        <f>IF(Calc!BS17=0,"",Calc!DC17)</f>
        <v/>
      </c>
      <c r="BK16" s="2203"/>
      <c r="BL16" s="2163"/>
      <c r="BM16" s="2204"/>
      <c r="BN16" s="2198"/>
      <c r="BO16" s="1070"/>
      <c r="BP16" s="2205"/>
      <c r="BQ16" s="2198"/>
      <c r="BR16" s="2198"/>
      <c r="BS16" s="2195"/>
    </row>
    <row r="17" spans="1:71" s="2206" customFormat="1" x14ac:dyDescent="0.3">
      <c r="A17" s="2198"/>
      <c r="B17" s="1463" t="s">
        <v>1578</v>
      </c>
      <c r="C17" s="2207"/>
      <c r="D17" s="2208"/>
      <c r="E17" s="2209" t="str">
        <f>IF(Calc!G18=0,"",Calc!G18)</f>
        <v/>
      </c>
      <c r="F17" s="2210" t="str">
        <f>IF(Calc!AQ18=0,"",Calc!CA18)</f>
        <v/>
      </c>
      <c r="G17" s="2211" t="str">
        <f>IF(Calc!H18=0,"",Calc!H18)</f>
        <v/>
      </c>
      <c r="H17" s="2210" t="str">
        <f>IF(Calc!AR18=0,"",Calc!CB18)</f>
        <v/>
      </c>
      <c r="I17" s="2211" t="str">
        <f>IF(Calc!I18=0,"",Calc!I18)</f>
        <v/>
      </c>
      <c r="J17" s="2210" t="str">
        <f>IF(Calc!AS18=0,"",Calc!CC18)</f>
        <v/>
      </c>
      <c r="K17" s="2211" t="str">
        <f>IF(Calc!J18=0,"",Calc!J18)</f>
        <v/>
      </c>
      <c r="L17" s="2210" t="str">
        <f>IF(Calc!AT18=0,"",Calc!CD18)</f>
        <v/>
      </c>
      <c r="M17" s="2211" t="str">
        <f>IF(Calc!K18=0,"",Calc!K18)</f>
        <v/>
      </c>
      <c r="N17" s="2210" t="str">
        <f>IF(Calc!AU18=0,"",Calc!CE18)</f>
        <v/>
      </c>
      <c r="O17" s="2211" t="str">
        <f>IF(Calc!L18=0,"",Calc!L18)</f>
        <v/>
      </c>
      <c r="P17" s="2210" t="str">
        <f>IF(Calc!AV18=0,"",Calc!CF18)</f>
        <v/>
      </c>
      <c r="Q17" s="2211" t="str">
        <f>IF(Calc!M18=0,"",Calc!M18)</f>
        <v/>
      </c>
      <c r="R17" s="2210" t="str">
        <f>IF(Calc!AW18=0,"",Calc!CG18)</f>
        <v/>
      </c>
      <c r="S17" s="2211" t="str">
        <f>IF(Calc!N18=0,"",Calc!N18)</f>
        <v/>
      </c>
      <c r="T17" s="2210" t="str">
        <f>IF(Calc!AX18=0,"",Calc!CH18)</f>
        <v/>
      </c>
      <c r="U17" s="2211" t="str">
        <f>IF(Calc!O18=0,"",Calc!O18)</f>
        <v/>
      </c>
      <c r="V17" s="2210" t="str">
        <f>IF(Calc!AY18=0,"",Calc!CI18)</f>
        <v/>
      </c>
      <c r="W17" s="2211" t="str">
        <f>IF(Calc!P18=0,"",Calc!P18)</f>
        <v/>
      </c>
      <c r="X17" s="2210" t="str">
        <f>IF(Calc!AZ18=0,"",Calc!CJ18)</f>
        <v/>
      </c>
      <c r="Y17" s="2211" t="str">
        <f>IF(Calc!Q18=0,"",Calc!Q18)</f>
        <v/>
      </c>
      <c r="Z17" s="2210" t="str">
        <f>IF(Calc!BA18=0,"",Calc!CK18)</f>
        <v/>
      </c>
      <c r="AA17" s="2211" t="str">
        <f>IF(Calc!R18=0,"",Calc!R18)</f>
        <v/>
      </c>
      <c r="AB17" s="2210" t="str">
        <f>IF(Calc!BB18=0,"",Calc!CL18)</f>
        <v/>
      </c>
      <c r="AC17" s="2211" t="str">
        <f>IF(Calc!S18=0,"",Calc!S18)</f>
        <v/>
      </c>
      <c r="AD17" s="2210" t="str">
        <f>IF(Calc!BC18=0,"",Calc!CM18)</f>
        <v/>
      </c>
      <c r="AE17" s="2211" t="str">
        <f>IF(Calc!T18=0,"",Calc!T18)</f>
        <v/>
      </c>
      <c r="AF17" s="2210" t="str">
        <f>IF(Calc!BD18=0,"",Calc!CN18)</f>
        <v/>
      </c>
      <c r="AG17" s="2211" t="str">
        <f>IF(Calc!U18=0,"",Calc!U18)</f>
        <v/>
      </c>
      <c r="AH17" s="2210" t="str">
        <f>IF(Calc!BE18=0,"",Calc!CO18)</f>
        <v/>
      </c>
      <c r="AI17" s="2211" t="str">
        <f>IF(Calc!V18=0,"",Calc!V18)</f>
        <v/>
      </c>
      <c r="AJ17" s="2210" t="str">
        <f>IF(Calc!BF18=0,"",Calc!CP18)</f>
        <v/>
      </c>
      <c r="AK17" s="2211" t="str">
        <f>IF(Calc!W18=0,"",Calc!W18)</f>
        <v/>
      </c>
      <c r="AL17" s="2210" t="str">
        <f>IF(Calc!BG18=0,"",Calc!CQ18)</f>
        <v/>
      </c>
      <c r="AM17" s="2211" t="str">
        <f>IF(Calc!X18=0,"",Calc!X18)</f>
        <v/>
      </c>
      <c r="AN17" s="2210" t="str">
        <f>IF(Calc!BH18=0,"",Calc!CR18)</f>
        <v/>
      </c>
      <c r="AO17" s="2211" t="str">
        <f>IF(Calc!Y18=0,"",Calc!Y18)</f>
        <v/>
      </c>
      <c r="AP17" s="2210" t="str">
        <f>IF(Calc!BJ18=0,"",Calc!CS18)</f>
        <v/>
      </c>
      <c r="AQ17" s="2211" t="str">
        <f>IF(Calc!Z18=0,"",Calc!Z18)</f>
        <v/>
      </c>
      <c r="AR17" s="2210" t="str">
        <f>IF(Calc!BL18=0,"",Calc!CT18)</f>
        <v/>
      </c>
      <c r="AS17" s="2211" t="str">
        <f>IF(Calc!AA18=0,"",Calc!AA18)</f>
        <v/>
      </c>
      <c r="AT17" s="2210" t="str">
        <f>IF(Calc!BN18=0,"",Calc!CU18)</f>
        <v/>
      </c>
      <c r="AU17" s="2211" t="str">
        <f>IF(Calc!AB18=0,"",Calc!AB18)</f>
        <v/>
      </c>
      <c r="AV17" s="2210" t="str">
        <f>IF(Calc!BP18=0,"",Calc!CV18)</f>
        <v/>
      </c>
      <c r="AW17" s="2211" t="str">
        <f>IF(Calc!AC18=0,"",Calc!AC18)</f>
        <v/>
      </c>
      <c r="AX17" s="2210" t="str">
        <f>IF(Calc!BR18=0,"",Calc!CW18)</f>
        <v/>
      </c>
      <c r="AY17" s="2211" t="str">
        <f>IF(Calc!AD18=0,"",Calc!AD18)</f>
        <v/>
      </c>
      <c r="AZ17" s="2210" t="str">
        <f>IF(Calc!BT18=0,"",Calc!CX18)</f>
        <v/>
      </c>
      <c r="BA17" s="2211" t="str">
        <f>IF(Calc!AE18=0,"",Calc!AE18)</f>
        <v/>
      </c>
      <c r="BB17" s="2210" t="str">
        <f>IF(Calc!BV18=0,"",Calc!CY18)</f>
        <v/>
      </c>
      <c r="BC17" s="2211" t="str">
        <f>IF(Calc!AF18=0,"",Calc!AF18)</f>
        <v/>
      </c>
      <c r="BD17" s="2210" t="str">
        <f>IF(Calc!BX18=0,"",Calc!CZ18)</f>
        <v/>
      </c>
      <c r="BE17" s="2211" t="str">
        <f>IF(Calc!AG18=0,"",Calc!AG18)</f>
        <v/>
      </c>
      <c r="BF17" s="2210" t="str">
        <f>IF(Calc!BZ18=0,"",Calc!DA18)</f>
        <v/>
      </c>
      <c r="BG17" s="2211" t="str">
        <f>IF(Calc!AH18=0,"",Calc!AH18)</f>
        <v/>
      </c>
      <c r="BH17" s="2210" t="str">
        <f>IF(Calc!CB18=0,"",Calc!DB18)</f>
        <v/>
      </c>
      <c r="BI17" s="2211" t="str">
        <f>IF(Calc!AI18=0,"",Calc!AI18)</f>
        <v/>
      </c>
      <c r="BJ17" s="2210" t="str">
        <f>IF(Calc!BS18=0,"",Calc!DC18)</f>
        <v/>
      </c>
      <c r="BK17" s="2212"/>
      <c r="BL17" s="2172"/>
      <c r="BM17" s="2213"/>
      <c r="BN17" s="2198"/>
      <c r="BO17" s="1070"/>
      <c r="BP17" s="2214"/>
      <c r="BQ17" s="2198"/>
      <c r="BR17" s="2198"/>
      <c r="BS17" s="2195"/>
    </row>
    <row r="18" spans="1:71" s="1265" customFormat="1" ht="18" x14ac:dyDescent="0.35">
      <c r="A18" s="1260"/>
      <c r="B18" s="2180" t="s">
        <v>1579</v>
      </c>
      <c r="C18" s="2181"/>
      <c r="D18" s="2182"/>
      <c r="E18" s="2183">
        <f>IF($D$2="$ K",Calc!G19,Calc!G19/1000)</f>
        <v>0</v>
      </c>
      <c r="F18" s="2184">
        <f>IF(Calc!AQ19=0,0,IF($D$2="$ M",Calc!CA19/1000,Calc!CA19))</f>
        <v>0</v>
      </c>
      <c r="G18" s="2185">
        <f>IF($D$2="$ K",Calc!H19,Calc!H19/1000)</f>
        <v>0</v>
      </c>
      <c r="H18" s="2184">
        <f>IF(Calc!AR19=0,0,IF($D$2="$ M",Calc!CB19/1000,Calc!CB19))</f>
        <v>0</v>
      </c>
      <c r="I18" s="2185">
        <f>IF($D$2="$ K",Calc!I19,Calc!I19/1000)</f>
        <v>0</v>
      </c>
      <c r="J18" s="2184">
        <f>IF(Calc!AS19=0,0,IF($D$2="$ M",Calc!CC19/1000,Calc!CC19))</f>
        <v>0</v>
      </c>
      <c r="K18" s="2185">
        <f>IF($D$2="$ K",Calc!J19,Calc!J19/1000)</f>
        <v>0</v>
      </c>
      <c r="L18" s="2184">
        <f>IF(Calc!AT19=0,0,IF($D$2="$ M",Calc!CD19/1000,Calc!CD19))</f>
        <v>0</v>
      </c>
      <c r="M18" s="2185">
        <f>IF($D$2="$ K",Calc!K19,Calc!K19/1000)</f>
        <v>0</v>
      </c>
      <c r="N18" s="2184">
        <f>IF(Calc!AU19=0,0,IF($D$2="$ M",Calc!CE19/1000,Calc!CE19))</f>
        <v>0</v>
      </c>
      <c r="O18" s="2185">
        <f>IF($D$2="$ K",Calc!L19,Calc!L19/1000)</f>
        <v>16.667203805107203</v>
      </c>
      <c r="P18" s="2184">
        <f>IF(Calc!AV19=0,0,IF($D$2="$ M",Calc!CF19/1000,Calc!CF19))</f>
        <v>0</v>
      </c>
      <c r="Q18" s="2185">
        <f>IF($D$2="$ K",Calc!M19,Calc!M19/1000)</f>
        <v>38.568729451259294</v>
      </c>
      <c r="R18" s="2184">
        <f>IF(Calc!AW19=0,0,IF($D$2="$ M",Calc!CG19/1000,Calc!CG19))</f>
        <v>0</v>
      </c>
      <c r="S18" s="2185">
        <f>IF($D$2="$ K",Calc!N19,Calc!N19/1000)</f>
        <v>73.523969476654173</v>
      </c>
      <c r="T18" s="2184">
        <f>IF(Calc!AX19=0,0,IF($D$2="$ M",Calc!CH19/1000,Calc!CH19))</f>
        <v>0</v>
      </c>
      <c r="U18" s="2185">
        <f>IF($D$2="$ K",Calc!O19,Calc!O19/1000)</f>
        <v>110.31899500952554</v>
      </c>
      <c r="V18" s="2184">
        <f>IF(Calc!AY19=0,0,IF($D$2="$ M",Calc!CI19/1000,Calc!CI19))</f>
        <v>0</v>
      </c>
      <c r="W18" s="2185">
        <f>IF($D$2="$ K",Calc!P19,Calc!P19/1000)</f>
        <v>137.34105381475933</v>
      </c>
      <c r="X18" s="2184">
        <f>IF(Calc!AZ19=0,0,IF($D$2="$ M",Calc!CJ19/1000,Calc!CJ19))</f>
        <v>0</v>
      </c>
      <c r="Y18" s="2185">
        <f>IF($D$2="$ K",Calc!Q19,Calc!Q19/1000)</f>
        <v>152.86510012769503</v>
      </c>
      <c r="Z18" s="2184">
        <f>IF(Calc!BA19=0,0,IF($D$2="$ M",Calc!CK19/1000,Calc!CK19))</f>
        <v>0</v>
      </c>
      <c r="AA18" s="2185">
        <f>IF($D$2="$ K",Calc!R19,Calc!R19/1000)</f>
        <v>165.74456703901546</v>
      </c>
      <c r="AB18" s="2184">
        <f>IF(Calc!BB19=0,0,IF($D$2="$ M",Calc!CL19/1000,Calc!CL19))</f>
        <v>0</v>
      </c>
      <c r="AC18" s="2185">
        <f>IF($D$2="$ K",Calc!S19,Calc!S19/1000)</f>
        <v>190.18987253450209</v>
      </c>
      <c r="AD18" s="2184">
        <f>IF(Calc!BC19=0,0,IF($D$2="$ M",Calc!CM19/1000,Calc!CM19))</f>
        <v>0</v>
      </c>
      <c r="AE18" s="2185">
        <f>IF($D$2="$ K",Calc!T19,Calc!T19/1000)</f>
        <v>198.82688370596603</v>
      </c>
      <c r="AF18" s="2184">
        <f>IF(Calc!BD19=0,0,IF($D$2="$ M",Calc!CN19/1000,Calc!CN19))</f>
        <v>0</v>
      </c>
      <c r="AG18" s="2185">
        <f>IF($D$2="$ K",Calc!U19,Calc!U19/1000)</f>
        <v>239.30803722850067</v>
      </c>
      <c r="AH18" s="2184">
        <f>IF(Calc!BE19=0,0,IF($D$2="$ M",Calc!CO19/1000,Calc!CO19))</f>
        <v>0</v>
      </c>
      <c r="AI18" s="2185">
        <f>IF($D$2="$ K",Calc!V19,Calc!V19/1000)</f>
        <v>268.53502227712966</v>
      </c>
      <c r="AJ18" s="2184">
        <f>IF(Calc!BF19=0,0,IF($D$2="$ M",Calc!CP19/1000,Calc!CP19))</f>
        <v>0</v>
      </c>
      <c r="AK18" s="2185">
        <f>IF($D$2="$ K",Calc!W19,Calc!W19/1000)</f>
        <v>308.70314307628644</v>
      </c>
      <c r="AL18" s="2184">
        <f>IF(Calc!BG19=0,0,IF($D$2="$ M",Calc!CQ19/1000,Calc!CQ19))</f>
        <v>0</v>
      </c>
      <c r="AM18" s="2185">
        <f>IF($D$2="$ K",Calc!X19,Calc!X19/1000)</f>
        <v>252.78709082071077</v>
      </c>
      <c r="AN18" s="2184">
        <f>IF(Calc!BH19=0,0,IF($D$2="$ M",Calc!CR19/1000,Calc!CR19))</f>
        <v>0</v>
      </c>
      <c r="AO18" s="2185">
        <f>IF($D$2="$ K",Calc!Y19,Calc!Y19/1000)</f>
        <v>0</v>
      </c>
      <c r="AP18" s="2184">
        <f>IF(Calc!BJ19=0,0,IF($D$2="$ M",Calc!CS19/1000,Calc!CS19))</f>
        <v>0</v>
      </c>
      <c r="AQ18" s="2185">
        <f>IF($D$2="$ K",Calc!Z19,Calc!Z19/1000)</f>
        <v>0</v>
      </c>
      <c r="AR18" s="2184">
        <f>IF(Calc!BL19=0,0,IF($D$2="$ M",Calc!CT19/1000,Calc!CT19))</f>
        <v>0</v>
      </c>
      <c r="AS18" s="2185">
        <f>IF($D$2="$ K",Calc!AA19,Calc!AA19/1000)</f>
        <v>0</v>
      </c>
      <c r="AT18" s="2184">
        <f>IF(Calc!BN19=0,0,IF($D$2="$ M",Calc!CU19/1000,Calc!CU19))</f>
        <v>0</v>
      </c>
      <c r="AU18" s="2185">
        <f>IF($D$2="$ K",Calc!AB19,Calc!AB19/1000)</f>
        <v>0</v>
      </c>
      <c r="AV18" s="2184">
        <f>IF(Calc!BP19=0,0,IF($D$2="$ M",Calc!CV19/1000,Calc!CV19))</f>
        <v>0</v>
      </c>
      <c r="AW18" s="2185">
        <f>IF($D$2="$ K",Calc!AC19,Calc!AC19/1000)</f>
        <v>0</v>
      </c>
      <c r="AX18" s="2184">
        <f>IF(Calc!BR19=0,0,IF($D$2="$ M",Calc!CW19/1000,Calc!CW19))</f>
        <v>0</v>
      </c>
      <c r="AY18" s="2185">
        <f>IF($D$2="$ K",Calc!AD19,Calc!AD19/1000)</f>
        <v>0</v>
      </c>
      <c r="AZ18" s="2184">
        <f>IF(Calc!BT19=0,0,IF($D$2="$ M",Calc!CX19/1000,Calc!CX19))</f>
        <v>0</v>
      </c>
      <c r="BA18" s="2185">
        <f>IF($D$2="$ K",Calc!AE19,Calc!AE19/1000)</f>
        <v>0</v>
      </c>
      <c r="BB18" s="2184">
        <f>IF(Calc!BV19=0,0,IF($D$2="$ M",Calc!CY19/1000,Calc!CY19))</f>
        <v>0</v>
      </c>
      <c r="BC18" s="2185">
        <f>IF($D$2="$ K",Calc!AF19,Calc!AF19/1000)</f>
        <v>0</v>
      </c>
      <c r="BD18" s="2184">
        <f>IF(Calc!BX19=0,0,IF($D$2="$ M",Calc!CZ19/1000,Calc!CZ19))</f>
        <v>0</v>
      </c>
      <c r="BE18" s="2185">
        <f>IF($D$2="$ K",Calc!AG19,Calc!AG19/1000)</f>
        <v>0</v>
      </c>
      <c r="BF18" s="2184">
        <f>IF(Calc!BZ19=0,0,IF($D$2="$ M",Calc!DA19/1000,Calc!DA19))</f>
        <v>0</v>
      </c>
      <c r="BG18" s="2185">
        <f>IF($D$2="$ K",Calc!AH19,Calc!AH19/1000)</f>
        <v>0</v>
      </c>
      <c r="BH18" s="2184">
        <f>IF(Calc!CB19=0,0,IF($D$2="$ M",Calc!DB19/1000,Calc!DB19))</f>
        <v>0</v>
      </c>
      <c r="BI18" s="2185">
        <f>IF($D$2="$ K",Calc!AI19,Calc!AI19/1000)</f>
        <v>0</v>
      </c>
      <c r="BJ18" s="2184">
        <f>IF(Calc!BS19=0,0,IF($D$2="$ M",Calc!DC19/1000,Calc!DC19))</f>
        <v>0</v>
      </c>
      <c r="BK18" s="2185">
        <f>IF($D$2="$ K",Calc!AJ19,Calc!AJ19/1000)</f>
        <v>376.41995155730552</v>
      </c>
      <c r="BL18" s="2186"/>
      <c r="BM18" s="2187">
        <f>IF(Calc!BT19=0,0,IF($D$2="$ M",Calc!DD19/1000,Calc!DD19))</f>
        <v>0</v>
      </c>
      <c r="BN18" s="1260"/>
      <c r="BO18" s="1260"/>
      <c r="BP18" s="2188">
        <f>IF($D$2="$ K",Calc!AM19,Calc!AM19/1000)</f>
        <v>1323.3544121929849</v>
      </c>
      <c r="BQ18" s="1260"/>
      <c r="BR18" s="1260"/>
      <c r="BS18" s="2145"/>
    </row>
    <row r="19" spans="1:71" s="1265" customFormat="1" ht="15.6" x14ac:dyDescent="0.3">
      <c r="A19" s="1260"/>
      <c r="B19" s="2215" t="s">
        <v>1580</v>
      </c>
      <c r="C19" s="2216"/>
      <c r="D19" s="2217"/>
      <c r="E19" s="2218">
        <f>IF($D$2="$ K",Calc!G20,Calc!G20/1000)</f>
        <v>0</v>
      </c>
      <c r="F19" s="2219">
        <f>IF(Calc!AQ20=0,0,IF($D$2="$ M",Calc!CA20/1000,Calc!CA20))</f>
        <v>0</v>
      </c>
      <c r="G19" s="2220">
        <f>IF($D$2="$ K",Calc!H20,Calc!H20/1000)</f>
        <v>0</v>
      </c>
      <c r="H19" s="2219">
        <f>IF(Calc!AR20=0,0,IF($D$2="$ M",Calc!CB20/1000,Calc!CB20))</f>
        <v>0</v>
      </c>
      <c r="I19" s="2220">
        <f>IF($D$2="$ K",Calc!I20,Calc!I20/1000)</f>
        <v>0</v>
      </c>
      <c r="J19" s="2219">
        <f>IF(Calc!AS20=0,0,IF($D$2="$ M",Calc!CC20/1000,Calc!CC20))</f>
        <v>0</v>
      </c>
      <c r="K19" s="2220">
        <f>IF($D$2="$ K",Calc!J20,Calc!J20/1000)</f>
        <v>0</v>
      </c>
      <c r="L19" s="2219">
        <f>IF(Calc!AT20=0,0,IF($D$2="$ M",Calc!CD20/1000,Calc!CD20))</f>
        <v>0</v>
      </c>
      <c r="M19" s="2220">
        <f>IF($D$2="$ K",Calc!K20,Calc!K20/1000)</f>
        <v>0</v>
      </c>
      <c r="N19" s="2219">
        <f>IF(Calc!AU20=0,0,IF($D$2="$ M",Calc!CE20/1000,Calc!CE20))</f>
        <v>0</v>
      </c>
      <c r="O19" s="2220">
        <f>IF($D$2="$ K",Calc!L20,Calc!L20/1000)</f>
        <v>0</v>
      </c>
      <c r="P19" s="2219">
        <f>IF(Calc!AV20=0,0,IF($D$2="$ M",Calc!CF20/1000,Calc!CF20))</f>
        <v>0</v>
      </c>
      <c r="Q19" s="2220">
        <f>IF($D$2="$ K",Calc!M20,Calc!M20/1000)</f>
        <v>0</v>
      </c>
      <c r="R19" s="2219">
        <f>IF(Calc!AW20=0,0,IF($D$2="$ M",Calc!CG20/1000,Calc!CG20))</f>
        <v>0</v>
      </c>
      <c r="S19" s="2220">
        <f>IF($D$2="$ K",Calc!N20,Calc!N20/1000)</f>
        <v>0</v>
      </c>
      <c r="T19" s="2219">
        <f>IF(Calc!AX20=0,0,IF($D$2="$ M",Calc!CH20/1000,Calc!CH20))</f>
        <v>0</v>
      </c>
      <c r="U19" s="2220">
        <f>IF($D$2="$ K",Calc!O20,Calc!O20/1000)</f>
        <v>0</v>
      </c>
      <c r="V19" s="2219">
        <f>IF(Calc!AY20=0,0,IF($D$2="$ M",Calc!CI20/1000,Calc!CI20))</f>
        <v>0</v>
      </c>
      <c r="W19" s="2220">
        <f>IF($D$2="$ K",Calc!P20,Calc!P20/1000)</f>
        <v>0</v>
      </c>
      <c r="X19" s="2219">
        <f>IF(Calc!AZ20=0,0,IF($D$2="$ M",Calc!CJ20/1000,Calc!CJ20))</f>
        <v>0</v>
      </c>
      <c r="Y19" s="2220">
        <f>IF($D$2="$ K",Calc!Q20,Calc!Q20/1000)</f>
        <v>0</v>
      </c>
      <c r="Z19" s="2219">
        <f>IF(Calc!BA20=0,0,IF($D$2="$ M",Calc!CK20/1000,Calc!CK20))</f>
        <v>0</v>
      </c>
      <c r="AA19" s="2220">
        <f>IF($D$2="$ K",Calc!R20,Calc!R20/1000)</f>
        <v>0</v>
      </c>
      <c r="AB19" s="2219">
        <f>IF(Calc!BB20=0,0,IF($D$2="$ M",Calc!CL20/1000,Calc!CL20))</f>
        <v>0</v>
      </c>
      <c r="AC19" s="2220">
        <f>IF($D$2="$ K",Calc!S20,Calc!S20/1000)</f>
        <v>0</v>
      </c>
      <c r="AD19" s="2219">
        <f>IF(Calc!BC20=0,0,IF($D$2="$ M",Calc!CM20/1000,Calc!CM20))</f>
        <v>0</v>
      </c>
      <c r="AE19" s="2220">
        <f>IF($D$2="$ K",Calc!T20,Calc!T20/1000)</f>
        <v>0</v>
      </c>
      <c r="AF19" s="2219">
        <f>IF(Calc!BD20=0,0,IF($D$2="$ M",Calc!CN20/1000,Calc!CN20))</f>
        <v>0</v>
      </c>
      <c r="AG19" s="2220">
        <f>IF($D$2="$ K",Calc!U20,Calc!U20/1000)</f>
        <v>0</v>
      </c>
      <c r="AH19" s="2219">
        <f>IF(Calc!BE20=0,0,IF($D$2="$ M",Calc!CO20/1000,Calc!CO20))</f>
        <v>0</v>
      </c>
      <c r="AI19" s="2220">
        <f>IF($D$2="$ K",Calc!V20,Calc!V20/1000)</f>
        <v>0</v>
      </c>
      <c r="AJ19" s="2219">
        <f>IF(Calc!BF20=0,0,IF($D$2="$ M",Calc!CP20/1000,Calc!CP20))</f>
        <v>0</v>
      </c>
      <c r="AK19" s="2220">
        <f>IF($D$2="$ K",Calc!W20,Calc!W20/1000)</f>
        <v>0</v>
      </c>
      <c r="AL19" s="2219">
        <f>IF(Calc!BG20=0,0,IF($D$2="$ M",Calc!CQ20/1000,Calc!CQ20))</f>
        <v>0</v>
      </c>
      <c r="AM19" s="2220">
        <f>IF($D$2="$ K",Calc!X20,Calc!X20/1000)</f>
        <v>0</v>
      </c>
      <c r="AN19" s="2219">
        <f>IF(Calc!BH20=0,0,IF($D$2="$ M",Calc!CR20/1000,Calc!CR20))</f>
        <v>0</v>
      </c>
      <c r="AO19" s="2220">
        <f>IF($D$2="$ K",Calc!Y20,Calc!Y20/1000)</f>
        <v>0</v>
      </c>
      <c r="AP19" s="2219">
        <f>IF(Calc!BJ20=0,0,IF($D$2="$ M",Calc!CS20/1000,Calc!CS20))</f>
        <v>0</v>
      </c>
      <c r="AQ19" s="2220">
        <f>IF($D$2="$ K",Calc!Z20,Calc!Z20/1000)</f>
        <v>0</v>
      </c>
      <c r="AR19" s="2219">
        <f>IF(Calc!BL20=0,0,IF($D$2="$ M",Calc!CT20/1000,Calc!CT20))</f>
        <v>0</v>
      </c>
      <c r="AS19" s="2220">
        <f>IF($D$2="$ K",Calc!AA20,Calc!AA20/1000)</f>
        <v>0</v>
      </c>
      <c r="AT19" s="2219">
        <f>IF(Calc!BN20=0,0,IF($D$2="$ M",Calc!CU20/1000,Calc!CU20))</f>
        <v>0</v>
      </c>
      <c r="AU19" s="2220">
        <f>IF($D$2="$ K",Calc!AB20,Calc!AB20/1000)</f>
        <v>0</v>
      </c>
      <c r="AV19" s="2219">
        <f>IF(Calc!BP20=0,0,IF($D$2="$ M",Calc!CV20/1000,Calc!CV20))</f>
        <v>0</v>
      </c>
      <c r="AW19" s="2220">
        <f>IF($D$2="$ K",Calc!AC20,Calc!AC20/1000)</f>
        <v>0</v>
      </c>
      <c r="AX19" s="2219">
        <f>IF(Calc!BR20=0,0,IF($D$2="$ M",Calc!CW20/1000,Calc!CW20))</f>
        <v>0</v>
      </c>
      <c r="AY19" s="2220">
        <f>IF($D$2="$ K",Calc!AD20,Calc!AD20/1000)</f>
        <v>0</v>
      </c>
      <c r="AZ19" s="2219">
        <f>IF(Calc!BT20=0,0,IF($D$2="$ M",Calc!CX20/1000,Calc!CX20))</f>
        <v>0</v>
      </c>
      <c r="BA19" s="2220">
        <f>IF($D$2="$ K",Calc!AE20,Calc!AE20/1000)</f>
        <v>0</v>
      </c>
      <c r="BB19" s="2219">
        <f>IF(Calc!BV20=0,0,IF($D$2="$ M",Calc!CY20/1000,Calc!CY20))</f>
        <v>0</v>
      </c>
      <c r="BC19" s="2220">
        <f>IF($D$2="$ K",Calc!AF20,Calc!AF20/1000)</f>
        <v>0</v>
      </c>
      <c r="BD19" s="2219">
        <f>IF(Calc!BX20=0,0,IF($D$2="$ M",Calc!CZ20/1000,Calc!CZ20))</f>
        <v>0</v>
      </c>
      <c r="BE19" s="2220">
        <f>IF($D$2="$ K",Calc!AG20,Calc!AG20/1000)</f>
        <v>0</v>
      </c>
      <c r="BF19" s="2219">
        <f>IF(Calc!BZ20=0,0,IF($D$2="$ M",Calc!DA20/1000,Calc!DA20))</f>
        <v>0</v>
      </c>
      <c r="BG19" s="2220">
        <f>IF($D$2="$ K",Calc!AH20,Calc!AH20/1000)</f>
        <v>0</v>
      </c>
      <c r="BH19" s="2219">
        <f>IF(Calc!CB20=0,0,IF($D$2="$ M",Calc!DB20/1000,Calc!DB20))</f>
        <v>0</v>
      </c>
      <c r="BI19" s="2220">
        <f>IF($D$2="$ K",Calc!AI20,Calc!AI20/1000)</f>
        <v>0</v>
      </c>
      <c r="BJ19" s="2219">
        <f>IF(Calc!BS20=0,0,IF($D$2="$ M",Calc!DC20/1000,Calc!DC20))</f>
        <v>0</v>
      </c>
      <c r="BK19" s="2220"/>
      <c r="BL19" s="2221"/>
      <c r="BM19" s="2222">
        <f>IF(Calc!BT20=0,0,IF($D$2="$ M",Calc!DD20/1000,Calc!DD20))</f>
        <v>0</v>
      </c>
      <c r="BN19" s="1260"/>
      <c r="BO19" s="1260"/>
      <c r="BP19" s="2223"/>
      <c r="BQ19" s="1260"/>
      <c r="BR19" s="1260"/>
      <c r="BS19" s="2145"/>
    </row>
    <row r="20" spans="1:71" s="1265" customFormat="1" ht="15.6" x14ac:dyDescent="0.3">
      <c r="A20" s="1260"/>
      <c r="B20" s="2224" t="s">
        <v>1581</v>
      </c>
      <c r="C20" s="2225"/>
      <c r="D20" s="2226"/>
      <c r="E20" s="2227">
        <f>IF($D$2="$ K",Calc!G21,Calc!G21/1000)</f>
        <v>0</v>
      </c>
      <c r="F20" s="2228">
        <f>IF(Calc!AQ21=0,0,IF($D$2="$ M",Calc!CA21/1000,Calc!CA21))</f>
        <v>0</v>
      </c>
      <c r="G20" s="2229">
        <f>IF($D$2="$ K",Calc!H21,Calc!H21/1000)</f>
        <v>0</v>
      </c>
      <c r="H20" s="2228">
        <f>IF(Calc!AR21=0,0,IF($D$2="$ M",Calc!CB21/1000,Calc!CB21))</f>
        <v>0</v>
      </c>
      <c r="I20" s="2229">
        <f>IF($D$2="$ K",Calc!I21,Calc!I21/1000)</f>
        <v>0</v>
      </c>
      <c r="J20" s="2228">
        <f>IF(Calc!AS21=0,0,IF($D$2="$ M",Calc!CC21/1000,Calc!CC21))</f>
        <v>0</v>
      </c>
      <c r="K20" s="2229">
        <f>IF($D$2="$ K",Calc!J21,Calc!J21/1000)</f>
        <v>0</v>
      </c>
      <c r="L20" s="2228">
        <f>IF(Calc!AT21=0,0,IF($D$2="$ M",Calc!CD21/1000,Calc!CD21))</f>
        <v>0</v>
      </c>
      <c r="M20" s="2229">
        <f>IF($D$2="$ K",Calc!K21,Calc!K21/1000)</f>
        <v>0</v>
      </c>
      <c r="N20" s="2228">
        <f>IF(Calc!AU21=0,0,IF($D$2="$ M",Calc!CE21/1000,Calc!CE21))</f>
        <v>0</v>
      </c>
      <c r="O20" s="2229">
        <f>IF($D$2="$ K",Calc!L21,Calc!L21/1000)</f>
        <v>0</v>
      </c>
      <c r="P20" s="2228">
        <f>IF(Calc!AV21=0,0,IF($D$2="$ M",Calc!CF21/1000,Calc!CF21))</f>
        <v>0</v>
      </c>
      <c r="Q20" s="2229">
        <f>IF($D$2="$ K",Calc!M21,Calc!M21/1000)</f>
        <v>0</v>
      </c>
      <c r="R20" s="2228">
        <f>IF(Calc!AW21=0,0,IF($D$2="$ M",Calc!CG21/1000,Calc!CG21))</f>
        <v>0</v>
      </c>
      <c r="S20" s="2229">
        <f>IF($D$2="$ K",Calc!N21,Calc!N21/1000)</f>
        <v>0</v>
      </c>
      <c r="T20" s="2228">
        <f>IF(Calc!AX21=0,0,IF($D$2="$ M",Calc!CH21/1000,Calc!CH21))</f>
        <v>0</v>
      </c>
      <c r="U20" s="2229">
        <f>IF($D$2="$ K",Calc!O21,Calc!O21/1000)</f>
        <v>0</v>
      </c>
      <c r="V20" s="2228">
        <f>IF(Calc!AY21=0,0,IF($D$2="$ M",Calc!CI21/1000,Calc!CI21))</f>
        <v>0</v>
      </c>
      <c r="W20" s="2229">
        <f>IF($D$2="$ K",Calc!P21,Calc!P21/1000)</f>
        <v>0</v>
      </c>
      <c r="X20" s="2228">
        <f>IF(Calc!AZ21=0,0,IF($D$2="$ M",Calc!CJ21/1000,Calc!CJ21))</f>
        <v>0</v>
      </c>
      <c r="Y20" s="2229">
        <f>IF($D$2="$ K",Calc!Q21,Calc!Q21/1000)</f>
        <v>0</v>
      </c>
      <c r="Z20" s="2228">
        <f>IF(Calc!BA21=0,0,IF($D$2="$ M",Calc!CK21/1000,Calc!CK21))</f>
        <v>0</v>
      </c>
      <c r="AA20" s="2229">
        <f>IF($D$2="$ K",Calc!R21,Calc!R21/1000)</f>
        <v>0</v>
      </c>
      <c r="AB20" s="2228">
        <f>IF(Calc!BB21=0,0,IF($D$2="$ M",Calc!CL21/1000,Calc!CL21))</f>
        <v>0</v>
      </c>
      <c r="AC20" s="2229">
        <f>IF($D$2="$ K",Calc!S21,Calc!S21/1000)</f>
        <v>0</v>
      </c>
      <c r="AD20" s="2228">
        <f>IF(Calc!BC21=0,0,IF($D$2="$ M",Calc!CM21/1000,Calc!CM21))</f>
        <v>0</v>
      </c>
      <c r="AE20" s="2229">
        <f>IF($D$2="$ K",Calc!T21,Calc!T21/1000)</f>
        <v>0</v>
      </c>
      <c r="AF20" s="2228">
        <f>IF(Calc!BD21=0,0,IF($D$2="$ M",Calc!CN21/1000,Calc!CN21))</f>
        <v>0</v>
      </c>
      <c r="AG20" s="2229">
        <f>IF($D$2="$ K",Calc!U21,Calc!U21/1000)</f>
        <v>0</v>
      </c>
      <c r="AH20" s="2228">
        <f>IF(Calc!BE21=0,0,IF($D$2="$ M",Calc!CO21/1000,Calc!CO21))</f>
        <v>0</v>
      </c>
      <c r="AI20" s="2229">
        <f>IF($D$2="$ K",Calc!V21,Calc!V21/1000)</f>
        <v>0</v>
      </c>
      <c r="AJ20" s="2228">
        <f>IF(Calc!BF21=0,0,IF($D$2="$ M",Calc!CP21/1000,Calc!CP21))</f>
        <v>0</v>
      </c>
      <c r="AK20" s="2229">
        <f>IF($D$2="$ K",Calc!W21,Calc!W21/1000)</f>
        <v>0</v>
      </c>
      <c r="AL20" s="2228">
        <f>IF(Calc!BG21=0,0,IF($D$2="$ M",Calc!CQ21/1000,Calc!CQ21))</f>
        <v>0</v>
      </c>
      <c r="AM20" s="2229">
        <f>IF($D$2="$ K",Calc!X21,Calc!X21/1000)</f>
        <v>0</v>
      </c>
      <c r="AN20" s="2228">
        <f>IF(Calc!BH21=0,0,IF($D$2="$ M",Calc!CR21/1000,Calc!CR21))</f>
        <v>0</v>
      </c>
      <c r="AO20" s="2229">
        <f>IF($D$2="$ K",Calc!Y21,Calc!Y21/1000)</f>
        <v>0</v>
      </c>
      <c r="AP20" s="2228">
        <f>IF(Calc!BJ21=0,0,IF($D$2="$ M",Calc!CS21/1000,Calc!CS21))</f>
        <v>0</v>
      </c>
      <c r="AQ20" s="2229">
        <f>IF($D$2="$ K",Calc!Z21,Calc!Z21/1000)</f>
        <v>0</v>
      </c>
      <c r="AR20" s="2228">
        <f>IF(Calc!BL21=0,0,IF($D$2="$ M",Calc!CT21/1000,Calc!CT21))</f>
        <v>0</v>
      </c>
      <c r="AS20" s="2229">
        <f>IF($D$2="$ K",Calc!AA21,Calc!AA21/1000)</f>
        <v>0</v>
      </c>
      <c r="AT20" s="2228">
        <f>IF(Calc!BN21=0,0,IF($D$2="$ M",Calc!CU21/1000,Calc!CU21))</f>
        <v>0</v>
      </c>
      <c r="AU20" s="2229">
        <f>IF($D$2="$ K",Calc!AB21,Calc!AB21/1000)</f>
        <v>0</v>
      </c>
      <c r="AV20" s="2228">
        <f>IF(Calc!BP21=0,0,IF($D$2="$ M",Calc!CV21/1000,Calc!CV21))</f>
        <v>0</v>
      </c>
      <c r="AW20" s="2229">
        <f>IF($D$2="$ K",Calc!AC21,Calc!AC21/1000)</f>
        <v>0</v>
      </c>
      <c r="AX20" s="2228">
        <f>IF(Calc!BR21=0,0,IF($D$2="$ M",Calc!CW21/1000,Calc!CW21))</f>
        <v>0</v>
      </c>
      <c r="AY20" s="2229">
        <f>IF($D$2="$ K",Calc!AD21,Calc!AD21/1000)</f>
        <v>0</v>
      </c>
      <c r="AZ20" s="2228">
        <f>IF(Calc!BT21=0,0,IF($D$2="$ M",Calc!CX21/1000,Calc!CX21))</f>
        <v>0</v>
      </c>
      <c r="BA20" s="2229">
        <f>IF($D$2="$ K",Calc!AE21,Calc!AE21/1000)</f>
        <v>0</v>
      </c>
      <c r="BB20" s="2228">
        <f>IF(Calc!BV21=0,0,IF($D$2="$ M",Calc!CY21/1000,Calc!CY21))</f>
        <v>0</v>
      </c>
      <c r="BC20" s="2229">
        <f>IF($D$2="$ K",Calc!AF21,Calc!AF21/1000)</f>
        <v>0</v>
      </c>
      <c r="BD20" s="2228">
        <f>IF(Calc!BX21=0,0,IF($D$2="$ M",Calc!CZ21/1000,Calc!CZ21))</f>
        <v>0</v>
      </c>
      <c r="BE20" s="2229">
        <f>IF($D$2="$ K",Calc!AG21,Calc!AG21/1000)</f>
        <v>0</v>
      </c>
      <c r="BF20" s="2228">
        <f>IF(Calc!BZ21=0,0,IF($D$2="$ M",Calc!DA21/1000,Calc!DA21))</f>
        <v>0</v>
      </c>
      <c r="BG20" s="2229">
        <f>IF($D$2="$ K",Calc!AH21,Calc!AH21/1000)</f>
        <v>0</v>
      </c>
      <c r="BH20" s="2228">
        <f>IF(Calc!CB21=0,0,IF($D$2="$ M",Calc!DB21/1000,Calc!DB21))</f>
        <v>0</v>
      </c>
      <c r="BI20" s="2229">
        <f>IF($D$2="$ K",Calc!AI21,Calc!AI21/1000)</f>
        <v>0</v>
      </c>
      <c r="BJ20" s="2228">
        <f>IF(Calc!BS21=0,0,IF($D$2="$ M",Calc!DC21/1000,Calc!DC21))</f>
        <v>0</v>
      </c>
      <c r="BK20" s="2229">
        <f>IF($D$2="$ K",Calc!AJ21,Calc!AJ21/1000)</f>
        <v>0</v>
      </c>
      <c r="BL20" s="2230"/>
      <c r="BM20" s="2231">
        <f>IF(Calc!BT21=0,0,IF($D$2="$ M",Calc!DD21/1000,Calc!DD21))</f>
        <v>0</v>
      </c>
      <c r="BN20" s="1260"/>
      <c r="BO20" s="1260"/>
      <c r="BP20" s="2232">
        <f>IF($D$2="$ K",Calc!AM21,Calc!AM21/1000)</f>
        <v>0</v>
      </c>
      <c r="BQ20" s="1260"/>
      <c r="BR20" s="1260"/>
      <c r="BS20" s="2145"/>
    </row>
    <row r="21" spans="1:71" s="2196" customFormat="1" x14ac:dyDescent="0.3">
      <c r="A21" s="2189"/>
      <c r="B21" s="2197" t="s">
        <v>1582</v>
      </c>
      <c r="C21" s="1099"/>
      <c r="D21" s="2233"/>
      <c r="E21" s="2234">
        <f>+Calc!G22</f>
        <v>0</v>
      </c>
      <c r="F21" s="2235">
        <f>IF(Calc!AQ22=0,0,Calc!CA22)</f>
        <v>0</v>
      </c>
      <c r="G21" s="2236">
        <f>+Calc!H22</f>
        <v>0</v>
      </c>
      <c r="H21" s="2235">
        <f>IF(Calc!AR22=0,0,Calc!CB22)</f>
        <v>0</v>
      </c>
      <c r="I21" s="2236">
        <f>+Calc!I22</f>
        <v>0</v>
      </c>
      <c r="J21" s="2235">
        <f>IF(Calc!AS22=0,0,Calc!CC22)</f>
        <v>0</v>
      </c>
      <c r="K21" s="2236">
        <f>+Calc!J22</f>
        <v>0</v>
      </c>
      <c r="L21" s="2235">
        <f>IF(Calc!AT22=0,0,Calc!CD22)</f>
        <v>0</v>
      </c>
      <c r="M21" s="2236">
        <f>+Calc!K22</f>
        <v>0</v>
      </c>
      <c r="N21" s="2235">
        <f>IF(Calc!AU22=0,0,Calc!CE22)</f>
        <v>0</v>
      </c>
      <c r="O21" s="2236">
        <f>+Calc!L22</f>
        <v>22.708333333333329</v>
      </c>
      <c r="P21" s="2235">
        <f>IF(Calc!AV22=0,0,Calc!CF22)</f>
        <v>0</v>
      </c>
      <c r="Q21" s="2236">
        <f>+Calc!M22</f>
        <v>22.377320765495572</v>
      </c>
      <c r="R21" s="2235">
        <f>IF(Calc!AW22=0,0,Calc!CG22)</f>
        <v>0</v>
      </c>
      <c r="S21" s="2236">
        <f>+Calc!N22</f>
        <v>22.344569288389515</v>
      </c>
      <c r="T21" s="2235">
        <f>IF(Calc!AX22=0,0,Calc!CH22)</f>
        <v>0</v>
      </c>
      <c r="U21" s="2236">
        <f>+Calc!O22</f>
        <v>22.313131313131311</v>
      </c>
      <c r="V21" s="2235">
        <f>IF(Calc!AY22=0,0,Calc!CI22)</f>
        <v>0</v>
      </c>
      <c r="W21" s="2236">
        <f>+Calc!P22</f>
        <v>20.755861365953109</v>
      </c>
      <c r="X21" s="2235">
        <f>IF(Calc!AZ22=0,0,Calc!CJ22)</f>
        <v>0</v>
      </c>
      <c r="Y21" s="2236">
        <f>+Calc!Q22</f>
        <v>20.720992209922098</v>
      </c>
      <c r="Z21" s="2235">
        <f>IF(Calc!BA22=0,0,Calc!CK22)</f>
        <v>0</v>
      </c>
      <c r="AA21" s="2236">
        <f>+Calc!R22</f>
        <v>20.366897200851206</v>
      </c>
      <c r="AB21" s="2235">
        <f>IF(Calc!BB22=0,0,Calc!CL22)</f>
        <v>0</v>
      </c>
      <c r="AC21" s="2236">
        <f>+Calc!S22</f>
        <v>19.043869926186517</v>
      </c>
      <c r="AD21" s="2235">
        <f>IF(Calc!BC22=0,0,Calc!CM22)</f>
        <v>0</v>
      </c>
      <c r="AE21" s="2236">
        <f>+Calc!T22</f>
        <v>18.741676429877195</v>
      </c>
      <c r="AF21" s="2235">
        <f>IF(Calc!BD22=0,0,Calc!CN22)</f>
        <v>0</v>
      </c>
      <c r="AG21" s="2236">
        <f>+Calc!U22</f>
        <v>17.741676429877195</v>
      </c>
      <c r="AH21" s="2235">
        <f>IF(Calc!BE22=0,0,Calc!CO22)</f>
        <v>0</v>
      </c>
      <c r="AI21" s="2236">
        <f>+Calc!V22</f>
        <v>17.443532854898894</v>
      </c>
      <c r="AJ21" s="2235">
        <f>IF(Calc!BF22=0,0,Calc!CP22)</f>
        <v>0</v>
      </c>
      <c r="AK21" s="2236">
        <f>+Calc!W22</f>
        <v>17.423224728657999</v>
      </c>
      <c r="AL21" s="2235">
        <f>IF(Calc!BG22=0,0,Calc!CQ22)</f>
        <v>0</v>
      </c>
      <c r="AM21" s="2236">
        <f>+Calc!X22</f>
        <v>0</v>
      </c>
      <c r="AN21" s="2235">
        <f>IF(Calc!BH22=0,0,Calc!CR22)</f>
        <v>0</v>
      </c>
      <c r="AO21" s="2236">
        <f>+Calc!Y22</f>
        <v>0</v>
      </c>
      <c r="AP21" s="2235">
        <f>IF(Calc!BJ22=0,0,Calc!CS22)</f>
        <v>0</v>
      </c>
      <c r="AQ21" s="2236">
        <f>+Calc!Z22</f>
        <v>0</v>
      </c>
      <c r="AR21" s="2235">
        <f>IF(Calc!BL22=0,0,Calc!CT22)</f>
        <v>0</v>
      </c>
      <c r="AS21" s="2236">
        <f>+Calc!AA22</f>
        <v>0</v>
      </c>
      <c r="AT21" s="2235">
        <f>IF(Calc!BN22=0,0,Calc!CU22)</f>
        <v>0</v>
      </c>
      <c r="AU21" s="2236">
        <f>+Calc!AB22</f>
        <v>0</v>
      </c>
      <c r="AV21" s="2235">
        <f>IF(Calc!BP22=0,0,Calc!CV22)</f>
        <v>0</v>
      </c>
      <c r="AW21" s="2236">
        <f>+Calc!AC22</f>
        <v>0</v>
      </c>
      <c r="AX21" s="2235">
        <f>IF(Calc!BR22=0,0,Calc!CW22)</f>
        <v>0</v>
      </c>
      <c r="AY21" s="2236">
        <f>+Calc!AD22</f>
        <v>0</v>
      </c>
      <c r="AZ21" s="2235">
        <f>IF(Calc!BT22=0,0,Calc!CX22)</f>
        <v>0</v>
      </c>
      <c r="BA21" s="2236">
        <f>+Calc!AE22</f>
        <v>0</v>
      </c>
      <c r="BB21" s="2235">
        <f>IF(Calc!BV22=0,0,Calc!CY22)</f>
        <v>0</v>
      </c>
      <c r="BC21" s="2236">
        <f>+Calc!AF22</f>
        <v>0</v>
      </c>
      <c r="BD21" s="2235">
        <f>IF(Calc!BX22=0,0,Calc!CZ22)</f>
        <v>0</v>
      </c>
      <c r="BE21" s="2236">
        <f>+Calc!AG22</f>
        <v>0</v>
      </c>
      <c r="BF21" s="2235">
        <f>IF(Calc!BZ22=0,0,Calc!DA22)</f>
        <v>0</v>
      </c>
      <c r="BG21" s="2236">
        <f>+Calc!AH22</f>
        <v>0</v>
      </c>
      <c r="BH21" s="2235">
        <f>IF(Calc!CB22=0,0,Calc!DB22)</f>
        <v>0</v>
      </c>
      <c r="BI21" s="2236">
        <f>+Calc!AI22</f>
        <v>0</v>
      </c>
      <c r="BJ21" s="2235">
        <f>IF(Calc!BS22=0,0,Calc!DC22)</f>
        <v>0</v>
      </c>
      <c r="BK21" s="2236">
        <f>+Calc!AJ22</f>
        <v>0</v>
      </c>
      <c r="BL21" s="2237"/>
      <c r="BM21" s="2238">
        <f>IF(Calc!BT22=0,0,Calc!DD22)</f>
        <v>0</v>
      </c>
      <c r="BN21" s="2189"/>
      <c r="BO21" s="1070"/>
      <c r="BP21" s="2239"/>
      <c r="BQ21" s="2189"/>
      <c r="BR21" s="2189"/>
      <c r="BS21" s="2195"/>
    </row>
    <row r="22" spans="1:71" s="2196" customFormat="1" x14ac:dyDescent="0.3">
      <c r="A22" s="2189"/>
      <c r="B22" s="2197" t="s">
        <v>1583</v>
      </c>
      <c r="C22" s="1099"/>
      <c r="D22" s="2233"/>
      <c r="E22" s="2234">
        <f>+Calc!G23</f>
        <v>0</v>
      </c>
      <c r="F22" s="2235">
        <f>IF(Calc!AQ23=0,0,Calc!CA23)</f>
        <v>0</v>
      </c>
      <c r="G22" s="2236">
        <f>+Calc!H23</f>
        <v>0</v>
      </c>
      <c r="H22" s="2235">
        <f>IF(Calc!AR23=0,0,Calc!CB23)</f>
        <v>0</v>
      </c>
      <c r="I22" s="2236">
        <f>+Calc!I23</f>
        <v>0</v>
      </c>
      <c r="J22" s="2235">
        <f>IF(Calc!AS23=0,0,Calc!CC23)</f>
        <v>0</v>
      </c>
      <c r="K22" s="2236">
        <f>+Calc!J23</f>
        <v>0</v>
      </c>
      <c r="L22" s="2235">
        <f>IF(Calc!AT23=0,0,Calc!CD23)</f>
        <v>0</v>
      </c>
      <c r="M22" s="2236">
        <f>+Calc!K23</f>
        <v>0</v>
      </c>
      <c r="N22" s="2235">
        <f>IF(Calc!AU23=0,0,Calc!CE23)</f>
        <v>0</v>
      </c>
      <c r="O22" s="2236">
        <f>+Calc!L23</f>
        <v>0</v>
      </c>
      <c r="P22" s="2235">
        <f>IF(Calc!AV23=0,0,Calc!CF23)</f>
        <v>0</v>
      </c>
      <c r="Q22" s="2236">
        <f>+Calc!M23</f>
        <v>0</v>
      </c>
      <c r="R22" s="2235">
        <f>IF(Calc!AW23=0,0,Calc!CG23)</f>
        <v>0</v>
      </c>
      <c r="S22" s="2236">
        <f>+Calc!N23</f>
        <v>0</v>
      </c>
      <c r="T22" s="2235">
        <f>IF(Calc!AX23=0,0,Calc!CH23)</f>
        <v>0</v>
      </c>
      <c r="U22" s="2236">
        <f>+Calc!O23</f>
        <v>0</v>
      </c>
      <c r="V22" s="2235">
        <f>IF(Calc!AY23=0,0,Calc!CI23)</f>
        <v>0</v>
      </c>
      <c r="W22" s="2236">
        <f>+Calc!P23</f>
        <v>0</v>
      </c>
      <c r="X22" s="2235">
        <f>IF(Calc!AZ23=0,0,Calc!CJ23)</f>
        <v>0</v>
      </c>
      <c r="Y22" s="2236">
        <f>+Calc!Q23</f>
        <v>0</v>
      </c>
      <c r="Z22" s="2235">
        <f>IF(Calc!BA23=0,0,Calc!CK23)</f>
        <v>0</v>
      </c>
      <c r="AA22" s="2236">
        <f>+Calc!R23</f>
        <v>0</v>
      </c>
      <c r="AB22" s="2235">
        <f>IF(Calc!BB23=0,0,Calc!CL23)</f>
        <v>0</v>
      </c>
      <c r="AC22" s="2236">
        <f>+Calc!S23</f>
        <v>0</v>
      </c>
      <c r="AD22" s="2235">
        <f>IF(Calc!BC23=0,0,Calc!CM23)</f>
        <v>0</v>
      </c>
      <c r="AE22" s="2236">
        <f>+Calc!T23</f>
        <v>0</v>
      </c>
      <c r="AF22" s="2235">
        <f>IF(Calc!BD23=0,0,Calc!CN23)</f>
        <v>0</v>
      </c>
      <c r="AG22" s="2236">
        <f>+Calc!U23</f>
        <v>0</v>
      </c>
      <c r="AH22" s="2235">
        <f>IF(Calc!BE23=0,0,Calc!CO23)</f>
        <v>0</v>
      </c>
      <c r="AI22" s="2236">
        <f>+Calc!V23</f>
        <v>0</v>
      </c>
      <c r="AJ22" s="2235">
        <f>IF(Calc!BF23=0,0,Calc!CP23)</f>
        <v>0</v>
      </c>
      <c r="AK22" s="2236">
        <f>+Calc!W23</f>
        <v>0</v>
      </c>
      <c r="AL22" s="2235">
        <f>IF(Calc!BG23=0,0,Calc!CQ23)</f>
        <v>0</v>
      </c>
      <c r="AM22" s="2236">
        <f>+Calc!X23</f>
        <v>0</v>
      </c>
      <c r="AN22" s="2235">
        <f>IF(Calc!BH23=0,0,Calc!CR23)</f>
        <v>0</v>
      </c>
      <c r="AO22" s="2236">
        <f>+Calc!Y23</f>
        <v>0</v>
      </c>
      <c r="AP22" s="2235">
        <f>IF(Calc!BJ23=0,0,Calc!CS23)</f>
        <v>0</v>
      </c>
      <c r="AQ22" s="2236">
        <f>+Calc!Z23</f>
        <v>0</v>
      </c>
      <c r="AR22" s="2235">
        <f>IF(Calc!BL23=0,0,Calc!CT23)</f>
        <v>0</v>
      </c>
      <c r="AS22" s="2236">
        <f>+Calc!AA23</f>
        <v>0</v>
      </c>
      <c r="AT22" s="2235">
        <f>IF(Calc!BN23=0,0,Calc!CU23)</f>
        <v>0</v>
      </c>
      <c r="AU22" s="2236">
        <f>+Calc!AB23</f>
        <v>0</v>
      </c>
      <c r="AV22" s="2235">
        <f>IF(Calc!BP23=0,0,Calc!CV23)</f>
        <v>0</v>
      </c>
      <c r="AW22" s="2236">
        <f>+Calc!AC23</f>
        <v>0</v>
      </c>
      <c r="AX22" s="2235">
        <f>IF(Calc!BR23=0,0,Calc!CW23)</f>
        <v>0</v>
      </c>
      <c r="AY22" s="2236">
        <f>+Calc!AD23</f>
        <v>0</v>
      </c>
      <c r="AZ22" s="2235">
        <f>IF(Calc!BT23=0,0,Calc!CX23)</f>
        <v>0</v>
      </c>
      <c r="BA22" s="2236">
        <f>+Calc!AE23</f>
        <v>0</v>
      </c>
      <c r="BB22" s="2235">
        <f>IF(Calc!BV23=0,0,Calc!CY23)</f>
        <v>0</v>
      </c>
      <c r="BC22" s="2236">
        <f>+Calc!AF23</f>
        <v>0</v>
      </c>
      <c r="BD22" s="2235">
        <f>IF(Calc!BX23=0,0,Calc!CZ23)</f>
        <v>0</v>
      </c>
      <c r="BE22" s="2236">
        <f>+Calc!AG23</f>
        <v>0</v>
      </c>
      <c r="BF22" s="2235">
        <f>IF(Calc!BZ23=0,0,Calc!DA23)</f>
        <v>0</v>
      </c>
      <c r="BG22" s="2236">
        <f>+Calc!AH23</f>
        <v>0</v>
      </c>
      <c r="BH22" s="2235">
        <f>IF(Calc!CB23=0,0,Calc!DB23)</f>
        <v>0</v>
      </c>
      <c r="BI22" s="2236">
        <f>+Calc!AI23</f>
        <v>0</v>
      </c>
      <c r="BJ22" s="2235">
        <f>IF(Calc!BS23=0,0,Calc!DC23)</f>
        <v>0</v>
      </c>
      <c r="BK22" s="2236">
        <f>+Calc!AJ23</f>
        <v>0</v>
      </c>
      <c r="BL22" s="2237"/>
      <c r="BM22" s="2238">
        <f>IF(Calc!BT23=0,0,Calc!DD23)</f>
        <v>0</v>
      </c>
      <c r="BN22" s="2189"/>
      <c r="BO22" s="1070"/>
      <c r="BP22" s="2239"/>
      <c r="BQ22" s="2189"/>
      <c r="BR22" s="2189"/>
      <c r="BS22" s="2195"/>
    </row>
    <row r="23" spans="1:71" s="1265" customFormat="1" ht="18" x14ac:dyDescent="0.35">
      <c r="A23" s="1260"/>
      <c r="B23" s="2240" t="s">
        <v>1584</v>
      </c>
      <c r="C23" s="2241"/>
      <c r="D23" s="2242"/>
      <c r="E23" s="2243">
        <f>IF($D$2="$ K",Calc!G24,Calc!G24/1000)</f>
        <v>0</v>
      </c>
      <c r="F23" s="2244">
        <f>IF(Calc!AQ24=0,0,IF($D$2="$ M",Calc!CA24/1000,Calc!CA24))</f>
        <v>0</v>
      </c>
      <c r="G23" s="2245">
        <f>IF($D$2="$ K",Calc!H24,Calc!H24/1000)</f>
        <v>0</v>
      </c>
      <c r="H23" s="2244">
        <f>IF(Calc!AR24=0,0,IF($D$2="$ M",Calc!CB24/1000,Calc!CB24))</f>
        <v>0</v>
      </c>
      <c r="I23" s="2245">
        <f>IF($D$2="$ K",Calc!I24,Calc!I24/1000)</f>
        <v>0</v>
      </c>
      <c r="J23" s="2244">
        <f>IF(Calc!AS24=0,0,IF($D$2="$ M",Calc!CC24/1000,Calc!CC24))</f>
        <v>0</v>
      </c>
      <c r="K23" s="2245">
        <f>IF($D$2="$ K",Calc!J24,Calc!J24/1000)</f>
        <v>0</v>
      </c>
      <c r="L23" s="2244">
        <f>IF(Calc!AT24=0,0,IF($D$2="$ M",Calc!CD24/1000,Calc!CD24))</f>
        <v>0</v>
      </c>
      <c r="M23" s="2245">
        <f>IF($D$2="$ K",Calc!K24,Calc!K24/1000)</f>
        <v>0</v>
      </c>
      <c r="N23" s="2244">
        <f>IF(Calc!AU24=0,0,IF($D$2="$ M",Calc!CE24/1000,Calc!CE24))</f>
        <v>0</v>
      </c>
      <c r="O23" s="2245">
        <f>IF($D$2="$ K",Calc!L24,Calc!L24/1000)</f>
        <v>11.757135657116162</v>
      </c>
      <c r="P23" s="2244">
        <f>IF(Calc!AV24=0,0,IF($D$2="$ M",Calc!CF24/1000,Calc!CF24))</f>
        <v>0</v>
      </c>
      <c r="Q23" s="2245">
        <f>IF($D$2="$ K",Calc!M24,Calc!M24/1000)</f>
        <v>26.869836887375115</v>
      </c>
      <c r="R23" s="2244">
        <f>IF(Calc!AW24=0,0,IF($D$2="$ M",Calc!CG24/1000,Calc!CG24))</f>
        <v>0</v>
      </c>
      <c r="S23" s="2245">
        <f>IF($D$2="$ K",Calc!N24,Calc!N24/1000)</f>
        <v>51.155585902063727</v>
      </c>
      <c r="T23" s="2244">
        <f>IF(Calc!AX24=0,0,IF($D$2="$ M",Calc!CH24/1000,Calc!CH24))</f>
        <v>0</v>
      </c>
      <c r="U23" s="2245">
        <f>IF($D$2="$ K",Calc!O24,Calc!O24/1000)</f>
        <v>76.659511587420297</v>
      </c>
      <c r="V23" s="2244">
        <f>IF(Calc!AY24=0,0,IF($D$2="$ M",Calc!CI24/1000,Calc!CI24))</f>
        <v>0</v>
      </c>
      <c r="W23" s="2245">
        <f>IF($D$2="$ K",Calc!P24,Calc!P24/1000)</f>
        <v>95.146110514129788</v>
      </c>
      <c r="X23" s="2244">
        <f>IF(Calc!AZ24=0,0,IF($D$2="$ M",Calc!CJ24/1000,Calc!CJ24))</f>
        <v>0</v>
      </c>
      <c r="Y23" s="2245">
        <f>IF($D$2="$ K",Calc!Q24,Calc!Q24/1000)</f>
        <v>105.73639576409268</v>
      </c>
      <c r="Z23" s="2244">
        <f>IF(Calc!BA24=0,0,IF($D$2="$ M",Calc!CK24/1000,Calc!CK24))</f>
        <v>0</v>
      </c>
      <c r="AA23" s="2245">
        <f>IF($D$2="$ K",Calc!R24,Calc!R24/1000)</f>
        <v>112.72498070060381</v>
      </c>
      <c r="AB23" s="2244">
        <f>IF(Calc!BB24=0,0,IF($D$2="$ M",Calc!CL24/1000,Calc!CL24))</f>
        <v>0</v>
      </c>
      <c r="AC23" s="2245">
        <f>IF($D$2="$ K",Calc!S24,Calc!S24/1000)</f>
        <v>130.26218980704834</v>
      </c>
      <c r="AD23" s="2244">
        <f>IF(Calc!BC24=0,0,IF($D$2="$ M",Calc!CM24/1000,Calc!CM24))</f>
        <v>0</v>
      </c>
      <c r="AE23" s="2245">
        <f>IF($D$2="$ K",Calc!T24,Calc!T24/1000)</f>
        <v>133.92686425193108</v>
      </c>
      <c r="AF23" s="2244">
        <f>IF(Calc!BD24=0,0,IF($D$2="$ M",Calc!CN24/1000,Calc!CN24))</f>
        <v>0</v>
      </c>
      <c r="AG23" s="2245">
        <f>IF($D$2="$ K",Calc!U24,Calc!U24/1000)</f>
        <v>165.36228609762625</v>
      </c>
      <c r="AH23" s="2244">
        <f>IF(Calc!BE24=0,0,IF($D$2="$ M",Calc!CO24/1000,Calc!CO24))</f>
        <v>0</v>
      </c>
      <c r="AI23" s="2245">
        <f>IF($D$2="$ K",Calc!V24,Calc!V24/1000)</f>
        <v>182.48429734090408</v>
      </c>
      <c r="AJ23" s="2244">
        <f>IF(Calc!BF24=0,0,IF($D$2="$ M",Calc!CP24/1000,Calc!CP24))</f>
        <v>0</v>
      </c>
      <c r="AK23" s="2245">
        <f>IF($D$2="$ K",Calc!W24,Calc!W24/1000)</f>
        <v>209.52590987333636</v>
      </c>
      <c r="AL23" s="2244">
        <f>IF(Calc!BG24=0,0,IF($D$2="$ M",Calc!CQ24/1000,Calc!CQ24))</f>
        <v>0</v>
      </c>
      <c r="AM23" s="2245">
        <f>IF($D$2="$ K",Calc!X24,Calc!X24/1000)</f>
        <v>252.78709082071077</v>
      </c>
      <c r="AN23" s="2244">
        <f>IF(Calc!BH24=0,0,IF($D$2="$ M",Calc!CR24/1000,Calc!CR24))</f>
        <v>0</v>
      </c>
      <c r="AO23" s="2245">
        <f>IF($D$2="$ K",Calc!Y24,Calc!Y24/1000)</f>
        <v>0</v>
      </c>
      <c r="AP23" s="2244">
        <f>IF(Calc!BJ24=0,0,IF($D$2="$ M",Calc!CS24/1000,Calc!CS24))</f>
        <v>0</v>
      </c>
      <c r="AQ23" s="2245">
        <f>IF($D$2="$ K",Calc!Z24,Calc!Z24/1000)</f>
        <v>0</v>
      </c>
      <c r="AR23" s="2244">
        <f>IF(Calc!BL24=0,0,IF($D$2="$ M",Calc!CT24/1000,Calc!CT24))</f>
        <v>0</v>
      </c>
      <c r="AS23" s="2245">
        <f>IF($D$2="$ K",Calc!AA24,Calc!AA24/1000)</f>
        <v>0</v>
      </c>
      <c r="AT23" s="2244">
        <f>IF(Calc!BN24=0,0,IF($D$2="$ M",Calc!CU24/1000,Calc!CU24))</f>
        <v>0</v>
      </c>
      <c r="AU23" s="2245">
        <f>IF($D$2="$ K",Calc!AB24,Calc!AB24/1000)</f>
        <v>0</v>
      </c>
      <c r="AV23" s="2244">
        <f>IF(Calc!BP24=0,0,IF($D$2="$ M",Calc!CV24/1000,Calc!CV24))</f>
        <v>0</v>
      </c>
      <c r="AW23" s="2245">
        <f>IF($D$2="$ K",Calc!AC24,Calc!AC24/1000)</f>
        <v>0</v>
      </c>
      <c r="AX23" s="2244">
        <f>IF(Calc!BR24=0,0,IF($D$2="$ M",Calc!CW24/1000,Calc!CW24))</f>
        <v>0</v>
      </c>
      <c r="AY23" s="2245">
        <f>IF($D$2="$ K",Calc!AD24,Calc!AD24/1000)</f>
        <v>0</v>
      </c>
      <c r="AZ23" s="2244">
        <f>IF(Calc!BT24=0,0,IF($D$2="$ M",Calc!CX24/1000,Calc!CX24))</f>
        <v>0</v>
      </c>
      <c r="BA23" s="2245">
        <f>IF($D$2="$ K",Calc!AE24,Calc!AE24/1000)</f>
        <v>0</v>
      </c>
      <c r="BB23" s="2244">
        <f>IF(Calc!BV24=0,0,IF($D$2="$ M",Calc!CY24/1000,Calc!CY24))</f>
        <v>0</v>
      </c>
      <c r="BC23" s="2245">
        <f>IF($D$2="$ K",Calc!AF24,Calc!AF24/1000)</f>
        <v>0</v>
      </c>
      <c r="BD23" s="2244">
        <f>IF(Calc!BX24=0,0,IF($D$2="$ M",Calc!CZ24/1000,Calc!CZ24))</f>
        <v>0</v>
      </c>
      <c r="BE23" s="2245">
        <f>IF($D$2="$ K",Calc!AG24,Calc!AG24/1000)</f>
        <v>0</v>
      </c>
      <c r="BF23" s="2244">
        <f>IF(Calc!BZ24=0,0,IF($D$2="$ M",Calc!DA24/1000,Calc!DA24))</f>
        <v>0</v>
      </c>
      <c r="BG23" s="2245">
        <f>IF($D$2="$ K",Calc!AH24,Calc!AH24/1000)</f>
        <v>0</v>
      </c>
      <c r="BH23" s="2244">
        <f>IF(Calc!CB24=0,0,IF($D$2="$ M",Calc!DB24/1000,Calc!DB24))</f>
        <v>0</v>
      </c>
      <c r="BI23" s="2245">
        <f>IF($D$2="$ K",Calc!AI24,Calc!AI24/1000)</f>
        <v>0</v>
      </c>
      <c r="BJ23" s="2244">
        <f>IF(Calc!BS24=0,0,IF($D$2="$ M",Calc!DC24/1000,Calc!DC24))</f>
        <v>0</v>
      </c>
      <c r="BK23" s="2245">
        <f>IF($D$2="$ K",Calc!AJ24,Calc!AJ24/1000)</f>
        <v>261.58818054810507</v>
      </c>
      <c r="BL23" s="2246"/>
      <c r="BM23" s="2247">
        <f>IF(Calc!BT24=0,0,IF($D$2="$ M",Calc!DD24/1000,Calc!DD24))</f>
        <v>0</v>
      </c>
      <c r="BN23" s="1260"/>
      <c r="BO23" s="1260"/>
      <c r="BP23" s="2248">
        <f>IF($D$2="$ K",Calc!AM24,Calc!AM24/1000)</f>
        <v>909.60089716940718</v>
      </c>
      <c r="BQ23" s="1260"/>
      <c r="BR23" s="1260"/>
      <c r="BS23" s="2145"/>
    </row>
    <row r="24" spans="1:71" ht="14.25" customHeight="1" x14ac:dyDescent="0.3">
      <c r="A24" s="1070"/>
      <c r="B24" s="2197" t="s">
        <v>1585</v>
      </c>
      <c r="C24" s="1115"/>
      <c r="D24" s="2249"/>
      <c r="E24" s="2250" t="str">
        <f>IF(Calc!G25=0,"",Calc!G25)</f>
        <v/>
      </c>
      <c r="F24" s="2201" t="str">
        <f>IF(Calc!AQ25=0,"",Calc!CA25)</f>
        <v/>
      </c>
      <c r="G24" s="2251" t="str">
        <f>IF(Calc!H25=0,"",Calc!H25)</f>
        <v/>
      </c>
      <c r="H24" s="2201" t="str">
        <f>IF(Calc!AR25=0,"",Calc!CB25)</f>
        <v/>
      </c>
      <c r="I24" s="2251" t="str">
        <f>IF(Calc!I25=0,"",Calc!I25)</f>
        <v/>
      </c>
      <c r="J24" s="2201" t="str">
        <f>IF(Calc!AS25=0,"",Calc!CC25)</f>
        <v/>
      </c>
      <c r="K24" s="2251" t="str">
        <f>IF(Calc!J25=0,"",Calc!J25)</f>
        <v/>
      </c>
      <c r="L24" s="2201" t="str">
        <f>IF(Calc!AT25=0,"",Calc!CD25)</f>
        <v/>
      </c>
      <c r="M24" s="2251" t="str">
        <f>IF(Calc!K25=0,"",Calc!K25)</f>
        <v/>
      </c>
      <c r="N24" s="2201" t="str">
        <f>IF(Calc!AU25=0,"",Calc!CE25)</f>
        <v/>
      </c>
      <c r="O24" s="2251">
        <f>IF(Calc!L25=0,"",Calc!L25)</f>
        <v>0.70540540540540542</v>
      </c>
      <c r="P24" s="2201" t="str">
        <f>IF(Calc!AV25=0,"",Calc!CF25)</f>
        <v/>
      </c>
      <c r="Q24" s="2251">
        <f>IF(Calc!M25=0,"",Calc!M25)</f>
        <v>0.69667415208301076</v>
      </c>
      <c r="R24" s="2201" t="str">
        <f>IF(Calc!AW25=0,"",Calc!CG25)</f>
        <v/>
      </c>
      <c r="S24" s="2251">
        <f>IF(Calc!N25=0,"",Calc!N25)</f>
        <v>0.69576746557878644</v>
      </c>
      <c r="T24" s="2201" t="str">
        <f>IF(Calc!AX25=0,"",Calc!CH25)</f>
        <v/>
      </c>
      <c r="U24" s="2251">
        <f>IF(Calc!O25=0,"",Calc!O25)</f>
        <v>0.694889502762431</v>
      </c>
      <c r="V24" s="2201" t="str">
        <f>IF(Calc!AY25=0,"",Calc!CI25)</f>
        <v/>
      </c>
      <c r="W24" s="2251">
        <f>IF(Calc!P25=0,"",Calc!P25)</f>
        <v>0.69277253866465471</v>
      </c>
      <c r="X24" s="2201" t="str">
        <f>IF(Calc!AZ25=0,"",Calc!CJ25)</f>
        <v/>
      </c>
      <c r="Y24" s="2251">
        <f>IF(Calc!Q25=0,"",Calc!Q25)</f>
        <v>0.69169742260179956</v>
      </c>
      <c r="Z24" s="2201" t="str">
        <f>IF(Calc!BA25=0,"",Calc!CK25)</f>
        <v/>
      </c>
      <c r="AA24" s="2251">
        <f>IF(Calc!R25=0,"",Calc!R25)</f>
        <v>0.68011267406471843</v>
      </c>
      <c r="AB24" s="2201" t="str">
        <f>IF(Calc!BB25=0,"",Calc!CL25)</f>
        <v/>
      </c>
      <c r="AC24" s="2251">
        <f>IF(Calc!S25=0,"",Calc!S25)</f>
        <v>0.68490602612616847</v>
      </c>
      <c r="AD24" s="2201" t="str">
        <f>IF(Calc!BC25=0,"",Calc!CM25)</f>
        <v/>
      </c>
      <c r="AE24" s="2251">
        <f>IF(Calc!T25=0,"",Calc!T25)</f>
        <v>0.67358529065912454</v>
      </c>
      <c r="AF24" s="2201" t="str">
        <f>IF(Calc!BD25=0,"",Calc!CN25)</f>
        <v/>
      </c>
      <c r="AG24" s="2251">
        <f>IF(Calc!U25=0,"",Calc!U25)</f>
        <v>0.69100180676226886</v>
      </c>
      <c r="AH24" s="2201" t="str">
        <f>IF(Calc!BE25=0,"",Calc!CO25)</f>
        <v/>
      </c>
      <c r="AI24" s="2251">
        <f>IF(Calc!V25=0,"",Calc!V25)</f>
        <v>0.67955492655471683</v>
      </c>
      <c r="AJ24" s="2201" t="str">
        <f>IF(Calc!BF25=0,"",Calc!CP25)</f>
        <v/>
      </c>
      <c r="AK24" s="2251">
        <f>IF(Calc!W25=0,"",Calc!W25)</f>
        <v>0.6787294349690457</v>
      </c>
      <c r="AL24" s="2201" t="str">
        <f>IF(Calc!BG25=0,"",Calc!CQ25)</f>
        <v/>
      </c>
      <c r="AM24" s="2251">
        <f>IF(Calc!X25=0,"",Calc!X25)</f>
        <v>1</v>
      </c>
      <c r="AN24" s="2201" t="str">
        <f>IF(Calc!BH25=0,"",Calc!CR25)</f>
        <v/>
      </c>
      <c r="AO24" s="2251" t="str">
        <f>IF(Calc!Y25=0,"",Calc!Y25)</f>
        <v/>
      </c>
      <c r="AP24" s="2201" t="str">
        <f>IF(Calc!BJ25=0,"",Calc!CS25)</f>
        <v/>
      </c>
      <c r="AQ24" s="2251" t="str">
        <f>IF(Calc!Z25=0,"",Calc!Z25)</f>
        <v/>
      </c>
      <c r="AR24" s="2201" t="str">
        <f>IF(Calc!BL25=0,"",Calc!CT25)</f>
        <v/>
      </c>
      <c r="AS24" s="2251" t="str">
        <f>IF(Calc!AA25=0,"",Calc!AA25)</f>
        <v/>
      </c>
      <c r="AT24" s="2201" t="str">
        <f>IF(Calc!BN25=0,"",Calc!CU25)</f>
        <v/>
      </c>
      <c r="AU24" s="2251" t="str">
        <f>IF(Calc!AB25=0,"",Calc!AB25)</f>
        <v/>
      </c>
      <c r="AV24" s="2201" t="str">
        <f>IF(Calc!BP25=0,"",Calc!CV25)</f>
        <v/>
      </c>
      <c r="AW24" s="2251" t="str">
        <f>IF(Calc!AC25=0,"",Calc!AC25)</f>
        <v/>
      </c>
      <c r="AX24" s="2201" t="str">
        <f>IF(Calc!BR25=0,"",Calc!CW25)</f>
        <v/>
      </c>
      <c r="AY24" s="2251" t="str">
        <f>IF(Calc!AD25=0,"",Calc!AD25)</f>
        <v/>
      </c>
      <c r="AZ24" s="2201" t="str">
        <f>IF(Calc!BT25=0,"",Calc!CX25)</f>
        <v/>
      </c>
      <c r="BA24" s="2251" t="str">
        <f>IF(Calc!AE25=0,"",Calc!AE25)</f>
        <v/>
      </c>
      <c r="BB24" s="2201" t="str">
        <f>IF(Calc!BV25=0,"",Calc!CY25)</f>
        <v/>
      </c>
      <c r="BC24" s="2251" t="str">
        <f>IF(Calc!AF25=0,"",Calc!AF25)</f>
        <v/>
      </c>
      <c r="BD24" s="2201" t="str">
        <f>IF(Calc!BX25=0,"",Calc!CZ25)</f>
        <v/>
      </c>
      <c r="BE24" s="2251" t="str">
        <f>IF(Calc!AG25=0,"",Calc!AG25)</f>
        <v/>
      </c>
      <c r="BF24" s="2201" t="str">
        <f>IF(Calc!BZ25=0,"",Calc!DA25)</f>
        <v/>
      </c>
      <c r="BG24" s="2251" t="str">
        <f>IF(Calc!AH25=0,"",Calc!AH25)</f>
        <v/>
      </c>
      <c r="BH24" s="2201" t="str">
        <f>IF(Calc!CB25=0,"",Calc!DB25)</f>
        <v/>
      </c>
      <c r="BI24" s="2251" t="str">
        <f>IF(Calc!AI25=0,"",Calc!AI25)</f>
        <v/>
      </c>
      <c r="BJ24" s="2201" t="str">
        <f>IF(Calc!BS25=0,"",Calc!DC25)</f>
        <v/>
      </c>
      <c r="BK24" s="2251"/>
      <c r="BL24" s="2252"/>
      <c r="BM24" s="2204"/>
      <c r="BN24" s="1070"/>
      <c r="BO24" s="1070"/>
      <c r="BP24" s="2253">
        <f>IFERROR(BP23/BP11,"")</f>
        <v>0.68734489324146375</v>
      </c>
      <c r="BQ24" s="1070"/>
      <c r="BR24" s="1070"/>
      <c r="BS24" s="1824"/>
    </row>
    <row r="25" spans="1:71" s="2196" customFormat="1" ht="12.75" customHeight="1" x14ac:dyDescent="0.3">
      <c r="A25" s="2189"/>
      <c r="B25" s="2197" t="s">
        <v>1586</v>
      </c>
      <c r="C25" s="1115"/>
      <c r="D25" s="2254"/>
      <c r="E25" s="2250" t="str">
        <f>IF(Calc!G26=0,"",Calc!G26)</f>
        <v/>
      </c>
      <c r="F25" s="2201" t="str">
        <f>IF(Calc!AQ26=0,"",Calc!CA26)</f>
        <v/>
      </c>
      <c r="G25" s="2251" t="str">
        <f>IF(Calc!H26=0,"",Calc!H26)</f>
        <v/>
      </c>
      <c r="H25" s="2201" t="str">
        <f>IF(Calc!AR26=0,"",Calc!CB26)</f>
        <v/>
      </c>
      <c r="I25" s="2251" t="str">
        <f>IF(Calc!I26=0,"",Calc!I26)</f>
        <v/>
      </c>
      <c r="J25" s="2201" t="str">
        <f>IF(Calc!AS26=0,"",Calc!CC26)</f>
        <v/>
      </c>
      <c r="K25" s="2251" t="str">
        <f>IF(Calc!J26=0,"",Calc!J26)</f>
        <v/>
      </c>
      <c r="L25" s="2201" t="str">
        <f>IF(Calc!AT26=0,"",Calc!CD26)</f>
        <v/>
      </c>
      <c r="M25" s="2251" t="str">
        <f>IF(Calc!K26=0,"",Calc!K26)</f>
        <v/>
      </c>
      <c r="N25" s="2201" t="str">
        <f>IF(Calc!AU26=0,"",Calc!CE26)</f>
        <v/>
      </c>
      <c r="O25" s="2251" t="str">
        <f>IF(Calc!L26=0,"",Calc!L26)</f>
        <v/>
      </c>
      <c r="P25" s="2201" t="str">
        <f>IF(Calc!AV26=0,"",Calc!CF26)</f>
        <v/>
      </c>
      <c r="Q25" s="2251" t="str">
        <f>IF(Calc!M26=0,"",Calc!M26)</f>
        <v/>
      </c>
      <c r="R25" s="2201" t="str">
        <f>IF(Calc!AW26=0,"",Calc!CG26)</f>
        <v/>
      </c>
      <c r="S25" s="2251" t="str">
        <f>IF(Calc!N26=0,"",Calc!N26)</f>
        <v/>
      </c>
      <c r="T25" s="2201" t="str">
        <f>IF(Calc!AX26=0,"",Calc!CH26)</f>
        <v/>
      </c>
      <c r="U25" s="2251" t="str">
        <f>IF(Calc!O26=0,"",Calc!O26)</f>
        <v/>
      </c>
      <c r="V25" s="2201" t="str">
        <f>IF(Calc!AY26=0,"",Calc!CI26)</f>
        <v/>
      </c>
      <c r="W25" s="2251" t="str">
        <f>IF(Calc!P26=0,"",Calc!P26)</f>
        <v/>
      </c>
      <c r="X25" s="2201" t="str">
        <f>IF(Calc!AZ26=0,"",Calc!CJ26)</f>
        <v/>
      </c>
      <c r="Y25" s="2251" t="str">
        <f>IF(Calc!Q26=0,"",Calc!Q26)</f>
        <v/>
      </c>
      <c r="Z25" s="2201" t="str">
        <f>IF(Calc!BA26=0,"",Calc!CK26)</f>
        <v/>
      </c>
      <c r="AA25" s="2251" t="str">
        <f>IF(Calc!R26=0,"",Calc!R26)</f>
        <v/>
      </c>
      <c r="AB25" s="2201" t="str">
        <f>IF(Calc!BB26=0,"",Calc!CL26)</f>
        <v/>
      </c>
      <c r="AC25" s="2251" t="str">
        <f>IF(Calc!S26=0,"",Calc!S26)</f>
        <v/>
      </c>
      <c r="AD25" s="2201" t="str">
        <f>IF(Calc!BC26=0,"",Calc!CM26)</f>
        <v/>
      </c>
      <c r="AE25" s="2251" t="str">
        <f>IF(Calc!T26=0,"",Calc!T26)</f>
        <v/>
      </c>
      <c r="AF25" s="2201" t="str">
        <f>IF(Calc!BD26=0,"",Calc!CN26)</f>
        <v/>
      </c>
      <c r="AG25" s="2251" t="str">
        <f>IF(Calc!U26=0,"",Calc!U26)</f>
        <v/>
      </c>
      <c r="AH25" s="2201" t="str">
        <f>IF(Calc!BE26=0,"",Calc!CO26)</f>
        <v/>
      </c>
      <c r="AI25" s="2251" t="str">
        <f>IF(Calc!V26=0,"",Calc!V26)</f>
        <v/>
      </c>
      <c r="AJ25" s="2201" t="str">
        <f>IF(Calc!BF26=0,"",Calc!CP26)</f>
        <v/>
      </c>
      <c r="AK25" s="2251" t="str">
        <f>IF(Calc!W26=0,"",Calc!W26)</f>
        <v/>
      </c>
      <c r="AL25" s="2201" t="str">
        <f>IF(Calc!BG26=0,"",Calc!CQ26)</f>
        <v/>
      </c>
      <c r="AM25" s="2251" t="str">
        <f>IF(Calc!X26=0,"",Calc!X26)</f>
        <v/>
      </c>
      <c r="AN25" s="2201" t="str">
        <f>IF(Calc!BH26=0,"",Calc!CR26)</f>
        <v/>
      </c>
      <c r="AO25" s="2251" t="str">
        <f>IF(Calc!Y26=0,"",Calc!Y26)</f>
        <v/>
      </c>
      <c r="AP25" s="2201" t="str">
        <f>IF(Calc!BJ26=0,"",Calc!CS26)</f>
        <v/>
      </c>
      <c r="AQ25" s="2251" t="str">
        <f>IF(Calc!Z26=0,"",Calc!Z26)</f>
        <v/>
      </c>
      <c r="AR25" s="2201" t="str">
        <f>IF(Calc!BL26=0,"",Calc!CT26)</f>
        <v/>
      </c>
      <c r="AS25" s="2251" t="str">
        <f>IF(Calc!AA26=0,"",Calc!AA26)</f>
        <v/>
      </c>
      <c r="AT25" s="2201" t="str">
        <f>IF(Calc!BN26=0,"",Calc!CU26)</f>
        <v/>
      </c>
      <c r="AU25" s="2251" t="str">
        <f>IF(Calc!AB26=0,"",Calc!AB26)</f>
        <v/>
      </c>
      <c r="AV25" s="2201" t="str">
        <f>IF(Calc!BP26=0,"",Calc!CV26)</f>
        <v/>
      </c>
      <c r="AW25" s="2251" t="str">
        <f>IF(Calc!AC26=0,"",Calc!AC26)</f>
        <v/>
      </c>
      <c r="AX25" s="2201" t="str">
        <f>IF(Calc!BR26=0,"",Calc!CW26)</f>
        <v/>
      </c>
      <c r="AY25" s="2251" t="str">
        <f>IF(Calc!AD26=0,"",Calc!AD26)</f>
        <v/>
      </c>
      <c r="AZ25" s="2201" t="str">
        <f>IF(Calc!BT26=0,"",Calc!CX26)</f>
        <v/>
      </c>
      <c r="BA25" s="2251" t="str">
        <f>IF(Calc!AE26=0,"",Calc!AE26)</f>
        <v/>
      </c>
      <c r="BB25" s="2201" t="str">
        <f>IF(Calc!BV26=0,"",Calc!CY26)</f>
        <v/>
      </c>
      <c r="BC25" s="2251" t="str">
        <f>IF(Calc!AF26=0,"",Calc!AF26)</f>
        <v/>
      </c>
      <c r="BD25" s="2201" t="str">
        <f>IF(Calc!BX26=0,"",Calc!CZ26)</f>
        <v/>
      </c>
      <c r="BE25" s="2251" t="str">
        <f>IF(Calc!AG26=0,"",Calc!AG26)</f>
        <v/>
      </c>
      <c r="BF25" s="2201" t="str">
        <f>IF(Calc!BZ26=0,"",Calc!DA26)</f>
        <v/>
      </c>
      <c r="BG25" s="2251" t="str">
        <f>IF(Calc!AH26=0,"",Calc!AH26)</f>
        <v/>
      </c>
      <c r="BH25" s="2201" t="str">
        <f>IF(Calc!CB26=0,"",Calc!DB26)</f>
        <v/>
      </c>
      <c r="BI25" s="2251" t="str">
        <f>IF(Calc!AI26=0,"",Calc!AI26)</f>
        <v/>
      </c>
      <c r="BJ25" s="2201" t="str">
        <f>IF(Calc!BS26=0,"",Calc!DC26)</f>
        <v/>
      </c>
      <c r="BK25" s="2251"/>
      <c r="BL25" s="2255"/>
      <c r="BM25" s="2204"/>
      <c r="BN25" s="2189"/>
      <c r="BO25" s="1070"/>
      <c r="BP25" s="2253"/>
      <c r="BQ25" s="2189"/>
      <c r="BR25" s="2189"/>
      <c r="BS25" s="2195"/>
    </row>
    <row r="26" spans="1:71" s="2196" customFormat="1" ht="12.75" customHeight="1" x14ac:dyDescent="0.3">
      <c r="A26" s="2189"/>
      <c r="B26" s="1463" t="s">
        <v>1587</v>
      </c>
      <c r="C26" s="2207"/>
      <c r="D26" s="2256"/>
      <c r="E26" s="2257" t="str">
        <f>IF(Calc!G27=0,"",Calc!G27)</f>
        <v/>
      </c>
      <c r="F26" s="2210" t="str">
        <f>IF(Calc!AQ27=0,"",Calc!CA27)</f>
        <v/>
      </c>
      <c r="G26" s="2257" t="str">
        <f>IF(Calc!H27=0,"",Calc!H27)</f>
        <v/>
      </c>
      <c r="H26" s="2210" t="str">
        <f>IF(Calc!AR27=0,"",Calc!CB27)</f>
        <v/>
      </c>
      <c r="I26" s="2257" t="str">
        <f>IF(Calc!I27=0,"",Calc!I27)</f>
        <v/>
      </c>
      <c r="J26" s="2210" t="str">
        <f>IF(Calc!AS27=0,"",Calc!CC27)</f>
        <v/>
      </c>
      <c r="K26" s="2257" t="str">
        <f>IF(Calc!J27=0,"",Calc!J27)</f>
        <v/>
      </c>
      <c r="L26" s="2210" t="str">
        <f>IF(Calc!AT27=0,"",Calc!CD27)</f>
        <v/>
      </c>
      <c r="M26" s="2257" t="str">
        <f>IF(Calc!K27=0,"",Calc!K27)</f>
        <v/>
      </c>
      <c r="N26" s="2210" t="str">
        <f>IF(Calc!AU27=0,"",Calc!CE27)</f>
        <v/>
      </c>
      <c r="O26" s="2257" t="str">
        <f>IF(Calc!L27=0,"",Calc!L27)</f>
        <v/>
      </c>
      <c r="P26" s="2210" t="str">
        <f>IF(Calc!AV27=0,"",Calc!CF27)</f>
        <v/>
      </c>
      <c r="Q26" s="2257" t="str">
        <f>IF(Calc!M27=0,"",Calc!M27)</f>
        <v/>
      </c>
      <c r="R26" s="2210" t="str">
        <f>IF(Calc!AW27=0,"",Calc!CG27)</f>
        <v/>
      </c>
      <c r="S26" s="2257" t="str">
        <f>IF(Calc!N27=0,"",Calc!N27)</f>
        <v/>
      </c>
      <c r="T26" s="2210" t="str">
        <f>IF(Calc!AX27=0,"",Calc!CH27)</f>
        <v/>
      </c>
      <c r="U26" s="2257" t="str">
        <f>IF(Calc!O27=0,"",Calc!O27)</f>
        <v/>
      </c>
      <c r="V26" s="2210" t="str">
        <f>IF(Calc!AY27=0,"",Calc!CI27)</f>
        <v/>
      </c>
      <c r="W26" s="2257" t="str">
        <f>IF(Calc!P27=0,"",Calc!P27)</f>
        <v/>
      </c>
      <c r="X26" s="2210" t="str">
        <f>IF(Calc!AZ27=0,"",Calc!CJ27)</f>
        <v/>
      </c>
      <c r="Y26" s="2257" t="str">
        <f>IF(Calc!Q27=0,"",Calc!Q27)</f>
        <v/>
      </c>
      <c r="Z26" s="2210" t="str">
        <f>IF(Calc!BA27=0,"",Calc!CK27)</f>
        <v/>
      </c>
      <c r="AA26" s="2257" t="str">
        <f>IF(Calc!R27=0,"",Calc!R27)</f>
        <v/>
      </c>
      <c r="AB26" s="2210" t="str">
        <f>IF(Calc!BB27=0,"",Calc!CL27)</f>
        <v/>
      </c>
      <c r="AC26" s="2257" t="str">
        <f>IF(Calc!S27=0,"",Calc!S27)</f>
        <v/>
      </c>
      <c r="AD26" s="2210" t="str">
        <f>IF(Calc!BC27=0,"",Calc!CM27)</f>
        <v/>
      </c>
      <c r="AE26" s="2257" t="str">
        <f>IF(Calc!T27=0,"",Calc!T27)</f>
        <v/>
      </c>
      <c r="AF26" s="2210" t="str">
        <f>IF(Calc!BD27=0,"",Calc!CN27)</f>
        <v/>
      </c>
      <c r="AG26" s="2257" t="str">
        <f>IF(Calc!U27=0,"",Calc!U27)</f>
        <v/>
      </c>
      <c r="AH26" s="2210" t="str">
        <f>IF(Calc!BE27=0,"",Calc!CO27)</f>
        <v/>
      </c>
      <c r="AI26" s="2257" t="str">
        <f>IF(Calc!V27=0,"",Calc!V27)</f>
        <v/>
      </c>
      <c r="AJ26" s="2210" t="str">
        <f>IF(Calc!BF27=0,"",Calc!CP27)</f>
        <v/>
      </c>
      <c r="AK26" s="2257" t="str">
        <f>IF(Calc!W27=0,"",Calc!W27)</f>
        <v/>
      </c>
      <c r="AL26" s="2210" t="str">
        <f>IF(Calc!BG27=0,"",Calc!CQ27)</f>
        <v/>
      </c>
      <c r="AM26" s="2257" t="str">
        <f>IF(Calc!X27=0,"",Calc!X27)</f>
        <v/>
      </c>
      <c r="AN26" s="2210" t="str">
        <f>IF(Calc!BH27=0,"",Calc!CR27)</f>
        <v/>
      </c>
      <c r="AO26" s="2257" t="str">
        <f>IF(Calc!Y27=0,"",Calc!Y27)</f>
        <v/>
      </c>
      <c r="AP26" s="2210" t="str">
        <f>IF(Calc!BJ27=0,"",Calc!CS27)</f>
        <v/>
      </c>
      <c r="AQ26" s="2257" t="str">
        <f>IF(Calc!Z27=0,"",Calc!Z27)</f>
        <v/>
      </c>
      <c r="AR26" s="2210" t="str">
        <f>IF(Calc!BL27=0,"",Calc!CT27)</f>
        <v/>
      </c>
      <c r="AS26" s="2257" t="str">
        <f>IF(Calc!AA27=0,"",Calc!AA27)</f>
        <v/>
      </c>
      <c r="AT26" s="2210" t="str">
        <f>IF(Calc!BN27=0,"",Calc!CU27)</f>
        <v/>
      </c>
      <c r="AU26" s="2257" t="str">
        <f>IF(Calc!AB27=0,"",Calc!AB27)</f>
        <v/>
      </c>
      <c r="AV26" s="2210" t="str">
        <f>IF(Calc!BP27=0,"",Calc!CV27)</f>
        <v/>
      </c>
      <c r="AW26" s="2257" t="str">
        <f>IF(Calc!AC27=0,"",Calc!AC27)</f>
        <v/>
      </c>
      <c r="AX26" s="2210" t="str">
        <f>IF(Calc!BR27=0,"",Calc!CW27)</f>
        <v/>
      </c>
      <c r="AY26" s="2257" t="str">
        <f>IF(Calc!AD27=0,"",Calc!AD27)</f>
        <v/>
      </c>
      <c r="AZ26" s="2210" t="str">
        <f>IF(Calc!BT27=0,"",Calc!CX27)</f>
        <v/>
      </c>
      <c r="BA26" s="2257" t="str">
        <f>IF(Calc!AE27=0,"",Calc!AE27)</f>
        <v/>
      </c>
      <c r="BB26" s="2210" t="str">
        <f>IF(Calc!BV27=0,"",Calc!CY27)</f>
        <v/>
      </c>
      <c r="BC26" s="2257" t="str">
        <f>IF(Calc!AF27=0,"",Calc!AF27)</f>
        <v/>
      </c>
      <c r="BD26" s="2210" t="str">
        <f>IF(Calc!BX27=0,"",Calc!CZ27)</f>
        <v/>
      </c>
      <c r="BE26" s="2257" t="str">
        <f>IF(Calc!AG27=0,"",Calc!AG27)</f>
        <v/>
      </c>
      <c r="BF26" s="2210" t="str">
        <f>IF(Calc!BZ27=0,"",Calc!DA27)</f>
        <v/>
      </c>
      <c r="BG26" s="2257" t="str">
        <f>IF(Calc!AH27=0,"",Calc!AH27)</f>
        <v/>
      </c>
      <c r="BH26" s="2210" t="str">
        <f>IF(Calc!CB27=0,"",Calc!DB27)</f>
        <v/>
      </c>
      <c r="BI26" s="2257" t="str">
        <f>IF(Calc!AI27=0,"",Calc!AI27)</f>
        <v/>
      </c>
      <c r="BJ26" s="2210" t="str">
        <f>IF(Calc!BS27=0,"",Calc!DC27)</f>
        <v/>
      </c>
      <c r="BK26" s="2257"/>
      <c r="BL26" s="2258"/>
      <c r="BM26" s="2213"/>
      <c r="BN26" s="2189"/>
      <c r="BO26" s="1070"/>
      <c r="BP26" s="2259"/>
      <c r="BQ26" s="2189"/>
      <c r="BR26" s="2189"/>
      <c r="BS26" s="2195"/>
    </row>
    <row r="27" spans="1:71" s="2266" customFormat="1" ht="12.75" customHeight="1" x14ac:dyDescent="0.3">
      <c r="A27" s="2260"/>
      <c r="B27" s="2261"/>
      <c r="C27" s="2261"/>
      <c r="D27" s="2262"/>
      <c r="E27" s="2262"/>
      <c r="F27" s="2262"/>
      <c r="G27" s="2262"/>
      <c r="H27" s="2262"/>
      <c r="I27" s="2262"/>
      <c r="J27" s="2262"/>
      <c r="K27" s="2262"/>
      <c r="L27" s="2262"/>
      <c r="M27" s="2262"/>
      <c r="N27" s="2262"/>
      <c r="O27" s="2262"/>
      <c r="P27" s="2262"/>
      <c r="Q27" s="2262"/>
      <c r="R27" s="2262"/>
      <c r="S27" s="2262"/>
      <c r="T27" s="2262"/>
      <c r="U27" s="2262"/>
      <c r="V27" s="2262"/>
      <c r="W27" s="2262"/>
      <c r="X27" s="2262"/>
      <c r="Y27" s="2262"/>
      <c r="Z27" s="2262"/>
      <c r="AA27" s="2262"/>
      <c r="AB27" s="2262"/>
      <c r="AC27" s="2262"/>
      <c r="AD27" s="2262"/>
      <c r="AE27" s="2262"/>
      <c r="AF27" s="2262"/>
      <c r="AG27" s="2262"/>
      <c r="AH27" s="2263"/>
      <c r="AI27" s="2262"/>
      <c r="AJ27" s="2262"/>
      <c r="AK27" s="2262"/>
      <c r="AL27" s="2262"/>
      <c r="AM27" s="2262"/>
      <c r="AN27" s="2262"/>
      <c r="AO27" s="2262"/>
      <c r="AP27" s="2262"/>
      <c r="AQ27" s="2262"/>
      <c r="AR27" s="2262"/>
      <c r="AS27" s="2262"/>
      <c r="AT27" s="2262"/>
      <c r="AU27" s="2262"/>
      <c r="AV27" s="2262"/>
      <c r="AW27" s="2262"/>
      <c r="AX27" s="2262"/>
      <c r="AY27" s="2262"/>
      <c r="AZ27" s="2262"/>
      <c r="BA27" s="2262"/>
      <c r="BB27" s="2262"/>
      <c r="BC27" s="2262"/>
      <c r="BD27" s="2262"/>
      <c r="BE27" s="2262"/>
      <c r="BF27" s="2262"/>
      <c r="BG27" s="2262"/>
      <c r="BH27" s="2262"/>
      <c r="BI27" s="2262"/>
      <c r="BJ27" s="2262"/>
      <c r="BK27" s="2262"/>
      <c r="BL27" s="2262"/>
      <c r="BM27" s="2264"/>
      <c r="BN27" s="2260"/>
      <c r="BO27" s="1070"/>
      <c r="BP27" s="1070"/>
      <c r="BQ27" s="2260"/>
      <c r="BR27" s="2260"/>
      <c r="BS27" s="2265"/>
    </row>
    <row r="28" spans="1:71" s="2266" customFormat="1" ht="31.8" hidden="1" outlineLevel="2" thickBot="1" x14ac:dyDescent="0.35">
      <c r="A28" s="2260"/>
      <c r="B28" s="2261"/>
      <c r="C28" s="2261"/>
      <c r="D28" s="2262"/>
      <c r="E28" s="3312">
        <f>E6</f>
        <v>0</v>
      </c>
      <c r="F28" s="3313"/>
      <c r="G28" s="3314">
        <f>G6</f>
        <v>0</v>
      </c>
      <c r="H28" s="3313"/>
      <c r="I28" s="3314">
        <f>I6</f>
        <v>0</v>
      </c>
      <c r="J28" s="3313"/>
      <c r="K28" s="3314">
        <f>K6</f>
        <v>0</v>
      </c>
      <c r="L28" s="3313"/>
      <c r="M28" s="3314">
        <f>M6</f>
        <v>0</v>
      </c>
      <c r="N28" s="3313"/>
      <c r="O28" s="3314">
        <f>O6</f>
        <v>0</v>
      </c>
      <c r="P28" s="3313"/>
      <c r="Q28" s="3314">
        <f>Q6</f>
        <v>0</v>
      </c>
      <c r="R28" s="3313"/>
      <c r="S28" s="3314">
        <f>S6</f>
        <v>0</v>
      </c>
      <c r="T28" s="3313"/>
      <c r="U28" s="3314">
        <f>U6</f>
        <v>0</v>
      </c>
      <c r="V28" s="3313"/>
      <c r="W28" s="3314">
        <f>W6</f>
        <v>0</v>
      </c>
      <c r="X28" s="3313"/>
      <c r="Y28" s="3314">
        <f>Y6</f>
        <v>0</v>
      </c>
      <c r="Z28" s="3313"/>
      <c r="AA28" s="3314">
        <f>AA6</f>
        <v>0</v>
      </c>
      <c r="AB28" s="3313"/>
      <c r="AC28" s="3314">
        <f>AC6</f>
        <v>0</v>
      </c>
      <c r="AD28" s="3313"/>
      <c r="AE28" s="3314">
        <f>AE6</f>
        <v>0</v>
      </c>
      <c r="AF28" s="3313"/>
      <c r="AG28" s="3314">
        <f>AG6</f>
        <v>0</v>
      </c>
      <c r="AH28" s="3313"/>
      <c r="AI28" s="3314">
        <f>AI6</f>
        <v>0</v>
      </c>
      <c r="AJ28" s="3313"/>
      <c r="AK28" s="3314">
        <f>AK6</f>
        <v>0</v>
      </c>
      <c r="AL28" s="3315"/>
      <c r="AM28" s="3314">
        <f>AM6</f>
        <v>0</v>
      </c>
      <c r="AN28" s="3315"/>
      <c r="AO28" s="3314">
        <f>AO6</f>
        <v>0</v>
      </c>
      <c r="AP28" s="3315"/>
      <c r="AQ28" s="3314">
        <f>AQ6</f>
        <v>0</v>
      </c>
      <c r="AR28" s="3315"/>
      <c r="AS28" s="3314">
        <f>AS6</f>
        <v>0</v>
      </c>
      <c r="AT28" s="3315"/>
      <c r="AU28" s="3314">
        <f>AU6</f>
        <v>0</v>
      </c>
      <c r="AV28" s="3315"/>
      <c r="AW28" s="3314">
        <f>AW6</f>
        <v>0</v>
      </c>
      <c r="AX28" s="3315"/>
      <c r="AY28" s="3314">
        <f>AY6</f>
        <v>0</v>
      </c>
      <c r="AZ28" s="3315"/>
      <c r="BA28" s="3314">
        <f>BA6</f>
        <v>0</v>
      </c>
      <c r="BB28" s="3315"/>
      <c r="BC28" s="3314">
        <f>BC6</f>
        <v>0</v>
      </c>
      <c r="BD28" s="3315"/>
      <c r="BE28" s="3314">
        <f>BE6</f>
        <v>0</v>
      </c>
      <c r="BF28" s="3315"/>
      <c r="BG28" s="3314">
        <f>BG6</f>
        <v>0</v>
      </c>
      <c r="BH28" s="3315"/>
      <c r="BI28" s="3314">
        <f>BI6</f>
        <v>0</v>
      </c>
      <c r="BJ28" s="3315"/>
      <c r="BK28" s="3316" t="s">
        <v>1570</v>
      </c>
      <c r="BL28" s="3317"/>
      <c r="BM28" s="3318"/>
      <c r="BN28" s="2260"/>
      <c r="BO28" s="1070"/>
      <c r="BP28" s="2144" t="str">
        <f>"15 Yrs Total"</f>
        <v>15 Yrs Total</v>
      </c>
      <c r="BQ28" s="2260"/>
      <c r="BR28" s="2260"/>
      <c r="BS28" s="2265"/>
    </row>
    <row r="29" spans="1:71" s="2266" customFormat="1" ht="24.9" hidden="1" customHeight="1" outlineLevel="2" thickBot="1" x14ac:dyDescent="0.35">
      <c r="A29" s="2260"/>
      <c r="B29" s="2146" t="str">
        <f>Calc!B30</f>
        <v>B</v>
      </c>
      <c r="C29" s="2147"/>
      <c r="D29" s="2148"/>
      <c r="E29" s="2149" t="str">
        <f>E7</f>
        <v>FY18</v>
      </c>
      <c r="F29" s="2150" t="str">
        <f>"vs "&amp;Comp</f>
        <v>vs Def Exit</v>
      </c>
      <c r="G29" s="2151" t="str">
        <f>G7</f>
        <v>FY19</v>
      </c>
      <c r="H29" s="2150" t="str">
        <f>"vs "&amp;Comp</f>
        <v>vs Def Exit</v>
      </c>
      <c r="I29" s="2151" t="str">
        <f>I7</f>
        <v>FY20</v>
      </c>
      <c r="J29" s="2150" t="str">
        <f>"vs "&amp;Comp</f>
        <v>vs Def Exit</v>
      </c>
      <c r="K29" s="2151" t="str">
        <f>K7</f>
        <v>FY21</v>
      </c>
      <c r="L29" s="2150" t="str">
        <f>"vs "&amp;Comp</f>
        <v>vs Def Exit</v>
      </c>
      <c r="M29" s="2151" t="str">
        <f>M7</f>
        <v>FY22</v>
      </c>
      <c r="N29" s="2150" t="str">
        <f>"vs "&amp;Comp</f>
        <v>vs Def Exit</v>
      </c>
      <c r="O29" s="2151" t="str">
        <f>O7</f>
        <v>FY23</v>
      </c>
      <c r="P29" s="2150" t="str">
        <f>"vs "&amp;Comp</f>
        <v>vs Def Exit</v>
      </c>
      <c r="Q29" s="2151" t="str">
        <f>Q7</f>
        <v>FY24</v>
      </c>
      <c r="R29" s="2150" t="str">
        <f>"vs "&amp;Comp</f>
        <v>vs Def Exit</v>
      </c>
      <c r="S29" s="2151" t="str">
        <f>S7</f>
        <v>FY25</v>
      </c>
      <c r="T29" s="2150" t="str">
        <f>"vs "&amp;Comp</f>
        <v>vs Def Exit</v>
      </c>
      <c r="U29" s="2151" t="str">
        <f>U7</f>
        <v>FY26</v>
      </c>
      <c r="V29" s="2150" t="str">
        <f>"vs "&amp;Comp</f>
        <v>vs Def Exit</v>
      </c>
      <c r="W29" s="2151" t="str">
        <f>W7</f>
        <v>FY27</v>
      </c>
      <c r="X29" s="2150" t="str">
        <f>"vs "&amp;Comp</f>
        <v>vs Def Exit</v>
      </c>
      <c r="Y29" s="2151" t="str">
        <f>Y7</f>
        <v>FY28</v>
      </c>
      <c r="Z29" s="2150" t="str">
        <f>"vs "&amp;Comp</f>
        <v>vs Def Exit</v>
      </c>
      <c r="AA29" s="2151" t="str">
        <f>AA7</f>
        <v>FY29</v>
      </c>
      <c r="AB29" s="2150" t="str">
        <f>"vs "&amp;Comp</f>
        <v>vs Def Exit</v>
      </c>
      <c r="AC29" s="2151" t="str">
        <f>AC7</f>
        <v>FY30</v>
      </c>
      <c r="AD29" s="2150" t="str">
        <f>"vs "&amp;Comp</f>
        <v>vs Def Exit</v>
      </c>
      <c r="AE29" s="2151" t="str">
        <f>AE7</f>
        <v>FY31</v>
      </c>
      <c r="AF29" s="2150" t="str">
        <f>"vs "&amp;Comp</f>
        <v>vs Def Exit</v>
      </c>
      <c r="AG29" s="2151" t="str">
        <f>AG7</f>
        <v>FY32</v>
      </c>
      <c r="AH29" s="2150" t="str">
        <f>"vs "&amp;Comp</f>
        <v>vs Def Exit</v>
      </c>
      <c r="AI29" s="2151" t="str">
        <f>AI7</f>
        <v>FY33</v>
      </c>
      <c r="AJ29" s="2152" t="str">
        <f>"vs "&amp;Comp</f>
        <v>vs Def Exit</v>
      </c>
      <c r="AK29" s="2144" t="str">
        <f>AK7</f>
        <v>FY34</v>
      </c>
      <c r="AL29" s="2152" t="str">
        <f>"vs "&amp;Comp</f>
        <v>vs Def Exit</v>
      </c>
      <c r="AM29" s="2144" t="str">
        <f>AM7</f>
        <v>FY35</v>
      </c>
      <c r="AN29" s="2152" t="str">
        <f>"vs "&amp;Comp</f>
        <v>vs Def Exit</v>
      </c>
      <c r="AO29" s="2144" t="str">
        <f>AO7</f>
        <v>FY36</v>
      </c>
      <c r="AP29" s="2152" t="str">
        <f>"vs "&amp;Comp</f>
        <v>vs Def Exit</v>
      </c>
      <c r="AQ29" s="2144" t="str">
        <f>AQ7</f>
        <v>FY37</v>
      </c>
      <c r="AR29" s="2152" t="str">
        <f>"vs "&amp;Comp</f>
        <v>vs Def Exit</v>
      </c>
      <c r="AS29" s="2144" t="str">
        <f>AS7</f>
        <v>FY38</v>
      </c>
      <c r="AT29" s="2152" t="str">
        <f>"vs "&amp;Comp</f>
        <v>vs Def Exit</v>
      </c>
      <c r="AU29" s="2144" t="str">
        <f>AU7</f>
        <v>FY39</v>
      </c>
      <c r="AV29" s="2152" t="str">
        <f>"vs "&amp;Comp</f>
        <v>vs Def Exit</v>
      </c>
      <c r="AW29" s="2144" t="str">
        <f>AW7</f>
        <v>FY40</v>
      </c>
      <c r="AX29" s="2152" t="str">
        <f>"vs "&amp;Comp</f>
        <v>vs Def Exit</v>
      </c>
      <c r="AY29" s="2144" t="str">
        <f>AY7</f>
        <v>FY41</v>
      </c>
      <c r="AZ29" s="2152" t="str">
        <f>"vs "&amp;Comp</f>
        <v>vs Def Exit</v>
      </c>
      <c r="BA29" s="2144" t="str">
        <f>BA7</f>
        <v>FY42</v>
      </c>
      <c r="BB29" s="2152" t="str">
        <f>"vs "&amp;Comp</f>
        <v>vs Def Exit</v>
      </c>
      <c r="BC29" s="2144" t="str">
        <f>BC7</f>
        <v>FY43</v>
      </c>
      <c r="BD29" s="2152" t="str">
        <f>"vs "&amp;Comp</f>
        <v>vs Def Exit</v>
      </c>
      <c r="BE29" s="2144" t="str">
        <f>BE7</f>
        <v>FY44</v>
      </c>
      <c r="BF29" s="2152" t="str">
        <f>"vs "&amp;Comp</f>
        <v>vs Def Exit</v>
      </c>
      <c r="BG29" s="2144" t="str">
        <f>BG7</f>
        <v>FY45</v>
      </c>
      <c r="BH29" s="2152" t="str">
        <f>"vs "&amp;Comp</f>
        <v>vs Def Exit</v>
      </c>
      <c r="BI29" s="2144" t="str">
        <f>BI7</f>
        <v>FY46</v>
      </c>
      <c r="BJ29" s="2152" t="str">
        <f>"vs "&amp;Comp</f>
        <v>vs Def Exit</v>
      </c>
      <c r="BK29" s="2151" t="e">
        <f>"FY"&amp;Input!$D$48&amp;"-"&amp;Input!$D$48+9</f>
        <v>#VALUE!</v>
      </c>
      <c r="BL29" s="2153"/>
      <c r="BM29" s="2150" t="str">
        <f>"vs "&amp;Comp&amp;" H/(L)"</f>
        <v>vs Def Exit H/(L)</v>
      </c>
      <c r="BN29" s="1070"/>
      <c r="BO29" s="1070"/>
      <c r="BP29" s="2151" t="str">
        <f>"FY"&amp;CurrentFY&amp;"-"&amp;CurrentFY+14</f>
        <v>FY18-32</v>
      </c>
      <c r="BQ29" s="2260"/>
      <c r="BR29" s="2260"/>
      <c r="BS29" s="2265"/>
    </row>
    <row r="30" spans="1:71" s="2266" customFormat="1" ht="3" hidden="1" customHeight="1" outlineLevel="2" x14ac:dyDescent="0.3">
      <c r="A30" s="2260"/>
      <c r="B30" s="2154"/>
      <c r="C30" s="2155"/>
      <c r="D30" s="2156"/>
      <c r="E30" s="1201"/>
      <c r="F30" s="2157"/>
      <c r="G30" s="1201"/>
      <c r="H30" s="2157"/>
      <c r="I30" s="1201"/>
      <c r="J30" s="2157"/>
      <c r="K30" s="1201"/>
      <c r="L30" s="2157"/>
      <c r="M30" s="1201"/>
      <c r="N30" s="2157"/>
      <c r="O30" s="1201"/>
      <c r="P30" s="2157"/>
      <c r="Q30" s="1201"/>
      <c r="R30" s="2157"/>
      <c r="S30" s="1201"/>
      <c r="T30" s="2157"/>
      <c r="U30" s="2158"/>
      <c r="V30" s="1875"/>
      <c r="W30" s="2159"/>
      <c r="X30" s="1875"/>
      <c r="Y30" s="2159"/>
      <c r="Z30" s="1875"/>
      <c r="AA30" s="2159"/>
      <c r="AB30" s="1875"/>
      <c r="AC30" s="2159"/>
      <c r="AD30" s="1875"/>
      <c r="AE30" s="2159"/>
      <c r="AF30" s="1875"/>
      <c r="AG30" s="2159"/>
      <c r="AH30" s="1875"/>
      <c r="AI30" s="2159"/>
      <c r="AJ30" s="2160"/>
      <c r="AK30" s="2159"/>
      <c r="AL30" s="1876"/>
      <c r="AM30" s="2159"/>
      <c r="AN30" s="1876"/>
      <c r="AO30" s="2159"/>
      <c r="AP30" s="1876"/>
      <c r="AQ30" s="2159"/>
      <c r="AR30" s="1876"/>
      <c r="AS30" s="2159"/>
      <c r="AT30" s="1876"/>
      <c r="AU30" s="2159"/>
      <c r="AV30" s="1876"/>
      <c r="AW30" s="2159"/>
      <c r="AX30" s="1876"/>
      <c r="AY30" s="2159"/>
      <c r="AZ30" s="1876"/>
      <c r="BA30" s="2159"/>
      <c r="BB30" s="1876"/>
      <c r="BC30" s="2159"/>
      <c r="BD30" s="1876"/>
      <c r="BE30" s="2159"/>
      <c r="BF30" s="1876"/>
      <c r="BG30" s="2159"/>
      <c r="BH30" s="1876"/>
      <c r="BI30" s="2159"/>
      <c r="BJ30" s="1876"/>
      <c r="BK30" s="2159"/>
      <c r="BL30" s="2159"/>
      <c r="BM30" s="2161"/>
      <c r="BN30" s="1070"/>
      <c r="BO30" s="1070"/>
      <c r="BP30" s="1070"/>
      <c r="BQ30" s="2260"/>
      <c r="BR30" s="2260"/>
      <c r="BS30" s="2265"/>
    </row>
    <row r="31" spans="1:71" s="2266" customFormat="1" hidden="1" outlineLevel="2" x14ac:dyDescent="0.3">
      <c r="A31" s="2260"/>
      <c r="B31" s="2162" t="str">
        <f t="shared" ref="B31:B48" si="0">B9</f>
        <v>New Product Volume (k)</v>
      </c>
      <c r="C31" s="2163"/>
      <c r="D31" s="2164"/>
      <c r="E31" s="2165">
        <f>IF($D$2="$ K",Calc!G31,Calc!G31/1000)</f>
        <v>0</v>
      </c>
      <c r="F31" s="2166">
        <f>IF(Calc!AQ31=0,0,IF($D$2="$ M",Calc!CA31/1000,Calc!CA31))</f>
        <v>0</v>
      </c>
      <c r="G31" s="2167">
        <f>IF($D$2="$ K",Calc!H31,Calc!H31/1000)</f>
        <v>0</v>
      </c>
      <c r="H31" s="2166">
        <f>IF(Calc!AR31=0,0,IF($D$2="$ M",Calc!CB31/1000,Calc!CB31))</f>
        <v>0</v>
      </c>
      <c r="I31" s="2167">
        <f>IF($D$2="$ K",Calc!I31,Calc!I31/1000)</f>
        <v>0</v>
      </c>
      <c r="J31" s="2166">
        <f>IF(Calc!AS31=0,0,IF($D$2="$ M",Calc!CC31/1000,Calc!CC31))</f>
        <v>0</v>
      </c>
      <c r="K31" s="2167">
        <f>IF($D$2="$ K",Calc!J31,Calc!J31/1000)</f>
        <v>0</v>
      </c>
      <c r="L31" s="2166">
        <f>IF(Calc!AT31=0,0,IF($D$2="$ M",Calc!CD31/1000,Calc!CD31))</f>
        <v>0</v>
      </c>
      <c r="M31" s="2167">
        <f>IF($D$2="$ K",Calc!K31,Calc!K31/1000)</f>
        <v>0</v>
      </c>
      <c r="N31" s="2166">
        <f>IF(Calc!AU31=0,0,IF($D$2="$ M",Calc!CE31/1000,Calc!CE31))</f>
        <v>0</v>
      </c>
      <c r="O31" s="2167">
        <f>IF($D$2="$ K",Calc!L31,Calc!L31/1000)</f>
        <v>0</v>
      </c>
      <c r="P31" s="2166">
        <f>IF(Calc!AV31=0,0,IF($D$2="$ M",Calc!CF31/1000,Calc!CF31))</f>
        <v>0</v>
      </c>
      <c r="Q31" s="2167">
        <f>IF($D$2="$ K",Calc!M31,Calc!M31/1000)</f>
        <v>0</v>
      </c>
      <c r="R31" s="2166">
        <f>IF(Calc!AW31=0,0,IF($D$2="$ M",Calc!CG31/1000,Calc!CG31))</f>
        <v>0</v>
      </c>
      <c r="S31" s="2167">
        <f>IF($D$2="$ K",Calc!N31,Calc!N31/1000)</f>
        <v>0</v>
      </c>
      <c r="T31" s="2166">
        <f>IF(Calc!AX31=0,0,IF($D$2="$ M",Calc!CH31/1000,Calc!CH31))</f>
        <v>0</v>
      </c>
      <c r="U31" s="2167">
        <f>IF($D$2="$ K",Calc!O31,Calc!O31/1000)</f>
        <v>0</v>
      </c>
      <c r="V31" s="2166">
        <f>IF(Calc!AY31=0,0,IF($D$2="$ M",Calc!CI31/1000,Calc!CI31))</f>
        <v>0</v>
      </c>
      <c r="W31" s="2167">
        <f>IF($D$2="$ K",Calc!P31,Calc!P31/1000)</f>
        <v>0</v>
      </c>
      <c r="X31" s="2166">
        <f>IF(Calc!AZ31=0,0,IF($D$2="$ M",Calc!CJ31/1000,Calc!CJ31))</f>
        <v>0</v>
      </c>
      <c r="Y31" s="2167">
        <f>IF($D$2="$ K",Calc!Q31,Calc!Q31/1000)</f>
        <v>0</v>
      </c>
      <c r="Z31" s="2166">
        <f>IF(Calc!BA31=0,0,IF($D$2="$ M",Calc!CK31/1000,Calc!CK31))</f>
        <v>0</v>
      </c>
      <c r="AA31" s="2167">
        <f>IF($D$2="$ K",Calc!R31,Calc!R31/1000)</f>
        <v>0</v>
      </c>
      <c r="AB31" s="2166">
        <f>IF(Calc!BB31=0,0,IF($D$2="$ M",Calc!CL31/1000,Calc!CL31))</f>
        <v>0</v>
      </c>
      <c r="AC31" s="2167">
        <f>IF($D$2="$ K",Calc!S31,Calc!S31/1000)</f>
        <v>0</v>
      </c>
      <c r="AD31" s="2166">
        <f>IF(Calc!BC31=0,0,IF($D$2="$ M",Calc!CM31/1000,Calc!CM31))</f>
        <v>0</v>
      </c>
      <c r="AE31" s="2167">
        <f>IF($D$2="$ K",Calc!T31,Calc!T31/1000)</f>
        <v>0</v>
      </c>
      <c r="AF31" s="2166">
        <f>IF(Calc!BD31=0,0,IF($D$2="$ M",Calc!CN31/1000,Calc!CN31))</f>
        <v>0</v>
      </c>
      <c r="AG31" s="2167">
        <f>IF($D$2="$ K",Calc!U31,Calc!U31/1000)</f>
        <v>0</v>
      </c>
      <c r="AH31" s="2166">
        <f>IF(Calc!BE31=0,0,IF($D$2="$ M",Calc!CO31/1000,Calc!CO31))</f>
        <v>0</v>
      </c>
      <c r="AI31" s="2167">
        <f>IF($D$2="$ K",Calc!V31,Calc!V31/1000)</f>
        <v>0</v>
      </c>
      <c r="AJ31" s="2166">
        <f>IF(Calc!BF31=0,0,IF($D$2="$ M",Calc!CP31/1000,Calc!CP31))</f>
        <v>0</v>
      </c>
      <c r="AK31" s="2167">
        <f>IF($D$2="$ K",Calc!W31,Calc!W31/1000)</f>
        <v>0</v>
      </c>
      <c r="AL31" s="2166">
        <f>IF(Calc!BG31=0,0,IF($D$2="$ M",Calc!CQ31/1000,Calc!CQ31))</f>
        <v>0</v>
      </c>
      <c r="AM31" s="2167">
        <f>IF($D$2="$ K",Calc!X31,Calc!X31/1000)</f>
        <v>0</v>
      </c>
      <c r="AN31" s="2166">
        <f>IF(Calc!BH31=0,0,IF($D$2="$ M",Calc!CR31/1000,Calc!CR31))</f>
        <v>0</v>
      </c>
      <c r="AO31" s="2167">
        <f>IF($D$2="$ K",Calc!Y31,Calc!Y31/1000)</f>
        <v>0</v>
      </c>
      <c r="AP31" s="2166">
        <f>IF(Calc!BJ31=0,0,IF($D$2="$ M",Calc!CS31/1000,Calc!CS31))</f>
        <v>0</v>
      </c>
      <c r="AQ31" s="2167">
        <f>IF($D$2="$ K",Calc!Z31,Calc!Z31/1000)</f>
        <v>0</v>
      </c>
      <c r="AR31" s="2166">
        <f>IF(Calc!BL31=0,0,IF($D$2="$ M",Calc!CT31/1000,Calc!CT31))</f>
        <v>0</v>
      </c>
      <c r="AS31" s="2167">
        <f>IF($D$2="$ K",Calc!AA31,Calc!AA31/1000)</f>
        <v>0</v>
      </c>
      <c r="AT31" s="2166">
        <f>IF(Calc!BN31=0,0,IF($D$2="$ M",Calc!CU31/1000,Calc!CU31))</f>
        <v>0</v>
      </c>
      <c r="AU31" s="2167">
        <f>IF($D$2="$ K",Calc!AB31,Calc!AB31/1000)</f>
        <v>0</v>
      </c>
      <c r="AV31" s="2166">
        <f>IF(Calc!BP31=0,0,IF($D$2="$ M",Calc!CV31/1000,Calc!CV31))</f>
        <v>0</v>
      </c>
      <c r="AW31" s="2167">
        <f>IF($D$2="$ K",Calc!AC31,Calc!AC31/1000)</f>
        <v>0</v>
      </c>
      <c r="AX31" s="2166">
        <f>IF(Calc!BR31=0,0,IF($D$2="$ M",Calc!CW31/1000,Calc!CW31))</f>
        <v>0</v>
      </c>
      <c r="AY31" s="2167">
        <f>IF($D$2="$ K",Calc!AD31,Calc!AD31/1000)</f>
        <v>0</v>
      </c>
      <c r="AZ31" s="2166">
        <f>IF(Calc!BT31=0,0,IF($D$2="$ M",Calc!CX31/1000,Calc!CX31))</f>
        <v>0</v>
      </c>
      <c r="BA31" s="2167">
        <f>IF($D$2="$ K",Calc!AE31,Calc!AE31/1000)</f>
        <v>0</v>
      </c>
      <c r="BB31" s="2166">
        <f>IF(Calc!BV31=0,0,IF($D$2="$ M",Calc!CY31/1000,Calc!CY31))</f>
        <v>0</v>
      </c>
      <c r="BC31" s="2167">
        <f>IF($D$2="$ K",Calc!AF31,Calc!AF31/1000)</f>
        <v>0</v>
      </c>
      <c r="BD31" s="2166">
        <f>IF(Calc!BX31=0,0,IF($D$2="$ M",Calc!CZ31/1000,Calc!CZ31))</f>
        <v>0</v>
      </c>
      <c r="BE31" s="2167">
        <f>IF($D$2="$ K",Calc!AG31,Calc!AG31/1000)</f>
        <v>0</v>
      </c>
      <c r="BF31" s="2166">
        <f>IF(Calc!BZ31=0,0,IF($D$2="$ M",Calc!DA31/1000,Calc!DA31))</f>
        <v>0</v>
      </c>
      <c r="BG31" s="2167">
        <f>IF($D$2="$ K",Calc!AH31,Calc!AH31/1000)</f>
        <v>0</v>
      </c>
      <c r="BH31" s="2166">
        <f>IF(Calc!CB31=0,0,IF($D$2="$ M",Calc!DB31/1000,Calc!DB31))</f>
        <v>0</v>
      </c>
      <c r="BI31" s="2167">
        <f>IF($D$2="$ K",Calc!AI31,Calc!AI31/1000)</f>
        <v>0</v>
      </c>
      <c r="BJ31" s="2166">
        <f>IF(Calc!BS31=0,0,IF($D$2="$ M",Calc!DC31/1000,Calc!DC31))</f>
        <v>0</v>
      </c>
      <c r="BK31" s="2167">
        <f>IF($D$2="$ K",Calc!AJ31,Calc!AJ31/1000)</f>
        <v>0</v>
      </c>
      <c r="BL31" s="2168"/>
      <c r="BM31" s="2169">
        <f>IF(Calc!BT31=0,0,IF($D$2="$ M",Calc!DD31/1000,Calc!DD31))</f>
        <v>0</v>
      </c>
      <c r="BN31" s="1314"/>
      <c r="BO31" s="1314"/>
      <c r="BP31" s="2170">
        <f>IF($D$2="$ K",Calc!AM31,Calc!AM31/1000)</f>
        <v>0</v>
      </c>
      <c r="BQ31" s="2260"/>
      <c r="BR31" s="2260"/>
      <c r="BS31" s="2265"/>
    </row>
    <row r="32" spans="1:71" s="2266" customFormat="1" hidden="1" outlineLevel="2" x14ac:dyDescent="0.3">
      <c r="A32" s="2260"/>
      <c r="B32" s="2171" t="str">
        <f t="shared" si="0"/>
        <v>New Product ASP ($)</v>
      </c>
      <c r="C32" s="2172"/>
      <c r="D32" s="2173"/>
      <c r="E32" s="2174">
        <f>+Calc!G32</f>
        <v>0</v>
      </c>
      <c r="F32" s="2175">
        <f>IF(Calc!AQ32=0,0,Calc!CA32)</f>
        <v>0</v>
      </c>
      <c r="G32" s="2176">
        <f>+Calc!H32</f>
        <v>0</v>
      </c>
      <c r="H32" s="2175">
        <f>IF(Calc!AR32=0,0,Calc!CB32)</f>
        <v>0</v>
      </c>
      <c r="I32" s="2176">
        <f>+Calc!I32</f>
        <v>0</v>
      </c>
      <c r="J32" s="2175">
        <f>IF(Calc!AS32=0,0,Calc!CC32)</f>
        <v>0</v>
      </c>
      <c r="K32" s="2176">
        <f>+Calc!J32</f>
        <v>0</v>
      </c>
      <c r="L32" s="2175">
        <f>IF(Calc!AT32=0,0,Calc!CD32)</f>
        <v>0</v>
      </c>
      <c r="M32" s="2176">
        <f>+Calc!K32</f>
        <v>0</v>
      </c>
      <c r="N32" s="2175">
        <f>IF(Calc!AU32=0,0,Calc!CE32)</f>
        <v>0</v>
      </c>
      <c r="O32" s="2176">
        <f>+Calc!L32</f>
        <v>0</v>
      </c>
      <c r="P32" s="2175">
        <f>IF(Calc!AV32=0,0,Calc!CF32)</f>
        <v>0</v>
      </c>
      <c r="Q32" s="2176">
        <f>+Calc!M32</f>
        <v>0</v>
      </c>
      <c r="R32" s="2175">
        <f>IF(Calc!AW32=0,0,Calc!CG32)</f>
        <v>0</v>
      </c>
      <c r="S32" s="2176">
        <f>+Calc!N32</f>
        <v>0</v>
      </c>
      <c r="T32" s="2175">
        <f>IF(Calc!AX32=0,0,Calc!CH32)</f>
        <v>0</v>
      </c>
      <c r="U32" s="2176">
        <f>+Calc!O32</f>
        <v>0</v>
      </c>
      <c r="V32" s="2175">
        <f>IF(Calc!AY32=0,0,Calc!CI32)</f>
        <v>0</v>
      </c>
      <c r="W32" s="2176">
        <f>+Calc!P32</f>
        <v>0</v>
      </c>
      <c r="X32" s="2175">
        <f>IF(Calc!AZ32=0,0,Calc!CJ32)</f>
        <v>0</v>
      </c>
      <c r="Y32" s="2176">
        <f>+Calc!Q32</f>
        <v>0</v>
      </c>
      <c r="Z32" s="2175">
        <f>IF(Calc!BA32=0,0,Calc!CK32)</f>
        <v>0</v>
      </c>
      <c r="AA32" s="2176">
        <f>+Calc!R32</f>
        <v>0</v>
      </c>
      <c r="AB32" s="2175">
        <f>IF(Calc!BB32=0,0,Calc!CL32)</f>
        <v>0</v>
      </c>
      <c r="AC32" s="2176">
        <f>+Calc!S32</f>
        <v>0</v>
      </c>
      <c r="AD32" s="2175">
        <f>IF(Calc!BC32=0,0,Calc!CM32)</f>
        <v>0</v>
      </c>
      <c r="AE32" s="2176">
        <f>+Calc!T32</f>
        <v>0</v>
      </c>
      <c r="AF32" s="2175">
        <f>IF(Calc!BD32=0,0,Calc!CN32)</f>
        <v>0</v>
      </c>
      <c r="AG32" s="2176">
        <f>+Calc!U32</f>
        <v>0</v>
      </c>
      <c r="AH32" s="2175">
        <f>IF(Calc!BE32=0,0,Calc!CO32)</f>
        <v>0</v>
      </c>
      <c r="AI32" s="2176">
        <f>+Calc!V32</f>
        <v>0</v>
      </c>
      <c r="AJ32" s="2175">
        <f>IF(Calc!BF32=0,0,Calc!CP32)</f>
        <v>0</v>
      </c>
      <c r="AK32" s="2176">
        <f>+Calc!W32</f>
        <v>0</v>
      </c>
      <c r="AL32" s="2175">
        <f>IF(Calc!BG32=0,0,Calc!CQ32)</f>
        <v>0</v>
      </c>
      <c r="AM32" s="2176">
        <f>+Calc!X32</f>
        <v>0</v>
      </c>
      <c r="AN32" s="2175">
        <f>IF(Calc!BH32=0,0,Calc!CR32)</f>
        <v>0</v>
      </c>
      <c r="AO32" s="2176">
        <f>+Calc!Y32</f>
        <v>0</v>
      </c>
      <c r="AP32" s="2175">
        <f>IF(Calc!BJ32=0,0,Calc!CS32)</f>
        <v>0</v>
      </c>
      <c r="AQ32" s="2176">
        <f>+Calc!Z32</f>
        <v>0</v>
      </c>
      <c r="AR32" s="2175">
        <f>IF(Calc!BL32=0,0,Calc!CT32)</f>
        <v>0</v>
      </c>
      <c r="AS32" s="2176">
        <f>+Calc!AA32</f>
        <v>0</v>
      </c>
      <c r="AT32" s="2175">
        <f>IF(Calc!BN32=0,0,Calc!CU32)</f>
        <v>0</v>
      </c>
      <c r="AU32" s="2176">
        <f>+Calc!AB32</f>
        <v>0</v>
      </c>
      <c r="AV32" s="2175">
        <f>IF(Calc!BP32=0,0,Calc!CV32)</f>
        <v>0</v>
      </c>
      <c r="AW32" s="2176">
        <f>+Calc!AC32</f>
        <v>0</v>
      </c>
      <c r="AX32" s="2175">
        <f>IF(Calc!BR32=0,0,Calc!CW32)</f>
        <v>0</v>
      </c>
      <c r="AY32" s="2176">
        <f>+Calc!AD32</f>
        <v>0</v>
      </c>
      <c r="AZ32" s="2175" t="e">
        <f>IF(Calc!BT32=0,0,Calc!CX32)</f>
        <v>#DIV/0!</v>
      </c>
      <c r="BA32" s="2176">
        <f>+Calc!AE32</f>
        <v>0</v>
      </c>
      <c r="BB32" s="2175">
        <f>IF(Calc!BV32=0,0,Calc!CY32)</f>
        <v>0</v>
      </c>
      <c r="BC32" s="2176">
        <f>+Calc!AF32</f>
        <v>0</v>
      </c>
      <c r="BD32" s="2175">
        <f>IF(Calc!BX32=0,0,Calc!CZ32)</f>
        <v>0</v>
      </c>
      <c r="BE32" s="2176">
        <f>+Calc!AG32</f>
        <v>0</v>
      </c>
      <c r="BF32" s="2175">
        <f>IF(Calc!BZ32=0,0,Calc!DA32)</f>
        <v>0</v>
      </c>
      <c r="BG32" s="2176">
        <f>+Calc!AH32</f>
        <v>0</v>
      </c>
      <c r="BH32" s="2175">
        <f>IF(Calc!CB32=0,0,Calc!DB32)</f>
        <v>0</v>
      </c>
      <c r="BI32" s="2176">
        <f>+Calc!AI32</f>
        <v>0</v>
      </c>
      <c r="BJ32" s="2175">
        <f>IF(Calc!BS32=0,0,Calc!DC32)</f>
        <v>0</v>
      </c>
      <c r="BK32" s="2176" t="e">
        <f>+Calc!AJ32</f>
        <v>#DIV/0!</v>
      </c>
      <c r="BL32" s="2177"/>
      <c r="BM32" s="2178" t="e">
        <f>IF(Calc!BT32=0,0,Calc!DD32)</f>
        <v>#DIV/0!</v>
      </c>
      <c r="BN32" s="1314"/>
      <c r="BO32" s="1314"/>
      <c r="BP32" s="2179"/>
      <c r="BQ32" s="2260"/>
      <c r="BR32" s="2260"/>
      <c r="BS32" s="2265"/>
    </row>
    <row r="33" spans="1:71" s="2269" customFormat="1" ht="18" hidden="1" outlineLevel="2" x14ac:dyDescent="0.35">
      <c r="A33" s="2267"/>
      <c r="B33" s="2180" t="s">
        <v>1573</v>
      </c>
      <c r="C33" s="2181"/>
      <c r="D33" s="2182"/>
      <c r="E33" s="2183">
        <f>IF($D$2="$ K",Calc!G33,Calc!G33/1000)</f>
        <v>0</v>
      </c>
      <c r="F33" s="2184">
        <f>IF(Calc!AQ33=0,0,IF($D$2="$ M",Calc!CA33/1000,Calc!CA33))</f>
        <v>0</v>
      </c>
      <c r="G33" s="2185">
        <f>IF($D$2="$ K",Calc!H33,Calc!H33/1000)</f>
        <v>0</v>
      </c>
      <c r="H33" s="2184">
        <f>IF(Calc!AR33=0,0,IF($D$2="$ M",Calc!CB33/1000,Calc!CB33))</f>
        <v>0</v>
      </c>
      <c r="I33" s="2185">
        <f>IF($D$2="$ K",Calc!I33,Calc!I33/1000)</f>
        <v>0</v>
      </c>
      <c r="J33" s="2184">
        <f>IF(Calc!AS33=0,0,IF($D$2="$ M",Calc!CC33/1000,Calc!CC33))</f>
        <v>0</v>
      </c>
      <c r="K33" s="2185">
        <f>IF($D$2="$ K",Calc!J33,Calc!J33/1000)</f>
        <v>0</v>
      </c>
      <c r="L33" s="2184">
        <f>IF(Calc!AT33=0,0,IF($D$2="$ M",Calc!CD33/1000,Calc!CD33))</f>
        <v>0</v>
      </c>
      <c r="M33" s="2185">
        <f>IF($D$2="$ K",Calc!K33,Calc!K33/1000)</f>
        <v>0</v>
      </c>
      <c r="N33" s="2184">
        <f>IF(Calc!AU33=0,0,IF($D$2="$ M",Calc!CE33/1000,Calc!CE33))</f>
        <v>0</v>
      </c>
      <c r="O33" s="2185">
        <f>IF($D$2="$ K",Calc!L33,Calc!L33/1000)</f>
        <v>0</v>
      </c>
      <c r="P33" s="2184">
        <f>IF(Calc!AV33=0,0,IF($D$2="$ M",Calc!CF33/1000,Calc!CF33))</f>
        <v>0</v>
      </c>
      <c r="Q33" s="2185">
        <f>IF($D$2="$ K",Calc!M33,Calc!M33/1000)</f>
        <v>0</v>
      </c>
      <c r="R33" s="2184">
        <f>IF(Calc!AW33=0,0,IF($D$2="$ M",Calc!CG33/1000,Calc!CG33))</f>
        <v>0</v>
      </c>
      <c r="S33" s="2185">
        <f>IF($D$2="$ K",Calc!N33,Calc!N33/1000)</f>
        <v>0</v>
      </c>
      <c r="T33" s="2184">
        <f>IF(Calc!AX33=0,0,IF($D$2="$ M",Calc!CH33/1000,Calc!CH33))</f>
        <v>0</v>
      </c>
      <c r="U33" s="2185">
        <f>IF($D$2="$ K",Calc!O33,Calc!O33/1000)</f>
        <v>0</v>
      </c>
      <c r="V33" s="2184">
        <f>IF(Calc!AY33=0,0,IF($D$2="$ M",Calc!CI33/1000,Calc!CI33))</f>
        <v>0</v>
      </c>
      <c r="W33" s="2185">
        <f>IF($D$2="$ K",Calc!P33,Calc!P33/1000)</f>
        <v>0</v>
      </c>
      <c r="X33" s="2184">
        <f>IF(Calc!AZ33=0,0,IF($D$2="$ M",Calc!CJ33/1000,Calc!CJ33))</f>
        <v>0</v>
      </c>
      <c r="Y33" s="2185">
        <f>IF($D$2="$ K",Calc!Q33,Calc!Q33/1000)</f>
        <v>0</v>
      </c>
      <c r="Z33" s="2184">
        <f>IF(Calc!BA33=0,0,IF($D$2="$ M",Calc!CK33/1000,Calc!CK33))</f>
        <v>0</v>
      </c>
      <c r="AA33" s="2185">
        <f>IF($D$2="$ K",Calc!R33,Calc!R33/1000)</f>
        <v>0</v>
      </c>
      <c r="AB33" s="2184">
        <f>IF(Calc!BB33=0,0,IF($D$2="$ M",Calc!CL33/1000,Calc!CL33))</f>
        <v>0</v>
      </c>
      <c r="AC33" s="2185">
        <f>IF($D$2="$ K",Calc!S33,Calc!S33/1000)</f>
        <v>0</v>
      </c>
      <c r="AD33" s="2184">
        <f>IF(Calc!BC33=0,0,IF($D$2="$ M",Calc!CM33/1000,Calc!CM33))</f>
        <v>0</v>
      </c>
      <c r="AE33" s="2185">
        <f>IF($D$2="$ K",Calc!T33,Calc!T33/1000)</f>
        <v>0</v>
      </c>
      <c r="AF33" s="2184">
        <f>IF(Calc!BD33=0,0,IF($D$2="$ M",Calc!CN33/1000,Calc!CN33))</f>
        <v>0</v>
      </c>
      <c r="AG33" s="2185">
        <f>IF($D$2="$ K",Calc!U33,Calc!U33/1000)</f>
        <v>0</v>
      </c>
      <c r="AH33" s="2184">
        <f>IF(Calc!BE33=0,0,IF($D$2="$ M",Calc!CO33/1000,Calc!CO33))</f>
        <v>0</v>
      </c>
      <c r="AI33" s="2185">
        <f>IF($D$2="$ K",Calc!V33,Calc!V33/1000)</f>
        <v>0</v>
      </c>
      <c r="AJ33" s="2184">
        <f>IF(Calc!BF33=0,0,IF($D$2="$ M",Calc!CP33/1000,Calc!CP33))</f>
        <v>0</v>
      </c>
      <c r="AK33" s="2185">
        <f>IF($D$2="$ K",Calc!W33,Calc!W33/1000)</f>
        <v>0</v>
      </c>
      <c r="AL33" s="2184">
        <f>IF(Calc!BG33=0,0,IF($D$2="$ M",Calc!CQ33/1000,Calc!CQ33))</f>
        <v>0</v>
      </c>
      <c r="AM33" s="2185">
        <f>IF($D$2="$ K",Calc!X33,Calc!X33/1000)</f>
        <v>0</v>
      </c>
      <c r="AN33" s="2184">
        <f>IF(Calc!BH33=0,0,IF($D$2="$ M",Calc!CR33/1000,Calc!CR33))</f>
        <v>0</v>
      </c>
      <c r="AO33" s="2185">
        <f>IF($D$2="$ K",Calc!Y33,Calc!Y33/1000)</f>
        <v>0</v>
      </c>
      <c r="AP33" s="2184">
        <f>IF(Calc!BJ33=0,0,IF($D$2="$ M",Calc!CS33/1000,Calc!CS33))</f>
        <v>0</v>
      </c>
      <c r="AQ33" s="2185">
        <f>IF($D$2="$ K",Calc!Z33,Calc!Z33/1000)</f>
        <v>0</v>
      </c>
      <c r="AR33" s="2184">
        <f>IF(Calc!BL33=0,0,IF($D$2="$ M",Calc!CT33/1000,Calc!CT33))</f>
        <v>0</v>
      </c>
      <c r="AS33" s="2185">
        <f>IF($D$2="$ K",Calc!AA33,Calc!AA33/1000)</f>
        <v>0</v>
      </c>
      <c r="AT33" s="2184">
        <f>IF(Calc!BN33=0,0,IF($D$2="$ M",Calc!CU33/1000,Calc!CU33))</f>
        <v>0</v>
      </c>
      <c r="AU33" s="2185">
        <f>IF($D$2="$ K",Calc!AB33,Calc!AB33/1000)</f>
        <v>0</v>
      </c>
      <c r="AV33" s="2184">
        <f>IF(Calc!BP33=0,0,IF($D$2="$ M",Calc!CV33/1000,Calc!CV33))</f>
        <v>0</v>
      </c>
      <c r="AW33" s="2185">
        <f>IF($D$2="$ K",Calc!AC33,Calc!AC33/1000)</f>
        <v>0</v>
      </c>
      <c r="AX33" s="2184">
        <f>IF(Calc!BR33=0,0,IF($D$2="$ M",Calc!CW33/1000,Calc!CW33))</f>
        <v>0</v>
      </c>
      <c r="AY33" s="2185">
        <f>IF($D$2="$ K",Calc!AD33,Calc!AD33/1000)</f>
        <v>0</v>
      </c>
      <c r="AZ33" s="2184">
        <f>IF(Calc!BT33=0,0,IF($D$2="$ M",Calc!CX33/1000,Calc!CX33))</f>
        <v>0</v>
      </c>
      <c r="BA33" s="2185">
        <f>IF($D$2="$ K",Calc!AE33,Calc!AE33/1000)</f>
        <v>0</v>
      </c>
      <c r="BB33" s="2184">
        <f>IF(Calc!BV33=0,0,IF($D$2="$ M",Calc!CY33/1000,Calc!CY33))</f>
        <v>0</v>
      </c>
      <c r="BC33" s="2185">
        <f>IF($D$2="$ K",Calc!AF33,Calc!AF33/1000)</f>
        <v>0</v>
      </c>
      <c r="BD33" s="2184">
        <f>IF(Calc!BX33=0,0,IF($D$2="$ M",Calc!CZ33/1000,Calc!CZ33))</f>
        <v>0</v>
      </c>
      <c r="BE33" s="2185">
        <f>IF($D$2="$ K",Calc!AG33,Calc!AG33/1000)</f>
        <v>0</v>
      </c>
      <c r="BF33" s="2184">
        <f>IF(Calc!BZ33=0,0,IF($D$2="$ M",Calc!DA33/1000,Calc!DA33))</f>
        <v>0</v>
      </c>
      <c r="BG33" s="2185">
        <f>IF($D$2="$ K",Calc!AH33,Calc!AH33/1000)</f>
        <v>0</v>
      </c>
      <c r="BH33" s="2184">
        <f>IF(Calc!CB33=0,0,IF($D$2="$ M",Calc!DB33/1000,Calc!DB33))</f>
        <v>0</v>
      </c>
      <c r="BI33" s="2185">
        <f>IF($D$2="$ K",Calc!AI33,Calc!AI33/1000)</f>
        <v>0</v>
      </c>
      <c r="BJ33" s="2184">
        <f>IF(Calc!BS33=0,0,IF($D$2="$ M",Calc!DC33/1000,Calc!DC33))</f>
        <v>0</v>
      </c>
      <c r="BK33" s="2185">
        <f>IF($D$2="$ K",Calc!AJ33,Calc!AJ33/1000)</f>
        <v>0</v>
      </c>
      <c r="BL33" s="2186"/>
      <c r="BM33" s="2187">
        <f>IF(Calc!BT33=0,0,IF($D$2="$ M",Calc!DD33/1000,Calc!DD33))</f>
        <v>0</v>
      </c>
      <c r="BN33" s="1260"/>
      <c r="BO33" s="1260"/>
      <c r="BP33" s="2188">
        <f>IF($D$2="$ K",Calc!AM33,Calc!AM33/1000)</f>
        <v>0</v>
      </c>
      <c r="BQ33" s="2267"/>
      <c r="BR33" s="2267"/>
      <c r="BS33" s="2268"/>
    </row>
    <row r="34" spans="1:71" s="2266" customFormat="1" hidden="1" outlineLevel="2" x14ac:dyDescent="0.3">
      <c r="A34" s="2260"/>
      <c r="B34" s="1217" t="str">
        <f t="shared" si="0"/>
        <v xml:space="preserve">   Less: Cannibilzation</v>
      </c>
      <c r="C34" s="1099"/>
      <c r="D34" s="2190"/>
      <c r="E34" s="2191">
        <f>IF($D$2="$ K",Calc!G34,Calc!G34/1000)</f>
        <v>0</v>
      </c>
      <c r="F34" s="1891">
        <f>IF(Calc!AQ34=0,0,IF($D$2="$ M",Calc!CA34/1000,Calc!CA34))</f>
        <v>0</v>
      </c>
      <c r="G34" s="2192">
        <f>IF($D$2="$ K",Calc!H34,Calc!H34/1000)</f>
        <v>0</v>
      </c>
      <c r="H34" s="1891">
        <f>IF(Calc!AR34=0,0,IF($D$2="$ M",Calc!CB34/1000,Calc!CB34))</f>
        <v>0</v>
      </c>
      <c r="I34" s="2192">
        <f>IF($D$2="$ K",Calc!I34,Calc!I34/1000)</f>
        <v>0</v>
      </c>
      <c r="J34" s="1891">
        <f>IF(Calc!AS34=0,0,IF($D$2="$ M",Calc!CC34/1000,Calc!CC34))</f>
        <v>0</v>
      </c>
      <c r="K34" s="2192">
        <f>IF($D$2="$ K",Calc!J34,Calc!J34/1000)</f>
        <v>0</v>
      </c>
      <c r="L34" s="1891">
        <f>IF(Calc!AT34=0,0,IF($D$2="$ M",Calc!CD34/1000,Calc!CD34))</f>
        <v>0</v>
      </c>
      <c r="M34" s="2192">
        <f>IF($D$2="$ K",Calc!K34,Calc!K34/1000)</f>
        <v>0</v>
      </c>
      <c r="N34" s="1891">
        <f>IF(Calc!AU34=0,0,IF($D$2="$ M",Calc!CE34/1000,Calc!CE34))</f>
        <v>0</v>
      </c>
      <c r="O34" s="2192">
        <f>IF($D$2="$ K",Calc!L34,Calc!L34/1000)</f>
        <v>0</v>
      </c>
      <c r="P34" s="1891">
        <f>IF(Calc!AV34=0,0,IF($D$2="$ M",Calc!CF34/1000,Calc!CF34))</f>
        <v>0</v>
      </c>
      <c r="Q34" s="2192">
        <f>IF($D$2="$ K",Calc!M34,Calc!M34/1000)</f>
        <v>0</v>
      </c>
      <c r="R34" s="1891">
        <f>IF(Calc!AW34=0,0,IF($D$2="$ M",Calc!CG34/1000,Calc!CG34))</f>
        <v>0</v>
      </c>
      <c r="S34" s="2192">
        <f>IF($D$2="$ K",Calc!N34,Calc!N34/1000)</f>
        <v>0</v>
      </c>
      <c r="T34" s="1891">
        <f>IF(Calc!AX34=0,0,IF($D$2="$ M",Calc!CH34/1000,Calc!CH34))</f>
        <v>0</v>
      </c>
      <c r="U34" s="2192">
        <f>IF($D$2="$ K",Calc!O34,Calc!O34/1000)</f>
        <v>0</v>
      </c>
      <c r="V34" s="1891">
        <f>IF(Calc!AY34=0,0,IF($D$2="$ M",Calc!CI34/1000,Calc!CI34))</f>
        <v>0</v>
      </c>
      <c r="W34" s="2192">
        <f>IF($D$2="$ K",Calc!P34,Calc!P34/1000)</f>
        <v>0</v>
      </c>
      <c r="X34" s="1891">
        <f>IF(Calc!AZ34=0,0,IF($D$2="$ M",Calc!CJ34/1000,Calc!CJ34))</f>
        <v>0</v>
      </c>
      <c r="Y34" s="2192">
        <f>IF($D$2="$ K",Calc!Q34,Calc!Q34/1000)</f>
        <v>0</v>
      </c>
      <c r="Z34" s="1891">
        <f>IF(Calc!BA34=0,0,IF($D$2="$ M",Calc!CK34/1000,Calc!CK34))</f>
        <v>0</v>
      </c>
      <c r="AA34" s="2192">
        <f>IF($D$2="$ K",Calc!R34,Calc!R34/1000)</f>
        <v>0</v>
      </c>
      <c r="AB34" s="1891">
        <f>IF(Calc!BB34=0,0,IF($D$2="$ M",Calc!CL34/1000,Calc!CL34))</f>
        <v>0</v>
      </c>
      <c r="AC34" s="2192">
        <f>IF($D$2="$ K",Calc!S34,Calc!S34/1000)</f>
        <v>0</v>
      </c>
      <c r="AD34" s="1891">
        <f>IF(Calc!BC34=0,0,IF($D$2="$ M",Calc!CM34/1000,Calc!CM34))</f>
        <v>0</v>
      </c>
      <c r="AE34" s="2192">
        <f>IF($D$2="$ K",Calc!T34,Calc!T34/1000)</f>
        <v>0</v>
      </c>
      <c r="AF34" s="1891">
        <f>IF(Calc!BD34=0,0,IF($D$2="$ M",Calc!CN34/1000,Calc!CN34))</f>
        <v>0</v>
      </c>
      <c r="AG34" s="2192">
        <f>IF($D$2="$ K",Calc!U34,Calc!U34/1000)</f>
        <v>0</v>
      </c>
      <c r="AH34" s="1891">
        <f>IF(Calc!BE34=0,0,IF($D$2="$ M",Calc!CO34/1000,Calc!CO34))</f>
        <v>0</v>
      </c>
      <c r="AI34" s="2192">
        <f>IF($D$2="$ K",Calc!V34,Calc!V34/1000)</f>
        <v>0</v>
      </c>
      <c r="AJ34" s="1891">
        <f>IF(Calc!BF34=0,0,IF($D$2="$ M",Calc!CP34/1000,Calc!CP34))</f>
        <v>0</v>
      </c>
      <c r="AK34" s="2192">
        <f>IF($D$2="$ K",Calc!W34,Calc!W34/1000)</f>
        <v>0</v>
      </c>
      <c r="AL34" s="1891">
        <f>IF(Calc!BG34=0,0,IF($D$2="$ M",Calc!CQ34/1000,Calc!CQ34))</f>
        <v>0</v>
      </c>
      <c r="AM34" s="2192">
        <f>IF($D$2="$ K",Calc!X34,Calc!X34/1000)</f>
        <v>0</v>
      </c>
      <c r="AN34" s="1891">
        <f>IF(Calc!BH34=0,0,IF($D$2="$ M",Calc!CR34/1000,Calc!CR34))</f>
        <v>0</v>
      </c>
      <c r="AO34" s="2192">
        <f>IF($D$2="$ K",Calc!Y34,Calc!Y34/1000)</f>
        <v>0</v>
      </c>
      <c r="AP34" s="1891">
        <f>IF(Calc!BJ34=0,0,IF($D$2="$ M",Calc!CS34/1000,Calc!CS34))</f>
        <v>0</v>
      </c>
      <c r="AQ34" s="2192">
        <f>IF($D$2="$ K",Calc!Z34,Calc!Z34/1000)</f>
        <v>0</v>
      </c>
      <c r="AR34" s="1891">
        <f>IF(Calc!BL34=0,0,IF($D$2="$ M",Calc!CT34/1000,Calc!CT34))</f>
        <v>0</v>
      </c>
      <c r="AS34" s="2192">
        <f>IF($D$2="$ K",Calc!AA34,Calc!AA34/1000)</f>
        <v>0</v>
      </c>
      <c r="AT34" s="1891">
        <f>IF(Calc!BN34=0,0,IF($D$2="$ M",Calc!CU34/1000,Calc!CU34))</f>
        <v>0</v>
      </c>
      <c r="AU34" s="2192">
        <f>IF($D$2="$ K",Calc!AB34,Calc!AB34/1000)</f>
        <v>0</v>
      </c>
      <c r="AV34" s="1891">
        <f>IF(Calc!BP34=0,0,IF($D$2="$ M",Calc!CV34/1000,Calc!CV34))</f>
        <v>0</v>
      </c>
      <c r="AW34" s="2192">
        <f>IF($D$2="$ K",Calc!AC34,Calc!AC34/1000)</f>
        <v>0</v>
      </c>
      <c r="AX34" s="1891">
        <f>IF(Calc!BR34=0,0,IF($D$2="$ M",Calc!CW34/1000,Calc!CW34))</f>
        <v>0</v>
      </c>
      <c r="AY34" s="2192">
        <f>IF($D$2="$ K",Calc!AD34,Calc!AD34/1000)</f>
        <v>0</v>
      </c>
      <c r="AZ34" s="1891">
        <f>IF(Calc!BT34=0,0,IF($D$2="$ M",Calc!CX34/1000,Calc!CX34))</f>
        <v>0</v>
      </c>
      <c r="BA34" s="2192">
        <f>IF($D$2="$ K",Calc!AE34,Calc!AE34/1000)</f>
        <v>0</v>
      </c>
      <c r="BB34" s="1891">
        <f>IF(Calc!BV34=0,0,IF($D$2="$ M",Calc!CY34/1000,Calc!CY34))</f>
        <v>0</v>
      </c>
      <c r="BC34" s="2192">
        <f>IF($D$2="$ K",Calc!AF34,Calc!AF34/1000)</f>
        <v>0</v>
      </c>
      <c r="BD34" s="1891">
        <f>IF(Calc!BX34=0,0,IF($D$2="$ M",Calc!CZ34/1000,Calc!CZ34))</f>
        <v>0</v>
      </c>
      <c r="BE34" s="2192">
        <f>IF($D$2="$ K",Calc!AG34,Calc!AG34/1000)</f>
        <v>0</v>
      </c>
      <c r="BF34" s="1891">
        <f>IF(Calc!BZ34=0,0,IF($D$2="$ M",Calc!DA34/1000,Calc!DA34))</f>
        <v>0</v>
      </c>
      <c r="BG34" s="2192">
        <f>IF($D$2="$ K",Calc!AH34,Calc!AH34/1000)</f>
        <v>0</v>
      </c>
      <c r="BH34" s="1891">
        <f>IF(Calc!CB34=0,0,IF($D$2="$ M",Calc!DB34/1000,Calc!DB34))</f>
        <v>0</v>
      </c>
      <c r="BI34" s="2192">
        <f>IF($D$2="$ K",Calc!AI34,Calc!AI34/1000)</f>
        <v>0</v>
      </c>
      <c r="BJ34" s="1891">
        <f>IF(Calc!BS34=0,0,IF($D$2="$ M",Calc!DC34/1000,Calc!DC34))</f>
        <v>0</v>
      </c>
      <c r="BK34" s="2192">
        <f>IF($D$2="$ K",Calc!AJ34,Calc!AJ34/1000)</f>
        <v>0</v>
      </c>
      <c r="BL34" s="2193"/>
      <c r="BM34" s="1897">
        <f>IF(Calc!BT34=0,0,IF($D$2="$ M",Calc!DD34/1000,Calc!DD34))</f>
        <v>0</v>
      </c>
      <c r="BN34" s="2189"/>
      <c r="BO34" s="1070"/>
      <c r="BP34" s="2194">
        <f>IF($D$2="$ K",Calc!AM34,Calc!AM34/1000)</f>
        <v>0</v>
      </c>
      <c r="BQ34" s="2260"/>
      <c r="BR34" s="2260"/>
      <c r="BS34" s="2265"/>
    </row>
    <row r="35" spans="1:71" s="2266" customFormat="1" hidden="1" outlineLevel="2" x14ac:dyDescent="0.3">
      <c r="A35" s="2260"/>
      <c r="B35" s="2197" t="str">
        <f t="shared" si="0"/>
        <v xml:space="preserve">   Add: Pull Through</v>
      </c>
      <c r="C35" s="1099"/>
      <c r="D35" s="2190"/>
      <c r="E35" s="2191">
        <f>IF($D$2="$ K",Calc!G35,Calc!G35/1000)</f>
        <v>0</v>
      </c>
      <c r="F35" s="1891">
        <f>IF(Calc!AQ35=0,0,IF($D$2="$ M",Calc!CA35/1000,Calc!CA35))</f>
        <v>0</v>
      </c>
      <c r="G35" s="2192">
        <f>IF($D$2="$ K",Calc!H35,Calc!H35/1000)</f>
        <v>0</v>
      </c>
      <c r="H35" s="1891">
        <f>IF(Calc!AR35=0,0,IF($D$2="$ M",Calc!CB35/1000,Calc!CB35))</f>
        <v>0</v>
      </c>
      <c r="I35" s="2192">
        <f>IF($D$2="$ K",Calc!I35,Calc!I35/1000)</f>
        <v>0</v>
      </c>
      <c r="J35" s="1891">
        <f>IF(Calc!AS35=0,0,IF($D$2="$ M",Calc!CC35/1000,Calc!CC35))</f>
        <v>0</v>
      </c>
      <c r="K35" s="2192">
        <f>IF($D$2="$ K",Calc!J35,Calc!J35/1000)</f>
        <v>0</v>
      </c>
      <c r="L35" s="1891">
        <f>IF(Calc!AT35=0,0,IF($D$2="$ M",Calc!CD35/1000,Calc!CD35))</f>
        <v>0</v>
      </c>
      <c r="M35" s="2192">
        <f>IF($D$2="$ K",Calc!K35,Calc!K35/1000)</f>
        <v>0</v>
      </c>
      <c r="N35" s="1891">
        <f>IF(Calc!AU35=0,0,IF($D$2="$ M",Calc!CE35/1000,Calc!CE35))</f>
        <v>0</v>
      </c>
      <c r="O35" s="2192">
        <f>IF($D$2="$ K",Calc!L35,Calc!L35/1000)</f>
        <v>0</v>
      </c>
      <c r="P35" s="1891">
        <f>IF(Calc!AV35=0,0,IF($D$2="$ M",Calc!CF35/1000,Calc!CF35))</f>
        <v>0</v>
      </c>
      <c r="Q35" s="2192">
        <f>IF($D$2="$ K",Calc!M35,Calc!M35/1000)</f>
        <v>0</v>
      </c>
      <c r="R35" s="1891">
        <f>IF(Calc!AW35=0,0,IF($D$2="$ M",Calc!CG35/1000,Calc!CG35))</f>
        <v>0</v>
      </c>
      <c r="S35" s="2192">
        <f>IF($D$2="$ K",Calc!N35,Calc!N35/1000)</f>
        <v>0</v>
      </c>
      <c r="T35" s="1891">
        <f>IF(Calc!AX35=0,0,IF($D$2="$ M",Calc!CH35/1000,Calc!CH35))</f>
        <v>0</v>
      </c>
      <c r="U35" s="2192">
        <f>IF($D$2="$ K",Calc!O35,Calc!O35/1000)</f>
        <v>0</v>
      </c>
      <c r="V35" s="1891">
        <f>IF(Calc!AY35=0,0,IF($D$2="$ M",Calc!CI35/1000,Calc!CI35))</f>
        <v>0</v>
      </c>
      <c r="W35" s="2192">
        <f>IF($D$2="$ K",Calc!P35,Calc!P35/1000)</f>
        <v>0</v>
      </c>
      <c r="X35" s="1891">
        <f>IF(Calc!AZ35=0,0,IF($D$2="$ M",Calc!CJ35/1000,Calc!CJ35))</f>
        <v>0</v>
      </c>
      <c r="Y35" s="2192">
        <f>IF($D$2="$ K",Calc!Q35,Calc!Q35/1000)</f>
        <v>0</v>
      </c>
      <c r="Z35" s="1891">
        <f>IF(Calc!BA35=0,0,IF($D$2="$ M",Calc!CK35/1000,Calc!CK35))</f>
        <v>0</v>
      </c>
      <c r="AA35" s="2192">
        <f>IF($D$2="$ K",Calc!R35,Calc!R35/1000)</f>
        <v>0</v>
      </c>
      <c r="AB35" s="1891">
        <f>IF(Calc!BB35=0,0,IF($D$2="$ M",Calc!CL35/1000,Calc!CL35))</f>
        <v>0</v>
      </c>
      <c r="AC35" s="2192">
        <f>IF($D$2="$ K",Calc!S35,Calc!S35/1000)</f>
        <v>0</v>
      </c>
      <c r="AD35" s="1891">
        <f>IF(Calc!BC35=0,0,IF($D$2="$ M",Calc!CM35/1000,Calc!CM35))</f>
        <v>0</v>
      </c>
      <c r="AE35" s="2192">
        <f>IF($D$2="$ K",Calc!T35,Calc!T35/1000)</f>
        <v>0</v>
      </c>
      <c r="AF35" s="1891">
        <f>IF(Calc!BD35=0,0,IF($D$2="$ M",Calc!CN35/1000,Calc!CN35))</f>
        <v>0</v>
      </c>
      <c r="AG35" s="2192">
        <f>IF($D$2="$ K",Calc!U35,Calc!U35/1000)</f>
        <v>0</v>
      </c>
      <c r="AH35" s="1891">
        <f>IF(Calc!BE35=0,0,IF($D$2="$ M",Calc!CO35/1000,Calc!CO35))</f>
        <v>0</v>
      </c>
      <c r="AI35" s="2192">
        <f>IF($D$2="$ K",Calc!V35,Calc!V35/1000)</f>
        <v>0</v>
      </c>
      <c r="AJ35" s="1891">
        <f>IF(Calc!BF35=0,0,IF($D$2="$ M",Calc!CP35/1000,Calc!CP35))</f>
        <v>0</v>
      </c>
      <c r="AK35" s="2192">
        <f>IF($D$2="$ K",Calc!W35,Calc!W35/1000)</f>
        <v>0</v>
      </c>
      <c r="AL35" s="1891">
        <f>IF(Calc!BG35=0,0,IF($D$2="$ M",Calc!CQ35/1000,Calc!CQ35))</f>
        <v>0</v>
      </c>
      <c r="AM35" s="2192">
        <f>IF($D$2="$ K",Calc!X35,Calc!X35/1000)</f>
        <v>0</v>
      </c>
      <c r="AN35" s="1891">
        <f>IF(Calc!BH35=0,0,IF($D$2="$ M",Calc!CR35/1000,Calc!CR35))</f>
        <v>0</v>
      </c>
      <c r="AO35" s="2192">
        <f>IF($D$2="$ K",Calc!Y35,Calc!Y35/1000)</f>
        <v>0</v>
      </c>
      <c r="AP35" s="1891">
        <f>IF(Calc!BJ35=0,0,IF($D$2="$ M",Calc!CS35/1000,Calc!CS35))</f>
        <v>0</v>
      </c>
      <c r="AQ35" s="2192">
        <f>IF($D$2="$ K",Calc!Z35,Calc!Z35/1000)</f>
        <v>0</v>
      </c>
      <c r="AR35" s="1891">
        <f>IF(Calc!BL35=0,0,IF($D$2="$ M",Calc!CT35/1000,Calc!CT35))</f>
        <v>0</v>
      </c>
      <c r="AS35" s="2192">
        <f>IF($D$2="$ K",Calc!AA35,Calc!AA35/1000)</f>
        <v>0</v>
      </c>
      <c r="AT35" s="1891">
        <f>IF(Calc!BN35=0,0,IF($D$2="$ M",Calc!CU35/1000,Calc!CU35))</f>
        <v>0</v>
      </c>
      <c r="AU35" s="2192">
        <f>IF($D$2="$ K",Calc!AB35,Calc!AB35/1000)</f>
        <v>0</v>
      </c>
      <c r="AV35" s="1891">
        <f>IF(Calc!BP35=0,0,IF($D$2="$ M",Calc!CV35/1000,Calc!CV35))</f>
        <v>0</v>
      </c>
      <c r="AW35" s="2192">
        <f>IF($D$2="$ K",Calc!AC35,Calc!AC35/1000)</f>
        <v>0</v>
      </c>
      <c r="AX35" s="1891">
        <f>IF(Calc!BR35=0,0,IF($D$2="$ M",Calc!CW35/1000,Calc!CW35))</f>
        <v>0</v>
      </c>
      <c r="AY35" s="2192">
        <f>IF($D$2="$ K",Calc!AD35,Calc!AD35/1000)</f>
        <v>0</v>
      </c>
      <c r="AZ35" s="1891">
        <f>IF(Calc!BT35=0,0,IF($D$2="$ M",Calc!CX35/1000,Calc!CX35))</f>
        <v>0</v>
      </c>
      <c r="BA35" s="2192">
        <f>IF($D$2="$ K",Calc!AE35,Calc!AE35/1000)</f>
        <v>0</v>
      </c>
      <c r="BB35" s="1891">
        <f>IF(Calc!BV35=0,0,IF($D$2="$ M",Calc!CY35/1000,Calc!CY35))</f>
        <v>0</v>
      </c>
      <c r="BC35" s="2192">
        <f>IF($D$2="$ K",Calc!AF35,Calc!AF35/1000)</f>
        <v>0</v>
      </c>
      <c r="BD35" s="1891">
        <f>IF(Calc!BX35=0,0,IF($D$2="$ M",Calc!CZ35/1000,Calc!CZ35))</f>
        <v>0</v>
      </c>
      <c r="BE35" s="2192">
        <f>IF($D$2="$ K",Calc!AG35,Calc!AG35/1000)</f>
        <v>0</v>
      </c>
      <c r="BF35" s="1891">
        <f>IF(Calc!BZ35=0,0,IF($D$2="$ M",Calc!DA35/1000,Calc!DA35))</f>
        <v>0</v>
      </c>
      <c r="BG35" s="2192">
        <f>IF($D$2="$ K",Calc!AH35,Calc!AH35/1000)</f>
        <v>0</v>
      </c>
      <c r="BH35" s="1891">
        <f>IF(Calc!CB35=0,0,IF($D$2="$ M",Calc!DB35/1000,Calc!DB35))</f>
        <v>0</v>
      </c>
      <c r="BI35" s="2192">
        <f>IF($D$2="$ K",Calc!AI35,Calc!AI35/1000)</f>
        <v>0</v>
      </c>
      <c r="BJ35" s="1891">
        <f>IF(Calc!BS35=0,0,IF($D$2="$ M",Calc!DC35/1000,Calc!DC35))</f>
        <v>0</v>
      </c>
      <c r="BK35" s="2192">
        <f>IF($D$2="$ K",Calc!AJ35,Calc!AJ35/1000)</f>
        <v>0</v>
      </c>
      <c r="BL35" s="2193"/>
      <c r="BM35" s="1897">
        <f>IF(Calc!BT35=0,0,IF($D$2="$ M",Calc!DD35/1000,Calc!DD35))</f>
        <v>0</v>
      </c>
      <c r="BN35" s="2189"/>
      <c r="BO35" s="1070"/>
      <c r="BP35" s="2194">
        <f>IF($D$2="$ K",Calc!AM35,Calc!AM35/1000)</f>
        <v>0</v>
      </c>
      <c r="BQ35" s="2260"/>
      <c r="BR35" s="2260"/>
      <c r="BS35" s="2265"/>
    </row>
    <row r="36" spans="1:71" s="2266" customFormat="1" hidden="1" outlineLevel="2" x14ac:dyDescent="0.3">
      <c r="A36" s="2260"/>
      <c r="B36" s="1463" t="str">
        <f t="shared" si="0"/>
        <v xml:space="preserve">   Add: Loss Avoidance</v>
      </c>
      <c r="C36" s="1099"/>
      <c r="D36" s="2190"/>
      <c r="E36" s="2191">
        <f>IF($D$2="$ K",Calc!G36,Calc!G36/1000)</f>
        <v>0</v>
      </c>
      <c r="F36" s="1891">
        <f>IF(Calc!AQ36=0,0,IF($D$2="$ M",Calc!CA36/1000,Calc!CA36))</f>
        <v>0</v>
      </c>
      <c r="G36" s="2192">
        <f>IF($D$2="$ K",Calc!H36,Calc!H36/1000)</f>
        <v>0</v>
      </c>
      <c r="H36" s="1891">
        <f>IF(Calc!AR36=0,0,IF($D$2="$ M",Calc!CB36/1000,Calc!CB36))</f>
        <v>0</v>
      </c>
      <c r="I36" s="2192">
        <f>IF($D$2="$ K",Calc!I36,Calc!I36/1000)</f>
        <v>0</v>
      </c>
      <c r="J36" s="1891">
        <f>IF(Calc!AS36=0,0,IF($D$2="$ M",Calc!CC36/1000,Calc!CC36))</f>
        <v>0</v>
      </c>
      <c r="K36" s="2192">
        <f>IF($D$2="$ K",Calc!J36,Calc!J36/1000)</f>
        <v>0</v>
      </c>
      <c r="L36" s="1891">
        <f>IF(Calc!AT36=0,0,IF($D$2="$ M",Calc!CD36/1000,Calc!CD36))</f>
        <v>0</v>
      </c>
      <c r="M36" s="2192">
        <f>IF($D$2="$ K",Calc!K36,Calc!K36/1000)</f>
        <v>0</v>
      </c>
      <c r="N36" s="1891">
        <f>IF(Calc!AU36=0,0,IF($D$2="$ M",Calc!CE36/1000,Calc!CE36))</f>
        <v>0</v>
      </c>
      <c r="O36" s="2192">
        <f>IF($D$2="$ K",Calc!L36,Calc!L36/1000)</f>
        <v>0</v>
      </c>
      <c r="P36" s="1891">
        <f>IF(Calc!AV36=0,0,IF($D$2="$ M",Calc!CF36/1000,Calc!CF36))</f>
        <v>0</v>
      </c>
      <c r="Q36" s="2192">
        <f>IF($D$2="$ K",Calc!M36,Calc!M36/1000)</f>
        <v>0</v>
      </c>
      <c r="R36" s="1891">
        <f>IF(Calc!AW36=0,0,IF($D$2="$ M",Calc!CG36/1000,Calc!CG36))</f>
        <v>0</v>
      </c>
      <c r="S36" s="2192">
        <f>IF($D$2="$ K",Calc!N36,Calc!N36/1000)</f>
        <v>0</v>
      </c>
      <c r="T36" s="1891">
        <f>IF(Calc!AX36=0,0,IF($D$2="$ M",Calc!CH36/1000,Calc!CH36))</f>
        <v>0</v>
      </c>
      <c r="U36" s="2192">
        <f>IF($D$2="$ K",Calc!O36,Calc!O36/1000)</f>
        <v>0</v>
      </c>
      <c r="V36" s="1891">
        <f>IF(Calc!AY36=0,0,IF($D$2="$ M",Calc!CI36/1000,Calc!CI36))</f>
        <v>0</v>
      </c>
      <c r="W36" s="2192">
        <f>IF($D$2="$ K",Calc!P36,Calc!P36/1000)</f>
        <v>0</v>
      </c>
      <c r="X36" s="1891">
        <f>IF(Calc!AZ36=0,0,IF($D$2="$ M",Calc!CJ36/1000,Calc!CJ36))</f>
        <v>0</v>
      </c>
      <c r="Y36" s="2192">
        <f>IF($D$2="$ K",Calc!Q36,Calc!Q36/1000)</f>
        <v>0</v>
      </c>
      <c r="Z36" s="1891">
        <f>IF(Calc!BA36=0,0,IF($D$2="$ M",Calc!CK36/1000,Calc!CK36))</f>
        <v>0</v>
      </c>
      <c r="AA36" s="2192">
        <f>IF($D$2="$ K",Calc!R36,Calc!R36/1000)</f>
        <v>0</v>
      </c>
      <c r="AB36" s="1891">
        <f>IF(Calc!BB36=0,0,IF($D$2="$ M",Calc!CL36/1000,Calc!CL36))</f>
        <v>0</v>
      </c>
      <c r="AC36" s="2192">
        <f>IF($D$2="$ K",Calc!S36,Calc!S36/1000)</f>
        <v>0</v>
      </c>
      <c r="AD36" s="1891">
        <f>IF(Calc!BC36=0,0,IF($D$2="$ M",Calc!CM36/1000,Calc!CM36))</f>
        <v>0</v>
      </c>
      <c r="AE36" s="2192">
        <f>IF($D$2="$ K",Calc!T36,Calc!T36/1000)</f>
        <v>0</v>
      </c>
      <c r="AF36" s="1891">
        <f>IF(Calc!BD36=0,0,IF($D$2="$ M",Calc!CN36/1000,Calc!CN36))</f>
        <v>0</v>
      </c>
      <c r="AG36" s="2192">
        <f>IF($D$2="$ K",Calc!U36,Calc!U36/1000)</f>
        <v>0</v>
      </c>
      <c r="AH36" s="1891">
        <f>IF(Calc!BE36=0,0,IF($D$2="$ M",Calc!CO36/1000,Calc!CO36))</f>
        <v>0</v>
      </c>
      <c r="AI36" s="2192">
        <f>IF($D$2="$ K",Calc!V36,Calc!V36/1000)</f>
        <v>0</v>
      </c>
      <c r="AJ36" s="1891">
        <f>IF(Calc!BF36=0,0,IF($D$2="$ M",Calc!CP36/1000,Calc!CP36))</f>
        <v>0</v>
      </c>
      <c r="AK36" s="2192">
        <f>IF($D$2="$ K",Calc!W36,Calc!W36/1000)</f>
        <v>0</v>
      </c>
      <c r="AL36" s="1891">
        <f>IF(Calc!BG36=0,0,IF($D$2="$ M",Calc!CQ36/1000,Calc!CQ36))</f>
        <v>0</v>
      </c>
      <c r="AM36" s="2192">
        <f>IF($D$2="$ K",Calc!X36,Calc!X36/1000)</f>
        <v>0</v>
      </c>
      <c r="AN36" s="1891">
        <f>IF(Calc!BH36=0,0,IF($D$2="$ M",Calc!CR36/1000,Calc!CR36))</f>
        <v>0</v>
      </c>
      <c r="AO36" s="2192">
        <f>IF($D$2="$ K",Calc!Y36,Calc!Y36/1000)</f>
        <v>0</v>
      </c>
      <c r="AP36" s="1891">
        <f>IF(Calc!BJ36=0,0,IF($D$2="$ M",Calc!CS36/1000,Calc!CS36))</f>
        <v>0</v>
      </c>
      <c r="AQ36" s="2192">
        <f>IF($D$2="$ K",Calc!Z36,Calc!Z36/1000)</f>
        <v>0</v>
      </c>
      <c r="AR36" s="1891">
        <f>IF(Calc!BL36=0,0,IF($D$2="$ M",Calc!CT36/1000,Calc!CT36))</f>
        <v>0</v>
      </c>
      <c r="AS36" s="2192">
        <f>IF($D$2="$ K",Calc!AA36,Calc!AA36/1000)</f>
        <v>0</v>
      </c>
      <c r="AT36" s="1891">
        <f>IF(Calc!BN36=0,0,IF($D$2="$ M",Calc!CU36/1000,Calc!CU36))</f>
        <v>0</v>
      </c>
      <c r="AU36" s="2192">
        <f>IF($D$2="$ K",Calc!AB36,Calc!AB36/1000)</f>
        <v>0</v>
      </c>
      <c r="AV36" s="1891">
        <f>IF(Calc!BP36=0,0,IF($D$2="$ M",Calc!CV36/1000,Calc!CV36))</f>
        <v>0</v>
      </c>
      <c r="AW36" s="2192">
        <f>IF($D$2="$ K",Calc!AC36,Calc!AC36/1000)</f>
        <v>0</v>
      </c>
      <c r="AX36" s="1891">
        <f>IF(Calc!BR36=0,0,IF($D$2="$ M",Calc!CW36/1000,Calc!CW36))</f>
        <v>0</v>
      </c>
      <c r="AY36" s="2192">
        <f>IF($D$2="$ K",Calc!AD36,Calc!AD36/1000)</f>
        <v>0</v>
      </c>
      <c r="AZ36" s="1891">
        <f>IF(Calc!BT36=0,0,IF($D$2="$ M",Calc!CX36/1000,Calc!CX36))</f>
        <v>0</v>
      </c>
      <c r="BA36" s="2192">
        <f>IF($D$2="$ K",Calc!AE36,Calc!AE36/1000)</f>
        <v>0</v>
      </c>
      <c r="BB36" s="1891">
        <f>IF(Calc!BV36=0,0,IF($D$2="$ M",Calc!CY36/1000,Calc!CY36))</f>
        <v>0</v>
      </c>
      <c r="BC36" s="2192">
        <f>IF($D$2="$ K",Calc!AF36,Calc!AF36/1000)</f>
        <v>0</v>
      </c>
      <c r="BD36" s="1891">
        <f>IF(Calc!BX36=0,0,IF($D$2="$ M",Calc!CZ36/1000,Calc!CZ36))</f>
        <v>0</v>
      </c>
      <c r="BE36" s="2192">
        <f>IF($D$2="$ K",Calc!AG36,Calc!AG36/1000)</f>
        <v>0</v>
      </c>
      <c r="BF36" s="1891">
        <f>IF(Calc!BZ36=0,0,IF($D$2="$ M",Calc!DA36/1000,Calc!DA36))</f>
        <v>0</v>
      </c>
      <c r="BG36" s="2192">
        <f>IF($D$2="$ K",Calc!AH36,Calc!AH36/1000)</f>
        <v>0</v>
      </c>
      <c r="BH36" s="1891">
        <f>IF(Calc!CB36=0,0,IF($D$2="$ M",Calc!DB36/1000,Calc!DB36))</f>
        <v>0</v>
      </c>
      <c r="BI36" s="2192">
        <f>IF($D$2="$ K",Calc!AI36,Calc!AI36/1000)</f>
        <v>0</v>
      </c>
      <c r="BJ36" s="1891">
        <f>IF(Calc!BS36=0,0,IF($D$2="$ M",Calc!DC36/1000,Calc!DC36))</f>
        <v>0</v>
      </c>
      <c r="BK36" s="2192">
        <f>IF($D$2="$ K",Calc!AJ36,Calc!AJ36/1000)</f>
        <v>0</v>
      </c>
      <c r="BL36" s="2193"/>
      <c r="BM36" s="1897">
        <f>IF(Calc!BT36=0,0,IF($D$2="$ M",Calc!DD36/1000,Calc!DD36))</f>
        <v>0</v>
      </c>
      <c r="BN36" s="2189"/>
      <c r="BO36" s="1070"/>
      <c r="BP36" s="2194">
        <f>IF($D$2="$ K",Calc!AM36,Calc!AM36/1000)</f>
        <v>0</v>
      </c>
      <c r="BQ36" s="2260"/>
      <c r="BR36" s="2260"/>
      <c r="BS36" s="2265"/>
    </row>
    <row r="37" spans="1:71" s="2269" customFormat="1" ht="18" hidden="1" outlineLevel="2" x14ac:dyDescent="0.35">
      <c r="A37" s="2267"/>
      <c r="B37" s="2180" t="str">
        <f t="shared" si="0"/>
        <v>Incremental Revenue</v>
      </c>
      <c r="C37" s="2181"/>
      <c r="D37" s="2182"/>
      <c r="E37" s="2183">
        <f>IF($D$2="$ K",Calc!G37,Calc!G37/1000)</f>
        <v>0</v>
      </c>
      <c r="F37" s="2184">
        <f>IF(Calc!AQ37=0,0,IF($D$2="$ M",Calc!CA37/1000,Calc!CA37))</f>
        <v>0</v>
      </c>
      <c r="G37" s="2185">
        <f>IF($D$2="$ K",Calc!H37,Calc!H37/1000)</f>
        <v>0</v>
      </c>
      <c r="H37" s="2184">
        <f>IF(Calc!AR37=0,0,IF($D$2="$ M",Calc!CB37/1000,Calc!CB37))</f>
        <v>0</v>
      </c>
      <c r="I37" s="2185">
        <f>IF($D$2="$ K",Calc!I37,Calc!I37/1000)</f>
        <v>0</v>
      </c>
      <c r="J37" s="2184">
        <f>IF(Calc!AS37=0,0,IF($D$2="$ M",Calc!CC37/1000,Calc!CC37))</f>
        <v>0</v>
      </c>
      <c r="K37" s="2185">
        <f>IF($D$2="$ K",Calc!J37,Calc!J37/1000)</f>
        <v>0</v>
      </c>
      <c r="L37" s="2184">
        <f>IF(Calc!AT37=0,0,IF($D$2="$ M",Calc!CD37/1000,Calc!CD37))</f>
        <v>0</v>
      </c>
      <c r="M37" s="2185">
        <f>IF($D$2="$ K",Calc!K37,Calc!K37/1000)</f>
        <v>0</v>
      </c>
      <c r="N37" s="2184">
        <f>IF(Calc!AU37=0,0,IF($D$2="$ M",Calc!CE37/1000,Calc!CE37))</f>
        <v>0</v>
      </c>
      <c r="O37" s="2185">
        <f>IF($D$2="$ K",Calc!L37,Calc!L37/1000)</f>
        <v>0</v>
      </c>
      <c r="P37" s="2184">
        <f>IF(Calc!AV37=0,0,IF($D$2="$ M",Calc!CF37/1000,Calc!CF37))</f>
        <v>0</v>
      </c>
      <c r="Q37" s="2185">
        <f>IF($D$2="$ K",Calc!M37,Calc!M37/1000)</f>
        <v>0</v>
      </c>
      <c r="R37" s="2184">
        <f>IF(Calc!AW37=0,0,IF($D$2="$ M",Calc!CG37/1000,Calc!CG37))</f>
        <v>0</v>
      </c>
      <c r="S37" s="2185">
        <f>IF($D$2="$ K",Calc!N37,Calc!N37/1000)</f>
        <v>0</v>
      </c>
      <c r="T37" s="2184">
        <f>IF(Calc!AX37=0,0,IF($D$2="$ M",Calc!CH37/1000,Calc!CH37))</f>
        <v>0</v>
      </c>
      <c r="U37" s="2185">
        <f>IF($D$2="$ K",Calc!O37,Calc!O37/1000)</f>
        <v>0</v>
      </c>
      <c r="V37" s="2184">
        <f>IF(Calc!AY37=0,0,IF($D$2="$ M",Calc!CI37/1000,Calc!CI37))</f>
        <v>0</v>
      </c>
      <c r="W37" s="2185">
        <f>IF($D$2="$ K",Calc!P37,Calc!P37/1000)</f>
        <v>0</v>
      </c>
      <c r="X37" s="2184">
        <f>IF(Calc!AZ37=0,0,IF($D$2="$ M",Calc!CJ37/1000,Calc!CJ37))</f>
        <v>0</v>
      </c>
      <c r="Y37" s="2185">
        <f>IF($D$2="$ K",Calc!Q37,Calc!Q37/1000)</f>
        <v>0</v>
      </c>
      <c r="Z37" s="2184">
        <f>IF(Calc!BA37=0,0,IF($D$2="$ M",Calc!CK37/1000,Calc!CK37))</f>
        <v>0</v>
      </c>
      <c r="AA37" s="2185">
        <f>IF($D$2="$ K",Calc!R37,Calc!R37/1000)</f>
        <v>0</v>
      </c>
      <c r="AB37" s="2184">
        <f>IF(Calc!BB37=0,0,IF($D$2="$ M",Calc!CL37/1000,Calc!CL37))</f>
        <v>0</v>
      </c>
      <c r="AC37" s="2185">
        <f>IF($D$2="$ K",Calc!S37,Calc!S37/1000)</f>
        <v>0</v>
      </c>
      <c r="AD37" s="2184">
        <f>IF(Calc!BC37=0,0,IF($D$2="$ M",Calc!CM37/1000,Calc!CM37))</f>
        <v>0</v>
      </c>
      <c r="AE37" s="2185">
        <f>IF($D$2="$ K",Calc!T37,Calc!T37/1000)</f>
        <v>0</v>
      </c>
      <c r="AF37" s="2184">
        <f>IF(Calc!BD37=0,0,IF($D$2="$ M",Calc!CN37/1000,Calc!CN37))</f>
        <v>0</v>
      </c>
      <c r="AG37" s="2185">
        <f>IF($D$2="$ K",Calc!U37,Calc!U37/1000)</f>
        <v>0</v>
      </c>
      <c r="AH37" s="2184">
        <f>IF(Calc!BE37=0,0,IF($D$2="$ M",Calc!CO37/1000,Calc!CO37))</f>
        <v>0</v>
      </c>
      <c r="AI37" s="2185">
        <f>IF($D$2="$ K",Calc!V37,Calc!V37/1000)</f>
        <v>0</v>
      </c>
      <c r="AJ37" s="2184">
        <f>IF(Calc!BF37=0,0,IF($D$2="$ M",Calc!CP37/1000,Calc!CP37))</f>
        <v>0</v>
      </c>
      <c r="AK37" s="2185">
        <f>IF($D$2="$ K",Calc!W37,Calc!W37/1000)</f>
        <v>0</v>
      </c>
      <c r="AL37" s="2184">
        <f>IF(Calc!BG37=0,0,IF($D$2="$ M",Calc!CQ37/1000,Calc!CQ37))</f>
        <v>0</v>
      </c>
      <c r="AM37" s="2185">
        <f>IF($D$2="$ K",Calc!X37,Calc!X37/1000)</f>
        <v>0</v>
      </c>
      <c r="AN37" s="2184">
        <f>IF(Calc!BH37=0,0,IF($D$2="$ M",Calc!CR37/1000,Calc!CR37))</f>
        <v>0</v>
      </c>
      <c r="AO37" s="2185">
        <f>IF($D$2="$ K",Calc!Y37,Calc!Y37/1000)</f>
        <v>0</v>
      </c>
      <c r="AP37" s="2184">
        <f>IF(Calc!BJ37=0,0,IF($D$2="$ M",Calc!CS37/1000,Calc!CS37))</f>
        <v>0</v>
      </c>
      <c r="AQ37" s="2185">
        <f>IF($D$2="$ K",Calc!Z37,Calc!Z37/1000)</f>
        <v>0</v>
      </c>
      <c r="AR37" s="2184">
        <f>IF(Calc!BL37=0,0,IF($D$2="$ M",Calc!CT37/1000,Calc!CT37))</f>
        <v>0</v>
      </c>
      <c r="AS37" s="2185">
        <f>IF($D$2="$ K",Calc!AA37,Calc!AA37/1000)</f>
        <v>0</v>
      </c>
      <c r="AT37" s="2184">
        <f>IF(Calc!BN37=0,0,IF($D$2="$ M",Calc!CU37/1000,Calc!CU37))</f>
        <v>0</v>
      </c>
      <c r="AU37" s="2185">
        <f>IF($D$2="$ K",Calc!AB37,Calc!AB37/1000)</f>
        <v>0</v>
      </c>
      <c r="AV37" s="2184">
        <f>IF(Calc!BP37=0,0,IF($D$2="$ M",Calc!CV37/1000,Calc!CV37))</f>
        <v>0</v>
      </c>
      <c r="AW37" s="2185">
        <f>IF($D$2="$ K",Calc!AC37,Calc!AC37/1000)</f>
        <v>0</v>
      </c>
      <c r="AX37" s="2184">
        <f>IF(Calc!BR37=0,0,IF($D$2="$ M",Calc!CW37/1000,Calc!CW37))</f>
        <v>0</v>
      </c>
      <c r="AY37" s="2185">
        <f>IF($D$2="$ K",Calc!AD37,Calc!AD37/1000)</f>
        <v>0</v>
      </c>
      <c r="AZ37" s="2184">
        <f>IF(Calc!BT37=0,0,IF($D$2="$ M",Calc!CX37/1000,Calc!CX37))</f>
        <v>0</v>
      </c>
      <c r="BA37" s="2185">
        <f>IF($D$2="$ K",Calc!AE37,Calc!AE37/1000)</f>
        <v>0</v>
      </c>
      <c r="BB37" s="2184">
        <f>IF(Calc!BV37=0,0,IF($D$2="$ M",Calc!CY37/1000,Calc!CY37))</f>
        <v>0</v>
      </c>
      <c r="BC37" s="2185">
        <f>IF($D$2="$ K",Calc!AF37,Calc!AF37/1000)</f>
        <v>0</v>
      </c>
      <c r="BD37" s="2184">
        <f>IF(Calc!BX37=0,0,IF($D$2="$ M",Calc!CZ37/1000,Calc!CZ37))</f>
        <v>0</v>
      </c>
      <c r="BE37" s="2185">
        <f>IF($D$2="$ K",Calc!AG37,Calc!AG37/1000)</f>
        <v>0</v>
      </c>
      <c r="BF37" s="2184">
        <f>IF(Calc!BZ37=0,0,IF($D$2="$ M",Calc!DA37/1000,Calc!DA37))</f>
        <v>0</v>
      </c>
      <c r="BG37" s="2185">
        <f>IF($D$2="$ K",Calc!AH37,Calc!AH37/1000)</f>
        <v>0</v>
      </c>
      <c r="BH37" s="2184">
        <f>IF(Calc!CB37=0,0,IF($D$2="$ M",Calc!DB37/1000,Calc!DB37))</f>
        <v>0</v>
      </c>
      <c r="BI37" s="2185">
        <f>IF($D$2="$ K",Calc!AI37,Calc!AI37/1000)</f>
        <v>0</v>
      </c>
      <c r="BJ37" s="2184">
        <f>IF(Calc!BS37=0,0,IF($D$2="$ M",Calc!DC37/1000,Calc!DC37))</f>
        <v>0</v>
      </c>
      <c r="BK37" s="2185">
        <f>IF($D$2="$ K",Calc!AJ37,Calc!AJ37/1000)</f>
        <v>0</v>
      </c>
      <c r="BL37" s="2186"/>
      <c r="BM37" s="2187">
        <f>IF(Calc!BT37=0,0,IF($D$2="$ M",Calc!DD37/1000,Calc!DD37))</f>
        <v>0</v>
      </c>
      <c r="BN37" s="1260"/>
      <c r="BO37" s="1260"/>
      <c r="BP37" s="2188">
        <f>IF($D$2="$ K",Calc!AM37,Calc!AM37/1000)</f>
        <v>0</v>
      </c>
      <c r="BQ37" s="2267"/>
      <c r="BR37" s="2267"/>
      <c r="BS37" s="2268"/>
    </row>
    <row r="38" spans="1:71" s="2266" customFormat="1" hidden="1" outlineLevel="2" x14ac:dyDescent="0.3">
      <c r="A38" s="2260"/>
      <c r="B38" s="2197" t="str">
        <f t="shared" si="0"/>
        <v>Volume Category Share (%)  - (excl. pull-through)</v>
      </c>
      <c r="C38" s="1115"/>
      <c r="D38" s="2199"/>
      <c r="E38" s="2200" t="str">
        <f>IF(Calc!G38=0,"",Calc!G38)</f>
        <v/>
      </c>
      <c r="F38" s="2201" t="str">
        <f>IF(Calc!AQ38=0,"",Calc!CA38)</f>
        <v/>
      </c>
      <c r="G38" s="2202" t="str">
        <f>IF(Calc!H38=0,"",Calc!H38)</f>
        <v/>
      </c>
      <c r="H38" s="2201" t="str">
        <f>IF(Calc!AR38=0,"",Calc!CB38)</f>
        <v/>
      </c>
      <c r="I38" s="2202" t="str">
        <f>IF(Calc!I38=0,"",Calc!I38)</f>
        <v/>
      </c>
      <c r="J38" s="2201" t="str">
        <f>IF(Calc!AS38=0,"",Calc!CC38)</f>
        <v/>
      </c>
      <c r="K38" s="2202" t="str">
        <f>IF(Calc!J38=0,"",Calc!J38)</f>
        <v/>
      </c>
      <c r="L38" s="2201" t="str">
        <f>IF(Calc!AT38=0,"",Calc!CD38)</f>
        <v/>
      </c>
      <c r="M38" s="2202" t="str">
        <f>IF(Calc!K38=0,"",Calc!K38)</f>
        <v/>
      </c>
      <c r="N38" s="2201" t="str">
        <f>IF(Calc!AU38=0,"",Calc!CE38)</f>
        <v/>
      </c>
      <c r="O38" s="2202" t="str">
        <f>IF(Calc!L38=0,"",Calc!L38)</f>
        <v/>
      </c>
      <c r="P38" s="2201" t="str">
        <f>IF(Calc!AV38=0,"",Calc!CF38)</f>
        <v/>
      </c>
      <c r="Q38" s="2202" t="str">
        <f>IF(Calc!M38=0,"",Calc!M38)</f>
        <v/>
      </c>
      <c r="R38" s="2201" t="str">
        <f>IF(Calc!AW38=0,"",Calc!CG38)</f>
        <v/>
      </c>
      <c r="S38" s="2202" t="str">
        <f>IF(Calc!N38=0,"",Calc!N38)</f>
        <v/>
      </c>
      <c r="T38" s="2201" t="str">
        <f>IF(Calc!AX38=0,"",Calc!CH38)</f>
        <v/>
      </c>
      <c r="U38" s="2202" t="str">
        <f>IF(Calc!O38=0,"",Calc!O38)</f>
        <v/>
      </c>
      <c r="V38" s="2201" t="str">
        <f>IF(Calc!AY38=0,"",Calc!CI38)</f>
        <v/>
      </c>
      <c r="W38" s="2202" t="str">
        <f>IF(Calc!P38=0,"",Calc!P38)</f>
        <v/>
      </c>
      <c r="X38" s="2201" t="str">
        <f>IF(Calc!AZ38=0,"",Calc!CJ38)</f>
        <v/>
      </c>
      <c r="Y38" s="2202" t="str">
        <f>IF(Calc!Q38=0,"",Calc!Q38)</f>
        <v/>
      </c>
      <c r="Z38" s="2201" t="str">
        <f>IF(Calc!BA38=0,"",Calc!CK38)</f>
        <v/>
      </c>
      <c r="AA38" s="2202" t="str">
        <f>IF(Calc!R38=0,"",Calc!R38)</f>
        <v/>
      </c>
      <c r="AB38" s="2201" t="str">
        <f>IF(Calc!BB38=0,"",Calc!CL38)</f>
        <v/>
      </c>
      <c r="AC38" s="2202" t="str">
        <f>IF(Calc!S38=0,"",Calc!S38)</f>
        <v/>
      </c>
      <c r="AD38" s="2201" t="str">
        <f>IF(Calc!BC38=0,"",Calc!CM38)</f>
        <v/>
      </c>
      <c r="AE38" s="2202" t="str">
        <f>IF(Calc!T38=0,"",Calc!T38)</f>
        <v/>
      </c>
      <c r="AF38" s="2201" t="str">
        <f>IF(Calc!BD38=0,"",Calc!CN38)</f>
        <v/>
      </c>
      <c r="AG38" s="2202" t="str">
        <f>IF(Calc!U38=0,"",Calc!U38)</f>
        <v/>
      </c>
      <c r="AH38" s="2201" t="str">
        <f>IF(Calc!BE38=0,"",Calc!CO38)</f>
        <v/>
      </c>
      <c r="AI38" s="2202" t="str">
        <f>IF(Calc!V38=0,"",Calc!V38)</f>
        <v/>
      </c>
      <c r="AJ38" s="2201" t="str">
        <f>IF(Calc!BF38=0,"",Calc!CP38)</f>
        <v/>
      </c>
      <c r="AK38" s="2202" t="str">
        <f>IF(Calc!W38=0,"",Calc!W38)</f>
        <v/>
      </c>
      <c r="AL38" s="2201" t="str">
        <f>IF(Calc!BG38=0,"",Calc!CQ38)</f>
        <v/>
      </c>
      <c r="AM38" s="2202" t="str">
        <f>IF(Calc!X38=0,"",Calc!X38)</f>
        <v/>
      </c>
      <c r="AN38" s="2201" t="str">
        <f>IF(Calc!BH38=0,"",Calc!CR38)</f>
        <v/>
      </c>
      <c r="AO38" s="2202" t="str">
        <f>IF(Calc!Y38=0,"",Calc!Y38)</f>
        <v/>
      </c>
      <c r="AP38" s="2201" t="str">
        <f>IF(Calc!BJ38=0,"",Calc!CS38)</f>
        <v/>
      </c>
      <c r="AQ38" s="2202" t="str">
        <f>IF(Calc!Z38=0,"",Calc!Z38)</f>
        <v/>
      </c>
      <c r="AR38" s="2201" t="str">
        <f>IF(Calc!BL38=0,"",Calc!CT38)</f>
        <v/>
      </c>
      <c r="AS38" s="2202" t="str">
        <f>IF(Calc!AA38=0,"",Calc!AA38)</f>
        <v/>
      </c>
      <c r="AT38" s="2201" t="str">
        <f>IF(Calc!BN38=0,"",Calc!CU38)</f>
        <v/>
      </c>
      <c r="AU38" s="2202" t="str">
        <f>IF(Calc!AB38=0,"",Calc!AB38)</f>
        <v/>
      </c>
      <c r="AV38" s="2201" t="str">
        <f>IF(Calc!BP38=0,"",Calc!CV38)</f>
        <v/>
      </c>
      <c r="AW38" s="2202" t="str">
        <f>IF(Calc!AC38=0,"",Calc!AC38)</f>
        <v/>
      </c>
      <c r="AX38" s="2201" t="str">
        <f>IF(Calc!BR38=0,"",Calc!CW38)</f>
        <v/>
      </c>
      <c r="AY38" s="2202" t="str">
        <f>IF(Calc!AD38=0,"",Calc!AD38)</f>
        <v/>
      </c>
      <c r="AZ38" s="2201" t="str">
        <f>IF(Calc!BT38=0,"",Calc!CX38)</f>
        <v/>
      </c>
      <c r="BA38" s="2202" t="str">
        <f>IF(Calc!AE38=0,"",Calc!AE38)</f>
        <v/>
      </c>
      <c r="BB38" s="2201" t="str">
        <f>IF(Calc!BV38=0,"",Calc!CY38)</f>
        <v/>
      </c>
      <c r="BC38" s="2202" t="str">
        <f>IF(Calc!AF38=0,"",Calc!AF38)</f>
        <v/>
      </c>
      <c r="BD38" s="2201" t="str">
        <f>IF(Calc!BX38=0,"",Calc!CZ38)</f>
        <v/>
      </c>
      <c r="BE38" s="2202" t="str">
        <f>IF(Calc!AG38=0,"",Calc!AG38)</f>
        <v/>
      </c>
      <c r="BF38" s="2201" t="str">
        <f>IF(Calc!BZ38=0,"",Calc!DA38)</f>
        <v/>
      </c>
      <c r="BG38" s="2202" t="str">
        <f>IF(Calc!AH38=0,"",Calc!AH38)</f>
        <v/>
      </c>
      <c r="BH38" s="2201" t="str">
        <f>IF(Calc!CB38=0,"",Calc!DB38)</f>
        <v/>
      </c>
      <c r="BI38" s="2202" t="str">
        <f>IF(Calc!AI38=0,"",Calc!AI38)</f>
        <v/>
      </c>
      <c r="BJ38" s="2201" t="str">
        <f>IF(Calc!BS38=0,"",Calc!DC38)</f>
        <v/>
      </c>
      <c r="BK38" s="2203"/>
      <c r="BL38" s="2163"/>
      <c r="BM38" s="2204"/>
      <c r="BN38" s="2198"/>
      <c r="BO38" s="1070"/>
      <c r="BP38" s="2205"/>
      <c r="BQ38" s="2260"/>
      <c r="BR38" s="2260"/>
      <c r="BS38" s="2265"/>
    </row>
    <row r="39" spans="1:71" s="2266" customFormat="1" hidden="1" outlineLevel="2" x14ac:dyDescent="0.3">
      <c r="A39" s="2260"/>
      <c r="B39" s="1463" t="str">
        <f t="shared" si="0"/>
        <v>$ Category Share (%)  - (excl. pull-through)</v>
      </c>
      <c r="C39" s="2207"/>
      <c r="D39" s="2208"/>
      <c r="E39" s="2209" t="str">
        <f>IF(Calc!G39=0,"",Calc!G39)</f>
        <v/>
      </c>
      <c r="F39" s="2210" t="str">
        <f>IF(Calc!AQ39=0,"",Calc!CA39)</f>
        <v/>
      </c>
      <c r="G39" s="2211" t="str">
        <f>IF(Calc!H39=0,"",Calc!H39)</f>
        <v/>
      </c>
      <c r="H39" s="2210" t="str">
        <f>IF(Calc!AR39=0,"",Calc!CB39)</f>
        <v/>
      </c>
      <c r="I39" s="2211" t="str">
        <f>IF(Calc!I39=0,"",Calc!I39)</f>
        <v/>
      </c>
      <c r="J39" s="2210" t="str">
        <f>IF(Calc!AS39=0,"",Calc!CC39)</f>
        <v/>
      </c>
      <c r="K39" s="2211" t="str">
        <f>IF(Calc!J39=0,"",Calc!J39)</f>
        <v/>
      </c>
      <c r="L39" s="2210" t="str">
        <f>IF(Calc!AT39=0,"",Calc!CD39)</f>
        <v/>
      </c>
      <c r="M39" s="2211" t="str">
        <f>IF(Calc!K39=0,"",Calc!K39)</f>
        <v/>
      </c>
      <c r="N39" s="2210" t="str">
        <f>IF(Calc!AU39=0,"",Calc!CE39)</f>
        <v/>
      </c>
      <c r="O39" s="2211" t="str">
        <f>IF(Calc!L39=0,"",Calc!L39)</f>
        <v/>
      </c>
      <c r="P39" s="2210" t="str">
        <f>IF(Calc!AV39=0,"",Calc!CF39)</f>
        <v/>
      </c>
      <c r="Q39" s="2211" t="str">
        <f>IF(Calc!M39=0,"",Calc!M39)</f>
        <v/>
      </c>
      <c r="R39" s="2210" t="str">
        <f>IF(Calc!AW39=0,"",Calc!CG39)</f>
        <v/>
      </c>
      <c r="S39" s="2211" t="str">
        <f>IF(Calc!N39=0,"",Calc!N39)</f>
        <v/>
      </c>
      <c r="T39" s="2210" t="str">
        <f>IF(Calc!AX39=0,"",Calc!CH39)</f>
        <v/>
      </c>
      <c r="U39" s="2211" t="str">
        <f>IF(Calc!O39=0,"",Calc!O39)</f>
        <v/>
      </c>
      <c r="V39" s="2210" t="str">
        <f>IF(Calc!AY39=0,"",Calc!CI39)</f>
        <v/>
      </c>
      <c r="W39" s="2211" t="str">
        <f>IF(Calc!P39=0,"",Calc!P39)</f>
        <v/>
      </c>
      <c r="X39" s="2210" t="str">
        <f>IF(Calc!AZ39=0,"",Calc!CJ39)</f>
        <v/>
      </c>
      <c r="Y39" s="2211" t="str">
        <f>IF(Calc!Q39=0,"",Calc!Q39)</f>
        <v/>
      </c>
      <c r="Z39" s="2210" t="str">
        <f>IF(Calc!BA39=0,"",Calc!CK39)</f>
        <v/>
      </c>
      <c r="AA39" s="2211" t="str">
        <f>IF(Calc!R39=0,"",Calc!R39)</f>
        <v/>
      </c>
      <c r="AB39" s="2210" t="str">
        <f>IF(Calc!BB39=0,"",Calc!CL39)</f>
        <v/>
      </c>
      <c r="AC39" s="2211" t="str">
        <f>IF(Calc!S39=0,"",Calc!S39)</f>
        <v/>
      </c>
      <c r="AD39" s="2210" t="str">
        <f>IF(Calc!BC39=0,"",Calc!CM39)</f>
        <v/>
      </c>
      <c r="AE39" s="2211" t="str">
        <f>IF(Calc!T39=0,"",Calc!T39)</f>
        <v/>
      </c>
      <c r="AF39" s="2210" t="str">
        <f>IF(Calc!BD39=0,"",Calc!CN39)</f>
        <v/>
      </c>
      <c r="AG39" s="2211" t="str">
        <f>IF(Calc!U39=0,"",Calc!U39)</f>
        <v/>
      </c>
      <c r="AH39" s="2210" t="str">
        <f>IF(Calc!BE39=0,"",Calc!CO39)</f>
        <v/>
      </c>
      <c r="AI39" s="2211" t="str">
        <f>IF(Calc!V39=0,"",Calc!V39)</f>
        <v/>
      </c>
      <c r="AJ39" s="2210" t="str">
        <f>IF(Calc!BF39=0,"",Calc!CP39)</f>
        <v/>
      </c>
      <c r="AK39" s="2211" t="str">
        <f>IF(Calc!W39=0,"",Calc!W39)</f>
        <v/>
      </c>
      <c r="AL39" s="2210" t="str">
        <f>IF(Calc!BG39=0,"",Calc!CQ39)</f>
        <v/>
      </c>
      <c r="AM39" s="2211" t="str">
        <f>IF(Calc!X39=0,"",Calc!X39)</f>
        <v/>
      </c>
      <c r="AN39" s="2210" t="str">
        <f>IF(Calc!BH39=0,"",Calc!CR39)</f>
        <v/>
      </c>
      <c r="AO39" s="2211" t="str">
        <f>IF(Calc!Y39=0,"",Calc!Y39)</f>
        <v/>
      </c>
      <c r="AP39" s="2210" t="str">
        <f>IF(Calc!BJ39=0,"",Calc!CS39)</f>
        <v/>
      </c>
      <c r="AQ39" s="2211" t="str">
        <f>IF(Calc!Z39=0,"",Calc!Z39)</f>
        <v/>
      </c>
      <c r="AR39" s="2210" t="str">
        <f>IF(Calc!BL39=0,"",Calc!CT39)</f>
        <v/>
      </c>
      <c r="AS39" s="2211" t="str">
        <f>IF(Calc!AA39=0,"",Calc!AA39)</f>
        <v/>
      </c>
      <c r="AT39" s="2210" t="str">
        <f>IF(Calc!BN39=0,"",Calc!CU39)</f>
        <v/>
      </c>
      <c r="AU39" s="2211" t="str">
        <f>IF(Calc!AB39=0,"",Calc!AB39)</f>
        <v/>
      </c>
      <c r="AV39" s="2210" t="str">
        <f>IF(Calc!BP39=0,"",Calc!CV39)</f>
        <v/>
      </c>
      <c r="AW39" s="2211" t="str">
        <f>IF(Calc!AC39=0,"",Calc!AC39)</f>
        <v/>
      </c>
      <c r="AX39" s="2210" t="str">
        <f>IF(Calc!BR39=0,"",Calc!CW39)</f>
        <v/>
      </c>
      <c r="AY39" s="2211" t="str">
        <f>IF(Calc!AD39=0,"",Calc!AD39)</f>
        <v/>
      </c>
      <c r="AZ39" s="2210" t="str">
        <f>IF(Calc!BT39=0,"",Calc!CX39)</f>
        <v/>
      </c>
      <c r="BA39" s="2211" t="str">
        <f>IF(Calc!AE39=0,"",Calc!AE39)</f>
        <v/>
      </c>
      <c r="BB39" s="2210" t="str">
        <f>IF(Calc!BV39=0,"",Calc!CY39)</f>
        <v/>
      </c>
      <c r="BC39" s="2211" t="str">
        <f>IF(Calc!AF39=0,"",Calc!AF39)</f>
        <v/>
      </c>
      <c r="BD39" s="2210" t="str">
        <f>IF(Calc!BX39=0,"",Calc!CZ39)</f>
        <v/>
      </c>
      <c r="BE39" s="2211" t="str">
        <f>IF(Calc!AG39=0,"",Calc!AG39)</f>
        <v/>
      </c>
      <c r="BF39" s="2210" t="str">
        <f>IF(Calc!BZ39=0,"",Calc!DA39)</f>
        <v/>
      </c>
      <c r="BG39" s="2211" t="str">
        <f>IF(Calc!AH39=0,"",Calc!AH39)</f>
        <v/>
      </c>
      <c r="BH39" s="2210" t="str">
        <f>IF(Calc!CB39=0,"",Calc!DB39)</f>
        <v/>
      </c>
      <c r="BI39" s="2211" t="str">
        <f>IF(Calc!AI39=0,"",Calc!AI39)</f>
        <v/>
      </c>
      <c r="BJ39" s="2210" t="str">
        <f>IF(Calc!BS39=0,"",Calc!DC39)</f>
        <v/>
      </c>
      <c r="BK39" s="2212"/>
      <c r="BL39" s="2172"/>
      <c r="BM39" s="2213"/>
      <c r="BN39" s="2198"/>
      <c r="BO39" s="1070"/>
      <c r="BP39" s="2214"/>
      <c r="BQ39" s="2260"/>
      <c r="BR39" s="2260"/>
      <c r="BS39" s="2265"/>
    </row>
    <row r="40" spans="1:71" s="2269" customFormat="1" ht="18" hidden="1" outlineLevel="2" x14ac:dyDescent="0.35">
      <c r="A40" s="2267"/>
      <c r="B40" s="2180" t="str">
        <f t="shared" si="0"/>
        <v>True Incr Rev (exc Loss Avoid)</v>
      </c>
      <c r="C40" s="2181"/>
      <c r="D40" s="2182"/>
      <c r="E40" s="2183">
        <f>IF($D$2="$ K",Calc!G40,Calc!G40/1000)</f>
        <v>0</v>
      </c>
      <c r="F40" s="2184">
        <f>IF(Calc!AQ40=0,0,IF($D$2="$ M",Calc!CA40/1000,Calc!CA40))</f>
        <v>0</v>
      </c>
      <c r="G40" s="2185">
        <f>IF($D$2="$ K",Calc!H40,Calc!H40/1000)</f>
        <v>0</v>
      </c>
      <c r="H40" s="2184">
        <f>IF(Calc!AR40=0,0,IF($D$2="$ M",Calc!CB40/1000,Calc!CB40))</f>
        <v>0</v>
      </c>
      <c r="I40" s="2185">
        <f>IF($D$2="$ K",Calc!I40,Calc!I40/1000)</f>
        <v>0</v>
      </c>
      <c r="J40" s="2184">
        <f>IF(Calc!AS40=0,0,IF($D$2="$ M",Calc!CC40/1000,Calc!CC40))</f>
        <v>0</v>
      </c>
      <c r="K40" s="2185">
        <f>IF($D$2="$ K",Calc!J40,Calc!J40/1000)</f>
        <v>0</v>
      </c>
      <c r="L40" s="2184">
        <f>IF(Calc!AT40=0,0,IF($D$2="$ M",Calc!CD40/1000,Calc!CD40))</f>
        <v>0</v>
      </c>
      <c r="M40" s="2185">
        <f>IF($D$2="$ K",Calc!K40,Calc!K40/1000)</f>
        <v>0</v>
      </c>
      <c r="N40" s="2184">
        <f>IF(Calc!AU40=0,0,IF($D$2="$ M",Calc!CE40/1000,Calc!CE40))</f>
        <v>0</v>
      </c>
      <c r="O40" s="2185">
        <f>IF($D$2="$ K",Calc!L40,Calc!L40/1000)</f>
        <v>0</v>
      </c>
      <c r="P40" s="2184">
        <f>IF(Calc!AV40=0,0,IF($D$2="$ M",Calc!CF40/1000,Calc!CF40))</f>
        <v>0</v>
      </c>
      <c r="Q40" s="2185">
        <f>IF($D$2="$ K",Calc!M40,Calc!M40/1000)</f>
        <v>0</v>
      </c>
      <c r="R40" s="2184">
        <f>IF(Calc!AW40=0,0,IF($D$2="$ M",Calc!CG40/1000,Calc!CG40))</f>
        <v>0</v>
      </c>
      <c r="S40" s="2185">
        <f>IF($D$2="$ K",Calc!N40,Calc!N40/1000)</f>
        <v>0</v>
      </c>
      <c r="T40" s="2184">
        <f>IF(Calc!AX40=0,0,IF($D$2="$ M",Calc!CH40/1000,Calc!CH40))</f>
        <v>0</v>
      </c>
      <c r="U40" s="2185">
        <f>IF($D$2="$ K",Calc!O40,Calc!O40/1000)</f>
        <v>0</v>
      </c>
      <c r="V40" s="2184">
        <f>IF(Calc!AY40=0,0,IF($D$2="$ M",Calc!CI40/1000,Calc!CI40))</f>
        <v>0</v>
      </c>
      <c r="W40" s="2185">
        <f>IF($D$2="$ K",Calc!P40,Calc!P40/1000)</f>
        <v>0</v>
      </c>
      <c r="X40" s="2184">
        <f>IF(Calc!AZ40=0,0,IF($D$2="$ M",Calc!CJ40/1000,Calc!CJ40))</f>
        <v>0</v>
      </c>
      <c r="Y40" s="2185">
        <f>IF($D$2="$ K",Calc!Q40,Calc!Q40/1000)</f>
        <v>0</v>
      </c>
      <c r="Z40" s="2184">
        <f>IF(Calc!BA40=0,0,IF($D$2="$ M",Calc!CK40/1000,Calc!CK40))</f>
        <v>0</v>
      </c>
      <c r="AA40" s="2185">
        <f>IF($D$2="$ K",Calc!R40,Calc!R40/1000)</f>
        <v>0</v>
      </c>
      <c r="AB40" s="2184">
        <f>IF(Calc!BB40=0,0,IF($D$2="$ M",Calc!CL40/1000,Calc!CL40))</f>
        <v>0</v>
      </c>
      <c r="AC40" s="2185">
        <f>IF($D$2="$ K",Calc!S40,Calc!S40/1000)</f>
        <v>0</v>
      </c>
      <c r="AD40" s="2184">
        <f>IF(Calc!BC40=0,0,IF($D$2="$ M",Calc!CM40/1000,Calc!CM40))</f>
        <v>0</v>
      </c>
      <c r="AE40" s="2185">
        <f>IF($D$2="$ K",Calc!T40,Calc!T40/1000)</f>
        <v>0</v>
      </c>
      <c r="AF40" s="2184">
        <f>IF(Calc!BD40=0,0,IF($D$2="$ M",Calc!CN40/1000,Calc!CN40))</f>
        <v>0</v>
      </c>
      <c r="AG40" s="2185">
        <f>IF($D$2="$ K",Calc!U40,Calc!U40/1000)</f>
        <v>0</v>
      </c>
      <c r="AH40" s="2184">
        <f>IF(Calc!BE40=0,0,IF($D$2="$ M",Calc!CO40/1000,Calc!CO40))</f>
        <v>0</v>
      </c>
      <c r="AI40" s="2185">
        <f>IF($D$2="$ K",Calc!V40,Calc!V40/1000)</f>
        <v>0</v>
      </c>
      <c r="AJ40" s="2184">
        <f>IF(Calc!BF40=0,0,IF($D$2="$ M",Calc!CP40/1000,Calc!CP40))</f>
        <v>0</v>
      </c>
      <c r="AK40" s="2185">
        <f>IF($D$2="$ K",Calc!W40,Calc!W40/1000)</f>
        <v>0</v>
      </c>
      <c r="AL40" s="2184">
        <f>IF(Calc!BG40=0,0,IF($D$2="$ M",Calc!CQ40/1000,Calc!CQ40))</f>
        <v>0</v>
      </c>
      <c r="AM40" s="2185">
        <f>IF($D$2="$ K",Calc!X40,Calc!X40/1000)</f>
        <v>0</v>
      </c>
      <c r="AN40" s="2184">
        <f>IF(Calc!BH40=0,0,IF($D$2="$ M",Calc!CR40/1000,Calc!CR40))</f>
        <v>0</v>
      </c>
      <c r="AO40" s="2185">
        <f>IF($D$2="$ K",Calc!Y40,Calc!Y40/1000)</f>
        <v>0</v>
      </c>
      <c r="AP40" s="2184">
        <f>IF(Calc!BJ40=0,0,IF($D$2="$ M",Calc!CS40/1000,Calc!CS40))</f>
        <v>0</v>
      </c>
      <c r="AQ40" s="2185">
        <f>IF($D$2="$ K",Calc!Z40,Calc!Z40/1000)</f>
        <v>0</v>
      </c>
      <c r="AR40" s="2184">
        <f>IF(Calc!BL40=0,0,IF($D$2="$ M",Calc!CT40/1000,Calc!CT40))</f>
        <v>0</v>
      </c>
      <c r="AS40" s="2185">
        <f>IF($D$2="$ K",Calc!AA40,Calc!AA40/1000)</f>
        <v>0</v>
      </c>
      <c r="AT40" s="2184">
        <f>IF(Calc!BN40=0,0,IF($D$2="$ M",Calc!CU40/1000,Calc!CU40))</f>
        <v>0</v>
      </c>
      <c r="AU40" s="2185">
        <f>IF($D$2="$ K",Calc!AB40,Calc!AB40/1000)</f>
        <v>0</v>
      </c>
      <c r="AV40" s="2184">
        <f>IF(Calc!BP40=0,0,IF($D$2="$ M",Calc!CV40/1000,Calc!CV40))</f>
        <v>0</v>
      </c>
      <c r="AW40" s="2185">
        <f>IF($D$2="$ K",Calc!AC40,Calc!AC40/1000)</f>
        <v>0</v>
      </c>
      <c r="AX40" s="2184">
        <f>IF(Calc!BR40=0,0,IF($D$2="$ M",Calc!CW40/1000,Calc!CW40))</f>
        <v>0</v>
      </c>
      <c r="AY40" s="2185">
        <f>IF($D$2="$ K",Calc!AD40,Calc!AD40/1000)</f>
        <v>0</v>
      </c>
      <c r="AZ40" s="2184">
        <f>IF(Calc!BT40=0,0,IF($D$2="$ M",Calc!CX40/1000,Calc!CX40))</f>
        <v>0</v>
      </c>
      <c r="BA40" s="2185">
        <f>IF($D$2="$ K",Calc!AE40,Calc!AE40/1000)</f>
        <v>0</v>
      </c>
      <c r="BB40" s="2184">
        <f>IF(Calc!BV40=0,0,IF($D$2="$ M",Calc!CY40/1000,Calc!CY40))</f>
        <v>0</v>
      </c>
      <c r="BC40" s="2185">
        <f>IF($D$2="$ K",Calc!AF40,Calc!AF40/1000)</f>
        <v>0</v>
      </c>
      <c r="BD40" s="2184">
        <f>IF(Calc!BX40=0,0,IF($D$2="$ M",Calc!CZ40/1000,Calc!CZ40))</f>
        <v>0</v>
      </c>
      <c r="BE40" s="2185">
        <f>IF($D$2="$ K",Calc!AG40,Calc!AG40/1000)</f>
        <v>0</v>
      </c>
      <c r="BF40" s="2184">
        <f>IF(Calc!BZ40=0,0,IF($D$2="$ M",Calc!DA40/1000,Calc!DA40))</f>
        <v>0</v>
      </c>
      <c r="BG40" s="2185">
        <f>IF($D$2="$ K",Calc!AH40,Calc!AH40/1000)</f>
        <v>0</v>
      </c>
      <c r="BH40" s="2184">
        <f>IF(Calc!CB40=0,0,IF($D$2="$ M",Calc!DB40/1000,Calc!DB40))</f>
        <v>0</v>
      </c>
      <c r="BI40" s="2185">
        <f>IF($D$2="$ K",Calc!AI40,Calc!AI40/1000)</f>
        <v>0</v>
      </c>
      <c r="BJ40" s="2184">
        <f>IF(Calc!BS40=0,0,IF($D$2="$ M",Calc!DC40/1000,Calc!DC40))</f>
        <v>0</v>
      </c>
      <c r="BK40" s="2185">
        <f>IF($D$2="$ K",Calc!AJ40,Calc!AJ40/1000)</f>
        <v>0</v>
      </c>
      <c r="BL40" s="2186"/>
      <c r="BM40" s="2187">
        <f>IF(Calc!BT40=0,0,IF($D$2="$ M",Calc!DD40/1000,Calc!DD40))</f>
        <v>0</v>
      </c>
      <c r="BN40" s="1260"/>
      <c r="BO40" s="1260"/>
      <c r="BP40" s="2188">
        <f>IF($D$2="$ K",Calc!AM40,Calc!AM40/1000)</f>
        <v>0</v>
      </c>
      <c r="BQ40" s="2267"/>
      <c r="BR40" s="2267"/>
      <c r="BS40" s="2268"/>
    </row>
    <row r="41" spans="1:71" s="2269" customFormat="1" ht="15.6" hidden="1" outlineLevel="2" x14ac:dyDescent="0.3">
      <c r="A41" s="2267"/>
      <c r="B41" s="2215" t="str">
        <f t="shared" si="0"/>
        <v>ASR Rev (Hyperion)</v>
      </c>
      <c r="C41" s="2216"/>
      <c r="D41" s="2217"/>
      <c r="E41" s="2218">
        <f>IF($D$2="$ K",Calc!G41,Calc!G41/1000)</f>
        <v>0</v>
      </c>
      <c r="F41" s="2219">
        <f>IF(Calc!AQ41=0,0,IF($D$2="$ M",Calc!CA41/1000,Calc!CA41))</f>
        <v>0</v>
      </c>
      <c r="G41" s="2220">
        <f>IF($D$2="$ K",Calc!H41,Calc!H41/1000)</f>
        <v>0</v>
      </c>
      <c r="H41" s="2219">
        <f>IF(Calc!AR41=0,0,IF($D$2="$ M",Calc!CB41/1000,Calc!CB41))</f>
        <v>0</v>
      </c>
      <c r="I41" s="2220">
        <f>IF($D$2="$ K",Calc!I41,Calc!I41/1000)</f>
        <v>0</v>
      </c>
      <c r="J41" s="2219">
        <f>IF(Calc!AS41=0,0,IF($D$2="$ M",Calc!CC41/1000,Calc!CC41))</f>
        <v>0</v>
      </c>
      <c r="K41" s="2220">
        <f>IF($D$2="$ K",Calc!J41,Calc!J41/1000)</f>
        <v>0</v>
      </c>
      <c r="L41" s="2219">
        <f>IF(Calc!AT41=0,0,IF($D$2="$ M",Calc!CD41/1000,Calc!CD41))</f>
        <v>0</v>
      </c>
      <c r="M41" s="2220">
        <f>IF($D$2="$ K",Calc!K41,Calc!K41/1000)</f>
        <v>0</v>
      </c>
      <c r="N41" s="2219">
        <f>IF(Calc!AU41=0,0,IF($D$2="$ M",Calc!CE41/1000,Calc!CE41))</f>
        <v>0</v>
      </c>
      <c r="O41" s="2220">
        <f>IF($D$2="$ K",Calc!L41,Calc!L41/1000)</f>
        <v>0</v>
      </c>
      <c r="P41" s="2219">
        <f>IF(Calc!AV41=0,0,IF($D$2="$ M",Calc!CF41/1000,Calc!CF41))</f>
        <v>0</v>
      </c>
      <c r="Q41" s="2220">
        <f>IF($D$2="$ K",Calc!M41,Calc!M41/1000)</f>
        <v>0</v>
      </c>
      <c r="R41" s="2219">
        <f>IF(Calc!AW41=0,0,IF($D$2="$ M",Calc!CG41/1000,Calc!CG41))</f>
        <v>0</v>
      </c>
      <c r="S41" s="2220">
        <f>IF($D$2="$ K",Calc!N41,Calc!N41/1000)</f>
        <v>0</v>
      </c>
      <c r="T41" s="2219">
        <f>IF(Calc!AX41=0,0,IF($D$2="$ M",Calc!CH41/1000,Calc!CH41))</f>
        <v>0</v>
      </c>
      <c r="U41" s="2220">
        <f>IF($D$2="$ K",Calc!O41,Calc!O41/1000)</f>
        <v>0</v>
      </c>
      <c r="V41" s="2219">
        <f>IF(Calc!AY41=0,0,IF($D$2="$ M",Calc!CI41/1000,Calc!CI41))</f>
        <v>0</v>
      </c>
      <c r="W41" s="2220">
        <f>IF($D$2="$ K",Calc!P41,Calc!P41/1000)</f>
        <v>0</v>
      </c>
      <c r="X41" s="2219">
        <f>IF(Calc!AZ41=0,0,IF($D$2="$ M",Calc!CJ41/1000,Calc!CJ41))</f>
        <v>0</v>
      </c>
      <c r="Y41" s="2220">
        <f>IF($D$2="$ K",Calc!Q41,Calc!Q41/1000)</f>
        <v>0</v>
      </c>
      <c r="Z41" s="2219"/>
      <c r="AA41" s="2220">
        <f>IF($D$2="$ K",Calc!R41,Calc!R41/1000)</f>
        <v>0</v>
      </c>
      <c r="AB41" s="2219">
        <f>IF(Calc!BB41=0,0,IF($D$2="$ M",Calc!CL41/1000,Calc!CL41))</f>
        <v>0</v>
      </c>
      <c r="AC41" s="2220">
        <f>IF($D$2="$ K",Calc!S41,Calc!S41/1000)</f>
        <v>0</v>
      </c>
      <c r="AD41" s="2219">
        <f>IF(Calc!BC41=0,0,IF($D$2="$ M",Calc!CM41/1000,Calc!CM41))</f>
        <v>0</v>
      </c>
      <c r="AE41" s="2220">
        <f>IF($D$2="$ K",Calc!T41,Calc!T41/1000)</f>
        <v>0</v>
      </c>
      <c r="AF41" s="2219">
        <f>IF(Calc!BD41=0,0,IF($D$2="$ M",Calc!CN41/1000,Calc!CN41))</f>
        <v>0</v>
      </c>
      <c r="AG41" s="2220">
        <f>IF($D$2="$ K",Calc!U41,Calc!U41/1000)</f>
        <v>0</v>
      </c>
      <c r="AH41" s="2219">
        <f>IF(Calc!BE41=0,0,IF($D$2="$ M",Calc!CO41/1000,Calc!CO41))</f>
        <v>0</v>
      </c>
      <c r="AI41" s="2220">
        <f>IF($D$2="$ K",Calc!V41,Calc!V41/1000)</f>
        <v>0</v>
      </c>
      <c r="AJ41" s="2219">
        <f>IF(Calc!BF41=0,0,IF($D$2="$ M",Calc!CP41/1000,Calc!CP41))</f>
        <v>0</v>
      </c>
      <c r="AK41" s="2220">
        <f>IF($D$2="$ K",Calc!W41,Calc!W41/1000)</f>
        <v>0</v>
      </c>
      <c r="AL41" s="2219">
        <f>IF(Calc!BG41=0,0,IF($D$2="$ M",Calc!CQ41/1000,Calc!CQ41))</f>
        <v>0</v>
      </c>
      <c r="AM41" s="2220">
        <f>IF($D$2="$ K",Calc!X41,Calc!X41/1000)</f>
        <v>0</v>
      </c>
      <c r="AN41" s="2219">
        <f>IF(Calc!BH41=0,0,IF($D$2="$ M",Calc!CR41/1000,Calc!CR41))</f>
        <v>0</v>
      </c>
      <c r="AO41" s="2220">
        <f>IF($D$2="$ K",Calc!Y41,Calc!Y41/1000)</f>
        <v>0</v>
      </c>
      <c r="AP41" s="2219">
        <f>IF(Calc!BJ41=0,0,IF($D$2="$ M",Calc!CS41/1000,Calc!CS41))</f>
        <v>0</v>
      </c>
      <c r="AQ41" s="2220">
        <f>IF($D$2="$ K",Calc!Z41,Calc!Z41/1000)</f>
        <v>0</v>
      </c>
      <c r="AR41" s="2219">
        <f>IF(Calc!BL41=0,0,IF($D$2="$ M",Calc!CT41/1000,Calc!CT41))</f>
        <v>0</v>
      </c>
      <c r="AS41" s="2220">
        <f>IF($D$2="$ K",Calc!AA41,Calc!AA41/1000)</f>
        <v>0</v>
      </c>
      <c r="AT41" s="2219">
        <f>IF(Calc!BN41=0,0,IF($D$2="$ M",Calc!CU41/1000,Calc!CU41))</f>
        <v>0</v>
      </c>
      <c r="AU41" s="2220">
        <f>IF($D$2="$ K",Calc!AB41,Calc!AB41/1000)</f>
        <v>0</v>
      </c>
      <c r="AV41" s="2219">
        <f>IF(Calc!BP41=0,0,IF($D$2="$ M",Calc!CV41/1000,Calc!CV41))</f>
        <v>0</v>
      </c>
      <c r="AW41" s="2220">
        <f>IF($D$2="$ K",Calc!AC41,Calc!AC41/1000)</f>
        <v>0</v>
      </c>
      <c r="AX41" s="2219">
        <f>IF(Calc!BR41=0,0,IF($D$2="$ M",Calc!CW41/1000,Calc!CW41))</f>
        <v>0</v>
      </c>
      <c r="AY41" s="2220">
        <f>IF($D$2="$ K",Calc!AD41,Calc!AD41/1000)</f>
        <v>0</v>
      </c>
      <c r="AZ41" s="2219">
        <f>IF(Calc!BT41=0,0,IF($D$2="$ M",Calc!CX41/1000,Calc!CX41))</f>
        <v>0</v>
      </c>
      <c r="BA41" s="2220">
        <f>IF($D$2="$ K",Calc!AE41,Calc!AE41/1000)</f>
        <v>0</v>
      </c>
      <c r="BB41" s="2219">
        <f>IF(Calc!BV41=0,0,IF($D$2="$ M",Calc!CY41/1000,Calc!CY41))</f>
        <v>0</v>
      </c>
      <c r="BC41" s="2220">
        <f>IF($D$2="$ K",Calc!AF41,Calc!AF41/1000)</f>
        <v>0</v>
      </c>
      <c r="BD41" s="2219">
        <f>IF(Calc!BX41=0,0,IF($D$2="$ M",Calc!CZ41/1000,Calc!CZ41))</f>
        <v>0</v>
      </c>
      <c r="BE41" s="2220">
        <f>IF($D$2="$ K",Calc!AG41,Calc!AG41/1000)</f>
        <v>0</v>
      </c>
      <c r="BF41" s="2219">
        <f>IF(Calc!BZ41=0,0,IF($D$2="$ M",Calc!DA41/1000,Calc!DA41))</f>
        <v>0</v>
      </c>
      <c r="BG41" s="2220">
        <f>IF($D$2="$ K",Calc!AH41,Calc!AH41/1000)</f>
        <v>0</v>
      </c>
      <c r="BH41" s="2219">
        <f>IF(Calc!CB41=0,0,IF($D$2="$ M",Calc!DB41/1000,Calc!DB41))</f>
        <v>0</v>
      </c>
      <c r="BI41" s="2220">
        <f>IF($D$2="$ K",Calc!AI41,Calc!AI41/1000)</f>
        <v>0</v>
      </c>
      <c r="BJ41" s="2219">
        <f>IF(Calc!BS41=0,0,IF($D$2="$ M",Calc!DC41/1000,Calc!DC41))</f>
        <v>0</v>
      </c>
      <c r="BK41" s="2220"/>
      <c r="BL41" s="2221"/>
      <c r="BM41" s="2222">
        <f>IF(Calc!BT41=0,0,IF($D$2="$ M",Calc!DD41/1000,Calc!DD41))</f>
        <v>0</v>
      </c>
      <c r="BN41" s="1260"/>
      <c r="BO41" s="1260"/>
      <c r="BP41" s="2223"/>
      <c r="BQ41" s="2267"/>
      <c r="BR41" s="2267"/>
      <c r="BS41" s="2268"/>
    </row>
    <row r="42" spans="1:71" s="2269" customFormat="1" ht="15.6" hidden="1" outlineLevel="2" x14ac:dyDescent="0.3">
      <c r="A42" s="2267"/>
      <c r="B42" s="2224" t="str">
        <f t="shared" si="0"/>
        <v>New Prod vs ASR Rev</v>
      </c>
      <c r="C42" s="2225"/>
      <c r="D42" s="2226"/>
      <c r="E42" s="2227">
        <f>IF($D$2="$ K",Calc!G42,Calc!G42/1000)</f>
        <v>0</v>
      </c>
      <c r="F42" s="2228">
        <f>IF(Calc!AQ42=0,0,IF($D$2="$ M",Calc!CA42/1000,Calc!CA42))</f>
        <v>0</v>
      </c>
      <c r="G42" s="2229">
        <f>IF($D$2="$ K",Calc!H42,Calc!H42/1000)</f>
        <v>0</v>
      </c>
      <c r="H42" s="2228">
        <f>IF(Calc!AR42=0,0,IF($D$2="$ M",Calc!CB42/1000,Calc!CB42))</f>
        <v>0</v>
      </c>
      <c r="I42" s="2229">
        <f>IF($D$2="$ K",Calc!I42,Calc!I42/1000)</f>
        <v>0</v>
      </c>
      <c r="J42" s="2228">
        <f>IF(Calc!AS42=0,0,IF($D$2="$ M",Calc!CC42/1000,Calc!CC42))</f>
        <v>0</v>
      </c>
      <c r="K42" s="2229">
        <f>IF($D$2="$ K",Calc!J42,Calc!J42/1000)</f>
        <v>0</v>
      </c>
      <c r="L42" s="2228">
        <f>IF(Calc!AT42=0,0,IF($D$2="$ M",Calc!CD42/1000,Calc!CD42))</f>
        <v>0</v>
      </c>
      <c r="M42" s="2229">
        <f>IF($D$2="$ K",Calc!K42,Calc!K42/1000)</f>
        <v>0</v>
      </c>
      <c r="N42" s="2228">
        <f>IF(Calc!AU42=0,0,IF($D$2="$ M",Calc!CE42/1000,Calc!CE42))</f>
        <v>0</v>
      </c>
      <c r="O42" s="2229">
        <f>IF($D$2="$ K",Calc!L42,Calc!L42/1000)</f>
        <v>0</v>
      </c>
      <c r="P42" s="2228">
        <f>IF(Calc!AV42=0,0,IF($D$2="$ M",Calc!CF42/1000,Calc!CF42))</f>
        <v>0</v>
      </c>
      <c r="Q42" s="2229">
        <f>IF($D$2="$ K",Calc!M42,Calc!M42/1000)</f>
        <v>0</v>
      </c>
      <c r="R42" s="2228">
        <f>IF(Calc!AW42=0,0,IF($D$2="$ M",Calc!CG42/1000,Calc!CG42))</f>
        <v>0</v>
      </c>
      <c r="S42" s="2229">
        <f>IF($D$2="$ K",Calc!N42,Calc!N42/1000)</f>
        <v>0</v>
      </c>
      <c r="T42" s="2228">
        <f>IF(Calc!AX42=0,0,IF($D$2="$ M",Calc!CH42/1000,Calc!CH42))</f>
        <v>0</v>
      </c>
      <c r="U42" s="2229">
        <f>IF($D$2="$ K",Calc!O42,Calc!O42/1000)</f>
        <v>0</v>
      </c>
      <c r="V42" s="2228">
        <f>IF(Calc!AY42=0,0,IF($D$2="$ M",Calc!CI42/1000,Calc!CI42))</f>
        <v>0</v>
      </c>
      <c r="W42" s="2229">
        <f>IF($D$2="$ K",Calc!P42,Calc!P42/1000)</f>
        <v>0</v>
      </c>
      <c r="X42" s="2228">
        <f>IF(Calc!AZ42=0,0,IF($D$2="$ M",Calc!CJ42/1000,Calc!CJ42))</f>
        <v>0</v>
      </c>
      <c r="Y42" s="2229">
        <f>IF($D$2="$ K",Calc!Q42,Calc!Q42/1000)</f>
        <v>0</v>
      </c>
      <c r="Z42" s="2228"/>
      <c r="AA42" s="2229">
        <f>IF($D$2="$ K",Calc!R42,Calc!R42/1000)</f>
        <v>0</v>
      </c>
      <c r="AB42" s="2228">
        <f>IF(Calc!BB42=0,0,IF($D$2="$ M",Calc!CL42/1000,Calc!CL42))</f>
        <v>0</v>
      </c>
      <c r="AC42" s="2229">
        <f>IF($D$2="$ K",Calc!S42,Calc!S42/1000)</f>
        <v>0</v>
      </c>
      <c r="AD42" s="2228">
        <f>IF(Calc!BC42=0,0,IF($D$2="$ M",Calc!CM42/1000,Calc!CM42))</f>
        <v>0</v>
      </c>
      <c r="AE42" s="2229">
        <f>IF($D$2="$ K",Calc!T42,Calc!T42/1000)</f>
        <v>0</v>
      </c>
      <c r="AF42" s="2228">
        <f>IF(Calc!BD42=0,0,IF($D$2="$ M",Calc!CN42/1000,Calc!CN42))</f>
        <v>0</v>
      </c>
      <c r="AG42" s="2229">
        <f>IF($D$2="$ K",Calc!U42,Calc!U42/1000)</f>
        <v>0</v>
      </c>
      <c r="AH42" s="2228">
        <f>IF(Calc!BE42=0,0,IF($D$2="$ M",Calc!CO42/1000,Calc!CO42))</f>
        <v>0</v>
      </c>
      <c r="AI42" s="2229">
        <f>IF($D$2="$ K",Calc!V42,Calc!V42/1000)</f>
        <v>0</v>
      </c>
      <c r="AJ42" s="2228">
        <f>IF(Calc!BF42=0,0,IF($D$2="$ M",Calc!CP42/1000,Calc!CP42))</f>
        <v>0</v>
      </c>
      <c r="AK42" s="2229">
        <f>IF($D$2="$ K",Calc!W42,Calc!W42/1000)</f>
        <v>0</v>
      </c>
      <c r="AL42" s="2228">
        <f>IF(Calc!BG42=0,0,IF($D$2="$ M",Calc!CQ42/1000,Calc!CQ42))</f>
        <v>0</v>
      </c>
      <c r="AM42" s="2229">
        <f>IF($D$2="$ K",Calc!X42,Calc!X42/1000)</f>
        <v>0</v>
      </c>
      <c r="AN42" s="2228">
        <f>IF(Calc!BH42=0,0,IF($D$2="$ M",Calc!CR42/1000,Calc!CR42))</f>
        <v>0</v>
      </c>
      <c r="AO42" s="2229">
        <f>IF($D$2="$ K",Calc!Y42,Calc!Y42/1000)</f>
        <v>0</v>
      </c>
      <c r="AP42" s="2228">
        <f>IF(Calc!BJ42=0,0,IF($D$2="$ M",Calc!CS42/1000,Calc!CS42))</f>
        <v>0</v>
      </c>
      <c r="AQ42" s="2229">
        <f>IF($D$2="$ K",Calc!Z42,Calc!Z42/1000)</f>
        <v>0</v>
      </c>
      <c r="AR42" s="2228">
        <f>IF(Calc!BL42=0,0,IF($D$2="$ M",Calc!CT42/1000,Calc!CT42))</f>
        <v>0</v>
      </c>
      <c r="AS42" s="2229">
        <f>IF($D$2="$ K",Calc!AA42,Calc!AA42/1000)</f>
        <v>0</v>
      </c>
      <c r="AT42" s="2228">
        <f>IF(Calc!BN42=0,0,IF($D$2="$ M",Calc!CU42/1000,Calc!CU42))</f>
        <v>0</v>
      </c>
      <c r="AU42" s="2229">
        <f>IF($D$2="$ K",Calc!AB42,Calc!AB42/1000)</f>
        <v>0</v>
      </c>
      <c r="AV42" s="2228">
        <f>IF(Calc!BP42=0,0,IF($D$2="$ M",Calc!CV42/1000,Calc!CV42))</f>
        <v>0</v>
      </c>
      <c r="AW42" s="2229">
        <f>IF($D$2="$ K",Calc!AC42,Calc!AC42/1000)</f>
        <v>0</v>
      </c>
      <c r="AX42" s="2228">
        <f>IF(Calc!BR42=0,0,IF($D$2="$ M",Calc!CW42/1000,Calc!CW42))</f>
        <v>0</v>
      </c>
      <c r="AY42" s="2229">
        <f>IF($D$2="$ K",Calc!AD42,Calc!AD42/1000)</f>
        <v>0</v>
      </c>
      <c r="AZ42" s="2228">
        <f>IF(Calc!BT42=0,0,IF($D$2="$ M",Calc!CX42/1000,Calc!CX42))</f>
        <v>0</v>
      </c>
      <c r="BA42" s="2229">
        <f>IF($D$2="$ K",Calc!AE42,Calc!AE42/1000)</f>
        <v>0</v>
      </c>
      <c r="BB42" s="2228">
        <f>IF(Calc!BV42=0,0,IF($D$2="$ M",Calc!CY42/1000,Calc!CY42))</f>
        <v>0</v>
      </c>
      <c r="BC42" s="2229">
        <f>IF($D$2="$ K",Calc!AF42,Calc!AF42/1000)</f>
        <v>0</v>
      </c>
      <c r="BD42" s="2228">
        <f>IF(Calc!BX42=0,0,IF($D$2="$ M",Calc!CZ42/1000,Calc!CZ42))</f>
        <v>0</v>
      </c>
      <c r="BE42" s="2229">
        <f>IF($D$2="$ K",Calc!AG42,Calc!AG42/1000)</f>
        <v>0</v>
      </c>
      <c r="BF42" s="2228">
        <f>IF(Calc!BZ42=0,0,IF($D$2="$ M",Calc!DA42/1000,Calc!DA42))</f>
        <v>0</v>
      </c>
      <c r="BG42" s="2229">
        <f>IF($D$2="$ K",Calc!AH42,Calc!AH42/1000)</f>
        <v>0</v>
      </c>
      <c r="BH42" s="2228">
        <f>IF(Calc!CB42=0,0,IF($D$2="$ M",Calc!DB42/1000,Calc!DB42))</f>
        <v>0</v>
      </c>
      <c r="BI42" s="2229">
        <f>IF($D$2="$ K",Calc!AI42,Calc!AI42/1000)</f>
        <v>0</v>
      </c>
      <c r="BJ42" s="2228">
        <f>IF(Calc!BS42=0,0,IF($D$2="$ M",Calc!DC42/1000,Calc!DC42))</f>
        <v>0</v>
      </c>
      <c r="BK42" s="2229">
        <f>IF($D$2="$ K",Calc!AJ42,Calc!AJ42/1000)</f>
        <v>0</v>
      </c>
      <c r="BL42" s="2230"/>
      <c r="BM42" s="2231">
        <f>IF(Calc!BT42=0,0,IF($D$2="$ M",Calc!DD42/1000,Calc!DD42))</f>
        <v>0</v>
      </c>
      <c r="BN42" s="1260"/>
      <c r="BO42" s="1260"/>
      <c r="BP42" s="2232">
        <f>IF($D$2="$ K",Calc!AM42,Calc!AM42/1000)</f>
        <v>0</v>
      </c>
      <c r="BQ42" s="2267"/>
      <c r="BR42" s="2267"/>
      <c r="BS42" s="2268"/>
    </row>
    <row r="43" spans="1:71" s="2266" customFormat="1" hidden="1" outlineLevel="2" x14ac:dyDescent="0.3">
      <c r="A43" s="2260"/>
      <c r="B43" s="2197" t="str">
        <f t="shared" si="0"/>
        <v>Std Cost w/ Depr ($)</v>
      </c>
      <c r="C43" s="1099"/>
      <c r="D43" s="2233"/>
      <c r="E43" s="2234">
        <f>+Calc!G43</f>
        <v>0</v>
      </c>
      <c r="F43" s="2235">
        <f>IF(Calc!AQ43=0,0,Calc!CA43)</f>
        <v>0</v>
      </c>
      <c r="G43" s="2236">
        <f>+Calc!H43</f>
        <v>0</v>
      </c>
      <c r="H43" s="2235">
        <f>IF(Calc!AR43=0,0,Calc!CB43)</f>
        <v>0</v>
      </c>
      <c r="I43" s="2236">
        <f>+Calc!I43</f>
        <v>0</v>
      </c>
      <c r="J43" s="2235">
        <f>IF(Calc!AS43=0,0,Calc!CC43)</f>
        <v>0</v>
      </c>
      <c r="K43" s="2236">
        <f>+Calc!J43</f>
        <v>0</v>
      </c>
      <c r="L43" s="2235">
        <f>IF(Calc!AT43=0,0,Calc!CD43)</f>
        <v>0</v>
      </c>
      <c r="M43" s="2236">
        <f>+Calc!K43</f>
        <v>0</v>
      </c>
      <c r="N43" s="2235">
        <f>IF(Calc!AU43=0,0,Calc!CE43)</f>
        <v>0</v>
      </c>
      <c r="O43" s="2236">
        <f>+Calc!L43</f>
        <v>0</v>
      </c>
      <c r="P43" s="2235">
        <f>IF(Calc!AV43=0,0,Calc!CF43)</f>
        <v>0</v>
      </c>
      <c r="Q43" s="2236">
        <f>+Calc!M43</f>
        <v>0</v>
      </c>
      <c r="R43" s="2235">
        <f>IF(Calc!AW43=0,0,Calc!CG43)</f>
        <v>0</v>
      </c>
      <c r="S43" s="2236">
        <f>+Calc!N43</f>
        <v>0</v>
      </c>
      <c r="T43" s="2235">
        <f>IF(Calc!AX43=0,0,Calc!CH43)</f>
        <v>0</v>
      </c>
      <c r="U43" s="2236">
        <f>+Calc!O43</f>
        <v>0</v>
      </c>
      <c r="V43" s="2235">
        <f>IF(Calc!AY43=0,0,Calc!CI43)</f>
        <v>0</v>
      </c>
      <c r="W43" s="2236">
        <f>+Calc!P43</f>
        <v>0</v>
      </c>
      <c r="X43" s="2235">
        <f>IF(Calc!AZ43=0,0,Calc!CJ43)</f>
        <v>0</v>
      </c>
      <c r="Y43" s="2236">
        <f>+Calc!Q43</f>
        <v>0</v>
      </c>
      <c r="Z43" s="2235"/>
      <c r="AA43" s="2236">
        <f>+Calc!R43</f>
        <v>0</v>
      </c>
      <c r="AB43" s="2235">
        <f>IF(Calc!BB43=0,0,Calc!CL43)</f>
        <v>0</v>
      </c>
      <c r="AC43" s="2236">
        <f>+Calc!S43</f>
        <v>0</v>
      </c>
      <c r="AD43" s="2235">
        <f>IF(Calc!BC43=0,0,Calc!CM43)</f>
        <v>0</v>
      </c>
      <c r="AE43" s="2236">
        <f>+Calc!T43</f>
        <v>0</v>
      </c>
      <c r="AF43" s="2235">
        <f>IF(Calc!BD43=0,0,Calc!CN43)</f>
        <v>0</v>
      </c>
      <c r="AG43" s="2236">
        <f>+Calc!U43</f>
        <v>0</v>
      </c>
      <c r="AH43" s="2235">
        <f>IF(Calc!BE43=0,0,Calc!CO43)</f>
        <v>0</v>
      </c>
      <c r="AI43" s="2236">
        <f>+Calc!V43</f>
        <v>0</v>
      </c>
      <c r="AJ43" s="2235">
        <f>IF(Calc!BF43=0,0,Calc!CP43)</f>
        <v>0</v>
      </c>
      <c r="AK43" s="2236">
        <f>+Calc!W43</f>
        <v>0</v>
      </c>
      <c r="AL43" s="2235">
        <f>IF(Calc!BG43=0,0,Calc!CQ43)</f>
        <v>0</v>
      </c>
      <c r="AM43" s="2236">
        <f>+Calc!X43</f>
        <v>0</v>
      </c>
      <c r="AN43" s="2235">
        <f>IF(Calc!BH43=0,0,Calc!CR43)</f>
        <v>0</v>
      </c>
      <c r="AO43" s="2236">
        <f>+Calc!Y43</f>
        <v>0</v>
      </c>
      <c r="AP43" s="2235">
        <f>IF(Calc!BJ43=0,0,Calc!CS43)</f>
        <v>0</v>
      </c>
      <c r="AQ43" s="2236">
        <f>+Calc!Z43</f>
        <v>0</v>
      </c>
      <c r="AR43" s="2235">
        <f>IF(Calc!BL43=0,0,Calc!CT43)</f>
        <v>0</v>
      </c>
      <c r="AS43" s="2236">
        <f>+Calc!AA43</f>
        <v>0</v>
      </c>
      <c r="AT43" s="2235">
        <f>IF(Calc!BN43=0,0,Calc!CU43)</f>
        <v>0</v>
      </c>
      <c r="AU43" s="2236">
        <f>+Calc!AB43</f>
        <v>0</v>
      </c>
      <c r="AV43" s="2235">
        <f>IF(Calc!BP43=0,0,Calc!CV43)</f>
        <v>0</v>
      </c>
      <c r="AW43" s="2236">
        <f>+Calc!AC43</f>
        <v>0</v>
      </c>
      <c r="AX43" s="2235">
        <f>IF(Calc!BR43=0,0,Calc!CW43)</f>
        <v>0</v>
      </c>
      <c r="AY43" s="2236">
        <f>+Calc!AD43</f>
        <v>0</v>
      </c>
      <c r="AZ43" s="2235">
        <f>IF(Calc!BT43=0,0,Calc!CX43)</f>
        <v>0</v>
      </c>
      <c r="BA43" s="2236">
        <f>+Calc!AE43</f>
        <v>0</v>
      </c>
      <c r="BB43" s="2235">
        <f>IF(Calc!BV43=0,0,Calc!CY43)</f>
        <v>0</v>
      </c>
      <c r="BC43" s="2236">
        <f>+Calc!AF43</f>
        <v>0</v>
      </c>
      <c r="BD43" s="2235">
        <f>IF(Calc!BX43=0,0,Calc!CZ43)</f>
        <v>0</v>
      </c>
      <c r="BE43" s="2236">
        <f>+Calc!AG43</f>
        <v>0</v>
      </c>
      <c r="BF43" s="2235">
        <f>IF(Calc!BZ43=0,0,Calc!DA43)</f>
        <v>0</v>
      </c>
      <c r="BG43" s="2236">
        <f>+Calc!AH43</f>
        <v>0</v>
      </c>
      <c r="BH43" s="2235">
        <f>IF(Calc!CB43=0,0,Calc!DB43)</f>
        <v>0</v>
      </c>
      <c r="BI43" s="2236">
        <f>+Calc!AI43</f>
        <v>0</v>
      </c>
      <c r="BJ43" s="2235">
        <f>IF(Calc!BS43=0,0,Calc!DC43)</f>
        <v>0</v>
      </c>
      <c r="BK43" s="2236">
        <f>+Calc!AJ43</f>
        <v>0</v>
      </c>
      <c r="BL43" s="2237"/>
      <c r="BM43" s="2238">
        <f>IF(Calc!BT43=0,0,Calc!DD43)</f>
        <v>0</v>
      </c>
      <c r="BN43" s="2189"/>
      <c r="BO43" s="1070"/>
      <c r="BP43" s="2239"/>
      <c r="BQ43" s="2260"/>
      <c r="BR43" s="2260"/>
      <c r="BS43" s="2265"/>
    </row>
    <row r="44" spans="1:71" s="2266" customFormat="1" hidden="1" outlineLevel="2" x14ac:dyDescent="0.3">
      <c r="A44" s="2260"/>
      <c r="B44" s="2197" t="str">
        <f t="shared" si="0"/>
        <v>Std Cost w/o Depr ($)</v>
      </c>
      <c r="C44" s="1099"/>
      <c r="D44" s="2233"/>
      <c r="E44" s="2234">
        <f>+Calc!G44</f>
        <v>0</v>
      </c>
      <c r="F44" s="2235">
        <f>IF(Calc!AQ44=0,0,Calc!CA44)</f>
        <v>0</v>
      </c>
      <c r="G44" s="2236">
        <f>+Calc!H44</f>
        <v>0</v>
      </c>
      <c r="H44" s="2235">
        <f>IF(Calc!AR44=0,0,Calc!CB44)</f>
        <v>0</v>
      </c>
      <c r="I44" s="2236">
        <f>+Calc!I44</f>
        <v>0</v>
      </c>
      <c r="J44" s="2235">
        <f>IF(Calc!AS44=0,0,Calc!CC44)</f>
        <v>0</v>
      </c>
      <c r="K44" s="2236">
        <f>+Calc!J44</f>
        <v>0</v>
      </c>
      <c r="L44" s="2235">
        <f>IF(Calc!AT44=0,0,Calc!CD44)</f>
        <v>0</v>
      </c>
      <c r="M44" s="2236">
        <f>+Calc!K44</f>
        <v>0</v>
      </c>
      <c r="N44" s="2235">
        <f>IF(Calc!AU44=0,0,Calc!CE44)</f>
        <v>0</v>
      </c>
      <c r="O44" s="2236">
        <f>+Calc!L44</f>
        <v>0</v>
      </c>
      <c r="P44" s="2235">
        <f>IF(Calc!AV44=0,0,Calc!CF44)</f>
        <v>0</v>
      </c>
      <c r="Q44" s="2236">
        <f>+Calc!M44</f>
        <v>0</v>
      </c>
      <c r="R44" s="2235">
        <f>IF(Calc!AW44=0,0,Calc!CG44)</f>
        <v>0</v>
      </c>
      <c r="S44" s="2236">
        <f>+Calc!N44</f>
        <v>0</v>
      </c>
      <c r="T44" s="2235">
        <f>IF(Calc!AX44=0,0,Calc!CH44)</f>
        <v>0</v>
      </c>
      <c r="U44" s="2236">
        <f>+Calc!O44</f>
        <v>0</v>
      </c>
      <c r="V44" s="2235">
        <f>IF(Calc!AY44=0,0,Calc!CI44)</f>
        <v>0</v>
      </c>
      <c r="W44" s="2236">
        <f>+Calc!P44</f>
        <v>0</v>
      </c>
      <c r="X44" s="2235">
        <f>IF(Calc!AZ44=0,0,Calc!CJ44)</f>
        <v>0</v>
      </c>
      <c r="Y44" s="2236">
        <f>+Calc!Q44</f>
        <v>0</v>
      </c>
      <c r="Z44" s="2235" t="str">
        <f ca="1">MID(CELL("filename"),SEARCH("[",CELL("filename"))+1, SEARCH("]",CELL("filename"))-SEARCH("[",CELL("filename"))-1)</f>
        <v>Copy of TB Bus Case Expected Final v14.0 JULY.XLSX</v>
      </c>
      <c r="AA44" s="2236">
        <f>+Calc!R44</f>
        <v>0</v>
      </c>
      <c r="AB44" s="2235">
        <f>IF(Calc!BB44=0,0,Calc!CL44)</f>
        <v>0</v>
      </c>
      <c r="AC44" s="2236">
        <f>+Calc!S44</f>
        <v>0</v>
      </c>
      <c r="AD44" s="2235">
        <f>IF(Calc!BC44=0,0,Calc!CM44)</f>
        <v>0</v>
      </c>
      <c r="AE44" s="2236">
        <f>+Calc!T44</f>
        <v>0</v>
      </c>
      <c r="AF44" s="2235">
        <f>IF(Calc!BD44=0,0,Calc!CN44)</f>
        <v>0</v>
      </c>
      <c r="AG44" s="2236">
        <f>+Calc!U44</f>
        <v>0</v>
      </c>
      <c r="AH44" s="2235">
        <f>IF(Calc!BE44=0,0,Calc!CO44)</f>
        <v>0</v>
      </c>
      <c r="AI44" s="2236">
        <f>+Calc!V44</f>
        <v>0</v>
      </c>
      <c r="AJ44" s="2235">
        <f>IF(Calc!BF44=0,0,Calc!CP44)</f>
        <v>0</v>
      </c>
      <c r="AK44" s="2236">
        <f>+Calc!W44</f>
        <v>0</v>
      </c>
      <c r="AL44" s="2235">
        <f>IF(Calc!BG44=0,0,Calc!CQ44)</f>
        <v>0</v>
      </c>
      <c r="AM44" s="2236">
        <f>+Calc!X44</f>
        <v>0</v>
      </c>
      <c r="AN44" s="2235">
        <f>IF(Calc!BH44=0,0,Calc!CR44)</f>
        <v>0</v>
      </c>
      <c r="AO44" s="2236">
        <f>+Calc!Y44</f>
        <v>0</v>
      </c>
      <c r="AP44" s="2235">
        <f>IF(Calc!BJ44=0,0,Calc!CS44)</f>
        <v>0</v>
      </c>
      <c r="AQ44" s="2236">
        <f>+Calc!Z44</f>
        <v>0</v>
      </c>
      <c r="AR44" s="2235">
        <f>IF(Calc!BL44=0,0,Calc!CT44)</f>
        <v>0</v>
      </c>
      <c r="AS44" s="2236">
        <f>+Calc!AA44</f>
        <v>0</v>
      </c>
      <c r="AT44" s="2235">
        <f>IF(Calc!BN44=0,0,Calc!CU44)</f>
        <v>0</v>
      </c>
      <c r="AU44" s="2236">
        <f>+Calc!AB44</f>
        <v>0</v>
      </c>
      <c r="AV44" s="2235">
        <f>IF(Calc!BP44=0,0,Calc!CV44)</f>
        <v>0</v>
      </c>
      <c r="AW44" s="2236">
        <f>+Calc!AC44</f>
        <v>0</v>
      </c>
      <c r="AX44" s="2235">
        <f>IF(Calc!BR44=0,0,Calc!CW44)</f>
        <v>0</v>
      </c>
      <c r="AY44" s="2236">
        <f>+Calc!AD44</f>
        <v>0</v>
      </c>
      <c r="AZ44" s="2235">
        <f>IF(Calc!BT44=0,0,Calc!CX44)</f>
        <v>0</v>
      </c>
      <c r="BA44" s="2236">
        <f>+Calc!AE44</f>
        <v>0</v>
      </c>
      <c r="BB44" s="2235">
        <f>IF(Calc!BV44=0,0,Calc!CY44)</f>
        <v>0</v>
      </c>
      <c r="BC44" s="2236">
        <f>+Calc!AF44</f>
        <v>0</v>
      </c>
      <c r="BD44" s="2235">
        <f>IF(Calc!BX44=0,0,Calc!CZ44)</f>
        <v>0</v>
      </c>
      <c r="BE44" s="2236">
        <f>+Calc!AG44</f>
        <v>0</v>
      </c>
      <c r="BF44" s="2235">
        <f>IF(Calc!BZ44=0,0,Calc!DA44)</f>
        <v>0</v>
      </c>
      <c r="BG44" s="2236">
        <f>+Calc!AH44</f>
        <v>0</v>
      </c>
      <c r="BH44" s="2235">
        <f>IF(Calc!CB44=0,0,Calc!DB44)</f>
        <v>0</v>
      </c>
      <c r="BI44" s="2236">
        <f>+Calc!AI44</f>
        <v>0</v>
      </c>
      <c r="BJ44" s="2235">
        <f>IF(Calc!BS44=0,0,Calc!DC44)</f>
        <v>0</v>
      </c>
      <c r="BK44" s="2236">
        <f>+Calc!AJ44</f>
        <v>0</v>
      </c>
      <c r="BL44" s="2237"/>
      <c r="BM44" s="2238">
        <f>IF(Calc!BT44=0,0,Calc!DD44)</f>
        <v>0</v>
      </c>
      <c r="BN44" s="2189"/>
      <c r="BO44" s="1070"/>
      <c r="BP44" s="2239"/>
      <c r="BQ44" s="2260"/>
      <c r="BR44" s="2260"/>
      <c r="BS44" s="2265"/>
    </row>
    <row r="45" spans="1:71" s="2269" customFormat="1" ht="18" hidden="1" outlineLevel="2" x14ac:dyDescent="0.35">
      <c r="A45" s="2267"/>
      <c r="B45" s="2240" t="str">
        <f t="shared" si="0"/>
        <v>New Product Gross Profit</v>
      </c>
      <c r="C45" s="2241"/>
      <c r="D45" s="2242"/>
      <c r="E45" s="2243">
        <f>IF($D$2="$ K",Calc!G45,Calc!G45/1000)</f>
        <v>0</v>
      </c>
      <c r="F45" s="2244">
        <f>IF(Calc!AQ45=0,0,IF($D$2="$ M",Calc!CA45/1000,Calc!CA45))</f>
        <v>0</v>
      </c>
      <c r="G45" s="2245">
        <f>IF($D$2="$ K",Calc!H45,Calc!H45/1000)</f>
        <v>0</v>
      </c>
      <c r="H45" s="2244">
        <f>IF(Calc!AR45=0,0,IF($D$2="$ M",Calc!CB45/1000,Calc!CB45))</f>
        <v>0</v>
      </c>
      <c r="I45" s="2245">
        <f>IF($D$2="$ K",Calc!I45,Calc!I45/1000)</f>
        <v>0</v>
      </c>
      <c r="J45" s="2244">
        <f>IF(Calc!AS45=0,0,IF($D$2="$ M",Calc!CC45/1000,Calc!CC45))</f>
        <v>0</v>
      </c>
      <c r="K45" s="2245">
        <f>IF($D$2="$ K",Calc!J45,Calc!J45/1000)</f>
        <v>0</v>
      </c>
      <c r="L45" s="2244">
        <f>IF(Calc!AT45=0,0,IF($D$2="$ M",Calc!CD45/1000,Calc!CD45))</f>
        <v>0</v>
      </c>
      <c r="M45" s="2245">
        <f>IF($D$2="$ K",Calc!K45,Calc!K45/1000)</f>
        <v>0</v>
      </c>
      <c r="N45" s="2244">
        <f>IF(Calc!AU45=0,0,IF($D$2="$ M",Calc!CE45/1000,Calc!CE45))</f>
        <v>0</v>
      </c>
      <c r="O45" s="2245">
        <f>IF($D$2="$ K",Calc!L45,Calc!L45/1000)</f>
        <v>0</v>
      </c>
      <c r="P45" s="2244">
        <f>IF(Calc!AV45=0,0,IF($D$2="$ M",Calc!CF45/1000,Calc!CF45))</f>
        <v>0</v>
      </c>
      <c r="Q45" s="2245">
        <f>IF($D$2="$ K",Calc!M45,Calc!M45/1000)</f>
        <v>0</v>
      </c>
      <c r="R45" s="2244">
        <f>IF(Calc!AW45=0,0,IF($D$2="$ M",Calc!CG45/1000,Calc!CG45))</f>
        <v>0</v>
      </c>
      <c r="S45" s="2245">
        <f>IF($D$2="$ K",Calc!N45,Calc!N45/1000)</f>
        <v>0</v>
      </c>
      <c r="T45" s="2244">
        <f>IF(Calc!AX45=0,0,IF($D$2="$ M",Calc!CH45/1000,Calc!CH45))</f>
        <v>0</v>
      </c>
      <c r="U45" s="2245">
        <f>IF($D$2="$ K",Calc!O45,Calc!O45/1000)</f>
        <v>0</v>
      </c>
      <c r="V45" s="2244">
        <f>IF(Calc!AY45=0,0,IF($D$2="$ M",Calc!CI45/1000,Calc!CI45))</f>
        <v>0</v>
      </c>
      <c r="W45" s="2245">
        <f>IF($D$2="$ K",Calc!P45,Calc!P45/1000)</f>
        <v>0</v>
      </c>
      <c r="X45" s="2244">
        <f>IF(Calc!AZ45=0,0,IF($D$2="$ M",Calc!CJ45/1000,Calc!CJ45))</f>
        <v>0</v>
      </c>
      <c r="Y45" s="2245">
        <f>IF($D$2="$ K",Calc!Q45,Calc!Q45/1000)</f>
        <v>0</v>
      </c>
      <c r="Z45" s="2244">
        <f>IF(Calc!BA45=0,0,IF($D$2="$ M",Calc!CK45/1000,Calc!CK45))</f>
        <v>0</v>
      </c>
      <c r="AA45" s="2245">
        <f>IF($D$2="$ K",Calc!R45,Calc!R45/1000)</f>
        <v>0</v>
      </c>
      <c r="AB45" s="2244">
        <f>IF(Calc!BB45=0,0,IF($D$2="$ M",Calc!CL45/1000,Calc!CL45))</f>
        <v>0</v>
      </c>
      <c r="AC45" s="2245">
        <f>IF($D$2="$ K",Calc!S45,Calc!S45/1000)</f>
        <v>0</v>
      </c>
      <c r="AD45" s="2244">
        <f>IF(Calc!BC45=0,0,IF($D$2="$ M",Calc!CM45/1000,Calc!CM45))</f>
        <v>0</v>
      </c>
      <c r="AE45" s="2245">
        <f>IF($D$2="$ K",Calc!T45,Calc!T45/1000)</f>
        <v>0</v>
      </c>
      <c r="AF45" s="2244">
        <f>IF(Calc!BD45=0,0,IF($D$2="$ M",Calc!CN45/1000,Calc!CN45))</f>
        <v>0</v>
      </c>
      <c r="AG45" s="2245">
        <f>IF($D$2="$ K",Calc!U45,Calc!U45/1000)</f>
        <v>0</v>
      </c>
      <c r="AH45" s="2244">
        <f>IF(Calc!BE45=0,0,IF($D$2="$ M",Calc!CO45/1000,Calc!CO45))</f>
        <v>0</v>
      </c>
      <c r="AI45" s="2245">
        <f>IF($D$2="$ K",Calc!V45,Calc!V45/1000)</f>
        <v>0</v>
      </c>
      <c r="AJ45" s="2244">
        <f>IF(Calc!BF45=0,0,IF($D$2="$ M",Calc!CP45/1000,Calc!CP45))</f>
        <v>0</v>
      </c>
      <c r="AK45" s="2245">
        <f>IF($D$2="$ K",Calc!W45,Calc!W45/1000)</f>
        <v>0</v>
      </c>
      <c r="AL45" s="2244">
        <f>IF(Calc!BG45=0,0,IF($D$2="$ M",Calc!CQ45/1000,Calc!CQ45))</f>
        <v>0</v>
      </c>
      <c r="AM45" s="2245">
        <f>IF($D$2="$ K",Calc!X45,Calc!X45/1000)</f>
        <v>0</v>
      </c>
      <c r="AN45" s="2244">
        <f>IF(Calc!BH45=0,0,IF($D$2="$ M",Calc!CR45/1000,Calc!CR45))</f>
        <v>0</v>
      </c>
      <c r="AO45" s="2245">
        <f>IF($D$2="$ K",Calc!Y45,Calc!Y45/1000)</f>
        <v>0</v>
      </c>
      <c r="AP45" s="2244">
        <f>IF(Calc!BJ45=0,0,IF($D$2="$ M",Calc!CS45/1000,Calc!CS45))</f>
        <v>0</v>
      </c>
      <c r="AQ45" s="2245">
        <f>IF($D$2="$ K",Calc!Z45,Calc!Z45/1000)</f>
        <v>0</v>
      </c>
      <c r="AR45" s="2244">
        <f>IF(Calc!BL45=0,0,IF($D$2="$ M",Calc!CT45/1000,Calc!CT45))</f>
        <v>0</v>
      </c>
      <c r="AS45" s="2245">
        <f>IF($D$2="$ K",Calc!AA45,Calc!AA45/1000)</f>
        <v>0</v>
      </c>
      <c r="AT45" s="2244">
        <f>IF(Calc!BN45=0,0,IF($D$2="$ M",Calc!CU45/1000,Calc!CU45))</f>
        <v>0</v>
      </c>
      <c r="AU45" s="2245">
        <f>IF($D$2="$ K",Calc!AB45,Calc!AB45/1000)</f>
        <v>0</v>
      </c>
      <c r="AV45" s="2244">
        <f>IF(Calc!BP45=0,0,IF($D$2="$ M",Calc!CV45/1000,Calc!CV45))</f>
        <v>0</v>
      </c>
      <c r="AW45" s="2245">
        <f>IF($D$2="$ K",Calc!AC45,Calc!AC45/1000)</f>
        <v>0</v>
      </c>
      <c r="AX45" s="2244">
        <f>IF(Calc!BR45=0,0,IF($D$2="$ M",Calc!CW45/1000,Calc!CW45))</f>
        <v>0</v>
      </c>
      <c r="AY45" s="2245">
        <f>IF($D$2="$ K",Calc!AD45,Calc!AD45/1000)</f>
        <v>0</v>
      </c>
      <c r="AZ45" s="2244">
        <f>IF(Calc!BT45=0,0,IF($D$2="$ M",Calc!CX45/1000,Calc!CX45))</f>
        <v>0</v>
      </c>
      <c r="BA45" s="2245">
        <f>IF($D$2="$ K",Calc!AE45,Calc!AE45/1000)</f>
        <v>0</v>
      </c>
      <c r="BB45" s="2244">
        <f>IF(Calc!BV45=0,0,IF($D$2="$ M",Calc!CY45/1000,Calc!CY45))</f>
        <v>0</v>
      </c>
      <c r="BC45" s="2245">
        <f>IF($D$2="$ K",Calc!AF45,Calc!AF45/1000)</f>
        <v>0</v>
      </c>
      <c r="BD45" s="2244">
        <f>IF(Calc!BX45=0,0,IF($D$2="$ M",Calc!CZ45/1000,Calc!CZ45))</f>
        <v>0</v>
      </c>
      <c r="BE45" s="2245">
        <f>IF($D$2="$ K",Calc!AG45,Calc!AG45/1000)</f>
        <v>0</v>
      </c>
      <c r="BF45" s="2244">
        <f>IF(Calc!BZ45=0,0,IF($D$2="$ M",Calc!DA45/1000,Calc!DA45))</f>
        <v>0</v>
      </c>
      <c r="BG45" s="2245">
        <f>IF($D$2="$ K",Calc!AH45,Calc!AH45/1000)</f>
        <v>0</v>
      </c>
      <c r="BH45" s="2244">
        <f>IF(Calc!CB45=0,0,IF($D$2="$ M",Calc!DB45/1000,Calc!DB45))</f>
        <v>0</v>
      </c>
      <c r="BI45" s="2245">
        <f>IF($D$2="$ K",Calc!AI45,Calc!AI45/1000)</f>
        <v>0</v>
      </c>
      <c r="BJ45" s="2244">
        <f>IF(Calc!BS45=0,0,IF($D$2="$ M",Calc!DC45/1000,Calc!DC45))</f>
        <v>0</v>
      </c>
      <c r="BK45" s="2245">
        <f>IF($D$2="$ K",Calc!AJ45,Calc!AJ45/1000)</f>
        <v>0</v>
      </c>
      <c r="BL45" s="2246"/>
      <c r="BM45" s="2247">
        <f>IF(Calc!BT45=0,0,IF($D$2="$ M",Calc!DD45/1000,Calc!DD45))</f>
        <v>0</v>
      </c>
      <c r="BN45" s="1260"/>
      <c r="BO45" s="1260"/>
      <c r="BP45" s="2248">
        <f>IF($D$2="$ K",Calc!AM45,Calc!AM45/1000)</f>
        <v>0</v>
      </c>
      <c r="BQ45" s="2267"/>
      <c r="BR45" s="2267"/>
      <c r="BS45" s="2268"/>
    </row>
    <row r="46" spans="1:71" s="2266" customFormat="1" hidden="1" outlineLevel="2" x14ac:dyDescent="0.3">
      <c r="A46" s="2260"/>
      <c r="B46" s="2197" t="str">
        <f t="shared" si="0"/>
        <v>Gross Profit %</v>
      </c>
      <c r="C46" s="1115"/>
      <c r="D46" s="2249"/>
      <c r="E46" s="2250" t="str">
        <f>IF(Calc!G46=0,"",Calc!G46)</f>
        <v/>
      </c>
      <c r="F46" s="2201" t="str">
        <f>IF(Calc!AQ46=0,"",Calc!CA46)</f>
        <v/>
      </c>
      <c r="G46" s="2251" t="str">
        <f>IF(Calc!H46=0,"",Calc!H46)</f>
        <v/>
      </c>
      <c r="H46" s="2201" t="str">
        <f>IF(Calc!AR46=0,"",Calc!CB46)</f>
        <v/>
      </c>
      <c r="I46" s="2251" t="str">
        <f>IF(Calc!I46=0,"",Calc!I46)</f>
        <v/>
      </c>
      <c r="J46" s="2201" t="str">
        <f>IF(Calc!AS46=0,"",Calc!CC46)</f>
        <v/>
      </c>
      <c r="K46" s="2251" t="str">
        <f>IF(Calc!J46=0,"",Calc!J46)</f>
        <v/>
      </c>
      <c r="L46" s="2201" t="str">
        <f>IF(Calc!AT46=0,"",Calc!CD46)</f>
        <v/>
      </c>
      <c r="M46" s="2251" t="str">
        <f>IF(Calc!K46=0,"",Calc!K46)</f>
        <v/>
      </c>
      <c r="N46" s="2201" t="str">
        <f>IF(Calc!AU46=0,"",Calc!CE46)</f>
        <v/>
      </c>
      <c r="O46" s="2251" t="str">
        <f>IF(Calc!L46=0,"",Calc!L46)</f>
        <v/>
      </c>
      <c r="P46" s="2201" t="str">
        <f>IF(Calc!AV46=0,"",Calc!CF46)</f>
        <v/>
      </c>
      <c r="Q46" s="2251" t="str">
        <f>IF(Calc!M46=0,"",Calc!M46)</f>
        <v/>
      </c>
      <c r="R46" s="2201" t="str">
        <f>IF(Calc!AW46=0,"",Calc!CG46)</f>
        <v/>
      </c>
      <c r="S46" s="2251" t="str">
        <f>IF(Calc!N46=0,"",Calc!N46)</f>
        <v/>
      </c>
      <c r="T46" s="2201" t="str">
        <f>IF(Calc!AX46=0,"",Calc!CH46)</f>
        <v/>
      </c>
      <c r="U46" s="2251" t="str">
        <f>IF(Calc!O46=0,"",Calc!O46)</f>
        <v/>
      </c>
      <c r="V46" s="2201" t="str">
        <f>IF(Calc!AY46=0,"",Calc!CI46)</f>
        <v/>
      </c>
      <c r="W46" s="2251" t="str">
        <f>IF(Calc!P46=0,"",Calc!P46)</f>
        <v/>
      </c>
      <c r="X46" s="2201" t="str">
        <f>IF(Calc!AZ46=0,"",Calc!CJ46)</f>
        <v/>
      </c>
      <c r="Y46" s="2251" t="str">
        <f>IF(Calc!Q46=0,"",Calc!Q46)</f>
        <v/>
      </c>
      <c r="Z46" s="2201" t="str">
        <f>IF(Calc!BA46=0,"",Calc!CK46)</f>
        <v/>
      </c>
      <c r="AA46" s="2251" t="str">
        <f>IF(Calc!R46=0,"",Calc!R46)</f>
        <v/>
      </c>
      <c r="AB46" s="2201" t="str">
        <f>IF(Calc!BB46=0,"",Calc!CL46)</f>
        <v/>
      </c>
      <c r="AC46" s="2251" t="str">
        <f>IF(Calc!S46=0,"",Calc!S46)</f>
        <v/>
      </c>
      <c r="AD46" s="2201" t="str">
        <f>IF(Calc!BC46=0,"",Calc!CM46)</f>
        <v/>
      </c>
      <c r="AE46" s="2251" t="str">
        <f>IF(Calc!T46=0,"",Calc!T46)</f>
        <v/>
      </c>
      <c r="AF46" s="2201" t="str">
        <f>IF(Calc!BD46=0,"",Calc!CN46)</f>
        <v/>
      </c>
      <c r="AG46" s="2251" t="str">
        <f>IF(Calc!U46=0,"",Calc!U46)</f>
        <v/>
      </c>
      <c r="AH46" s="2201" t="str">
        <f>IF(Calc!BE46=0,"",Calc!CO46)</f>
        <v/>
      </c>
      <c r="AI46" s="2251" t="str">
        <f>IF(Calc!V46=0,"",Calc!V46)</f>
        <v/>
      </c>
      <c r="AJ46" s="2201" t="str">
        <f>IF(Calc!BF46=0,"",Calc!CP46)</f>
        <v/>
      </c>
      <c r="AK46" s="2251" t="str">
        <f>IF(Calc!W46=0,"",Calc!W46)</f>
        <v/>
      </c>
      <c r="AL46" s="2201" t="str">
        <f>IF(Calc!BG46=0,"",Calc!CQ46)</f>
        <v/>
      </c>
      <c r="AM46" s="2251" t="str">
        <f>IF(Calc!X46=0,"",Calc!X46)</f>
        <v/>
      </c>
      <c r="AN46" s="2201" t="str">
        <f>IF(Calc!BH46=0,"",Calc!CR46)</f>
        <v/>
      </c>
      <c r="AO46" s="2251" t="str">
        <f>IF(Calc!Y46=0,"",Calc!Y46)</f>
        <v/>
      </c>
      <c r="AP46" s="2201" t="str">
        <f>IF(Calc!BJ46=0,"",Calc!CS46)</f>
        <v/>
      </c>
      <c r="AQ46" s="2251" t="str">
        <f>IF(Calc!Z46=0,"",Calc!Z46)</f>
        <v/>
      </c>
      <c r="AR46" s="2201" t="str">
        <f>IF(Calc!BL46=0,"",Calc!CT46)</f>
        <v/>
      </c>
      <c r="AS46" s="2251" t="str">
        <f>IF(Calc!AA46=0,"",Calc!AA46)</f>
        <v/>
      </c>
      <c r="AT46" s="2201" t="str">
        <f>IF(Calc!BN46=0,"",Calc!CU46)</f>
        <v/>
      </c>
      <c r="AU46" s="2251" t="str">
        <f>IF(Calc!AB46=0,"",Calc!AB46)</f>
        <v/>
      </c>
      <c r="AV46" s="2201" t="str">
        <f>IF(Calc!BP46=0,"",Calc!CV46)</f>
        <v/>
      </c>
      <c r="AW46" s="2251" t="str">
        <f>IF(Calc!AC46=0,"",Calc!AC46)</f>
        <v/>
      </c>
      <c r="AX46" s="2201" t="str">
        <f>IF(Calc!BR46=0,"",Calc!CW46)</f>
        <v/>
      </c>
      <c r="AY46" s="2251" t="str">
        <f>IF(Calc!AD46=0,"",Calc!AD46)</f>
        <v/>
      </c>
      <c r="AZ46" s="2201" t="str">
        <f>IF(Calc!BT46=0,"",Calc!CX46)</f>
        <v/>
      </c>
      <c r="BA46" s="2251" t="str">
        <f>IF(Calc!AE46=0,"",Calc!AE46)</f>
        <v/>
      </c>
      <c r="BB46" s="2201" t="str">
        <f>IF(Calc!BV46=0,"",Calc!CY46)</f>
        <v/>
      </c>
      <c r="BC46" s="2251" t="str">
        <f>IF(Calc!AF46=0,"",Calc!AF46)</f>
        <v/>
      </c>
      <c r="BD46" s="2201" t="str">
        <f>IF(Calc!BX46=0,"",Calc!CZ46)</f>
        <v/>
      </c>
      <c r="BE46" s="2251" t="str">
        <f>IF(Calc!AG46=0,"",Calc!AG46)</f>
        <v/>
      </c>
      <c r="BF46" s="2201" t="str">
        <f>IF(Calc!BZ46=0,"",Calc!DA46)</f>
        <v/>
      </c>
      <c r="BG46" s="2251" t="str">
        <f>IF(Calc!AH46=0,"",Calc!AH46)</f>
        <v/>
      </c>
      <c r="BH46" s="2201" t="str">
        <f>IF(Calc!CB46=0,"",Calc!DB46)</f>
        <v/>
      </c>
      <c r="BI46" s="2251" t="str">
        <f>IF(Calc!AI46=0,"",Calc!AI46)</f>
        <v/>
      </c>
      <c r="BJ46" s="2201" t="str">
        <f>IF(Calc!BS46=0,"",Calc!DC46)</f>
        <v/>
      </c>
      <c r="BK46" s="2251"/>
      <c r="BL46" s="2252"/>
      <c r="BM46" s="2204"/>
      <c r="BN46" s="1070"/>
      <c r="BO46" s="1070"/>
      <c r="BP46" s="2253" t="str">
        <f>IFERROR(BP45/BP33,"")</f>
        <v/>
      </c>
      <c r="BQ46" s="2260"/>
      <c r="BR46" s="2260"/>
      <c r="BS46" s="2265"/>
    </row>
    <row r="47" spans="1:71" s="2266" customFormat="1" hidden="1" outlineLevel="2" x14ac:dyDescent="0.3">
      <c r="A47" s="2260"/>
      <c r="B47" s="2197" t="str">
        <f t="shared" si="0"/>
        <v>Product Family GP %</v>
      </c>
      <c r="C47" s="1115"/>
      <c r="D47" s="2254"/>
      <c r="E47" s="2250" t="str">
        <f>IF(Calc!G47=0,"",Calc!G47)</f>
        <v/>
      </c>
      <c r="F47" s="2201" t="str">
        <f>IF(Calc!AQ47=0,"",Calc!CA47)</f>
        <v/>
      </c>
      <c r="G47" s="2251" t="str">
        <f>IF(Calc!H47=0,"",Calc!H47)</f>
        <v/>
      </c>
      <c r="H47" s="2201" t="str">
        <f>IF(Calc!AR47=0,"",Calc!CB47)</f>
        <v/>
      </c>
      <c r="I47" s="2251" t="str">
        <f>IF(Calc!I47=0,"",Calc!I47)</f>
        <v/>
      </c>
      <c r="J47" s="2201" t="str">
        <f>IF(Calc!AS47=0,"",Calc!CC47)</f>
        <v/>
      </c>
      <c r="K47" s="2251" t="str">
        <f>IF(Calc!J47=0,"",Calc!J47)</f>
        <v/>
      </c>
      <c r="L47" s="2201" t="str">
        <f>IF(Calc!AT47=0,"",Calc!CD47)</f>
        <v/>
      </c>
      <c r="M47" s="2251" t="str">
        <f>IF(Calc!K47=0,"",Calc!K47)</f>
        <v/>
      </c>
      <c r="N47" s="2201" t="str">
        <f>IF(Calc!AU47=0,"",Calc!CE47)</f>
        <v/>
      </c>
      <c r="O47" s="2251" t="str">
        <f>IF(Calc!L47=0,"",Calc!L47)</f>
        <v/>
      </c>
      <c r="P47" s="2201" t="str">
        <f>IF(Calc!AV47=0,"",Calc!CF47)</f>
        <v/>
      </c>
      <c r="Q47" s="2251" t="str">
        <f>IF(Calc!M47=0,"",Calc!M47)</f>
        <v/>
      </c>
      <c r="R47" s="2201" t="str">
        <f>IF(Calc!AW47=0,"",Calc!CG47)</f>
        <v/>
      </c>
      <c r="S47" s="2251" t="str">
        <f>IF(Calc!N47=0,"",Calc!N47)</f>
        <v/>
      </c>
      <c r="T47" s="2201" t="str">
        <f>IF(Calc!AX47=0,"",Calc!CH47)</f>
        <v/>
      </c>
      <c r="U47" s="2251" t="str">
        <f>IF(Calc!O47=0,"",Calc!O47)</f>
        <v/>
      </c>
      <c r="V47" s="2201" t="str">
        <f>IF(Calc!AY47=0,"",Calc!CI47)</f>
        <v/>
      </c>
      <c r="W47" s="2251" t="str">
        <f>IF(Calc!P47=0,"",Calc!P47)</f>
        <v/>
      </c>
      <c r="X47" s="2201" t="str">
        <f>IF(Calc!AZ47=0,"",Calc!CJ47)</f>
        <v/>
      </c>
      <c r="Y47" s="2251" t="str">
        <f>IF(Calc!Q47=0,"",Calc!Q47)</f>
        <v/>
      </c>
      <c r="Z47" s="2201" t="str">
        <f>IF(Calc!BA47=0,"",Calc!CK47)</f>
        <v/>
      </c>
      <c r="AA47" s="2251" t="str">
        <f>IF(Calc!R47=0,"",Calc!R47)</f>
        <v/>
      </c>
      <c r="AB47" s="2201" t="str">
        <f>IF(Calc!BB47=0,"",Calc!CL47)</f>
        <v/>
      </c>
      <c r="AC47" s="2251" t="str">
        <f>IF(Calc!S47=0,"",Calc!S47)</f>
        <v/>
      </c>
      <c r="AD47" s="2201" t="str">
        <f>IF(Calc!BC47=0,"",Calc!CM47)</f>
        <v/>
      </c>
      <c r="AE47" s="2251" t="str">
        <f>IF(Calc!T47=0,"",Calc!T47)</f>
        <v/>
      </c>
      <c r="AF47" s="2201" t="str">
        <f>IF(Calc!BD47=0,"",Calc!CN47)</f>
        <v/>
      </c>
      <c r="AG47" s="2251" t="str">
        <f>IF(Calc!U47=0,"",Calc!U47)</f>
        <v/>
      </c>
      <c r="AH47" s="2201" t="str">
        <f>IF(Calc!BE47=0,"",Calc!CO47)</f>
        <v/>
      </c>
      <c r="AI47" s="2251" t="str">
        <f>IF(Calc!V47=0,"",Calc!V47)</f>
        <v/>
      </c>
      <c r="AJ47" s="2201" t="str">
        <f>IF(Calc!BF47=0,"",Calc!CP47)</f>
        <v/>
      </c>
      <c r="AK47" s="2251" t="str">
        <f>IF(Calc!W47=0,"",Calc!W47)</f>
        <v/>
      </c>
      <c r="AL47" s="2201" t="str">
        <f>IF(Calc!BG47=0,"",Calc!CQ47)</f>
        <v/>
      </c>
      <c r="AM47" s="2251" t="str">
        <f>IF(Calc!X47=0,"",Calc!X47)</f>
        <v/>
      </c>
      <c r="AN47" s="2201" t="str">
        <f>IF(Calc!BH47=0,"",Calc!CR47)</f>
        <v/>
      </c>
      <c r="AO47" s="2251" t="str">
        <f>IF(Calc!Y47=0,"",Calc!Y47)</f>
        <v/>
      </c>
      <c r="AP47" s="2201" t="str">
        <f>IF(Calc!BJ47=0,"",Calc!CS47)</f>
        <v/>
      </c>
      <c r="AQ47" s="2251" t="str">
        <f>IF(Calc!Z47=0,"",Calc!Z47)</f>
        <v/>
      </c>
      <c r="AR47" s="2201" t="str">
        <f>IF(Calc!BL47=0,"",Calc!CT47)</f>
        <v/>
      </c>
      <c r="AS47" s="2251" t="str">
        <f>IF(Calc!AA47=0,"",Calc!AA47)</f>
        <v/>
      </c>
      <c r="AT47" s="2201" t="str">
        <f>IF(Calc!BN47=0,"",Calc!CU47)</f>
        <v/>
      </c>
      <c r="AU47" s="2251" t="str">
        <f>IF(Calc!AB47=0,"",Calc!AB47)</f>
        <v/>
      </c>
      <c r="AV47" s="2201" t="str">
        <f>IF(Calc!BP47=0,"",Calc!CV47)</f>
        <v/>
      </c>
      <c r="AW47" s="2251" t="str">
        <f>IF(Calc!AC47=0,"",Calc!AC47)</f>
        <v/>
      </c>
      <c r="AX47" s="2201" t="str">
        <f>IF(Calc!BR47=0,"",Calc!CW47)</f>
        <v/>
      </c>
      <c r="AY47" s="2251" t="str">
        <f>IF(Calc!AD47=0,"",Calc!AD47)</f>
        <v/>
      </c>
      <c r="AZ47" s="2201" t="str">
        <f>IF(Calc!BT47=0,"",Calc!CX47)</f>
        <v/>
      </c>
      <c r="BA47" s="2251" t="str">
        <f>IF(Calc!AE47=0,"",Calc!AE47)</f>
        <v/>
      </c>
      <c r="BB47" s="2201" t="str">
        <f>IF(Calc!BV47=0,"",Calc!CY47)</f>
        <v/>
      </c>
      <c r="BC47" s="2251" t="str">
        <f>IF(Calc!AF47=0,"",Calc!AF47)</f>
        <v/>
      </c>
      <c r="BD47" s="2201" t="str">
        <f>IF(Calc!BX47=0,"",Calc!CZ47)</f>
        <v/>
      </c>
      <c r="BE47" s="2251" t="str">
        <f>IF(Calc!AG47=0,"",Calc!AG47)</f>
        <v/>
      </c>
      <c r="BF47" s="2201" t="str">
        <f>IF(Calc!BZ47=0,"",Calc!DA47)</f>
        <v/>
      </c>
      <c r="BG47" s="2251" t="str">
        <f>IF(Calc!AH47=0,"",Calc!AH47)</f>
        <v/>
      </c>
      <c r="BH47" s="2201" t="str">
        <f>IF(Calc!CB47=0,"",Calc!DB47)</f>
        <v/>
      </c>
      <c r="BI47" s="2251" t="str">
        <f>IF(Calc!AI47=0,"",Calc!AI47)</f>
        <v/>
      </c>
      <c r="BJ47" s="2201" t="str">
        <f>IF(Calc!BS47=0,"",Calc!DC47)</f>
        <v/>
      </c>
      <c r="BK47" s="2251"/>
      <c r="BL47" s="2255"/>
      <c r="BM47" s="2204"/>
      <c r="BN47" s="2189"/>
      <c r="BO47" s="1070"/>
      <c r="BP47" s="2253"/>
      <c r="BQ47" s="2260"/>
      <c r="BR47" s="2260"/>
      <c r="BS47" s="2265"/>
    </row>
    <row r="48" spans="1:71" s="2266" customFormat="1" hidden="1" outlineLevel="2" x14ac:dyDescent="0.3">
      <c r="A48" s="2260"/>
      <c r="B48" s="1463" t="str">
        <f t="shared" si="0"/>
        <v>Market GP %</v>
      </c>
      <c r="C48" s="2207"/>
      <c r="D48" s="2256"/>
      <c r="E48" s="2257" t="str">
        <f>IF(Calc!G48=0,"",Calc!G48)</f>
        <v/>
      </c>
      <c r="F48" s="2210" t="str">
        <f>IF(Calc!AQ48=0,"",Calc!CA48)</f>
        <v/>
      </c>
      <c r="G48" s="2257" t="str">
        <f>IF(Calc!H48=0,"",Calc!H48)</f>
        <v/>
      </c>
      <c r="H48" s="2210" t="str">
        <f>IF(Calc!AR48=0,"",Calc!CB48)</f>
        <v/>
      </c>
      <c r="I48" s="2257" t="str">
        <f>IF(Calc!I48=0,"",Calc!I48)</f>
        <v/>
      </c>
      <c r="J48" s="2210" t="str">
        <f>IF(Calc!AS48=0,"",Calc!CC48)</f>
        <v/>
      </c>
      <c r="K48" s="2257" t="str">
        <f>IF(Calc!J48=0,"",Calc!J48)</f>
        <v/>
      </c>
      <c r="L48" s="2210" t="str">
        <f>IF(Calc!AT48=0,"",Calc!CD48)</f>
        <v/>
      </c>
      <c r="M48" s="2257" t="str">
        <f>IF(Calc!K48=0,"",Calc!K48)</f>
        <v/>
      </c>
      <c r="N48" s="2210" t="str">
        <f>IF(Calc!AU48=0,"",Calc!CE48)</f>
        <v/>
      </c>
      <c r="O48" s="2257" t="str">
        <f>IF(Calc!L48=0,"",Calc!L48)</f>
        <v/>
      </c>
      <c r="P48" s="2210" t="str">
        <f>IF(Calc!AV48=0,"",Calc!CF48)</f>
        <v/>
      </c>
      <c r="Q48" s="2257" t="str">
        <f>IF(Calc!M48=0,"",Calc!M48)</f>
        <v/>
      </c>
      <c r="R48" s="2210" t="str">
        <f>IF(Calc!AW48=0,"",Calc!CG48)</f>
        <v/>
      </c>
      <c r="S48" s="2257" t="str">
        <f>IF(Calc!N48=0,"",Calc!N48)</f>
        <v/>
      </c>
      <c r="T48" s="2210" t="str">
        <f>IF(Calc!AX48=0,"",Calc!CH48)</f>
        <v/>
      </c>
      <c r="U48" s="2257" t="str">
        <f>IF(Calc!O48=0,"",Calc!O48)</f>
        <v/>
      </c>
      <c r="V48" s="2210" t="str">
        <f>IF(Calc!AY48=0,"",Calc!CI48)</f>
        <v/>
      </c>
      <c r="W48" s="2257" t="str">
        <f>IF(Calc!P48=0,"",Calc!P48)</f>
        <v/>
      </c>
      <c r="X48" s="2210" t="str">
        <f>IF(Calc!AZ48=0,"",Calc!CJ48)</f>
        <v/>
      </c>
      <c r="Y48" s="2257" t="str">
        <f>IF(Calc!Q48=0,"",Calc!Q48)</f>
        <v/>
      </c>
      <c r="Z48" s="2210" t="str">
        <f>IF(Calc!BA48=0,"",Calc!CK48)</f>
        <v/>
      </c>
      <c r="AA48" s="2257" t="str">
        <f>IF(Calc!R48=0,"",Calc!R48)</f>
        <v/>
      </c>
      <c r="AB48" s="2210" t="str">
        <f>IF(Calc!BB48=0,"",Calc!CL48)</f>
        <v/>
      </c>
      <c r="AC48" s="2257" t="str">
        <f>IF(Calc!S48=0,"",Calc!S48)</f>
        <v/>
      </c>
      <c r="AD48" s="2210" t="str">
        <f>IF(Calc!BC48=0,"",Calc!CM48)</f>
        <v/>
      </c>
      <c r="AE48" s="2257" t="str">
        <f>IF(Calc!T48=0,"",Calc!T48)</f>
        <v/>
      </c>
      <c r="AF48" s="2210" t="str">
        <f>IF(Calc!BD48=0,"",Calc!CN48)</f>
        <v/>
      </c>
      <c r="AG48" s="2257" t="str">
        <f>IF(Calc!U48=0,"",Calc!U48)</f>
        <v/>
      </c>
      <c r="AH48" s="2210" t="str">
        <f>IF(Calc!BE48=0,"",Calc!CO48)</f>
        <v/>
      </c>
      <c r="AI48" s="2257" t="str">
        <f>IF(Calc!V48=0,"",Calc!V48)</f>
        <v/>
      </c>
      <c r="AJ48" s="2210" t="str">
        <f>IF(Calc!BF48=0,"",Calc!CP48)</f>
        <v/>
      </c>
      <c r="AK48" s="2257" t="str">
        <f>IF(Calc!W48=0,"",Calc!W48)</f>
        <v/>
      </c>
      <c r="AL48" s="2210" t="str">
        <f>IF(Calc!BG48=0,"",Calc!CQ48)</f>
        <v/>
      </c>
      <c r="AM48" s="2257" t="str">
        <f>IF(Calc!X48=0,"",Calc!X48)</f>
        <v/>
      </c>
      <c r="AN48" s="2210" t="str">
        <f>IF(Calc!BH48=0,"",Calc!CR48)</f>
        <v/>
      </c>
      <c r="AO48" s="2257" t="str">
        <f>IF(Calc!Y48=0,"",Calc!Y48)</f>
        <v/>
      </c>
      <c r="AP48" s="2210" t="str">
        <f>IF(Calc!BJ48=0,"",Calc!CS48)</f>
        <v/>
      </c>
      <c r="AQ48" s="2257" t="str">
        <f>IF(Calc!Z48=0,"",Calc!Z48)</f>
        <v/>
      </c>
      <c r="AR48" s="2210" t="str">
        <f>IF(Calc!BL48=0,"",Calc!CT48)</f>
        <v/>
      </c>
      <c r="AS48" s="2257" t="str">
        <f>IF(Calc!AA48=0,"",Calc!AA48)</f>
        <v/>
      </c>
      <c r="AT48" s="2210" t="str">
        <f>IF(Calc!BN48=0,"",Calc!CU48)</f>
        <v/>
      </c>
      <c r="AU48" s="2257" t="str">
        <f>IF(Calc!AB48=0,"",Calc!AB48)</f>
        <v/>
      </c>
      <c r="AV48" s="2210" t="str">
        <f>IF(Calc!BP48=0,"",Calc!CV48)</f>
        <v/>
      </c>
      <c r="AW48" s="2257" t="str">
        <f>IF(Calc!AC48=0,"",Calc!AC48)</f>
        <v/>
      </c>
      <c r="AX48" s="2210" t="str">
        <f>IF(Calc!BR48=0,"",Calc!CW48)</f>
        <v/>
      </c>
      <c r="AY48" s="2257" t="str">
        <f>IF(Calc!AD48=0,"",Calc!AD48)</f>
        <v/>
      </c>
      <c r="AZ48" s="2210" t="str">
        <f>IF(Calc!BT48=0,"",Calc!CX48)</f>
        <v/>
      </c>
      <c r="BA48" s="2257" t="str">
        <f>IF(Calc!AE48=0,"",Calc!AE48)</f>
        <v/>
      </c>
      <c r="BB48" s="2210" t="str">
        <f>IF(Calc!BV48=0,"",Calc!CY48)</f>
        <v/>
      </c>
      <c r="BC48" s="2257" t="str">
        <f>IF(Calc!AF48=0,"",Calc!AF48)</f>
        <v/>
      </c>
      <c r="BD48" s="2210" t="str">
        <f>IF(Calc!BX48=0,"",Calc!CZ48)</f>
        <v/>
      </c>
      <c r="BE48" s="2257" t="str">
        <f>IF(Calc!AG48=0,"",Calc!AG48)</f>
        <v/>
      </c>
      <c r="BF48" s="2210" t="str">
        <f>IF(Calc!BZ48=0,"",Calc!DA48)</f>
        <v/>
      </c>
      <c r="BG48" s="2257" t="str">
        <f>IF(Calc!AH48=0,"",Calc!AH48)</f>
        <v/>
      </c>
      <c r="BH48" s="2210" t="str">
        <f>IF(Calc!CB48=0,"",Calc!DB48)</f>
        <v/>
      </c>
      <c r="BI48" s="2257" t="str">
        <f>IF(Calc!AI48=0,"",Calc!AI48)</f>
        <v/>
      </c>
      <c r="BJ48" s="2210" t="str">
        <f>IF(Calc!BS48=0,"",Calc!DC48)</f>
        <v/>
      </c>
      <c r="BK48" s="2257"/>
      <c r="BL48" s="2258"/>
      <c r="BM48" s="2213"/>
      <c r="BN48" s="2189"/>
      <c r="BO48" s="1070"/>
      <c r="BP48" s="2259"/>
      <c r="BQ48" s="2260"/>
      <c r="BR48" s="2260"/>
      <c r="BS48" s="2265"/>
    </row>
    <row r="49" spans="1:71" s="2266" customFormat="1" ht="12.75" customHeight="1" collapsed="1" x14ac:dyDescent="0.3">
      <c r="A49" s="2260"/>
      <c r="B49" s="2261"/>
      <c r="C49" s="2261"/>
      <c r="D49" s="2262"/>
      <c r="E49" s="2262"/>
      <c r="F49" s="2262"/>
      <c r="G49" s="2262"/>
      <c r="H49" s="2262"/>
      <c r="I49" s="2262"/>
      <c r="J49" s="2262"/>
      <c r="K49" s="2262"/>
      <c r="L49" s="2262"/>
      <c r="M49" s="2262"/>
      <c r="N49" s="2262"/>
      <c r="O49" s="2262"/>
      <c r="P49" s="2262"/>
      <c r="Q49" s="2262"/>
      <c r="R49" s="2262"/>
      <c r="S49" s="2262"/>
      <c r="T49" s="2262"/>
      <c r="U49" s="2262"/>
      <c r="V49" s="2262"/>
      <c r="W49" s="2262"/>
      <c r="X49" s="2262"/>
      <c r="Y49" s="2262"/>
      <c r="Z49" s="2262"/>
      <c r="AA49" s="2262"/>
      <c r="AB49" s="2262"/>
      <c r="AC49" s="2262"/>
      <c r="AD49" s="2262"/>
      <c r="AE49" s="2262"/>
      <c r="AF49" s="2262"/>
      <c r="AG49" s="2262"/>
      <c r="AH49" s="2262"/>
      <c r="AI49" s="2262"/>
      <c r="AJ49" s="2262"/>
      <c r="AK49" s="2262"/>
      <c r="AL49" s="2262"/>
      <c r="AM49" s="2262"/>
      <c r="AN49" s="2262"/>
      <c r="AO49" s="2262"/>
      <c r="AP49" s="2262"/>
      <c r="AQ49" s="2262"/>
      <c r="AR49" s="2262"/>
      <c r="AS49" s="2262"/>
      <c r="AT49" s="2262"/>
      <c r="AU49" s="2262"/>
      <c r="AV49" s="2262"/>
      <c r="AW49" s="2262"/>
      <c r="AX49" s="2262"/>
      <c r="AY49" s="2262"/>
      <c r="AZ49" s="2262"/>
      <c r="BA49" s="2262"/>
      <c r="BB49" s="2262"/>
      <c r="BC49" s="2262"/>
      <c r="BD49" s="2262"/>
      <c r="BE49" s="2262"/>
      <c r="BF49" s="2262"/>
      <c r="BG49" s="2262"/>
      <c r="BH49" s="2262"/>
      <c r="BI49" s="2262"/>
      <c r="BJ49" s="2262"/>
      <c r="BK49" s="2262"/>
      <c r="BL49" s="2262"/>
      <c r="BM49" s="2264"/>
      <c r="BN49" s="2260"/>
      <c r="BO49" s="1070"/>
      <c r="BP49" s="1070"/>
      <c r="BQ49" s="2260"/>
      <c r="BR49" s="2260"/>
      <c r="BS49" s="2265"/>
    </row>
    <row r="50" spans="1:71" s="2266" customFormat="1" ht="31.8" hidden="1" outlineLevel="1" thickBot="1" x14ac:dyDescent="0.35">
      <c r="A50" s="2260"/>
      <c r="B50" s="2261"/>
      <c r="C50" s="2261"/>
      <c r="D50" s="2262"/>
      <c r="E50" s="3312">
        <f>E6</f>
        <v>0</v>
      </c>
      <c r="F50" s="3313"/>
      <c r="G50" s="3314">
        <f>G6</f>
        <v>0</v>
      </c>
      <c r="H50" s="3313"/>
      <c r="I50" s="3314">
        <f>I6</f>
        <v>0</v>
      </c>
      <c r="J50" s="3313"/>
      <c r="K50" s="3314">
        <f>K6</f>
        <v>0</v>
      </c>
      <c r="L50" s="3313"/>
      <c r="M50" s="3314">
        <f>M6</f>
        <v>0</v>
      </c>
      <c r="N50" s="3313"/>
      <c r="O50" s="3314">
        <f>O6</f>
        <v>0</v>
      </c>
      <c r="P50" s="3313"/>
      <c r="Q50" s="3314">
        <f>Q6</f>
        <v>0</v>
      </c>
      <c r="R50" s="3313"/>
      <c r="S50" s="3314">
        <f>S6</f>
        <v>0</v>
      </c>
      <c r="T50" s="3313"/>
      <c r="U50" s="3314">
        <f>U6</f>
        <v>0</v>
      </c>
      <c r="V50" s="3313"/>
      <c r="W50" s="3314">
        <f>W6</f>
        <v>0</v>
      </c>
      <c r="X50" s="3313"/>
      <c r="Y50" s="3314">
        <f>Y6</f>
        <v>0</v>
      </c>
      <c r="Z50" s="3313"/>
      <c r="AA50" s="3314">
        <f t="shared" ref="AA50" si="1">AA6</f>
        <v>0</v>
      </c>
      <c r="AB50" s="3313"/>
      <c r="AC50" s="3314">
        <f t="shared" ref="AC50" si="2">AC6</f>
        <v>0</v>
      </c>
      <c r="AD50" s="3313"/>
      <c r="AE50" s="3314">
        <f t="shared" ref="AE50" si="3">AE6</f>
        <v>0</v>
      </c>
      <c r="AF50" s="3313"/>
      <c r="AG50" s="3314">
        <f t="shared" ref="AG50" si="4">AG6</f>
        <v>0</v>
      </c>
      <c r="AH50" s="3313"/>
      <c r="AI50" s="3314">
        <f t="shared" ref="AI50" si="5">AI6</f>
        <v>0</v>
      </c>
      <c r="AJ50" s="3313"/>
      <c r="AK50" s="3314">
        <f t="shared" ref="AK50" si="6">AK6</f>
        <v>0</v>
      </c>
      <c r="AL50" s="3315"/>
      <c r="AM50" s="3314">
        <f>AM6</f>
        <v>0</v>
      </c>
      <c r="AN50" s="3315"/>
      <c r="AO50" s="3314">
        <f>AO6</f>
        <v>0</v>
      </c>
      <c r="AP50" s="3315"/>
      <c r="AQ50" s="3314">
        <f>AQ6</f>
        <v>0</v>
      </c>
      <c r="AR50" s="3315"/>
      <c r="AS50" s="3314">
        <f>AS6</f>
        <v>0</v>
      </c>
      <c r="AT50" s="3315"/>
      <c r="AU50" s="3314">
        <f>AU6</f>
        <v>0</v>
      </c>
      <c r="AV50" s="3315"/>
      <c r="AW50" s="3314">
        <f>AW6</f>
        <v>0</v>
      </c>
      <c r="AX50" s="3315"/>
      <c r="AY50" s="3314">
        <f>AY6</f>
        <v>0</v>
      </c>
      <c r="AZ50" s="3315"/>
      <c r="BA50" s="3314">
        <f>BA6</f>
        <v>0</v>
      </c>
      <c r="BB50" s="3315"/>
      <c r="BC50" s="3314">
        <f>BC6</f>
        <v>0</v>
      </c>
      <c r="BD50" s="3315"/>
      <c r="BE50" s="3314">
        <f>BE6</f>
        <v>0</v>
      </c>
      <c r="BF50" s="3315"/>
      <c r="BG50" s="3314">
        <f>BG6</f>
        <v>0</v>
      </c>
      <c r="BH50" s="3315"/>
      <c r="BI50" s="3314">
        <f>BI6</f>
        <v>0</v>
      </c>
      <c r="BJ50" s="3315"/>
      <c r="BK50" s="3316" t="s">
        <v>1570</v>
      </c>
      <c r="BL50" s="3317"/>
      <c r="BM50" s="3318"/>
      <c r="BN50" s="2260"/>
      <c r="BO50" s="1070"/>
      <c r="BP50" s="2144" t="str">
        <f>"15 Yrs Total"</f>
        <v>15 Yrs Total</v>
      </c>
      <c r="BQ50" s="2260"/>
      <c r="BR50" s="2260"/>
      <c r="BS50" s="2265"/>
    </row>
    <row r="51" spans="1:71" s="2266" customFormat="1" ht="24.9" hidden="1" customHeight="1" outlineLevel="1" thickBot="1" x14ac:dyDescent="0.35">
      <c r="A51" s="2260"/>
      <c r="B51" s="2146" t="str">
        <f>Calc!B51</f>
        <v>C</v>
      </c>
      <c r="C51" s="2147"/>
      <c r="D51" s="2148"/>
      <c r="E51" s="2149" t="str">
        <f>E7</f>
        <v>FY18</v>
      </c>
      <c r="F51" s="2150" t="str">
        <f>"vs "&amp;Comp</f>
        <v>vs Def Exit</v>
      </c>
      <c r="G51" s="2151" t="str">
        <f>G7</f>
        <v>FY19</v>
      </c>
      <c r="H51" s="2150" t="str">
        <f>"vs "&amp;Comp</f>
        <v>vs Def Exit</v>
      </c>
      <c r="I51" s="2151" t="str">
        <f>I7</f>
        <v>FY20</v>
      </c>
      <c r="J51" s="2150" t="str">
        <f>"vs "&amp;Comp</f>
        <v>vs Def Exit</v>
      </c>
      <c r="K51" s="2151" t="str">
        <f>K7</f>
        <v>FY21</v>
      </c>
      <c r="L51" s="2150" t="str">
        <f>"vs "&amp;Comp</f>
        <v>vs Def Exit</v>
      </c>
      <c r="M51" s="2151" t="str">
        <f>M7</f>
        <v>FY22</v>
      </c>
      <c r="N51" s="2150" t="str">
        <f>"vs "&amp;Comp</f>
        <v>vs Def Exit</v>
      </c>
      <c r="O51" s="2151" t="str">
        <f>O7</f>
        <v>FY23</v>
      </c>
      <c r="P51" s="2150" t="str">
        <f>"vs "&amp;Comp</f>
        <v>vs Def Exit</v>
      </c>
      <c r="Q51" s="2151" t="str">
        <f>Q7</f>
        <v>FY24</v>
      </c>
      <c r="R51" s="2150" t="str">
        <f>"vs "&amp;Comp</f>
        <v>vs Def Exit</v>
      </c>
      <c r="S51" s="2151" t="str">
        <f>S7</f>
        <v>FY25</v>
      </c>
      <c r="T51" s="2150" t="str">
        <f>"vs "&amp;Comp</f>
        <v>vs Def Exit</v>
      </c>
      <c r="U51" s="2151" t="str">
        <f>U7</f>
        <v>FY26</v>
      </c>
      <c r="V51" s="2150" t="str">
        <f>"vs "&amp;Comp</f>
        <v>vs Def Exit</v>
      </c>
      <c r="W51" s="2151" t="str">
        <f>W7</f>
        <v>FY27</v>
      </c>
      <c r="X51" s="2150" t="str">
        <f>"vs "&amp;Comp</f>
        <v>vs Def Exit</v>
      </c>
      <c r="Y51" s="2151" t="str">
        <f>Y7</f>
        <v>FY28</v>
      </c>
      <c r="Z51" s="2150" t="str">
        <f>"vs "&amp;Comp</f>
        <v>vs Def Exit</v>
      </c>
      <c r="AA51" s="2151" t="str">
        <f>AA7</f>
        <v>FY29</v>
      </c>
      <c r="AB51" s="2150" t="str">
        <f>"vs "&amp;Comp</f>
        <v>vs Def Exit</v>
      </c>
      <c r="AC51" s="2151" t="str">
        <f>AC7</f>
        <v>FY30</v>
      </c>
      <c r="AD51" s="2150" t="str">
        <f>"vs "&amp;Comp</f>
        <v>vs Def Exit</v>
      </c>
      <c r="AE51" s="2151" t="str">
        <f>AE7</f>
        <v>FY31</v>
      </c>
      <c r="AF51" s="2150" t="str">
        <f>"vs "&amp;Comp</f>
        <v>vs Def Exit</v>
      </c>
      <c r="AG51" s="2151" t="str">
        <f>AG7</f>
        <v>FY32</v>
      </c>
      <c r="AH51" s="2150" t="str">
        <f>"vs "&amp;Comp</f>
        <v>vs Def Exit</v>
      </c>
      <c r="AI51" s="2151" t="str">
        <f>AI7</f>
        <v>FY33</v>
      </c>
      <c r="AJ51" s="2152" t="str">
        <f>"vs "&amp;Comp</f>
        <v>vs Def Exit</v>
      </c>
      <c r="AK51" s="2144" t="str">
        <f>AK7</f>
        <v>FY34</v>
      </c>
      <c r="AL51" s="2152" t="str">
        <f>"vs "&amp;Comp</f>
        <v>vs Def Exit</v>
      </c>
      <c r="AM51" s="2144" t="str">
        <f>AM7</f>
        <v>FY35</v>
      </c>
      <c r="AN51" s="2152" t="str">
        <f>"vs "&amp;Comp</f>
        <v>vs Def Exit</v>
      </c>
      <c r="AO51" s="2144" t="str">
        <f>AO7</f>
        <v>FY36</v>
      </c>
      <c r="AP51" s="2152" t="str">
        <f>"vs "&amp;Comp</f>
        <v>vs Def Exit</v>
      </c>
      <c r="AQ51" s="2144" t="str">
        <f>AQ7</f>
        <v>FY37</v>
      </c>
      <c r="AR51" s="2152" t="str">
        <f>"vs "&amp;Comp</f>
        <v>vs Def Exit</v>
      </c>
      <c r="AS51" s="2144" t="str">
        <f>AS7</f>
        <v>FY38</v>
      </c>
      <c r="AT51" s="2152" t="str">
        <f>"vs "&amp;Comp</f>
        <v>vs Def Exit</v>
      </c>
      <c r="AU51" s="2144" t="str">
        <f>AU7</f>
        <v>FY39</v>
      </c>
      <c r="AV51" s="2152" t="str">
        <f>"vs "&amp;Comp</f>
        <v>vs Def Exit</v>
      </c>
      <c r="AW51" s="2144" t="str">
        <f>AW7</f>
        <v>FY40</v>
      </c>
      <c r="AX51" s="2152" t="str">
        <f>"vs "&amp;Comp</f>
        <v>vs Def Exit</v>
      </c>
      <c r="AY51" s="2144" t="str">
        <f>AY7</f>
        <v>FY41</v>
      </c>
      <c r="AZ51" s="2152" t="str">
        <f>"vs "&amp;Comp</f>
        <v>vs Def Exit</v>
      </c>
      <c r="BA51" s="2144" t="str">
        <f>BA7</f>
        <v>FY42</v>
      </c>
      <c r="BB51" s="2152" t="str">
        <f>"vs "&amp;Comp</f>
        <v>vs Def Exit</v>
      </c>
      <c r="BC51" s="2144" t="str">
        <f>BC7</f>
        <v>FY43</v>
      </c>
      <c r="BD51" s="2152" t="str">
        <f>"vs "&amp;Comp</f>
        <v>vs Def Exit</v>
      </c>
      <c r="BE51" s="2144" t="str">
        <f>BE7</f>
        <v>FY44</v>
      </c>
      <c r="BF51" s="2152" t="str">
        <f>"vs "&amp;Comp</f>
        <v>vs Def Exit</v>
      </c>
      <c r="BG51" s="2144" t="str">
        <f>BG7</f>
        <v>FY45</v>
      </c>
      <c r="BH51" s="2152" t="str">
        <f>"vs "&amp;Comp</f>
        <v>vs Def Exit</v>
      </c>
      <c r="BI51" s="2144" t="str">
        <f>BI7</f>
        <v>FY46</v>
      </c>
      <c r="BJ51" s="2152" t="str">
        <f>"vs "&amp;Comp</f>
        <v>vs Def Exit</v>
      </c>
      <c r="BK51" s="2151" t="e">
        <f>"FY"&amp;Input!$D$48&amp;"-"&amp;Input!$D$48+9</f>
        <v>#VALUE!</v>
      </c>
      <c r="BL51" s="2153"/>
      <c r="BM51" s="2150" t="str">
        <f>"vs "&amp;Comp&amp;" H/(L)"</f>
        <v>vs Def Exit H/(L)</v>
      </c>
      <c r="BN51" s="1070"/>
      <c r="BO51" s="1070"/>
      <c r="BP51" s="2151" t="str">
        <f>"FY"&amp;CurrentFY&amp;"-"&amp;CurrentFY+14</f>
        <v>FY18-32</v>
      </c>
      <c r="BQ51" s="2260"/>
      <c r="BR51" s="2260"/>
      <c r="BS51" s="2265"/>
    </row>
    <row r="52" spans="1:71" s="2266" customFormat="1" ht="2.25" hidden="1" customHeight="1" outlineLevel="1" x14ac:dyDescent="0.3">
      <c r="A52" s="2260"/>
      <c r="B52" s="2154"/>
      <c r="C52" s="2155"/>
      <c r="D52" s="2156"/>
      <c r="E52" s="1201"/>
      <c r="F52" s="2157"/>
      <c r="G52" s="1201"/>
      <c r="H52" s="2157"/>
      <c r="I52" s="1201"/>
      <c r="J52" s="2157"/>
      <c r="K52" s="1201"/>
      <c r="L52" s="2157"/>
      <c r="M52" s="1201"/>
      <c r="N52" s="2157"/>
      <c r="O52" s="1201"/>
      <c r="P52" s="2157"/>
      <c r="Q52" s="1201"/>
      <c r="R52" s="2157" t="e">
        <f>IF(Calc!AW51=0,0,IF($D$2="$ M",Calc!CG51/1000,0))</f>
        <v>#VALUE!</v>
      </c>
      <c r="S52" s="1201"/>
      <c r="T52" s="2157"/>
      <c r="U52" s="2158"/>
      <c r="V52" s="1875"/>
      <c r="W52" s="2159"/>
      <c r="X52" s="1875"/>
      <c r="Y52" s="2159"/>
      <c r="Z52" s="1875"/>
      <c r="AA52" s="2159"/>
      <c r="AB52" s="1875"/>
      <c r="AC52" s="2159"/>
      <c r="AD52" s="1875"/>
      <c r="AE52" s="2159"/>
      <c r="AF52" s="1875"/>
      <c r="AG52" s="2159"/>
      <c r="AH52" s="1875"/>
      <c r="AI52" s="2159"/>
      <c r="AJ52" s="2160"/>
      <c r="AK52" s="2159"/>
      <c r="AL52" s="1876"/>
      <c r="AM52" s="2159"/>
      <c r="AN52" s="1876"/>
      <c r="AO52" s="2159"/>
      <c r="AP52" s="1876"/>
      <c r="AQ52" s="2159"/>
      <c r="AR52" s="1876"/>
      <c r="AS52" s="2159"/>
      <c r="AT52" s="1876"/>
      <c r="AU52" s="2159"/>
      <c r="AV52" s="1876"/>
      <c r="AW52" s="2159"/>
      <c r="AX52" s="1876"/>
      <c r="AY52" s="2159"/>
      <c r="AZ52" s="1876"/>
      <c r="BA52" s="2159"/>
      <c r="BB52" s="1876"/>
      <c r="BC52" s="2159"/>
      <c r="BD52" s="1876"/>
      <c r="BE52" s="2159"/>
      <c r="BF52" s="1876"/>
      <c r="BG52" s="2159"/>
      <c r="BH52" s="1876"/>
      <c r="BI52" s="2159"/>
      <c r="BJ52" s="1876"/>
      <c r="BK52" s="2159"/>
      <c r="BL52" s="2159"/>
      <c r="BM52" s="2161"/>
      <c r="BN52" s="1070"/>
      <c r="BO52" s="1070"/>
      <c r="BP52" s="1070"/>
      <c r="BQ52" s="2260"/>
      <c r="BR52" s="2260"/>
      <c r="BS52" s="2265"/>
    </row>
    <row r="53" spans="1:71" s="2266" customFormat="1" hidden="1" outlineLevel="1" x14ac:dyDescent="0.3">
      <c r="A53" s="2260"/>
      <c r="B53" s="2162" t="str">
        <f t="shared" ref="B53:B70" si="7">B31</f>
        <v>New Product Volume (k)</v>
      </c>
      <c r="C53" s="2163"/>
      <c r="D53" s="2164">
        <f>D31</f>
        <v>0</v>
      </c>
      <c r="E53" s="2165">
        <f>IF($D$2="$ K",Calc!G52,Calc!G52/1000)</f>
        <v>0</v>
      </c>
      <c r="F53" s="2166">
        <f>IF(Calc!AQ52=0,0,IF($D$2="$ M",Calc!CA52/1000,Calc!CA52))</f>
        <v>0</v>
      </c>
      <c r="G53" s="2167">
        <f>IF($D$2="$ K",Calc!H52,Calc!H52/1000)</f>
        <v>0</v>
      </c>
      <c r="H53" s="2166">
        <f>IF(Calc!AR52=0,0,IF($D$2="$ M",Calc!CB52/1000,Calc!CB52))</f>
        <v>0</v>
      </c>
      <c r="I53" s="2167">
        <f>IF($D$2="$ K",Calc!I52,Calc!I52/1000)</f>
        <v>0</v>
      </c>
      <c r="J53" s="2166">
        <f>IF(Calc!AS52=0,0,IF($D$2="$ M",Calc!CC52/1000,Calc!CC52))</f>
        <v>0</v>
      </c>
      <c r="K53" s="2167">
        <f>IF($D$2="$ K",Calc!J52,Calc!J52/1000)</f>
        <v>0</v>
      </c>
      <c r="L53" s="2166">
        <f>IF(Calc!AT52=0,0,IF($D$2="$ M",Calc!CD52/1000,Calc!CD52))</f>
        <v>0</v>
      </c>
      <c r="M53" s="2167">
        <f>IF($D$2="$ K",Calc!K52,Calc!K52/1000)</f>
        <v>0</v>
      </c>
      <c r="N53" s="2166">
        <f>IF(Calc!AU52=0,0,IF($D$2="$ M",Calc!CE52/1000,Calc!CE52))</f>
        <v>0</v>
      </c>
      <c r="O53" s="2167">
        <f>IF($D$2="$ K",Calc!L52,Calc!L52/1000)</f>
        <v>0</v>
      </c>
      <c r="P53" s="2166">
        <f>IF(Calc!AV52=0,0,IF($D$2="$ M",Calc!CF52/1000,Calc!CF52))</f>
        <v>0</v>
      </c>
      <c r="Q53" s="2167">
        <f>IF($D$2="$ K",Calc!M52,Calc!M52/1000)</f>
        <v>0</v>
      </c>
      <c r="R53" s="2166">
        <f>IF(Calc!AW52=0,0,IF($D$2="$ M",Calc!CG52/1000,Calc!CG52))</f>
        <v>0</v>
      </c>
      <c r="S53" s="2167">
        <f>IF($D$2="$ K",Calc!N52,Calc!N52/1000)</f>
        <v>0</v>
      </c>
      <c r="T53" s="2166">
        <f>IF(Calc!AX52=0,0,IF($D$2="$ M",Calc!CH52/1000,Calc!CH52))</f>
        <v>0</v>
      </c>
      <c r="U53" s="2167">
        <f>IF($D$2="$ K",Calc!O52,Calc!O52/1000)</f>
        <v>0</v>
      </c>
      <c r="V53" s="2166">
        <f>IF(Calc!AY52=0,0,IF($D$2="$ M",Calc!CI52/1000,Calc!CI52))</f>
        <v>0</v>
      </c>
      <c r="W53" s="2167">
        <f>IF($D$2="$ K",Calc!P52,Calc!P52/1000)</f>
        <v>0</v>
      </c>
      <c r="X53" s="2166">
        <f>IF(Calc!AZ52=0,0,IF($D$2="$ M",Calc!CJ52/1000,Calc!CJ52))</f>
        <v>0</v>
      </c>
      <c r="Y53" s="2167">
        <f>IF($D$2="$ K",Calc!Q52,Calc!Q52/1000)</f>
        <v>0</v>
      </c>
      <c r="Z53" s="2166">
        <f>IF(Calc!BA52=0,0,IF($D$2="$ M",Calc!CK52/1000,Calc!CK52))</f>
        <v>0</v>
      </c>
      <c r="AA53" s="2167">
        <f>IF($D$2="$ K",Calc!R52,Calc!R52/1000)</f>
        <v>0</v>
      </c>
      <c r="AB53" s="2166">
        <f>IF(Calc!BB52=0,0,IF($D$2="$ M",Calc!CL52/1000,Calc!CL52))</f>
        <v>0</v>
      </c>
      <c r="AC53" s="2167">
        <f>IF($D$2="$ K",Calc!S52,Calc!S52/1000)</f>
        <v>0</v>
      </c>
      <c r="AD53" s="2166">
        <f>IF(Calc!BC52=0,0,IF($D$2="$ M",Calc!CM52/1000,Calc!CM52))</f>
        <v>0</v>
      </c>
      <c r="AE53" s="2167">
        <f>IF($D$2="$ K",Calc!T52,Calc!T52/1000)</f>
        <v>0</v>
      </c>
      <c r="AF53" s="2166">
        <f>IF(Calc!BD52=0,0,IF($D$2="$ M",Calc!CN52/1000,Calc!CN52))</f>
        <v>0</v>
      </c>
      <c r="AG53" s="2167">
        <f>IF($D$2="$ K",Calc!U52,Calc!U52/1000)</f>
        <v>0</v>
      </c>
      <c r="AH53" s="2166">
        <f>IF(Calc!BE52=0,0,IF($D$2="$ M",Calc!CO52/1000,Calc!CO52))</f>
        <v>0</v>
      </c>
      <c r="AI53" s="2167">
        <f>IF($D$2="$ K",Calc!V52,Calc!V52/1000)</f>
        <v>0</v>
      </c>
      <c r="AJ53" s="2166">
        <f>IF(Calc!BF52=0,0,IF($D$2="$ M",Calc!CP52/1000,Calc!CP52))</f>
        <v>0</v>
      </c>
      <c r="AK53" s="2167">
        <f>IF($D$2="$ K",Calc!W52,Calc!W52/1000)</f>
        <v>0</v>
      </c>
      <c r="AL53" s="2166">
        <f>IF(Calc!BG52=0,0,IF($D$2="$ M",Calc!CQ52/1000,Calc!CQ52))</f>
        <v>0</v>
      </c>
      <c r="AM53" s="2167">
        <f>IF($D$2="$ K",Calc!X52,Calc!X52/1000)</f>
        <v>0</v>
      </c>
      <c r="AN53" s="2166">
        <f>IF(Calc!BH52=0,0,IF($D$2="$ M",Calc!CR52/1000,Calc!CR52))</f>
        <v>0</v>
      </c>
      <c r="AO53" s="2167">
        <f>IF($D$2="$ K",Calc!Y52,Calc!Y52/1000)</f>
        <v>0</v>
      </c>
      <c r="AP53" s="2166">
        <f>IF(Calc!BJ52=0,0,IF($D$2="$ M",Calc!CS52/1000,Calc!CS52))</f>
        <v>0</v>
      </c>
      <c r="AQ53" s="2167">
        <f>IF($D$2="$ K",Calc!Z52,Calc!Z52/1000)</f>
        <v>0</v>
      </c>
      <c r="AR53" s="2166">
        <f>IF(Calc!BL52=0,0,IF($D$2="$ M",Calc!CT52/1000,Calc!CT52))</f>
        <v>0</v>
      </c>
      <c r="AS53" s="2167">
        <f>IF($D$2="$ K",Calc!AA52,Calc!AA52/1000)</f>
        <v>0</v>
      </c>
      <c r="AT53" s="2166">
        <f>IF(Calc!BN52=0,0,IF($D$2="$ M",Calc!CU52/1000,Calc!CU52))</f>
        <v>0</v>
      </c>
      <c r="AU53" s="2167">
        <f>IF($D$2="$ K",Calc!AB52,Calc!AB52/1000)</f>
        <v>0</v>
      </c>
      <c r="AV53" s="2166">
        <f>IF(Calc!BP52=0,0,IF($D$2="$ M",Calc!CV52/1000,Calc!CV52))</f>
        <v>0</v>
      </c>
      <c r="AW53" s="2167">
        <f>IF($D$2="$ K",Calc!AC52,Calc!AC52/1000)</f>
        <v>0</v>
      </c>
      <c r="AX53" s="2166">
        <f>IF(Calc!BR52=0,0,IF($D$2="$ M",Calc!CW52/1000,Calc!CW52))</f>
        <v>0</v>
      </c>
      <c r="AY53" s="2167">
        <f>IF($D$2="$ K",Calc!AD52,Calc!AD52/1000)</f>
        <v>0</v>
      </c>
      <c r="AZ53" s="2166">
        <f>IF(Calc!BT52=0,0,IF($D$2="$ M",Calc!CX52/1000,Calc!CX52))</f>
        <v>0</v>
      </c>
      <c r="BA53" s="2167">
        <f>IF($D$2="$ K",Calc!AE52,Calc!AE52/1000)</f>
        <v>0</v>
      </c>
      <c r="BB53" s="2166">
        <f>IF(Calc!BV52=0,0,IF($D$2="$ M",Calc!CY52/1000,Calc!CY52))</f>
        <v>0</v>
      </c>
      <c r="BC53" s="2167">
        <f>IF($D$2="$ K",Calc!AF52,Calc!AF52/1000)</f>
        <v>0</v>
      </c>
      <c r="BD53" s="2166">
        <f>IF(Calc!BX52=0,0,IF($D$2="$ M",Calc!CZ52/1000,Calc!CZ52))</f>
        <v>0</v>
      </c>
      <c r="BE53" s="2167">
        <f>IF($D$2="$ K",Calc!AG52,Calc!AG52/1000)</f>
        <v>0</v>
      </c>
      <c r="BF53" s="2166">
        <f>IF(Calc!BZ52=0,0,IF($D$2="$ M",Calc!DA52/1000,Calc!DA52))</f>
        <v>0</v>
      </c>
      <c r="BG53" s="2167">
        <f>IF($D$2="$ K",Calc!AH52,Calc!AH52/1000)</f>
        <v>0</v>
      </c>
      <c r="BH53" s="2166">
        <f>IF(Calc!CB52=0,0,IF($D$2="$ M",Calc!DB52/1000,Calc!DB52))</f>
        <v>0</v>
      </c>
      <c r="BI53" s="2167">
        <f>IF($D$2="$ K",Calc!AI52,Calc!AI52/1000)</f>
        <v>0</v>
      </c>
      <c r="BJ53" s="2166">
        <f>IF(Calc!BS52=0,0,IF($D$2="$ M",Calc!DC52/1000,Calc!DC52))</f>
        <v>0</v>
      </c>
      <c r="BK53" s="2167">
        <f>IF($D$2="$ K",Calc!AJ52,Calc!AJ52/1000)</f>
        <v>0</v>
      </c>
      <c r="BL53" s="2168"/>
      <c r="BM53" s="2169">
        <f>IF(Calc!BT52=0,0,IF($D$2="$ M",Calc!DD52/1000,Calc!DD52))</f>
        <v>0</v>
      </c>
      <c r="BN53" s="1314"/>
      <c r="BO53" s="1314"/>
      <c r="BP53" s="2170">
        <f>IF($D$2="$ K",Calc!AM52,Calc!AM52/1000)</f>
        <v>0</v>
      </c>
      <c r="BQ53" s="2260"/>
      <c r="BR53" s="2260"/>
      <c r="BS53" s="2265"/>
    </row>
    <row r="54" spans="1:71" s="2266" customFormat="1" hidden="1" outlineLevel="1" x14ac:dyDescent="0.3">
      <c r="A54" s="2260"/>
      <c r="B54" s="2171" t="str">
        <f t="shared" si="7"/>
        <v>New Product ASP ($)</v>
      </c>
      <c r="C54" s="2172"/>
      <c r="D54" s="2173">
        <f>D32</f>
        <v>0</v>
      </c>
      <c r="E54" s="2174">
        <f>+Calc!G53</f>
        <v>0</v>
      </c>
      <c r="F54" s="2175">
        <f>IF(Calc!AQ53=0,0,Calc!CA53)</f>
        <v>0</v>
      </c>
      <c r="G54" s="2176">
        <f>+Calc!H53</f>
        <v>0</v>
      </c>
      <c r="H54" s="2175">
        <f>IF(Calc!AR53=0,0,Calc!CB53)</f>
        <v>0</v>
      </c>
      <c r="I54" s="2176">
        <f>+Calc!I53</f>
        <v>0</v>
      </c>
      <c r="J54" s="2175">
        <f>IF(Calc!AS53=0,0,Calc!CC53)</f>
        <v>0</v>
      </c>
      <c r="K54" s="2176">
        <f>+Calc!J53</f>
        <v>0</v>
      </c>
      <c r="L54" s="2175">
        <f>IF(Calc!AT53=0,0,Calc!CD53)</f>
        <v>0</v>
      </c>
      <c r="M54" s="2176">
        <f>+Calc!K53</f>
        <v>0</v>
      </c>
      <c r="N54" s="2175">
        <f>IF(Calc!AU53=0,0,Calc!CE53)</f>
        <v>0</v>
      </c>
      <c r="O54" s="2176">
        <f>+Calc!L53</f>
        <v>0</v>
      </c>
      <c r="P54" s="2175">
        <f>IF(Calc!AV53=0,0,Calc!CF53)</f>
        <v>0</v>
      </c>
      <c r="Q54" s="2176">
        <f>+Calc!M53</f>
        <v>0</v>
      </c>
      <c r="R54" s="2175">
        <f>IF(Calc!AW53=0,0,Calc!CG53)</f>
        <v>0</v>
      </c>
      <c r="S54" s="2176">
        <f>+Calc!N53</f>
        <v>0</v>
      </c>
      <c r="T54" s="2175">
        <f>IF(Calc!AX53=0,0,Calc!CH53)</f>
        <v>0</v>
      </c>
      <c r="U54" s="2176">
        <f>+Calc!O53</f>
        <v>0</v>
      </c>
      <c r="V54" s="2175">
        <f>IF(Calc!AY53=0,0,Calc!CI53)</f>
        <v>0</v>
      </c>
      <c r="W54" s="2176">
        <f>+Calc!P53</f>
        <v>0</v>
      </c>
      <c r="X54" s="2175">
        <f>IF(Calc!AZ53=0,0,Calc!CJ53)</f>
        <v>0</v>
      </c>
      <c r="Y54" s="2176">
        <f>+Calc!Q53</f>
        <v>0</v>
      </c>
      <c r="Z54" s="2175">
        <f>IF(Calc!BA53=0,0,Calc!CK53)</f>
        <v>0</v>
      </c>
      <c r="AA54" s="2176">
        <f>+Calc!R53</f>
        <v>0</v>
      </c>
      <c r="AB54" s="2175">
        <f>IF(Calc!BB53=0,0,Calc!CL53)</f>
        <v>0</v>
      </c>
      <c r="AC54" s="2176">
        <f>+Calc!S53</f>
        <v>0</v>
      </c>
      <c r="AD54" s="2175">
        <f>IF(Calc!BC53=0,0,Calc!CM53)</f>
        <v>0</v>
      </c>
      <c r="AE54" s="2176">
        <f>+Calc!T53</f>
        <v>0</v>
      </c>
      <c r="AF54" s="2175">
        <f>IF(Calc!BD53=0,0,Calc!CN53)</f>
        <v>0</v>
      </c>
      <c r="AG54" s="2176">
        <f>+Calc!U53</f>
        <v>0</v>
      </c>
      <c r="AH54" s="2175">
        <f>IF(Calc!BE53=0,0,Calc!CO53)</f>
        <v>0</v>
      </c>
      <c r="AI54" s="2176">
        <f>+Calc!V53</f>
        <v>0</v>
      </c>
      <c r="AJ54" s="2175">
        <f>IF(Calc!BF53=0,0,Calc!CP53)</f>
        <v>0</v>
      </c>
      <c r="AK54" s="2176">
        <f>+Calc!W53</f>
        <v>0</v>
      </c>
      <c r="AL54" s="2175">
        <f>IF(Calc!BG53=0,0,Calc!CQ53)</f>
        <v>0</v>
      </c>
      <c r="AM54" s="2176">
        <f>+Calc!X53</f>
        <v>0</v>
      </c>
      <c r="AN54" s="2175">
        <f>IF(Calc!BH53=0,0,Calc!CR53)</f>
        <v>0</v>
      </c>
      <c r="AO54" s="2176">
        <f>+Calc!Y53</f>
        <v>0</v>
      </c>
      <c r="AP54" s="2175">
        <f>IF(Calc!BJ53=0,0,Calc!CS53)</f>
        <v>0</v>
      </c>
      <c r="AQ54" s="2176">
        <f>+Calc!Z53</f>
        <v>0</v>
      </c>
      <c r="AR54" s="2175">
        <f>IF(Calc!BL53=0,0,Calc!CT53)</f>
        <v>0</v>
      </c>
      <c r="AS54" s="2176">
        <f>+Calc!AA53</f>
        <v>0</v>
      </c>
      <c r="AT54" s="2175">
        <f>IF(Calc!BN53=0,0,Calc!CU53)</f>
        <v>0</v>
      </c>
      <c r="AU54" s="2176">
        <f>+Calc!AB53</f>
        <v>0</v>
      </c>
      <c r="AV54" s="2175">
        <f>IF(Calc!BP53=0,0,Calc!CV53)</f>
        <v>0</v>
      </c>
      <c r="AW54" s="2176">
        <f>+Calc!AC53</f>
        <v>0</v>
      </c>
      <c r="AX54" s="2175">
        <f>IF(Calc!BR53=0,0,Calc!CW53)</f>
        <v>0</v>
      </c>
      <c r="AY54" s="2176">
        <f>+Calc!AD53</f>
        <v>0</v>
      </c>
      <c r="AZ54" s="2175" t="e">
        <f>IF(Calc!BT53=0,0,Calc!CX53)</f>
        <v>#DIV/0!</v>
      </c>
      <c r="BA54" s="2176">
        <f>+Calc!AE53</f>
        <v>0</v>
      </c>
      <c r="BB54" s="2175">
        <f>IF(Calc!BV53=0,0,Calc!CY53)</f>
        <v>0</v>
      </c>
      <c r="BC54" s="2176">
        <f>+Calc!AF53</f>
        <v>0</v>
      </c>
      <c r="BD54" s="2175">
        <f>IF(Calc!BX53=0,0,Calc!CZ53)</f>
        <v>0</v>
      </c>
      <c r="BE54" s="2176">
        <f>+Calc!AG53</f>
        <v>0</v>
      </c>
      <c r="BF54" s="2175">
        <f>IF(Calc!BZ53=0,0,Calc!DA53)</f>
        <v>0</v>
      </c>
      <c r="BG54" s="2176">
        <f>+Calc!AH53</f>
        <v>0</v>
      </c>
      <c r="BH54" s="2175">
        <f>IF(Calc!CB53=0,0,Calc!DB53)</f>
        <v>0</v>
      </c>
      <c r="BI54" s="2176">
        <f>+Calc!AI53</f>
        <v>0</v>
      </c>
      <c r="BJ54" s="2175">
        <f>IF(Calc!BS53=0,0,Calc!DC53)</f>
        <v>0</v>
      </c>
      <c r="BK54" s="2176" t="e">
        <f>+Calc!AJ53</f>
        <v>#DIV/0!</v>
      </c>
      <c r="BL54" s="2177"/>
      <c r="BM54" s="2178" t="e">
        <f>IF(Calc!BT53=0,0,Calc!DD53)</f>
        <v>#DIV/0!</v>
      </c>
      <c r="BN54" s="1314"/>
      <c r="BO54" s="1314"/>
      <c r="BP54" s="2179"/>
      <c r="BQ54" s="2260"/>
      <c r="BR54" s="2260"/>
      <c r="BS54" s="2265"/>
    </row>
    <row r="55" spans="1:71" s="2269" customFormat="1" ht="18" hidden="1" outlineLevel="1" x14ac:dyDescent="0.35">
      <c r="A55" s="2267"/>
      <c r="B55" s="2180" t="s">
        <v>1573</v>
      </c>
      <c r="C55" s="2181"/>
      <c r="D55" s="2182"/>
      <c r="E55" s="2183">
        <f>IF($D$2="$ K",Calc!G54,Calc!G54/1000)</f>
        <v>0</v>
      </c>
      <c r="F55" s="2184">
        <f>IF(Calc!AQ54=0,0,IF($D$2="$ M",Calc!CA54/1000,Calc!CA54))</f>
        <v>0</v>
      </c>
      <c r="G55" s="2185">
        <f>IF($D$2="$ K",Calc!H54,Calc!H54/1000)</f>
        <v>0</v>
      </c>
      <c r="H55" s="2184">
        <f>IF(Calc!AR54=0,0,IF($D$2="$ M",Calc!CB54/1000,Calc!CB54))</f>
        <v>0</v>
      </c>
      <c r="I55" s="2185">
        <f>IF($D$2="$ K",Calc!I54,Calc!I54/1000)</f>
        <v>0</v>
      </c>
      <c r="J55" s="2184">
        <f>IF(Calc!AS54=0,0,IF($D$2="$ M",Calc!CC54/1000,Calc!CC54))</f>
        <v>0</v>
      </c>
      <c r="K55" s="2185">
        <f>IF($D$2="$ K",Calc!J54,Calc!J54/1000)</f>
        <v>0</v>
      </c>
      <c r="L55" s="2184">
        <f>IF(Calc!AT54=0,0,IF($D$2="$ M",Calc!CD54/1000,Calc!CD54))</f>
        <v>0</v>
      </c>
      <c r="M55" s="2185">
        <f>IF($D$2="$ K",Calc!K54,Calc!K54/1000)</f>
        <v>0</v>
      </c>
      <c r="N55" s="2184">
        <f>IF(Calc!AU54=0,0,IF($D$2="$ M",Calc!CE54/1000,Calc!CE54))</f>
        <v>0</v>
      </c>
      <c r="O55" s="2185">
        <f>IF($D$2="$ K",Calc!L54,Calc!L54/1000)</f>
        <v>0</v>
      </c>
      <c r="P55" s="2184">
        <f>IF(Calc!AV54=0,0,IF($D$2="$ M",Calc!CF54/1000,Calc!CF54))</f>
        <v>0</v>
      </c>
      <c r="Q55" s="2185">
        <f>IF($D$2="$ K",Calc!M54,Calc!M54/1000)</f>
        <v>0</v>
      </c>
      <c r="R55" s="2184">
        <f>IF(Calc!AW54=0,0,IF($D$2="$ M",Calc!CG54/1000,Calc!CG54))</f>
        <v>0</v>
      </c>
      <c r="S55" s="2185">
        <f>IF($D$2="$ K",Calc!N54,Calc!N54/1000)</f>
        <v>0</v>
      </c>
      <c r="T55" s="2184">
        <f>IF(Calc!AX54=0,0,IF($D$2="$ M",Calc!CH54/1000,Calc!CH54))</f>
        <v>0</v>
      </c>
      <c r="U55" s="2185">
        <f>IF($D$2="$ K",Calc!O54,Calc!O54/1000)</f>
        <v>0</v>
      </c>
      <c r="V55" s="2184">
        <f>IF(Calc!AY54=0,0,IF($D$2="$ M",Calc!CI54/1000,Calc!CI54))</f>
        <v>0</v>
      </c>
      <c r="W55" s="2185">
        <f>IF($D$2="$ K",Calc!P54,Calc!P54/1000)</f>
        <v>0</v>
      </c>
      <c r="X55" s="2184">
        <f>IF(Calc!AZ54=0,0,IF($D$2="$ M",Calc!CJ54/1000,Calc!CJ54))</f>
        <v>0</v>
      </c>
      <c r="Y55" s="2185">
        <f>IF($D$2="$ K",Calc!Q54,Calc!Q54/1000)</f>
        <v>0</v>
      </c>
      <c r="Z55" s="2184">
        <f>IF(Calc!BA54=0,0,IF($D$2="$ M",Calc!CK54/1000,Calc!CK54))</f>
        <v>0</v>
      </c>
      <c r="AA55" s="2185">
        <f>IF($D$2="$ K",Calc!R54,Calc!R54/1000)</f>
        <v>0</v>
      </c>
      <c r="AB55" s="2184">
        <f>IF(Calc!BB54=0,0,IF($D$2="$ M",Calc!CL54/1000,Calc!CL54))</f>
        <v>0</v>
      </c>
      <c r="AC55" s="2185">
        <f>IF($D$2="$ K",Calc!S54,Calc!S54/1000)</f>
        <v>0</v>
      </c>
      <c r="AD55" s="2184">
        <f>IF(Calc!BC54=0,0,IF($D$2="$ M",Calc!CM54/1000,Calc!CM54))</f>
        <v>0</v>
      </c>
      <c r="AE55" s="2185">
        <f>IF($D$2="$ K",Calc!T54,Calc!T54/1000)</f>
        <v>0</v>
      </c>
      <c r="AF55" s="2184">
        <f>IF(Calc!BD54=0,0,IF($D$2="$ M",Calc!CN54/1000,Calc!CN54))</f>
        <v>0</v>
      </c>
      <c r="AG55" s="2185">
        <f>IF($D$2="$ K",Calc!U54,Calc!U54/1000)</f>
        <v>0</v>
      </c>
      <c r="AH55" s="2184">
        <f>IF(Calc!BE54=0,0,IF($D$2="$ M",Calc!CO54/1000,Calc!CO54))</f>
        <v>0</v>
      </c>
      <c r="AI55" s="2185">
        <f>IF($D$2="$ K",Calc!V54,Calc!V54/1000)</f>
        <v>0</v>
      </c>
      <c r="AJ55" s="2184">
        <f>IF(Calc!BF54=0,0,IF($D$2="$ M",Calc!CP54/1000,Calc!CP54))</f>
        <v>0</v>
      </c>
      <c r="AK55" s="2185">
        <f>IF($D$2="$ K",Calc!W54,Calc!W54/1000)</f>
        <v>0</v>
      </c>
      <c r="AL55" s="2184">
        <f>IF(Calc!BG54=0,0,IF($D$2="$ M",Calc!CQ54/1000,Calc!CQ54))</f>
        <v>0</v>
      </c>
      <c r="AM55" s="2185">
        <f>IF($D$2="$ K",Calc!X54,Calc!X54/1000)</f>
        <v>0</v>
      </c>
      <c r="AN55" s="2184">
        <f>IF(Calc!BH54=0,0,IF($D$2="$ M",Calc!CR54/1000,Calc!CR54))</f>
        <v>0</v>
      </c>
      <c r="AO55" s="2185">
        <f>IF($D$2="$ K",Calc!Y54,Calc!Y54/1000)</f>
        <v>0</v>
      </c>
      <c r="AP55" s="2184">
        <f>IF(Calc!BJ54=0,0,IF($D$2="$ M",Calc!CS54/1000,Calc!CS54))</f>
        <v>0</v>
      </c>
      <c r="AQ55" s="2185">
        <f>IF($D$2="$ K",Calc!Z54,Calc!Z54/1000)</f>
        <v>0</v>
      </c>
      <c r="AR55" s="2184">
        <f>IF(Calc!BL54=0,0,IF($D$2="$ M",Calc!CT54/1000,Calc!CT54))</f>
        <v>0</v>
      </c>
      <c r="AS55" s="2185">
        <f>IF($D$2="$ K",Calc!AA54,Calc!AA54/1000)</f>
        <v>0</v>
      </c>
      <c r="AT55" s="2184">
        <f>IF(Calc!BN54=0,0,IF($D$2="$ M",Calc!CU54/1000,Calc!CU54))</f>
        <v>0</v>
      </c>
      <c r="AU55" s="2185">
        <f>IF($D$2="$ K",Calc!AB54,Calc!AB54/1000)</f>
        <v>0</v>
      </c>
      <c r="AV55" s="2184">
        <f>IF(Calc!BP54=0,0,IF($D$2="$ M",Calc!CV54/1000,Calc!CV54))</f>
        <v>0</v>
      </c>
      <c r="AW55" s="2185">
        <f>IF($D$2="$ K",Calc!AC54,Calc!AC54/1000)</f>
        <v>0</v>
      </c>
      <c r="AX55" s="2184">
        <f>IF(Calc!BR54=0,0,IF($D$2="$ M",Calc!CW54/1000,Calc!CW54))</f>
        <v>0</v>
      </c>
      <c r="AY55" s="2185">
        <f>IF($D$2="$ K",Calc!AD54,Calc!AD54/1000)</f>
        <v>0</v>
      </c>
      <c r="AZ55" s="2184">
        <f>IF(Calc!BT54=0,0,IF($D$2="$ M",Calc!CX54/1000,Calc!CX54))</f>
        <v>0</v>
      </c>
      <c r="BA55" s="2185">
        <f>IF($D$2="$ K",Calc!AE54,Calc!AE54/1000)</f>
        <v>0</v>
      </c>
      <c r="BB55" s="2184">
        <f>IF(Calc!BV54=0,0,IF($D$2="$ M",Calc!CY54/1000,Calc!CY54))</f>
        <v>0</v>
      </c>
      <c r="BC55" s="2185">
        <f>IF($D$2="$ K",Calc!AF54,Calc!AF54/1000)</f>
        <v>0</v>
      </c>
      <c r="BD55" s="2184">
        <f>IF(Calc!BX54=0,0,IF($D$2="$ M",Calc!CZ54/1000,Calc!CZ54))</f>
        <v>0</v>
      </c>
      <c r="BE55" s="2185">
        <f>IF($D$2="$ K",Calc!AG54,Calc!AG54/1000)</f>
        <v>0</v>
      </c>
      <c r="BF55" s="2184">
        <f>IF(Calc!BZ54=0,0,IF($D$2="$ M",Calc!DA54/1000,Calc!DA54))</f>
        <v>0</v>
      </c>
      <c r="BG55" s="2185">
        <f>IF($D$2="$ K",Calc!AH54,Calc!AH54/1000)</f>
        <v>0</v>
      </c>
      <c r="BH55" s="2184">
        <f>IF(Calc!CB54=0,0,IF($D$2="$ M",Calc!DB54/1000,Calc!DB54))</f>
        <v>0</v>
      </c>
      <c r="BI55" s="2185">
        <f>IF($D$2="$ K",Calc!AI54,Calc!AI54/1000)</f>
        <v>0</v>
      </c>
      <c r="BJ55" s="2184">
        <f>IF(Calc!BS54=0,0,IF($D$2="$ M",Calc!DC54/1000,Calc!DC54))</f>
        <v>0</v>
      </c>
      <c r="BK55" s="2185">
        <f>IF($D$2="$ K",Calc!AJ54,Calc!AJ54/1000)</f>
        <v>0</v>
      </c>
      <c r="BL55" s="2186"/>
      <c r="BM55" s="2187">
        <f>IF(Calc!BT54=0,0,IF($D$2="$ M",Calc!DD54/1000,Calc!DD54))</f>
        <v>0</v>
      </c>
      <c r="BN55" s="1260"/>
      <c r="BO55" s="1260"/>
      <c r="BP55" s="2188">
        <f>IF($D$2="$ K",Calc!AM54,Calc!AM54/1000)</f>
        <v>0</v>
      </c>
      <c r="BQ55" s="2267"/>
      <c r="BR55" s="2267"/>
      <c r="BS55" s="2268"/>
    </row>
    <row r="56" spans="1:71" s="2266" customFormat="1" hidden="1" outlineLevel="1" x14ac:dyDescent="0.3">
      <c r="A56" s="2260"/>
      <c r="B56" s="1217" t="str">
        <f t="shared" si="7"/>
        <v xml:space="preserve">   Less: Cannibilzation</v>
      </c>
      <c r="C56" s="1099"/>
      <c r="D56" s="2190"/>
      <c r="E56" s="2191">
        <f>IF($D$2="$ K",Calc!G55,Calc!G55/1000)</f>
        <v>0</v>
      </c>
      <c r="F56" s="1891">
        <f>IF(Calc!AQ55=0,0,IF($D$2="$ M",Calc!CA55/1000,Calc!CA55))</f>
        <v>0</v>
      </c>
      <c r="G56" s="2192">
        <f>IF($D$2="$ K",Calc!H55,Calc!H55/1000)</f>
        <v>0</v>
      </c>
      <c r="H56" s="1891">
        <f>IF(Calc!AR55=0,0,IF($D$2="$ M",Calc!CB55/1000,Calc!CB55))</f>
        <v>0</v>
      </c>
      <c r="I56" s="2192">
        <f>IF($D$2="$ K",Calc!I55,Calc!I55/1000)</f>
        <v>0</v>
      </c>
      <c r="J56" s="1891">
        <f>IF(Calc!AS55=0,0,IF($D$2="$ M",Calc!CC55/1000,Calc!CC55))</f>
        <v>0</v>
      </c>
      <c r="K56" s="2192">
        <f>IF($D$2="$ K",Calc!J55,Calc!J55/1000)</f>
        <v>0</v>
      </c>
      <c r="L56" s="1891">
        <f>IF(Calc!AT55=0,0,IF($D$2="$ M",Calc!CD55/1000,Calc!CD55))</f>
        <v>0</v>
      </c>
      <c r="M56" s="2192">
        <f>IF($D$2="$ K",Calc!K55,Calc!K55/1000)</f>
        <v>0</v>
      </c>
      <c r="N56" s="1891">
        <f>IF(Calc!AU55=0,0,IF($D$2="$ M",Calc!CE55/1000,Calc!CE55))</f>
        <v>0</v>
      </c>
      <c r="O56" s="2192">
        <f>IF($D$2="$ K",Calc!L55,Calc!L55/1000)</f>
        <v>0</v>
      </c>
      <c r="P56" s="1891">
        <f>IF(Calc!AV55=0,0,IF($D$2="$ M",Calc!CF55/1000,Calc!CF55))</f>
        <v>0</v>
      </c>
      <c r="Q56" s="2192">
        <f>IF($D$2="$ K",Calc!M55,Calc!M55/1000)</f>
        <v>0</v>
      </c>
      <c r="R56" s="1891">
        <f>IF(Calc!AW55=0,0,IF($D$2="$ M",Calc!CG55/1000,Calc!CG55))</f>
        <v>0</v>
      </c>
      <c r="S56" s="2192">
        <f>IF($D$2="$ K",Calc!N55,Calc!N55/1000)</f>
        <v>0</v>
      </c>
      <c r="T56" s="1891">
        <f>IF(Calc!AX55=0,0,IF($D$2="$ M",Calc!CH55/1000,Calc!CH55))</f>
        <v>0</v>
      </c>
      <c r="U56" s="2192">
        <f>IF($D$2="$ K",Calc!O55,Calc!O55/1000)</f>
        <v>0</v>
      </c>
      <c r="V56" s="1891">
        <f>IF(Calc!AY55=0,0,IF($D$2="$ M",Calc!CI55/1000,Calc!CI55))</f>
        <v>0</v>
      </c>
      <c r="W56" s="2192">
        <f>IF($D$2="$ K",Calc!P55,Calc!P55/1000)</f>
        <v>0</v>
      </c>
      <c r="X56" s="1891">
        <f>IF(Calc!AZ55=0,0,IF($D$2="$ M",Calc!CJ55/1000,Calc!CJ55))</f>
        <v>0</v>
      </c>
      <c r="Y56" s="2192">
        <f>IF($D$2="$ K",Calc!Q55,Calc!Q55/1000)</f>
        <v>0</v>
      </c>
      <c r="Z56" s="1891">
        <f>IF(Calc!BA55=0,0,IF($D$2="$ M",Calc!CK55/1000,Calc!CK55))</f>
        <v>0</v>
      </c>
      <c r="AA56" s="2192">
        <f>IF($D$2="$ K",Calc!R55,Calc!R55/1000)</f>
        <v>0</v>
      </c>
      <c r="AB56" s="1891">
        <f>IF(Calc!BB55=0,0,IF($D$2="$ M",Calc!CL55/1000,Calc!CL55))</f>
        <v>0</v>
      </c>
      <c r="AC56" s="2192">
        <f>IF($D$2="$ K",Calc!S55,Calc!S55/1000)</f>
        <v>0</v>
      </c>
      <c r="AD56" s="1891">
        <f>IF(Calc!BC55=0,0,IF($D$2="$ M",Calc!CM55/1000,Calc!CM55))</f>
        <v>0</v>
      </c>
      <c r="AE56" s="2192">
        <f>IF($D$2="$ K",Calc!T55,Calc!T55/1000)</f>
        <v>0</v>
      </c>
      <c r="AF56" s="1891">
        <f>IF(Calc!BD55=0,0,IF($D$2="$ M",Calc!CN55/1000,Calc!CN55))</f>
        <v>0</v>
      </c>
      <c r="AG56" s="2192">
        <f>IF($D$2="$ K",Calc!U55,Calc!U55/1000)</f>
        <v>0</v>
      </c>
      <c r="AH56" s="1891">
        <f>IF(Calc!BE55=0,0,IF($D$2="$ M",Calc!CO55/1000,Calc!CO55))</f>
        <v>0</v>
      </c>
      <c r="AI56" s="2192">
        <f>IF($D$2="$ K",Calc!V55,Calc!V55/1000)</f>
        <v>0</v>
      </c>
      <c r="AJ56" s="1891">
        <f>IF(Calc!BF55=0,0,IF($D$2="$ M",Calc!CP55/1000,Calc!CP55))</f>
        <v>0</v>
      </c>
      <c r="AK56" s="2192">
        <f>IF($D$2="$ K",Calc!W55,Calc!W55/1000)</f>
        <v>0</v>
      </c>
      <c r="AL56" s="1891">
        <f>IF(Calc!BG55=0,0,IF($D$2="$ M",Calc!CQ55/1000,Calc!CQ55))</f>
        <v>0</v>
      </c>
      <c r="AM56" s="2192">
        <f>IF($D$2="$ K",Calc!X55,Calc!X55/1000)</f>
        <v>0</v>
      </c>
      <c r="AN56" s="1891">
        <f>IF(Calc!BH55=0,0,IF($D$2="$ M",Calc!CR55/1000,Calc!CR55))</f>
        <v>0</v>
      </c>
      <c r="AO56" s="2192">
        <f>IF($D$2="$ K",Calc!Y55,Calc!Y55/1000)</f>
        <v>0</v>
      </c>
      <c r="AP56" s="1891">
        <f>IF(Calc!BJ55=0,0,IF($D$2="$ M",Calc!CS55/1000,Calc!CS55))</f>
        <v>0</v>
      </c>
      <c r="AQ56" s="2192">
        <f>IF($D$2="$ K",Calc!Z55,Calc!Z55/1000)</f>
        <v>0</v>
      </c>
      <c r="AR56" s="1891">
        <f>IF(Calc!BL55=0,0,IF($D$2="$ M",Calc!CT55/1000,Calc!CT55))</f>
        <v>0</v>
      </c>
      <c r="AS56" s="2192">
        <f>IF($D$2="$ K",Calc!AA55,Calc!AA55/1000)</f>
        <v>0</v>
      </c>
      <c r="AT56" s="1891">
        <f>IF(Calc!BN55=0,0,IF($D$2="$ M",Calc!CU55/1000,Calc!CU55))</f>
        <v>0</v>
      </c>
      <c r="AU56" s="2192">
        <f>IF($D$2="$ K",Calc!AB55,Calc!AB55/1000)</f>
        <v>0</v>
      </c>
      <c r="AV56" s="1891">
        <f>IF(Calc!BP55=0,0,IF($D$2="$ M",Calc!CV55/1000,Calc!CV55))</f>
        <v>0</v>
      </c>
      <c r="AW56" s="2192">
        <f>IF($D$2="$ K",Calc!AC55,Calc!AC55/1000)</f>
        <v>0</v>
      </c>
      <c r="AX56" s="1891">
        <f>IF(Calc!BR55=0,0,IF($D$2="$ M",Calc!CW55/1000,Calc!CW55))</f>
        <v>0</v>
      </c>
      <c r="AY56" s="2192">
        <f>IF($D$2="$ K",Calc!AD55,Calc!AD55/1000)</f>
        <v>0</v>
      </c>
      <c r="AZ56" s="1891">
        <f>IF(Calc!BT55=0,0,IF($D$2="$ M",Calc!CX55/1000,Calc!CX55))</f>
        <v>0</v>
      </c>
      <c r="BA56" s="2192">
        <f>IF($D$2="$ K",Calc!AE55,Calc!AE55/1000)</f>
        <v>0</v>
      </c>
      <c r="BB56" s="1891">
        <f>IF(Calc!BV55=0,0,IF($D$2="$ M",Calc!CY55/1000,Calc!CY55))</f>
        <v>0</v>
      </c>
      <c r="BC56" s="2192">
        <f>IF($D$2="$ K",Calc!AF55,Calc!AF55/1000)</f>
        <v>0</v>
      </c>
      <c r="BD56" s="1891">
        <f>IF(Calc!BX55=0,0,IF($D$2="$ M",Calc!CZ55/1000,Calc!CZ55))</f>
        <v>0</v>
      </c>
      <c r="BE56" s="2192">
        <f>IF($D$2="$ K",Calc!AG55,Calc!AG55/1000)</f>
        <v>0</v>
      </c>
      <c r="BF56" s="1891">
        <f>IF(Calc!BZ55=0,0,IF($D$2="$ M",Calc!DA55/1000,Calc!DA55))</f>
        <v>0</v>
      </c>
      <c r="BG56" s="2192">
        <f>IF($D$2="$ K",Calc!AH55,Calc!AH55/1000)</f>
        <v>0</v>
      </c>
      <c r="BH56" s="1891">
        <f>IF(Calc!CB55=0,0,IF($D$2="$ M",Calc!DB55/1000,Calc!DB55))</f>
        <v>0</v>
      </c>
      <c r="BI56" s="2192">
        <f>IF($D$2="$ K",Calc!AI55,Calc!AI55/1000)</f>
        <v>0</v>
      </c>
      <c r="BJ56" s="1891">
        <f>IF(Calc!BS55=0,0,IF($D$2="$ M",Calc!DC55/1000,Calc!DC55))</f>
        <v>0</v>
      </c>
      <c r="BK56" s="2192">
        <f>IF($D$2="$ K",Calc!AJ55,Calc!AJ55/1000)</f>
        <v>0</v>
      </c>
      <c r="BL56" s="2193"/>
      <c r="BM56" s="1897">
        <f>IF(Calc!BT55=0,0,IF($D$2="$ M",Calc!DD55/1000,Calc!DD55))</f>
        <v>0</v>
      </c>
      <c r="BN56" s="2189"/>
      <c r="BO56" s="1070"/>
      <c r="BP56" s="2194">
        <f>IF($D$2="$ K",Calc!AM55,Calc!AM55/1000)</f>
        <v>0</v>
      </c>
      <c r="BQ56" s="2260"/>
      <c r="BR56" s="2260"/>
      <c r="BS56" s="2265"/>
    </row>
    <row r="57" spans="1:71" s="2266" customFormat="1" hidden="1" outlineLevel="1" x14ac:dyDescent="0.3">
      <c r="A57" s="2260"/>
      <c r="B57" s="2197" t="str">
        <f t="shared" si="7"/>
        <v xml:space="preserve">   Add: Pull Through</v>
      </c>
      <c r="C57" s="1099"/>
      <c r="D57" s="2190"/>
      <c r="E57" s="2191">
        <f>IF($D$2="$ K",Calc!G56,Calc!G56/1000)</f>
        <v>0</v>
      </c>
      <c r="F57" s="1891">
        <f>IF(Calc!AQ56=0,0,IF($D$2="$ M",Calc!CA56/1000,Calc!CA56))</f>
        <v>0</v>
      </c>
      <c r="G57" s="2192">
        <f>IF($D$2="$ K",Calc!H56,Calc!H56/1000)</f>
        <v>0</v>
      </c>
      <c r="H57" s="1891">
        <f>IF(Calc!AR56=0,0,IF($D$2="$ M",Calc!CB56/1000,Calc!CB56))</f>
        <v>0</v>
      </c>
      <c r="I57" s="2192">
        <f>IF($D$2="$ K",Calc!I56,Calc!I56/1000)</f>
        <v>0</v>
      </c>
      <c r="J57" s="1891">
        <f>IF(Calc!AS56=0,0,IF($D$2="$ M",Calc!CC56/1000,Calc!CC56))</f>
        <v>0</v>
      </c>
      <c r="K57" s="2192">
        <f>IF($D$2="$ K",Calc!J56,Calc!J56/1000)</f>
        <v>0</v>
      </c>
      <c r="L57" s="1891">
        <f>IF(Calc!AT56=0,0,IF($D$2="$ M",Calc!CD56/1000,Calc!CD56))</f>
        <v>0</v>
      </c>
      <c r="M57" s="2192">
        <f>IF($D$2="$ K",Calc!K56,Calc!K56/1000)</f>
        <v>0</v>
      </c>
      <c r="N57" s="1891">
        <f>IF(Calc!AU56=0,0,IF($D$2="$ M",Calc!CE56/1000,Calc!CE56))</f>
        <v>0</v>
      </c>
      <c r="O57" s="2192">
        <f>IF($D$2="$ K",Calc!L56,Calc!L56/1000)</f>
        <v>0</v>
      </c>
      <c r="P57" s="1891">
        <f>IF(Calc!AV56=0,0,IF($D$2="$ M",Calc!CF56/1000,Calc!CF56))</f>
        <v>0</v>
      </c>
      <c r="Q57" s="2192">
        <f>IF($D$2="$ K",Calc!M56,Calc!M56/1000)</f>
        <v>0</v>
      </c>
      <c r="R57" s="1891">
        <f>IF(Calc!AW56=0,0,IF($D$2="$ M",Calc!CG56/1000,Calc!CG56))</f>
        <v>0</v>
      </c>
      <c r="S57" s="2192">
        <f>IF($D$2="$ K",Calc!N56,Calc!N56/1000)</f>
        <v>0</v>
      </c>
      <c r="T57" s="1891">
        <f>IF(Calc!AX56=0,0,IF($D$2="$ M",Calc!CH56/1000,Calc!CH56))</f>
        <v>0</v>
      </c>
      <c r="U57" s="2192">
        <f>IF($D$2="$ K",Calc!O56,Calc!O56/1000)</f>
        <v>0</v>
      </c>
      <c r="V57" s="1891">
        <f>IF(Calc!AY56=0,0,IF($D$2="$ M",Calc!CI56/1000,Calc!CI56))</f>
        <v>0</v>
      </c>
      <c r="W57" s="2192">
        <f>IF($D$2="$ K",Calc!P56,Calc!P56/1000)</f>
        <v>0</v>
      </c>
      <c r="X57" s="1891">
        <f>IF(Calc!AZ56=0,0,IF($D$2="$ M",Calc!CJ56/1000,Calc!CJ56))</f>
        <v>0</v>
      </c>
      <c r="Y57" s="2192">
        <f>IF($D$2="$ K",Calc!Q56,Calc!Q56/1000)</f>
        <v>0</v>
      </c>
      <c r="Z57" s="1891">
        <f>IF(Calc!BA56=0,0,IF($D$2="$ M",Calc!CK56/1000,Calc!CK56))</f>
        <v>0</v>
      </c>
      <c r="AA57" s="2192">
        <f>IF($D$2="$ K",Calc!R56,Calc!R56/1000)</f>
        <v>0</v>
      </c>
      <c r="AB57" s="1891">
        <f>IF(Calc!BB56=0,0,IF($D$2="$ M",Calc!CL56/1000,Calc!CL56))</f>
        <v>0</v>
      </c>
      <c r="AC57" s="2192">
        <f>IF($D$2="$ K",Calc!S56,Calc!S56/1000)</f>
        <v>0</v>
      </c>
      <c r="AD57" s="1891">
        <f>IF(Calc!BC56=0,0,IF($D$2="$ M",Calc!CM56/1000,Calc!CM56))</f>
        <v>0</v>
      </c>
      <c r="AE57" s="2192">
        <f>IF($D$2="$ K",Calc!T56,Calc!T56/1000)</f>
        <v>0</v>
      </c>
      <c r="AF57" s="1891">
        <f>IF(Calc!BD56=0,0,IF($D$2="$ M",Calc!CN56/1000,Calc!CN56))</f>
        <v>0</v>
      </c>
      <c r="AG57" s="2192">
        <f>IF($D$2="$ K",Calc!U56,Calc!U56/1000)</f>
        <v>0</v>
      </c>
      <c r="AH57" s="1891">
        <f>IF(Calc!BE56=0,0,IF($D$2="$ M",Calc!CO56/1000,Calc!CO56))</f>
        <v>0</v>
      </c>
      <c r="AI57" s="2192">
        <f>IF($D$2="$ K",Calc!V56,Calc!V56/1000)</f>
        <v>0</v>
      </c>
      <c r="AJ57" s="1891">
        <f>IF(Calc!BF56=0,0,IF($D$2="$ M",Calc!CP56/1000,Calc!CP56))</f>
        <v>0</v>
      </c>
      <c r="AK57" s="2192">
        <f>IF($D$2="$ K",Calc!W56,Calc!W56/1000)</f>
        <v>0</v>
      </c>
      <c r="AL57" s="1891">
        <f>IF(Calc!BG56=0,0,IF($D$2="$ M",Calc!CQ56/1000,Calc!CQ56))</f>
        <v>0</v>
      </c>
      <c r="AM57" s="2192">
        <f>IF($D$2="$ K",Calc!X56,Calc!X56/1000)</f>
        <v>0</v>
      </c>
      <c r="AN57" s="1891">
        <f>IF(Calc!BH56=0,0,IF($D$2="$ M",Calc!CR56/1000,Calc!CR56))</f>
        <v>0</v>
      </c>
      <c r="AO57" s="2192">
        <f>IF($D$2="$ K",Calc!Y56,Calc!Y56/1000)</f>
        <v>0</v>
      </c>
      <c r="AP57" s="1891">
        <f>IF(Calc!BJ56=0,0,IF($D$2="$ M",Calc!CS56/1000,Calc!CS56))</f>
        <v>0</v>
      </c>
      <c r="AQ57" s="2192">
        <f>IF($D$2="$ K",Calc!Z56,Calc!Z56/1000)</f>
        <v>0</v>
      </c>
      <c r="AR57" s="1891">
        <f>IF(Calc!BL56=0,0,IF($D$2="$ M",Calc!CT56/1000,Calc!CT56))</f>
        <v>0</v>
      </c>
      <c r="AS57" s="2192">
        <f>IF($D$2="$ K",Calc!AA56,Calc!AA56/1000)</f>
        <v>0</v>
      </c>
      <c r="AT57" s="1891">
        <f>IF(Calc!BN56=0,0,IF($D$2="$ M",Calc!CU56/1000,Calc!CU56))</f>
        <v>0</v>
      </c>
      <c r="AU57" s="2192">
        <f>IF($D$2="$ K",Calc!AB56,Calc!AB56/1000)</f>
        <v>0</v>
      </c>
      <c r="AV57" s="1891">
        <f>IF(Calc!BP56=0,0,IF($D$2="$ M",Calc!CV56/1000,Calc!CV56))</f>
        <v>0</v>
      </c>
      <c r="AW57" s="2192">
        <f>IF($D$2="$ K",Calc!AC56,Calc!AC56/1000)</f>
        <v>0</v>
      </c>
      <c r="AX57" s="1891">
        <f>IF(Calc!BR56=0,0,IF($D$2="$ M",Calc!CW56/1000,Calc!CW56))</f>
        <v>0</v>
      </c>
      <c r="AY57" s="2192">
        <f>IF($D$2="$ K",Calc!AD56,Calc!AD56/1000)</f>
        <v>0</v>
      </c>
      <c r="AZ57" s="1891">
        <f>IF(Calc!BT56=0,0,IF($D$2="$ M",Calc!CX56/1000,Calc!CX56))</f>
        <v>0</v>
      </c>
      <c r="BA57" s="2192">
        <f>IF($D$2="$ K",Calc!AE56,Calc!AE56/1000)</f>
        <v>0</v>
      </c>
      <c r="BB57" s="1891">
        <f>IF(Calc!BV56=0,0,IF($D$2="$ M",Calc!CY56/1000,Calc!CY56))</f>
        <v>0</v>
      </c>
      <c r="BC57" s="2192">
        <f>IF($D$2="$ K",Calc!AF56,Calc!AF56/1000)</f>
        <v>0</v>
      </c>
      <c r="BD57" s="1891">
        <f>IF(Calc!BX56=0,0,IF($D$2="$ M",Calc!CZ56/1000,Calc!CZ56))</f>
        <v>0</v>
      </c>
      <c r="BE57" s="2192">
        <f>IF($D$2="$ K",Calc!AG56,Calc!AG56/1000)</f>
        <v>0</v>
      </c>
      <c r="BF57" s="1891">
        <f>IF(Calc!BZ56=0,0,IF($D$2="$ M",Calc!DA56/1000,Calc!DA56))</f>
        <v>0</v>
      </c>
      <c r="BG57" s="2192">
        <f>IF($D$2="$ K",Calc!AH56,Calc!AH56/1000)</f>
        <v>0</v>
      </c>
      <c r="BH57" s="1891">
        <f>IF(Calc!CB56=0,0,IF($D$2="$ M",Calc!DB56/1000,Calc!DB56))</f>
        <v>0</v>
      </c>
      <c r="BI57" s="2192">
        <f>IF($D$2="$ K",Calc!AI56,Calc!AI56/1000)</f>
        <v>0</v>
      </c>
      <c r="BJ57" s="1891">
        <f>IF(Calc!BS56=0,0,IF($D$2="$ M",Calc!DC56/1000,Calc!DC56))</f>
        <v>0</v>
      </c>
      <c r="BK57" s="2192">
        <f>IF($D$2="$ K",Calc!AJ56,Calc!AJ56/1000)</f>
        <v>0</v>
      </c>
      <c r="BL57" s="2193"/>
      <c r="BM57" s="1897">
        <f>IF(Calc!BT56=0,0,IF($D$2="$ M",Calc!DD56/1000,Calc!DD56))</f>
        <v>0</v>
      </c>
      <c r="BN57" s="2189"/>
      <c r="BO57" s="1070"/>
      <c r="BP57" s="2194">
        <f>IF($D$2="$ K",Calc!AM56,Calc!AM56/1000)</f>
        <v>0</v>
      </c>
      <c r="BQ57" s="2260"/>
      <c r="BR57" s="2260"/>
      <c r="BS57" s="2265"/>
    </row>
    <row r="58" spans="1:71" s="2266" customFormat="1" hidden="1" outlineLevel="1" x14ac:dyDescent="0.3">
      <c r="A58" s="2260"/>
      <c r="B58" s="1463" t="str">
        <f t="shared" si="7"/>
        <v xml:space="preserve">   Add: Loss Avoidance</v>
      </c>
      <c r="C58" s="1099"/>
      <c r="D58" s="2190"/>
      <c r="E58" s="2191">
        <f>IF($D$2="$ K",Calc!G57,Calc!G57/1000)</f>
        <v>0</v>
      </c>
      <c r="F58" s="1891">
        <f>IF(Calc!AQ57=0,0,IF($D$2="$ M",Calc!CA57/1000,Calc!CA57))</f>
        <v>0</v>
      </c>
      <c r="G58" s="2192">
        <f>IF($D$2="$ K",Calc!H57,Calc!H57/1000)</f>
        <v>0</v>
      </c>
      <c r="H58" s="1891">
        <f>IF(Calc!AR57=0,0,IF($D$2="$ M",Calc!CB57/1000,Calc!CB57))</f>
        <v>0</v>
      </c>
      <c r="I58" s="2192">
        <f>IF($D$2="$ K",Calc!I57,Calc!I57/1000)</f>
        <v>0</v>
      </c>
      <c r="J58" s="1891">
        <f>IF(Calc!AS57=0,0,IF($D$2="$ M",Calc!CC57/1000,Calc!CC57))</f>
        <v>0</v>
      </c>
      <c r="K58" s="2192">
        <f>IF($D$2="$ K",Calc!J57,Calc!J57/1000)</f>
        <v>0</v>
      </c>
      <c r="L58" s="1891">
        <f>IF(Calc!AT57=0,0,IF($D$2="$ M",Calc!CD57/1000,Calc!CD57))</f>
        <v>0</v>
      </c>
      <c r="M58" s="2192">
        <f>IF($D$2="$ K",Calc!K57,Calc!K57/1000)</f>
        <v>0</v>
      </c>
      <c r="N58" s="1891">
        <f>IF(Calc!AU57=0,0,IF($D$2="$ M",Calc!CE57/1000,Calc!CE57))</f>
        <v>0</v>
      </c>
      <c r="O58" s="2192">
        <f>IF($D$2="$ K",Calc!L57,Calc!L57/1000)</f>
        <v>0</v>
      </c>
      <c r="P58" s="1891">
        <f>IF(Calc!AV57=0,0,IF($D$2="$ M",Calc!CF57/1000,Calc!CF57))</f>
        <v>0</v>
      </c>
      <c r="Q58" s="2192">
        <f>IF($D$2="$ K",Calc!M57,Calc!M57/1000)</f>
        <v>0</v>
      </c>
      <c r="R58" s="1891">
        <f>IF(Calc!AW57=0,0,IF($D$2="$ M",Calc!CG57/1000,Calc!CG57))</f>
        <v>0</v>
      </c>
      <c r="S58" s="2192">
        <f>IF($D$2="$ K",Calc!N57,Calc!N57/1000)</f>
        <v>0</v>
      </c>
      <c r="T58" s="1891">
        <f>IF(Calc!AX57=0,0,IF($D$2="$ M",Calc!CH57/1000,Calc!CH57))</f>
        <v>0</v>
      </c>
      <c r="U58" s="2192">
        <f>IF($D$2="$ K",Calc!O57,Calc!O57/1000)</f>
        <v>0</v>
      </c>
      <c r="V58" s="1891">
        <f>IF(Calc!AY57=0,0,IF($D$2="$ M",Calc!CI57/1000,Calc!CI57))</f>
        <v>0</v>
      </c>
      <c r="W58" s="2192">
        <f>IF($D$2="$ K",Calc!P57,Calc!P57/1000)</f>
        <v>0</v>
      </c>
      <c r="X58" s="1891">
        <f>IF(Calc!AZ57=0,0,IF($D$2="$ M",Calc!CJ57/1000,Calc!CJ57))</f>
        <v>0</v>
      </c>
      <c r="Y58" s="2192">
        <f>IF($D$2="$ K",Calc!Q57,Calc!Q57/1000)</f>
        <v>0</v>
      </c>
      <c r="Z58" s="1891">
        <f>IF(Calc!BA57=0,0,IF($D$2="$ M",Calc!CK57/1000,Calc!CK57))</f>
        <v>0</v>
      </c>
      <c r="AA58" s="2192">
        <f>IF($D$2="$ K",Calc!R57,Calc!R57/1000)</f>
        <v>0</v>
      </c>
      <c r="AB58" s="1891">
        <f>IF(Calc!BB57=0,0,IF($D$2="$ M",Calc!CL57/1000,Calc!CL57))</f>
        <v>0</v>
      </c>
      <c r="AC58" s="2192">
        <f>IF($D$2="$ K",Calc!S57,Calc!S57/1000)</f>
        <v>0</v>
      </c>
      <c r="AD58" s="1891">
        <f>IF(Calc!BC57=0,0,IF($D$2="$ M",Calc!CM57/1000,Calc!CM57))</f>
        <v>0</v>
      </c>
      <c r="AE58" s="2192">
        <f>IF($D$2="$ K",Calc!T57,Calc!T57/1000)</f>
        <v>0</v>
      </c>
      <c r="AF58" s="1891">
        <f>IF(Calc!BD57=0,0,IF($D$2="$ M",Calc!CN57/1000,Calc!CN57))</f>
        <v>0</v>
      </c>
      <c r="AG58" s="2192">
        <f>IF($D$2="$ K",Calc!U57,Calc!U57/1000)</f>
        <v>0</v>
      </c>
      <c r="AH58" s="1891">
        <f>IF(Calc!BE57=0,0,IF($D$2="$ M",Calc!CO57/1000,Calc!CO57))</f>
        <v>0</v>
      </c>
      <c r="AI58" s="2192">
        <f>IF($D$2="$ K",Calc!V57,Calc!V57/1000)</f>
        <v>0</v>
      </c>
      <c r="AJ58" s="1891">
        <f>IF(Calc!BF57=0,0,IF($D$2="$ M",Calc!CP57/1000,Calc!CP57))</f>
        <v>0</v>
      </c>
      <c r="AK58" s="2192">
        <f>IF($D$2="$ K",Calc!W57,Calc!W57/1000)</f>
        <v>0</v>
      </c>
      <c r="AL58" s="1891">
        <f>IF(Calc!BG57=0,0,IF($D$2="$ M",Calc!CQ57/1000,Calc!CQ57))</f>
        <v>0</v>
      </c>
      <c r="AM58" s="2192">
        <f>IF($D$2="$ K",Calc!X57,Calc!X57/1000)</f>
        <v>0</v>
      </c>
      <c r="AN58" s="1891">
        <f>IF(Calc!BH57=0,0,IF($D$2="$ M",Calc!CR57/1000,Calc!CR57))</f>
        <v>0</v>
      </c>
      <c r="AO58" s="2192">
        <f>IF($D$2="$ K",Calc!Y57,Calc!Y57/1000)</f>
        <v>0</v>
      </c>
      <c r="AP58" s="1891">
        <f>IF(Calc!BJ57=0,0,IF($D$2="$ M",Calc!CS57/1000,Calc!CS57))</f>
        <v>0</v>
      </c>
      <c r="AQ58" s="2192">
        <f>IF($D$2="$ K",Calc!Z57,Calc!Z57/1000)</f>
        <v>0</v>
      </c>
      <c r="AR58" s="1891">
        <f>IF(Calc!BL57=0,0,IF($D$2="$ M",Calc!CT57/1000,Calc!CT57))</f>
        <v>0</v>
      </c>
      <c r="AS58" s="2192">
        <f>IF($D$2="$ K",Calc!AA57,Calc!AA57/1000)</f>
        <v>0</v>
      </c>
      <c r="AT58" s="1891">
        <f>IF(Calc!BN57=0,0,IF($D$2="$ M",Calc!CU57/1000,Calc!CU57))</f>
        <v>0</v>
      </c>
      <c r="AU58" s="2192">
        <f>IF($D$2="$ K",Calc!AB57,Calc!AB57/1000)</f>
        <v>0</v>
      </c>
      <c r="AV58" s="1891">
        <f>IF(Calc!BP57=0,0,IF($D$2="$ M",Calc!CV57/1000,Calc!CV57))</f>
        <v>0</v>
      </c>
      <c r="AW58" s="2192">
        <f>IF($D$2="$ K",Calc!AC57,Calc!AC57/1000)</f>
        <v>0</v>
      </c>
      <c r="AX58" s="1891">
        <f>IF(Calc!BR57=0,0,IF($D$2="$ M",Calc!CW57/1000,Calc!CW57))</f>
        <v>0</v>
      </c>
      <c r="AY58" s="2192">
        <f>IF($D$2="$ K",Calc!AD57,Calc!AD57/1000)</f>
        <v>0</v>
      </c>
      <c r="AZ58" s="1891">
        <f>IF(Calc!BT57=0,0,IF($D$2="$ M",Calc!CX57/1000,Calc!CX57))</f>
        <v>0</v>
      </c>
      <c r="BA58" s="2192">
        <f>IF($D$2="$ K",Calc!AE57,Calc!AE57/1000)</f>
        <v>0</v>
      </c>
      <c r="BB58" s="1891">
        <f>IF(Calc!BV57=0,0,IF($D$2="$ M",Calc!CY57/1000,Calc!CY57))</f>
        <v>0</v>
      </c>
      <c r="BC58" s="2192">
        <f>IF($D$2="$ K",Calc!AF57,Calc!AF57/1000)</f>
        <v>0</v>
      </c>
      <c r="BD58" s="1891">
        <f>IF(Calc!BX57=0,0,IF($D$2="$ M",Calc!CZ57/1000,Calc!CZ57))</f>
        <v>0</v>
      </c>
      <c r="BE58" s="2192">
        <f>IF($D$2="$ K",Calc!AG57,Calc!AG57/1000)</f>
        <v>0</v>
      </c>
      <c r="BF58" s="1891">
        <f>IF(Calc!BZ57=0,0,IF($D$2="$ M",Calc!DA57/1000,Calc!DA57))</f>
        <v>0</v>
      </c>
      <c r="BG58" s="2192">
        <f>IF($D$2="$ K",Calc!AH57,Calc!AH57/1000)</f>
        <v>0</v>
      </c>
      <c r="BH58" s="1891">
        <f>IF(Calc!CB57=0,0,IF($D$2="$ M",Calc!DB57/1000,Calc!DB57))</f>
        <v>0</v>
      </c>
      <c r="BI58" s="2192">
        <f>IF($D$2="$ K",Calc!AI57,Calc!AI57/1000)</f>
        <v>0</v>
      </c>
      <c r="BJ58" s="1891">
        <f>IF(Calc!BS57=0,0,IF($D$2="$ M",Calc!DC57/1000,Calc!DC57))</f>
        <v>0</v>
      </c>
      <c r="BK58" s="2192">
        <f>IF($D$2="$ K",Calc!AJ57,Calc!AJ57/1000)</f>
        <v>0</v>
      </c>
      <c r="BL58" s="2193"/>
      <c r="BM58" s="1897">
        <f>IF(Calc!BT57=0,0,IF($D$2="$ M",Calc!DD57/1000,Calc!DD57))</f>
        <v>0</v>
      </c>
      <c r="BN58" s="2189"/>
      <c r="BO58" s="1070"/>
      <c r="BP58" s="2194">
        <f>IF($D$2="$ K",Calc!AM57,Calc!AM57/1000)</f>
        <v>0</v>
      </c>
      <c r="BQ58" s="2260"/>
      <c r="BR58" s="2260"/>
      <c r="BS58" s="2265"/>
    </row>
    <row r="59" spans="1:71" s="2269" customFormat="1" ht="18" hidden="1" outlineLevel="1" x14ac:dyDescent="0.35">
      <c r="A59" s="2267"/>
      <c r="B59" s="2180" t="str">
        <f t="shared" si="7"/>
        <v>Incremental Revenue</v>
      </c>
      <c r="C59" s="2181"/>
      <c r="D59" s="2182"/>
      <c r="E59" s="2183">
        <f>IF($D$2="$ K",Calc!G58,Calc!G58/1000)</f>
        <v>0</v>
      </c>
      <c r="F59" s="2184">
        <f>IF(Calc!AQ58=0,0,IF($D$2="$ M",Calc!CA58/1000,Calc!CA58))</f>
        <v>0</v>
      </c>
      <c r="G59" s="2185">
        <f>IF($D$2="$ K",Calc!H58,Calc!H58/1000)</f>
        <v>0</v>
      </c>
      <c r="H59" s="2184">
        <f>IF(Calc!AR58=0,0,IF($D$2="$ M",Calc!CB58/1000,Calc!CB58))</f>
        <v>0</v>
      </c>
      <c r="I59" s="2185">
        <f>IF($D$2="$ K",Calc!I58,Calc!I58/1000)</f>
        <v>0</v>
      </c>
      <c r="J59" s="2184">
        <f>IF(Calc!AS58=0,0,IF($D$2="$ M",Calc!CC58/1000,Calc!CC58))</f>
        <v>0</v>
      </c>
      <c r="K59" s="2185">
        <f>IF($D$2="$ K",Calc!J58,Calc!J58/1000)</f>
        <v>0</v>
      </c>
      <c r="L59" s="2184">
        <f>IF(Calc!AT58=0,0,IF($D$2="$ M",Calc!CD58/1000,Calc!CD58))</f>
        <v>0</v>
      </c>
      <c r="M59" s="2185">
        <f>IF($D$2="$ K",Calc!K58,Calc!K58/1000)</f>
        <v>0</v>
      </c>
      <c r="N59" s="2184">
        <f>IF(Calc!AU58=0,0,IF($D$2="$ M",Calc!CE58/1000,Calc!CE58))</f>
        <v>0</v>
      </c>
      <c r="O59" s="2185">
        <f>IF($D$2="$ K",Calc!L58,Calc!L58/1000)</f>
        <v>0</v>
      </c>
      <c r="P59" s="2184">
        <f>IF(Calc!AV58=0,0,IF($D$2="$ M",Calc!CF58/1000,Calc!CF58))</f>
        <v>0</v>
      </c>
      <c r="Q59" s="2185">
        <f>IF($D$2="$ K",Calc!M58,Calc!M58/1000)</f>
        <v>0</v>
      </c>
      <c r="R59" s="2184">
        <f>IF(Calc!AW58=0,0,IF($D$2="$ M",Calc!CG58/1000,Calc!CG58))</f>
        <v>0</v>
      </c>
      <c r="S59" s="2185">
        <f>IF($D$2="$ K",Calc!N58,Calc!N58/1000)</f>
        <v>0</v>
      </c>
      <c r="T59" s="2184">
        <f>IF(Calc!AX58=0,0,IF($D$2="$ M",Calc!CH58/1000,Calc!CH58))</f>
        <v>0</v>
      </c>
      <c r="U59" s="2185">
        <f>IF($D$2="$ K",Calc!O58,Calc!O58/1000)</f>
        <v>0</v>
      </c>
      <c r="V59" s="2184">
        <f>IF(Calc!AY58=0,0,IF($D$2="$ M",Calc!CI58/1000,Calc!CI58))</f>
        <v>0</v>
      </c>
      <c r="W59" s="2185">
        <f>IF($D$2="$ K",Calc!P58,Calc!P58/1000)</f>
        <v>0</v>
      </c>
      <c r="X59" s="2184">
        <f>IF(Calc!AZ58=0,0,IF($D$2="$ M",Calc!CJ58/1000,Calc!CJ58))</f>
        <v>0</v>
      </c>
      <c r="Y59" s="2185">
        <f>IF($D$2="$ K",Calc!Q58,Calc!Q58/1000)</f>
        <v>0</v>
      </c>
      <c r="Z59" s="2184">
        <f>IF(Calc!BA58=0,0,IF($D$2="$ M",Calc!CK58/1000,Calc!CK58))</f>
        <v>0</v>
      </c>
      <c r="AA59" s="2185">
        <f>IF($D$2="$ K",Calc!R58,Calc!R58/1000)</f>
        <v>0</v>
      </c>
      <c r="AB59" s="2184">
        <f>IF(Calc!BB58=0,0,IF($D$2="$ M",Calc!CL58/1000,Calc!CL58))</f>
        <v>0</v>
      </c>
      <c r="AC59" s="2185">
        <f>IF($D$2="$ K",Calc!S58,Calc!S58/1000)</f>
        <v>0</v>
      </c>
      <c r="AD59" s="2184">
        <f>IF(Calc!BC58=0,0,IF($D$2="$ M",Calc!CM58/1000,Calc!CM58))</f>
        <v>0</v>
      </c>
      <c r="AE59" s="2185">
        <f>IF($D$2="$ K",Calc!T58,Calc!T58/1000)</f>
        <v>0</v>
      </c>
      <c r="AF59" s="2184">
        <f>IF(Calc!BD58=0,0,IF($D$2="$ M",Calc!CN58/1000,Calc!CN58))</f>
        <v>0</v>
      </c>
      <c r="AG59" s="2185">
        <f>IF($D$2="$ K",Calc!U58,Calc!U58/1000)</f>
        <v>0</v>
      </c>
      <c r="AH59" s="2184">
        <f>IF(Calc!BE58=0,0,IF($D$2="$ M",Calc!CO58/1000,Calc!CO58))</f>
        <v>0</v>
      </c>
      <c r="AI59" s="2185">
        <f>IF($D$2="$ K",Calc!V58,Calc!V58/1000)</f>
        <v>0</v>
      </c>
      <c r="AJ59" s="2184">
        <f>IF(Calc!BF58=0,0,IF($D$2="$ M",Calc!CP58/1000,Calc!CP58))</f>
        <v>0</v>
      </c>
      <c r="AK59" s="2185">
        <f>IF($D$2="$ K",Calc!W58,Calc!W58/1000)</f>
        <v>0</v>
      </c>
      <c r="AL59" s="2184">
        <f>IF(Calc!BG58=0,0,IF($D$2="$ M",Calc!CQ58/1000,Calc!CQ58))</f>
        <v>0</v>
      </c>
      <c r="AM59" s="2185">
        <f>IF($D$2="$ K",Calc!X58,Calc!X58/1000)</f>
        <v>0</v>
      </c>
      <c r="AN59" s="2184">
        <f>IF(Calc!BH58=0,0,IF($D$2="$ M",Calc!CR58/1000,Calc!CR58))</f>
        <v>0</v>
      </c>
      <c r="AO59" s="2185">
        <f>IF($D$2="$ K",Calc!Y58,Calc!Y58/1000)</f>
        <v>0</v>
      </c>
      <c r="AP59" s="2184">
        <f>IF(Calc!BJ58=0,0,IF($D$2="$ M",Calc!CS58/1000,Calc!CS58))</f>
        <v>0</v>
      </c>
      <c r="AQ59" s="2185">
        <f>IF($D$2="$ K",Calc!Z58,Calc!Z58/1000)</f>
        <v>0</v>
      </c>
      <c r="AR59" s="2184">
        <f>IF(Calc!BL58=0,0,IF($D$2="$ M",Calc!CT58/1000,Calc!CT58))</f>
        <v>0</v>
      </c>
      <c r="AS59" s="2185">
        <f>IF($D$2="$ K",Calc!AA58,Calc!AA58/1000)</f>
        <v>0</v>
      </c>
      <c r="AT59" s="2184">
        <f>IF(Calc!BN58=0,0,IF($D$2="$ M",Calc!CU58/1000,Calc!CU58))</f>
        <v>0</v>
      </c>
      <c r="AU59" s="2185">
        <f>IF($D$2="$ K",Calc!AB58,Calc!AB58/1000)</f>
        <v>0</v>
      </c>
      <c r="AV59" s="2184">
        <f>IF(Calc!BP58=0,0,IF($D$2="$ M",Calc!CV58/1000,Calc!CV58))</f>
        <v>0</v>
      </c>
      <c r="AW59" s="2185">
        <f>IF($D$2="$ K",Calc!AC58,Calc!AC58/1000)</f>
        <v>0</v>
      </c>
      <c r="AX59" s="2184">
        <f>IF(Calc!BR58=0,0,IF($D$2="$ M",Calc!CW58/1000,Calc!CW58))</f>
        <v>0</v>
      </c>
      <c r="AY59" s="2185">
        <f>IF($D$2="$ K",Calc!AD58,Calc!AD58/1000)</f>
        <v>0</v>
      </c>
      <c r="AZ59" s="2184">
        <f>IF(Calc!BT58=0,0,IF($D$2="$ M",Calc!CX58/1000,Calc!CX58))</f>
        <v>0</v>
      </c>
      <c r="BA59" s="2185">
        <f>IF($D$2="$ K",Calc!AE58,Calc!AE58/1000)</f>
        <v>0</v>
      </c>
      <c r="BB59" s="2184">
        <f>IF(Calc!BV58=0,0,IF($D$2="$ M",Calc!CY58/1000,Calc!CY58))</f>
        <v>0</v>
      </c>
      <c r="BC59" s="2185">
        <f>IF($D$2="$ K",Calc!AF58,Calc!AF58/1000)</f>
        <v>0</v>
      </c>
      <c r="BD59" s="2184">
        <f>IF(Calc!BX58=0,0,IF($D$2="$ M",Calc!CZ58/1000,Calc!CZ58))</f>
        <v>0</v>
      </c>
      <c r="BE59" s="2185">
        <f>IF($D$2="$ K",Calc!AG58,Calc!AG58/1000)</f>
        <v>0</v>
      </c>
      <c r="BF59" s="2184">
        <f>IF(Calc!BZ58=0,0,IF($D$2="$ M",Calc!DA58/1000,Calc!DA58))</f>
        <v>0</v>
      </c>
      <c r="BG59" s="2185">
        <f>IF($D$2="$ K",Calc!AH58,Calc!AH58/1000)</f>
        <v>0</v>
      </c>
      <c r="BH59" s="2184">
        <f>IF(Calc!CB58=0,0,IF($D$2="$ M",Calc!DB58/1000,Calc!DB58))</f>
        <v>0</v>
      </c>
      <c r="BI59" s="2185">
        <f>IF($D$2="$ K",Calc!AI58,Calc!AI58/1000)</f>
        <v>0</v>
      </c>
      <c r="BJ59" s="2184">
        <f>IF(Calc!BS58=0,0,IF($D$2="$ M",Calc!DC58/1000,Calc!DC58))</f>
        <v>0</v>
      </c>
      <c r="BK59" s="2185">
        <f>IF($D$2="$ K",Calc!AJ58,Calc!AJ58/1000)</f>
        <v>0</v>
      </c>
      <c r="BL59" s="2186"/>
      <c r="BM59" s="2187">
        <f>IF(Calc!BT58=0,0,IF($D$2="$ M",Calc!DD58/1000,Calc!DD58))</f>
        <v>0</v>
      </c>
      <c r="BN59" s="1260"/>
      <c r="BO59" s="1260"/>
      <c r="BP59" s="2188">
        <f>IF($D$2="$ K",Calc!AM58,Calc!AM58/1000)</f>
        <v>0</v>
      </c>
      <c r="BQ59" s="2267"/>
      <c r="BR59" s="2267"/>
      <c r="BS59" s="2268"/>
    </row>
    <row r="60" spans="1:71" s="2266" customFormat="1" hidden="1" outlineLevel="1" x14ac:dyDescent="0.3">
      <c r="A60" s="2260"/>
      <c r="B60" s="2197" t="str">
        <f t="shared" si="7"/>
        <v>Volume Category Share (%)  - (excl. pull-through)</v>
      </c>
      <c r="C60" s="1115"/>
      <c r="D60" s="2199"/>
      <c r="E60" s="2200" t="str">
        <f>IF(Calc!G59=0,"",Calc!G59)</f>
        <v/>
      </c>
      <c r="F60" s="2201" t="str">
        <f>IF(Calc!AQ59=0,"",Calc!CA59)</f>
        <v/>
      </c>
      <c r="G60" s="2202" t="str">
        <f>IF(Calc!H59=0,"",Calc!H59)</f>
        <v/>
      </c>
      <c r="H60" s="2201" t="str">
        <f>IF(Calc!AR59=0,"",Calc!CB59)</f>
        <v/>
      </c>
      <c r="I60" s="2202" t="str">
        <f>IF(Calc!I59=0,"",Calc!I59)</f>
        <v/>
      </c>
      <c r="J60" s="2201" t="str">
        <f>IF(Calc!AS59=0,"",Calc!CC59)</f>
        <v/>
      </c>
      <c r="K60" s="2202" t="str">
        <f>IF(Calc!J59=0,"",Calc!J59)</f>
        <v/>
      </c>
      <c r="L60" s="2201" t="str">
        <f>IF(Calc!AT59=0,"",Calc!CD59)</f>
        <v/>
      </c>
      <c r="M60" s="2202" t="str">
        <f>IF(Calc!K59=0,"",Calc!K59)</f>
        <v/>
      </c>
      <c r="N60" s="2201" t="str">
        <f>IF(Calc!AU59=0,"",Calc!CE59)</f>
        <v/>
      </c>
      <c r="O60" s="2202" t="str">
        <f>IF(Calc!L59=0,"",Calc!L59)</f>
        <v/>
      </c>
      <c r="P60" s="2201" t="str">
        <f>IF(Calc!AV59=0,"",Calc!CF59)</f>
        <v/>
      </c>
      <c r="Q60" s="2202" t="str">
        <f>IF(Calc!M59=0,"",Calc!M59)</f>
        <v/>
      </c>
      <c r="R60" s="2201" t="str">
        <f>IF(Calc!AW59=0,"",Calc!CG59)</f>
        <v/>
      </c>
      <c r="S60" s="2202" t="str">
        <f>IF(Calc!N59=0,"",Calc!N59)</f>
        <v/>
      </c>
      <c r="T60" s="2201" t="str">
        <f>IF(Calc!AX59=0,"",Calc!CH59)</f>
        <v/>
      </c>
      <c r="U60" s="2202" t="str">
        <f>IF(Calc!O59=0,"",Calc!O59)</f>
        <v/>
      </c>
      <c r="V60" s="2201" t="str">
        <f>IF(Calc!AY59=0,"",Calc!CI59)</f>
        <v/>
      </c>
      <c r="W60" s="2202" t="str">
        <f>IF(Calc!P59=0,"",Calc!P59)</f>
        <v/>
      </c>
      <c r="X60" s="2201" t="str">
        <f>IF(Calc!AZ59=0,"",Calc!CJ59)</f>
        <v/>
      </c>
      <c r="Y60" s="2202" t="str">
        <f>IF(Calc!Q59=0,"",Calc!Q59)</f>
        <v/>
      </c>
      <c r="Z60" s="2201" t="str">
        <f>IF(Calc!BA59=0,"",Calc!CK59)</f>
        <v/>
      </c>
      <c r="AA60" s="2202" t="str">
        <f>IF(Calc!R59=0,"",Calc!R59)</f>
        <v/>
      </c>
      <c r="AB60" s="2201" t="str">
        <f>IF(Calc!BB59=0,"",Calc!CL59)</f>
        <v/>
      </c>
      <c r="AC60" s="2202" t="str">
        <f>IF(Calc!S59=0,"",Calc!S59)</f>
        <v/>
      </c>
      <c r="AD60" s="2201" t="str">
        <f>IF(Calc!BC59=0,"",Calc!CM59)</f>
        <v/>
      </c>
      <c r="AE60" s="2202" t="str">
        <f>IF(Calc!T59=0,"",Calc!T59)</f>
        <v/>
      </c>
      <c r="AF60" s="2201" t="str">
        <f>IF(Calc!BD59=0,"",Calc!CN59)</f>
        <v/>
      </c>
      <c r="AG60" s="2202" t="str">
        <f>IF(Calc!U59=0,"",Calc!U59)</f>
        <v/>
      </c>
      <c r="AH60" s="2201" t="str">
        <f>IF(Calc!BE59=0,"",Calc!CO59)</f>
        <v/>
      </c>
      <c r="AI60" s="2202" t="str">
        <f>IF(Calc!V59=0,"",Calc!V59)</f>
        <v/>
      </c>
      <c r="AJ60" s="2201" t="str">
        <f>IF(Calc!BF59=0,"",Calc!CP59)</f>
        <v/>
      </c>
      <c r="AK60" s="2202" t="str">
        <f>IF(Calc!W59=0,"",Calc!W59)</f>
        <v/>
      </c>
      <c r="AL60" s="2201" t="str">
        <f>IF(Calc!BG59=0,"",Calc!CQ59)</f>
        <v/>
      </c>
      <c r="AM60" s="2202" t="str">
        <f>IF(Calc!X59=0,"",Calc!X59)</f>
        <v/>
      </c>
      <c r="AN60" s="2201" t="str">
        <f>IF(Calc!BH59=0,"",Calc!CR59)</f>
        <v/>
      </c>
      <c r="AO60" s="2202" t="str">
        <f>IF(Calc!Y59=0,"",Calc!Y59)</f>
        <v/>
      </c>
      <c r="AP60" s="2201" t="str">
        <f>IF(Calc!BJ59=0,"",Calc!CS59)</f>
        <v/>
      </c>
      <c r="AQ60" s="2202" t="str">
        <f>IF(Calc!Z59=0,"",Calc!Z59)</f>
        <v/>
      </c>
      <c r="AR60" s="2201" t="str">
        <f>IF(Calc!BL59=0,"",Calc!CT59)</f>
        <v/>
      </c>
      <c r="AS60" s="2202" t="str">
        <f>IF(Calc!AA59=0,"",Calc!AA59)</f>
        <v/>
      </c>
      <c r="AT60" s="2201" t="str">
        <f>IF(Calc!BN59=0,"",Calc!CU59)</f>
        <v/>
      </c>
      <c r="AU60" s="2202" t="str">
        <f>IF(Calc!AB59=0,"",Calc!AB59)</f>
        <v/>
      </c>
      <c r="AV60" s="2201" t="str">
        <f>IF(Calc!BP59=0,"",Calc!CV59)</f>
        <v/>
      </c>
      <c r="AW60" s="2202" t="str">
        <f>IF(Calc!AC59=0,"",Calc!AC59)</f>
        <v/>
      </c>
      <c r="AX60" s="2201" t="str">
        <f>IF(Calc!BR59=0,"",Calc!CW59)</f>
        <v/>
      </c>
      <c r="AY60" s="2202" t="str">
        <f>IF(Calc!AD59=0,"",Calc!AD59)</f>
        <v/>
      </c>
      <c r="AZ60" s="2201" t="str">
        <f>IF(Calc!BT59=0,"",Calc!CX59)</f>
        <v/>
      </c>
      <c r="BA60" s="2202" t="str">
        <f>IF(Calc!AE59=0,"",Calc!AE59)</f>
        <v/>
      </c>
      <c r="BB60" s="2201" t="str">
        <f>IF(Calc!BV59=0,"",Calc!CY59)</f>
        <v/>
      </c>
      <c r="BC60" s="2202" t="str">
        <f>IF(Calc!AF59=0,"",Calc!AF59)</f>
        <v/>
      </c>
      <c r="BD60" s="2201" t="str">
        <f>IF(Calc!BX59=0,"",Calc!CZ59)</f>
        <v/>
      </c>
      <c r="BE60" s="2202" t="str">
        <f>IF(Calc!AG59=0,"",Calc!AG59)</f>
        <v/>
      </c>
      <c r="BF60" s="2201" t="str">
        <f>IF(Calc!BZ59=0,"",Calc!DA59)</f>
        <v/>
      </c>
      <c r="BG60" s="2202" t="str">
        <f>IF(Calc!AH59=0,"",Calc!AH59)</f>
        <v/>
      </c>
      <c r="BH60" s="2201" t="str">
        <f>IF(Calc!CB59=0,"",Calc!DB59)</f>
        <v/>
      </c>
      <c r="BI60" s="2202" t="str">
        <f>IF(Calc!AI59=0,"",Calc!AI59)</f>
        <v/>
      </c>
      <c r="BJ60" s="2201" t="str">
        <f>IF(Calc!BS59=0,"",Calc!DC59)</f>
        <v/>
      </c>
      <c r="BK60" s="2203"/>
      <c r="BL60" s="2163"/>
      <c r="BM60" s="2204"/>
      <c r="BN60" s="2198"/>
      <c r="BO60" s="1070"/>
      <c r="BP60" s="2205"/>
      <c r="BQ60" s="2260"/>
      <c r="BR60" s="2260"/>
      <c r="BS60" s="2265"/>
    </row>
    <row r="61" spans="1:71" s="2266" customFormat="1" hidden="1" outlineLevel="1" x14ac:dyDescent="0.3">
      <c r="A61" s="2260"/>
      <c r="B61" s="1463" t="str">
        <f t="shared" si="7"/>
        <v>$ Category Share (%)  - (excl. pull-through)</v>
      </c>
      <c r="C61" s="2207"/>
      <c r="D61" s="2208"/>
      <c r="E61" s="2209" t="str">
        <f>IF(Calc!G60=0,"",Calc!G60)</f>
        <v/>
      </c>
      <c r="F61" s="2210" t="str">
        <f>IF(Calc!AQ60=0,"",Calc!CA60)</f>
        <v/>
      </c>
      <c r="G61" s="2211" t="str">
        <f>IF(Calc!H60=0,"",Calc!H60)</f>
        <v/>
      </c>
      <c r="H61" s="2210" t="str">
        <f>IF(Calc!AR60=0,"",Calc!CB60)</f>
        <v/>
      </c>
      <c r="I61" s="2211" t="str">
        <f>IF(Calc!I60=0,"",Calc!I60)</f>
        <v/>
      </c>
      <c r="J61" s="2210" t="str">
        <f>IF(Calc!AS60=0,"",Calc!CC60)</f>
        <v/>
      </c>
      <c r="K61" s="2211" t="str">
        <f>IF(Calc!J60=0,"",Calc!J60)</f>
        <v/>
      </c>
      <c r="L61" s="2210" t="str">
        <f>IF(Calc!AT60=0,"",Calc!CD60)</f>
        <v/>
      </c>
      <c r="M61" s="2211" t="str">
        <f>IF(Calc!K60=0,"",Calc!K60)</f>
        <v/>
      </c>
      <c r="N61" s="2210" t="str">
        <f>IF(Calc!AU60=0,"",Calc!CE60)</f>
        <v/>
      </c>
      <c r="O61" s="2211" t="str">
        <f>IF(Calc!L60=0,"",Calc!L60)</f>
        <v/>
      </c>
      <c r="P61" s="2210" t="str">
        <f>IF(Calc!AV60=0,"",Calc!CF60)</f>
        <v/>
      </c>
      <c r="Q61" s="2211" t="str">
        <f>IF(Calc!M60=0,"",Calc!M60)</f>
        <v/>
      </c>
      <c r="R61" s="2210" t="str">
        <f>IF(Calc!AW60=0,"",Calc!CG60)</f>
        <v/>
      </c>
      <c r="S61" s="2211" t="str">
        <f>IF(Calc!N60=0,"",Calc!N60)</f>
        <v/>
      </c>
      <c r="T61" s="2210" t="str">
        <f>IF(Calc!AX60=0,"",Calc!CH60)</f>
        <v/>
      </c>
      <c r="U61" s="2211" t="str">
        <f>IF(Calc!O60=0,"",Calc!O60)</f>
        <v/>
      </c>
      <c r="V61" s="2210" t="str">
        <f>IF(Calc!AY60=0,"",Calc!CI60)</f>
        <v/>
      </c>
      <c r="W61" s="2211" t="str">
        <f>IF(Calc!P60=0,"",Calc!P60)</f>
        <v/>
      </c>
      <c r="X61" s="2210" t="str">
        <f>IF(Calc!AZ60=0,"",Calc!CJ60)</f>
        <v/>
      </c>
      <c r="Y61" s="2211" t="str">
        <f>IF(Calc!Q60=0,"",Calc!Q60)</f>
        <v/>
      </c>
      <c r="Z61" s="2210" t="str">
        <f>IF(Calc!BA60=0,"",Calc!CK60)</f>
        <v/>
      </c>
      <c r="AA61" s="2211" t="str">
        <f>IF(Calc!R60=0,"",Calc!R60)</f>
        <v/>
      </c>
      <c r="AB61" s="2210" t="str">
        <f>IF(Calc!BB60=0,"",Calc!CL60)</f>
        <v/>
      </c>
      <c r="AC61" s="2211" t="str">
        <f>IF(Calc!S60=0,"",Calc!S60)</f>
        <v/>
      </c>
      <c r="AD61" s="2210" t="str">
        <f>IF(Calc!BC60=0,"",Calc!CM60)</f>
        <v/>
      </c>
      <c r="AE61" s="2211" t="str">
        <f>IF(Calc!T60=0,"",Calc!T60)</f>
        <v/>
      </c>
      <c r="AF61" s="2210" t="str">
        <f>IF(Calc!BD60=0,"",Calc!CN60)</f>
        <v/>
      </c>
      <c r="AG61" s="2211" t="str">
        <f>IF(Calc!U60=0,"",Calc!U60)</f>
        <v/>
      </c>
      <c r="AH61" s="2210" t="str">
        <f>IF(Calc!BE60=0,"",Calc!CO60)</f>
        <v/>
      </c>
      <c r="AI61" s="2211" t="str">
        <f>IF(Calc!V60=0,"",Calc!V60)</f>
        <v/>
      </c>
      <c r="AJ61" s="2210" t="str">
        <f>IF(Calc!BF60=0,"",Calc!CP60)</f>
        <v/>
      </c>
      <c r="AK61" s="2211" t="str">
        <f>IF(Calc!W60=0,"",Calc!W60)</f>
        <v/>
      </c>
      <c r="AL61" s="2210" t="str">
        <f>IF(Calc!BG60=0,"",Calc!CQ60)</f>
        <v/>
      </c>
      <c r="AM61" s="2211" t="str">
        <f>IF(Calc!X60=0,"",Calc!X60)</f>
        <v/>
      </c>
      <c r="AN61" s="2210" t="str">
        <f>IF(Calc!BH60=0,"",Calc!CR60)</f>
        <v/>
      </c>
      <c r="AO61" s="2211" t="str">
        <f>IF(Calc!Y60=0,"",Calc!Y60)</f>
        <v/>
      </c>
      <c r="AP61" s="2210" t="str">
        <f>IF(Calc!BJ60=0,"",Calc!CS60)</f>
        <v/>
      </c>
      <c r="AQ61" s="2211" t="str">
        <f>IF(Calc!Z60=0,"",Calc!Z60)</f>
        <v/>
      </c>
      <c r="AR61" s="2210" t="str">
        <f>IF(Calc!BL60=0,"",Calc!CT60)</f>
        <v/>
      </c>
      <c r="AS61" s="2211" t="str">
        <f>IF(Calc!AA60=0,"",Calc!AA60)</f>
        <v/>
      </c>
      <c r="AT61" s="2210" t="str">
        <f>IF(Calc!BN60=0,"",Calc!CU60)</f>
        <v/>
      </c>
      <c r="AU61" s="2211" t="str">
        <f>IF(Calc!AB60=0,"",Calc!AB60)</f>
        <v/>
      </c>
      <c r="AV61" s="2210" t="str">
        <f>IF(Calc!BP60=0,"",Calc!CV60)</f>
        <v/>
      </c>
      <c r="AW61" s="2211" t="str">
        <f>IF(Calc!AC60=0,"",Calc!AC60)</f>
        <v/>
      </c>
      <c r="AX61" s="2210" t="str">
        <f>IF(Calc!BR60=0,"",Calc!CW60)</f>
        <v/>
      </c>
      <c r="AY61" s="2211" t="str">
        <f>IF(Calc!AD60=0,"",Calc!AD60)</f>
        <v/>
      </c>
      <c r="AZ61" s="2210" t="str">
        <f>IF(Calc!BT60=0,"",Calc!CX60)</f>
        <v/>
      </c>
      <c r="BA61" s="2211" t="str">
        <f>IF(Calc!AE60=0,"",Calc!AE60)</f>
        <v/>
      </c>
      <c r="BB61" s="2210" t="str">
        <f>IF(Calc!BV60=0,"",Calc!CY60)</f>
        <v/>
      </c>
      <c r="BC61" s="2211" t="str">
        <f>IF(Calc!AF60=0,"",Calc!AF60)</f>
        <v/>
      </c>
      <c r="BD61" s="2210" t="str">
        <f>IF(Calc!BX60=0,"",Calc!CZ60)</f>
        <v/>
      </c>
      <c r="BE61" s="2211" t="str">
        <f>IF(Calc!AG60=0,"",Calc!AG60)</f>
        <v/>
      </c>
      <c r="BF61" s="2210" t="str">
        <f>IF(Calc!BZ60=0,"",Calc!DA60)</f>
        <v/>
      </c>
      <c r="BG61" s="2211" t="str">
        <f>IF(Calc!AH60=0,"",Calc!AH60)</f>
        <v/>
      </c>
      <c r="BH61" s="2210" t="str">
        <f>IF(Calc!CB60=0,"",Calc!DB60)</f>
        <v/>
      </c>
      <c r="BI61" s="2211" t="str">
        <f>IF(Calc!AI60=0,"",Calc!AI60)</f>
        <v/>
      </c>
      <c r="BJ61" s="2210" t="str">
        <f>IF(Calc!BS60=0,"",Calc!DC60)</f>
        <v/>
      </c>
      <c r="BK61" s="2212"/>
      <c r="BL61" s="2172"/>
      <c r="BM61" s="2213"/>
      <c r="BN61" s="2198"/>
      <c r="BO61" s="1070"/>
      <c r="BP61" s="2214"/>
      <c r="BQ61" s="2260"/>
      <c r="BR61" s="2260"/>
      <c r="BS61" s="2265"/>
    </row>
    <row r="62" spans="1:71" s="2269" customFormat="1" ht="18" hidden="1" outlineLevel="1" x14ac:dyDescent="0.35">
      <c r="A62" s="2267"/>
      <c r="B62" s="2180" t="str">
        <f t="shared" si="7"/>
        <v>True Incr Rev (exc Loss Avoid)</v>
      </c>
      <c r="C62" s="2181"/>
      <c r="D62" s="2182"/>
      <c r="E62" s="2183">
        <f>IF($D$2="$ K",Calc!G61,Calc!G61/1000)</f>
        <v>0</v>
      </c>
      <c r="F62" s="2184">
        <f>IF(Calc!AQ61=0,0,IF($D$2="$ M",Calc!CA61/1000,Calc!CA61))</f>
        <v>0</v>
      </c>
      <c r="G62" s="2185">
        <f>IF($D$2="$ K",Calc!H61,Calc!H61/1000)</f>
        <v>0</v>
      </c>
      <c r="H62" s="2184">
        <f>IF(Calc!AR61=0,0,IF($D$2="$ M",Calc!CB61/1000,Calc!CB61))</f>
        <v>0</v>
      </c>
      <c r="I62" s="2185">
        <f>IF($D$2="$ K",Calc!I61,Calc!I61/1000)</f>
        <v>0</v>
      </c>
      <c r="J62" s="2184">
        <f>IF(Calc!AS61=0,0,IF($D$2="$ M",Calc!CC61/1000,Calc!CC61))</f>
        <v>0</v>
      </c>
      <c r="K62" s="2185">
        <f>IF($D$2="$ K",Calc!J61,Calc!J61/1000)</f>
        <v>0</v>
      </c>
      <c r="L62" s="2184">
        <f>IF(Calc!AT61=0,0,IF($D$2="$ M",Calc!CD61/1000,Calc!CD61))</f>
        <v>0</v>
      </c>
      <c r="M62" s="2185">
        <f>IF($D$2="$ K",Calc!K61,Calc!K61/1000)</f>
        <v>0</v>
      </c>
      <c r="N62" s="2184">
        <f>IF(Calc!AU61=0,0,IF($D$2="$ M",Calc!CE61/1000,Calc!CE61))</f>
        <v>0</v>
      </c>
      <c r="O62" s="2185">
        <f>IF($D$2="$ K",Calc!L61,Calc!L61/1000)</f>
        <v>0</v>
      </c>
      <c r="P62" s="2184">
        <f>IF(Calc!AV61=0,0,IF($D$2="$ M",Calc!CF61/1000,Calc!CF61))</f>
        <v>0</v>
      </c>
      <c r="Q62" s="2185">
        <f>IF($D$2="$ K",Calc!M61,Calc!M61/1000)</f>
        <v>0</v>
      </c>
      <c r="R62" s="2184">
        <f>IF(Calc!AW61=0,0,IF($D$2="$ M",Calc!CG61/1000,Calc!CG61))</f>
        <v>0</v>
      </c>
      <c r="S62" s="2185">
        <f>IF($D$2="$ K",Calc!N61,Calc!N61/1000)</f>
        <v>0</v>
      </c>
      <c r="T62" s="2184">
        <f>IF(Calc!AX61=0,0,IF($D$2="$ M",Calc!CH61/1000,Calc!CH61))</f>
        <v>0</v>
      </c>
      <c r="U62" s="2185">
        <f>IF($D$2="$ K",Calc!O61,Calc!O61/1000)</f>
        <v>0</v>
      </c>
      <c r="V62" s="2184">
        <f>IF(Calc!AY61=0,0,IF($D$2="$ M",Calc!CI61/1000,Calc!CI61))</f>
        <v>0</v>
      </c>
      <c r="W62" s="2185">
        <f>IF($D$2="$ K",Calc!P61,Calc!P61/1000)</f>
        <v>0</v>
      </c>
      <c r="X62" s="2184">
        <f>IF(Calc!AZ61=0,0,IF($D$2="$ M",Calc!CJ61/1000,Calc!CJ61))</f>
        <v>0</v>
      </c>
      <c r="Y62" s="2185">
        <f>IF($D$2="$ K",Calc!Q61,Calc!Q61/1000)</f>
        <v>0</v>
      </c>
      <c r="Z62" s="2184">
        <f>IF(Calc!BA61=0,0,IF($D$2="$ M",Calc!CK61/1000,Calc!CK61))</f>
        <v>0</v>
      </c>
      <c r="AA62" s="2185">
        <f>IF($D$2="$ K",Calc!R61,Calc!R61/1000)</f>
        <v>0</v>
      </c>
      <c r="AB62" s="2184">
        <f>IF(Calc!BB61=0,0,IF($D$2="$ M",Calc!CL61/1000,Calc!CL61))</f>
        <v>0</v>
      </c>
      <c r="AC62" s="2185">
        <f>IF($D$2="$ K",Calc!S61,Calc!S61/1000)</f>
        <v>0</v>
      </c>
      <c r="AD62" s="2184">
        <f>IF(Calc!BC61=0,0,IF($D$2="$ M",Calc!CM61/1000,Calc!CM61))</f>
        <v>0</v>
      </c>
      <c r="AE62" s="2185">
        <f>IF($D$2="$ K",Calc!T61,Calc!T61/1000)</f>
        <v>0</v>
      </c>
      <c r="AF62" s="2184">
        <f>IF(Calc!BD61=0,0,IF($D$2="$ M",Calc!CN61/1000,Calc!CN61))</f>
        <v>0</v>
      </c>
      <c r="AG62" s="2185">
        <f>IF($D$2="$ K",Calc!U61,Calc!U61/1000)</f>
        <v>0</v>
      </c>
      <c r="AH62" s="2184">
        <f>IF(Calc!BE61=0,0,IF($D$2="$ M",Calc!CO61/1000,Calc!CO61))</f>
        <v>0</v>
      </c>
      <c r="AI62" s="2185">
        <f>IF($D$2="$ K",Calc!V61,Calc!V61/1000)</f>
        <v>0</v>
      </c>
      <c r="AJ62" s="2184">
        <f>IF(Calc!BF61=0,0,IF($D$2="$ M",Calc!CP61/1000,Calc!CP61))</f>
        <v>0</v>
      </c>
      <c r="AK62" s="2185">
        <f>IF($D$2="$ K",Calc!W61,Calc!W61/1000)</f>
        <v>0</v>
      </c>
      <c r="AL62" s="2184">
        <f>IF(Calc!BG61=0,0,IF($D$2="$ M",Calc!CQ61/1000,Calc!CQ61))</f>
        <v>0</v>
      </c>
      <c r="AM62" s="2185">
        <f>IF($D$2="$ K",Calc!X61,Calc!X61/1000)</f>
        <v>0</v>
      </c>
      <c r="AN62" s="2184">
        <f>IF(Calc!BH61=0,0,IF($D$2="$ M",Calc!CR61/1000,Calc!CR61))</f>
        <v>0</v>
      </c>
      <c r="AO62" s="2185">
        <f>IF($D$2="$ K",Calc!Y61,Calc!Y61/1000)</f>
        <v>0</v>
      </c>
      <c r="AP62" s="2184">
        <f>IF(Calc!BJ61=0,0,IF($D$2="$ M",Calc!CS61/1000,Calc!CS61))</f>
        <v>0</v>
      </c>
      <c r="AQ62" s="2185">
        <f>IF($D$2="$ K",Calc!Z61,Calc!Z61/1000)</f>
        <v>0</v>
      </c>
      <c r="AR62" s="2184">
        <f>IF(Calc!BL61=0,0,IF($D$2="$ M",Calc!CT61/1000,Calc!CT61))</f>
        <v>0</v>
      </c>
      <c r="AS62" s="2185">
        <f>IF($D$2="$ K",Calc!AA61,Calc!AA61/1000)</f>
        <v>0</v>
      </c>
      <c r="AT62" s="2184">
        <f>IF(Calc!BN61=0,0,IF($D$2="$ M",Calc!CU61/1000,Calc!CU61))</f>
        <v>0</v>
      </c>
      <c r="AU62" s="2185">
        <f>IF($D$2="$ K",Calc!AB61,Calc!AB61/1000)</f>
        <v>0</v>
      </c>
      <c r="AV62" s="2184">
        <f>IF(Calc!BP61=0,0,IF($D$2="$ M",Calc!CV61/1000,Calc!CV61))</f>
        <v>0</v>
      </c>
      <c r="AW62" s="2185">
        <f>IF($D$2="$ K",Calc!AC61,Calc!AC61/1000)</f>
        <v>0</v>
      </c>
      <c r="AX62" s="2184">
        <f>IF(Calc!BR61=0,0,IF($D$2="$ M",Calc!CW61/1000,Calc!CW61))</f>
        <v>0</v>
      </c>
      <c r="AY62" s="2185">
        <f>IF($D$2="$ K",Calc!AD61,Calc!AD61/1000)</f>
        <v>0</v>
      </c>
      <c r="AZ62" s="2184">
        <f>IF(Calc!BT61=0,0,IF($D$2="$ M",Calc!CX61/1000,Calc!CX61))</f>
        <v>0</v>
      </c>
      <c r="BA62" s="2185">
        <f>IF($D$2="$ K",Calc!AE61,Calc!AE61/1000)</f>
        <v>0</v>
      </c>
      <c r="BB62" s="2184">
        <f>IF(Calc!BV61=0,0,IF($D$2="$ M",Calc!CY61/1000,Calc!CY61))</f>
        <v>0</v>
      </c>
      <c r="BC62" s="2185">
        <f>IF($D$2="$ K",Calc!AF61,Calc!AF61/1000)</f>
        <v>0</v>
      </c>
      <c r="BD62" s="2184">
        <f>IF(Calc!BX61=0,0,IF($D$2="$ M",Calc!CZ61/1000,Calc!CZ61))</f>
        <v>0</v>
      </c>
      <c r="BE62" s="2185">
        <f>IF($D$2="$ K",Calc!AG61,Calc!AG61/1000)</f>
        <v>0</v>
      </c>
      <c r="BF62" s="2184">
        <f>IF(Calc!BZ61=0,0,IF($D$2="$ M",Calc!DA61/1000,Calc!DA61))</f>
        <v>0</v>
      </c>
      <c r="BG62" s="2185">
        <f>IF($D$2="$ K",Calc!AH61,Calc!AH61/1000)</f>
        <v>0</v>
      </c>
      <c r="BH62" s="2184">
        <f>IF(Calc!CB61=0,0,IF($D$2="$ M",Calc!DB61/1000,Calc!DB61))</f>
        <v>0</v>
      </c>
      <c r="BI62" s="2185">
        <f>IF($D$2="$ K",Calc!AI61,Calc!AI61/1000)</f>
        <v>0</v>
      </c>
      <c r="BJ62" s="2184">
        <f>IF(Calc!BS61=0,0,IF($D$2="$ M",Calc!DC61/1000,Calc!DC61))</f>
        <v>0</v>
      </c>
      <c r="BK62" s="2185">
        <f>IF($D$2="$ K",Calc!AJ61,Calc!AJ61/1000)</f>
        <v>0</v>
      </c>
      <c r="BL62" s="2186"/>
      <c r="BM62" s="2187">
        <f>IF(Calc!BT61=0,0,IF($D$2="$ M",Calc!DD61/1000,Calc!DD61))</f>
        <v>0</v>
      </c>
      <c r="BN62" s="1260"/>
      <c r="BO62" s="1260"/>
      <c r="BP62" s="2188">
        <f>IF($D$2="$ K",Calc!AM61,Calc!AM61/1000)</f>
        <v>0</v>
      </c>
      <c r="BQ62" s="2267"/>
      <c r="BR62" s="2267"/>
      <c r="BS62" s="2268"/>
    </row>
    <row r="63" spans="1:71" s="2269" customFormat="1" ht="15.6" hidden="1" outlineLevel="1" x14ac:dyDescent="0.3">
      <c r="A63" s="2267"/>
      <c r="B63" s="2215" t="str">
        <f t="shared" si="7"/>
        <v>ASR Rev (Hyperion)</v>
      </c>
      <c r="C63" s="2216"/>
      <c r="D63" s="2217"/>
      <c r="E63" s="2218">
        <f>IF($D$2="$ K",Calc!G62,Calc!G62/1000)</f>
        <v>0</v>
      </c>
      <c r="F63" s="2219">
        <f>IF(Calc!AQ62=0,0,IF($D$2="$ M",Calc!CA62/1000,Calc!CA62))</f>
        <v>0</v>
      </c>
      <c r="G63" s="2220">
        <f>IF($D$2="$ K",Calc!H62,Calc!H62/1000)</f>
        <v>0</v>
      </c>
      <c r="H63" s="2219">
        <f>IF(Calc!AR62=0,0,IF($D$2="$ M",Calc!CB62/1000,Calc!CB62))</f>
        <v>0</v>
      </c>
      <c r="I63" s="2220">
        <f>IF($D$2="$ K",Calc!I62,Calc!I62/1000)</f>
        <v>0</v>
      </c>
      <c r="J63" s="2219">
        <f>IF(Calc!AS62=0,0,IF($D$2="$ M",Calc!CC62/1000,Calc!CC62))</f>
        <v>0</v>
      </c>
      <c r="K63" s="2220">
        <f>IF($D$2="$ K",Calc!J62,Calc!J62/1000)</f>
        <v>0</v>
      </c>
      <c r="L63" s="2219">
        <f>IF(Calc!AT62=0,0,IF($D$2="$ M",Calc!CD62/1000,Calc!CD62))</f>
        <v>0</v>
      </c>
      <c r="M63" s="2220">
        <f>IF($D$2="$ K",Calc!K62,Calc!K62/1000)</f>
        <v>0</v>
      </c>
      <c r="N63" s="2219">
        <f>IF(Calc!AU62=0,0,IF($D$2="$ M",Calc!CE62/1000,Calc!CE62))</f>
        <v>0</v>
      </c>
      <c r="O63" s="2220">
        <f>IF($D$2="$ K",Calc!L62,Calc!L62/1000)</f>
        <v>0</v>
      </c>
      <c r="P63" s="2219">
        <f>IF(Calc!AV62=0,0,IF($D$2="$ M",Calc!CF62/1000,Calc!CF62))</f>
        <v>0</v>
      </c>
      <c r="Q63" s="2220">
        <f>IF($D$2="$ K",Calc!M62,Calc!M62/1000)</f>
        <v>0</v>
      </c>
      <c r="R63" s="2219">
        <f>IF(Calc!AW62=0,0,IF($D$2="$ M",Calc!CG62/1000,Calc!CG62))</f>
        <v>0</v>
      </c>
      <c r="S63" s="2220">
        <f>IF($D$2="$ K",Calc!N62,Calc!N62/1000)</f>
        <v>0</v>
      </c>
      <c r="T63" s="2219">
        <f>IF(Calc!AX62=0,0,IF($D$2="$ M",Calc!CH62/1000,Calc!CH62))</f>
        <v>0</v>
      </c>
      <c r="U63" s="2220">
        <f>IF($D$2="$ K",Calc!O62,Calc!O62/1000)</f>
        <v>0</v>
      </c>
      <c r="V63" s="2219">
        <f>IF(Calc!AY62=0,0,IF($D$2="$ M",Calc!CI62/1000,Calc!CI62))</f>
        <v>0</v>
      </c>
      <c r="W63" s="2220">
        <f>IF($D$2="$ K",Calc!P62,Calc!P62/1000)</f>
        <v>0</v>
      </c>
      <c r="X63" s="2219">
        <f>IF(Calc!AZ62=0,0,IF($D$2="$ M",Calc!CJ62/1000,Calc!CJ62))</f>
        <v>0</v>
      </c>
      <c r="Y63" s="2220">
        <f>IF($D$2="$ K",Calc!Q62,Calc!Q62/1000)</f>
        <v>0</v>
      </c>
      <c r="Z63" s="2219">
        <f>IF(Calc!BA62=0,0,IF($D$2="$ M",Calc!CK62/1000,Calc!CK62))</f>
        <v>0</v>
      </c>
      <c r="AA63" s="2220">
        <f>IF($D$2="$ K",Calc!R62,Calc!R62/1000)</f>
        <v>0</v>
      </c>
      <c r="AB63" s="2219">
        <f>IF(Calc!BB62=0,0,IF($D$2="$ M",Calc!CL62/1000,Calc!CL62))</f>
        <v>0</v>
      </c>
      <c r="AC63" s="2220">
        <f>IF($D$2="$ K",Calc!S62,Calc!S62/1000)</f>
        <v>0</v>
      </c>
      <c r="AD63" s="2219">
        <f>IF(Calc!BC62=0,0,IF($D$2="$ M",Calc!CM62/1000,Calc!CM62))</f>
        <v>0</v>
      </c>
      <c r="AE63" s="2220">
        <f>IF($D$2="$ K",Calc!T62,Calc!T62/1000)</f>
        <v>0</v>
      </c>
      <c r="AF63" s="2219">
        <f>IF(Calc!BD62=0,0,IF($D$2="$ M",Calc!CN62/1000,Calc!CN62))</f>
        <v>0</v>
      </c>
      <c r="AG63" s="2220">
        <f>IF($D$2="$ K",Calc!U62,Calc!U62/1000)</f>
        <v>0</v>
      </c>
      <c r="AH63" s="2219">
        <f>IF(Calc!BE62=0,0,IF($D$2="$ M",Calc!CO62/1000,Calc!CO62))</f>
        <v>0</v>
      </c>
      <c r="AI63" s="2220">
        <f>IF($D$2="$ K",Calc!V62,Calc!V62/1000)</f>
        <v>0</v>
      </c>
      <c r="AJ63" s="2219">
        <f>IF(Calc!BF62=0,0,IF($D$2="$ M",Calc!CP62/1000,Calc!CP62))</f>
        <v>0</v>
      </c>
      <c r="AK63" s="2220">
        <f>IF($D$2="$ K",Calc!W62,Calc!W62/1000)</f>
        <v>0</v>
      </c>
      <c r="AL63" s="2219">
        <f>IF(Calc!BG62=0,0,IF($D$2="$ M",Calc!CQ62/1000,Calc!CQ62))</f>
        <v>0</v>
      </c>
      <c r="AM63" s="2220">
        <f>IF($D$2="$ K",Calc!X62,Calc!X62/1000)</f>
        <v>0</v>
      </c>
      <c r="AN63" s="2219">
        <f>IF(Calc!BH62=0,0,IF($D$2="$ M",Calc!CR62/1000,Calc!CR62))</f>
        <v>0</v>
      </c>
      <c r="AO63" s="2220">
        <f>IF($D$2="$ K",Calc!Y62,Calc!Y62/1000)</f>
        <v>0</v>
      </c>
      <c r="AP63" s="2219">
        <f>IF(Calc!BJ62=0,0,IF($D$2="$ M",Calc!CS62/1000,Calc!CS62))</f>
        <v>0</v>
      </c>
      <c r="AQ63" s="2220">
        <f>IF($D$2="$ K",Calc!Z62,Calc!Z62/1000)</f>
        <v>0</v>
      </c>
      <c r="AR63" s="2219">
        <f>IF(Calc!BL62=0,0,IF($D$2="$ M",Calc!CT62/1000,Calc!CT62))</f>
        <v>0</v>
      </c>
      <c r="AS63" s="2220">
        <f>IF($D$2="$ K",Calc!AA62,Calc!AA62/1000)</f>
        <v>0</v>
      </c>
      <c r="AT63" s="2219">
        <f>IF(Calc!BN62=0,0,IF($D$2="$ M",Calc!CU62/1000,Calc!CU62))</f>
        <v>0</v>
      </c>
      <c r="AU63" s="2220">
        <f>IF($D$2="$ K",Calc!AB62,Calc!AB62/1000)</f>
        <v>0</v>
      </c>
      <c r="AV63" s="2219">
        <f>IF(Calc!BP62=0,0,IF($D$2="$ M",Calc!CV62/1000,Calc!CV62))</f>
        <v>0</v>
      </c>
      <c r="AW63" s="2220">
        <f>IF($D$2="$ K",Calc!AC62,Calc!AC62/1000)</f>
        <v>0</v>
      </c>
      <c r="AX63" s="2219">
        <f>IF(Calc!BR62=0,0,IF($D$2="$ M",Calc!CW62/1000,Calc!CW62))</f>
        <v>0</v>
      </c>
      <c r="AY63" s="2220">
        <f>IF($D$2="$ K",Calc!AD62,Calc!AD62/1000)</f>
        <v>0</v>
      </c>
      <c r="AZ63" s="2219">
        <f>IF(Calc!BT62=0,0,IF($D$2="$ M",Calc!CX62/1000,Calc!CX62))</f>
        <v>0</v>
      </c>
      <c r="BA63" s="2220">
        <f>IF($D$2="$ K",Calc!AE62,Calc!AE62/1000)</f>
        <v>0</v>
      </c>
      <c r="BB63" s="2219">
        <f>IF(Calc!BV62=0,0,IF($D$2="$ M",Calc!CY62/1000,Calc!CY62))</f>
        <v>0</v>
      </c>
      <c r="BC63" s="2220">
        <f>IF($D$2="$ K",Calc!AF62,Calc!AF62/1000)</f>
        <v>0</v>
      </c>
      <c r="BD63" s="2219">
        <f>IF(Calc!BX62=0,0,IF($D$2="$ M",Calc!CZ62/1000,Calc!CZ62))</f>
        <v>0</v>
      </c>
      <c r="BE63" s="2220">
        <f>IF($D$2="$ K",Calc!AG62,Calc!AG62/1000)</f>
        <v>0</v>
      </c>
      <c r="BF63" s="2219">
        <f>IF(Calc!BZ62=0,0,IF($D$2="$ M",Calc!DA62/1000,Calc!DA62))</f>
        <v>0</v>
      </c>
      <c r="BG63" s="2220">
        <f>IF($D$2="$ K",Calc!AH62,Calc!AH62/1000)</f>
        <v>0</v>
      </c>
      <c r="BH63" s="2219">
        <f>IF(Calc!CB62=0,0,IF($D$2="$ M",Calc!DB62/1000,Calc!DB62))</f>
        <v>0</v>
      </c>
      <c r="BI63" s="2220">
        <f>IF($D$2="$ K",Calc!AI62,Calc!AI62/1000)</f>
        <v>0</v>
      </c>
      <c r="BJ63" s="2219">
        <f>IF(Calc!BS62=0,0,IF($D$2="$ M",Calc!DC62/1000,Calc!DC62))</f>
        <v>0</v>
      </c>
      <c r="BK63" s="2220"/>
      <c r="BL63" s="2221"/>
      <c r="BM63" s="2222">
        <f>IF(Calc!BT62=0,0,IF($D$2="$ M",Calc!DD62/1000,Calc!DD62))</f>
        <v>0</v>
      </c>
      <c r="BN63" s="1260"/>
      <c r="BO63" s="1260"/>
      <c r="BP63" s="2223"/>
      <c r="BQ63" s="2267"/>
      <c r="BR63" s="2267"/>
      <c r="BS63" s="2268"/>
    </row>
    <row r="64" spans="1:71" s="2269" customFormat="1" ht="15.6" hidden="1" outlineLevel="1" x14ac:dyDescent="0.3">
      <c r="A64" s="2267"/>
      <c r="B64" s="2224" t="str">
        <f t="shared" si="7"/>
        <v>New Prod vs ASR Rev</v>
      </c>
      <c r="C64" s="2225"/>
      <c r="D64" s="2226"/>
      <c r="E64" s="2227">
        <f>IF($D$2="$ K",Calc!G63,Calc!G63/1000)</f>
        <v>0</v>
      </c>
      <c r="F64" s="2228">
        <f>IF(Calc!AQ63=0,0,IF($D$2="$ M",Calc!CA63/1000,Calc!CA63))</f>
        <v>0</v>
      </c>
      <c r="G64" s="2229">
        <f>IF($D$2="$ K",Calc!H63,Calc!H63/1000)</f>
        <v>0</v>
      </c>
      <c r="H64" s="2228">
        <f>IF(Calc!AR63=0,0,IF($D$2="$ M",Calc!CB63/1000,Calc!CB63))</f>
        <v>0</v>
      </c>
      <c r="I64" s="2229">
        <f>IF($D$2="$ K",Calc!I63,Calc!I63/1000)</f>
        <v>0</v>
      </c>
      <c r="J64" s="2228">
        <f>IF(Calc!AS63=0,0,IF($D$2="$ M",Calc!CC63/1000,Calc!CC63))</f>
        <v>0</v>
      </c>
      <c r="K64" s="2229">
        <f>IF($D$2="$ K",Calc!J63,Calc!J63/1000)</f>
        <v>0</v>
      </c>
      <c r="L64" s="2228">
        <f>IF(Calc!AT63=0,0,IF($D$2="$ M",Calc!CD63/1000,Calc!CD63))</f>
        <v>0</v>
      </c>
      <c r="M64" s="2229">
        <f>IF($D$2="$ K",Calc!K63,Calc!K63/1000)</f>
        <v>0</v>
      </c>
      <c r="N64" s="2228">
        <f>IF(Calc!AU63=0,0,IF($D$2="$ M",Calc!CE63/1000,Calc!CE63))</f>
        <v>0</v>
      </c>
      <c r="O64" s="2229">
        <f>IF($D$2="$ K",Calc!L63,Calc!L63/1000)</f>
        <v>0</v>
      </c>
      <c r="P64" s="2228">
        <f>IF(Calc!AV63=0,0,IF($D$2="$ M",Calc!CF63/1000,Calc!CF63))</f>
        <v>0</v>
      </c>
      <c r="Q64" s="2229">
        <f>IF($D$2="$ K",Calc!M63,Calc!M63/1000)</f>
        <v>0</v>
      </c>
      <c r="R64" s="2228">
        <f>IF(Calc!AW63=0,0,IF($D$2="$ M",Calc!CG63/1000,Calc!CG63))</f>
        <v>0</v>
      </c>
      <c r="S64" s="2229">
        <f>IF($D$2="$ K",Calc!N63,Calc!N63/1000)</f>
        <v>0</v>
      </c>
      <c r="T64" s="2228">
        <f>IF(Calc!AX63=0,0,IF($D$2="$ M",Calc!CH63/1000,Calc!CH63))</f>
        <v>0</v>
      </c>
      <c r="U64" s="2229">
        <f>IF($D$2="$ K",Calc!O63,Calc!O63/1000)</f>
        <v>0</v>
      </c>
      <c r="V64" s="2228">
        <f>IF(Calc!AY63=0,0,IF($D$2="$ M",Calc!CI63/1000,Calc!CI63))</f>
        <v>0</v>
      </c>
      <c r="W64" s="2229">
        <f>IF($D$2="$ K",Calc!P63,Calc!P63/1000)</f>
        <v>0</v>
      </c>
      <c r="X64" s="2228">
        <f>IF(Calc!AZ63=0,0,IF($D$2="$ M",Calc!CJ63/1000,Calc!CJ63))</f>
        <v>0</v>
      </c>
      <c r="Y64" s="2229">
        <f>IF($D$2="$ K",Calc!Q63,Calc!Q63/1000)</f>
        <v>0</v>
      </c>
      <c r="Z64" s="2228">
        <f>IF(Calc!BA63=0,0,IF($D$2="$ M",Calc!CK63/1000,Calc!CK63))</f>
        <v>0</v>
      </c>
      <c r="AA64" s="2229">
        <f>IF($D$2="$ K",Calc!R63,Calc!R63/1000)</f>
        <v>0</v>
      </c>
      <c r="AB64" s="2228">
        <f>IF(Calc!BB63=0,0,IF($D$2="$ M",Calc!CL63/1000,Calc!CL63))</f>
        <v>0</v>
      </c>
      <c r="AC64" s="2229">
        <f>IF($D$2="$ K",Calc!S63,Calc!S63/1000)</f>
        <v>0</v>
      </c>
      <c r="AD64" s="2228">
        <f>IF(Calc!BC63=0,0,IF($D$2="$ M",Calc!CM63/1000,Calc!CM63))</f>
        <v>0</v>
      </c>
      <c r="AE64" s="2229">
        <f>IF($D$2="$ K",Calc!T63,Calc!T63/1000)</f>
        <v>0</v>
      </c>
      <c r="AF64" s="2228">
        <f>IF(Calc!BD63=0,0,IF($D$2="$ M",Calc!CN63/1000,Calc!CN63))</f>
        <v>0</v>
      </c>
      <c r="AG64" s="2229">
        <f>IF($D$2="$ K",Calc!U63,Calc!U63/1000)</f>
        <v>0</v>
      </c>
      <c r="AH64" s="2228">
        <f>IF(Calc!BE63=0,0,IF($D$2="$ M",Calc!CO63/1000,Calc!CO63))</f>
        <v>0</v>
      </c>
      <c r="AI64" s="2229">
        <f>IF($D$2="$ K",Calc!V63,Calc!V63/1000)</f>
        <v>0</v>
      </c>
      <c r="AJ64" s="2228">
        <f>IF(Calc!BF63=0,0,IF($D$2="$ M",Calc!CP63/1000,Calc!CP63))</f>
        <v>0</v>
      </c>
      <c r="AK64" s="2229">
        <f>IF($D$2="$ K",Calc!W63,Calc!W63/1000)</f>
        <v>0</v>
      </c>
      <c r="AL64" s="2228">
        <f>IF(Calc!BG63=0,0,IF($D$2="$ M",Calc!CQ63/1000,Calc!CQ63))</f>
        <v>0</v>
      </c>
      <c r="AM64" s="2229">
        <f>IF($D$2="$ K",Calc!X63,Calc!X63/1000)</f>
        <v>0</v>
      </c>
      <c r="AN64" s="2228">
        <f>IF(Calc!BH63=0,0,IF($D$2="$ M",Calc!CR63/1000,Calc!CR63))</f>
        <v>0</v>
      </c>
      <c r="AO64" s="2229">
        <f>IF($D$2="$ K",Calc!Y63,Calc!Y63/1000)</f>
        <v>0</v>
      </c>
      <c r="AP64" s="2228">
        <f>IF(Calc!BJ63=0,0,IF($D$2="$ M",Calc!CS63/1000,Calc!CS63))</f>
        <v>0</v>
      </c>
      <c r="AQ64" s="2229">
        <f>IF($D$2="$ K",Calc!Z63,Calc!Z63/1000)</f>
        <v>0</v>
      </c>
      <c r="AR64" s="2228">
        <f>IF(Calc!BL63=0,0,IF($D$2="$ M",Calc!CT63/1000,Calc!CT63))</f>
        <v>0</v>
      </c>
      <c r="AS64" s="2229">
        <f>IF($D$2="$ K",Calc!AA63,Calc!AA63/1000)</f>
        <v>0</v>
      </c>
      <c r="AT64" s="2228">
        <f>IF(Calc!BN63=0,0,IF($D$2="$ M",Calc!CU63/1000,Calc!CU63))</f>
        <v>0</v>
      </c>
      <c r="AU64" s="2229">
        <f>IF($D$2="$ K",Calc!AB63,Calc!AB63/1000)</f>
        <v>0</v>
      </c>
      <c r="AV64" s="2228">
        <f>IF(Calc!BP63=0,0,IF($D$2="$ M",Calc!CV63/1000,Calc!CV63))</f>
        <v>0</v>
      </c>
      <c r="AW64" s="2229">
        <f>IF($D$2="$ K",Calc!AC63,Calc!AC63/1000)</f>
        <v>0</v>
      </c>
      <c r="AX64" s="2228">
        <f>IF(Calc!BR63=0,0,IF($D$2="$ M",Calc!CW63/1000,Calc!CW63))</f>
        <v>0</v>
      </c>
      <c r="AY64" s="2229">
        <f>IF($D$2="$ K",Calc!AD63,Calc!AD63/1000)</f>
        <v>0</v>
      </c>
      <c r="AZ64" s="2228">
        <f>IF(Calc!BT63=0,0,IF($D$2="$ M",Calc!CX63/1000,Calc!CX63))</f>
        <v>0</v>
      </c>
      <c r="BA64" s="2229">
        <f>IF($D$2="$ K",Calc!AE63,Calc!AE63/1000)</f>
        <v>0</v>
      </c>
      <c r="BB64" s="2228">
        <f>IF(Calc!BV63=0,0,IF($D$2="$ M",Calc!CY63/1000,Calc!CY63))</f>
        <v>0</v>
      </c>
      <c r="BC64" s="2229">
        <f>IF($D$2="$ K",Calc!AF63,Calc!AF63/1000)</f>
        <v>0</v>
      </c>
      <c r="BD64" s="2228">
        <f>IF(Calc!BX63=0,0,IF($D$2="$ M",Calc!CZ63/1000,Calc!CZ63))</f>
        <v>0</v>
      </c>
      <c r="BE64" s="2229">
        <f>IF($D$2="$ K",Calc!AG63,Calc!AG63/1000)</f>
        <v>0</v>
      </c>
      <c r="BF64" s="2228">
        <f>IF(Calc!BZ63=0,0,IF($D$2="$ M",Calc!DA63/1000,Calc!DA63))</f>
        <v>0</v>
      </c>
      <c r="BG64" s="2229">
        <f>IF($D$2="$ K",Calc!AH63,Calc!AH63/1000)</f>
        <v>0</v>
      </c>
      <c r="BH64" s="2228">
        <f>IF(Calc!CB63=0,0,IF($D$2="$ M",Calc!DB63/1000,Calc!DB63))</f>
        <v>0</v>
      </c>
      <c r="BI64" s="2229">
        <f>IF($D$2="$ K",Calc!AI63,Calc!AI63/1000)</f>
        <v>0</v>
      </c>
      <c r="BJ64" s="2228">
        <f>IF(Calc!BS63=0,0,IF($D$2="$ M",Calc!DC63/1000,Calc!DC63))</f>
        <v>0</v>
      </c>
      <c r="BK64" s="2229">
        <f>IF($D$2="$ K",Calc!AJ63,Calc!AJ63/1000)</f>
        <v>0</v>
      </c>
      <c r="BL64" s="2230"/>
      <c r="BM64" s="2231">
        <f>IF(Calc!BT63=0,0,IF($D$2="$ M",Calc!DD63/1000,Calc!DD63))</f>
        <v>0</v>
      </c>
      <c r="BN64" s="1260"/>
      <c r="BO64" s="1260"/>
      <c r="BP64" s="2232">
        <f>IF($D$2="$ K",Calc!AM63,Calc!AM63/1000)</f>
        <v>0</v>
      </c>
      <c r="BQ64" s="2267"/>
      <c r="BR64" s="2267"/>
      <c r="BS64" s="2268"/>
    </row>
    <row r="65" spans="1:71" s="2266" customFormat="1" hidden="1" outlineLevel="1" x14ac:dyDescent="0.3">
      <c r="A65" s="2260"/>
      <c r="B65" s="2197" t="str">
        <f t="shared" si="7"/>
        <v>Std Cost w/ Depr ($)</v>
      </c>
      <c r="C65" s="1099"/>
      <c r="D65" s="2233"/>
      <c r="E65" s="2234">
        <f>+Calc!G64</f>
        <v>0</v>
      </c>
      <c r="F65" s="2235">
        <f>IF(Calc!AQ64=0,0,Calc!CA64)</f>
        <v>0</v>
      </c>
      <c r="G65" s="2236">
        <f>+Calc!H64</f>
        <v>0</v>
      </c>
      <c r="H65" s="2235">
        <f>IF(Calc!AR64=0,0,Calc!CB64)</f>
        <v>0</v>
      </c>
      <c r="I65" s="2236">
        <f>+Calc!I64</f>
        <v>0</v>
      </c>
      <c r="J65" s="2235">
        <f>IF(Calc!AS64=0,0,Calc!CC64)</f>
        <v>0</v>
      </c>
      <c r="K65" s="2236">
        <f>+Calc!J64</f>
        <v>0</v>
      </c>
      <c r="L65" s="2235">
        <f>IF(Calc!AT64=0,0,Calc!CD64)</f>
        <v>0</v>
      </c>
      <c r="M65" s="2236">
        <f>+Calc!K64</f>
        <v>0</v>
      </c>
      <c r="N65" s="2235">
        <f>IF(Calc!AU64=0,0,Calc!CE64)</f>
        <v>0</v>
      </c>
      <c r="O65" s="2236">
        <f>+Calc!L64</f>
        <v>0</v>
      </c>
      <c r="P65" s="2235">
        <f>IF(Calc!AV64=0,0,Calc!CF64)</f>
        <v>0</v>
      </c>
      <c r="Q65" s="2236">
        <f>+Calc!M64</f>
        <v>0</v>
      </c>
      <c r="R65" s="2235">
        <f>IF(Calc!AW64=0,0,Calc!CG64)</f>
        <v>0</v>
      </c>
      <c r="S65" s="2236">
        <f>+Calc!N64</f>
        <v>0</v>
      </c>
      <c r="T65" s="2235">
        <f>IF(Calc!AX64=0,0,Calc!CH64)</f>
        <v>0</v>
      </c>
      <c r="U65" s="2236">
        <f>+Calc!O64</f>
        <v>0</v>
      </c>
      <c r="V65" s="2235">
        <f>IF(Calc!AY64=0,0,Calc!CI64)</f>
        <v>0</v>
      </c>
      <c r="W65" s="2236">
        <f>+Calc!P64</f>
        <v>0</v>
      </c>
      <c r="X65" s="2235">
        <f>IF(Calc!AZ64=0,0,Calc!CJ64)</f>
        <v>0</v>
      </c>
      <c r="Y65" s="2236">
        <f>+Calc!Q64</f>
        <v>0</v>
      </c>
      <c r="Z65" s="2235">
        <f>IF(Calc!BA64=0,0,Calc!CK64)</f>
        <v>0</v>
      </c>
      <c r="AA65" s="2236">
        <f>+Calc!R64</f>
        <v>0</v>
      </c>
      <c r="AB65" s="2235">
        <f>IF(Calc!BB64=0,0,Calc!CL64)</f>
        <v>0</v>
      </c>
      <c r="AC65" s="2236">
        <f>+Calc!S64</f>
        <v>0</v>
      </c>
      <c r="AD65" s="2235">
        <f>IF(Calc!BC64=0,0,Calc!CM64)</f>
        <v>0</v>
      </c>
      <c r="AE65" s="2236">
        <f>+Calc!T64</f>
        <v>0</v>
      </c>
      <c r="AF65" s="2235">
        <f>IF(Calc!BD64=0,0,Calc!CN64)</f>
        <v>0</v>
      </c>
      <c r="AG65" s="2236">
        <f>+Calc!U64</f>
        <v>0</v>
      </c>
      <c r="AH65" s="2235">
        <f>IF(Calc!BE64=0,0,Calc!CO64)</f>
        <v>0</v>
      </c>
      <c r="AI65" s="2236">
        <f>+Calc!V64</f>
        <v>0</v>
      </c>
      <c r="AJ65" s="2235">
        <f>IF(Calc!BF64=0,0,Calc!CP64)</f>
        <v>0</v>
      </c>
      <c r="AK65" s="2236">
        <f>+Calc!W64</f>
        <v>0</v>
      </c>
      <c r="AL65" s="2235">
        <f>IF(Calc!BG64=0,0,Calc!CQ64)</f>
        <v>0</v>
      </c>
      <c r="AM65" s="2236">
        <f>+Calc!X64</f>
        <v>0</v>
      </c>
      <c r="AN65" s="2235">
        <f>IF(Calc!BH64=0,0,Calc!CR64)</f>
        <v>0</v>
      </c>
      <c r="AO65" s="2236">
        <f>+Calc!Y64</f>
        <v>0</v>
      </c>
      <c r="AP65" s="2235">
        <f>IF(Calc!BJ64=0,0,Calc!CS64)</f>
        <v>0</v>
      </c>
      <c r="AQ65" s="2236">
        <f>+Calc!Z64</f>
        <v>0</v>
      </c>
      <c r="AR65" s="2235">
        <f>IF(Calc!BL64=0,0,Calc!CT64)</f>
        <v>0</v>
      </c>
      <c r="AS65" s="2236">
        <f>+Calc!AA64</f>
        <v>0</v>
      </c>
      <c r="AT65" s="2235">
        <f>IF(Calc!BN64=0,0,Calc!CU64)</f>
        <v>0</v>
      </c>
      <c r="AU65" s="2236">
        <f>+Calc!AB64</f>
        <v>0</v>
      </c>
      <c r="AV65" s="2235">
        <f>IF(Calc!BP64=0,0,Calc!CV64)</f>
        <v>0</v>
      </c>
      <c r="AW65" s="2236">
        <f>+Calc!AC64</f>
        <v>0</v>
      </c>
      <c r="AX65" s="2235">
        <f>IF(Calc!BR64=0,0,Calc!CW64)</f>
        <v>0</v>
      </c>
      <c r="AY65" s="2236">
        <f>+Calc!AD64</f>
        <v>0</v>
      </c>
      <c r="AZ65" s="2235">
        <f>IF(Calc!BT64=0,0,Calc!CX64)</f>
        <v>0</v>
      </c>
      <c r="BA65" s="2236">
        <f>+Calc!AE64</f>
        <v>0</v>
      </c>
      <c r="BB65" s="2235">
        <f>IF(Calc!BV64=0,0,Calc!CY64)</f>
        <v>0</v>
      </c>
      <c r="BC65" s="2236">
        <f>+Calc!AF64</f>
        <v>0</v>
      </c>
      <c r="BD65" s="2235">
        <f>IF(Calc!BX64=0,0,Calc!CZ64)</f>
        <v>0</v>
      </c>
      <c r="BE65" s="2236">
        <f>+Calc!AG64</f>
        <v>0</v>
      </c>
      <c r="BF65" s="2235">
        <f>IF(Calc!BZ64=0,0,Calc!DA64)</f>
        <v>0</v>
      </c>
      <c r="BG65" s="2236">
        <f>+Calc!AH64</f>
        <v>0</v>
      </c>
      <c r="BH65" s="2235">
        <f>IF(Calc!CB64=0,0,Calc!DB64)</f>
        <v>0</v>
      </c>
      <c r="BI65" s="2236">
        <f>+Calc!AI64</f>
        <v>0</v>
      </c>
      <c r="BJ65" s="2235">
        <f>IF(Calc!BS64=0,0,Calc!DC64)</f>
        <v>0</v>
      </c>
      <c r="BK65" s="2236">
        <f>+Calc!AJ64</f>
        <v>0</v>
      </c>
      <c r="BL65" s="2237"/>
      <c r="BM65" s="2238">
        <f>IF(Calc!BT64=0,0,Calc!DD64)</f>
        <v>0</v>
      </c>
      <c r="BN65" s="2189"/>
      <c r="BO65" s="1070"/>
      <c r="BP65" s="2239"/>
      <c r="BQ65" s="2260"/>
      <c r="BR65" s="2260"/>
      <c r="BS65" s="2265"/>
    </row>
    <row r="66" spans="1:71" s="2266" customFormat="1" hidden="1" outlineLevel="1" x14ac:dyDescent="0.3">
      <c r="A66" s="2260"/>
      <c r="B66" s="2197" t="str">
        <f t="shared" si="7"/>
        <v>Std Cost w/o Depr ($)</v>
      </c>
      <c r="C66" s="1099"/>
      <c r="D66" s="2233"/>
      <c r="E66" s="2234">
        <f>+Calc!G65</f>
        <v>0</v>
      </c>
      <c r="F66" s="2235">
        <f>IF(Calc!AQ65=0,0,Calc!CA65)</f>
        <v>0</v>
      </c>
      <c r="G66" s="2236">
        <f>+Calc!H65</f>
        <v>0</v>
      </c>
      <c r="H66" s="2235">
        <f>IF(Calc!AR65=0,0,Calc!CB65)</f>
        <v>0</v>
      </c>
      <c r="I66" s="2236">
        <f>+Calc!I65</f>
        <v>0</v>
      </c>
      <c r="J66" s="2235">
        <f>IF(Calc!AS65=0,0,Calc!CC65)</f>
        <v>0</v>
      </c>
      <c r="K66" s="2236">
        <f>+Calc!J65</f>
        <v>0</v>
      </c>
      <c r="L66" s="2235">
        <f>IF(Calc!AT65=0,0,Calc!CD65)</f>
        <v>0</v>
      </c>
      <c r="M66" s="2236">
        <f>+Calc!K65</f>
        <v>0</v>
      </c>
      <c r="N66" s="2235">
        <f>IF(Calc!AU65=0,0,Calc!CE65)</f>
        <v>0</v>
      </c>
      <c r="O66" s="2236">
        <f>+Calc!L65</f>
        <v>0</v>
      </c>
      <c r="P66" s="2235">
        <f>IF(Calc!AV65=0,0,Calc!CF65)</f>
        <v>0</v>
      </c>
      <c r="Q66" s="2236">
        <f>+Calc!M65</f>
        <v>0</v>
      </c>
      <c r="R66" s="2235">
        <f>IF(Calc!AW65=0,0,Calc!CG65)</f>
        <v>0</v>
      </c>
      <c r="S66" s="2236">
        <f>+Calc!N65</f>
        <v>0</v>
      </c>
      <c r="T66" s="2235">
        <f>IF(Calc!AX65=0,0,Calc!CH65)</f>
        <v>0</v>
      </c>
      <c r="U66" s="2236">
        <f>+Calc!O65</f>
        <v>0</v>
      </c>
      <c r="V66" s="2235">
        <f>IF(Calc!AY65=0,0,Calc!CI65)</f>
        <v>0</v>
      </c>
      <c r="W66" s="2236">
        <f>+Calc!P65</f>
        <v>0</v>
      </c>
      <c r="X66" s="2235">
        <f>IF(Calc!AZ65=0,0,Calc!CJ65)</f>
        <v>0</v>
      </c>
      <c r="Y66" s="2236">
        <f>+Calc!Q65</f>
        <v>0</v>
      </c>
      <c r="Z66" s="2235">
        <f>IF(Calc!BA65=0,0,Calc!CK65)</f>
        <v>0</v>
      </c>
      <c r="AA66" s="2236">
        <f>+Calc!R65</f>
        <v>0</v>
      </c>
      <c r="AB66" s="2235">
        <f>IF(Calc!BB65=0,0,Calc!CL65)</f>
        <v>0</v>
      </c>
      <c r="AC66" s="2236">
        <f>+Calc!S65</f>
        <v>0</v>
      </c>
      <c r="AD66" s="2235">
        <f>IF(Calc!BC65=0,0,Calc!CM65)</f>
        <v>0</v>
      </c>
      <c r="AE66" s="2236">
        <f>+Calc!T65</f>
        <v>0</v>
      </c>
      <c r="AF66" s="2235">
        <f>IF(Calc!BD65=0,0,Calc!CN65)</f>
        <v>0</v>
      </c>
      <c r="AG66" s="2236">
        <f>+Calc!U65</f>
        <v>0</v>
      </c>
      <c r="AH66" s="2235">
        <f>IF(Calc!BE65=0,0,Calc!CO65)</f>
        <v>0</v>
      </c>
      <c r="AI66" s="2236">
        <f>+Calc!V65</f>
        <v>0</v>
      </c>
      <c r="AJ66" s="2235">
        <f>IF(Calc!BF65=0,0,Calc!CP65)</f>
        <v>0</v>
      </c>
      <c r="AK66" s="2236">
        <f>+Calc!W65</f>
        <v>0</v>
      </c>
      <c r="AL66" s="2235">
        <f>IF(Calc!BG65=0,0,Calc!CQ65)</f>
        <v>0</v>
      </c>
      <c r="AM66" s="2236">
        <f>+Calc!X65</f>
        <v>0</v>
      </c>
      <c r="AN66" s="2235">
        <f>IF(Calc!BH65=0,0,Calc!CR65)</f>
        <v>0</v>
      </c>
      <c r="AO66" s="2236">
        <f>+Calc!Y65</f>
        <v>0</v>
      </c>
      <c r="AP66" s="2235">
        <f>IF(Calc!BJ65=0,0,Calc!CS65)</f>
        <v>0</v>
      </c>
      <c r="AQ66" s="2236">
        <f>+Calc!Z65</f>
        <v>0</v>
      </c>
      <c r="AR66" s="2235">
        <f>IF(Calc!BL65=0,0,Calc!CT65)</f>
        <v>0</v>
      </c>
      <c r="AS66" s="2236">
        <f>+Calc!AA65</f>
        <v>0</v>
      </c>
      <c r="AT66" s="2235">
        <f>IF(Calc!BN65=0,0,Calc!CU65)</f>
        <v>0</v>
      </c>
      <c r="AU66" s="2236">
        <f>+Calc!AB65</f>
        <v>0</v>
      </c>
      <c r="AV66" s="2235">
        <f>IF(Calc!BP65=0,0,Calc!CV65)</f>
        <v>0</v>
      </c>
      <c r="AW66" s="2236">
        <f>+Calc!AC65</f>
        <v>0</v>
      </c>
      <c r="AX66" s="2235">
        <f>IF(Calc!BR65=0,0,Calc!CW65)</f>
        <v>0</v>
      </c>
      <c r="AY66" s="2236">
        <f>+Calc!AD65</f>
        <v>0</v>
      </c>
      <c r="AZ66" s="2235">
        <f>IF(Calc!BT65=0,0,Calc!CX65)</f>
        <v>0</v>
      </c>
      <c r="BA66" s="2236">
        <f>+Calc!AE65</f>
        <v>0</v>
      </c>
      <c r="BB66" s="2235">
        <f>IF(Calc!BV65=0,0,Calc!CY65)</f>
        <v>0</v>
      </c>
      <c r="BC66" s="2236">
        <f>+Calc!AF65</f>
        <v>0</v>
      </c>
      <c r="BD66" s="2235">
        <f>IF(Calc!BX65=0,0,Calc!CZ65)</f>
        <v>0</v>
      </c>
      <c r="BE66" s="2236">
        <f>+Calc!AG65</f>
        <v>0</v>
      </c>
      <c r="BF66" s="2235">
        <f>IF(Calc!BZ65=0,0,Calc!DA65)</f>
        <v>0</v>
      </c>
      <c r="BG66" s="2236">
        <f>+Calc!AH65</f>
        <v>0</v>
      </c>
      <c r="BH66" s="2235">
        <f>IF(Calc!CB65=0,0,Calc!DB65)</f>
        <v>0</v>
      </c>
      <c r="BI66" s="2236">
        <f>+Calc!AI65</f>
        <v>0</v>
      </c>
      <c r="BJ66" s="2235">
        <f>IF(Calc!BS65=0,0,Calc!DC65)</f>
        <v>0</v>
      </c>
      <c r="BK66" s="2236">
        <f>+Calc!AJ65</f>
        <v>0</v>
      </c>
      <c r="BL66" s="2237"/>
      <c r="BM66" s="2238">
        <f>IF(Calc!BT65=0,0,Calc!DD65)</f>
        <v>0</v>
      </c>
      <c r="BN66" s="2189"/>
      <c r="BO66" s="1070"/>
      <c r="BP66" s="2239"/>
      <c r="BQ66" s="2260"/>
      <c r="BR66" s="2260"/>
      <c r="BS66" s="2265"/>
    </row>
    <row r="67" spans="1:71" s="2269" customFormat="1" ht="18" hidden="1" outlineLevel="1" x14ac:dyDescent="0.35">
      <c r="A67" s="2267"/>
      <c r="B67" s="2240" t="str">
        <f t="shared" si="7"/>
        <v>New Product Gross Profit</v>
      </c>
      <c r="C67" s="2241"/>
      <c r="D67" s="2242"/>
      <c r="E67" s="2243">
        <f>IF($D$2="$ K",Calc!G66,Calc!G66/1000)</f>
        <v>0</v>
      </c>
      <c r="F67" s="2244">
        <f>IF(Calc!AQ66=0,0,IF($D$2="$ M",Calc!CA66/1000,Calc!CA66))</f>
        <v>0</v>
      </c>
      <c r="G67" s="2245">
        <f>IF($D$2="$ K",Calc!H66,Calc!H66/1000)</f>
        <v>0</v>
      </c>
      <c r="H67" s="2244">
        <f>IF(Calc!AR66=0,0,IF($D$2="$ M",Calc!CB66/1000,Calc!CB66))</f>
        <v>0</v>
      </c>
      <c r="I67" s="2245">
        <f>IF($D$2="$ K",Calc!I66,Calc!I66/1000)</f>
        <v>0</v>
      </c>
      <c r="J67" s="2244">
        <f>IF(Calc!AS66=0,0,IF($D$2="$ M",Calc!CC66/1000,Calc!CC66))</f>
        <v>0</v>
      </c>
      <c r="K67" s="2245">
        <f>IF($D$2="$ K",Calc!J66,Calc!J66/1000)</f>
        <v>0</v>
      </c>
      <c r="L67" s="2244">
        <f>IF(Calc!AT66=0,0,IF($D$2="$ M",Calc!CD66/1000,Calc!CD66))</f>
        <v>0</v>
      </c>
      <c r="M67" s="2245">
        <f>IF($D$2="$ K",Calc!K66,Calc!K66/1000)</f>
        <v>0</v>
      </c>
      <c r="N67" s="2244">
        <f>IF(Calc!AU66=0,0,IF($D$2="$ M",Calc!CE66/1000,Calc!CE66))</f>
        <v>0</v>
      </c>
      <c r="O67" s="2245">
        <f>IF($D$2="$ K",Calc!L66,Calc!L66/1000)</f>
        <v>0</v>
      </c>
      <c r="P67" s="2244">
        <f>IF(Calc!AV66=0,0,IF($D$2="$ M",Calc!CF66/1000,Calc!CF66))</f>
        <v>0</v>
      </c>
      <c r="Q67" s="2245">
        <f>IF($D$2="$ K",Calc!M66,Calc!M66/1000)</f>
        <v>0</v>
      </c>
      <c r="R67" s="2244">
        <f>IF(Calc!AW66=0,0,IF($D$2="$ M",Calc!CG66/1000,Calc!CG66))</f>
        <v>0</v>
      </c>
      <c r="S67" s="2245">
        <f>IF($D$2="$ K",Calc!N66,Calc!N66/1000)</f>
        <v>0</v>
      </c>
      <c r="T67" s="2244">
        <f>IF(Calc!AX66=0,0,IF($D$2="$ M",Calc!CH66/1000,Calc!CH66))</f>
        <v>0</v>
      </c>
      <c r="U67" s="2245">
        <f>IF($D$2="$ K",Calc!O66,Calc!O66/1000)</f>
        <v>0</v>
      </c>
      <c r="V67" s="2244">
        <f>IF(Calc!AY66=0,0,IF($D$2="$ M",Calc!CI66/1000,Calc!CI66))</f>
        <v>0</v>
      </c>
      <c r="W67" s="2245">
        <f>IF($D$2="$ K",Calc!P66,Calc!P66/1000)</f>
        <v>0</v>
      </c>
      <c r="X67" s="2244">
        <f>IF(Calc!AZ66=0,0,IF($D$2="$ M",Calc!CJ66/1000,Calc!CJ66))</f>
        <v>0</v>
      </c>
      <c r="Y67" s="2245">
        <f>IF($D$2="$ K",Calc!Q66,Calc!Q66/1000)</f>
        <v>0</v>
      </c>
      <c r="Z67" s="2244">
        <f>IF(Calc!BA66=0,0,IF($D$2="$ M",Calc!CK66/1000,Calc!CK66))</f>
        <v>0</v>
      </c>
      <c r="AA67" s="2245">
        <f>IF($D$2="$ K",Calc!R66,Calc!R66/1000)</f>
        <v>0</v>
      </c>
      <c r="AB67" s="2244">
        <f>IF(Calc!BB66=0,0,IF($D$2="$ M",Calc!CL66/1000,Calc!CL66))</f>
        <v>0</v>
      </c>
      <c r="AC67" s="2245">
        <f>IF($D$2="$ K",Calc!S66,Calc!S66/1000)</f>
        <v>0</v>
      </c>
      <c r="AD67" s="2244">
        <f>IF(Calc!BC66=0,0,IF($D$2="$ M",Calc!CM66/1000,Calc!CM66))</f>
        <v>0</v>
      </c>
      <c r="AE67" s="2245">
        <f>IF($D$2="$ K",Calc!T66,Calc!T66/1000)</f>
        <v>0</v>
      </c>
      <c r="AF67" s="2244">
        <f>IF(Calc!BD66=0,0,IF($D$2="$ M",Calc!CN66/1000,Calc!CN66))</f>
        <v>0</v>
      </c>
      <c r="AG67" s="2245">
        <f>IF($D$2="$ K",Calc!U66,Calc!U66/1000)</f>
        <v>0</v>
      </c>
      <c r="AH67" s="2244">
        <f>IF(Calc!BE66=0,0,IF($D$2="$ M",Calc!CO66/1000,Calc!CO66))</f>
        <v>0</v>
      </c>
      <c r="AI67" s="2245">
        <f>IF($D$2="$ K",Calc!V66,Calc!V66/1000)</f>
        <v>0</v>
      </c>
      <c r="AJ67" s="2244">
        <f>IF(Calc!BF66=0,0,IF($D$2="$ M",Calc!CP66/1000,Calc!CP66))</f>
        <v>0</v>
      </c>
      <c r="AK67" s="2245">
        <f>IF($D$2="$ K",Calc!W66,Calc!W66/1000)</f>
        <v>0</v>
      </c>
      <c r="AL67" s="2244">
        <f>IF(Calc!BG66=0,0,IF($D$2="$ M",Calc!CQ66/1000,Calc!CQ66))</f>
        <v>0</v>
      </c>
      <c r="AM67" s="2245">
        <f>IF($D$2="$ K",Calc!X66,Calc!X66/1000)</f>
        <v>0</v>
      </c>
      <c r="AN67" s="2244">
        <f>IF(Calc!BH66=0,0,IF($D$2="$ M",Calc!CR66/1000,Calc!CR66))</f>
        <v>0</v>
      </c>
      <c r="AO67" s="2245">
        <f>IF($D$2="$ K",Calc!Y66,Calc!Y66/1000)</f>
        <v>0</v>
      </c>
      <c r="AP67" s="2244">
        <f>IF(Calc!BJ66=0,0,IF($D$2="$ M",Calc!CS66/1000,Calc!CS66))</f>
        <v>0</v>
      </c>
      <c r="AQ67" s="2245">
        <f>IF($D$2="$ K",Calc!Z66,Calc!Z66/1000)</f>
        <v>0</v>
      </c>
      <c r="AR67" s="2244">
        <f>IF(Calc!BL66=0,0,IF($D$2="$ M",Calc!CT66/1000,Calc!CT66))</f>
        <v>0</v>
      </c>
      <c r="AS67" s="2245">
        <f>IF($D$2="$ K",Calc!AA66,Calc!AA66/1000)</f>
        <v>0</v>
      </c>
      <c r="AT67" s="2244">
        <f>IF(Calc!BN66=0,0,IF($D$2="$ M",Calc!CU66/1000,Calc!CU66))</f>
        <v>0</v>
      </c>
      <c r="AU67" s="2245">
        <f>IF($D$2="$ K",Calc!AB66,Calc!AB66/1000)</f>
        <v>0</v>
      </c>
      <c r="AV67" s="2244">
        <f>IF(Calc!BP66=0,0,IF($D$2="$ M",Calc!CV66/1000,Calc!CV66))</f>
        <v>0</v>
      </c>
      <c r="AW67" s="2245">
        <f>IF($D$2="$ K",Calc!AC66,Calc!AC66/1000)</f>
        <v>0</v>
      </c>
      <c r="AX67" s="2244">
        <f>IF(Calc!BR66=0,0,IF($D$2="$ M",Calc!CW66/1000,Calc!CW66))</f>
        <v>0</v>
      </c>
      <c r="AY67" s="2245">
        <f>IF($D$2="$ K",Calc!AD66,Calc!AD66/1000)</f>
        <v>0</v>
      </c>
      <c r="AZ67" s="2244">
        <f>IF(Calc!BT66=0,0,IF($D$2="$ M",Calc!CX66/1000,Calc!CX66))</f>
        <v>0</v>
      </c>
      <c r="BA67" s="2245">
        <f>IF($D$2="$ K",Calc!AE66,Calc!AE66/1000)</f>
        <v>0</v>
      </c>
      <c r="BB67" s="2244">
        <f>IF(Calc!BV66=0,0,IF($D$2="$ M",Calc!CY66/1000,Calc!CY66))</f>
        <v>0</v>
      </c>
      <c r="BC67" s="2245">
        <f>IF($D$2="$ K",Calc!AF66,Calc!AF66/1000)</f>
        <v>0</v>
      </c>
      <c r="BD67" s="2244">
        <f>IF(Calc!BX66=0,0,IF($D$2="$ M",Calc!CZ66/1000,Calc!CZ66))</f>
        <v>0</v>
      </c>
      <c r="BE67" s="2245">
        <f>IF($D$2="$ K",Calc!AG66,Calc!AG66/1000)</f>
        <v>0</v>
      </c>
      <c r="BF67" s="2244">
        <f>IF(Calc!BZ66=0,0,IF($D$2="$ M",Calc!DA66/1000,Calc!DA66))</f>
        <v>0</v>
      </c>
      <c r="BG67" s="2245">
        <f>IF($D$2="$ K",Calc!AH66,Calc!AH66/1000)</f>
        <v>0</v>
      </c>
      <c r="BH67" s="2244">
        <f>IF(Calc!CB66=0,0,IF($D$2="$ M",Calc!DB66/1000,Calc!DB66))</f>
        <v>0</v>
      </c>
      <c r="BI67" s="2245">
        <f>IF($D$2="$ K",Calc!AI66,Calc!AI66/1000)</f>
        <v>0</v>
      </c>
      <c r="BJ67" s="2244">
        <f>IF(Calc!BS66=0,0,IF($D$2="$ M",Calc!DC66/1000,Calc!DC66))</f>
        <v>0</v>
      </c>
      <c r="BK67" s="2245">
        <f>IF($D$2="$ K",Calc!AJ66,Calc!AJ66/1000)</f>
        <v>0</v>
      </c>
      <c r="BL67" s="2246"/>
      <c r="BM67" s="2247">
        <f>IF(Calc!BT66=0,0,IF($D$2="$ M",Calc!DD66/1000,Calc!DD66))</f>
        <v>0</v>
      </c>
      <c r="BN67" s="1260"/>
      <c r="BO67" s="1260"/>
      <c r="BP67" s="2248">
        <f>IF($D$2="$ K",Calc!AM66,Calc!AM66/1000)</f>
        <v>0</v>
      </c>
      <c r="BQ67" s="2267"/>
      <c r="BR67" s="2267"/>
      <c r="BS67" s="2268"/>
    </row>
    <row r="68" spans="1:71" s="2266" customFormat="1" hidden="1" outlineLevel="1" x14ac:dyDescent="0.3">
      <c r="A68" s="2260"/>
      <c r="B68" s="2197" t="str">
        <f t="shared" si="7"/>
        <v>Gross Profit %</v>
      </c>
      <c r="C68" s="1115"/>
      <c r="D68" s="2249"/>
      <c r="E68" s="2250" t="str">
        <f>IF(Calc!G67=0,"",Calc!G67)</f>
        <v/>
      </c>
      <c r="F68" s="2201" t="str">
        <f>IF(Calc!AQ67=0,"",Calc!CA67)</f>
        <v/>
      </c>
      <c r="G68" s="2251" t="str">
        <f>IF(Calc!H67=0,"",Calc!H67)</f>
        <v/>
      </c>
      <c r="H68" s="2201" t="str">
        <f>IF(Calc!AR67=0,"",Calc!CB67)</f>
        <v/>
      </c>
      <c r="I68" s="2251" t="str">
        <f>IF(Calc!I67=0,"",Calc!I67)</f>
        <v/>
      </c>
      <c r="J68" s="2201" t="str">
        <f>IF(Calc!AS67=0,"",Calc!CC67)</f>
        <v/>
      </c>
      <c r="K68" s="2251" t="str">
        <f>IF(Calc!J67=0,"",Calc!J67)</f>
        <v/>
      </c>
      <c r="L68" s="2201" t="str">
        <f>IF(Calc!AT67=0,"",Calc!CD67)</f>
        <v/>
      </c>
      <c r="M68" s="2251" t="str">
        <f>IF(Calc!K67=0,"",Calc!K67)</f>
        <v/>
      </c>
      <c r="N68" s="2201" t="str">
        <f>IF(Calc!AU67=0,"",Calc!CE67)</f>
        <v/>
      </c>
      <c r="O68" s="2251" t="str">
        <f>IF(Calc!L67=0,"",Calc!L67)</f>
        <v/>
      </c>
      <c r="P68" s="2201" t="str">
        <f>IF(Calc!AV67=0,"",Calc!CF67)</f>
        <v/>
      </c>
      <c r="Q68" s="2251" t="str">
        <f>IF(Calc!M67=0,"",Calc!M67)</f>
        <v/>
      </c>
      <c r="R68" s="2201" t="str">
        <f>IF(Calc!AW67=0,"",Calc!CG67)</f>
        <v/>
      </c>
      <c r="S68" s="2251" t="str">
        <f>IF(Calc!N67=0,"",Calc!N67)</f>
        <v/>
      </c>
      <c r="T68" s="2201" t="str">
        <f>IF(Calc!AX67=0,"",Calc!CH67)</f>
        <v/>
      </c>
      <c r="U68" s="2251" t="str">
        <f>IF(Calc!O67=0,"",Calc!O67)</f>
        <v/>
      </c>
      <c r="V68" s="2201" t="str">
        <f>IF(Calc!AY67=0,"",Calc!CI67)</f>
        <v/>
      </c>
      <c r="W68" s="2251" t="str">
        <f>IF(Calc!P67=0,"",Calc!P67)</f>
        <v/>
      </c>
      <c r="X68" s="2201" t="str">
        <f>IF(Calc!AZ67=0,"",Calc!CJ67)</f>
        <v/>
      </c>
      <c r="Y68" s="2251" t="str">
        <f>IF(Calc!Q67=0,"",Calc!Q67)</f>
        <v/>
      </c>
      <c r="Z68" s="2201" t="str">
        <f>IF(Calc!BA67=0,"",Calc!CK67)</f>
        <v/>
      </c>
      <c r="AA68" s="2251" t="str">
        <f>IF(Calc!R67=0,"",Calc!R67)</f>
        <v/>
      </c>
      <c r="AB68" s="2201" t="str">
        <f>IF(Calc!BB67=0,"",Calc!CL67)</f>
        <v/>
      </c>
      <c r="AC68" s="2251" t="str">
        <f>IF(Calc!S67=0,"",Calc!S67)</f>
        <v/>
      </c>
      <c r="AD68" s="2201" t="str">
        <f>IF(Calc!BC67=0,"",Calc!CM67)</f>
        <v/>
      </c>
      <c r="AE68" s="2251" t="str">
        <f>IF(Calc!T67=0,"",Calc!T67)</f>
        <v/>
      </c>
      <c r="AF68" s="2201" t="str">
        <f>IF(Calc!BD67=0,"",Calc!CN67)</f>
        <v/>
      </c>
      <c r="AG68" s="2251" t="str">
        <f>IF(Calc!U67=0,"",Calc!U67)</f>
        <v/>
      </c>
      <c r="AH68" s="2201" t="str">
        <f>IF(Calc!BE67=0,"",Calc!CO67)</f>
        <v/>
      </c>
      <c r="AI68" s="2251" t="str">
        <f>IF(Calc!V67=0,"",Calc!V67)</f>
        <v/>
      </c>
      <c r="AJ68" s="2201" t="str">
        <f>IF(Calc!BF67=0,"",Calc!CP67)</f>
        <v/>
      </c>
      <c r="AK68" s="2251" t="str">
        <f>IF(Calc!W67=0,"",Calc!W67)</f>
        <v/>
      </c>
      <c r="AL68" s="2201" t="str">
        <f>IF(Calc!BG67=0,"",Calc!CQ67)</f>
        <v/>
      </c>
      <c r="AM68" s="2251" t="str">
        <f>IF(Calc!X67=0,"",Calc!X67)</f>
        <v/>
      </c>
      <c r="AN68" s="2201" t="str">
        <f>IF(Calc!BH67=0,"",Calc!CR67)</f>
        <v/>
      </c>
      <c r="AO68" s="2251" t="str">
        <f>IF(Calc!Y67=0,"",Calc!Y67)</f>
        <v/>
      </c>
      <c r="AP68" s="2201" t="str">
        <f>IF(Calc!BJ67=0,"",Calc!CS67)</f>
        <v/>
      </c>
      <c r="AQ68" s="2251" t="str">
        <f>IF(Calc!Z67=0,"",Calc!Z67)</f>
        <v/>
      </c>
      <c r="AR68" s="2201" t="str">
        <f>IF(Calc!BL67=0,"",Calc!CT67)</f>
        <v/>
      </c>
      <c r="AS68" s="2251" t="str">
        <f>IF(Calc!AA67=0,"",Calc!AA67)</f>
        <v/>
      </c>
      <c r="AT68" s="2201" t="str">
        <f>IF(Calc!BN67=0,"",Calc!CU67)</f>
        <v/>
      </c>
      <c r="AU68" s="2251" t="str">
        <f>IF(Calc!AB67=0,"",Calc!AB67)</f>
        <v/>
      </c>
      <c r="AV68" s="2201" t="str">
        <f>IF(Calc!BP67=0,"",Calc!CV67)</f>
        <v/>
      </c>
      <c r="AW68" s="2251" t="str">
        <f>IF(Calc!AC67=0,"",Calc!AC67)</f>
        <v/>
      </c>
      <c r="AX68" s="2201" t="str">
        <f>IF(Calc!BR67=0,"",Calc!CW67)</f>
        <v/>
      </c>
      <c r="AY68" s="2251" t="str">
        <f>IF(Calc!AD67=0,"",Calc!AD67)</f>
        <v/>
      </c>
      <c r="AZ68" s="2201" t="str">
        <f>IF(Calc!BT67=0,"",Calc!CX67)</f>
        <v/>
      </c>
      <c r="BA68" s="2251" t="str">
        <f>IF(Calc!AE67=0,"",Calc!AE67)</f>
        <v/>
      </c>
      <c r="BB68" s="2201" t="str">
        <f>IF(Calc!BV67=0,"",Calc!CY67)</f>
        <v/>
      </c>
      <c r="BC68" s="2251" t="str">
        <f>IF(Calc!AF67=0,"",Calc!AF67)</f>
        <v/>
      </c>
      <c r="BD68" s="2201" t="str">
        <f>IF(Calc!BX67=0,"",Calc!CZ67)</f>
        <v/>
      </c>
      <c r="BE68" s="2251" t="str">
        <f>IF(Calc!AG67=0,"",Calc!AG67)</f>
        <v/>
      </c>
      <c r="BF68" s="2201" t="str">
        <f>IF(Calc!BZ67=0,"",Calc!DA67)</f>
        <v/>
      </c>
      <c r="BG68" s="2251" t="str">
        <f>IF(Calc!AH67=0,"",Calc!AH67)</f>
        <v/>
      </c>
      <c r="BH68" s="2201" t="str">
        <f>IF(Calc!CB67=0,"",Calc!DB67)</f>
        <v/>
      </c>
      <c r="BI68" s="2251" t="str">
        <f>IF(Calc!AI67=0,"",Calc!AI67)</f>
        <v/>
      </c>
      <c r="BJ68" s="2201" t="str">
        <f>IF(Calc!BS67=0,"",Calc!DC67)</f>
        <v/>
      </c>
      <c r="BK68" s="2251"/>
      <c r="BL68" s="2252"/>
      <c r="BM68" s="2204"/>
      <c r="BN68" s="1070"/>
      <c r="BO68" s="1070"/>
      <c r="BP68" s="2253" t="str">
        <f>IFERROR(BP67/BP55,"")</f>
        <v/>
      </c>
      <c r="BQ68" s="2260"/>
      <c r="BR68" s="2260"/>
      <c r="BS68" s="2265"/>
    </row>
    <row r="69" spans="1:71" s="2266" customFormat="1" hidden="1" outlineLevel="1" x14ac:dyDescent="0.3">
      <c r="A69" s="2260"/>
      <c r="B69" s="2197" t="str">
        <f t="shared" si="7"/>
        <v>Product Family GP %</v>
      </c>
      <c r="C69" s="1115"/>
      <c r="D69" s="2254"/>
      <c r="E69" s="2250" t="str">
        <f>IF(Calc!G68=0,"",Calc!G68)</f>
        <v/>
      </c>
      <c r="F69" s="2201" t="str">
        <f>IF(Calc!AQ68=0,"",Calc!CA68)</f>
        <v/>
      </c>
      <c r="G69" s="2251" t="str">
        <f>IF(Calc!H68=0,"",Calc!H68)</f>
        <v/>
      </c>
      <c r="H69" s="2201" t="str">
        <f>IF(Calc!AR68=0,"",Calc!CB68)</f>
        <v/>
      </c>
      <c r="I69" s="2251" t="str">
        <f>IF(Calc!I68=0,"",Calc!I68)</f>
        <v/>
      </c>
      <c r="J69" s="2201" t="str">
        <f>IF(Calc!AS68=0,"",Calc!CC68)</f>
        <v/>
      </c>
      <c r="K69" s="2251" t="str">
        <f>IF(Calc!J68=0,"",Calc!J68)</f>
        <v/>
      </c>
      <c r="L69" s="2201" t="str">
        <f>IF(Calc!AT68=0,"",Calc!CD68)</f>
        <v/>
      </c>
      <c r="M69" s="2251" t="str">
        <f>IF(Calc!K68=0,"",Calc!K68)</f>
        <v/>
      </c>
      <c r="N69" s="2201" t="str">
        <f>IF(Calc!AU68=0,"",Calc!CE68)</f>
        <v/>
      </c>
      <c r="O69" s="2251" t="str">
        <f>IF(Calc!L68=0,"",Calc!L68)</f>
        <v/>
      </c>
      <c r="P69" s="2201" t="str">
        <f>IF(Calc!AV68=0,"",Calc!CF68)</f>
        <v/>
      </c>
      <c r="Q69" s="2251" t="str">
        <f>IF(Calc!M68=0,"",Calc!M68)</f>
        <v/>
      </c>
      <c r="R69" s="2201" t="str">
        <f>IF(Calc!AW68=0,"",Calc!CG68)</f>
        <v/>
      </c>
      <c r="S69" s="2251" t="str">
        <f>IF(Calc!N68=0,"",Calc!N68)</f>
        <v/>
      </c>
      <c r="T69" s="2201" t="str">
        <f>IF(Calc!AX68=0,"",Calc!CH68)</f>
        <v/>
      </c>
      <c r="U69" s="2251" t="str">
        <f>IF(Calc!O68=0,"",Calc!O68)</f>
        <v/>
      </c>
      <c r="V69" s="2201" t="str">
        <f>IF(Calc!AY68=0,"",Calc!CI68)</f>
        <v/>
      </c>
      <c r="W69" s="2251" t="str">
        <f>IF(Calc!P68=0,"",Calc!P68)</f>
        <v/>
      </c>
      <c r="X69" s="2201" t="str">
        <f>IF(Calc!AZ68=0,"",Calc!CJ68)</f>
        <v/>
      </c>
      <c r="Y69" s="2251" t="str">
        <f>IF(Calc!Q68=0,"",Calc!Q68)</f>
        <v/>
      </c>
      <c r="Z69" s="2201" t="str">
        <f>IF(Calc!BA68=0,"",Calc!CK68)</f>
        <v/>
      </c>
      <c r="AA69" s="2251" t="str">
        <f>IF(Calc!R68=0,"",Calc!R68)</f>
        <v/>
      </c>
      <c r="AB69" s="2201" t="str">
        <f>IF(Calc!BB68=0,"",Calc!CL68)</f>
        <v/>
      </c>
      <c r="AC69" s="2251" t="str">
        <f>IF(Calc!S68=0,"",Calc!S68)</f>
        <v/>
      </c>
      <c r="AD69" s="2201" t="str">
        <f>IF(Calc!BC68=0,"",Calc!CM68)</f>
        <v/>
      </c>
      <c r="AE69" s="2251" t="str">
        <f>IF(Calc!T68=0,"",Calc!T68)</f>
        <v/>
      </c>
      <c r="AF69" s="2201" t="str">
        <f>IF(Calc!BD68=0,"",Calc!CN68)</f>
        <v/>
      </c>
      <c r="AG69" s="2251" t="str">
        <f>IF(Calc!U68=0,"",Calc!U68)</f>
        <v/>
      </c>
      <c r="AH69" s="2201" t="str">
        <f>IF(Calc!BE68=0,"",Calc!CO68)</f>
        <v/>
      </c>
      <c r="AI69" s="2251" t="str">
        <f>IF(Calc!V68=0,"",Calc!V68)</f>
        <v/>
      </c>
      <c r="AJ69" s="2201" t="str">
        <f>IF(Calc!BF68=0,"",Calc!CP68)</f>
        <v/>
      </c>
      <c r="AK69" s="2251" t="str">
        <f>IF(Calc!W68=0,"",Calc!W68)</f>
        <v/>
      </c>
      <c r="AL69" s="2201" t="str">
        <f>IF(Calc!BG68=0,"",Calc!CQ68)</f>
        <v/>
      </c>
      <c r="AM69" s="2251" t="str">
        <f>IF(Calc!X68=0,"",Calc!X68)</f>
        <v/>
      </c>
      <c r="AN69" s="2201" t="str">
        <f>IF(Calc!BH68=0,"",Calc!CR68)</f>
        <v/>
      </c>
      <c r="AO69" s="2251" t="str">
        <f>IF(Calc!Y68=0,"",Calc!Y68)</f>
        <v/>
      </c>
      <c r="AP69" s="2201" t="str">
        <f>IF(Calc!BJ68=0,"",Calc!CS68)</f>
        <v/>
      </c>
      <c r="AQ69" s="2251" t="str">
        <f>IF(Calc!Z68=0,"",Calc!Z68)</f>
        <v/>
      </c>
      <c r="AR69" s="2201" t="str">
        <f>IF(Calc!BL68=0,"",Calc!CT68)</f>
        <v/>
      </c>
      <c r="AS69" s="2251" t="str">
        <f>IF(Calc!AA68=0,"",Calc!AA68)</f>
        <v/>
      </c>
      <c r="AT69" s="2201" t="str">
        <f>IF(Calc!BN68=0,"",Calc!CU68)</f>
        <v/>
      </c>
      <c r="AU69" s="2251" t="str">
        <f>IF(Calc!AB68=0,"",Calc!AB68)</f>
        <v/>
      </c>
      <c r="AV69" s="2201" t="str">
        <f>IF(Calc!BP68=0,"",Calc!CV68)</f>
        <v/>
      </c>
      <c r="AW69" s="2251" t="str">
        <f>IF(Calc!AC68=0,"",Calc!AC68)</f>
        <v/>
      </c>
      <c r="AX69" s="2201" t="str">
        <f>IF(Calc!BR68=0,"",Calc!CW68)</f>
        <v/>
      </c>
      <c r="AY69" s="2251" t="str">
        <f>IF(Calc!AD68=0,"",Calc!AD68)</f>
        <v/>
      </c>
      <c r="AZ69" s="2201" t="str">
        <f>IF(Calc!BT68=0,"",Calc!CX68)</f>
        <v/>
      </c>
      <c r="BA69" s="2251" t="str">
        <f>IF(Calc!AE68=0,"",Calc!AE68)</f>
        <v/>
      </c>
      <c r="BB69" s="2201" t="str">
        <f>IF(Calc!BV68=0,"",Calc!CY68)</f>
        <v/>
      </c>
      <c r="BC69" s="2251" t="str">
        <f>IF(Calc!AF68=0,"",Calc!AF68)</f>
        <v/>
      </c>
      <c r="BD69" s="2201" t="str">
        <f>IF(Calc!BX68=0,"",Calc!CZ68)</f>
        <v/>
      </c>
      <c r="BE69" s="2251" t="str">
        <f>IF(Calc!AG68=0,"",Calc!AG68)</f>
        <v/>
      </c>
      <c r="BF69" s="2201" t="str">
        <f>IF(Calc!BZ68=0,"",Calc!DA68)</f>
        <v/>
      </c>
      <c r="BG69" s="2251" t="str">
        <f>IF(Calc!AH68=0,"",Calc!AH68)</f>
        <v/>
      </c>
      <c r="BH69" s="2201" t="str">
        <f>IF(Calc!CB68=0,"",Calc!DB68)</f>
        <v/>
      </c>
      <c r="BI69" s="2251" t="str">
        <f>IF(Calc!AI68=0,"",Calc!AI68)</f>
        <v/>
      </c>
      <c r="BJ69" s="2201" t="str">
        <f>IF(Calc!BS68=0,"",Calc!DC68)</f>
        <v/>
      </c>
      <c r="BK69" s="2251"/>
      <c r="BL69" s="2255"/>
      <c r="BM69" s="2204"/>
      <c r="BN69" s="2189"/>
      <c r="BO69" s="1070"/>
      <c r="BP69" s="2253"/>
      <c r="BQ69" s="2260"/>
      <c r="BR69" s="2260"/>
      <c r="BS69" s="2265"/>
    </row>
    <row r="70" spans="1:71" s="2266" customFormat="1" hidden="1" outlineLevel="1" x14ac:dyDescent="0.3">
      <c r="A70" s="2260"/>
      <c r="B70" s="1463" t="str">
        <f t="shared" si="7"/>
        <v>Market GP %</v>
      </c>
      <c r="C70" s="2207"/>
      <c r="D70" s="2256"/>
      <c r="E70" s="2257" t="str">
        <f>IF(Calc!G69=0,"",Calc!G69)</f>
        <v/>
      </c>
      <c r="F70" s="2210" t="str">
        <f>IF(Calc!AQ69=0,"",Calc!CA69)</f>
        <v/>
      </c>
      <c r="G70" s="2257" t="str">
        <f>IF(Calc!H69=0,"",Calc!H69)</f>
        <v/>
      </c>
      <c r="H70" s="2210" t="str">
        <f>IF(Calc!AR69=0,"",Calc!CB69)</f>
        <v/>
      </c>
      <c r="I70" s="2257" t="str">
        <f>IF(Calc!I69=0,"",Calc!I69)</f>
        <v/>
      </c>
      <c r="J70" s="2210" t="str">
        <f>IF(Calc!AS69=0,"",Calc!CC69)</f>
        <v/>
      </c>
      <c r="K70" s="2257" t="str">
        <f>IF(Calc!J69=0,"",Calc!J69)</f>
        <v/>
      </c>
      <c r="L70" s="2210" t="str">
        <f>IF(Calc!AT69=0,"",Calc!CD69)</f>
        <v/>
      </c>
      <c r="M70" s="2257" t="str">
        <f>IF(Calc!K69=0,"",Calc!K69)</f>
        <v/>
      </c>
      <c r="N70" s="2210" t="str">
        <f>IF(Calc!AU69=0,"",Calc!CE69)</f>
        <v/>
      </c>
      <c r="O70" s="2257" t="str">
        <f>IF(Calc!L69=0,"",Calc!L69)</f>
        <v/>
      </c>
      <c r="P70" s="2210" t="str">
        <f>IF(Calc!AV69=0,"",Calc!CF69)</f>
        <v/>
      </c>
      <c r="Q70" s="2257" t="str">
        <f>IF(Calc!M69=0,"",Calc!M69)</f>
        <v/>
      </c>
      <c r="R70" s="2210" t="str">
        <f>IF(Calc!AW69=0,"",Calc!CG69)</f>
        <v/>
      </c>
      <c r="S70" s="2257" t="str">
        <f>IF(Calc!N69=0,"",Calc!N69)</f>
        <v/>
      </c>
      <c r="T70" s="2210" t="str">
        <f>IF(Calc!AX69=0,"",Calc!CH69)</f>
        <v/>
      </c>
      <c r="U70" s="2257" t="str">
        <f>IF(Calc!O69=0,"",Calc!O69)</f>
        <v/>
      </c>
      <c r="V70" s="2210" t="str">
        <f>IF(Calc!AY69=0,"",Calc!CI69)</f>
        <v/>
      </c>
      <c r="W70" s="2257" t="str">
        <f>IF(Calc!P69=0,"",Calc!P69)</f>
        <v/>
      </c>
      <c r="X70" s="2210" t="str">
        <f>IF(Calc!AZ69=0,"",Calc!CJ69)</f>
        <v/>
      </c>
      <c r="Y70" s="2257" t="str">
        <f>IF(Calc!Q69=0,"",Calc!Q69)</f>
        <v/>
      </c>
      <c r="Z70" s="2210" t="str">
        <f>IF(Calc!BA69=0,"",Calc!CK69)</f>
        <v/>
      </c>
      <c r="AA70" s="2257" t="str">
        <f>IF(Calc!R69=0,"",Calc!R69)</f>
        <v/>
      </c>
      <c r="AB70" s="2210" t="str">
        <f>IF(Calc!BB69=0,"",Calc!CL69)</f>
        <v/>
      </c>
      <c r="AC70" s="2257" t="str">
        <f>IF(Calc!S69=0,"",Calc!S69)</f>
        <v/>
      </c>
      <c r="AD70" s="2210" t="str">
        <f>IF(Calc!BC69=0,"",Calc!CM69)</f>
        <v/>
      </c>
      <c r="AE70" s="2257" t="str">
        <f>IF(Calc!T69=0,"",Calc!T69)</f>
        <v/>
      </c>
      <c r="AF70" s="2210" t="str">
        <f>IF(Calc!BD69=0,"",Calc!CN69)</f>
        <v/>
      </c>
      <c r="AG70" s="2257" t="str">
        <f>IF(Calc!U69=0,"",Calc!U69)</f>
        <v/>
      </c>
      <c r="AH70" s="2210" t="str">
        <f>IF(Calc!BE69=0,"",Calc!CO69)</f>
        <v/>
      </c>
      <c r="AI70" s="2257" t="str">
        <f>IF(Calc!V69=0,"",Calc!V69)</f>
        <v/>
      </c>
      <c r="AJ70" s="2210" t="str">
        <f>IF(Calc!BF69=0,"",Calc!CP69)</f>
        <v/>
      </c>
      <c r="AK70" s="2257" t="str">
        <f>IF(Calc!W69=0,"",Calc!W69)</f>
        <v/>
      </c>
      <c r="AL70" s="2210" t="str">
        <f>IF(Calc!BG69=0,"",Calc!CQ69)</f>
        <v/>
      </c>
      <c r="AM70" s="2257" t="str">
        <f>IF(Calc!X69=0,"",Calc!X69)</f>
        <v/>
      </c>
      <c r="AN70" s="2210" t="str">
        <f>IF(Calc!BH69=0,"",Calc!CR69)</f>
        <v/>
      </c>
      <c r="AO70" s="2257" t="str">
        <f>IF(Calc!Y69=0,"",Calc!Y69)</f>
        <v/>
      </c>
      <c r="AP70" s="2210" t="str">
        <f>IF(Calc!BJ69=0,"",Calc!CS69)</f>
        <v/>
      </c>
      <c r="AQ70" s="2257" t="str">
        <f>IF(Calc!Z69=0,"",Calc!Z69)</f>
        <v/>
      </c>
      <c r="AR70" s="2210" t="str">
        <f>IF(Calc!BL69=0,"",Calc!CT69)</f>
        <v/>
      </c>
      <c r="AS70" s="2257" t="str">
        <f>IF(Calc!AA69=0,"",Calc!AA69)</f>
        <v/>
      </c>
      <c r="AT70" s="2210" t="str">
        <f>IF(Calc!BN69=0,"",Calc!CU69)</f>
        <v/>
      </c>
      <c r="AU70" s="2257" t="str">
        <f>IF(Calc!AB69=0,"",Calc!AB69)</f>
        <v/>
      </c>
      <c r="AV70" s="2210" t="str">
        <f>IF(Calc!BP69=0,"",Calc!CV69)</f>
        <v/>
      </c>
      <c r="AW70" s="2257" t="str">
        <f>IF(Calc!AC69=0,"",Calc!AC69)</f>
        <v/>
      </c>
      <c r="AX70" s="2210" t="str">
        <f>IF(Calc!BR69=0,"",Calc!CW69)</f>
        <v/>
      </c>
      <c r="AY70" s="2257" t="str">
        <f>IF(Calc!AD69=0,"",Calc!AD69)</f>
        <v/>
      </c>
      <c r="AZ70" s="2210" t="str">
        <f>IF(Calc!BT69=0,"",Calc!CX69)</f>
        <v/>
      </c>
      <c r="BA70" s="2257" t="str">
        <f>IF(Calc!AE69=0,"",Calc!AE69)</f>
        <v/>
      </c>
      <c r="BB70" s="2210" t="str">
        <f>IF(Calc!BV69=0,"",Calc!CY69)</f>
        <v/>
      </c>
      <c r="BC70" s="2257" t="str">
        <f>IF(Calc!AF69=0,"",Calc!AF69)</f>
        <v/>
      </c>
      <c r="BD70" s="2210" t="str">
        <f>IF(Calc!BX69=0,"",Calc!CZ69)</f>
        <v/>
      </c>
      <c r="BE70" s="2257" t="str">
        <f>IF(Calc!AG69=0,"",Calc!AG69)</f>
        <v/>
      </c>
      <c r="BF70" s="2210" t="str">
        <f>IF(Calc!BZ69=0,"",Calc!DA69)</f>
        <v/>
      </c>
      <c r="BG70" s="2257" t="str">
        <f>IF(Calc!AH69=0,"",Calc!AH69)</f>
        <v/>
      </c>
      <c r="BH70" s="2210" t="str">
        <f>IF(Calc!CB69=0,"",Calc!DB69)</f>
        <v/>
      </c>
      <c r="BI70" s="2257" t="str">
        <f>IF(Calc!AI69=0,"",Calc!AI69)</f>
        <v/>
      </c>
      <c r="BJ70" s="2210" t="str">
        <f>IF(Calc!BS69=0,"",Calc!DC69)</f>
        <v/>
      </c>
      <c r="BK70" s="2257"/>
      <c r="BL70" s="2258"/>
      <c r="BM70" s="2213"/>
      <c r="BN70" s="2189"/>
      <c r="BO70" s="1070"/>
      <c r="BP70" s="2259"/>
      <c r="BQ70" s="2260"/>
      <c r="BR70" s="2260"/>
      <c r="BS70" s="2265"/>
    </row>
    <row r="71" spans="1:71" s="2266" customFormat="1" ht="12.75" customHeight="1" collapsed="1" x14ac:dyDescent="0.3">
      <c r="A71" s="2260"/>
      <c r="B71" s="2261"/>
      <c r="C71" s="2261"/>
      <c r="D71" s="2262"/>
      <c r="E71" s="2262"/>
      <c r="F71" s="2262"/>
      <c r="G71" s="2262"/>
      <c r="H71" s="2262"/>
      <c r="I71" s="2262"/>
      <c r="J71" s="2262"/>
      <c r="K71" s="2262"/>
      <c r="L71" s="2262"/>
      <c r="M71" s="2262"/>
      <c r="N71" s="2262"/>
      <c r="O71" s="2262"/>
      <c r="P71" s="2262"/>
      <c r="Q71" s="2262"/>
      <c r="R71" s="2262"/>
      <c r="S71" s="2262"/>
      <c r="T71" s="2262"/>
      <c r="U71" s="2262"/>
      <c r="V71" s="2262"/>
      <c r="W71" s="2262"/>
      <c r="X71" s="2262"/>
      <c r="Y71" s="2262"/>
      <c r="Z71" s="2262"/>
      <c r="AA71" s="2262"/>
      <c r="AB71" s="2262"/>
      <c r="AC71" s="2262"/>
      <c r="AD71" s="2262"/>
      <c r="AE71" s="2262"/>
      <c r="AF71" s="2262"/>
      <c r="AG71" s="2262"/>
      <c r="AH71" s="2262"/>
      <c r="AI71" s="2262"/>
      <c r="AJ71" s="2262"/>
      <c r="AK71" s="2262"/>
      <c r="AL71" s="2262"/>
      <c r="AM71" s="2262"/>
      <c r="AN71" s="2262"/>
      <c r="AO71" s="2262"/>
      <c r="AP71" s="2262"/>
      <c r="AQ71" s="2262"/>
      <c r="AR71" s="2262"/>
      <c r="AS71" s="2262"/>
      <c r="AT71" s="2262"/>
      <c r="AU71" s="2262"/>
      <c r="AV71" s="2262"/>
      <c r="AW71" s="2262"/>
      <c r="AX71" s="2262"/>
      <c r="AY71" s="2262"/>
      <c r="AZ71" s="2262"/>
      <c r="BA71" s="2262"/>
      <c r="BB71" s="2262"/>
      <c r="BC71" s="2262"/>
      <c r="BD71" s="2262"/>
      <c r="BE71" s="2262"/>
      <c r="BF71" s="2262"/>
      <c r="BG71" s="2262"/>
      <c r="BH71" s="2262"/>
      <c r="BI71" s="2262"/>
      <c r="BJ71" s="2262"/>
      <c r="BK71" s="2262"/>
      <c r="BL71" s="2262"/>
      <c r="BM71" s="2264"/>
      <c r="BN71" s="2260"/>
      <c r="BO71" s="1070"/>
      <c r="BP71" s="1070"/>
      <c r="BQ71" s="2260"/>
      <c r="BR71" s="2260"/>
      <c r="BS71" s="2265"/>
    </row>
    <row r="72" spans="1:71" s="2266" customFormat="1" ht="31.8" hidden="1" outlineLevel="1" thickBot="1" x14ac:dyDescent="0.35">
      <c r="A72" s="2260"/>
      <c r="B72" s="2261"/>
      <c r="C72" s="2261"/>
      <c r="D72" s="2262"/>
      <c r="E72" s="3312">
        <f t="shared" ref="E72" si="8">E6</f>
        <v>0</v>
      </c>
      <c r="F72" s="3313"/>
      <c r="G72" s="3314">
        <f t="shared" ref="G72" si="9">G6</f>
        <v>0</v>
      </c>
      <c r="H72" s="3313"/>
      <c r="I72" s="3314">
        <f t="shared" ref="I72" si="10">I6</f>
        <v>0</v>
      </c>
      <c r="J72" s="3313"/>
      <c r="K72" s="3314">
        <f t="shared" ref="K72" si="11">K6</f>
        <v>0</v>
      </c>
      <c r="L72" s="3313"/>
      <c r="M72" s="3314">
        <f t="shared" ref="M72" si="12">M6</f>
        <v>0</v>
      </c>
      <c r="N72" s="3313"/>
      <c r="O72" s="3314">
        <f t="shared" ref="O72" si="13">O6</f>
        <v>0</v>
      </c>
      <c r="P72" s="3313"/>
      <c r="Q72" s="3314">
        <f t="shared" ref="Q72" si="14">Q6</f>
        <v>0</v>
      </c>
      <c r="R72" s="3313"/>
      <c r="S72" s="3314">
        <f t="shared" ref="S72" si="15">S6</f>
        <v>0</v>
      </c>
      <c r="T72" s="3313"/>
      <c r="U72" s="3314">
        <f t="shared" ref="U72" si="16">U6</f>
        <v>0</v>
      </c>
      <c r="V72" s="3313"/>
      <c r="W72" s="3314">
        <f t="shared" ref="W72" si="17">W6</f>
        <v>0</v>
      </c>
      <c r="X72" s="3313"/>
      <c r="Y72" s="3314">
        <f t="shared" ref="Y72" si="18">Y6</f>
        <v>0</v>
      </c>
      <c r="Z72" s="3313"/>
      <c r="AA72" s="3314">
        <f>AA6</f>
        <v>0</v>
      </c>
      <c r="AB72" s="3313"/>
      <c r="AC72" s="3314">
        <f>AC6</f>
        <v>0</v>
      </c>
      <c r="AD72" s="3313"/>
      <c r="AE72" s="3314">
        <f>AE6</f>
        <v>0</v>
      </c>
      <c r="AF72" s="3313"/>
      <c r="AG72" s="3314">
        <f>AG6</f>
        <v>0</v>
      </c>
      <c r="AH72" s="3313"/>
      <c r="AI72" s="3314">
        <f>AI6</f>
        <v>0</v>
      </c>
      <c r="AJ72" s="3313"/>
      <c r="AK72" s="3314">
        <f>AK6</f>
        <v>0</v>
      </c>
      <c r="AL72" s="3315"/>
      <c r="AM72" s="3314">
        <f>AM6</f>
        <v>0</v>
      </c>
      <c r="AN72" s="3315"/>
      <c r="AO72" s="3314">
        <f>AO6</f>
        <v>0</v>
      </c>
      <c r="AP72" s="3315"/>
      <c r="AQ72" s="3314">
        <f>AQ6</f>
        <v>0</v>
      </c>
      <c r="AR72" s="3315"/>
      <c r="AS72" s="3314">
        <f>AS6</f>
        <v>0</v>
      </c>
      <c r="AT72" s="3315"/>
      <c r="AU72" s="3314">
        <f>AU6</f>
        <v>0</v>
      </c>
      <c r="AV72" s="3315"/>
      <c r="AW72" s="3314">
        <f>AW6</f>
        <v>0</v>
      </c>
      <c r="AX72" s="3315"/>
      <c r="AY72" s="3314">
        <f>AY6</f>
        <v>0</v>
      </c>
      <c r="AZ72" s="3315"/>
      <c r="BA72" s="3314">
        <f>BA6</f>
        <v>0</v>
      </c>
      <c r="BB72" s="3315"/>
      <c r="BC72" s="3314">
        <f>BC6</f>
        <v>0</v>
      </c>
      <c r="BD72" s="3315"/>
      <c r="BE72" s="3314">
        <f>BE6</f>
        <v>0</v>
      </c>
      <c r="BF72" s="3315"/>
      <c r="BG72" s="3314">
        <f>BG6</f>
        <v>0</v>
      </c>
      <c r="BH72" s="3315"/>
      <c r="BI72" s="3314">
        <f>BI6</f>
        <v>0</v>
      </c>
      <c r="BJ72" s="3315"/>
      <c r="BK72" s="3316" t="s">
        <v>1570</v>
      </c>
      <c r="BL72" s="3317"/>
      <c r="BM72" s="3318"/>
      <c r="BN72" s="2260"/>
      <c r="BO72" s="1070"/>
      <c r="BP72" s="2144" t="str">
        <f>"15 Yrs Total"</f>
        <v>15 Yrs Total</v>
      </c>
      <c r="BQ72" s="2260"/>
      <c r="BR72" s="2260"/>
      <c r="BS72" s="2265"/>
    </row>
    <row r="73" spans="1:71" s="2266" customFormat="1" ht="24.9" hidden="1" customHeight="1" outlineLevel="1" thickBot="1" x14ac:dyDescent="0.35">
      <c r="A73" s="2260"/>
      <c r="B73" s="2146" t="str">
        <f>Calc!B72</f>
        <v>D</v>
      </c>
      <c r="C73" s="2147"/>
      <c r="D73" s="2148"/>
      <c r="E73" s="2149" t="str">
        <f>E7</f>
        <v>FY18</v>
      </c>
      <c r="F73" s="2150" t="str">
        <f>"vs "&amp;Comp</f>
        <v>vs Def Exit</v>
      </c>
      <c r="G73" s="2151" t="str">
        <f>G7</f>
        <v>FY19</v>
      </c>
      <c r="H73" s="2150" t="str">
        <f>"vs "&amp;Comp</f>
        <v>vs Def Exit</v>
      </c>
      <c r="I73" s="2151" t="str">
        <f>I7</f>
        <v>FY20</v>
      </c>
      <c r="J73" s="2150" t="str">
        <f>"vs "&amp;Comp</f>
        <v>vs Def Exit</v>
      </c>
      <c r="K73" s="2151" t="str">
        <f>K7</f>
        <v>FY21</v>
      </c>
      <c r="L73" s="2150" t="str">
        <f>"vs "&amp;Comp</f>
        <v>vs Def Exit</v>
      </c>
      <c r="M73" s="2151" t="str">
        <f>M7</f>
        <v>FY22</v>
      </c>
      <c r="N73" s="2150" t="str">
        <f>"vs "&amp;Comp</f>
        <v>vs Def Exit</v>
      </c>
      <c r="O73" s="2151" t="str">
        <f>O7</f>
        <v>FY23</v>
      </c>
      <c r="P73" s="2150" t="str">
        <f>"vs "&amp;Comp</f>
        <v>vs Def Exit</v>
      </c>
      <c r="Q73" s="2151" t="str">
        <f>Q7</f>
        <v>FY24</v>
      </c>
      <c r="R73" s="2150" t="str">
        <f>"vs "&amp;Comp</f>
        <v>vs Def Exit</v>
      </c>
      <c r="S73" s="2151" t="str">
        <f>S7</f>
        <v>FY25</v>
      </c>
      <c r="T73" s="2150" t="str">
        <f>"vs "&amp;Comp</f>
        <v>vs Def Exit</v>
      </c>
      <c r="U73" s="2151" t="str">
        <f>U7</f>
        <v>FY26</v>
      </c>
      <c r="V73" s="2150" t="str">
        <f>"vs "&amp;Comp</f>
        <v>vs Def Exit</v>
      </c>
      <c r="W73" s="2151" t="str">
        <f>W7</f>
        <v>FY27</v>
      </c>
      <c r="X73" s="2150" t="str">
        <f>"vs "&amp;Comp</f>
        <v>vs Def Exit</v>
      </c>
      <c r="Y73" s="2151" t="str">
        <f>Y7</f>
        <v>FY28</v>
      </c>
      <c r="Z73" s="2150" t="str">
        <f>"vs "&amp;Comp</f>
        <v>vs Def Exit</v>
      </c>
      <c r="AA73" s="2151" t="str">
        <f>AA7</f>
        <v>FY29</v>
      </c>
      <c r="AB73" s="2150" t="str">
        <f>"vs "&amp;Comp</f>
        <v>vs Def Exit</v>
      </c>
      <c r="AC73" s="2151" t="str">
        <f>AC7</f>
        <v>FY30</v>
      </c>
      <c r="AD73" s="2150" t="str">
        <f>"vs "&amp;Comp</f>
        <v>vs Def Exit</v>
      </c>
      <c r="AE73" s="2151" t="str">
        <f>AE7</f>
        <v>FY31</v>
      </c>
      <c r="AF73" s="2150" t="str">
        <f>"vs "&amp;Comp</f>
        <v>vs Def Exit</v>
      </c>
      <c r="AG73" s="2151" t="str">
        <f>AG7</f>
        <v>FY32</v>
      </c>
      <c r="AH73" s="2150" t="str">
        <f>"vs "&amp;Comp</f>
        <v>vs Def Exit</v>
      </c>
      <c r="AI73" s="2151" t="str">
        <f>AI7</f>
        <v>FY33</v>
      </c>
      <c r="AJ73" s="2152" t="str">
        <f>"vs "&amp;Comp</f>
        <v>vs Def Exit</v>
      </c>
      <c r="AK73" s="2144" t="str">
        <f>AK7</f>
        <v>FY34</v>
      </c>
      <c r="AL73" s="2152" t="str">
        <f>"vs "&amp;Comp</f>
        <v>vs Def Exit</v>
      </c>
      <c r="AM73" s="2144" t="str">
        <f>AM7</f>
        <v>FY35</v>
      </c>
      <c r="AN73" s="2152" t="str">
        <f>"vs "&amp;Comp</f>
        <v>vs Def Exit</v>
      </c>
      <c r="AO73" s="2144" t="str">
        <f>AO7</f>
        <v>FY36</v>
      </c>
      <c r="AP73" s="2152" t="str">
        <f>"vs "&amp;Comp</f>
        <v>vs Def Exit</v>
      </c>
      <c r="AQ73" s="2144" t="str">
        <f>AQ7</f>
        <v>FY37</v>
      </c>
      <c r="AR73" s="2152" t="str">
        <f>"vs "&amp;Comp</f>
        <v>vs Def Exit</v>
      </c>
      <c r="AS73" s="2144" t="str">
        <f>AS7</f>
        <v>FY38</v>
      </c>
      <c r="AT73" s="2152" t="str">
        <f>"vs "&amp;Comp</f>
        <v>vs Def Exit</v>
      </c>
      <c r="AU73" s="2144" t="str">
        <f>AU7</f>
        <v>FY39</v>
      </c>
      <c r="AV73" s="2152" t="str">
        <f>"vs "&amp;Comp</f>
        <v>vs Def Exit</v>
      </c>
      <c r="AW73" s="2144" t="str">
        <f>AW7</f>
        <v>FY40</v>
      </c>
      <c r="AX73" s="2152" t="str">
        <f>"vs "&amp;Comp</f>
        <v>vs Def Exit</v>
      </c>
      <c r="AY73" s="2144" t="str">
        <f>AY7</f>
        <v>FY41</v>
      </c>
      <c r="AZ73" s="2152" t="str">
        <f>"vs "&amp;Comp</f>
        <v>vs Def Exit</v>
      </c>
      <c r="BA73" s="2144" t="str">
        <f>BA7</f>
        <v>FY42</v>
      </c>
      <c r="BB73" s="2152" t="str">
        <f>"vs "&amp;Comp</f>
        <v>vs Def Exit</v>
      </c>
      <c r="BC73" s="2144" t="str">
        <f>BC7</f>
        <v>FY43</v>
      </c>
      <c r="BD73" s="2152" t="str">
        <f>"vs "&amp;Comp</f>
        <v>vs Def Exit</v>
      </c>
      <c r="BE73" s="2144" t="str">
        <f>BE7</f>
        <v>FY44</v>
      </c>
      <c r="BF73" s="2152" t="str">
        <f>"vs "&amp;Comp</f>
        <v>vs Def Exit</v>
      </c>
      <c r="BG73" s="2144" t="str">
        <f>BG7</f>
        <v>FY45</v>
      </c>
      <c r="BH73" s="2152" t="str">
        <f>"vs "&amp;Comp</f>
        <v>vs Def Exit</v>
      </c>
      <c r="BI73" s="2144" t="str">
        <f>BI7</f>
        <v>FY46</v>
      </c>
      <c r="BJ73" s="2152" t="str">
        <f>"vs "&amp;Comp</f>
        <v>vs Def Exit</v>
      </c>
      <c r="BK73" s="2151" t="e">
        <f>"FY"&amp;Input!$D$48&amp;"-"&amp;Input!$D$48+9</f>
        <v>#VALUE!</v>
      </c>
      <c r="BL73" s="2153"/>
      <c r="BM73" s="2150" t="str">
        <f>"vs "&amp;Comp&amp;" H/(L)"</f>
        <v>vs Def Exit H/(L)</v>
      </c>
      <c r="BN73" s="1070"/>
      <c r="BO73" s="1070"/>
      <c r="BP73" s="2151" t="str">
        <f>"FY"&amp;CurrentFY&amp;"-"&amp;CurrentFY+14</f>
        <v>FY18-32</v>
      </c>
      <c r="BQ73" s="2260"/>
      <c r="BR73" s="2260"/>
      <c r="BS73" s="2265"/>
    </row>
    <row r="74" spans="1:71" s="2266" customFormat="1" ht="3" hidden="1" customHeight="1" outlineLevel="1" x14ac:dyDescent="0.3">
      <c r="A74" s="2260"/>
      <c r="B74" s="2154"/>
      <c r="C74" s="2155"/>
      <c r="D74" s="2156"/>
      <c r="E74" s="1201"/>
      <c r="F74" s="2157"/>
      <c r="G74" s="1201"/>
      <c r="H74" s="2157"/>
      <c r="I74" s="1201"/>
      <c r="J74" s="2157"/>
      <c r="K74" s="1201"/>
      <c r="L74" s="2157"/>
      <c r="M74" s="1201"/>
      <c r="N74" s="2157"/>
      <c r="O74" s="1201"/>
      <c r="P74" s="2157"/>
      <c r="Q74" s="1201"/>
      <c r="R74" s="2157"/>
      <c r="S74" s="1201"/>
      <c r="T74" s="2157"/>
      <c r="U74" s="2158"/>
      <c r="V74" s="1875"/>
      <c r="W74" s="2159"/>
      <c r="X74" s="1875"/>
      <c r="Y74" s="2159"/>
      <c r="Z74" s="1875"/>
      <c r="AA74" s="2159"/>
      <c r="AB74" s="1875"/>
      <c r="AC74" s="2159"/>
      <c r="AD74" s="1875"/>
      <c r="AE74" s="2159"/>
      <c r="AF74" s="1875"/>
      <c r="AG74" s="2159"/>
      <c r="AH74" s="1875"/>
      <c r="AI74" s="2159"/>
      <c r="AJ74" s="2160"/>
      <c r="AK74" s="2159"/>
      <c r="AL74" s="1876"/>
      <c r="AM74" s="2159"/>
      <c r="AN74" s="1876"/>
      <c r="AO74" s="2159"/>
      <c r="AP74" s="1876"/>
      <c r="AQ74" s="2159"/>
      <c r="AR74" s="1876"/>
      <c r="AS74" s="2159"/>
      <c r="AT74" s="1876"/>
      <c r="AU74" s="2159"/>
      <c r="AV74" s="1876"/>
      <c r="AW74" s="2159"/>
      <c r="AX74" s="1876"/>
      <c r="AY74" s="2159"/>
      <c r="AZ74" s="1876"/>
      <c r="BA74" s="2159"/>
      <c r="BB74" s="1876"/>
      <c r="BC74" s="2159"/>
      <c r="BD74" s="1876"/>
      <c r="BE74" s="2159"/>
      <c r="BF74" s="1876"/>
      <c r="BG74" s="2159"/>
      <c r="BH74" s="1876"/>
      <c r="BI74" s="2159"/>
      <c r="BJ74" s="1876"/>
      <c r="BK74" s="2159"/>
      <c r="BL74" s="2159"/>
      <c r="BM74" s="2161"/>
      <c r="BN74" s="1070"/>
      <c r="BO74" s="1070"/>
      <c r="BP74" s="1070"/>
      <c r="BQ74" s="2260"/>
      <c r="BR74" s="2260"/>
      <c r="BS74" s="2265"/>
    </row>
    <row r="75" spans="1:71" s="2266" customFormat="1" hidden="1" outlineLevel="1" x14ac:dyDescent="0.3">
      <c r="A75" s="2260"/>
      <c r="B75" s="2162" t="str">
        <f t="shared" ref="B75:B92" si="19">B53</f>
        <v>New Product Volume (k)</v>
      </c>
      <c r="C75" s="2163"/>
      <c r="D75" s="2164"/>
      <c r="E75" s="2165">
        <f>IF($D$2="$ K",Calc!G73,Calc!G73/1000)</f>
        <v>0</v>
      </c>
      <c r="F75" s="2166">
        <f>IF(Calc!AQ73=0,0,IF($D$2="$ M",Calc!CA73/1000,Calc!CA73))</f>
        <v>0</v>
      </c>
      <c r="G75" s="2167">
        <f>IF($D$2="$ K",Calc!H73,Calc!H73/1000)</f>
        <v>0</v>
      </c>
      <c r="H75" s="2166">
        <f>IF(Calc!AR73=0,0,IF($D$2="$ M",Calc!CB73/1000,Calc!CB73))</f>
        <v>0</v>
      </c>
      <c r="I75" s="2167">
        <f>IF($D$2="$ K",Calc!I73,Calc!I73/1000)</f>
        <v>0</v>
      </c>
      <c r="J75" s="2166">
        <f>IF(Calc!AS73=0,0,IF($D$2="$ M",Calc!CC73/1000,Calc!CC73))</f>
        <v>0</v>
      </c>
      <c r="K75" s="2167">
        <f>IF($D$2="$ K",Calc!J73,Calc!J73/1000)</f>
        <v>0</v>
      </c>
      <c r="L75" s="2166">
        <f>IF(Calc!AT73=0,0,IF($D$2="$ M",Calc!CD73/1000,Calc!CD73))</f>
        <v>0</v>
      </c>
      <c r="M75" s="2167">
        <f>IF($D$2="$ K",Calc!K73,Calc!K73/1000)</f>
        <v>0</v>
      </c>
      <c r="N75" s="2166">
        <f>IF(Calc!AU73=0,0,IF($D$2="$ M",Calc!CE73/1000,Calc!CE73))</f>
        <v>0</v>
      </c>
      <c r="O75" s="2167">
        <f>IF($D$2="$ K",Calc!L73,Calc!L73/1000)</f>
        <v>0</v>
      </c>
      <c r="P75" s="2166">
        <f>IF(Calc!AV73=0,0,IF($D$2="$ M",Calc!CF73/1000,Calc!CF73))</f>
        <v>0</v>
      </c>
      <c r="Q75" s="2167">
        <f>IF($D$2="$ K",Calc!M73,Calc!M73/1000)</f>
        <v>0</v>
      </c>
      <c r="R75" s="2166">
        <f>IF(Calc!AW73=0,0,IF($D$2="$ M",Calc!CG73/1000,Calc!CG73))</f>
        <v>0</v>
      </c>
      <c r="S75" s="2167">
        <f>IF($D$2="$ K",Calc!N73,Calc!N73/1000)</f>
        <v>0</v>
      </c>
      <c r="T75" s="2166">
        <f>IF(Calc!AX73=0,0,IF($D$2="$ M",Calc!CH73/1000,Calc!CH73))</f>
        <v>0</v>
      </c>
      <c r="U75" s="2167">
        <f>IF($D$2="$ K",Calc!O73,Calc!O73/1000)</f>
        <v>0</v>
      </c>
      <c r="V75" s="2166">
        <f>IF(Calc!AY73=0,0,IF($D$2="$ M",Calc!CI73/1000,Calc!CI73))</f>
        <v>0</v>
      </c>
      <c r="W75" s="2167">
        <f>IF($D$2="$ K",Calc!P73,Calc!P73/1000)</f>
        <v>0</v>
      </c>
      <c r="X75" s="2166">
        <f>IF(Calc!AZ73=0,0,IF($D$2="$ M",Calc!CJ73/1000,Calc!CJ73))</f>
        <v>0</v>
      </c>
      <c r="Y75" s="2167">
        <f>IF($D$2="$ K",Calc!Q73,Calc!Q73/1000)</f>
        <v>0</v>
      </c>
      <c r="Z75" s="2166">
        <f>IF(Calc!BA73=0,0,IF($D$2="$ M",Calc!CK73/1000,Calc!CK73))</f>
        <v>0</v>
      </c>
      <c r="AA75" s="2167">
        <f>IF($D$2="$ K",Calc!R73,Calc!R73/1000)</f>
        <v>0</v>
      </c>
      <c r="AB75" s="2166">
        <f>IF(Calc!BB73=0,0,IF($D$2="$ M",Calc!CL73/1000,Calc!CL73))</f>
        <v>0</v>
      </c>
      <c r="AC75" s="2167">
        <f>IF($D$2="$ K",Calc!S73,Calc!S73/1000)</f>
        <v>0</v>
      </c>
      <c r="AD75" s="2166">
        <f>IF(Calc!BC73=0,0,IF($D$2="$ M",Calc!CM73/1000,Calc!CM73))</f>
        <v>0</v>
      </c>
      <c r="AE75" s="2167">
        <f>IF($D$2="$ K",Calc!T73,Calc!T73/1000)</f>
        <v>0</v>
      </c>
      <c r="AF75" s="2166">
        <f>IF(Calc!BD73=0,0,IF($D$2="$ M",Calc!CN73/1000,Calc!CN73))</f>
        <v>0</v>
      </c>
      <c r="AG75" s="2167">
        <f>IF($D$2="$ K",Calc!U73,Calc!U73/1000)</f>
        <v>0</v>
      </c>
      <c r="AH75" s="2166">
        <f>IF(Calc!BE73=0,0,IF($D$2="$ M",Calc!CO73/1000,Calc!CO73))</f>
        <v>0</v>
      </c>
      <c r="AI75" s="2167">
        <f>IF($D$2="$ K",Calc!V73,Calc!V73/1000)</f>
        <v>0</v>
      </c>
      <c r="AJ75" s="2166">
        <f>IF(Calc!BF73=0,0,IF($D$2="$ M",Calc!CP73/1000,Calc!CP73))</f>
        <v>0</v>
      </c>
      <c r="AK75" s="2167">
        <f>IF($D$2="$ K",Calc!W73,Calc!W73/1000)</f>
        <v>0</v>
      </c>
      <c r="AL75" s="2166">
        <f>IF(Calc!BG73=0,0,IF($D$2="$ M",Calc!CQ73/1000,Calc!CQ73))</f>
        <v>0</v>
      </c>
      <c r="AM75" s="2167">
        <f>IF($D$2="$ K",Calc!X73,Calc!X73/1000)</f>
        <v>0</v>
      </c>
      <c r="AN75" s="2166">
        <f>IF(Calc!BH73=0,0,IF($D$2="$ M",Calc!CR73/1000,Calc!CR73))</f>
        <v>0</v>
      </c>
      <c r="AO75" s="2167">
        <f>IF($D$2="$ K",Calc!Y73,Calc!Y73/1000)</f>
        <v>0</v>
      </c>
      <c r="AP75" s="2166">
        <f>IF(Calc!BJ73=0,0,IF($D$2="$ M",Calc!CS73/1000,Calc!CS73))</f>
        <v>0</v>
      </c>
      <c r="AQ75" s="2167">
        <f>IF($D$2="$ K",Calc!Z73,Calc!Z73/1000)</f>
        <v>0</v>
      </c>
      <c r="AR75" s="2166">
        <f>IF(Calc!BL73=0,0,IF($D$2="$ M",Calc!CT73/1000,Calc!CT73))</f>
        <v>0</v>
      </c>
      <c r="AS75" s="2167">
        <f>IF($D$2="$ K",Calc!AA73,Calc!AA73/1000)</f>
        <v>0</v>
      </c>
      <c r="AT75" s="2166">
        <f>IF(Calc!BN73=0,0,IF($D$2="$ M",Calc!CU73/1000,Calc!CU73))</f>
        <v>0</v>
      </c>
      <c r="AU75" s="2167">
        <f>IF($D$2="$ K",Calc!AB73,Calc!AB73/1000)</f>
        <v>0</v>
      </c>
      <c r="AV75" s="2166">
        <f>IF(Calc!BP73=0,0,IF($D$2="$ M",Calc!CV73/1000,Calc!CV73))</f>
        <v>0</v>
      </c>
      <c r="AW75" s="2167">
        <f>IF($D$2="$ K",Calc!AC73,Calc!AC73/1000)</f>
        <v>0</v>
      </c>
      <c r="AX75" s="2166">
        <f>IF(Calc!BR73=0,0,IF($D$2="$ M",Calc!CW73/1000,Calc!CW73))</f>
        <v>0</v>
      </c>
      <c r="AY75" s="2167">
        <f>IF($D$2="$ K",Calc!AD73,Calc!AD73/1000)</f>
        <v>0</v>
      </c>
      <c r="AZ75" s="2166">
        <f>IF(Calc!BT73=0,0,IF($D$2="$ M",Calc!CX73/1000,Calc!CX73))</f>
        <v>0</v>
      </c>
      <c r="BA75" s="2167">
        <f>IF($D$2="$ K",Calc!AE73,Calc!AE73/1000)</f>
        <v>0</v>
      </c>
      <c r="BB75" s="2166">
        <f>IF(Calc!BV73=0,0,IF($D$2="$ M",Calc!CY73/1000,Calc!CY73))</f>
        <v>0</v>
      </c>
      <c r="BC75" s="2167">
        <f>IF($D$2="$ K",Calc!AF73,Calc!AF73/1000)</f>
        <v>0</v>
      </c>
      <c r="BD75" s="2166">
        <f>IF(Calc!BX73=0,0,IF($D$2="$ M",Calc!CZ73/1000,Calc!CZ73))</f>
        <v>0</v>
      </c>
      <c r="BE75" s="2167">
        <f>IF($D$2="$ K",Calc!AG73,Calc!AG73/1000)</f>
        <v>0</v>
      </c>
      <c r="BF75" s="2166">
        <f>IF(Calc!BZ73=0,0,IF($D$2="$ M",Calc!DA73/1000,Calc!DA73))</f>
        <v>0</v>
      </c>
      <c r="BG75" s="2167">
        <f>IF($D$2="$ K",Calc!AH73,Calc!AH73/1000)</f>
        <v>0</v>
      </c>
      <c r="BH75" s="2166">
        <f>IF(Calc!CB73=0,0,IF($D$2="$ M",Calc!DB73/1000,Calc!DB73))</f>
        <v>0</v>
      </c>
      <c r="BI75" s="2167">
        <f>IF($D$2="$ K",Calc!AI73,Calc!AI73/1000)</f>
        <v>0</v>
      </c>
      <c r="BJ75" s="2166">
        <f>IF(Calc!BS73=0,0,IF($D$2="$ M",Calc!DC73/1000,Calc!DC73))</f>
        <v>0</v>
      </c>
      <c r="BK75" s="2167">
        <f>IF($D$2="$ K",Calc!AJ73,Calc!AJ73/1000)</f>
        <v>0</v>
      </c>
      <c r="BL75" s="2168"/>
      <c r="BM75" s="2169">
        <f>IF(Calc!BT73=0,0,IF($D$2="$ M",Calc!DD73/1000,Calc!DD73))</f>
        <v>0</v>
      </c>
      <c r="BN75" s="1314"/>
      <c r="BO75" s="1314"/>
      <c r="BP75" s="2170">
        <f>IF($D$2="$ K",Calc!AM73,Calc!AM73/1000)</f>
        <v>0</v>
      </c>
      <c r="BQ75" s="2260"/>
      <c r="BR75" s="2260"/>
      <c r="BS75" s="2265"/>
    </row>
    <row r="76" spans="1:71" s="2266" customFormat="1" hidden="1" outlineLevel="1" x14ac:dyDescent="0.3">
      <c r="A76" s="2260"/>
      <c r="B76" s="2171" t="str">
        <f t="shared" si="19"/>
        <v>New Product ASP ($)</v>
      </c>
      <c r="C76" s="2172"/>
      <c r="D76" s="2173"/>
      <c r="E76" s="2174">
        <f>+Calc!G74</f>
        <v>0</v>
      </c>
      <c r="F76" s="2175">
        <f>IF(Calc!AQ74=0,0,Calc!CA74)</f>
        <v>0</v>
      </c>
      <c r="G76" s="2176">
        <f>+Calc!H74</f>
        <v>0</v>
      </c>
      <c r="H76" s="2175">
        <f>IF(Calc!AR74=0,0,Calc!CB74)</f>
        <v>0</v>
      </c>
      <c r="I76" s="2176">
        <f>+Calc!I74</f>
        <v>0</v>
      </c>
      <c r="J76" s="2175">
        <f>IF(Calc!AS74=0,0,Calc!CC74)</f>
        <v>0</v>
      </c>
      <c r="K76" s="2176">
        <f>+Calc!J74</f>
        <v>0</v>
      </c>
      <c r="L76" s="2175">
        <f>IF(Calc!AT74=0,0,Calc!CD74)</f>
        <v>0</v>
      </c>
      <c r="M76" s="2176">
        <f>+Calc!K74</f>
        <v>0</v>
      </c>
      <c r="N76" s="2175">
        <f>IF(Calc!AU74=0,0,Calc!CE74)</f>
        <v>0</v>
      </c>
      <c r="O76" s="2176">
        <f>+Calc!L74</f>
        <v>0</v>
      </c>
      <c r="P76" s="2175">
        <f>IF(Calc!AV74=0,0,Calc!CF74)</f>
        <v>0</v>
      </c>
      <c r="Q76" s="2176">
        <f>+Calc!M74</f>
        <v>0</v>
      </c>
      <c r="R76" s="2175">
        <f>IF(Calc!AW74=0,0,Calc!CG74)</f>
        <v>0</v>
      </c>
      <c r="S76" s="2176">
        <f>+Calc!N74</f>
        <v>0</v>
      </c>
      <c r="T76" s="2175">
        <f>IF(Calc!AX74=0,0,Calc!CH74)</f>
        <v>0</v>
      </c>
      <c r="U76" s="2176">
        <f>+Calc!O74</f>
        <v>0</v>
      </c>
      <c r="V76" s="2175">
        <f>IF(Calc!AY74=0,0,Calc!CI74)</f>
        <v>0</v>
      </c>
      <c r="W76" s="2176">
        <f>+Calc!P74</f>
        <v>0</v>
      </c>
      <c r="X76" s="2175">
        <f>IF(Calc!AZ74=0,0,Calc!CJ74)</f>
        <v>0</v>
      </c>
      <c r="Y76" s="2176">
        <f>+Calc!Q74</f>
        <v>0</v>
      </c>
      <c r="Z76" s="2175">
        <f>IF(Calc!BA74=0,0,Calc!CK74)</f>
        <v>0</v>
      </c>
      <c r="AA76" s="2176">
        <f>+Calc!R74</f>
        <v>0</v>
      </c>
      <c r="AB76" s="2175">
        <f>IF(Calc!BB74=0,0,Calc!CL74)</f>
        <v>0</v>
      </c>
      <c r="AC76" s="2176">
        <f>+Calc!S74</f>
        <v>0</v>
      </c>
      <c r="AD76" s="2175">
        <f>IF(Calc!BC74=0,0,Calc!CM74)</f>
        <v>0</v>
      </c>
      <c r="AE76" s="2176">
        <f>+Calc!T74</f>
        <v>0</v>
      </c>
      <c r="AF76" s="2175">
        <f>IF(Calc!BD74=0,0,Calc!CN74)</f>
        <v>0</v>
      </c>
      <c r="AG76" s="2176">
        <f>+Calc!U74</f>
        <v>0</v>
      </c>
      <c r="AH76" s="2175">
        <f>IF(Calc!BE74=0,0,Calc!CO74)</f>
        <v>0</v>
      </c>
      <c r="AI76" s="2176">
        <f>+Calc!V74</f>
        <v>0</v>
      </c>
      <c r="AJ76" s="2175">
        <f>IF(Calc!BF74=0,0,Calc!CP74)</f>
        <v>0</v>
      </c>
      <c r="AK76" s="2176">
        <f>+Calc!W74</f>
        <v>0</v>
      </c>
      <c r="AL76" s="2175">
        <f>IF(Calc!BG74=0,0,Calc!CQ74)</f>
        <v>0</v>
      </c>
      <c r="AM76" s="2176">
        <f>+Calc!X74</f>
        <v>0</v>
      </c>
      <c r="AN76" s="2175">
        <f>IF(Calc!BH74=0,0,Calc!CR74)</f>
        <v>0</v>
      </c>
      <c r="AO76" s="2176">
        <f>+Calc!Y74</f>
        <v>0</v>
      </c>
      <c r="AP76" s="2175">
        <f>IF(Calc!BJ74=0,0,Calc!CS74)</f>
        <v>0</v>
      </c>
      <c r="AQ76" s="2176">
        <f>+Calc!Z74</f>
        <v>0</v>
      </c>
      <c r="AR76" s="2175">
        <f>IF(Calc!BL74=0,0,Calc!CT74)</f>
        <v>0</v>
      </c>
      <c r="AS76" s="2176">
        <f>+Calc!AA74</f>
        <v>0</v>
      </c>
      <c r="AT76" s="2175">
        <f>IF(Calc!BN74=0,0,Calc!CU74)</f>
        <v>0</v>
      </c>
      <c r="AU76" s="2176">
        <f>+Calc!AB74</f>
        <v>0</v>
      </c>
      <c r="AV76" s="2175">
        <f>IF(Calc!BP74=0,0,Calc!CV74)</f>
        <v>0</v>
      </c>
      <c r="AW76" s="2176">
        <f>+Calc!AC74</f>
        <v>0</v>
      </c>
      <c r="AX76" s="2175">
        <f>IF(Calc!BR74=0,0,Calc!CW74)</f>
        <v>0</v>
      </c>
      <c r="AY76" s="2176">
        <f>+Calc!AD74</f>
        <v>0</v>
      </c>
      <c r="AZ76" s="2175" t="e">
        <f>IF(Calc!BT74=0,0,Calc!CX74)</f>
        <v>#DIV/0!</v>
      </c>
      <c r="BA76" s="2176">
        <f>+Calc!AE74</f>
        <v>0</v>
      </c>
      <c r="BB76" s="2175">
        <f>IF(Calc!BV74=0,0,Calc!CY74)</f>
        <v>0</v>
      </c>
      <c r="BC76" s="2176">
        <f>+Calc!AF74</f>
        <v>0</v>
      </c>
      <c r="BD76" s="2175">
        <f>IF(Calc!BX74=0,0,Calc!CZ74)</f>
        <v>0</v>
      </c>
      <c r="BE76" s="2176">
        <f>+Calc!AG74</f>
        <v>0</v>
      </c>
      <c r="BF76" s="2175">
        <f>IF(Calc!BZ74=0,0,Calc!DA74)</f>
        <v>0</v>
      </c>
      <c r="BG76" s="2176">
        <f>+Calc!AH74</f>
        <v>0</v>
      </c>
      <c r="BH76" s="2175">
        <f>IF(Calc!CB74=0,0,Calc!DB74)</f>
        <v>0</v>
      </c>
      <c r="BI76" s="2176">
        <f>+Calc!AI74</f>
        <v>0</v>
      </c>
      <c r="BJ76" s="2175">
        <f>IF(Calc!BS74=0,0,Calc!DC74)</f>
        <v>0</v>
      </c>
      <c r="BK76" s="2176" t="e">
        <f>+Calc!AJ74</f>
        <v>#DIV/0!</v>
      </c>
      <c r="BL76" s="2177"/>
      <c r="BM76" s="2178" t="e">
        <f>IF(Calc!BT74=0,0,Calc!DD74)</f>
        <v>#DIV/0!</v>
      </c>
      <c r="BN76" s="1314"/>
      <c r="BO76" s="1314"/>
      <c r="BP76" s="2179"/>
      <c r="BQ76" s="2260"/>
      <c r="BR76" s="2260"/>
      <c r="BS76" s="2265"/>
    </row>
    <row r="77" spans="1:71" s="2269" customFormat="1" ht="18" hidden="1" outlineLevel="1" x14ac:dyDescent="0.35">
      <c r="A77" s="2267"/>
      <c r="B77" s="2180" t="s">
        <v>1573</v>
      </c>
      <c r="C77" s="2181"/>
      <c r="D77" s="2182"/>
      <c r="E77" s="2183">
        <f>IF($D$2="$ K",Calc!G75,Calc!G75/1000)</f>
        <v>0</v>
      </c>
      <c r="F77" s="2184">
        <f>IF(Calc!AQ75=0,0,IF($D$2="$ M",Calc!CA75/1000,Calc!CA75))</f>
        <v>0</v>
      </c>
      <c r="G77" s="2185">
        <f>IF($D$2="$ K",Calc!H75,Calc!H75/1000)</f>
        <v>0</v>
      </c>
      <c r="H77" s="2184">
        <f>IF(Calc!AR75=0,0,IF($D$2="$ M",Calc!CB75/1000,Calc!CB75))</f>
        <v>0</v>
      </c>
      <c r="I77" s="2185">
        <f>IF($D$2="$ K",Calc!I75,Calc!I75/1000)</f>
        <v>0</v>
      </c>
      <c r="J77" s="2184">
        <f>IF(Calc!AS75=0,0,IF($D$2="$ M",Calc!CC75/1000,Calc!CC75))</f>
        <v>0</v>
      </c>
      <c r="K77" s="2185">
        <f>IF($D$2="$ K",Calc!J75,Calc!J75/1000)</f>
        <v>0</v>
      </c>
      <c r="L77" s="2184">
        <f>IF(Calc!AT75=0,0,IF($D$2="$ M",Calc!CD75/1000,Calc!CD75))</f>
        <v>0</v>
      </c>
      <c r="M77" s="2185">
        <f>IF($D$2="$ K",Calc!K75,Calc!K75/1000)</f>
        <v>0</v>
      </c>
      <c r="N77" s="2184">
        <f>IF(Calc!AU75=0,0,IF($D$2="$ M",Calc!CE75/1000,Calc!CE75))</f>
        <v>0</v>
      </c>
      <c r="O77" s="2185">
        <f>IF($D$2="$ K",Calc!L75,Calc!L75/1000)</f>
        <v>0</v>
      </c>
      <c r="P77" s="2184">
        <f>IF(Calc!AV75=0,0,IF($D$2="$ M",Calc!CF75/1000,Calc!CF75))</f>
        <v>0</v>
      </c>
      <c r="Q77" s="2185">
        <f>IF($D$2="$ K",Calc!M75,Calc!M75/1000)</f>
        <v>0</v>
      </c>
      <c r="R77" s="2184">
        <f>IF(Calc!AW75=0,0,IF($D$2="$ M",Calc!CG75/1000,Calc!CG75))</f>
        <v>0</v>
      </c>
      <c r="S77" s="2185">
        <f>IF($D$2="$ K",Calc!N75,Calc!N75/1000)</f>
        <v>0</v>
      </c>
      <c r="T77" s="2184">
        <f>IF(Calc!AX75=0,0,IF($D$2="$ M",Calc!CH75/1000,Calc!CH75))</f>
        <v>0</v>
      </c>
      <c r="U77" s="2185">
        <f>IF($D$2="$ K",Calc!O75,Calc!O75/1000)</f>
        <v>0</v>
      </c>
      <c r="V77" s="2184">
        <f>IF(Calc!AY75=0,0,IF($D$2="$ M",Calc!CI75/1000,Calc!CI75))</f>
        <v>0</v>
      </c>
      <c r="W77" s="2185">
        <f>IF($D$2="$ K",Calc!P75,Calc!P75/1000)</f>
        <v>0</v>
      </c>
      <c r="X77" s="2184">
        <f>IF(Calc!AZ75=0,0,IF($D$2="$ M",Calc!CJ75/1000,Calc!CJ75))</f>
        <v>0</v>
      </c>
      <c r="Y77" s="2185">
        <f>IF($D$2="$ K",Calc!Q75,Calc!Q75/1000)</f>
        <v>0</v>
      </c>
      <c r="Z77" s="2184">
        <f>IF(Calc!BA75=0,0,IF($D$2="$ M",Calc!CK75/1000,Calc!CK75))</f>
        <v>0</v>
      </c>
      <c r="AA77" s="2185">
        <f>IF($D$2="$ K",Calc!R75,Calc!R75/1000)</f>
        <v>0</v>
      </c>
      <c r="AB77" s="2184">
        <f>IF(Calc!BB75=0,0,IF($D$2="$ M",Calc!CL75/1000,Calc!CL75))</f>
        <v>0</v>
      </c>
      <c r="AC77" s="2185">
        <f>IF($D$2="$ K",Calc!S75,Calc!S75/1000)</f>
        <v>0</v>
      </c>
      <c r="AD77" s="2184">
        <f>IF(Calc!BC75=0,0,IF($D$2="$ M",Calc!CM75/1000,Calc!CM75))</f>
        <v>0</v>
      </c>
      <c r="AE77" s="2185">
        <f>IF($D$2="$ K",Calc!T75,Calc!T75/1000)</f>
        <v>0</v>
      </c>
      <c r="AF77" s="2184">
        <f>IF(Calc!BD75=0,0,IF($D$2="$ M",Calc!CN75/1000,Calc!CN75))</f>
        <v>0</v>
      </c>
      <c r="AG77" s="2185">
        <f>IF($D$2="$ K",Calc!U75,Calc!U75/1000)</f>
        <v>0</v>
      </c>
      <c r="AH77" s="2184">
        <f>IF(Calc!BE75=0,0,IF($D$2="$ M",Calc!CO75/1000,Calc!CO75))</f>
        <v>0</v>
      </c>
      <c r="AI77" s="2185">
        <f>IF($D$2="$ K",Calc!V75,Calc!V75/1000)</f>
        <v>0</v>
      </c>
      <c r="AJ77" s="2184">
        <f>IF(Calc!BF75=0,0,IF($D$2="$ M",Calc!CP75/1000,Calc!CP75))</f>
        <v>0</v>
      </c>
      <c r="AK77" s="2185">
        <f>IF($D$2="$ K",Calc!W75,Calc!W75/1000)</f>
        <v>0</v>
      </c>
      <c r="AL77" s="2184">
        <f>IF(Calc!BG75=0,0,IF($D$2="$ M",Calc!CQ75/1000,Calc!CQ75))</f>
        <v>0</v>
      </c>
      <c r="AM77" s="2185">
        <f>IF($D$2="$ K",Calc!X75,Calc!X75/1000)</f>
        <v>0</v>
      </c>
      <c r="AN77" s="2184">
        <f>IF(Calc!BH75=0,0,IF($D$2="$ M",Calc!CR75/1000,Calc!CR75))</f>
        <v>0</v>
      </c>
      <c r="AO77" s="2185">
        <f>IF($D$2="$ K",Calc!Y75,Calc!Y75/1000)</f>
        <v>0</v>
      </c>
      <c r="AP77" s="2184">
        <f>IF(Calc!BJ75=0,0,IF($D$2="$ M",Calc!CS75/1000,Calc!CS75))</f>
        <v>0</v>
      </c>
      <c r="AQ77" s="2185">
        <f>IF($D$2="$ K",Calc!Z75,Calc!Z75/1000)</f>
        <v>0</v>
      </c>
      <c r="AR77" s="2184">
        <f>IF(Calc!BL75=0,0,IF($D$2="$ M",Calc!CT75/1000,Calc!CT75))</f>
        <v>0</v>
      </c>
      <c r="AS77" s="2185">
        <f>IF($D$2="$ K",Calc!AA75,Calc!AA75/1000)</f>
        <v>0</v>
      </c>
      <c r="AT77" s="2184">
        <f>IF(Calc!BN75=0,0,IF($D$2="$ M",Calc!CU75/1000,Calc!CU75))</f>
        <v>0</v>
      </c>
      <c r="AU77" s="2185">
        <f>IF($D$2="$ K",Calc!AB75,Calc!AB75/1000)</f>
        <v>0</v>
      </c>
      <c r="AV77" s="2184">
        <f>IF(Calc!BP75=0,0,IF($D$2="$ M",Calc!CV75/1000,Calc!CV75))</f>
        <v>0</v>
      </c>
      <c r="AW77" s="2185">
        <f>IF($D$2="$ K",Calc!AC75,Calc!AC75/1000)</f>
        <v>0</v>
      </c>
      <c r="AX77" s="2184">
        <f>IF(Calc!BR75=0,0,IF($D$2="$ M",Calc!CW75/1000,Calc!CW75))</f>
        <v>0</v>
      </c>
      <c r="AY77" s="2185">
        <f>IF($D$2="$ K",Calc!AD75,Calc!AD75/1000)</f>
        <v>0</v>
      </c>
      <c r="AZ77" s="2184">
        <f>IF(Calc!BT75=0,0,IF($D$2="$ M",Calc!CX75/1000,Calc!CX75))</f>
        <v>0</v>
      </c>
      <c r="BA77" s="2185">
        <f>IF($D$2="$ K",Calc!AE75,Calc!AE75/1000)</f>
        <v>0</v>
      </c>
      <c r="BB77" s="2184">
        <f>IF(Calc!BV75=0,0,IF($D$2="$ M",Calc!CY75/1000,Calc!CY75))</f>
        <v>0</v>
      </c>
      <c r="BC77" s="2185">
        <f>IF($D$2="$ K",Calc!AF75,Calc!AF75/1000)</f>
        <v>0</v>
      </c>
      <c r="BD77" s="2184">
        <f>IF(Calc!BX75=0,0,IF($D$2="$ M",Calc!CZ75/1000,Calc!CZ75))</f>
        <v>0</v>
      </c>
      <c r="BE77" s="2185">
        <f>IF($D$2="$ K",Calc!AG75,Calc!AG75/1000)</f>
        <v>0</v>
      </c>
      <c r="BF77" s="2184">
        <f>IF(Calc!BZ75=0,0,IF($D$2="$ M",Calc!DA75/1000,Calc!DA75))</f>
        <v>0</v>
      </c>
      <c r="BG77" s="2185">
        <f>IF($D$2="$ K",Calc!AH75,Calc!AH75/1000)</f>
        <v>0</v>
      </c>
      <c r="BH77" s="2184">
        <f>IF(Calc!CB75=0,0,IF($D$2="$ M",Calc!DB75/1000,Calc!DB75))</f>
        <v>0</v>
      </c>
      <c r="BI77" s="2185">
        <f>IF($D$2="$ K",Calc!AI75,Calc!AI75/1000)</f>
        <v>0</v>
      </c>
      <c r="BJ77" s="2184">
        <f>IF(Calc!BS75=0,0,IF($D$2="$ M",Calc!DC75/1000,Calc!DC75))</f>
        <v>0</v>
      </c>
      <c r="BK77" s="2185">
        <f>IF($D$2="$ K",Calc!AJ75,Calc!AJ75/1000)</f>
        <v>0</v>
      </c>
      <c r="BL77" s="2186"/>
      <c r="BM77" s="2187">
        <f>IF(Calc!BT75=0,0,IF($D$2="$ M",Calc!DD75/1000,Calc!DD75))</f>
        <v>0</v>
      </c>
      <c r="BN77" s="1260"/>
      <c r="BO77" s="1260"/>
      <c r="BP77" s="2188">
        <f>IF($D$2="$ K",Calc!AM75,Calc!AM75/1000)</f>
        <v>0</v>
      </c>
      <c r="BQ77" s="2267"/>
      <c r="BR77" s="2267"/>
      <c r="BS77" s="2268"/>
    </row>
    <row r="78" spans="1:71" s="2266" customFormat="1" hidden="1" outlineLevel="1" x14ac:dyDescent="0.3">
      <c r="A78" s="2260"/>
      <c r="B78" s="1217" t="str">
        <f t="shared" si="19"/>
        <v xml:space="preserve">   Less: Cannibilzation</v>
      </c>
      <c r="C78" s="1099"/>
      <c r="D78" s="2190"/>
      <c r="E78" s="2191">
        <f>IF($D$2="$ K",Calc!G76,Calc!G76/1000)</f>
        <v>0</v>
      </c>
      <c r="F78" s="1891">
        <f>IF(Calc!AQ76=0,0,IF($D$2="$ M",Calc!CA76/1000,Calc!CA76))</f>
        <v>0</v>
      </c>
      <c r="G78" s="2192">
        <f>IF($D$2="$ K",Calc!H76,Calc!H76/1000)</f>
        <v>0</v>
      </c>
      <c r="H78" s="1891">
        <f>IF(Calc!AR76=0,0,IF($D$2="$ M",Calc!CB76/1000,Calc!CB76))</f>
        <v>0</v>
      </c>
      <c r="I78" s="2192">
        <f>IF($D$2="$ K",Calc!I76,Calc!I76/1000)</f>
        <v>0</v>
      </c>
      <c r="J78" s="1891">
        <f>IF(Calc!AS76=0,0,IF($D$2="$ M",Calc!CC76/1000,Calc!CC76))</f>
        <v>0</v>
      </c>
      <c r="K78" s="2192">
        <f>IF($D$2="$ K",Calc!J76,Calc!J76/1000)</f>
        <v>0</v>
      </c>
      <c r="L78" s="1891">
        <f>IF(Calc!AT76=0,0,IF($D$2="$ M",Calc!CD76/1000,Calc!CD76))</f>
        <v>0</v>
      </c>
      <c r="M78" s="2192">
        <f>IF($D$2="$ K",Calc!K76,Calc!K76/1000)</f>
        <v>0</v>
      </c>
      <c r="N78" s="1891">
        <f>IF(Calc!AU76=0,0,IF($D$2="$ M",Calc!CE76/1000,Calc!CE76))</f>
        <v>0</v>
      </c>
      <c r="O78" s="2192">
        <f>IF($D$2="$ K",Calc!L76,Calc!L76/1000)</f>
        <v>0</v>
      </c>
      <c r="P78" s="1891">
        <f>IF(Calc!AV76=0,0,IF($D$2="$ M",Calc!CF76/1000,Calc!CF76))</f>
        <v>0</v>
      </c>
      <c r="Q78" s="2192">
        <f>IF($D$2="$ K",Calc!M76,Calc!M76/1000)</f>
        <v>0</v>
      </c>
      <c r="R78" s="1891">
        <f>IF(Calc!AW76=0,0,IF($D$2="$ M",Calc!CG76/1000,Calc!CG76))</f>
        <v>0</v>
      </c>
      <c r="S78" s="2192">
        <f>IF($D$2="$ K",Calc!N76,Calc!N76/1000)</f>
        <v>0</v>
      </c>
      <c r="T78" s="1891">
        <f>IF(Calc!AX76=0,0,IF($D$2="$ M",Calc!CH76/1000,Calc!CH76))</f>
        <v>0</v>
      </c>
      <c r="U78" s="2192">
        <f>IF($D$2="$ K",Calc!O76,Calc!O76/1000)</f>
        <v>0</v>
      </c>
      <c r="V78" s="1891">
        <f>IF(Calc!AY76=0,0,IF($D$2="$ M",Calc!CI76/1000,Calc!CI76))</f>
        <v>0</v>
      </c>
      <c r="W78" s="2192">
        <f>IF($D$2="$ K",Calc!P76,Calc!P76/1000)</f>
        <v>0</v>
      </c>
      <c r="X78" s="1891">
        <f>IF(Calc!AZ76=0,0,IF($D$2="$ M",Calc!CJ76/1000,Calc!CJ76))</f>
        <v>0</v>
      </c>
      <c r="Y78" s="2192">
        <f>IF($D$2="$ K",Calc!Q76,Calc!Q76/1000)</f>
        <v>0</v>
      </c>
      <c r="Z78" s="1891">
        <f>IF(Calc!BA76=0,0,IF($D$2="$ M",Calc!CK76/1000,Calc!CK76))</f>
        <v>0</v>
      </c>
      <c r="AA78" s="2192">
        <f>IF($D$2="$ K",Calc!R76,Calc!R76/1000)</f>
        <v>0</v>
      </c>
      <c r="AB78" s="1891">
        <f>IF(Calc!BB76=0,0,IF($D$2="$ M",Calc!CL76/1000,Calc!CL76))</f>
        <v>0</v>
      </c>
      <c r="AC78" s="2192">
        <f>IF($D$2="$ K",Calc!S76,Calc!S76/1000)</f>
        <v>0</v>
      </c>
      <c r="AD78" s="1891">
        <f>IF(Calc!BC76=0,0,IF($D$2="$ M",Calc!CM76/1000,Calc!CM76))</f>
        <v>0</v>
      </c>
      <c r="AE78" s="2192">
        <f>IF($D$2="$ K",Calc!T76,Calc!T76/1000)</f>
        <v>0</v>
      </c>
      <c r="AF78" s="1891">
        <f>IF(Calc!BD76=0,0,IF($D$2="$ M",Calc!CN76/1000,Calc!CN76))</f>
        <v>0</v>
      </c>
      <c r="AG78" s="2192">
        <f>IF($D$2="$ K",Calc!U76,Calc!U76/1000)</f>
        <v>0</v>
      </c>
      <c r="AH78" s="1891">
        <f>IF(Calc!BE76=0,0,IF($D$2="$ M",Calc!CO76/1000,Calc!CO76))</f>
        <v>0</v>
      </c>
      <c r="AI78" s="2192">
        <f>IF($D$2="$ K",Calc!V76,Calc!V76/1000)</f>
        <v>0</v>
      </c>
      <c r="AJ78" s="1891">
        <f>IF(Calc!BF76=0,0,IF($D$2="$ M",Calc!CP76/1000,Calc!CP76))</f>
        <v>0</v>
      </c>
      <c r="AK78" s="2192">
        <f>IF($D$2="$ K",Calc!W76,Calc!W76/1000)</f>
        <v>0</v>
      </c>
      <c r="AL78" s="1891">
        <f>IF(Calc!BG76=0,0,IF($D$2="$ M",Calc!CQ76/1000,Calc!CQ76))</f>
        <v>0</v>
      </c>
      <c r="AM78" s="2192">
        <f>IF($D$2="$ K",Calc!X76,Calc!X76/1000)</f>
        <v>0</v>
      </c>
      <c r="AN78" s="1891">
        <f>IF(Calc!BH76=0,0,IF($D$2="$ M",Calc!CR76/1000,Calc!CR76))</f>
        <v>0</v>
      </c>
      <c r="AO78" s="2192">
        <f>IF($D$2="$ K",Calc!Y76,Calc!Y76/1000)</f>
        <v>0</v>
      </c>
      <c r="AP78" s="1891">
        <f>IF(Calc!BJ76=0,0,IF($D$2="$ M",Calc!CS76/1000,Calc!CS76))</f>
        <v>0</v>
      </c>
      <c r="AQ78" s="2192">
        <f>IF($D$2="$ K",Calc!Z76,Calc!Z76/1000)</f>
        <v>0</v>
      </c>
      <c r="AR78" s="1891">
        <f>IF(Calc!BL76=0,0,IF($D$2="$ M",Calc!CT76/1000,Calc!CT76))</f>
        <v>0</v>
      </c>
      <c r="AS78" s="2192">
        <f>IF($D$2="$ K",Calc!AA76,Calc!AA76/1000)</f>
        <v>0</v>
      </c>
      <c r="AT78" s="1891">
        <f>IF(Calc!BN76=0,0,IF($D$2="$ M",Calc!CU76/1000,Calc!CU76))</f>
        <v>0</v>
      </c>
      <c r="AU78" s="2192">
        <f>IF($D$2="$ K",Calc!AB76,Calc!AB76/1000)</f>
        <v>0</v>
      </c>
      <c r="AV78" s="1891">
        <f>IF(Calc!BP76=0,0,IF($D$2="$ M",Calc!CV76/1000,Calc!CV76))</f>
        <v>0</v>
      </c>
      <c r="AW78" s="2192">
        <f>IF($D$2="$ K",Calc!AC76,Calc!AC76/1000)</f>
        <v>0</v>
      </c>
      <c r="AX78" s="1891">
        <f>IF(Calc!BR76=0,0,IF($D$2="$ M",Calc!CW76/1000,Calc!CW76))</f>
        <v>0</v>
      </c>
      <c r="AY78" s="2192">
        <f>IF($D$2="$ K",Calc!AD76,Calc!AD76/1000)</f>
        <v>0</v>
      </c>
      <c r="AZ78" s="1891">
        <f>IF(Calc!BT76=0,0,IF($D$2="$ M",Calc!CX76/1000,Calc!CX76))</f>
        <v>0</v>
      </c>
      <c r="BA78" s="2192">
        <f>IF($D$2="$ K",Calc!AE76,Calc!AE76/1000)</f>
        <v>0</v>
      </c>
      <c r="BB78" s="1891">
        <f>IF(Calc!BV76=0,0,IF($D$2="$ M",Calc!CY76/1000,Calc!CY76))</f>
        <v>0</v>
      </c>
      <c r="BC78" s="2192">
        <f>IF($D$2="$ K",Calc!AF76,Calc!AF76/1000)</f>
        <v>0</v>
      </c>
      <c r="BD78" s="1891">
        <f>IF(Calc!BX76=0,0,IF($D$2="$ M",Calc!CZ76/1000,Calc!CZ76))</f>
        <v>0</v>
      </c>
      <c r="BE78" s="2192">
        <f>IF($D$2="$ K",Calc!AG76,Calc!AG76/1000)</f>
        <v>0</v>
      </c>
      <c r="BF78" s="1891">
        <f>IF(Calc!BZ76=0,0,IF($D$2="$ M",Calc!DA76/1000,Calc!DA76))</f>
        <v>0</v>
      </c>
      <c r="BG78" s="2192">
        <f>IF($D$2="$ K",Calc!AH76,Calc!AH76/1000)</f>
        <v>0</v>
      </c>
      <c r="BH78" s="1891">
        <f>IF(Calc!CB76=0,0,IF($D$2="$ M",Calc!DB76/1000,Calc!DB76))</f>
        <v>0</v>
      </c>
      <c r="BI78" s="2192">
        <f>IF($D$2="$ K",Calc!AI76,Calc!AI76/1000)</f>
        <v>0</v>
      </c>
      <c r="BJ78" s="1891">
        <f>IF(Calc!BS76=0,0,IF($D$2="$ M",Calc!DC76/1000,Calc!DC76))</f>
        <v>0</v>
      </c>
      <c r="BK78" s="2192">
        <f>IF($D$2="$ K",Calc!AJ76,Calc!AJ76/1000)</f>
        <v>0</v>
      </c>
      <c r="BL78" s="2193"/>
      <c r="BM78" s="1897">
        <f>IF(Calc!BT76=0,0,IF($D$2="$ M",Calc!DD76/1000,Calc!DD76))</f>
        <v>0</v>
      </c>
      <c r="BN78" s="2189"/>
      <c r="BO78" s="1070"/>
      <c r="BP78" s="2194">
        <f>IF($D$2="$ K",Calc!AM76,Calc!AM76/1000)</f>
        <v>0</v>
      </c>
      <c r="BQ78" s="2260"/>
      <c r="BR78" s="2260"/>
      <c r="BS78" s="2265"/>
    </row>
    <row r="79" spans="1:71" s="2266" customFormat="1" hidden="1" outlineLevel="1" x14ac:dyDescent="0.3">
      <c r="A79" s="2260"/>
      <c r="B79" s="2197" t="str">
        <f t="shared" si="19"/>
        <v xml:space="preserve">   Add: Pull Through</v>
      </c>
      <c r="C79" s="1099"/>
      <c r="D79" s="2190"/>
      <c r="E79" s="2191">
        <f>IF($D$2="$ K",Calc!G77,Calc!G77/1000)</f>
        <v>0</v>
      </c>
      <c r="F79" s="1891">
        <f>IF(Calc!AQ77=0,0,IF($D$2="$ M",Calc!CA77/1000,Calc!CA77))</f>
        <v>0</v>
      </c>
      <c r="G79" s="2192">
        <f>IF($D$2="$ K",Calc!H77,Calc!H77/1000)</f>
        <v>0</v>
      </c>
      <c r="H79" s="1891">
        <f>IF(Calc!AR77=0,0,IF($D$2="$ M",Calc!CB77/1000,Calc!CB77))</f>
        <v>0</v>
      </c>
      <c r="I79" s="2192">
        <f>IF($D$2="$ K",Calc!I77,Calc!I77/1000)</f>
        <v>0</v>
      </c>
      <c r="J79" s="1891">
        <f>IF(Calc!AS77=0,0,IF($D$2="$ M",Calc!CC77/1000,Calc!CC77))</f>
        <v>0</v>
      </c>
      <c r="K79" s="2192">
        <f>IF($D$2="$ K",Calc!J77,Calc!J77/1000)</f>
        <v>0</v>
      </c>
      <c r="L79" s="1891">
        <f>IF(Calc!AT77=0,0,IF($D$2="$ M",Calc!CD77/1000,Calc!CD77))</f>
        <v>0</v>
      </c>
      <c r="M79" s="2192">
        <f>IF($D$2="$ K",Calc!K77,Calc!K77/1000)</f>
        <v>0</v>
      </c>
      <c r="N79" s="1891">
        <f>IF(Calc!AU77=0,0,IF($D$2="$ M",Calc!CE77/1000,Calc!CE77))</f>
        <v>0</v>
      </c>
      <c r="O79" s="2192">
        <f>IF($D$2="$ K",Calc!L77,Calc!L77/1000)</f>
        <v>0</v>
      </c>
      <c r="P79" s="1891">
        <f>IF(Calc!AV77=0,0,IF($D$2="$ M",Calc!CF77/1000,Calc!CF77))</f>
        <v>0</v>
      </c>
      <c r="Q79" s="2192">
        <f>IF($D$2="$ K",Calc!M77,Calc!M77/1000)</f>
        <v>0</v>
      </c>
      <c r="R79" s="1891">
        <f>IF(Calc!AW77=0,0,IF($D$2="$ M",Calc!CG77/1000,Calc!CG77))</f>
        <v>0</v>
      </c>
      <c r="S79" s="2192">
        <f>IF($D$2="$ K",Calc!N77,Calc!N77/1000)</f>
        <v>0</v>
      </c>
      <c r="T79" s="1891">
        <f>IF(Calc!AX77=0,0,IF($D$2="$ M",Calc!CH77/1000,Calc!CH77))</f>
        <v>0</v>
      </c>
      <c r="U79" s="2192">
        <f>IF($D$2="$ K",Calc!O77,Calc!O77/1000)</f>
        <v>0</v>
      </c>
      <c r="V79" s="1891">
        <f>IF(Calc!AY77=0,0,IF($D$2="$ M",Calc!CI77/1000,Calc!CI77))</f>
        <v>0</v>
      </c>
      <c r="W79" s="2192">
        <f>IF($D$2="$ K",Calc!P77,Calc!P77/1000)</f>
        <v>0</v>
      </c>
      <c r="X79" s="1891">
        <f>IF(Calc!AZ77=0,0,IF($D$2="$ M",Calc!CJ77/1000,Calc!CJ77))</f>
        <v>0</v>
      </c>
      <c r="Y79" s="2192">
        <f>IF($D$2="$ K",Calc!Q77,Calc!Q77/1000)</f>
        <v>0</v>
      </c>
      <c r="Z79" s="1891">
        <f>IF(Calc!BA77=0,0,IF($D$2="$ M",Calc!CK77/1000,Calc!CK77))</f>
        <v>0</v>
      </c>
      <c r="AA79" s="2192">
        <f>IF($D$2="$ K",Calc!R77,Calc!R77/1000)</f>
        <v>0</v>
      </c>
      <c r="AB79" s="1891">
        <f>IF(Calc!BB77=0,0,IF($D$2="$ M",Calc!CL77/1000,Calc!CL77))</f>
        <v>0</v>
      </c>
      <c r="AC79" s="2192">
        <f>IF($D$2="$ K",Calc!S77,Calc!S77/1000)</f>
        <v>0</v>
      </c>
      <c r="AD79" s="1891">
        <f>IF(Calc!BC77=0,0,IF($D$2="$ M",Calc!CM77/1000,Calc!CM77))</f>
        <v>0</v>
      </c>
      <c r="AE79" s="2192">
        <f>IF($D$2="$ K",Calc!T77,Calc!T77/1000)</f>
        <v>0</v>
      </c>
      <c r="AF79" s="1891">
        <f>IF(Calc!BD77=0,0,IF($D$2="$ M",Calc!CN77/1000,Calc!CN77))</f>
        <v>0</v>
      </c>
      <c r="AG79" s="2192">
        <f>IF($D$2="$ K",Calc!U77,Calc!U77/1000)</f>
        <v>0</v>
      </c>
      <c r="AH79" s="1891">
        <f>IF(Calc!BE77=0,0,IF($D$2="$ M",Calc!CO77/1000,Calc!CO77))</f>
        <v>0</v>
      </c>
      <c r="AI79" s="2192">
        <f>IF($D$2="$ K",Calc!V77,Calc!V77/1000)</f>
        <v>0</v>
      </c>
      <c r="AJ79" s="1891">
        <f>IF(Calc!BF77=0,0,IF($D$2="$ M",Calc!CP77/1000,Calc!CP77))</f>
        <v>0</v>
      </c>
      <c r="AK79" s="2192">
        <f>IF($D$2="$ K",Calc!W77,Calc!W77/1000)</f>
        <v>0</v>
      </c>
      <c r="AL79" s="1891">
        <f>IF(Calc!BG77=0,0,IF($D$2="$ M",Calc!CQ77/1000,Calc!CQ77))</f>
        <v>0</v>
      </c>
      <c r="AM79" s="2192">
        <f>IF($D$2="$ K",Calc!X77,Calc!X77/1000)</f>
        <v>0</v>
      </c>
      <c r="AN79" s="1891">
        <f>IF(Calc!BH77=0,0,IF($D$2="$ M",Calc!CR77/1000,Calc!CR77))</f>
        <v>0</v>
      </c>
      <c r="AO79" s="2192">
        <f>IF($D$2="$ K",Calc!Y77,Calc!Y77/1000)</f>
        <v>0</v>
      </c>
      <c r="AP79" s="1891">
        <f>IF(Calc!BJ77=0,0,IF($D$2="$ M",Calc!CS77/1000,Calc!CS77))</f>
        <v>0</v>
      </c>
      <c r="AQ79" s="2192">
        <f>IF($D$2="$ K",Calc!Z77,Calc!Z77/1000)</f>
        <v>0</v>
      </c>
      <c r="AR79" s="1891">
        <f>IF(Calc!BL77=0,0,IF($D$2="$ M",Calc!CT77/1000,Calc!CT77))</f>
        <v>0</v>
      </c>
      <c r="AS79" s="2192">
        <f>IF($D$2="$ K",Calc!AA77,Calc!AA77/1000)</f>
        <v>0</v>
      </c>
      <c r="AT79" s="1891">
        <f>IF(Calc!BN77=0,0,IF($D$2="$ M",Calc!CU77/1000,Calc!CU77))</f>
        <v>0</v>
      </c>
      <c r="AU79" s="2192">
        <f>IF($D$2="$ K",Calc!AB77,Calc!AB77/1000)</f>
        <v>0</v>
      </c>
      <c r="AV79" s="1891">
        <f>IF(Calc!BP77=0,0,IF($D$2="$ M",Calc!CV77/1000,Calc!CV77))</f>
        <v>0</v>
      </c>
      <c r="AW79" s="2192">
        <f>IF($D$2="$ K",Calc!AC77,Calc!AC77/1000)</f>
        <v>0</v>
      </c>
      <c r="AX79" s="1891">
        <f>IF(Calc!BR77=0,0,IF($D$2="$ M",Calc!CW77/1000,Calc!CW77))</f>
        <v>0</v>
      </c>
      <c r="AY79" s="2192">
        <f>IF($D$2="$ K",Calc!AD77,Calc!AD77/1000)</f>
        <v>0</v>
      </c>
      <c r="AZ79" s="1891">
        <f>IF(Calc!BT77=0,0,IF($D$2="$ M",Calc!CX77/1000,Calc!CX77))</f>
        <v>0</v>
      </c>
      <c r="BA79" s="2192">
        <f>IF($D$2="$ K",Calc!AE77,Calc!AE77/1000)</f>
        <v>0</v>
      </c>
      <c r="BB79" s="1891">
        <f>IF(Calc!BV77=0,0,IF($D$2="$ M",Calc!CY77/1000,Calc!CY77))</f>
        <v>0</v>
      </c>
      <c r="BC79" s="2192">
        <f>IF($D$2="$ K",Calc!AF77,Calc!AF77/1000)</f>
        <v>0</v>
      </c>
      <c r="BD79" s="1891">
        <f>IF(Calc!BX77=0,0,IF($D$2="$ M",Calc!CZ77/1000,Calc!CZ77))</f>
        <v>0</v>
      </c>
      <c r="BE79" s="2192">
        <f>IF($D$2="$ K",Calc!AG77,Calc!AG77/1000)</f>
        <v>0</v>
      </c>
      <c r="BF79" s="1891">
        <f>IF(Calc!BZ77=0,0,IF($D$2="$ M",Calc!DA77/1000,Calc!DA77))</f>
        <v>0</v>
      </c>
      <c r="BG79" s="2192">
        <f>IF($D$2="$ K",Calc!AH77,Calc!AH77/1000)</f>
        <v>0</v>
      </c>
      <c r="BH79" s="1891">
        <f>IF(Calc!CB77=0,0,IF($D$2="$ M",Calc!DB77/1000,Calc!DB77))</f>
        <v>0</v>
      </c>
      <c r="BI79" s="2192">
        <f>IF($D$2="$ K",Calc!AI77,Calc!AI77/1000)</f>
        <v>0</v>
      </c>
      <c r="BJ79" s="1891">
        <f>IF(Calc!BS77=0,0,IF($D$2="$ M",Calc!DC77/1000,Calc!DC77))</f>
        <v>0</v>
      </c>
      <c r="BK79" s="2192">
        <f>IF($D$2="$ K",Calc!AJ77,Calc!AJ77/1000)</f>
        <v>0</v>
      </c>
      <c r="BL79" s="2193"/>
      <c r="BM79" s="1897">
        <f>IF(Calc!BT77=0,0,IF($D$2="$ M",Calc!DD77/1000,Calc!DD77))</f>
        <v>0</v>
      </c>
      <c r="BN79" s="2189"/>
      <c r="BO79" s="1070"/>
      <c r="BP79" s="2194">
        <f>IF($D$2="$ K",Calc!AM77,Calc!AM77/1000)</f>
        <v>0</v>
      </c>
      <c r="BQ79" s="2260"/>
      <c r="BR79" s="2260"/>
      <c r="BS79" s="2265"/>
    </row>
    <row r="80" spans="1:71" s="2266" customFormat="1" hidden="1" outlineLevel="1" x14ac:dyDescent="0.3">
      <c r="A80" s="2260"/>
      <c r="B80" s="1463" t="str">
        <f t="shared" si="19"/>
        <v xml:space="preserve">   Add: Loss Avoidance</v>
      </c>
      <c r="C80" s="1099"/>
      <c r="D80" s="2190"/>
      <c r="E80" s="2191">
        <f>IF($D$2="$ K",Calc!G78,Calc!G78/1000)</f>
        <v>0</v>
      </c>
      <c r="F80" s="1891">
        <f>IF(Calc!AQ78=0,0,IF($D$2="$ M",Calc!CA78/1000,Calc!CA78))</f>
        <v>0</v>
      </c>
      <c r="G80" s="2192">
        <f>IF($D$2="$ K",Calc!H78,Calc!H78/1000)</f>
        <v>0</v>
      </c>
      <c r="H80" s="1891">
        <f>IF(Calc!AR78=0,0,IF($D$2="$ M",Calc!CB78/1000,Calc!CB78))</f>
        <v>0</v>
      </c>
      <c r="I80" s="2192">
        <f>IF($D$2="$ K",Calc!I78,Calc!I78/1000)</f>
        <v>0</v>
      </c>
      <c r="J80" s="1891">
        <f>IF(Calc!AS78=0,0,IF($D$2="$ M",Calc!CC78/1000,Calc!CC78))</f>
        <v>0</v>
      </c>
      <c r="K80" s="2192">
        <f>IF($D$2="$ K",Calc!J78,Calc!J78/1000)</f>
        <v>0</v>
      </c>
      <c r="L80" s="1891">
        <f>IF(Calc!AT78=0,0,IF($D$2="$ M",Calc!CD78/1000,Calc!CD78))</f>
        <v>0</v>
      </c>
      <c r="M80" s="2192">
        <f>IF($D$2="$ K",Calc!K78,Calc!K78/1000)</f>
        <v>0</v>
      </c>
      <c r="N80" s="1891">
        <f>IF(Calc!AU78=0,0,IF($D$2="$ M",Calc!CE78/1000,Calc!CE78))</f>
        <v>0</v>
      </c>
      <c r="O80" s="2192">
        <f>IF($D$2="$ K",Calc!L78,Calc!L78/1000)</f>
        <v>0</v>
      </c>
      <c r="P80" s="1891">
        <f>IF(Calc!AV78=0,0,IF($D$2="$ M",Calc!CF78/1000,Calc!CF78))</f>
        <v>0</v>
      </c>
      <c r="Q80" s="2192">
        <f>IF($D$2="$ K",Calc!M78,Calc!M78/1000)</f>
        <v>0</v>
      </c>
      <c r="R80" s="1891">
        <f>IF(Calc!AW78=0,0,IF($D$2="$ M",Calc!CG78/1000,Calc!CG78))</f>
        <v>0</v>
      </c>
      <c r="S80" s="2192">
        <f>IF($D$2="$ K",Calc!N78,Calc!N78/1000)</f>
        <v>0</v>
      </c>
      <c r="T80" s="1891">
        <f>IF(Calc!AX78=0,0,IF($D$2="$ M",Calc!CH78/1000,Calc!CH78))</f>
        <v>0</v>
      </c>
      <c r="U80" s="2192">
        <f>IF($D$2="$ K",Calc!O78,Calc!O78/1000)</f>
        <v>0</v>
      </c>
      <c r="V80" s="1891">
        <f>IF(Calc!AY78=0,0,IF($D$2="$ M",Calc!CI78/1000,Calc!CI78))</f>
        <v>0</v>
      </c>
      <c r="W80" s="2192">
        <f>IF($D$2="$ K",Calc!P78,Calc!P78/1000)</f>
        <v>0</v>
      </c>
      <c r="X80" s="1891">
        <f>IF(Calc!AZ78=0,0,IF($D$2="$ M",Calc!CJ78/1000,Calc!CJ78))</f>
        <v>0</v>
      </c>
      <c r="Y80" s="2192">
        <f>IF($D$2="$ K",Calc!Q78,Calc!Q78/1000)</f>
        <v>0</v>
      </c>
      <c r="Z80" s="1891">
        <f>IF(Calc!BA78=0,0,IF($D$2="$ M",Calc!CK78/1000,Calc!CK78))</f>
        <v>0</v>
      </c>
      <c r="AA80" s="2192">
        <f>IF($D$2="$ K",Calc!R78,Calc!R78/1000)</f>
        <v>0</v>
      </c>
      <c r="AB80" s="1891">
        <f>IF(Calc!BB78=0,0,IF($D$2="$ M",Calc!CL78/1000,Calc!CL78))</f>
        <v>0</v>
      </c>
      <c r="AC80" s="2192">
        <f>IF($D$2="$ K",Calc!S78,Calc!S78/1000)</f>
        <v>0</v>
      </c>
      <c r="AD80" s="1891">
        <f>IF(Calc!BC78=0,0,IF($D$2="$ M",Calc!CM78/1000,Calc!CM78))</f>
        <v>0</v>
      </c>
      <c r="AE80" s="2192">
        <f>IF($D$2="$ K",Calc!T78,Calc!T78/1000)</f>
        <v>0</v>
      </c>
      <c r="AF80" s="1891">
        <f>IF(Calc!BD78=0,0,IF($D$2="$ M",Calc!CN78/1000,Calc!CN78))</f>
        <v>0</v>
      </c>
      <c r="AG80" s="2192">
        <f>IF($D$2="$ K",Calc!U78,Calc!U78/1000)</f>
        <v>0</v>
      </c>
      <c r="AH80" s="1891">
        <f>IF(Calc!BE78=0,0,IF($D$2="$ M",Calc!CO78/1000,Calc!CO78))</f>
        <v>0</v>
      </c>
      <c r="AI80" s="2192">
        <f>IF($D$2="$ K",Calc!V78,Calc!V78/1000)</f>
        <v>0</v>
      </c>
      <c r="AJ80" s="1891">
        <f>IF(Calc!BF78=0,0,IF($D$2="$ M",Calc!CP78/1000,Calc!CP78))</f>
        <v>0</v>
      </c>
      <c r="AK80" s="2192">
        <f>IF($D$2="$ K",Calc!W78,Calc!W78/1000)</f>
        <v>0</v>
      </c>
      <c r="AL80" s="1891">
        <f>IF(Calc!BG78=0,0,IF($D$2="$ M",Calc!CQ78/1000,Calc!CQ78))</f>
        <v>0</v>
      </c>
      <c r="AM80" s="2192">
        <f>IF($D$2="$ K",Calc!X78,Calc!X78/1000)</f>
        <v>0</v>
      </c>
      <c r="AN80" s="1891">
        <f>IF(Calc!BH78=0,0,IF($D$2="$ M",Calc!CR78/1000,Calc!CR78))</f>
        <v>0</v>
      </c>
      <c r="AO80" s="2192">
        <f>IF($D$2="$ K",Calc!Y78,Calc!Y78/1000)</f>
        <v>0</v>
      </c>
      <c r="AP80" s="1891">
        <f>IF(Calc!BJ78=0,0,IF($D$2="$ M",Calc!CS78/1000,Calc!CS78))</f>
        <v>0</v>
      </c>
      <c r="AQ80" s="2192">
        <f>IF($D$2="$ K",Calc!Z78,Calc!Z78/1000)</f>
        <v>0</v>
      </c>
      <c r="AR80" s="1891">
        <f>IF(Calc!BL78=0,0,IF($D$2="$ M",Calc!CT78/1000,Calc!CT78))</f>
        <v>0</v>
      </c>
      <c r="AS80" s="2192">
        <f>IF($D$2="$ K",Calc!AA78,Calc!AA78/1000)</f>
        <v>0</v>
      </c>
      <c r="AT80" s="1891">
        <f>IF(Calc!BN78=0,0,IF($D$2="$ M",Calc!CU78/1000,Calc!CU78))</f>
        <v>0</v>
      </c>
      <c r="AU80" s="2192">
        <f>IF($D$2="$ K",Calc!AB78,Calc!AB78/1000)</f>
        <v>0</v>
      </c>
      <c r="AV80" s="1891">
        <f>IF(Calc!BP78=0,0,IF($D$2="$ M",Calc!CV78/1000,Calc!CV78))</f>
        <v>0</v>
      </c>
      <c r="AW80" s="2192">
        <f>IF($D$2="$ K",Calc!AC78,Calc!AC78/1000)</f>
        <v>0</v>
      </c>
      <c r="AX80" s="1891">
        <f>IF(Calc!BR78=0,0,IF($D$2="$ M",Calc!CW78/1000,Calc!CW78))</f>
        <v>0</v>
      </c>
      <c r="AY80" s="2192">
        <f>IF($D$2="$ K",Calc!AD78,Calc!AD78/1000)</f>
        <v>0</v>
      </c>
      <c r="AZ80" s="1891">
        <f>IF(Calc!BT78=0,0,IF($D$2="$ M",Calc!CX78/1000,Calc!CX78))</f>
        <v>0</v>
      </c>
      <c r="BA80" s="2192">
        <f>IF($D$2="$ K",Calc!AE78,Calc!AE78/1000)</f>
        <v>0</v>
      </c>
      <c r="BB80" s="1891">
        <f>IF(Calc!BV78=0,0,IF($D$2="$ M",Calc!CY78/1000,Calc!CY78))</f>
        <v>0</v>
      </c>
      <c r="BC80" s="2192">
        <f>IF($D$2="$ K",Calc!AF78,Calc!AF78/1000)</f>
        <v>0</v>
      </c>
      <c r="BD80" s="1891">
        <f>IF(Calc!BX78=0,0,IF($D$2="$ M",Calc!CZ78/1000,Calc!CZ78))</f>
        <v>0</v>
      </c>
      <c r="BE80" s="2192">
        <f>IF($D$2="$ K",Calc!AG78,Calc!AG78/1000)</f>
        <v>0</v>
      </c>
      <c r="BF80" s="1891">
        <f>IF(Calc!BZ78=0,0,IF($D$2="$ M",Calc!DA78/1000,Calc!DA78))</f>
        <v>0</v>
      </c>
      <c r="BG80" s="2192">
        <f>IF($D$2="$ K",Calc!AH78,Calc!AH78/1000)</f>
        <v>0</v>
      </c>
      <c r="BH80" s="1891">
        <f>IF(Calc!CB78=0,0,IF($D$2="$ M",Calc!DB78/1000,Calc!DB78))</f>
        <v>0</v>
      </c>
      <c r="BI80" s="2192">
        <f>IF($D$2="$ K",Calc!AI78,Calc!AI78/1000)</f>
        <v>0</v>
      </c>
      <c r="BJ80" s="1891">
        <f>IF(Calc!BS78=0,0,IF($D$2="$ M",Calc!DC78/1000,Calc!DC78))</f>
        <v>0</v>
      </c>
      <c r="BK80" s="2192">
        <f>IF($D$2="$ K",Calc!AJ78,Calc!AJ78/1000)</f>
        <v>0</v>
      </c>
      <c r="BL80" s="2193"/>
      <c r="BM80" s="1897">
        <f>IF(Calc!BT78=0,0,IF($D$2="$ M",Calc!DD78/1000,Calc!DD78))</f>
        <v>0</v>
      </c>
      <c r="BN80" s="2189"/>
      <c r="BO80" s="1070"/>
      <c r="BP80" s="2194">
        <f>IF($D$2="$ K",Calc!AM78,Calc!AM78/1000)</f>
        <v>0</v>
      </c>
      <c r="BQ80" s="2260"/>
      <c r="BR80" s="2260"/>
      <c r="BS80" s="2265"/>
    </row>
    <row r="81" spans="1:71" s="2269" customFormat="1" ht="18" hidden="1" outlineLevel="1" x14ac:dyDescent="0.35">
      <c r="A81" s="2267"/>
      <c r="B81" s="2180" t="str">
        <f t="shared" si="19"/>
        <v>Incremental Revenue</v>
      </c>
      <c r="C81" s="2181"/>
      <c r="D81" s="2182"/>
      <c r="E81" s="2183">
        <f>IF($D$2="$ K",Calc!G79,Calc!G79/1000)</f>
        <v>0</v>
      </c>
      <c r="F81" s="2184">
        <f>IF(Calc!AQ79=0,0,IF($D$2="$ M",Calc!CA79/1000,Calc!CA79))</f>
        <v>0</v>
      </c>
      <c r="G81" s="2185">
        <f>IF($D$2="$ K",Calc!H79,Calc!H79/1000)</f>
        <v>0</v>
      </c>
      <c r="H81" s="2184">
        <f>IF(Calc!AR79=0,0,IF($D$2="$ M",Calc!CB79/1000,Calc!CB79))</f>
        <v>0</v>
      </c>
      <c r="I81" s="2185">
        <f>IF($D$2="$ K",Calc!I79,Calc!I79/1000)</f>
        <v>0</v>
      </c>
      <c r="J81" s="2184">
        <f>IF(Calc!AS79=0,0,IF($D$2="$ M",Calc!CC79/1000,Calc!CC79))</f>
        <v>0</v>
      </c>
      <c r="K81" s="2185">
        <f>IF($D$2="$ K",Calc!J79,Calc!J79/1000)</f>
        <v>0</v>
      </c>
      <c r="L81" s="2184">
        <f>IF(Calc!AT79=0,0,IF($D$2="$ M",Calc!CD79/1000,Calc!CD79))</f>
        <v>0</v>
      </c>
      <c r="M81" s="2185">
        <f>IF($D$2="$ K",Calc!K79,Calc!K79/1000)</f>
        <v>0</v>
      </c>
      <c r="N81" s="2184">
        <f>IF(Calc!AU79=0,0,IF($D$2="$ M",Calc!CE79/1000,Calc!CE79))</f>
        <v>0</v>
      </c>
      <c r="O81" s="2185">
        <f>IF($D$2="$ K",Calc!L79,Calc!L79/1000)</f>
        <v>0</v>
      </c>
      <c r="P81" s="2184">
        <f>IF(Calc!AV79=0,0,IF($D$2="$ M",Calc!CF79/1000,Calc!CF79))</f>
        <v>0</v>
      </c>
      <c r="Q81" s="2185">
        <f>IF($D$2="$ K",Calc!M79,Calc!M79/1000)</f>
        <v>0</v>
      </c>
      <c r="R81" s="2184">
        <f>IF(Calc!AW79=0,0,IF($D$2="$ M",Calc!CG79/1000,Calc!CG79))</f>
        <v>0</v>
      </c>
      <c r="S81" s="2185">
        <f>IF($D$2="$ K",Calc!N79,Calc!N79/1000)</f>
        <v>0</v>
      </c>
      <c r="T81" s="2184">
        <f>IF(Calc!AX79=0,0,IF($D$2="$ M",Calc!CH79/1000,Calc!CH79))</f>
        <v>0</v>
      </c>
      <c r="U81" s="2185">
        <f>IF($D$2="$ K",Calc!O79,Calc!O79/1000)</f>
        <v>0</v>
      </c>
      <c r="V81" s="2184">
        <f>IF(Calc!AY79=0,0,IF($D$2="$ M",Calc!CI79/1000,Calc!CI79))</f>
        <v>0</v>
      </c>
      <c r="W81" s="2185">
        <f>IF($D$2="$ K",Calc!P79,Calc!P79/1000)</f>
        <v>0</v>
      </c>
      <c r="X81" s="2184">
        <f>IF(Calc!AZ79=0,0,IF($D$2="$ M",Calc!CJ79/1000,Calc!CJ79))</f>
        <v>0</v>
      </c>
      <c r="Y81" s="2185">
        <f>IF($D$2="$ K",Calc!Q79,Calc!Q79/1000)</f>
        <v>0</v>
      </c>
      <c r="Z81" s="2184">
        <f>IF(Calc!BA79=0,0,IF($D$2="$ M",Calc!CK79/1000,Calc!CK79))</f>
        <v>0</v>
      </c>
      <c r="AA81" s="2185">
        <f>IF($D$2="$ K",Calc!R79,Calc!R79/1000)</f>
        <v>0</v>
      </c>
      <c r="AB81" s="2184">
        <f>IF(Calc!BB79=0,0,IF($D$2="$ M",Calc!CL79/1000,Calc!CL79))</f>
        <v>0</v>
      </c>
      <c r="AC81" s="2185">
        <f>IF($D$2="$ K",Calc!S79,Calc!S79/1000)</f>
        <v>0</v>
      </c>
      <c r="AD81" s="2184">
        <f>IF(Calc!BC79=0,0,IF($D$2="$ M",Calc!CM79/1000,Calc!CM79))</f>
        <v>0</v>
      </c>
      <c r="AE81" s="2185">
        <f>IF($D$2="$ K",Calc!T79,Calc!T79/1000)</f>
        <v>0</v>
      </c>
      <c r="AF81" s="2184">
        <f>IF(Calc!BD79=0,0,IF($D$2="$ M",Calc!CN79/1000,Calc!CN79))</f>
        <v>0</v>
      </c>
      <c r="AG81" s="2185">
        <f>IF($D$2="$ K",Calc!U79,Calc!U79/1000)</f>
        <v>0</v>
      </c>
      <c r="AH81" s="2184">
        <f>IF(Calc!BE79=0,0,IF($D$2="$ M",Calc!CO79/1000,Calc!CO79))</f>
        <v>0</v>
      </c>
      <c r="AI81" s="2185">
        <f>IF($D$2="$ K",Calc!V79,Calc!V79/1000)</f>
        <v>0</v>
      </c>
      <c r="AJ81" s="2184">
        <f>IF(Calc!BF79=0,0,IF($D$2="$ M",Calc!CP79/1000,Calc!CP79))</f>
        <v>0</v>
      </c>
      <c r="AK81" s="2185">
        <f>IF($D$2="$ K",Calc!W79,Calc!W79/1000)</f>
        <v>0</v>
      </c>
      <c r="AL81" s="2184">
        <f>IF(Calc!BG79=0,0,IF($D$2="$ M",Calc!CQ79/1000,Calc!CQ79))</f>
        <v>0</v>
      </c>
      <c r="AM81" s="2185">
        <f>IF($D$2="$ K",Calc!X79,Calc!X79/1000)</f>
        <v>0</v>
      </c>
      <c r="AN81" s="2184">
        <f>IF(Calc!BH79=0,0,IF($D$2="$ M",Calc!CR79/1000,Calc!CR79))</f>
        <v>0</v>
      </c>
      <c r="AO81" s="2185">
        <f>IF($D$2="$ K",Calc!Y79,Calc!Y79/1000)</f>
        <v>0</v>
      </c>
      <c r="AP81" s="2184">
        <f>IF(Calc!BJ79=0,0,IF($D$2="$ M",Calc!CS79/1000,Calc!CS79))</f>
        <v>0</v>
      </c>
      <c r="AQ81" s="2185">
        <f>IF($D$2="$ K",Calc!Z79,Calc!Z79/1000)</f>
        <v>0</v>
      </c>
      <c r="AR81" s="2184">
        <f>IF(Calc!BL79=0,0,IF($D$2="$ M",Calc!CT79/1000,Calc!CT79))</f>
        <v>0</v>
      </c>
      <c r="AS81" s="2185">
        <f>IF($D$2="$ K",Calc!AA79,Calc!AA79/1000)</f>
        <v>0</v>
      </c>
      <c r="AT81" s="2184">
        <f>IF(Calc!BN79=0,0,IF($D$2="$ M",Calc!CU79/1000,Calc!CU79))</f>
        <v>0</v>
      </c>
      <c r="AU81" s="2185">
        <f>IF($D$2="$ K",Calc!AB79,Calc!AB79/1000)</f>
        <v>0</v>
      </c>
      <c r="AV81" s="2184">
        <f>IF(Calc!BP79=0,0,IF($D$2="$ M",Calc!CV79/1000,Calc!CV79))</f>
        <v>0</v>
      </c>
      <c r="AW81" s="2185">
        <f>IF($D$2="$ K",Calc!AC79,Calc!AC79/1000)</f>
        <v>0</v>
      </c>
      <c r="AX81" s="2184">
        <f>IF(Calc!BR79=0,0,IF($D$2="$ M",Calc!CW79/1000,Calc!CW79))</f>
        <v>0</v>
      </c>
      <c r="AY81" s="2185">
        <f>IF($D$2="$ K",Calc!AD79,Calc!AD79/1000)</f>
        <v>0</v>
      </c>
      <c r="AZ81" s="2184">
        <f>IF(Calc!BT79=0,0,IF($D$2="$ M",Calc!CX79/1000,Calc!CX79))</f>
        <v>0</v>
      </c>
      <c r="BA81" s="2185">
        <f>IF($D$2="$ K",Calc!AE79,Calc!AE79/1000)</f>
        <v>0</v>
      </c>
      <c r="BB81" s="2184">
        <f>IF(Calc!BV79=0,0,IF($D$2="$ M",Calc!CY79/1000,Calc!CY79))</f>
        <v>0</v>
      </c>
      <c r="BC81" s="2185">
        <f>IF($D$2="$ K",Calc!AF79,Calc!AF79/1000)</f>
        <v>0</v>
      </c>
      <c r="BD81" s="2184">
        <f>IF(Calc!BX79=0,0,IF($D$2="$ M",Calc!CZ79/1000,Calc!CZ79))</f>
        <v>0</v>
      </c>
      <c r="BE81" s="2185">
        <f>IF($D$2="$ K",Calc!AG79,Calc!AG79/1000)</f>
        <v>0</v>
      </c>
      <c r="BF81" s="2184">
        <f>IF(Calc!BZ79=0,0,IF($D$2="$ M",Calc!DA79/1000,Calc!DA79))</f>
        <v>0</v>
      </c>
      <c r="BG81" s="2185">
        <f>IF($D$2="$ K",Calc!AH79,Calc!AH79/1000)</f>
        <v>0</v>
      </c>
      <c r="BH81" s="2184">
        <f>IF(Calc!CB79=0,0,IF($D$2="$ M",Calc!DB79/1000,Calc!DB79))</f>
        <v>0</v>
      </c>
      <c r="BI81" s="2185">
        <f>IF($D$2="$ K",Calc!AI79,Calc!AI79/1000)</f>
        <v>0</v>
      </c>
      <c r="BJ81" s="2184">
        <f>IF(Calc!BS79=0,0,IF($D$2="$ M",Calc!DC79/1000,Calc!DC79))</f>
        <v>0</v>
      </c>
      <c r="BK81" s="2185">
        <f>IF($D$2="$ K",Calc!AJ79,Calc!AJ79/1000)</f>
        <v>0</v>
      </c>
      <c r="BL81" s="2186"/>
      <c r="BM81" s="2187">
        <f>IF(Calc!BT79=0,0,IF($D$2="$ M",Calc!DD79/1000,Calc!DD79))</f>
        <v>0</v>
      </c>
      <c r="BN81" s="1260"/>
      <c r="BO81" s="1260"/>
      <c r="BP81" s="2188">
        <f>IF($D$2="$ K",Calc!AM79,Calc!AM79/1000)</f>
        <v>0</v>
      </c>
      <c r="BQ81" s="2267"/>
      <c r="BR81" s="2267"/>
      <c r="BS81" s="2268"/>
    </row>
    <row r="82" spans="1:71" s="2266" customFormat="1" hidden="1" outlineLevel="1" x14ac:dyDescent="0.3">
      <c r="A82" s="2260"/>
      <c r="B82" s="2197" t="str">
        <f t="shared" si="19"/>
        <v>Volume Category Share (%)  - (excl. pull-through)</v>
      </c>
      <c r="C82" s="1115"/>
      <c r="D82" s="2199"/>
      <c r="E82" s="2200" t="str">
        <f>IF(Calc!G80=0,"",Calc!G80)</f>
        <v/>
      </c>
      <c r="F82" s="2201" t="str">
        <f>IF(Calc!AQ80=0,"",Calc!CA80)</f>
        <v/>
      </c>
      <c r="G82" s="2202" t="str">
        <f>IF(Calc!H80=0,"",Calc!H80)</f>
        <v/>
      </c>
      <c r="H82" s="2201" t="str">
        <f>IF(Calc!AR80=0,"",Calc!CB80)</f>
        <v/>
      </c>
      <c r="I82" s="2202" t="str">
        <f>IF(Calc!I80=0,"",Calc!I80)</f>
        <v/>
      </c>
      <c r="J82" s="2201" t="str">
        <f>IF(Calc!AS80=0,"",Calc!CC80)</f>
        <v/>
      </c>
      <c r="K82" s="2202" t="str">
        <f>IF(Calc!J80=0,"",Calc!J80)</f>
        <v/>
      </c>
      <c r="L82" s="2201" t="str">
        <f>IF(Calc!AT80=0,"",Calc!CD80)</f>
        <v/>
      </c>
      <c r="M82" s="2202" t="str">
        <f>IF(Calc!K80=0,"",Calc!K80)</f>
        <v/>
      </c>
      <c r="N82" s="2201" t="str">
        <f>IF(Calc!AU80=0,"",Calc!CE80)</f>
        <v/>
      </c>
      <c r="O82" s="2202" t="str">
        <f>IF(Calc!L80=0,"",Calc!L80)</f>
        <v/>
      </c>
      <c r="P82" s="2201" t="str">
        <f>IF(Calc!AV80=0,"",Calc!CF80)</f>
        <v/>
      </c>
      <c r="Q82" s="2202" t="str">
        <f>IF(Calc!M80=0,"",Calc!M80)</f>
        <v/>
      </c>
      <c r="R82" s="2201" t="str">
        <f>IF(Calc!AW80=0,"",Calc!CG80)</f>
        <v/>
      </c>
      <c r="S82" s="2202" t="str">
        <f>IF(Calc!N80=0,"",Calc!N80)</f>
        <v/>
      </c>
      <c r="T82" s="2201" t="str">
        <f>IF(Calc!AX80=0,"",Calc!CH80)</f>
        <v/>
      </c>
      <c r="U82" s="2202" t="str">
        <f>IF(Calc!O80=0,"",Calc!O80)</f>
        <v/>
      </c>
      <c r="V82" s="2201" t="str">
        <f>IF(Calc!AY80=0,"",Calc!CI80)</f>
        <v/>
      </c>
      <c r="W82" s="2202" t="str">
        <f>IF(Calc!P80=0,"",Calc!P80)</f>
        <v/>
      </c>
      <c r="X82" s="2201" t="str">
        <f>IF(Calc!AZ80=0,"",Calc!CJ80)</f>
        <v/>
      </c>
      <c r="Y82" s="2202" t="str">
        <f>IF(Calc!Q80=0,"",Calc!Q80)</f>
        <v/>
      </c>
      <c r="Z82" s="2201" t="str">
        <f>IF(Calc!BA80=0,"",Calc!CK80)</f>
        <v/>
      </c>
      <c r="AA82" s="2202" t="str">
        <f>IF(Calc!R80=0,"",Calc!R80)</f>
        <v/>
      </c>
      <c r="AB82" s="2201" t="str">
        <f>IF(Calc!BB80=0,"",Calc!CL80)</f>
        <v/>
      </c>
      <c r="AC82" s="2202" t="str">
        <f>IF(Calc!S80=0,"",Calc!S80)</f>
        <v/>
      </c>
      <c r="AD82" s="2201" t="str">
        <f>IF(Calc!BC80=0,"",Calc!CM80)</f>
        <v/>
      </c>
      <c r="AE82" s="2202" t="str">
        <f>IF(Calc!T80=0,"",Calc!T80)</f>
        <v/>
      </c>
      <c r="AF82" s="2201" t="str">
        <f>IF(Calc!BD80=0,"",Calc!CN80)</f>
        <v/>
      </c>
      <c r="AG82" s="2202" t="str">
        <f>IF(Calc!U80=0,"",Calc!U80)</f>
        <v/>
      </c>
      <c r="AH82" s="2201" t="str">
        <f>IF(Calc!BE80=0,"",Calc!CO80)</f>
        <v/>
      </c>
      <c r="AI82" s="2202" t="str">
        <f>IF(Calc!V80=0,"",Calc!V80)</f>
        <v/>
      </c>
      <c r="AJ82" s="2201" t="str">
        <f>IF(Calc!BF80=0,"",Calc!CP80)</f>
        <v/>
      </c>
      <c r="AK82" s="2202" t="str">
        <f>IF(Calc!W80=0,"",Calc!W80)</f>
        <v/>
      </c>
      <c r="AL82" s="2201" t="str">
        <f>IF(Calc!BG80=0,"",Calc!CQ80)</f>
        <v/>
      </c>
      <c r="AM82" s="2202" t="str">
        <f>IF(Calc!X80=0,"",Calc!X80)</f>
        <v/>
      </c>
      <c r="AN82" s="2201" t="str">
        <f>IF(Calc!BH80=0,"",Calc!CR80)</f>
        <v/>
      </c>
      <c r="AO82" s="2202" t="str">
        <f>IF(Calc!Y80=0,"",Calc!Y80)</f>
        <v/>
      </c>
      <c r="AP82" s="2201" t="str">
        <f>IF(Calc!BJ80=0,"",Calc!CS80)</f>
        <v/>
      </c>
      <c r="AQ82" s="2202" t="str">
        <f>IF(Calc!Z80=0,"",Calc!Z80)</f>
        <v/>
      </c>
      <c r="AR82" s="2201" t="str">
        <f>IF(Calc!BL80=0,"",Calc!CT80)</f>
        <v/>
      </c>
      <c r="AS82" s="2202" t="str">
        <f>IF(Calc!AA80=0,"",Calc!AA80)</f>
        <v/>
      </c>
      <c r="AT82" s="2201" t="str">
        <f>IF(Calc!BN80=0,"",Calc!CU80)</f>
        <v/>
      </c>
      <c r="AU82" s="2202" t="str">
        <f>IF(Calc!AB80=0,"",Calc!AB80)</f>
        <v/>
      </c>
      <c r="AV82" s="2201" t="str">
        <f>IF(Calc!BP80=0,"",Calc!CV80)</f>
        <v/>
      </c>
      <c r="AW82" s="2202" t="str">
        <f>IF(Calc!AC80=0,"",Calc!AC80)</f>
        <v/>
      </c>
      <c r="AX82" s="2201" t="str">
        <f>IF(Calc!BR80=0,"",Calc!CW80)</f>
        <v/>
      </c>
      <c r="AY82" s="2202" t="str">
        <f>IF(Calc!AD80=0,"",Calc!AD80)</f>
        <v/>
      </c>
      <c r="AZ82" s="2201" t="str">
        <f>IF(Calc!BT80=0,"",Calc!CX80)</f>
        <v/>
      </c>
      <c r="BA82" s="2202" t="str">
        <f>IF(Calc!AE80=0,"",Calc!AE80)</f>
        <v/>
      </c>
      <c r="BB82" s="2201" t="str">
        <f>IF(Calc!BV80=0,"",Calc!CY80)</f>
        <v/>
      </c>
      <c r="BC82" s="2202" t="str">
        <f>IF(Calc!AF80=0,"",Calc!AF80)</f>
        <v/>
      </c>
      <c r="BD82" s="2201" t="str">
        <f>IF(Calc!BX80=0,"",Calc!CZ80)</f>
        <v/>
      </c>
      <c r="BE82" s="2202" t="str">
        <f>IF(Calc!AG80=0,"",Calc!AG80)</f>
        <v/>
      </c>
      <c r="BF82" s="2201" t="str">
        <f>IF(Calc!BZ80=0,"",Calc!DA80)</f>
        <v/>
      </c>
      <c r="BG82" s="2202" t="str">
        <f>IF(Calc!AH80=0,"",Calc!AH80)</f>
        <v/>
      </c>
      <c r="BH82" s="2201" t="str">
        <f>IF(Calc!CB80=0,"",Calc!DB80)</f>
        <v/>
      </c>
      <c r="BI82" s="2202" t="str">
        <f>IF(Calc!AI80=0,"",Calc!AI80)</f>
        <v/>
      </c>
      <c r="BJ82" s="2201" t="str">
        <f>IF(Calc!BS80=0,"",Calc!DC80)</f>
        <v/>
      </c>
      <c r="BK82" s="2203"/>
      <c r="BL82" s="2163"/>
      <c r="BM82" s="2204"/>
      <c r="BN82" s="2198"/>
      <c r="BO82" s="1070"/>
      <c r="BP82" s="2205"/>
      <c r="BQ82" s="2260"/>
      <c r="BR82" s="2260"/>
      <c r="BS82" s="2265"/>
    </row>
    <row r="83" spans="1:71" s="2266" customFormat="1" hidden="1" outlineLevel="1" x14ac:dyDescent="0.3">
      <c r="A83" s="2260"/>
      <c r="B83" s="1463" t="str">
        <f t="shared" si="19"/>
        <v>$ Category Share (%)  - (excl. pull-through)</v>
      </c>
      <c r="C83" s="2207"/>
      <c r="D83" s="2208"/>
      <c r="E83" s="2209" t="str">
        <f>IF(Calc!G81=0,"",Calc!G81)</f>
        <v/>
      </c>
      <c r="F83" s="2210" t="str">
        <f>IF(Calc!AQ81=0,"",Calc!CA81)</f>
        <v/>
      </c>
      <c r="G83" s="2211" t="str">
        <f>IF(Calc!H81=0,"",Calc!H81)</f>
        <v/>
      </c>
      <c r="H83" s="2210" t="str">
        <f>IF(Calc!AR81=0,"",Calc!CB81)</f>
        <v/>
      </c>
      <c r="I83" s="2211" t="str">
        <f>IF(Calc!I81=0,"",Calc!I81)</f>
        <v/>
      </c>
      <c r="J83" s="2210" t="str">
        <f>IF(Calc!AS81=0,"",Calc!CC81)</f>
        <v/>
      </c>
      <c r="K83" s="2211" t="str">
        <f>IF(Calc!J81=0,"",Calc!J81)</f>
        <v/>
      </c>
      <c r="L83" s="2210" t="str">
        <f>IF(Calc!AT81=0,"",Calc!CD81)</f>
        <v/>
      </c>
      <c r="M83" s="2211" t="str">
        <f>IF(Calc!K81=0,"",Calc!K81)</f>
        <v/>
      </c>
      <c r="N83" s="2210" t="str">
        <f>IF(Calc!AU81=0,"",Calc!CE81)</f>
        <v/>
      </c>
      <c r="O83" s="2211" t="str">
        <f>IF(Calc!L81=0,"",Calc!L81)</f>
        <v/>
      </c>
      <c r="P83" s="2210" t="str">
        <f>IF(Calc!AV81=0,"",Calc!CF81)</f>
        <v/>
      </c>
      <c r="Q83" s="2211" t="str">
        <f>IF(Calc!M81=0,"",Calc!M81)</f>
        <v/>
      </c>
      <c r="R83" s="2210" t="str">
        <f>IF(Calc!AW81=0,"",Calc!CG81)</f>
        <v/>
      </c>
      <c r="S83" s="2211" t="str">
        <f>IF(Calc!N81=0,"",Calc!N81)</f>
        <v/>
      </c>
      <c r="T83" s="2210" t="str">
        <f>IF(Calc!AX81=0,"",Calc!CH81)</f>
        <v/>
      </c>
      <c r="U83" s="2211" t="str">
        <f>IF(Calc!O81=0,"",Calc!O81)</f>
        <v/>
      </c>
      <c r="V83" s="2210" t="str">
        <f>IF(Calc!AY81=0,"",Calc!CI81)</f>
        <v/>
      </c>
      <c r="W83" s="2211" t="str">
        <f>IF(Calc!P81=0,"",Calc!P81)</f>
        <v/>
      </c>
      <c r="X83" s="2210" t="str">
        <f>IF(Calc!AZ81=0,"",Calc!CJ81)</f>
        <v/>
      </c>
      <c r="Y83" s="2211" t="str">
        <f>IF(Calc!Q81=0,"",Calc!Q81)</f>
        <v/>
      </c>
      <c r="Z83" s="2210" t="str">
        <f>IF(Calc!BA81=0,"",Calc!CK81)</f>
        <v/>
      </c>
      <c r="AA83" s="2211" t="str">
        <f>IF(Calc!R81=0,"",Calc!R81)</f>
        <v/>
      </c>
      <c r="AB83" s="2210" t="str">
        <f>IF(Calc!BB81=0,"",Calc!CL81)</f>
        <v/>
      </c>
      <c r="AC83" s="2211" t="str">
        <f>IF(Calc!S81=0,"",Calc!S81)</f>
        <v/>
      </c>
      <c r="AD83" s="2210" t="str">
        <f>IF(Calc!BC81=0,"",Calc!CM81)</f>
        <v/>
      </c>
      <c r="AE83" s="2211" t="str">
        <f>IF(Calc!T81=0,"",Calc!T81)</f>
        <v/>
      </c>
      <c r="AF83" s="2210" t="str">
        <f>IF(Calc!BD81=0,"",Calc!CN81)</f>
        <v/>
      </c>
      <c r="AG83" s="2211" t="str">
        <f>IF(Calc!U81=0,"",Calc!U81)</f>
        <v/>
      </c>
      <c r="AH83" s="2210" t="str">
        <f>IF(Calc!BE81=0,"",Calc!CO81)</f>
        <v/>
      </c>
      <c r="AI83" s="2211" t="str">
        <f>IF(Calc!V81=0,"",Calc!V81)</f>
        <v/>
      </c>
      <c r="AJ83" s="2210" t="str">
        <f>IF(Calc!BF81=0,"",Calc!CP81)</f>
        <v/>
      </c>
      <c r="AK83" s="2211" t="str">
        <f>IF(Calc!W81=0,"",Calc!W81)</f>
        <v/>
      </c>
      <c r="AL83" s="2210" t="str">
        <f>IF(Calc!BG81=0,"",Calc!CQ81)</f>
        <v/>
      </c>
      <c r="AM83" s="2211" t="str">
        <f>IF(Calc!X81=0,"",Calc!X81)</f>
        <v/>
      </c>
      <c r="AN83" s="2210" t="str">
        <f>IF(Calc!BH81=0,"",Calc!CR81)</f>
        <v/>
      </c>
      <c r="AO83" s="2211" t="str">
        <f>IF(Calc!Y81=0,"",Calc!Y81)</f>
        <v/>
      </c>
      <c r="AP83" s="2210" t="str">
        <f>IF(Calc!BJ81=0,"",Calc!CS81)</f>
        <v/>
      </c>
      <c r="AQ83" s="2211" t="str">
        <f>IF(Calc!Z81=0,"",Calc!Z81)</f>
        <v/>
      </c>
      <c r="AR83" s="2210" t="str">
        <f>IF(Calc!BL81=0,"",Calc!CT81)</f>
        <v/>
      </c>
      <c r="AS83" s="2211" t="str">
        <f>IF(Calc!AA81=0,"",Calc!AA81)</f>
        <v/>
      </c>
      <c r="AT83" s="2210" t="str">
        <f>IF(Calc!BN81=0,"",Calc!CU81)</f>
        <v/>
      </c>
      <c r="AU83" s="2211" t="str">
        <f>IF(Calc!AB81=0,"",Calc!AB81)</f>
        <v/>
      </c>
      <c r="AV83" s="2210" t="str">
        <f>IF(Calc!BP81=0,"",Calc!CV81)</f>
        <v/>
      </c>
      <c r="AW83" s="2211" t="str">
        <f>IF(Calc!AC81=0,"",Calc!AC81)</f>
        <v/>
      </c>
      <c r="AX83" s="2210" t="str">
        <f>IF(Calc!BR81=0,"",Calc!CW81)</f>
        <v/>
      </c>
      <c r="AY83" s="2211" t="str">
        <f>IF(Calc!AD81=0,"",Calc!AD81)</f>
        <v/>
      </c>
      <c r="AZ83" s="2210" t="str">
        <f>IF(Calc!BT81=0,"",Calc!CX81)</f>
        <v/>
      </c>
      <c r="BA83" s="2211" t="str">
        <f>IF(Calc!AE81=0,"",Calc!AE81)</f>
        <v/>
      </c>
      <c r="BB83" s="2210" t="str">
        <f>IF(Calc!BV81=0,"",Calc!CY81)</f>
        <v/>
      </c>
      <c r="BC83" s="2211" t="str">
        <f>IF(Calc!AF81=0,"",Calc!AF81)</f>
        <v/>
      </c>
      <c r="BD83" s="2210" t="str">
        <f>IF(Calc!BX81=0,"",Calc!CZ81)</f>
        <v/>
      </c>
      <c r="BE83" s="2211" t="str">
        <f>IF(Calc!AG81=0,"",Calc!AG81)</f>
        <v/>
      </c>
      <c r="BF83" s="2210" t="str">
        <f>IF(Calc!BZ81=0,"",Calc!DA81)</f>
        <v/>
      </c>
      <c r="BG83" s="2211" t="str">
        <f>IF(Calc!AH81=0,"",Calc!AH81)</f>
        <v/>
      </c>
      <c r="BH83" s="2210" t="str">
        <f>IF(Calc!CB81=0,"",Calc!DB81)</f>
        <v/>
      </c>
      <c r="BI83" s="2211" t="str">
        <f>IF(Calc!AI81=0,"",Calc!AI81)</f>
        <v/>
      </c>
      <c r="BJ83" s="2210" t="str">
        <f>IF(Calc!BS81=0,"",Calc!DC81)</f>
        <v/>
      </c>
      <c r="BK83" s="2212"/>
      <c r="BL83" s="2172"/>
      <c r="BM83" s="2213"/>
      <c r="BN83" s="2198"/>
      <c r="BO83" s="1070"/>
      <c r="BP83" s="2214"/>
      <c r="BQ83" s="2260"/>
      <c r="BR83" s="2260"/>
      <c r="BS83" s="2265"/>
    </row>
    <row r="84" spans="1:71" s="2269" customFormat="1" ht="18" hidden="1" outlineLevel="1" x14ac:dyDescent="0.35">
      <c r="A84" s="2267"/>
      <c r="B84" s="2180" t="str">
        <f t="shared" si="19"/>
        <v>True Incr Rev (exc Loss Avoid)</v>
      </c>
      <c r="C84" s="2181"/>
      <c r="D84" s="2182"/>
      <c r="E84" s="2183">
        <f>IF($D$2="$ K",Calc!G82,Calc!G82/1000)</f>
        <v>0</v>
      </c>
      <c r="F84" s="2184">
        <f>IF(Calc!AQ82=0,0,IF($D$2="$ M",Calc!CA82/1000,Calc!CA82))</f>
        <v>0</v>
      </c>
      <c r="G84" s="2185">
        <f>IF($D$2="$ K",Calc!H82,Calc!H82/1000)</f>
        <v>0</v>
      </c>
      <c r="H84" s="2184">
        <f>IF(Calc!AR82=0,0,IF($D$2="$ M",Calc!CB82/1000,Calc!CB82))</f>
        <v>0</v>
      </c>
      <c r="I84" s="2185">
        <f>IF($D$2="$ K",Calc!I82,Calc!I82/1000)</f>
        <v>0</v>
      </c>
      <c r="J84" s="2184">
        <f>IF(Calc!AS82=0,0,IF($D$2="$ M",Calc!CC82/1000,Calc!CC82))</f>
        <v>0</v>
      </c>
      <c r="K84" s="2185">
        <f>IF($D$2="$ K",Calc!J82,Calc!J82/1000)</f>
        <v>0</v>
      </c>
      <c r="L84" s="2184">
        <f>IF(Calc!AT82=0,0,IF($D$2="$ M",Calc!CD82/1000,Calc!CD82))</f>
        <v>0</v>
      </c>
      <c r="M84" s="2185">
        <f>IF($D$2="$ K",Calc!K82,Calc!K82/1000)</f>
        <v>0</v>
      </c>
      <c r="N84" s="2184">
        <f>IF(Calc!AU82=0,0,IF($D$2="$ M",Calc!CE82/1000,Calc!CE82))</f>
        <v>0</v>
      </c>
      <c r="O84" s="2185">
        <f>IF($D$2="$ K",Calc!L82,Calc!L82/1000)</f>
        <v>0</v>
      </c>
      <c r="P84" s="2184">
        <f>IF(Calc!AV82=0,0,IF($D$2="$ M",Calc!CF82/1000,Calc!CF82))</f>
        <v>0</v>
      </c>
      <c r="Q84" s="2185">
        <f>IF($D$2="$ K",Calc!M82,Calc!M82/1000)</f>
        <v>0</v>
      </c>
      <c r="R84" s="2184">
        <f>IF(Calc!AW82=0,0,IF($D$2="$ M",Calc!CG82/1000,Calc!CG82))</f>
        <v>0</v>
      </c>
      <c r="S84" s="2185">
        <f>IF($D$2="$ K",Calc!N82,Calc!N82/1000)</f>
        <v>0</v>
      </c>
      <c r="T84" s="2184">
        <f>IF(Calc!AX82=0,0,IF($D$2="$ M",Calc!CH82/1000,Calc!CH82))</f>
        <v>0</v>
      </c>
      <c r="U84" s="2185">
        <f>IF($D$2="$ K",Calc!O82,Calc!O82/1000)</f>
        <v>0</v>
      </c>
      <c r="V84" s="2184">
        <f>IF(Calc!AY82=0,0,IF($D$2="$ M",Calc!CI82/1000,Calc!CI82))</f>
        <v>0</v>
      </c>
      <c r="W84" s="2185">
        <f>IF($D$2="$ K",Calc!P82,Calc!P82/1000)</f>
        <v>0</v>
      </c>
      <c r="X84" s="2184">
        <f>IF(Calc!AZ82=0,0,IF($D$2="$ M",Calc!CJ82/1000,Calc!CJ82))</f>
        <v>0</v>
      </c>
      <c r="Y84" s="2185">
        <f>IF($D$2="$ K",Calc!Q82,Calc!Q82/1000)</f>
        <v>0</v>
      </c>
      <c r="Z84" s="2184">
        <f>IF(Calc!BA82=0,0,IF($D$2="$ M",Calc!CK82/1000,Calc!CK82))</f>
        <v>0</v>
      </c>
      <c r="AA84" s="2185">
        <f>IF($D$2="$ K",Calc!R82,Calc!R82/1000)</f>
        <v>0</v>
      </c>
      <c r="AB84" s="2184">
        <f>IF(Calc!BB82=0,0,IF($D$2="$ M",Calc!CL82/1000,Calc!CL82))</f>
        <v>0</v>
      </c>
      <c r="AC84" s="2185">
        <f>IF($D$2="$ K",Calc!S82,Calc!S82/1000)</f>
        <v>0</v>
      </c>
      <c r="AD84" s="2184">
        <f>IF(Calc!BC82=0,0,IF($D$2="$ M",Calc!CM82/1000,Calc!CM82))</f>
        <v>0</v>
      </c>
      <c r="AE84" s="2185">
        <f>IF($D$2="$ K",Calc!T82,Calc!T82/1000)</f>
        <v>0</v>
      </c>
      <c r="AF84" s="2184">
        <f>IF(Calc!BD82=0,0,IF($D$2="$ M",Calc!CN82/1000,Calc!CN82))</f>
        <v>0</v>
      </c>
      <c r="AG84" s="2185">
        <f>IF($D$2="$ K",Calc!U82,Calc!U82/1000)</f>
        <v>0</v>
      </c>
      <c r="AH84" s="2184">
        <f>IF(Calc!BE82=0,0,IF($D$2="$ M",Calc!CO82/1000,Calc!CO82))</f>
        <v>0</v>
      </c>
      <c r="AI84" s="2185">
        <f>IF($D$2="$ K",Calc!V82,Calc!V82/1000)</f>
        <v>0</v>
      </c>
      <c r="AJ84" s="2184">
        <f>IF(Calc!BF82=0,0,IF($D$2="$ M",Calc!CP82/1000,Calc!CP82))</f>
        <v>0</v>
      </c>
      <c r="AK84" s="2185">
        <f>IF($D$2="$ K",Calc!W82,Calc!W82/1000)</f>
        <v>0</v>
      </c>
      <c r="AL84" s="2184">
        <f>IF(Calc!BG82=0,0,IF($D$2="$ M",Calc!CQ82/1000,Calc!CQ82))</f>
        <v>0</v>
      </c>
      <c r="AM84" s="2185">
        <f>IF($D$2="$ K",Calc!X82,Calc!X82/1000)</f>
        <v>0</v>
      </c>
      <c r="AN84" s="2184">
        <f>IF(Calc!BH82=0,0,IF($D$2="$ M",Calc!CR82/1000,Calc!CR82))</f>
        <v>0</v>
      </c>
      <c r="AO84" s="2185">
        <f>IF($D$2="$ K",Calc!Y82,Calc!Y82/1000)</f>
        <v>0</v>
      </c>
      <c r="AP84" s="2184">
        <f>IF(Calc!BJ82=0,0,IF($D$2="$ M",Calc!CS82/1000,Calc!CS82))</f>
        <v>0</v>
      </c>
      <c r="AQ84" s="2185">
        <f>IF($D$2="$ K",Calc!Z82,Calc!Z82/1000)</f>
        <v>0</v>
      </c>
      <c r="AR84" s="2184">
        <f>IF(Calc!BL82=0,0,IF($D$2="$ M",Calc!CT82/1000,Calc!CT82))</f>
        <v>0</v>
      </c>
      <c r="AS84" s="2185">
        <f>IF($D$2="$ K",Calc!AA82,Calc!AA82/1000)</f>
        <v>0</v>
      </c>
      <c r="AT84" s="2184">
        <f>IF(Calc!BN82=0,0,IF($D$2="$ M",Calc!CU82/1000,Calc!CU82))</f>
        <v>0</v>
      </c>
      <c r="AU84" s="2185">
        <f>IF($D$2="$ K",Calc!AB82,Calc!AB82/1000)</f>
        <v>0</v>
      </c>
      <c r="AV84" s="2184">
        <f>IF(Calc!BP82=0,0,IF($D$2="$ M",Calc!CV82/1000,Calc!CV82))</f>
        <v>0</v>
      </c>
      <c r="AW84" s="2185">
        <f>IF($D$2="$ K",Calc!AC82,Calc!AC82/1000)</f>
        <v>0</v>
      </c>
      <c r="AX84" s="2184">
        <f>IF(Calc!BR82=0,0,IF($D$2="$ M",Calc!CW82/1000,Calc!CW82))</f>
        <v>0</v>
      </c>
      <c r="AY84" s="2185">
        <f>IF($D$2="$ K",Calc!AD82,Calc!AD82/1000)</f>
        <v>0</v>
      </c>
      <c r="AZ84" s="2184">
        <f>IF(Calc!BT82=0,0,IF($D$2="$ M",Calc!CX82/1000,Calc!CX82))</f>
        <v>0</v>
      </c>
      <c r="BA84" s="2185">
        <f>IF($D$2="$ K",Calc!AE82,Calc!AE82/1000)</f>
        <v>0</v>
      </c>
      <c r="BB84" s="2184">
        <f>IF(Calc!BV82=0,0,IF($D$2="$ M",Calc!CY82/1000,Calc!CY82))</f>
        <v>0</v>
      </c>
      <c r="BC84" s="2185">
        <f>IF($D$2="$ K",Calc!AF82,Calc!AF82/1000)</f>
        <v>0</v>
      </c>
      <c r="BD84" s="2184">
        <f>IF(Calc!BX82=0,0,IF($D$2="$ M",Calc!CZ82/1000,Calc!CZ82))</f>
        <v>0</v>
      </c>
      <c r="BE84" s="2185">
        <f>IF($D$2="$ K",Calc!AG82,Calc!AG82/1000)</f>
        <v>0</v>
      </c>
      <c r="BF84" s="2184">
        <f>IF(Calc!BZ82=0,0,IF($D$2="$ M",Calc!DA82/1000,Calc!DA82))</f>
        <v>0</v>
      </c>
      <c r="BG84" s="2185">
        <f>IF($D$2="$ K",Calc!AH82,Calc!AH82/1000)</f>
        <v>0</v>
      </c>
      <c r="BH84" s="2184">
        <f>IF(Calc!CB82=0,0,IF($D$2="$ M",Calc!DB82/1000,Calc!DB82))</f>
        <v>0</v>
      </c>
      <c r="BI84" s="2185">
        <f>IF($D$2="$ K",Calc!AI82,Calc!AI82/1000)</f>
        <v>0</v>
      </c>
      <c r="BJ84" s="2184">
        <f>IF(Calc!BS82=0,0,IF($D$2="$ M",Calc!DC82/1000,Calc!DC82))</f>
        <v>0</v>
      </c>
      <c r="BK84" s="2185">
        <f>IF($D$2="$ K",Calc!AJ82,Calc!AJ82/1000)</f>
        <v>0</v>
      </c>
      <c r="BL84" s="2186"/>
      <c r="BM84" s="2187">
        <f>IF(Calc!BT82=0,0,IF($D$2="$ M",Calc!DD82/1000,Calc!DD82))</f>
        <v>0</v>
      </c>
      <c r="BN84" s="1260"/>
      <c r="BO84" s="1260"/>
      <c r="BP84" s="2188">
        <f>IF($D$2="$ K",Calc!AM82,Calc!AM82/1000)</f>
        <v>0</v>
      </c>
      <c r="BQ84" s="2267"/>
      <c r="BR84" s="2267"/>
      <c r="BS84" s="2268"/>
    </row>
    <row r="85" spans="1:71" s="2269" customFormat="1" ht="15.6" hidden="1" outlineLevel="1" x14ac:dyDescent="0.3">
      <c r="A85" s="2267"/>
      <c r="B85" s="2215" t="str">
        <f t="shared" si="19"/>
        <v>ASR Rev (Hyperion)</v>
      </c>
      <c r="C85" s="2216"/>
      <c r="D85" s="2217"/>
      <c r="E85" s="2218">
        <f>IF($D$2="$ K",Calc!G83,Calc!G83/1000)</f>
        <v>0</v>
      </c>
      <c r="F85" s="2219">
        <f>IF(Calc!AQ83=0,0,IF($D$2="$ M",Calc!CA83/1000,Calc!CA83))</f>
        <v>0</v>
      </c>
      <c r="G85" s="2220">
        <f>IF($D$2="$ K",Calc!H83,Calc!H83/1000)</f>
        <v>0</v>
      </c>
      <c r="H85" s="2219">
        <f>IF(Calc!AR83=0,0,IF($D$2="$ M",Calc!CB83/1000,Calc!CB83))</f>
        <v>0</v>
      </c>
      <c r="I85" s="2220">
        <f>IF($D$2="$ K",Calc!I83,Calc!I83/1000)</f>
        <v>0</v>
      </c>
      <c r="J85" s="2219">
        <f>IF(Calc!AS83=0,0,IF($D$2="$ M",Calc!CC83/1000,Calc!CC83))</f>
        <v>0</v>
      </c>
      <c r="K85" s="2220">
        <f>IF($D$2="$ K",Calc!J83,Calc!J83/1000)</f>
        <v>0</v>
      </c>
      <c r="L85" s="2219">
        <f>IF(Calc!AT83=0,0,IF($D$2="$ M",Calc!CD83/1000,Calc!CD83))</f>
        <v>0</v>
      </c>
      <c r="M85" s="2220">
        <f>IF($D$2="$ K",Calc!K83,Calc!K83/1000)</f>
        <v>0</v>
      </c>
      <c r="N85" s="2219">
        <f>IF(Calc!AU83=0,0,IF($D$2="$ M",Calc!CE83/1000,Calc!CE83))</f>
        <v>0</v>
      </c>
      <c r="O85" s="2220">
        <f>IF($D$2="$ K",Calc!L83,Calc!L83/1000)</f>
        <v>0</v>
      </c>
      <c r="P85" s="2219">
        <f>IF(Calc!AV83=0,0,IF($D$2="$ M",Calc!CF83/1000,Calc!CF83))</f>
        <v>0</v>
      </c>
      <c r="Q85" s="2220">
        <f>IF($D$2="$ K",Calc!M83,Calc!M83/1000)</f>
        <v>0</v>
      </c>
      <c r="R85" s="2219">
        <f>IF(Calc!AW83=0,0,IF($D$2="$ M",Calc!CG83/1000,Calc!CG83))</f>
        <v>0</v>
      </c>
      <c r="S85" s="2220">
        <f>IF($D$2="$ K",Calc!N83,Calc!N83/1000)</f>
        <v>0</v>
      </c>
      <c r="T85" s="2219">
        <f>IF(Calc!AX83=0,0,IF($D$2="$ M",Calc!CH83/1000,Calc!CH83))</f>
        <v>0</v>
      </c>
      <c r="U85" s="2220">
        <f>IF($D$2="$ K",Calc!O83,Calc!O83/1000)</f>
        <v>0</v>
      </c>
      <c r="V85" s="2219">
        <f>IF(Calc!AY83=0,0,IF($D$2="$ M",Calc!CI83/1000,Calc!CI83))</f>
        <v>0</v>
      </c>
      <c r="W85" s="2220">
        <f>IF($D$2="$ K",Calc!P83,Calc!P83/1000)</f>
        <v>0</v>
      </c>
      <c r="X85" s="2219">
        <f>IF(Calc!AZ83=0,0,IF($D$2="$ M",Calc!CJ83/1000,Calc!CJ83))</f>
        <v>0</v>
      </c>
      <c r="Y85" s="2220">
        <f>IF($D$2="$ K",Calc!Q83,Calc!Q83/1000)</f>
        <v>0</v>
      </c>
      <c r="Z85" s="2219">
        <f>IF(Calc!BA83=0,0,IF($D$2="$ M",Calc!CK83/1000,Calc!CK83))</f>
        <v>0</v>
      </c>
      <c r="AA85" s="2220">
        <f>IF($D$2="$ K",Calc!R83,Calc!R83/1000)</f>
        <v>0</v>
      </c>
      <c r="AB85" s="2219">
        <f>IF(Calc!BB83=0,0,IF($D$2="$ M",Calc!CL83/1000,Calc!CL83))</f>
        <v>0</v>
      </c>
      <c r="AC85" s="2220">
        <f>IF($D$2="$ K",Calc!S83,Calc!S83/1000)</f>
        <v>0</v>
      </c>
      <c r="AD85" s="2219">
        <f>IF(Calc!BC83=0,0,IF($D$2="$ M",Calc!CM83/1000,Calc!CM83))</f>
        <v>0</v>
      </c>
      <c r="AE85" s="2220">
        <f>IF($D$2="$ K",Calc!T83,Calc!T83/1000)</f>
        <v>0</v>
      </c>
      <c r="AF85" s="2219">
        <f>IF(Calc!BD83=0,0,IF($D$2="$ M",Calc!CN83/1000,Calc!CN83))</f>
        <v>0</v>
      </c>
      <c r="AG85" s="2220">
        <f>IF($D$2="$ K",Calc!U83,Calc!U83/1000)</f>
        <v>0</v>
      </c>
      <c r="AH85" s="2219">
        <f>IF(Calc!BE83=0,0,IF($D$2="$ M",Calc!CO83/1000,Calc!CO83))</f>
        <v>0</v>
      </c>
      <c r="AI85" s="2220">
        <f>IF($D$2="$ K",Calc!V83,Calc!V83/1000)</f>
        <v>0</v>
      </c>
      <c r="AJ85" s="2219">
        <f>IF(Calc!BF83=0,0,IF($D$2="$ M",Calc!CP83/1000,Calc!CP83))</f>
        <v>0</v>
      </c>
      <c r="AK85" s="2220">
        <f>IF($D$2="$ K",Calc!W83,Calc!W83/1000)</f>
        <v>0</v>
      </c>
      <c r="AL85" s="2219">
        <f>IF(Calc!BG83=0,0,IF($D$2="$ M",Calc!CQ83/1000,Calc!CQ83))</f>
        <v>0</v>
      </c>
      <c r="AM85" s="2220">
        <f>IF($D$2="$ K",Calc!X83,Calc!X83/1000)</f>
        <v>0</v>
      </c>
      <c r="AN85" s="2219">
        <f>IF(Calc!BH83=0,0,IF($D$2="$ M",Calc!CR83/1000,Calc!CR83))</f>
        <v>0</v>
      </c>
      <c r="AO85" s="2220">
        <f>IF($D$2="$ K",Calc!Y83,Calc!Y83/1000)</f>
        <v>0</v>
      </c>
      <c r="AP85" s="2219">
        <f>IF(Calc!BJ83=0,0,IF($D$2="$ M",Calc!CS83/1000,Calc!CS83))</f>
        <v>0</v>
      </c>
      <c r="AQ85" s="2220">
        <f>IF($D$2="$ K",Calc!Z83,Calc!Z83/1000)</f>
        <v>0</v>
      </c>
      <c r="AR85" s="2219">
        <f>IF(Calc!BL83=0,0,IF($D$2="$ M",Calc!CT83/1000,Calc!CT83))</f>
        <v>0</v>
      </c>
      <c r="AS85" s="2220">
        <f>IF($D$2="$ K",Calc!AA83,Calc!AA83/1000)</f>
        <v>0</v>
      </c>
      <c r="AT85" s="2219">
        <f>IF(Calc!BN83=0,0,IF($D$2="$ M",Calc!CU83/1000,Calc!CU83))</f>
        <v>0</v>
      </c>
      <c r="AU85" s="2220">
        <f>IF($D$2="$ K",Calc!AB83,Calc!AB83/1000)</f>
        <v>0</v>
      </c>
      <c r="AV85" s="2219">
        <f>IF(Calc!BP83=0,0,IF($D$2="$ M",Calc!CV83/1000,Calc!CV83))</f>
        <v>0</v>
      </c>
      <c r="AW85" s="2220">
        <f>IF($D$2="$ K",Calc!AC83,Calc!AC83/1000)</f>
        <v>0</v>
      </c>
      <c r="AX85" s="2219">
        <f>IF(Calc!BR83=0,0,IF($D$2="$ M",Calc!CW83/1000,Calc!CW83))</f>
        <v>0</v>
      </c>
      <c r="AY85" s="2220">
        <f>IF($D$2="$ K",Calc!AD83,Calc!AD83/1000)</f>
        <v>0</v>
      </c>
      <c r="AZ85" s="2219">
        <f>IF(Calc!BT83=0,0,IF($D$2="$ M",Calc!CX83/1000,Calc!CX83))</f>
        <v>0</v>
      </c>
      <c r="BA85" s="2220">
        <f>IF($D$2="$ K",Calc!AE83,Calc!AE83/1000)</f>
        <v>0</v>
      </c>
      <c r="BB85" s="2219">
        <f>IF(Calc!BV83=0,0,IF($D$2="$ M",Calc!CY83/1000,Calc!CY83))</f>
        <v>0</v>
      </c>
      <c r="BC85" s="2220">
        <f>IF($D$2="$ K",Calc!AF83,Calc!AF83/1000)</f>
        <v>0</v>
      </c>
      <c r="BD85" s="2219">
        <f>IF(Calc!BX83=0,0,IF($D$2="$ M",Calc!CZ83/1000,Calc!CZ83))</f>
        <v>0</v>
      </c>
      <c r="BE85" s="2220">
        <f>IF($D$2="$ K",Calc!AG83,Calc!AG83/1000)</f>
        <v>0</v>
      </c>
      <c r="BF85" s="2219">
        <f>IF(Calc!BZ83=0,0,IF($D$2="$ M",Calc!DA83/1000,Calc!DA83))</f>
        <v>0</v>
      </c>
      <c r="BG85" s="2220">
        <f>IF($D$2="$ K",Calc!AH83,Calc!AH83/1000)</f>
        <v>0</v>
      </c>
      <c r="BH85" s="2219">
        <f>IF(Calc!CB83=0,0,IF($D$2="$ M",Calc!DB83/1000,Calc!DB83))</f>
        <v>0</v>
      </c>
      <c r="BI85" s="2220">
        <f>IF($D$2="$ K",Calc!AI83,Calc!AI83/1000)</f>
        <v>0</v>
      </c>
      <c r="BJ85" s="2219">
        <f>IF(Calc!BS83=0,0,IF($D$2="$ M",Calc!DC83/1000,Calc!DC83))</f>
        <v>0</v>
      </c>
      <c r="BK85" s="2220"/>
      <c r="BL85" s="2221"/>
      <c r="BM85" s="2222">
        <f>IF(Calc!BT83=0,0,IF($D$2="$ M",Calc!DD83/1000,Calc!DD83))</f>
        <v>0</v>
      </c>
      <c r="BN85" s="1260"/>
      <c r="BO85" s="1260"/>
      <c r="BP85" s="2223"/>
      <c r="BQ85" s="2267"/>
      <c r="BR85" s="2267"/>
      <c r="BS85" s="2268"/>
    </row>
    <row r="86" spans="1:71" s="2269" customFormat="1" ht="15.6" hidden="1" outlineLevel="1" x14ac:dyDescent="0.3">
      <c r="A86" s="2267"/>
      <c r="B86" s="2224" t="str">
        <f t="shared" si="19"/>
        <v>New Prod vs ASR Rev</v>
      </c>
      <c r="C86" s="2225"/>
      <c r="D86" s="2226"/>
      <c r="E86" s="2227">
        <f>IF($D$2="$ K",Calc!G84,Calc!G84/1000)</f>
        <v>0</v>
      </c>
      <c r="F86" s="2228">
        <f>IF(Calc!AQ84=0,0,IF($D$2="$ M",Calc!CA84/1000,Calc!CA84))</f>
        <v>0</v>
      </c>
      <c r="G86" s="2229">
        <f>IF($D$2="$ K",Calc!H84,Calc!H84/1000)</f>
        <v>0</v>
      </c>
      <c r="H86" s="2228">
        <f>IF(Calc!AR84=0,0,IF($D$2="$ M",Calc!CB84/1000,Calc!CB84))</f>
        <v>0</v>
      </c>
      <c r="I86" s="2229">
        <f>IF($D$2="$ K",Calc!I84,Calc!I84/1000)</f>
        <v>0</v>
      </c>
      <c r="J86" s="2228">
        <f>IF(Calc!AS84=0,0,IF($D$2="$ M",Calc!CC84/1000,Calc!CC84))</f>
        <v>0</v>
      </c>
      <c r="K86" s="2229">
        <f>IF($D$2="$ K",Calc!J84,Calc!J84/1000)</f>
        <v>0</v>
      </c>
      <c r="L86" s="2228">
        <f>IF(Calc!AT84=0,0,IF($D$2="$ M",Calc!CD84/1000,Calc!CD84))</f>
        <v>0</v>
      </c>
      <c r="M86" s="2229">
        <f>IF($D$2="$ K",Calc!K84,Calc!K84/1000)</f>
        <v>0</v>
      </c>
      <c r="N86" s="2228">
        <f>IF(Calc!AU84=0,0,IF($D$2="$ M",Calc!CE84/1000,Calc!CE84))</f>
        <v>0</v>
      </c>
      <c r="O86" s="2229">
        <f>IF($D$2="$ K",Calc!L84,Calc!L84/1000)</f>
        <v>0</v>
      </c>
      <c r="P86" s="2228">
        <f>IF(Calc!AV84=0,0,IF($D$2="$ M",Calc!CF84/1000,Calc!CF84))</f>
        <v>0</v>
      </c>
      <c r="Q86" s="2229">
        <f>IF($D$2="$ K",Calc!M84,Calc!M84/1000)</f>
        <v>0</v>
      </c>
      <c r="R86" s="2228">
        <f>IF(Calc!AW84=0,0,IF($D$2="$ M",Calc!CG84/1000,Calc!CG84))</f>
        <v>0</v>
      </c>
      <c r="S86" s="2229">
        <f>IF($D$2="$ K",Calc!N84,Calc!N84/1000)</f>
        <v>0</v>
      </c>
      <c r="T86" s="2228">
        <f>IF(Calc!AX84=0,0,IF($D$2="$ M",Calc!CH84/1000,Calc!CH84))</f>
        <v>0</v>
      </c>
      <c r="U86" s="2229">
        <f>IF($D$2="$ K",Calc!O84,Calc!O84/1000)</f>
        <v>0</v>
      </c>
      <c r="V86" s="2228">
        <f>IF(Calc!AY84=0,0,IF($D$2="$ M",Calc!CI84/1000,Calc!CI84))</f>
        <v>0</v>
      </c>
      <c r="W86" s="2229">
        <f>IF($D$2="$ K",Calc!P84,Calc!P84/1000)</f>
        <v>0</v>
      </c>
      <c r="X86" s="2228">
        <f>IF(Calc!AZ84=0,0,IF($D$2="$ M",Calc!CJ84/1000,Calc!CJ84))</f>
        <v>0</v>
      </c>
      <c r="Y86" s="2229">
        <f>IF($D$2="$ K",Calc!Q84,Calc!Q84/1000)</f>
        <v>0</v>
      </c>
      <c r="Z86" s="2228">
        <f>IF(Calc!BA84=0,0,IF($D$2="$ M",Calc!CK84/1000,Calc!CK84))</f>
        <v>0</v>
      </c>
      <c r="AA86" s="2229">
        <f>IF($D$2="$ K",Calc!R84,Calc!R84/1000)</f>
        <v>0</v>
      </c>
      <c r="AB86" s="2228">
        <f>IF(Calc!BB84=0,0,IF($D$2="$ M",Calc!CL84/1000,Calc!CL84))</f>
        <v>0</v>
      </c>
      <c r="AC86" s="2229">
        <f>IF($D$2="$ K",Calc!S84,Calc!S84/1000)</f>
        <v>0</v>
      </c>
      <c r="AD86" s="2228">
        <f>IF(Calc!BC84=0,0,IF($D$2="$ M",Calc!CM84/1000,Calc!CM84))</f>
        <v>0</v>
      </c>
      <c r="AE86" s="2229">
        <f>IF($D$2="$ K",Calc!T84,Calc!T84/1000)</f>
        <v>0</v>
      </c>
      <c r="AF86" s="2228">
        <f>IF(Calc!BD84=0,0,IF($D$2="$ M",Calc!CN84/1000,Calc!CN84))</f>
        <v>0</v>
      </c>
      <c r="AG86" s="2229">
        <f>IF($D$2="$ K",Calc!U84,Calc!U84/1000)</f>
        <v>0</v>
      </c>
      <c r="AH86" s="2228">
        <f>IF(Calc!BE84=0,0,IF($D$2="$ M",Calc!CO84/1000,Calc!CO84))</f>
        <v>0</v>
      </c>
      <c r="AI86" s="2229">
        <f>IF($D$2="$ K",Calc!V84,Calc!V84/1000)</f>
        <v>0</v>
      </c>
      <c r="AJ86" s="2228">
        <f>IF(Calc!BF84=0,0,IF($D$2="$ M",Calc!CP84/1000,Calc!CP84))</f>
        <v>0</v>
      </c>
      <c r="AK86" s="2229">
        <f>IF($D$2="$ K",Calc!W84,Calc!W84/1000)</f>
        <v>0</v>
      </c>
      <c r="AL86" s="2228">
        <f>IF(Calc!BG84=0,0,IF($D$2="$ M",Calc!CQ84/1000,Calc!CQ84))</f>
        <v>0</v>
      </c>
      <c r="AM86" s="2229">
        <f>IF($D$2="$ K",Calc!X84,Calc!X84/1000)</f>
        <v>0</v>
      </c>
      <c r="AN86" s="2228">
        <f>IF(Calc!BH84=0,0,IF($D$2="$ M",Calc!CR84/1000,Calc!CR84))</f>
        <v>0</v>
      </c>
      <c r="AO86" s="2229">
        <f>IF($D$2="$ K",Calc!Y84,Calc!Y84/1000)</f>
        <v>0</v>
      </c>
      <c r="AP86" s="2228">
        <f>IF(Calc!BJ84=0,0,IF($D$2="$ M",Calc!CS84/1000,Calc!CS84))</f>
        <v>0</v>
      </c>
      <c r="AQ86" s="2229">
        <f>IF($D$2="$ K",Calc!Z84,Calc!Z84/1000)</f>
        <v>0</v>
      </c>
      <c r="AR86" s="2228">
        <f>IF(Calc!BL84=0,0,IF($D$2="$ M",Calc!CT84/1000,Calc!CT84))</f>
        <v>0</v>
      </c>
      <c r="AS86" s="2229">
        <f>IF($D$2="$ K",Calc!AA84,Calc!AA84/1000)</f>
        <v>0</v>
      </c>
      <c r="AT86" s="2228">
        <f>IF(Calc!BN84=0,0,IF($D$2="$ M",Calc!CU84/1000,Calc!CU84))</f>
        <v>0</v>
      </c>
      <c r="AU86" s="2229">
        <f>IF($D$2="$ K",Calc!AB84,Calc!AB84/1000)</f>
        <v>0</v>
      </c>
      <c r="AV86" s="2228">
        <f>IF(Calc!BP84=0,0,IF($D$2="$ M",Calc!CV84/1000,Calc!CV84))</f>
        <v>0</v>
      </c>
      <c r="AW86" s="2229">
        <f>IF($D$2="$ K",Calc!AC84,Calc!AC84/1000)</f>
        <v>0</v>
      </c>
      <c r="AX86" s="2228">
        <f>IF(Calc!BR84=0,0,IF($D$2="$ M",Calc!CW84/1000,Calc!CW84))</f>
        <v>0</v>
      </c>
      <c r="AY86" s="2229">
        <f>IF($D$2="$ K",Calc!AD84,Calc!AD84/1000)</f>
        <v>0</v>
      </c>
      <c r="AZ86" s="2228">
        <f>IF(Calc!BT84=0,0,IF($D$2="$ M",Calc!CX84/1000,Calc!CX84))</f>
        <v>0</v>
      </c>
      <c r="BA86" s="2229">
        <f>IF($D$2="$ K",Calc!AE84,Calc!AE84/1000)</f>
        <v>0</v>
      </c>
      <c r="BB86" s="2228">
        <f>IF(Calc!BV84=0,0,IF($D$2="$ M",Calc!CY84/1000,Calc!CY84))</f>
        <v>0</v>
      </c>
      <c r="BC86" s="2229">
        <f>IF($D$2="$ K",Calc!AF84,Calc!AF84/1000)</f>
        <v>0</v>
      </c>
      <c r="BD86" s="2228">
        <f>IF(Calc!BX84=0,0,IF($D$2="$ M",Calc!CZ84/1000,Calc!CZ84))</f>
        <v>0</v>
      </c>
      <c r="BE86" s="2229">
        <f>IF($D$2="$ K",Calc!AG84,Calc!AG84/1000)</f>
        <v>0</v>
      </c>
      <c r="BF86" s="2228">
        <f>IF(Calc!BZ84=0,0,IF($D$2="$ M",Calc!DA84/1000,Calc!DA84))</f>
        <v>0</v>
      </c>
      <c r="BG86" s="2229">
        <f>IF($D$2="$ K",Calc!AH84,Calc!AH84/1000)</f>
        <v>0</v>
      </c>
      <c r="BH86" s="2228">
        <f>IF(Calc!CB84=0,0,IF($D$2="$ M",Calc!DB84/1000,Calc!DB84))</f>
        <v>0</v>
      </c>
      <c r="BI86" s="2229">
        <f>IF($D$2="$ K",Calc!AI84,Calc!AI84/1000)</f>
        <v>0</v>
      </c>
      <c r="BJ86" s="2228">
        <f>IF(Calc!BS84=0,0,IF($D$2="$ M",Calc!DC84/1000,Calc!DC84))</f>
        <v>0</v>
      </c>
      <c r="BK86" s="2229">
        <f>IF($D$2="$ K",Calc!AJ84,Calc!AJ84/1000)</f>
        <v>0</v>
      </c>
      <c r="BL86" s="2230"/>
      <c r="BM86" s="2231">
        <f>IF(Calc!BT84=0,0,IF($D$2="$ M",Calc!DD84/1000,Calc!DD84))</f>
        <v>0</v>
      </c>
      <c r="BN86" s="1260"/>
      <c r="BO86" s="1260"/>
      <c r="BP86" s="2232">
        <f>IF($D$2="$ K",Calc!AM84,Calc!AM84/1000)</f>
        <v>0</v>
      </c>
      <c r="BQ86" s="2267"/>
      <c r="BR86" s="2267"/>
      <c r="BS86" s="2268"/>
    </row>
    <row r="87" spans="1:71" s="2266" customFormat="1" hidden="1" outlineLevel="1" x14ac:dyDescent="0.3">
      <c r="A87" s="2260"/>
      <c r="B87" s="2197" t="str">
        <f t="shared" si="19"/>
        <v>Std Cost w/ Depr ($)</v>
      </c>
      <c r="C87" s="1099"/>
      <c r="D87" s="2233"/>
      <c r="E87" s="2234">
        <f>+Calc!G85</f>
        <v>0</v>
      </c>
      <c r="F87" s="2235">
        <f>IF(Calc!AQ85=0,0,Calc!CA85)</f>
        <v>0</v>
      </c>
      <c r="G87" s="2236">
        <f>+Calc!H85</f>
        <v>0</v>
      </c>
      <c r="H87" s="2235">
        <f>IF(Calc!AR85=0,0,Calc!CB85)</f>
        <v>0</v>
      </c>
      <c r="I87" s="2236">
        <f>+Calc!I85</f>
        <v>0</v>
      </c>
      <c r="J87" s="2235">
        <f>IF(Calc!AS85=0,0,Calc!CC85)</f>
        <v>0</v>
      </c>
      <c r="K87" s="2236">
        <f>+Calc!J85</f>
        <v>0</v>
      </c>
      <c r="L87" s="2235">
        <f>IF(Calc!AT85=0,0,Calc!CD85)</f>
        <v>0</v>
      </c>
      <c r="M87" s="2236">
        <f>+Calc!K85</f>
        <v>0</v>
      </c>
      <c r="N87" s="2235">
        <f>IF(Calc!AU85=0,0,Calc!CE85)</f>
        <v>0</v>
      </c>
      <c r="O87" s="2236">
        <f>+Calc!L85</f>
        <v>0</v>
      </c>
      <c r="P87" s="2235">
        <f>IF(Calc!AV85=0,0,Calc!CF85)</f>
        <v>0</v>
      </c>
      <c r="Q87" s="2236">
        <f>+Calc!M85</f>
        <v>0</v>
      </c>
      <c r="R87" s="2235">
        <f>IF(Calc!AW85=0,0,Calc!CG85)</f>
        <v>0</v>
      </c>
      <c r="S87" s="2236">
        <f>+Calc!N85</f>
        <v>0</v>
      </c>
      <c r="T87" s="2235">
        <f>IF(Calc!AX85=0,0,Calc!CH85)</f>
        <v>0</v>
      </c>
      <c r="U87" s="2236">
        <f>+Calc!O85</f>
        <v>0</v>
      </c>
      <c r="V87" s="2235">
        <f>IF(Calc!AY85=0,0,Calc!CI85)</f>
        <v>0</v>
      </c>
      <c r="W87" s="2236">
        <f>+Calc!P85</f>
        <v>0</v>
      </c>
      <c r="X87" s="2235">
        <f>IF(Calc!AZ85=0,0,Calc!CJ85)</f>
        <v>0</v>
      </c>
      <c r="Y87" s="2236">
        <f>+Calc!Q85</f>
        <v>0</v>
      </c>
      <c r="Z87" s="2235">
        <f>IF(Calc!BA85=0,0,Calc!CK85)</f>
        <v>0</v>
      </c>
      <c r="AA87" s="2236">
        <f>+Calc!R85</f>
        <v>0</v>
      </c>
      <c r="AB87" s="2235">
        <f>IF(Calc!BB85=0,0,Calc!CL85)</f>
        <v>0</v>
      </c>
      <c r="AC87" s="2236">
        <f>+Calc!S85</f>
        <v>0</v>
      </c>
      <c r="AD87" s="2235">
        <f>IF(Calc!BC85=0,0,Calc!CM85)</f>
        <v>0</v>
      </c>
      <c r="AE87" s="2236">
        <f>+Calc!T85</f>
        <v>0</v>
      </c>
      <c r="AF87" s="2235">
        <f>IF(Calc!BD85=0,0,Calc!CN85)</f>
        <v>0</v>
      </c>
      <c r="AG87" s="2236">
        <f>+Calc!U85</f>
        <v>0</v>
      </c>
      <c r="AH87" s="2235">
        <f>IF(Calc!BE85=0,0,Calc!CO85)</f>
        <v>0</v>
      </c>
      <c r="AI87" s="2236">
        <f>+Calc!V85</f>
        <v>0</v>
      </c>
      <c r="AJ87" s="2235">
        <f>IF(Calc!BF85=0,0,Calc!CP85)</f>
        <v>0</v>
      </c>
      <c r="AK87" s="2236">
        <f>+Calc!W85</f>
        <v>0</v>
      </c>
      <c r="AL87" s="2235">
        <f>IF(Calc!BG85=0,0,Calc!CQ85)</f>
        <v>0</v>
      </c>
      <c r="AM87" s="2236">
        <f>+Calc!X85</f>
        <v>0</v>
      </c>
      <c r="AN87" s="2235">
        <f>IF(Calc!BH85=0,0,Calc!CR85)</f>
        <v>0</v>
      </c>
      <c r="AO87" s="2236">
        <f>+Calc!Y85</f>
        <v>0</v>
      </c>
      <c r="AP87" s="2235">
        <f>IF(Calc!BJ85=0,0,Calc!CS85)</f>
        <v>0</v>
      </c>
      <c r="AQ87" s="2236">
        <f>+Calc!Z85</f>
        <v>0</v>
      </c>
      <c r="AR87" s="2235">
        <f>IF(Calc!BL85=0,0,Calc!CT85)</f>
        <v>0</v>
      </c>
      <c r="AS87" s="2236">
        <f>+Calc!AA85</f>
        <v>0</v>
      </c>
      <c r="AT87" s="2235">
        <f>IF(Calc!BN85=0,0,Calc!CU85)</f>
        <v>0</v>
      </c>
      <c r="AU87" s="2236">
        <f>+Calc!AB85</f>
        <v>0</v>
      </c>
      <c r="AV87" s="2235">
        <f>IF(Calc!BP85=0,0,Calc!CV85)</f>
        <v>0</v>
      </c>
      <c r="AW87" s="2236">
        <f>+Calc!AC85</f>
        <v>0</v>
      </c>
      <c r="AX87" s="2235">
        <f>IF(Calc!BR85=0,0,Calc!CW85)</f>
        <v>0</v>
      </c>
      <c r="AY87" s="2236">
        <f>+Calc!AD85</f>
        <v>0</v>
      </c>
      <c r="AZ87" s="2235">
        <f>IF(Calc!BT85=0,0,Calc!CX85)</f>
        <v>0</v>
      </c>
      <c r="BA87" s="2236">
        <f>+Calc!AE85</f>
        <v>0</v>
      </c>
      <c r="BB87" s="2235">
        <f>IF(Calc!BV85=0,0,Calc!CY85)</f>
        <v>0</v>
      </c>
      <c r="BC87" s="2236">
        <f>+Calc!AF85</f>
        <v>0</v>
      </c>
      <c r="BD87" s="2235">
        <f>IF(Calc!BX85=0,0,Calc!CZ85)</f>
        <v>0</v>
      </c>
      <c r="BE87" s="2236">
        <f>+Calc!AG85</f>
        <v>0</v>
      </c>
      <c r="BF87" s="2235">
        <f>IF(Calc!BZ85=0,0,Calc!DA85)</f>
        <v>0</v>
      </c>
      <c r="BG87" s="2236">
        <f>+Calc!AH85</f>
        <v>0</v>
      </c>
      <c r="BH87" s="2235">
        <f>IF(Calc!CB85=0,0,Calc!DB85)</f>
        <v>0</v>
      </c>
      <c r="BI87" s="2236">
        <f>+Calc!AI85</f>
        <v>0</v>
      </c>
      <c r="BJ87" s="2235">
        <f>IF(Calc!BS85=0,0,Calc!DC85)</f>
        <v>0</v>
      </c>
      <c r="BK87" s="2236">
        <f>+Calc!AJ85</f>
        <v>0</v>
      </c>
      <c r="BL87" s="2237"/>
      <c r="BM87" s="2238">
        <f>IF(Calc!BT85=0,0,Calc!DD85)</f>
        <v>0</v>
      </c>
      <c r="BN87" s="2189"/>
      <c r="BO87" s="1070"/>
      <c r="BP87" s="2239"/>
      <c r="BQ87" s="2260"/>
      <c r="BR87" s="2260"/>
      <c r="BS87" s="2265"/>
    </row>
    <row r="88" spans="1:71" s="2266" customFormat="1" hidden="1" outlineLevel="1" x14ac:dyDescent="0.3">
      <c r="A88" s="2260"/>
      <c r="B88" s="2197" t="str">
        <f t="shared" si="19"/>
        <v>Std Cost w/o Depr ($)</v>
      </c>
      <c r="C88" s="1099"/>
      <c r="D88" s="2233"/>
      <c r="E88" s="2234">
        <f>+Calc!G86</f>
        <v>0</v>
      </c>
      <c r="F88" s="2235">
        <f>IF(Calc!AQ86=0,0,Calc!CA86)</f>
        <v>0</v>
      </c>
      <c r="G88" s="2236">
        <f>+Calc!H86</f>
        <v>0</v>
      </c>
      <c r="H88" s="2235">
        <f>IF(Calc!AR86=0,0,Calc!CB86)</f>
        <v>0</v>
      </c>
      <c r="I88" s="2236">
        <f>+Calc!I86</f>
        <v>0</v>
      </c>
      <c r="J88" s="2235">
        <f>IF(Calc!AS86=0,0,Calc!CC86)</f>
        <v>0</v>
      </c>
      <c r="K88" s="2236">
        <f>+Calc!J86</f>
        <v>0</v>
      </c>
      <c r="L88" s="2235">
        <f>IF(Calc!AT86=0,0,Calc!CD86)</f>
        <v>0</v>
      </c>
      <c r="M88" s="2236">
        <f>+Calc!K86</f>
        <v>0</v>
      </c>
      <c r="N88" s="2235">
        <f>IF(Calc!AU86=0,0,Calc!CE86)</f>
        <v>0</v>
      </c>
      <c r="O88" s="2236">
        <f>+Calc!L86</f>
        <v>0</v>
      </c>
      <c r="P88" s="2235">
        <f>IF(Calc!AV86=0,0,Calc!CF86)</f>
        <v>0</v>
      </c>
      <c r="Q88" s="2236">
        <f>+Calc!M86</f>
        <v>0</v>
      </c>
      <c r="R88" s="2235">
        <f>IF(Calc!AW86=0,0,Calc!CG86)</f>
        <v>0</v>
      </c>
      <c r="S88" s="2236">
        <f>+Calc!N86</f>
        <v>0</v>
      </c>
      <c r="T88" s="2235">
        <f>IF(Calc!AX86=0,0,Calc!CH86)</f>
        <v>0</v>
      </c>
      <c r="U88" s="2236">
        <f>+Calc!O86</f>
        <v>0</v>
      </c>
      <c r="V88" s="2235">
        <f>IF(Calc!AY86=0,0,Calc!CI86)</f>
        <v>0</v>
      </c>
      <c r="W88" s="2236">
        <f>+Calc!P86</f>
        <v>0</v>
      </c>
      <c r="X88" s="2235">
        <f>IF(Calc!AZ86=0,0,Calc!CJ86)</f>
        <v>0</v>
      </c>
      <c r="Y88" s="2236">
        <f>+Calc!Q86</f>
        <v>0</v>
      </c>
      <c r="Z88" s="2235">
        <f>IF(Calc!BA86=0,0,Calc!CK86)</f>
        <v>0</v>
      </c>
      <c r="AA88" s="2236">
        <f>+Calc!R86</f>
        <v>0</v>
      </c>
      <c r="AB88" s="2235">
        <f>IF(Calc!BB86=0,0,Calc!CL86)</f>
        <v>0</v>
      </c>
      <c r="AC88" s="2236">
        <f>+Calc!S86</f>
        <v>0</v>
      </c>
      <c r="AD88" s="2235">
        <f>IF(Calc!BC86=0,0,Calc!CM86)</f>
        <v>0</v>
      </c>
      <c r="AE88" s="2236">
        <f>+Calc!T86</f>
        <v>0</v>
      </c>
      <c r="AF88" s="2235">
        <f>IF(Calc!BD86=0,0,Calc!CN86)</f>
        <v>0</v>
      </c>
      <c r="AG88" s="2236">
        <f>+Calc!U86</f>
        <v>0</v>
      </c>
      <c r="AH88" s="2235">
        <f>IF(Calc!BE86=0,0,Calc!CO86)</f>
        <v>0</v>
      </c>
      <c r="AI88" s="2236">
        <f>+Calc!V86</f>
        <v>0</v>
      </c>
      <c r="AJ88" s="2235">
        <f>IF(Calc!BF86=0,0,Calc!CP86)</f>
        <v>0</v>
      </c>
      <c r="AK88" s="2236">
        <f>+Calc!W86</f>
        <v>0</v>
      </c>
      <c r="AL88" s="2235">
        <f>IF(Calc!BG86=0,0,Calc!CQ86)</f>
        <v>0</v>
      </c>
      <c r="AM88" s="2236">
        <f>+Calc!X86</f>
        <v>0</v>
      </c>
      <c r="AN88" s="2235">
        <f>IF(Calc!BH86=0,0,Calc!CR86)</f>
        <v>0</v>
      </c>
      <c r="AO88" s="2236">
        <f>+Calc!Y86</f>
        <v>0</v>
      </c>
      <c r="AP88" s="2235">
        <f>IF(Calc!BJ86=0,0,Calc!CS86)</f>
        <v>0</v>
      </c>
      <c r="AQ88" s="2236">
        <f>+Calc!Z86</f>
        <v>0</v>
      </c>
      <c r="AR88" s="2235">
        <f>IF(Calc!BL86=0,0,Calc!CT86)</f>
        <v>0</v>
      </c>
      <c r="AS88" s="2236">
        <f>+Calc!AA86</f>
        <v>0</v>
      </c>
      <c r="AT88" s="2235">
        <f>IF(Calc!BN86=0,0,Calc!CU86)</f>
        <v>0</v>
      </c>
      <c r="AU88" s="2236">
        <f>+Calc!AB86</f>
        <v>0</v>
      </c>
      <c r="AV88" s="2235">
        <f>IF(Calc!BP86=0,0,Calc!CV86)</f>
        <v>0</v>
      </c>
      <c r="AW88" s="2236">
        <f>+Calc!AC86</f>
        <v>0</v>
      </c>
      <c r="AX88" s="2235">
        <f>IF(Calc!BR86=0,0,Calc!CW86)</f>
        <v>0</v>
      </c>
      <c r="AY88" s="2236">
        <f>+Calc!AD86</f>
        <v>0</v>
      </c>
      <c r="AZ88" s="2235">
        <f>IF(Calc!BT86=0,0,Calc!CX86)</f>
        <v>0</v>
      </c>
      <c r="BA88" s="2236">
        <f>+Calc!AE86</f>
        <v>0</v>
      </c>
      <c r="BB88" s="2235">
        <f>IF(Calc!BV86=0,0,Calc!CY86)</f>
        <v>0</v>
      </c>
      <c r="BC88" s="2236">
        <f>+Calc!AF86</f>
        <v>0</v>
      </c>
      <c r="BD88" s="2235">
        <f>IF(Calc!BX86=0,0,Calc!CZ86)</f>
        <v>0</v>
      </c>
      <c r="BE88" s="2236">
        <f>+Calc!AG86</f>
        <v>0</v>
      </c>
      <c r="BF88" s="2235">
        <f>IF(Calc!BZ86=0,0,Calc!DA86)</f>
        <v>0</v>
      </c>
      <c r="BG88" s="2236">
        <f>+Calc!AH86</f>
        <v>0</v>
      </c>
      <c r="BH88" s="2235">
        <f>IF(Calc!CB86=0,0,Calc!DB86)</f>
        <v>0</v>
      </c>
      <c r="BI88" s="2236">
        <f>+Calc!AI86</f>
        <v>0</v>
      </c>
      <c r="BJ88" s="2235">
        <f>IF(Calc!BS86=0,0,Calc!DC86)</f>
        <v>0</v>
      </c>
      <c r="BK88" s="2236">
        <f>+Calc!AJ86</f>
        <v>0</v>
      </c>
      <c r="BL88" s="2237"/>
      <c r="BM88" s="2238">
        <f>IF(Calc!BT86=0,0,Calc!DD86)</f>
        <v>0</v>
      </c>
      <c r="BN88" s="2189"/>
      <c r="BO88" s="1070"/>
      <c r="BP88" s="2239"/>
      <c r="BQ88" s="2260"/>
      <c r="BR88" s="2260"/>
      <c r="BS88" s="2265"/>
    </row>
    <row r="89" spans="1:71" s="2269" customFormat="1" ht="18" hidden="1" outlineLevel="1" x14ac:dyDescent="0.35">
      <c r="A89" s="2267"/>
      <c r="B89" s="2240" t="str">
        <f t="shared" si="19"/>
        <v>New Product Gross Profit</v>
      </c>
      <c r="C89" s="2241"/>
      <c r="D89" s="2242"/>
      <c r="E89" s="2243">
        <f>IF($D$2="$ K",Calc!G87,Calc!G87/1000)</f>
        <v>0</v>
      </c>
      <c r="F89" s="2244">
        <f>IF(Calc!AQ87=0,0,IF($D$2="$ M",Calc!CA87/1000,Calc!CA87))</f>
        <v>0</v>
      </c>
      <c r="G89" s="2245">
        <f>IF($D$2="$ K",Calc!H87,Calc!H87/1000)</f>
        <v>0</v>
      </c>
      <c r="H89" s="2244">
        <f>IF(Calc!AR87=0,0,IF($D$2="$ M",Calc!CB87/1000,Calc!CB87))</f>
        <v>0</v>
      </c>
      <c r="I89" s="2245">
        <f>IF($D$2="$ K",Calc!I87,Calc!I87/1000)</f>
        <v>0</v>
      </c>
      <c r="J89" s="2244">
        <f>IF(Calc!AS87=0,0,IF($D$2="$ M",Calc!CC87/1000,Calc!CC87))</f>
        <v>0</v>
      </c>
      <c r="K89" s="2245">
        <f>IF($D$2="$ K",Calc!J87,Calc!J87/1000)</f>
        <v>0</v>
      </c>
      <c r="L89" s="2244">
        <f>IF(Calc!AT87=0,0,IF($D$2="$ M",Calc!CD87/1000,Calc!CD87))</f>
        <v>0</v>
      </c>
      <c r="M89" s="2245">
        <f>IF($D$2="$ K",Calc!K87,Calc!K87/1000)</f>
        <v>0</v>
      </c>
      <c r="N89" s="2244">
        <f>IF(Calc!AU87=0,0,IF($D$2="$ M",Calc!CE87/1000,Calc!CE87))</f>
        <v>0</v>
      </c>
      <c r="O89" s="2245">
        <f>IF($D$2="$ K",Calc!L87,Calc!L87/1000)</f>
        <v>0</v>
      </c>
      <c r="P89" s="2244">
        <f>IF(Calc!AV87=0,0,IF($D$2="$ M",Calc!CF87/1000,Calc!CF87))</f>
        <v>0</v>
      </c>
      <c r="Q89" s="2245">
        <f>IF($D$2="$ K",Calc!M87,Calc!M87/1000)</f>
        <v>0</v>
      </c>
      <c r="R89" s="2244">
        <f>IF(Calc!AW87=0,0,IF($D$2="$ M",Calc!CG87/1000,Calc!CG87))</f>
        <v>0</v>
      </c>
      <c r="S89" s="2245">
        <f>IF($D$2="$ K",Calc!N87,Calc!N87/1000)</f>
        <v>0</v>
      </c>
      <c r="T89" s="2244">
        <f>IF(Calc!AX87=0,0,IF($D$2="$ M",Calc!CH87/1000,Calc!CH87))</f>
        <v>0</v>
      </c>
      <c r="U89" s="2245">
        <f>IF($D$2="$ K",Calc!O87,Calc!O87/1000)</f>
        <v>0</v>
      </c>
      <c r="V89" s="2244">
        <f>IF(Calc!AY87=0,0,IF($D$2="$ M",Calc!CI87/1000,Calc!CI87))</f>
        <v>0</v>
      </c>
      <c r="W89" s="2245">
        <f>IF($D$2="$ K",Calc!P87,Calc!P87/1000)</f>
        <v>0</v>
      </c>
      <c r="X89" s="2244">
        <f>IF(Calc!AZ87=0,0,IF($D$2="$ M",Calc!CJ87/1000,Calc!CJ87))</f>
        <v>0</v>
      </c>
      <c r="Y89" s="2245">
        <f>IF($D$2="$ K",Calc!Q87,Calc!Q87/1000)</f>
        <v>0</v>
      </c>
      <c r="Z89" s="2244">
        <f>IF(Calc!BA87=0,0,IF($D$2="$ M",Calc!CK87/1000,Calc!CK87))</f>
        <v>0</v>
      </c>
      <c r="AA89" s="2245">
        <f>IF($D$2="$ K",Calc!R87,Calc!R87/1000)</f>
        <v>0</v>
      </c>
      <c r="AB89" s="2244">
        <f>IF(Calc!BB87=0,0,IF($D$2="$ M",Calc!CL87/1000,Calc!CL87))</f>
        <v>0</v>
      </c>
      <c r="AC89" s="2245">
        <f>IF($D$2="$ K",Calc!S87,Calc!S87/1000)</f>
        <v>0</v>
      </c>
      <c r="AD89" s="2244">
        <f>IF(Calc!BC87=0,0,IF($D$2="$ M",Calc!CM87/1000,Calc!CM87))</f>
        <v>0</v>
      </c>
      <c r="AE89" s="2245">
        <f>IF($D$2="$ K",Calc!T87,Calc!T87/1000)</f>
        <v>0</v>
      </c>
      <c r="AF89" s="2244">
        <f>IF(Calc!BD87=0,0,IF($D$2="$ M",Calc!CN87/1000,Calc!CN87))</f>
        <v>0</v>
      </c>
      <c r="AG89" s="2245">
        <f>IF($D$2="$ K",Calc!U87,Calc!U87/1000)</f>
        <v>0</v>
      </c>
      <c r="AH89" s="2244">
        <f>IF(Calc!BE87=0,0,IF($D$2="$ M",Calc!CO87/1000,Calc!CO87))</f>
        <v>0</v>
      </c>
      <c r="AI89" s="2245">
        <f>IF($D$2="$ K",Calc!V87,Calc!V87/1000)</f>
        <v>0</v>
      </c>
      <c r="AJ89" s="2244">
        <f>IF(Calc!BF87=0,0,IF($D$2="$ M",Calc!CP87/1000,Calc!CP87))</f>
        <v>0</v>
      </c>
      <c r="AK89" s="2245">
        <f>IF($D$2="$ K",Calc!W87,Calc!W87/1000)</f>
        <v>0</v>
      </c>
      <c r="AL89" s="2244">
        <f>IF(Calc!BG87=0,0,IF($D$2="$ M",Calc!CQ87/1000,Calc!CQ87))</f>
        <v>0</v>
      </c>
      <c r="AM89" s="2245">
        <f>IF($D$2="$ K",Calc!X87,Calc!X87/1000)</f>
        <v>0</v>
      </c>
      <c r="AN89" s="2244">
        <f>IF(Calc!BH87=0,0,IF($D$2="$ M",Calc!CR87/1000,Calc!CR87))</f>
        <v>0</v>
      </c>
      <c r="AO89" s="2245">
        <f>IF($D$2="$ K",Calc!Y87,Calc!Y87/1000)</f>
        <v>0</v>
      </c>
      <c r="AP89" s="2244">
        <f>IF(Calc!BJ87=0,0,IF($D$2="$ M",Calc!CS87/1000,Calc!CS87))</f>
        <v>0</v>
      </c>
      <c r="AQ89" s="2245">
        <f>IF($D$2="$ K",Calc!Z87,Calc!Z87/1000)</f>
        <v>0</v>
      </c>
      <c r="AR89" s="2244">
        <f>IF(Calc!BL87=0,0,IF($D$2="$ M",Calc!CT87/1000,Calc!CT87))</f>
        <v>0</v>
      </c>
      <c r="AS89" s="2245">
        <f>IF($D$2="$ K",Calc!AA87,Calc!AA87/1000)</f>
        <v>0</v>
      </c>
      <c r="AT89" s="2244">
        <f>IF(Calc!BN87=0,0,IF($D$2="$ M",Calc!CU87/1000,Calc!CU87))</f>
        <v>0</v>
      </c>
      <c r="AU89" s="2245">
        <f>IF($D$2="$ K",Calc!AB87,Calc!AB87/1000)</f>
        <v>0</v>
      </c>
      <c r="AV89" s="2244">
        <f>IF(Calc!BP87=0,0,IF($D$2="$ M",Calc!CV87/1000,Calc!CV87))</f>
        <v>0</v>
      </c>
      <c r="AW89" s="2245">
        <f>IF($D$2="$ K",Calc!AC87,Calc!AC87/1000)</f>
        <v>0</v>
      </c>
      <c r="AX89" s="2244">
        <f>IF(Calc!BR87=0,0,IF($D$2="$ M",Calc!CW87/1000,Calc!CW87))</f>
        <v>0</v>
      </c>
      <c r="AY89" s="2245">
        <f>IF($D$2="$ K",Calc!AD87,Calc!AD87/1000)</f>
        <v>0</v>
      </c>
      <c r="AZ89" s="2244">
        <f>IF(Calc!BT87=0,0,IF($D$2="$ M",Calc!CX87/1000,Calc!CX87))</f>
        <v>0</v>
      </c>
      <c r="BA89" s="2245">
        <f>IF($D$2="$ K",Calc!AE87,Calc!AE87/1000)</f>
        <v>0</v>
      </c>
      <c r="BB89" s="2244">
        <f>IF(Calc!BV87=0,0,IF($D$2="$ M",Calc!CY87/1000,Calc!CY87))</f>
        <v>0</v>
      </c>
      <c r="BC89" s="2245">
        <f>IF($D$2="$ K",Calc!AF87,Calc!AF87/1000)</f>
        <v>0</v>
      </c>
      <c r="BD89" s="2244">
        <f>IF(Calc!BX87=0,0,IF($D$2="$ M",Calc!CZ87/1000,Calc!CZ87))</f>
        <v>0</v>
      </c>
      <c r="BE89" s="2245">
        <f>IF($D$2="$ K",Calc!AG87,Calc!AG87/1000)</f>
        <v>0</v>
      </c>
      <c r="BF89" s="2244">
        <f>IF(Calc!BZ87=0,0,IF($D$2="$ M",Calc!DA87/1000,Calc!DA87))</f>
        <v>0</v>
      </c>
      <c r="BG89" s="2245">
        <f>IF($D$2="$ K",Calc!AH87,Calc!AH87/1000)</f>
        <v>0</v>
      </c>
      <c r="BH89" s="2244">
        <f>IF(Calc!CB87=0,0,IF($D$2="$ M",Calc!DB87/1000,Calc!DB87))</f>
        <v>0</v>
      </c>
      <c r="BI89" s="2245">
        <f>IF($D$2="$ K",Calc!AI87,Calc!AI87/1000)</f>
        <v>0</v>
      </c>
      <c r="BJ89" s="2244">
        <f>IF(Calc!BS87=0,0,IF($D$2="$ M",Calc!DC87/1000,Calc!DC87))</f>
        <v>0</v>
      </c>
      <c r="BK89" s="2245">
        <f>IF($D$2="$ K",Calc!AJ87,Calc!AJ87/1000)</f>
        <v>0</v>
      </c>
      <c r="BL89" s="2246"/>
      <c r="BM89" s="2247">
        <f>IF(Calc!BT87=0,0,IF($D$2="$ M",Calc!DD87/1000,Calc!DD87))</f>
        <v>0</v>
      </c>
      <c r="BN89" s="1260"/>
      <c r="BO89" s="1260"/>
      <c r="BP89" s="2248">
        <f>IF($D$2="$ K",Calc!AM87,Calc!AM87/1000)</f>
        <v>0</v>
      </c>
      <c r="BQ89" s="2267"/>
      <c r="BR89" s="2267"/>
      <c r="BS89" s="2268"/>
    </row>
    <row r="90" spans="1:71" s="2266" customFormat="1" hidden="1" outlineLevel="1" x14ac:dyDescent="0.3">
      <c r="A90" s="2260"/>
      <c r="B90" s="2197" t="str">
        <f t="shared" si="19"/>
        <v>Gross Profit %</v>
      </c>
      <c r="C90" s="1115"/>
      <c r="D90" s="2249"/>
      <c r="E90" s="2250" t="str">
        <f>IF(Calc!G88=0,"",Calc!G88)</f>
        <v/>
      </c>
      <c r="F90" s="2201" t="str">
        <f>IF(Calc!AQ88=0,"",Calc!CA88)</f>
        <v/>
      </c>
      <c r="G90" s="2251" t="str">
        <f>IF(Calc!H88=0,"",Calc!H88)</f>
        <v/>
      </c>
      <c r="H90" s="2201" t="str">
        <f>IF(Calc!AR88=0,"",Calc!CB88)</f>
        <v/>
      </c>
      <c r="I90" s="2251" t="str">
        <f>IF(Calc!I88=0,"",Calc!I88)</f>
        <v/>
      </c>
      <c r="J90" s="2201" t="str">
        <f>IF(Calc!AS88=0,"",Calc!CC88)</f>
        <v/>
      </c>
      <c r="K90" s="2251" t="str">
        <f>IF(Calc!J88=0,"",Calc!J88)</f>
        <v/>
      </c>
      <c r="L90" s="2201" t="str">
        <f>IF(Calc!AT88=0,"",Calc!CD88)</f>
        <v/>
      </c>
      <c r="M90" s="2251" t="str">
        <f>IF(Calc!K88=0,"",Calc!K88)</f>
        <v/>
      </c>
      <c r="N90" s="2201" t="str">
        <f>IF(Calc!AU88=0,"",Calc!CE88)</f>
        <v/>
      </c>
      <c r="O90" s="2251" t="str">
        <f>IF(Calc!L88=0,"",Calc!L88)</f>
        <v/>
      </c>
      <c r="P90" s="2201" t="str">
        <f>IF(Calc!AV88=0,"",Calc!CF88)</f>
        <v/>
      </c>
      <c r="Q90" s="2251" t="str">
        <f>IF(Calc!M88=0,"",Calc!M88)</f>
        <v/>
      </c>
      <c r="R90" s="2201" t="str">
        <f>IF(Calc!AW88=0,"",Calc!CG88)</f>
        <v/>
      </c>
      <c r="S90" s="2251" t="str">
        <f>IF(Calc!N88=0,"",Calc!N88)</f>
        <v/>
      </c>
      <c r="T90" s="2201" t="str">
        <f>IF(Calc!AX88=0,"",Calc!CH88)</f>
        <v/>
      </c>
      <c r="U90" s="2251" t="str">
        <f>IF(Calc!O88=0,"",Calc!O88)</f>
        <v/>
      </c>
      <c r="V90" s="2201" t="str">
        <f>IF(Calc!AY88=0,"",Calc!CI88)</f>
        <v/>
      </c>
      <c r="W90" s="2251" t="str">
        <f>IF(Calc!P88=0,"",Calc!P88)</f>
        <v/>
      </c>
      <c r="X90" s="2201" t="str">
        <f>IF(Calc!AZ88=0,"",Calc!CJ88)</f>
        <v/>
      </c>
      <c r="Y90" s="2251" t="str">
        <f>IF(Calc!Q88=0,"",Calc!Q88)</f>
        <v/>
      </c>
      <c r="Z90" s="2201" t="str">
        <f>IF(Calc!BA88=0,"",Calc!CK88)</f>
        <v/>
      </c>
      <c r="AA90" s="2251" t="str">
        <f>IF(Calc!R88=0,"",Calc!R88)</f>
        <v/>
      </c>
      <c r="AB90" s="2201" t="str">
        <f>IF(Calc!BB88=0,"",Calc!CL88)</f>
        <v/>
      </c>
      <c r="AC90" s="2251" t="str">
        <f>IF(Calc!S88=0,"",Calc!S88)</f>
        <v/>
      </c>
      <c r="AD90" s="2201" t="str">
        <f>IF(Calc!BC88=0,"",Calc!CM88)</f>
        <v/>
      </c>
      <c r="AE90" s="2251" t="str">
        <f>IF(Calc!T88=0,"",Calc!T88)</f>
        <v/>
      </c>
      <c r="AF90" s="2201" t="str">
        <f>IF(Calc!BD88=0,"",Calc!CN88)</f>
        <v/>
      </c>
      <c r="AG90" s="2251" t="str">
        <f>IF(Calc!U88=0,"",Calc!U88)</f>
        <v/>
      </c>
      <c r="AH90" s="2201" t="str">
        <f>IF(Calc!BE88=0,"",Calc!CO88)</f>
        <v/>
      </c>
      <c r="AI90" s="2251" t="str">
        <f>IF(Calc!V88=0,"",Calc!V88)</f>
        <v/>
      </c>
      <c r="AJ90" s="2201" t="str">
        <f>IF(Calc!BF88=0,"",Calc!CP88)</f>
        <v/>
      </c>
      <c r="AK90" s="2251" t="str">
        <f>IF(Calc!W88=0,"",Calc!W88)</f>
        <v/>
      </c>
      <c r="AL90" s="2201" t="str">
        <f>IF(Calc!BG88=0,"",Calc!CQ88)</f>
        <v/>
      </c>
      <c r="AM90" s="2251" t="str">
        <f>IF(Calc!X88=0,"",Calc!X88)</f>
        <v/>
      </c>
      <c r="AN90" s="2201" t="str">
        <f>IF(Calc!BH88=0,"",Calc!CR88)</f>
        <v/>
      </c>
      <c r="AO90" s="2251" t="str">
        <f>IF(Calc!Y88=0,"",Calc!Y88)</f>
        <v/>
      </c>
      <c r="AP90" s="2201" t="str">
        <f>IF(Calc!BJ88=0,"",Calc!CS88)</f>
        <v/>
      </c>
      <c r="AQ90" s="2251" t="str">
        <f>IF(Calc!Z88=0,"",Calc!Z88)</f>
        <v/>
      </c>
      <c r="AR90" s="2201" t="str">
        <f>IF(Calc!BL88=0,"",Calc!CT88)</f>
        <v/>
      </c>
      <c r="AS90" s="2251" t="str">
        <f>IF(Calc!AA88=0,"",Calc!AA88)</f>
        <v/>
      </c>
      <c r="AT90" s="2201" t="str">
        <f>IF(Calc!BN88=0,"",Calc!CU88)</f>
        <v/>
      </c>
      <c r="AU90" s="2251" t="str">
        <f>IF(Calc!AB88=0,"",Calc!AB88)</f>
        <v/>
      </c>
      <c r="AV90" s="2201" t="str">
        <f>IF(Calc!BP88=0,"",Calc!CV88)</f>
        <v/>
      </c>
      <c r="AW90" s="2251" t="str">
        <f>IF(Calc!AC88=0,"",Calc!AC88)</f>
        <v/>
      </c>
      <c r="AX90" s="2201" t="str">
        <f>IF(Calc!BR88=0,"",Calc!CW88)</f>
        <v/>
      </c>
      <c r="AY90" s="2251" t="str">
        <f>IF(Calc!AD88=0,"",Calc!AD88)</f>
        <v/>
      </c>
      <c r="AZ90" s="2201" t="str">
        <f>IF(Calc!BT88=0,"",Calc!CX88)</f>
        <v/>
      </c>
      <c r="BA90" s="2251" t="str">
        <f>IF(Calc!AE88=0,"",Calc!AE88)</f>
        <v/>
      </c>
      <c r="BB90" s="2201" t="str">
        <f>IF(Calc!BV88=0,"",Calc!CY88)</f>
        <v/>
      </c>
      <c r="BC90" s="2251" t="str">
        <f>IF(Calc!AF88=0,"",Calc!AF88)</f>
        <v/>
      </c>
      <c r="BD90" s="2201" t="str">
        <f>IF(Calc!BX88=0,"",Calc!CZ88)</f>
        <v/>
      </c>
      <c r="BE90" s="2251" t="str">
        <f>IF(Calc!AG88=0,"",Calc!AG88)</f>
        <v/>
      </c>
      <c r="BF90" s="2201" t="str">
        <f>IF(Calc!BZ88=0,"",Calc!DA88)</f>
        <v/>
      </c>
      <c r="BG90" s="2251" t="str">
        <f>IF(Calc!AH88=0,"",Calc!AH88)</f>
        <v/>
      </c>
      <c r="BH90" s="2201" t="str">
        <f>IF(Calc!CB88=0,"",Calc!DB88)</f>
        <v/>
      </c>
      <c r="BI90" s="2251" t="str">
        <f>IF(Calc!AI88=0,"",Calc!AI88)</f>
        <v/>
      </c>
      <c r="BJ90" s="2201" t="str">
        <f>IF(Calc!BS88=0,"",Calc!DC88)</f>
        <v/>
      </c>
      <c r="BK90" s="2251"/>
      <c r="BL90" s="2252"/>
      <c r="BM90" s="2204"/>
      <c r="BN90" s="1070"/>
      <c r="BO90" s="1070"/>
      <c r="BP90" s="2253" t="str">
        <f>IFERROR(BP89/BP77,"")</f>
        <v/>
      </c>
      <c r="BQ90" s="2260"/>
      <c r="BR90" s="2260"/>
      <c r="BS90" s="2265"/>
    </row>
    <row r="91" spans="1:71" s="2266" customFormat="1" hidden="1" outlineLevel="1" x14ac:dyDescent="0.3">
      <c r="A91" s="2260"/>
      <c r="B91" s="2197" t="str">
        <f t="shared" si="19"/>
        <v>Product Family GP %</v>
      </c>
      <c r="C91" s="1115"/>
      <c r="D91" s="2254"/>
      <c r="E91" s="2250" t="str">
        <f>IF(Calc!G89=0,"",Calc!G89)</f>
        <v/>
      </c>
      <c r="F91" s="2201" t="str">
        <f>IF(Calc!AQ89=0,"",Calc!CA89)</f>
        <v/>
      </c>
      <c r="G91" s="2251" t="str">
        <f>IF(Calc!H89=0,"",Calc!H89)</f>
        <v/>
      </c>
      <c r="H91" s="2201" t="str">
        <f>IF(Calc!AR89=0,"",Calc!CB89)</f>
        <v/>
      </c>
      <c r="I91" s="2251" t="str">
        <f>IF(Calc!I89=0,"",Calc!I89)</f>
        <v/>
      </c>
      <c r="J91" s="2201" t="str">
        <f>IF(Calc!AS89=0,"",Calc!CC89)</f>
        <v/>
      </c>
      <c r="K91" s="2251" t="str">
        <f>IF(Calc!J89=0,"",Calc!J89)</f>
        <v/>
      </c>
      <c r="L91" s="2201" t="str">
        <f>IF(Calc!AT89=0,"",Calc!CD89)</f>
        <v/>
      </c>
      <c r="M91" s="2251" t="str">
        <f>IF(Calc!K89=0,"",Calc!K89)</f>
        <v/>
      </c>
      <c r="N91" s="2201" t="str">
        <f>IF(Calc!AU89=0,"",Calc!CE89)</f>
        <v/>
      </c>
      <c r="O91" s="2251" t="str">
        <f>IF(Calc!L89=0,"",Calc!L89)</f>
        <v/>
      </c>
      <c r="P91" s="2201" t="str">
        <f>IF(Calc!AV89=0,"",Calc!CF89)</f>
        <v/>
      </c>
      <c r="Q91" s="2251" t="str">
        <f>IF(Calc!M89=0,"",Calc!M89)</f>
        <v/>
      </c>
      <c r="R91" s="2201" t="str">
        <f>IF(Calc!AW89=0,"",Calc!CG89)</f>
        <v/>
      </c>
      <c r="S91" s="2251" t="str">
        <f>IF(Calc!N89=0,"",Calc!N89)</f>
        <v/>
      </c>
      <c r="T91" s="2201" t="str">
        <f>IF(Calc!AX89=0,"",Calc!CH89)</f>
        <v/>
      </c>
      <c r="U91" s="2251" t="str">
        <f>IF(Calc!O89=0,"",Calc!O89)</f>
        <v/>
      </c>
      <c r="V91" s="2201" t="str">
        <f>IF(Calc!AY89=0,"",Calc!CI89)</f>
        <v/>
      </c>
      <c r="W91" s="2251" t="str">
        <f>IF(Calc!P89=0,"",Calc!P89)</f>
        <v/>
      </c>
      <c r="X91" s="2201" t="str">
        <f>IF(Calc!AZ89=0,"",Calc!CJ89)</f>
        <v/>
      </c>
      <c r="Y91" s="2251" t="str">
        <f>IF(Calc!Q89=0,"",Calc!Q89)</f>
        <v/>
      </c>
      <c r="Z91" s="2201" t="str">
        <f>IF(Calc!BA89=0,"",Calc!CK89)</f>
        <v/>
      </c>
      <c r="AA91" s="2251" t="str">
        <f>IF(Calc!R89=0,"",Calc!R89)</f>
        <v/>
      </c>
      <c r="AB91" s="2201" t="str">
        <f>IF(Calc!BB89=0,"",Calc!CL89)</f>
        <v/>
      </c>
      <c r="AC91" s="2251" t="str">
        <f>IF(Calc!S89=0,"",Calc!S89)</f>
        <v/>
      </c>
      <c r="AD91" s="2201" t="str">
        <f>IF(Calc!BC89=0,"",Calc!CM89)</f>
        <v/>
      </c>
      <c r="AE91" s="2251" t="str">
        <f>IF(Calc!T89=0,"",Calc!T89)</f>
        <v/>
      </c>
      <c r="AF91" s="2201" t="str">
        <f>IF(Calc!BD89=0,"",Calc!CN89)</f>
        <v/>
      </c>
      <c r="AG91" s="2251" t="str">
        <f>IF(Calc!U89=0,"",Calc!U89)</f>
        <v/>
      </c>
      <c r="AH91" s="2201" t="str">
        <f>IF(Calc!BE89=0,"",Calc!CO89)</f>
        <v/>
      </c>
      <c r="AI91" s="2251" t="str">
        <f>IF(Calc!V89=0,"",Calc!V89)</f>
        <v/>
      </c>
      <c r="AJ91" s="2201" t="str">
        <f>IF(Calc!BF89=0,"",Calc!CP89)</f>
        <v/>
      </c>
      <c r="AK91" s="2251" t="str">
        <f>IF(Calc!W89=0,"",Calc!W89)</f>
        <v/>
      </c>
      <c r="AL91" s="2201" t="str">
        <f>IF(Calc!BG89=0,"",Calc!CQ89)</f>
        <v/>
      </c>
      <c r="AM91" s="2251" t="str">
        <f>IF(Calc!X89=0,"",Calc!X89)</f>
        <v/>
      </c>
      <c r="AN91" s="2201" t="str">
        <f>IF(Calc!BH89=0,"",Calc!CR89)</f>
        <v/>
      </c>
      <c r="AO91" s="2251" t="str">
        <f>IF(Calc!Y89=0,"",Calc!Y89)</f>
        <v/>
      </c>
      <c r="AP91" s="2201" t="str">
        <f>IF(Calc!BJ89=0,"",Calc!CS89)</f>
        <v/>
      </c>
      <c r="AQ91" s="2251" t="str">
        <f>IF(Calc!Z89=0,"",Calc!Z89)</f>
        <v/>
      </c>
      <c r="AR91" s="2201" t="str">
        <f>IF(Calc!BL89=0,"",Calc!CT89)</f>
        <v/>
      </c>
      <c r="AS91" s="2251" t="str">
        <f>IF(Calc!AA89=0,"",Calc!AA89)</f>
        <v/>
      </c>
      <c r="AT91" s="2201" t="str">
        <f>IF(Calc!BN89=0,"",Calc!CU89)</f>
        <v/>
      </c>
      <c r="AU91" s="2251" t="str">
        <f>IF(Calc!AB89=0,"",Calc!AB89)</f>
        <v/>
      </c>
      <c r="AV91" s="2201" t="str">
        <f>IF(Calc!BP89=0,"",Calc!CV89)</f>
        <v/>
      </c>
      <c r="AW91" s="2251" t="str">
        <f>IF(Calc!AC89=0,"",Calc!AC89)</f>
        <v/>
      </c>
      <c r="AX91" s="2201" t="str">
        <f>IF(Calc!BR89=0,"",Calc!CW89)</f>
        <v/>
      </c>
      <c r="AY91" s="2251" t="str">
        <f>IF(Calc!AD89=0,"",Calc!AD89)</f>
        <v/>
      </c>
      <c r="AZ91" s="2201" t="str">
        <f>IF(Calc!BT89=0,"",Calc!CX89)</f>
        <v/>
      </c>
      <c r="BA91" s="2251" t="str">
        <f>IF(Calc!AE89=0,"",Calc!AE89)</f>
        <v/>
      </c>
      <c r="BB91" s="2201" t="str">
        <f>IF(Calc!BV89=0,"",Calc!CY89)</f>
        <v/>
      </c>
      <c r="BC91" s="2251" t="str">
        <f>IF(Calc!AF89=0,"",Calc!AF89)</f>
        <v/>
      </c>
      <c r="BD91" s="2201" t="str">
        <f>IF(Calc!BX89=0,"",Calc!CZ89)</f>
        <v/>
      </c>
      <c r="BE91" s="2251" t="str">
        <f>IF(Calc!AG89=0,"",Calc!AG89)</f>
        <v/>
      </c>
      <c r="BF91" s="2201" t="str">
        <f>IF(Calc!BZ89=0,"",Calc!DA89)</f>
        <v/>
      </c>
      <c r="BG91" s="2251" t="str">
        <f>IF(Calc!AH89=0,"",Calc!AH89)</f>
        <v/>
      </c>
      <c r="BH91" s="2201" t="str">
        <f>IF(Calc!CB89=0,"",Calc!DB89)</f>
        <v/>
      </c>
      <c r="BI91" s="2251" t="str">
        <f>IF(Calc!AI89=0,"",Calc!AI89)</f>
        <v/>
      </c>
      <c r="BJ91" s="2201" t="str">
        <f>IF(Calc!BS89=0,"",Calc!DC89)</f>
        <v/>
      </c>
      <c r="BK91" s="2251"/>
      <c r="BL91" s="2255"/>
      <c r="BM91" s="2204"/>
      <c r="BN91" s="2189"/>
      <c r="BO91" s="1070"/>
      <c r="BP91" s="2253"/>
      <c r="BQ91" s="2260"/>
      <c r="BR91" s="2260"/>
      <c r="BS91" s="2265"/>
    </row>
    <row r="92" spans="1:71" s="2266" customFormat="1" hidden="1" outlineLevel="1" x14ac:dyDescent="0.3">
      <c r="A92" s="2260"/>
      <c r="B92" s="1463" t="str">
        <f t="shared" si="19"/>
        <v>Market GP %</v>
      </c>
      <c r="C92" s="2207"/>
      <c r="D92" s="2256"/>
      <c r="E92" s="2257" t="str">
        <f>IF(Calc!G90=0,"",Calc!G90)</f>
        <v/>
      </c>
      <c r="F92" s="2210" t="str">
        <f>IF(Calc!AQ90=0,"",Calc!CA90)</f>
        <v/>
      </c>
      <c r="G92" s="2257" t="str">
        <f>IF(Calc!H90=0,"",Calc!H90)</f>
        <v/>
      </c>
      <c r="H92" s="2210" t="str">
        <f>IF(Calc!AR90=0,"",Calc!CB90)</f>
        <v/>
      </c>
      <c r="I92" s="2257" t="str">
        <f>IF(Calc!I90=0,"",Calc!I90)</f>
        <v/>
      </c>
      <c r="J92" s="2210" t="str">
        <f>IF(Calc!AS90=0,"",Calc!CC90)</f>
        <v/>
      </c>
      <c r="K92" s="2257" t="str">
        <f>IF(Calc!J90=0,"",Calc!J90)</f>
        <v/>
      </c>
      <c r="L92" s="2210" t="str">
        <f>IF(Calc!AT90=0,"",Calc!CD90)</f>
        <v/>
      </c>
      <c r="M92" s="2257" t="str">
        <f>IF(Calc!K90=0,"",Calc!K90)</f>
        <v/>
      </c>
      <c r="N92" s="2210" t="str">
        <f>IF(Calc!AU90=0,"",Calc!CE90)</f>
        <v/>
      </c>
      <c r="O92" s="2257" t="str">
        <f>IF(Calc!L90=0,"",Calc!L90)</f>
        <v/>
      </c>
      <c r="P92" s="2210" t="str">
        <f>IF(Calc!AV90=0,"",Calc!CF90)</f>
        <v/>
      </c>
      <c r="Q92" s="2257" t="str">
        <f>IF(Calc!M90=0,"",Calc!M90)</f>
        <v/>
      </c>
      <c r="R92" s="2210" t="str">
        <f>IF(Calc!AW90=0,"",Calc!CG90)</f>
        <v/>
      </c>
      <c r="S92" s="2257" t="str">
        <f>IF(Calc!N90=0,"",Calc!N90)</f>
        <v/>
      </c>
      <c r="T92" s="2210" t="str">
        <f>IF(Calc!AX90=0,"",Calc!CH90)</f>
        <v/>
      </c>
      <c r="U92" s="2257" t="str">
        <f>IF(Calc!O90=0,"",Calc!O90)</f>
        <v/>
      </c>
      <c r="V92" s="2210" t="str">
        <f>IF(Calc!AY90=0,"",Calc!CI90)</f>
        <v/>
      </c>
      <c r="W92" s="2257" t="str">
        <f>IF(Calc!P90=0,"",Calc!P90)</f>
        <v/>
      </c>
      <c r="X92" s="2210" t="str">
        <f>IF(Calc!AZ90=0,"",Calc!CJ90)</f>
        <v/>
      </c>
      <c r="Y92" s="2257" t="str">
        <f>IF(Calc!Q90=0,"",Calc!Q90)</f>
        <v/>
      </c>
      <c r="Z92" s="2210" t="str">
        <f>IF(Calc!BA90=0,"",Calc!CK90)</f>
        <v/>
      </c>
      <c r="AA92" s="2257" t="str">
        <f>IF(Calc!R90=0,"",Calc!R90)</f>
        <v/>
      </c>
      <c r="AB92" s="2210" t="str">
        <f>IF(Calc!BB90=0,"",Calc!CL90)</f>
        <v/>
      </c>
      <c r="AC92" s="2257" t="str">
        <f>IF(Calc!S90=0,"",Calc!S90)</f>
        <v/>
      </c>
      <c r="AD92" s="2210" t="str">
        <f>IF(Calc!BC90=0,"",Calc!CM90)</f>
        <v/>
      </c>
      <c r="AE92" s="2257" t="str">
        <f>IF(Calc!T90=0,"",Calc!T90)</f>
        <v/>
      </c>
      <c r="AF92" s="2210" t="str">
        <f>IF(Calc!BD90=0,"",Calc!CN90)</f>
        <v/>
      </c>
      <c r="AG92" s="2257" t="str">
        <f>IF(Calc!U90=0,"",Calc!U90)</f>
        <v/>
      </c>
      <c r="AH92" s="2210" t="str">
        <f>IF(Calc!BE90=0,"",Calc!CO90)</f>
        <v/>
      </c>
      <c r="AI92" s="2257" t="str">
        <f>IF(Calc!V90=0,"",Calc!V90)</f>
        <v/>
      </c>
      <c r="AJ92" s="2210" t="str">
        <f>IF(Calc!BF90=0,"",Calc!CP90)</f>
        <v/>
      </c>
      <c r="AK92" s="2257" t="str">
        <f>IF(Calc!W90=0,"",Calc!W90)</f>
        <v/>
      </c>
      <c r="AL92" s="2210" t="str">
        <f>IF(Calc!BG90=0,"",Calc!CQ90)</f>
        <v/>
      </c>
      <c r="AM92" s="2257" t="str">
        <f>IF(Calc!X90=0,"",Calc!X90)</f>
        <v/>
      </c>
      <c r="AN92" s="2210" t="str">
        <f>IF(Calc!BH90=0,"",Calc!CR90)</f>
        <v/>
      </c>
      <c r="AO92" s="2257" t="str">
        <f>IF(Calc!Y90=0,"",Calc!Y90)</f>
        <v/>
      </c>
      <c r="AP92" s="2210" t="str">
        <f>IF(Calc!BJ90=0,"",Calc!CS90)</f>
        <v/>
      </c>
      <c r="AQ92" s="2257" t="str">
        <f>IF(Calc!Z90=0,"",Calc!Z90)</f>
        <v/>
      </c>
      <c r="AR92" s="2210" t="str">
        <f>IF(Calc!BL90=0,"",Calc!CT90)</f>
        <v/>
      </c>
      <c r="AS92" s="2257" t="str">
        <f>IF(Calc!AA90=0,"",Calc!AA90)</f>
        <v/>
      </c>
      <c r="AT92" s="2210" t="str">
        <f>IF(Calc!BN90=0,"",Calc!CU90)</f>
        <v/>
      </c>
      <c r="AU92" s="2257" t="str">
        <f>IF(Calc!AB90=0,"",Calc!AB90)</f>
        <v/>
      </c>
      <c r="AV92" s="2210" t="str">
        <f>IF(Calc!BP90=0,"",Calc!CV90)</f>
        <v/>
      </c>
      <c r="AW92" s="2257" t="str">
        <f>IF(Calc!AC90=0,"",Calc!AC90)</f>
        <v/>
      </c>
      <c r="AX92" s="2210" t="str">
        <f>IF(Calc!BR90=0,"",Calc!CW90)</f>
        <v/>
      </c>
      <c r="AY92" s="2257" t="str">
        <f>IF(Calc!AD90=0,"",Calc!AD90)</f>
        <v/>
      </c>
      <c r="AZ92" s="2210" t="str">
        <f>IF(Calc!BT90=0,"",Calc!CX90)</f>
        <v/>
      </c>
      <c r="BA92" s="2257" t="str">
        <f>IF(Calc!AE90=0,"",Calc!AE90)</f>
        <v/>
      </c>
      <c r="BB92" s="2210" t="str">
        <f>IF(Calc!BV90=0,"",Calc!CY90)</f>
        <v/>
      </c>
      <c r="BC92" s="2257" t="str">
        <f>IF(Calc!AF90=0,"",Calc!AF90)</f>
        <v/>
      </c>
      <c r="BD92" s="2210" t="str">
        <f>IF(Calc!BX90=0,"",Calc!CZ90)</f>
        <v/>
      </c>
      <c r="BE92" s="2257" t="str">
        <f>IF(Calc!AG90=0,"",Calc!AG90)</f>
        <v/>
      </c>
      <c r="BF92" s="2210" t="str">
        <f>IF(Calc!BZ90=0,"",Calc!DA90)</f>
        <v/>
      </c>
      <c r="BG92" s="2257" t="str">
        <f>IF(Calc!AH90=0,"",Calc!AH90)</f>
        <v/>
      </c>
      <c r="BH92" s="2210" t="str">
        <f>IF(Calc!CB90=0,"",Calc!DB90)</f>
        <v/>
      </c>
      <c r="BI92" s="2257" t="str">
        <f>IF(Calc!AI90=0,"",Calc!AI90)</f>
        <v/>
      </c>
      <c r="BJ92" s="2210" t="str">
        <f>IF(Calc!BS90=0,"",Calc!DC90)</f>
        <v/>
      </c>
      <c r="BK92" s="2257"/>
      <c r="BL92" s="2258"/>
      <c r="BM92" s="2213"/>
      <c r="BN92" s="2189"/>
      <c r="BO92" s="1070"/>
      <c r="BP92" s="2259"/>
      <c r="BQ92" s="2260"/>
      <c r="BR92" s="2260"/>
      <c r="BS92" s="2265"/>
    </row>
    <row r="93" spans="1:71" s="2266" customFormat="1" ht="12.75" customHeight="1" collapsed="1" x14ac:dyDescent="0.3">
      <c r="A93" s="2260"/>
      <c r="B93" s="2261"/>
      <c r="C93" s="2261"/>
      <c r="D93" s="2262"/>
      <c r="E93" s="2262"/>
      <c r="F93" s="2262"/>
      <c r="G93" s="2262"/>
      <c r="H93" s="2262"/>
      <c r="I93" s="2262"/>
      <c r="J93" s="2262"/>
      <c r="K93" s="2262"/>
      <c r="L93" s="2262"/>
      <c r="M93" s="2262"/>
      <c r="N93" s="2262"/>
      <c r="O93" s="2262"/>
      <c r="P93" s="2262"/>
      <c r="Q93" s="2262"/>
      <c r="R93" s="2262"/>
      <c r="S93" s="2262"/>
      <c r="T93" s="2262"/>
      <c r="U93" s="2262"/>
      <c r="V93" s="2262"/>
      <c r="W93" s="2262"/>
      <c r="X93" s="2262"/>
      <c r="Y93" s="2262"/>
      <c r="Z93" s="2262"/>
      <c r="AA93" s="2262"/>
      <c r="AB93" s="2262"/>
      <c r="AC93" s="2262"/>
      <c r="AD93" s="2262"/>
      <c r="AE93" s="2262"/>
      <c r="AF93" s="2262"/>
      <c r="AG93" s="2262"/>
      <c r="AH93" s="2262"/>
      <c r="AI93" s="2262"/>
      <c r="AJ93" s="2262"/>
      <c r="AK93" s="2262"/>
      <c r="AL93" s="2262"/>
      <c r="AM93" s="2262"/>
      <c r="AN93" s="2262"/>
      <c r="AO93" s="2262"/>
      <c r="AP93" s="2262"/>
      <c r="AQ93" s="2262"/>
      <c r="AR93" s="2262"/>
      <c r="AS93" s="2262"/>
      <c r="AT93" s="2262"/>
      <c r="AU93" s="2262"/>
      <c r="AV93" s="2262"/>
      <c r="AW93" s="2262"/>
      <c r="AX93" s="2262"/>
      <c r="AY93" s="2262"/>
      <c r="AZ93" s="2262"/>
      <c r="BA93" s="2262"/>
      <c r="BB93" s="2262"/>
      <c r="BC93" s="2262"/>
      <c r="BD93" s="2262"/>
      <c r="BE93" s="2262"/>
      <c r="BF93" s="2262"/>
      <c r="BG93" s="2262"/>
      <c r="BH93" s="2262"/>
      <c r="BI93" s="2262"/>
      <c r="BJ93" s="2262"/>
      <c r="BK93" s="2262"/>
      <c r="BL93" s="2262"/>
      <c r="BM93" s="2264"/>
      <c r="BN93" s="2260"/>
      <c r="BO93" s="1070"/>
      <c r="BP93" s="1070"/>
      <c r="BQ93" s="2260"/>
      <c r="BR93" s="2260"/>
      <c r="BS93" s="2265"/>
    </row>
    <row r="94" spans="1:71" s="2266" customFormat="1" ht="31.8" hidden="1" outlineLevel="1" thickBot="1" x14ac:dyDescent="0.35">
      <c r="A94" s="2260"/>
      <c r="B94" s="2261"/>
      <c r="C94" s="2261"/>
      <c r="D94" s="2262"/>
      <c r="E94" s="3312">
        <f>E6</f>
        <v>0</v>
      </c>
      <c r="F94" s="3313"/>
      <c r="G94" s="3314">
        <f>G6</f>
        <v>0</v>
      </c>
      <c r="H94" s="3313"/>
      <c r="I94" s="3314">
        <f>I6</f>
        <v>0</v>
      </c>
      <c r="J94" s="3313"/>
      <c r="K94" s="3314">
        <f>K6</f>
        <v>0</v>
      </c>
      <c r="L94" s="3313"/>
      <c r="M94" s="3314">
        <f>M6</f>
        <v>0</v>
      </c>
      <c r="N94" s="3313"/>
      <c r="O94" s="3314">
        <f>O6</f>
        <v>0</v>
      </c>
      <c r="P94" s="3313"/>
      <c r="Q94" s="3314">
        <f>Q6</f>
        <v>0</v>
      </c>
      <c r="R94" s="3313"/>
      <c r="S94" s="3314">
        <f>S6</f>
        <v>0</v>
      </c>
      <c r="T94" s="3313"/>
      <c r="U94" s="3314">
        <f>U6</f>
        <v>0</v>
      </c>
      <c r="V94" s="3313"/>
      <c r="W94" s="3314">
        <f>W6</f>
        <v>0</v>
      </c>
      <c r="X94" s="3313"/>
      <c r="Y94" s="3314">
        <f>Y6</f>
        <v>0</v>
      </c>
      <c r="Z94" s="3313"/>
      <c r="AA94" s="3314">
        <f>AA6</f>
        <v>0</v>
      </c>
      <c r="AB94" s="3313"/>
      <c r="AC94" s="3314">
        <f>AC6</f>
        <v>0</v>
      </c>
      <c r="AD94" s="3313"/>
      <c r="AE94" s="3314">
        <f>AE6</f>
        <v>0</v>
      </c>
      <c r="AF94" s="3313"/>
      <c r="AG94" s="3314">
        <f>AG6</f>
        <v>0</v>
      </c>
      <c r="AH94" s="3313"/>
      <c r="AI94" s="3314">
        <f>AI6</f>
        <v>0</v>
      </c>
      <c r="AJ94" s="3313"/>
      <c r="AK94" s="3314">
        <f>AK6</f>
        <v>0</v>
      </c>
      <c r="AL94" s="3315"/>
      <c r="AM94" s="3314">
        <f>AM6</f>
        <v>0</v>
      </c>
      <c r="AN94" s="3315"/>
      <c r="AO94" s="3314">
        <f>AO6</f>
        <v>0</v>
      </c>
      <c r="AP94" s="3315"/>
      <c r="AQ94" s="3314">
        <f>AQ6</f>
        <v>0</v>
      </c>
      <c r="AR94" s="3315"/>
      <c r="AS94" s="3314">
        <f>AS6</f>
        <v>0</v>
      </c>
      <c r="AT94" s="3315"/>
      <c r="AU94" s="3314">
        <f>AU6</f>
        <v>0</v>
      </c>
      <c r="AV94" s="3315"/>
      <c r="AW94" s="3314">
        <f>AW6</f>
        <v>0</v>
      </c>
      <c r="AX94" s="3315"/>
      <c r="AY94" s="3314">
        <f>AY6</f>
        <v>0</v>
      </c>
      <c r="AZ94" s="3315"/>
      <c r="BA94" s="3314">
        <f>BA6</f>
        <v>0</v>
      </c>
      <c r="BB94" s="3315"/>
      <c r="BC94" s="3314">
        <f>BC6</f>
        <v>0</v>
      </c>
      <c r="BD94" s="3315"/>
      <c r="BE94" s="3314">
        <f>BE6</f>
        <v>0</v>
      </c>
      <c r="BF94" s="3315"/>
      <c r="BG94" s="3314">
        <f>BG6</f>
        <v>0</v>
      </c>
      <c r="BH94" s="3315"/>
      <c r="BI94" s="3314">
        <f>BI6</f>
        <v>0</v>
      </c>
      <c r="BJ94" s="3315"/>
      <c r="BK94" s="3316" t="s">
        <v>1570</v>
      </c>
      <c r="BL94" s="3317"/>
      <c r="BM94" s="3318"/>
      <c r="BN94" s="2260"/>
      <c r="BO94" s="1070"/>
      <c r="BP94" s="2144" t="str">
        <f>"15 Yrs Total"</f>
        <v>15 Yrs Total</v>
      </c>
      <c r="BQ94" s="2260"/>
      <c r="BR94" s="2260"/>
      <c r="BS94" s="2265"/>
    </row>
    <row r="95" spans="1:71" s="2266" customFormat="1" ht="24.9" hidden="1" customHeight="1" outlineLevel="1" thickBot="1" x14ac:dyDescent="0.35">
      <c r="A95" s="2260"/>
      <c r="B95" s="2146" t="str">
        <f>Calc!B93</f>
        <v>E</v>
      </c>
      <c r="C95" s="2147"/>
      <c r="D95" s="2148"/>
      <c r="E95" s="2149" t="str">
        <f>E7</f>
        <v>FY18</v>
      </c>
      <c r="F95" s="2150" t="str">
        <f>"vs "&amp;Comp</f>
        <v>vs Def Exit</v>
      </c>
      <c r="G95" s="2151" t="str">
        <f>G7</f>
        <v>FY19</v>
      </c>
      <c r="H95" s="2150" t="str">
        <f>"vs "&amp;Comp</f>
        <v>vs Def Exit</v>
      </c>
      <c r="I95" s="2151" t="str">
        <f>I7</f>
        <v>FY20</v>
      </c>
      <c r="J95" s="2150" t="str">
        <f>"vs "&amp;Comp</f>
        <v>vs Def Exit</v>
      </c>
      <c r="K95" s="2151" t="str">
        <f>K7</f>
        <v>FY21</v>
      </c>
      <c r="L95" s="2150" t="str">
        <f>"vs "&amp;Comp</f>
        <v>vs Def Exit</v>
      </c>
      <c r="M95" s="2151" t="str">
        <f>M7</f>
        <v>FY22</v>
      </c>
      <c r="N95" s="2150" t="str">
        <f>"vs "&amp;Comp</f>
        <v>vs Def Exit</v>
      </c>
      <c r="O95" s="2151" t="str">
        <f>O7</f>
        <v>FY23</v>
      </c>
      <c r="P95" s="2150" t="str">
        <f>"vs "&amp;Comp</f>
        <v>vs Def Exit</v>
      </c>
      <c r="Q95" s="2151" t="str">
        <f>Q7</f>
        <v>FY24</v>
      </c>
      <c r="R95" s="2150" t="str">
        <f>"vs "&amp;Comp</f>
        <v>vs Def Exit</v>
      </c>
      <c r="S95" s="2151" t="str">
        <f>S7</f>
        <v>FY25</v>
      </c>
      <c r="T95" s="2150" t="str">
        <f>"vs "&amp;Comp</f>
        <v>vs Def Exit</v>
      </c>
      <c r="U95" s="2151" t="str">
        <f>U7</f>
        <v>FY26</v>
      </c>
      <c r="V95" s="2150" t="str">
        <f>"vs "&amp;Comp</f>
        <v>vs Def Exit</v>
      </c>
      <c r="W95" s="2151" t="str">
        <f>W7</f>
        <v>FY27</v>
      </c>
      <c r="X95" s="2150" t="str">
        <f>"vs "&amp;Comp</f>
        <v>vs Def Exit</v>
      </c>
      <c r="Y95" s="2151" t="str">
        <f>Y7</f>
        <v>FY28</v>
      </c>
      <c r="Z95" s="2150" t="str">
        <f>"vs "&amp;Comp</f>
        <v>vs Def Exit</v>
      </c>
      <c r="AA95" s="2151" t="str">
        <f>AA7</f>
        <v>FY29</v>
      </c>
      <c r="AB95" s="2150" t="str">
        <f>"vs "&amp;Comp</f>
        <v>vs Def Exit</v>
      </c>
      <c r="AC95" s="2151" t="str">
        <f>AC7</f>
        <v>FY30</v>
      </c>
      <c r="AD95" s="2150" t="str">
        <f>"vs "&amp;Comp</f>
        <v>vs Def Exit</v>
      </c>
      <c r="AE95" s="2151" t="str">
        <f>AE7</f>
        <v>FY31</v>
      </c>
      <c r="AF95" s="2150" t="str">
        <f>"vs "&amp;Comp</f>
        <v>vs Def Exit</v>
      </c>
      <c r="AG95" s="2151" t="str">
        <f>AG7</f>
        <v>FY32</v>
      </c>
      <c r="AH95" s="2150" t="str">
        <f>"vs "&amp;Comp</f>
        <v>vs Def Exit</v>
      </c>
      <c r="AI95" s="2151" t="str">
        <f>AI7</f>
        <v>FY33</v>
      </c>
      <c r="AJ95" s="2152" t="str">
        <f>"vs "&amp;Comp</f>
        <v>vs Def Exit</v>
      </c>
      <c r="AK95" s="2144" t="str">
        <f>AK7</f>
        <v>FY34</v>
      </c>
      <c r="AL95" s="2152" t="str">
        <f>"vs "&amp;Comp</f>
        <v>vs Def Exit</v>
      </c>
      <c r="AM95" s="2144" t="str">
        <f>AM7</f>
        <v>FY35</v>
      </c>
      <c r="AN95" s="2152" t="str">
        <f>"vs "&amp;Comp</f>
        <v>vs Def Exit</v>
      </c>
      <c r="AO95" s="2144" t="str">
        <f>AO7</f>
        <v>FY36</v>
      </c>
      <c r="AP95" s="2152" t="str">
        <f>"vs "&amp;Comp</f>
        <v>vs Def Exit</v>
      </c>
      <c r="AQ95" s="2144" t="str">
        <f>AQ7</f>
        <v>FY37</v>
      </c>
      <c r="AR95" s="2152" t="str">
        <f>"vs "&amp;Comp</f>
        <v>vs Def Exit</v>
      </c>
      <c r="AS95" s="2144" t="str">
        <f>AS7</f>
        <v>FY38</v>
      </c>
      <c r="AT95" s="2152" t="str">
        <f>"vs "&amp;Comp</f>
        <v>vs Def Exit</v>
      </c>
      <c r="AU95" s="2144" t="str">
        <f>AU7</f>
        <v>FY39</v>
      </c>
      <c r="AV95" s="2152" t="str">
        <f>"vs "&amp;Comp</f>
        <v>vs Def Exit</v>
      </c>
      <c r="AW95" s="2144" t="str">
        <f>AW7</f>
        <v>FY40</v>
      </c>
      <c r="AX95" s="2152" t="str">
        <f>"vs "&amp;Comp</f>
        <v>vs Def Exit</v>
      </c>
      <c r="AY95" s="2144" t="str">
        <f>AY7</f>
        <v>FY41</v>
      </c>
      <c r="AZ95" s="2152" t="str">
        <f>"vs "&amp;Comp</f>
        <v>vs Def Exit</v>
      </c>
      <c r="BA95" s="2144" t="str">
        <f>BA7</f>
        <v>FY42</v>
      </c>
      <c r="BB95" s="2152" t="str">
        <f>"vs "&amp;Comp</f>
        <v>vs Def Exit</v>
      </c>
      <c r="BC95" s="2144" t="str">
        <f>BC7</f>
        <v>FY43</v>
      </c>
      <c r="BD95" s="2152" t="str">
        <f>"vs "&amp;Comp</f>
        <v>vs Def Exit</v>
      </c>
      <c r="BE95" s="2144" t="str">
        <f>BE7</f>
        <v>FY44</v>
      </c>
      <c r="BF95" s="2152" t="str">
        <f>"vs "&amp;Comp</f>
        <v>vs Def Exit</v>
      </c>
      <c r="BG95" s="2144" t="str">
        <f>BG7</f>
        <v>FY45</v>
      </c>
      <c r="BH95" s="2152" t="str">
        <f>"vs "&amp;Comp</f>
        <v>vs Def Exit</v>
      </c>
      <c r="BI95" s="2144" t="str">
        <f>BI7</f>
        <v>FY46</v>
      </c>
      <c r="BJ95" s="2152" t="str">
        <f>"vs "&amp;Comp</f>
        <v>vs Def Exit</v>
      </c>
      <c r="BK95" s="2151" t="e">
        <f>"FY"&amp;Input!$D$48&amp;"-"&amp;Input!$D$48+9</f>
        <v>#VALUE!</v>
      </c>
      <c r="BL95" s="2153"/>
      <c r="BM95" s="2150" t="str">
        <f>"vs "&amp;Comp&amp;" H/(L)"</f>
        <v>vs Def Exit H/(L)</v>
      </c>
      <c r="BN95" s="1070"/>
      <c r="BO95" s="1070"/>
      <c r="BP95" s="2151" t="str">
        <f>"FY"&amp;CurrentFY&amp;"-"&amp;CurrentFY+14</f>
        <v>FY18-32</v>
      </c>
      <c r="BQ95" s="2260"/>
      <c r="BR95" s="2260"/>
      <c r="BS95" s="2265"/>
    </row>
    <row r="96" spans="1:71" s="2266" customFormat="1" ht="3" hidden="1" customHeight="1" outlineLevel="1" x14ac:dyDescent="0.3">
      <c r="A96" s="2260"/>
      <c r="B96" s="2154"/>
      <c r="C96" s="2155"/>
      <c r="D96" s="2156"/>
      <c r="E96" s="1201"/>
      <c r="F96" s="2157"/>
      <c r="G96" s="1201"/>
      <c r="H96" s="2157"/>
      <c r="I96" s="1201"/>
      <c r="J96" s="2157"/>
      <c r="K96" s="1201"/>
      <c r="L96" s="2157"/>
      <c r="M96" s="1201"/>
      <c r="N96" s="2157"/>
      <c r="O96" s="1201"/>
      <c r="P96" s="2157"/>
      <c r="Q96" s="1201"/>
      <c r="R96" s="2157"/>
      <c r="S96" s="1201"/>
      <c r="T96" s="2157"/>
      <c r="U96" s="2158"/>
      <c r="V96" s="1875"/>
      <c r="W96" s="2159"/>
      <c r="X96" s="1875"/>
      <c r="Y96" s="2159"/>
      <c r="Z96" s="1875"/>
      <c r="AA96" s="2159"/>
      <c r="AB96" s="1875"/>
      <c r="AC96" s="2159"/>
      <c r="AD96" s="1875"/>
      <c r="AE96" s="2159"/>
      <c r="AF96" s="1875"/>
      <c r="AG96" s="2159"/>
      <c r="AH96" s="1875"/>
      <c r="AI96" s="2159"/>
      <c r="AJ96" s="2160"/>
      <c r="AK96" s="2159"/>
      <c r="AL96" s="1876"/>
      <c r="AM96" s="2159"/>
      <c r="AN96" s="1876"/>
      <c r="AO96" s="2159"/>
      <c r="AP96" s="1876"/>
      <c r="AQ96" s="2159"/>
      <c r="AR96" s="1876"/>
      <c r="AS96" s="2159"/>
      <c r="AT96" s="1876"/>
      <c r="AU96" s="2159"/>
      <c r="AV96" s="1876"/>
      <c r="AW96" s="2159"/>
      <c r="AX96" s="1876"/>
      <c r="AY96" s="2159"/>
      <c r="AZ96" s="1876"/>
      <c r="BA96" s="2159"/>
      <c r="BB96" s="1876"/>
      <c r="BC96" s="2159"/>
      <c r="BD96" s="1876"/>
      <c r="BE96" s="2159"/>
      <c r="BF96" s="1876"/>
      <c r="BG96" s="2159"/>
      <c r="BH96" s="1876"/>
      <c r="BI96" s="2159"/>
      <c r="BJ96" s="1876"/>
      <c r="BK96" s="2159"/>
      <c r="BL96" s="2159"/>
      <c r="BM96" s="2161"/>
      <c r="BN96" s="1070"/>
      <c r="BO96" s="1070"/>
      <c r="BP96" s="1070"/>
      <c r="BQ96" s="2260"/>
      <c r="BR96" s="2260"/>
      <c r="BS96" s="2265"/>
    </row>
    <row r="97" spans="1:71" s="2266" customFormat="1" hidden="1" outlineLevel="1" x14ac:dyDescent="0.3">
      <c r="A97" s="2260"/>
      <c r="B97" s="2162" t="str">
        <f t="shared" ref="B97:B114" si="20">B75</f>
        <v>New Product Volume (k)</v>
      </c>
      <c r="C97" s="2163"/>
      <c r="D97" s="2164"/>
      <c r="E97" s="2165">
        <f>IF($D$2="$ K",Calc!G94,Calc!G94/1000)</f>
        <v>0</v>
      </c>
      <c r="F97" s="2166">
        <f>IF(Calc!AQ94=0,0,IF($D$2="$ M",Calc!CA94/1000,Calc!CA94))</f>
        <v>0</v>
      </c>
      <c r="G97" s="2167">
        <f>IF($D$2="$ K",Calc!H94,Calc!H94/1000)</f>
        <v>0</v>
      </c>
      <c r="H97" s="2166">
        <f>IF(Calc!AR94=0,0,IF($D$2="$ M",Calc!CB94/1000,Calc!CB94))</f>
        <v>0</v>
      </c>
      <c r="I97" s="2167">
        <f>IF($D$2="$ K",Calc!I94,Calc!I94/1000)</f>
        <v>0</v>
      </c>
      <c r="J97" s="2166">
        <f>IF(Calc!AS94=0,0,IF($D$2="$ M",Calc!CC94/1000,Calc!CC94))</f>
        <v>0</v>
      </c>
      <c r="K97" s="2167">
        <f>IF($D$2="$ K",Calc!J94,Calc!J94/1000)</f>
        <v>0</v>
      </c>
      <c r="L97" s="2166">
        <f>IF(Calc!AT94=0,0,IF($D$2="$ M",Calc!CD94/1000,Calc!CD94))</f>
        <v>0</v>
      </c>
      <c r="M97" s="2167">
        <f>IF($D$2="$ K",Calc!K94,Calc!K94/1000)</f>
        <v>0</v>
      </c>
      <c r="N97" s="2166">
        <f>IF(Calc!AU94=0,0,IF($D$2="$ M",Calc!CE94/1000,Calc!CE94))</f>
        <v>0</v>
      </c>
      <c r="O97" s="2167">
        <f>IF($D$2="$ K",Calc!L94,Calc!L94/1000)</f>
        <v>0</v>
      </c>
      <c r="P97" s="2166">
        <f>IF(Calc!AV94=0,0,IF($D$2="$ M",Calc!CF94/1000,Calc!CF94))</f>
        <v>0</v>
      </c>
      <c r="Q97" s="2167">
        <f>IF($D$2="$ K",Calc!M94,Calc!M94/1000)</f>
        <v>0</v>
      </c>
      <c r="R97" s="2166">
        <f>IF(Calc!AW94=0,0,IF($D$2="$ M",Calc!CG94/1000,Calc!CG94))</f>
        <v>0</v>
      </c>
      <c r="S97" s="2167">
        <f>IF($D$2="$ K",Calc!N94,Calc!N94/1000)</f>
        <v>0</v>
      </c>
      <c r="T97" s="2166">
        <f>IF(Calc!AX94=0,0,IF($D$2="$ M",Calc!CH94/1000,Calc!CH94))</f>
        <v>0</v>
      </c>
      <c r="U97" s="2167">
        <f>IF($D$2="$ K",Calc!O94,Calc!O94/1000)</f>
        <v>0</v>
      </c>
      <c r="V97" s="2166">
        <f>IF(Calc!AY94=0,0,IF($D$2="$ M",Calc!CI94/1000,Calc!CI94))</f>
        <v>0</v>
      </c>
      <c r="W97" s="2167">
        <f>IF($D$2="$ K",Calc!P94,Calc!P94/1000)</f>
        <v>0</v>
      </c>
      <c r="X97" s="2166">
        <f>IF(Calc!AZ94=0,0,IF($D$2="$ M",Calc!CJ94/1000,Calc!CJ94))</f>
        <v>0</v>
      </c>
      <c r="Y97" s="2167">
        <f>IF($D$2="$ K",Calc!Q94,Calc!Q94/1000)</f>
        <v>0</v>
      </c>
      <c r="Z97" s="2166">
        <f>IF(Calc!BA94=0,0,IF($D$2="$ M",Calc!CK94/1000,Calc!CK94))</f>
        <v>0</v>
      </c>
      <c r="AA97" s="2167">
        <f>IF($D$2="$ K",Calc!R94,Calc!R94/1000)</f>
        <v>0</v>
      </c>
      <c r="AB97" s="2166">
        <f>IF(Calc!BB94=0,0,IF($D$2="$ M",Calc!CL94/1000,Calc!CL94))</f>
        <v>0</v>
      </c>
      <c r="AC97" s="2167">
        <f>IF($D$2="$ K",Calc!S94,Calc!S94/1000)</f>
        <v>0</v>
      </c>
      <c r="AD97" s="2166">
        <f>IF(Calc!BC94=0,0,IF($D$2="$ M",Calc!CM94/1000,Calc!CM94))</f>
        <v>0</v>
      </c>
      <c r="AE97" s="2167">
        <f>IF($D$2="$ K",Calc!T94,Calc!T94/1000)</f>
        <v>0</v>
      </c>
      <c r="AF97" s="2166">
        <f>IF(Calc!BD94=0,0,IF($D$2="$ M",Calc!CN94/1000,Calc!CN94))</f>
        <v>0</v>
      </c>
      <c r="AG97" s="2167">
        <f>IF($D$2="$ K",Calc!U94,Calc!U94/1000)</f>
        <v>0</v>
      </c>
      <c r="AH97" s="2166">
        <f>IF(Calc!BE94=0,0,IF($D$2="$ M",Calc!CO94/1000,Calc!CO94))</f>
        <v>0</v>
      </c>
      <c r="AI97" s="2167">
        <f>IF($D$2="$ K",Calc!V94,Calc!V94/1000)</f>
        <v>0</v>
      </c>
      <c r="AJ97" s="2166">
        <f>IF(Calc!BF94=0,0,IF($D$2="$ M",Calc!CP94/1000,Calc!CP94))</f>
        <v>0</v>
      </c>
      <c r="AK97" s="2167">
        <f>IF($D$2="$ K",Calc!W94,Calc!W94/1000)</f>
        <v>0</v>
      </c>
      <c r="AL97" s="2166">
        <f>IF(Calc!BG94=0,0,IF($D$2="$ M",Calc!CQ94/1000,Calc!CQ94))</f>
        <v>0</v>
      </c>
      <c r="AM97" s="2167">
        <f>IF($D$2="$ K",Calc!X94,Calc!X94/1000)</f>
        <v>0</v>
      </c>
      <c r="AN97" s="2166">
        <f>IF(Calc!BH94=0,0,IF($D$2="$ M",Calc!CR94/1000,Calc!CR94))</f>
        <v>0</v>
      </c>
      <c r="AO97" s="2167">
        <f>IF($D$2="$ K",Calc!Y94,Calc!Y94/1000)</f>
        <v>0</v>
      </c>
      <c r="AP97" s="2166">
        <f>IF(Calc!BJ94=0,0,IF($D$2="$ M",Calc!CS94/1000,Calc!CS94))</f>
        <v>0</v>
      </c>
      <c r="AQ97" s="2167">
        <f>IF($D$2="$ K",Calc!Z94,Calc!Z94/1000)</f>
        <v>0</v>
      </c>
      <c r="AR97" s="2166">
        <f>IF(Calc!BL94=0,0,IF($D$2="$ M",Calc!CT94/1000,Calc!CT94))</f>
        <v>0</v>
      </c>
      <c r="AS97" s="2167">
        <f>IF($D$2="$ K",Calc!AA94,Calc!AA94/1000)</f>
        <v>0</v>
      </c>
      <c r="AT97" s="2166">
        <f>IF(Calc!BN94=0,0,IF($D$2="$ M",Calc!CU94/1000,Calc!CU94))</f>
        <v>0</v>
      </c>
      <c r="AU97" s="2167">
        <f>IF($D$2="$ K",Calc!AB94,Calc!AB94/1000)</f>
        <v>0</v>
      </c>
      <c r="AV97" s="2166">
        <f>IF(Calc!BP94=0,0,IF($D$2="$ M",Calc!CV94/1000,Calc!CV94))</f>
        <v>0</v>
      </c>
      <c r="AW97" s="2167">
        <f>IF($D$2="$ K",Calc!AC94,Calc!AC94/1000)</f>
        <v>0</v>
      </c>
      <c r="AX97" s="2166">
        <f>IF(Calc!BR94=0,0,IF($D$2="$ M",Calc!CW94/1000,Calc!CW94))</f>
        <v>0</v>
      </c>
      <c r="AY97" s="2167">
        <f>IF($D$2="$ K",Calc!AD94,Calc!AD94/1000)</f>
        <v>0</v>
      </c>
      <c r="AZ97" s="2166">
        <f>IF(Calc!BT94=0,0,IF($D$2="$ M",Calc!CX94/1000,Calc!CX94))</f>
        <v>0</v>
      </c>
      <c r="BA97" s="2167">
        <f>IF($D$2="$ K",Calc!AE94,Calc!AE94/1000)</f>
        <v>0</v>
      </c>
      <c r="BB97" s="2166">
        <f>IF(Calc!BV94=0,0,IF($D$2="$ M",Calc!CY94/1000,Calc!CY94))</f>
        <v>0</v>
      </c>
      <c r="BC97" s="2167">
        <f>IF($D$2="$ K",Calc!AF94,Calc!AF94/1000)</f>
        <v>0</v>
      </c>
      <c r="BD97" s="2166">
        <f>IF(Calc!BX94=0,0,IF($D$2="$ M",Calc!CZ94/1000,Calc!CZ94))</f>
        <v>0</v>
      </c>
      <c r="BE97" s="2167">
        <f>IF($D$2="$ K",Calc!AG94,Calc!AG94/1000)</f>
        <v>0</v>
      </c>
      <c r="BF97" s="2166">
        <f>IF(Calc!BZ94=0,0,IF($D$2="$ M",Calc!DA94/1000,Calc!DA94))</f>
        <v>0</v>
      </c>
      <c r="BG97" s="2167">
        <f>IF($D$2="$ K",Calc!AH94,Calc!AH94/1000)</f>
        <v>0</v>
      </c>
      <c r="BH97" s="2166">
        <f>IF(Calc!CB94=0,0,IF($D$2="$ M",Calc!DB94/1000,Calc!DB94))</f>
        <v>0</v>
      </c>
      <c r="BI97" s="2167">
        <f>IF($D$2="$ K",Calc!AI94,Calc!AI94/1000)</f>
        <v>0</v>
      </c>
      <c r="BJ97" s="2166">
        <f>IF(Calc!BS94=0,0,IF($D$2="$ M",Calc!DC94/1000,Calc!DC94))</f>
        <v>0</v>
      </c>
      <c r="BK97" s="2167">
        <f>IF($D$2="$ K",Calc!AJ94,Calc!AJ94/1000)</f>
        <v>0</v>
      </c>
      <c r="BL97" s="2168"/>
      <c r="BM97" s="2169">
        <f>IF(Calc!BT94=0,0,IF($D$2="$ M",Calc!DD94/1000,Calc!DD94))</f>
        <v>0</v>
      </c>
      <c r="BN97" s="1314"/>
      <c r="BO97" s="1314"/>
      <c r="BP97" s="2170">
        <f>IF($D$2="$ K",Calc!AM94,Calc!AM94/1000)</f>
        <v>0</v>
      </c>
      <c r="BQ97" s="2260"/>
      <c r="BR97" s="2260"/>
      <c r="BS97" s="2265"/>
    </row>
    <row r="98" spans="1:71" s="2266" customFormat="1" hidden="1" outlineLevel="1" x14ac:dyDescent="0.3">
      <c r="A98" s="2260"/>
      <c r="B98" s="2171" t="str">
        <f t="shared" si="20"/>
        <v>New Product ASP ($)</v>
      </c>
      <c r="C98" s="2172"/>
      <c r="D98" s="2173"/>
      <c r="E98" s="2174">
        <f>+Calc!G95</f>
        <v>0</v>
      </c>
      <c r="F98" s="2175">
        <f>IF(Calc!AQ95=0,0,Calc!CA95)</f>
        <v>0</v>
      </c>
      <c r="G98" s="2176">
        <f>+Calc!H95</f>
        <v>0</v>
      </c>
      <c r="H98" s="2175">
        <f>IF(Calc!AR95=0,0,Calc!CB95)</f>
        <v>0</v>
      </c>
      <c r="I98" s="2176">
        <f>+Calc!I95</f>
        <v>0</v>
      </c>
      <c r="J98" s="2175">
        <f>IF(Calc!AS95=0,0,Calc!CC95)</f>
        <v>0</v>
      </c>
      <c r="K98" s="2176">
        <f>+Calc!J95</f>
        <v>0</v>
      </c>
      <c r="L98" s="2175">
        <f>IF(Calc!AT95=0,0,Calc!CD95)</f>
        <v>0</v>
      </c>
      <c r="M98" s="2176">
        <f>+Calc!K95</f>
        <v>0</v>
      </c>
      <c r="N98" s="2175">
        <f>IF(Calc!AU95=0,0,Calc!CE95)</f>
        <v>0</v>
      </c>
      <c r="O98" s="2176">
        <f>+Calc!L95</f>
        <v>0</v>
      </c>
      <c r="P98" s="2175">
        <f>IF(Calc!AV95=0,0,Calc!CF95)</f>
        <v>0</v>
      </c>
      <c r="Q98" s="2176">
        <f>+Calc!M95</f>
        <v>0</v>
      </c>
      <c r="R98" s="2175">
        <f>IF(Calc!AW95=0,0,Calc!CG95)</f>
        <v>0</v>
      </c>
      <c r="S98" s="2176">
        <f>+Calc!N95</f>
        <v>0</v>
      </c>
      <c r="T98" s="2175">
        <f>IF(Calc!AX95=0,0,Calc!CH95)</f>
        <v>0</v>
      </c>
      <c r="U98" s="2176">
        <f>+Calc!O95</f>
        <v>0</v>
      </c>
      <c r="V98" s="2175">
        <f>IF(Calc!AY95=0,0,Calc!CI95)</f>
        <v>0</v>
      </c>
      <c r="W98" s="2176">
        <f>+Calc!P95</f>
        <v>0</v>
      </c>
      <c r="X98" s="2175">
        <f>IF(Calc!AZ95=0,0,Calc!CJ95)</f>
        <v>0</v>
      </c>
      <c r="Y98" s="2176">
        <f>+Calc!Q95</f>
        <v>0</v>
      </c>
      <c r="Z98" s="2175">
        <f>IF(Calc!BA95=0,0,Calc!CK95)</f>
        <v>0</v>
      </c>
      <c r="AA98" s="2176">
        <f>+Calc!R95</f>
        <v>0</v>
      </c>
      <c r="AB98" s="2175">
        <f>IF(Calc!BB95=0,0,Calc!CL95)</f>
        <v>0</v>
      </c>
      <c r="AC98" s="2176">
        <f>+Calc!S95</f>
        <v>0</v>
      </c>
      <c r="AD98" s="2175">
        <f>IF(Calc!BC95=0,0,Calc!CM95)</f>
        <v>0</v>
      </c>
      <c r="AE98" s="2176">
        <f>+Calc!T95</f>
        <v>0</v>
      </c>
      <c r="AF98" s="2175">
        <f>IF(Calc!BD95=0,0,Calc!CN95)</f>
        <v>0</v>
      </c>
      <c r="AG98" s="2176">
        <f>+Calc!U95</f>
        <v>0</v>
      </c>
      <c r="AH98" s="2175">
        <f>IF(Calc!BE95=0,0,Calc!CO95)</f>
        <v>0</v>
      </c>
      <c r="AI98" s="2176">
        <f>+Calc!V95</f>
        <v>0</v>
      </c>
      <c r="AJ98" s="2175">
        <f>IF(Calc!BF95=0,0,Calc!CP95)</f>
        <v>0</v>
      </c>
      <c r="AK98" s="2176">
        <f>+Calc!W95</f>
        <v>0</v>
      </c>
      <c r="AL98" s="2175">
        <f>IF(Calc!BG95=0,0,Calc!CQ95)</f>
        <v>0</v>
      </c>
      <c r="AM98" s="2176">
        <f>+Calc!X95</f>
        <v>0</v>
      </c>
      <c r="AN98" s="2175">
        <f>IF(Calc!BH95=0,0,Calc!CR95)</f>
        <v>0</v>
      </c>
      <c r="AO98" s="2176">
        <f>+Calc!Y95</f>
        <v>0</v>
      </c>
      <c r="AP98" s="2175">
        <f>IF(Calc!BJ95=0,0,Calc!CS95)</f>
        <v>0</v>
      </c>
      <c r="AQ98" s="2176">
        <f>+Calc!Z95</f>
        <v>0</v>
      </c>
      <c r="AR98" s="2175">
        <f>IF(Calc!BL95=0,0,Calc!CT95)</f>
        <v>0</v>
      </c>
      <c r="AS98" s="2176">
        <f>+Calc!AA95</f>
        <v>0</v>
      </c>
      <c r="AT98" s="2175">
        <f>IF(Calc!BN95=0,0,Calc!CU95)</f>
        <v>0</v>
      </c>
      <c r="AU98" s="2176">
        <f>+Calc!AB95</f>
        <v>0</v>
      </c>
      <c r="AV98" s="2175">
        <f>IF(Calc!BP95=0,0,Calc!CV95)</f>
        <v>0</v>
      </c>
      <c r="AW98" s="2176">
        <f>+Calc!AC95</f>
        <v>0</v>
      </c>
      <c r="AX98" s="2175">
        <f>IF(Calc!BR95=0,0,Calc!CW95)</f>
        <v>0</v>
      </c>
      <c r="AY98" s="2176">
        <f>+Calc!AD95</f>
        <v>0</v>
      </c>
      <c r="AZ98" s="2175" t="e">
        <f>IF(Calc!BT95=0,0,Calc!CX95)</f>
        <v>#DIV/0!</v>
      </c>
      <c r="BA98" s="2176">
        <f>+Calc!AE95</f>
        <v>0</v>
      </c>
      <c r="BB98" s="2175">
        <f>IF(Calc!BV95=0,0,Calc!CY95)</f>
        <v>0</v>
      </c>
      <c r="BC98" s="2176">
        <f>+Calc!AF95</f>
        <v>0</v>
      </c>
      <c r="BD98" s="2175">
        <f>IF(Calc!BX95=0,0,Calc!CZ95)</f>
        <v>0</v>
      </c>
      <c r="BE98" s="2176">
        <f>+Calc!AG95</f>
        <v>0</v>
      </c>
      <c r="BF98" s="2175">
        <f>IF(Calc!BZ95=0,0,Calc!DA95)</f>
        <v>0</v>
      </c>
      <c r="BG98" s="2176">
        <f>+Calc!AH95</f>
        <v>0</v>
      </c>
      <c r="BH98" s="2175">
        <f>IF(Calc!CB95=0,0,Calc!DB95)</f>
        <v>0</v>
      </c>
      <c r="BI98" s="2176">
        <f>+Calc!AI95</f>
        <v>0</v>
      </c>
      <c r="BJ98" s="2175">
        <f>IF(Calc!BS95=0,0,Calc!DC95)</f>
        <v>0</v>
      </c>
      <c r="BK98" s="2176" t="e">
        <f>+Calc!AJ95</f>
        <v>#DIV/0!</v>
      </c>
      <c r="BL98" s="2177"/>
      <c r="BM98" s="2178" t="e">
        <f>IF(Calc!BT95=0,0,Calc!DD95)</f>
        <v>#DIV/0!</v>
      </c>
      <c r="BN98" s="1314"/>
      <c r="BO98" s="1314"/>
      <c r="BP98" s="2179"/>
      <c r="BQ98" s="2260"/>
      <c r="BR98" s="2260"/>
      <c r="BS98" s="2265"/>
    </row>
    <row r="99" spans="1:71" s="2269" customFormat="1" ht="18" hidden="1" outlineLevel="1" x14ac:dyDescent="0.35">
      <c r="A99" s="2267"/>
      <c r="B99" s="2180" t="s">
        <v>1573</v>
      </c>
      <c r="C99" s="2181"/>
      <c r="D99" s="2182"/>
      <c r="E99" s="2183">
        <f>IF($D$2="$ K",Calc!G96,Calc!G96/1000)</f>
        <v>0</v>
      </c>
      <c r="F99" s="2184">
        <f>IF(Calc!AQ96=0,0,IF($D$2="$ M",Calc!CA96/1000,Calc!CA96))</f>
        <v>0</v>
      </c>
      <c r="G99" s="2185">
        <f>IF($D$2="$ K",Calc!H96,Calc!H96/1000)</f>
        <v>0</v>
      </c>
      <c r="H99" s="2184">
        <f>IF(Calc!AR96=0,0,IF($D$2="$ M",Calc!CB96/1000,Calc!CB96))</f>
        <v>0</v>
      </c>
      <c r="I99" s="2185">
        <f>IF($D$2="$ K",Calc!I96,Calc!I96/1000)</f>
        <v>0</v>
      </c>
      <c r="J99" s="2184">
        <f>IF(Calc!AS96=0,0,IF($D$2="$ M",Calc!CC96/1000,Calc!CC96))</f>
        <v>0</v>
      </c>
      <c r="K99" s="2185">
        <f>IF($D$2="$ K",Calc!J96,Calc!J96/1000)</f>
        <v>0</v>
      </c>
      <c r="L99" s="2184">
        <f>IF(Calc!AT96=0,0,IF($D$2="$ M",Calc!CD96/1000,Calc!CD96))</f>
        <v>0</v>
      </c>
      <c r="M99" s="2185">
        <f>IF($D$2="$ K",Calc!K96,Calc!K96/1000)</f>
        <v>0</v>
      </c>
      <c r="N99" s="2184">
        <f>IF(Calc!AU96=0,0,IF($D$2="$ M",Calc!CE96/1000,Calc!CE96))</f>
        <v>0</v>
      </c>
      <c r="O99" s="2185">
        <f>IF($D$2="$ K",Calc!L96,Calc!L96/1000)</f>
        <v>0</v>
      </c>
      <c r="P99" s="2184">
        <f>IF(Calc!AV96=0,0,IF($D$2="$ M",Calc!CF96/1000,Calc!CF96))</f>
        <v>0</v>
      </c>
      <c r="Q99" s="2185">
        <f>IF($D$2="$ K",Calc!M96,Calc!M96/1000)</f>
        <v>0</v>
      </c>
      <c r="R99" s="2184">
        <f>IF(Calc!AW96=0,0,IF($D$2="$ M",Calc!CG96/1000,Calc!CG96))</f>
        <v>0</v>
      </c>
      <c r="S99" s="2185">
        <f>IF($D$2="$ K",Calc!N96,Calc!N96/1000)</f>
        <v>0</v>
      </c>
      <c r="T99" s="2184">
        <f>IF(Calc!AX96=0,0,IF($D$2="$ M",Calc!CH96/1000,Calc!CH96))</f>
        <v>0</v>
      </c>
      <c r="U99" s="2185">
        <f>IF($D$2="$ K",Calc!O96,Calc!O96/1000)</f>
        <v>0</v>
      </c>
      <c r="V99" s="2184">
        <f>IF(Calc!AY96=0,0,IF($D$2="$ M",Calc!CI96/1000,Calc!CI96))</f>
        <v>0</v>
      </c>
      <c r="W99" s="2185">
        <f>IF($D$2="$ K",Calc!P96,Calc!P96/1000)</f>
        <v>0</v>
      </c>
      <c r="X99" s="2184">
        <f>IF(Calc!AZ96=0,0,IF($D$2="$ M",Calc!CJ96/1000,Calc!CJ96))</f>
        <v>0</v>
      </c>
      <c r="Y99" s="2185">
        <f>IF($D$2="$ K",Calc!Q96,Calc!Q96/1000)</f>
        <v>0</v>
      </c>
      <c r="Z99" s="2184">
        <f>IF(Calc!BA96=0,0,IF($D$2="$ M",Calc!CK96/1000,Calc!CK96))</f>
        <v>0</v>
      </c>
      <c r="AA99" s="2185">
        <f>IF($D$2="$ K",Calc!R96,Calc!R96/1000)</f>
        <v>0</v>
      </c>
      <c r="AB99" s="2184">
        <f>IF(Calc!BB96=0,0,IF($D$2="$ M",Calc!CL96/1000,Calc!CL96))</f>
        <v>0</v>
      </c>
      <c r="AC99" s="2185">
        <f>IF($D$2="$ K",Calc!S96,Calc!S96/1000)</f>
        <v>0</v>
      </c>
      <c r="AD99" s="2184">
        <f>IF(Calc!BC96=0,0,IF($D$2="$ M",Calc!CM96/1000,Calc!CM96))</f>
        <v>0</v>
      </c>
      <c r="AE99" s="2185">
        <f>IF($D$2="$ K",Calc!T96,Calc!T96/1000)</f>
        <v>0</v>
      </c>
      <c r="AF99" s="2184">
        <f>IF(Calc!BD96=0,0,IF($D$2="$ M",Calc!CN96/1000,Calc!CN96))</f>
        <v>0</v>
      </c>
      <c r="AG99" s="2185">
        <f>IF($D$2="$ K",Calc!U96,Calc!U96/1000)</f>
        <v>0</v>
      </c>
      <c r="AH99" s="2184">
        <f>IF(Calc!BE96=0,0,IF($D$2="$ M",Calc!CO96/1000,Calc!CO96))</f>
        <v>0</v>
      </c>
      <c r="AI99" s="2185">
        <f>IF($D$2="$ K",Calc!V96,Calc!V96/1000)</f>
        <v>0</v>
      </c>
      <c r="AJ99" s="2184">
        <f>IF(Calc!BF96=0,0,IF($D$2="$ M",Calc!CP96/1000,Calc!CP96))</f>
        <v>0</v>
      </c>
      <c r="AK99" s="2185">
        <f>IF($D$2="$ K",Calc!W96,Calc!W96/1000)</f>
        <v>0</v>
      </c>
      <c r="AL99" s="2184">
        <f>IF(Calc!BG96=0,0,IF($D$2="$ M",Calc!CQ96/1000,Calc!CQ96))</f>
        <v>0</v>
      </c>
      <c r="AM99" s="2185">
        <f>IF($D$2="$ K",Calc!X96,Calc!X96/1000)</f>
        <v>0</v>
      </c>
      <c r="AN99" s="2184">
        <f>IF(Calc!BH96=0,0,IF($D$2="$ M",Calc!CR96/1000,Calc!CR96))</f>
        <v>0</v>
      </c>
      <c r="AO99" s="2185">
        <f>IF($D$2="$ K",Calc!Y96,Calc!Y96/1000)</f>
        <v>0</v>
      </c>
      <c r="AP99" s="2184">
        <f>IF(Calc!BJ96=0,0,IF($D$2="$ M",Calc!CS96/1000,Calc!CS96))</f>
        <v>0</v>
      </c>
      <c r="AQ99" s="2185">
        <f>IF($D$2="$ K",Calc!Z96,Calc!Z96/1000)</f>
        <v>0</v>
      </c>
      <c r="AR99" s="2184">
        <f>IF(Calc!BL96=0,0,IF($D$2="$ M",Calc!CT96/1000,Calc!CT96))</f>
        <v>0</v>
      </c>
      <c r="AS99" s="2185">
        <f>IF($D$2="$ K",Calc!AA96,Calc!AA96/1000)</f>
        <v>0</v>
      </c>
      <c r="AT99" s="2184">
        <f>IF(Calc!BN96=0,0,IF($D$2="$ M",Calc!CU96/1000,Calc!CU96))</f>
        <v>0</v>
      </c>
      <c r="AU99" s="2185">
        <f>IF($D$2="$ K",Calc!AB96,Calc!AB96/1000)</f>
        <v>0</v>
      </c>
      <c r="AV99" s="2184">
        <f>IF(Calc!BP96=0,0,IF($D$2="$ M",Calc!CV96/1000,Calc!CV96))</f>
        <v>0</v>
      </c>
      <c r="AW99" s="2185">
        <f>IF($D$2="$ K",Calc!AC96,Calc!AC96/1000)</f>
        <v>0</v>
      </c>
      <c r="AX99" s="2184">
        <f>IF(Calc!BR96=0,0,IF($D$2="$ M",Calc!CW96/1000,Calc!CW96))</f>
        <v>0</v>
      </c>
      <c r="AY99" s="2185">
        <f>IF($D$2="$ K",Calc!AD96,Calc!AD96/1000)</f>
        <v>0</v>
      </c>
      <c r="AZ99" s="2184">
        <f>IF(Calc!BT96=0,0,IF($D$2="$ M",Calc!CX96/1000,Calc!CX96))</f>
        <v>0</v>
      </c>
      <c r="BA99" s="2185">
        <f>IF($D$2="$ K",Calc!AE96,Calc!AE96/1000)</f>
        <v>0</v>
      </c>
      <c r="BB99" s="2184">
        <f>IF(Calc!BV96=0,0,IF($D$2="$ M",Calc!CY96/1000,Calc!CY96))</f>
        <v>0</v>
      </c>
      <c r="BC99" s="2185">
        <f>IF($D$2="$ K",Calc!AF96,Calc!AF96/1000)</f>
        <v>0</v>
      </c>
      <c r="BD99" s="2184">
        <f>IF(Calc!BX96=0,0,IF($D$2="$ M",Calc!CZ96/1000,Calc!CZ96))</f>
        <v>0</v>
      </c>
      <c r="BE99" s="2185">
        <f>IF($D$2="$ K",Calc!AG96,Calc!AG96/1000)</f>
        <v>0</v>
      </c>
      <c r="BF99" s="2184">
        <f>IF(Calc!BZ96=0,0,IF($D$2="$ M",Calc!DA96/1000,Calc!DA96))</f>
        <v>0</v>
      </c>
      <c r="BG99" s="2185">
        <f>IF($D$2="$ K",Calc!AH96,Calc!AH96/1000)</f>
        <v>0</v>
      </c>
      <c r="BH99" s="2184">
        <f>IF(Calc!CB96=0,0,IF($D$2="$ M",Calc!DB96/1000,Calc!DB96))</f>
        <v>0</v>
      </c>
      <c r="BI99" s="2185">
        <f>IF($D$2="$ K",Calc!AI96,Calc!AI96/1000)</f>
        <v>0</v>
      </c>
      <c r="BJ99" s="2184">
        <f>IF(Calc!BS96=0,0,IF($D$2="$ M",Calc!DC96/1000,Calc!DC96))</f>
        <v>0</v>
      </c>
      <c r="BK99" s="2185">
        <f>IF($D$2="$ K",Calc!AJ96,Calc!AJ96/1000)</f>
        <v>0</v>
      </c>
      <c r="BL99" s="2186"/>
      <c r="BM99" s="2187">
        <f>IF(Calc!BT96=0,0,IF($D$2="$ M",Calc!DD96/1000,Calc!DD96))</f>
        <v>0</v>
      </c>
      <c r="BN99" s="1260"/>
      <c r="BO99" s="1260"/>
      <c r="BP99" s="2188">
        <f>IF($D$2="$ K",Calc!AM96,Calc!AM96/1000)</f>
        <v>0</v>
      </c>
      <c r="BQ99" s="2267"/>
      <c r="BR99" s="2267"/>
      <c r="BS99" s="2268"/>
    </row>
    <row r="100" spans="1:71" s="2266" customFormat="1" hidden="1" outlineLevel="1" x14ac:dyDescent="0.3">
      <c r="A100" s="2260"/>
      <c r="B100" s="1217" t="str">
        <f t="shared" si="20"/>
        <v xml:space="preserve">   Less: Cannibilzation</v>
      </c>
      <c r="C100" s="1099"/>
      <c r="D100" s="2190"/>
      <c r="E100" s="2191">
        <f>IF($D$2="$ K",Calc!G97,Calc!G97/1000)</f>
        <v>0</v>
      </c>
      <c r="F100" s="1891">
        <f>IF(Calc!AQ97=0,0,IF($D$2="$ M",Calc!CA97/1000,Calc!CA97))</f>
        <v>0</v>
      </c>
      <c r="G100" s="2192">
        <f>IF($D$2="$ K",Calc!H97,Calc!H97/1000)</f>
        <v>0</v>
      </c>
      <c r="H100" s="1891">
        <f>IF(Calc!AR97=0,0,IF($D$2="$ M",Calc!CB97/1000,Calc!CB97))</f>
        <v>0</v>
      </c>
      <c r="I100" s="2192">
        <f>IF($D$2="$ K",Calc!I97,Calc!I97/1000)</f>
        <v>0</v>
      </c>
      <c r="J100" s="1891">
        <f>IF(Calc!AS97=0,0,IF($D$2="$ M",Calc!CC97/1000,Calc!CC97))</f>
        <v>0</v>
      </c>
      <c r="K100" s="2192">
        <f>IF($D$2="$ K",Calc!J97,Calc!J97/1000)</f>
        <v>0</v>
      </c>
      <c r="L100" s="1891">
        <f>IF(Calc!AT97=0,0,IF($D$2="$ M",Calc!CD97/1000,Calc!CD97))</f>
        <v>0</v>
      </c>
      <c r="M100" s="2192">
        <f>IF($D$2="$ K",Calc!K97,Calc!K97/1000)</f>
        <v>0</v>
      </c>
      <c r="N100" s="1891">
        <f>IF(Calc!AU97=0,0,IF($D$2="$ M",Calc!CE97/1000,Calc!CE97))</f>
        <v>0</v>
      </c>
      <c r="O100" s="2192">
        <f>IF($D$2="$ K",Calc!L97,Calc!L97/1000)</f>
        <v>0</v>
      </c>
      <c r="P100" s="1891">
        <f>IF(Calc!AV97=0,0,IF($D$2="$ M",Calc!CF97/1000,Calc!CF97))</f>
        <v>0</v>
      </c>
      <c r="Q100" s="2192">
        <f>IF($D$2="$ K",Calc!M97,Calc!M97/1000)</f>
        <v>0</v>
      </c>
      <c r="R100" s="1891">
        <f>IF(Calc!AW97=0,0,IF($D$2="$ M",Calc!CG97/1000,Calc!CG97))</f>
        <v>0</v>
      </c>
      <c r="S100" s="2192">
        <f>IF($D$2="$ K",Calc!N97,Calc!N97/1000)</f>
        <v>0</v>
      </c>
      <c r="T100" s="1891">
        <f>IF(Calc!AX97=0,0,IF($D$2="$ M",Calc!CH97/1000,Calc!CH97))</f>
        <v>0</v>
      </c>
      <c r="U100" s="2192">
        <f>IF($D$2="$ K",Calc!O97,Calc!O97/1000)</f>
        <v>0</v>
      </c>
      <c r="V100" s="1891">
        <f>IF(Calc!AY97=0,0,IF($D$2="$ M",Calc!CI97/1000,Calc!CI97))</f>
        <v>0</v>
      </c>
      <c r="W100" s="2192">
        <f>IF($D$2="$ K",Calc!P97,Calc!P97/1000)</f>
        <v>0</v>
      </c>
      <c r="X100" s="1891">
        <f>IF(Calc!AZ97=0,0,IF($D$2="$ M",Calc!CJ97/1000,Calc!CJ97))</f>
        <v>0</v>
      </c>
      <c r="Y100" s="2192">
        <f>IF($D$2="$ K",Calc!Q97,Calc!Q97/1000)</f>
        <v>0</v>
      </c>
      <c r="Z100" s="1891">
        <f>IF(Calc!BA97=0,0,IF($D$2="$ M",Calc!CK97/1000,Calc!CK97))</f>
        <v>0</v>
      </c>
      <c r="AA100" s="2192">
        <f>IF($D$2="$ K",Calc!R97,Calc!R97/1000)</f>
        <v>0</v>
      </c>
      <c r="AB100" s="1891">
        <f>IF(Calc!BB97=0,0,IF($D$2="$ M",Calc!CL97/1000,Calc!CL97))</f>
        <v>0</v>
      </c>
      <c r="AC100" s="2192">
        <f>IF($D$2="$ K",Calc!S97,Calc!S97/1000)</f>
        <v>0</v>
      </c>
      <c r="AD100" s="1891">
        <f>IF(Calc!BC97=0,0,IF($D$2="$ M",Calc!CM97/1000,Calc!CM97))</f>
        <v>0</v>
      </c>
      <c r="AE100" s="2192">
        <f>IF($D$2="$ K",Calc!T97,Calc!T97/1000)</f>
        <v>0</v>
      </c>
      <c r="AF100" s="1891">
        <f>IF(Calc!BD97=0,0,IF($D$2="$ M",Calc!CN97/1000,Calc!CN97))</f>
        <v>0</v>
      </c>
      <c r="AG100" s="2192">
        <f>IF($D$2="$ K",Calc!U97,Calc!U97/1000)</f>
        <v>0</v>
      </c>
      <c r="AH100" s="1891">
        <f>IF(Calc!BE97=0,0,IF($D$2="$ M",Calc!CO97/1000,Calc!CO97))</f>
        <v>0</v>
      </c>
      <c r="AI100" s="2192">
        <f>IF($D$2="$ K",Calc!V97,Calc!V97/1000)</f>
        <v>0</v>
      </c>
      <c r="AJ100" s="1891">
        <f>IF(Calc!BF97=0,0,IF($D$2="$ M",Calc!CP97/1000,Calc!CP97))</f>
        <v>0</v>
      </c>
      <c r="AK100" s="2192">
        <f>IF($D$2="$ K",Calc!W97,Calc!W97/1000)</f>
        <v>0</v>
      </c>
      <c r="AL100" s="1891">
        <f>IF(Calc!BG97=0,0,IF($D$2="$ M",Calc!CQ97/1000,Calc!CQ97))</f>
        <v>0</v>
      </c>
      <c r="AM100" s="2192">
        <f>IF($D$2="$ K",Calc!X97,Calc!X97/1000)</f>
        <v>0</v>
      </c>
      <c r="AN100" s="1891">
        <f>IF(Calc!BH97=0,0,IF($D$2="$ M",Calc!CR97/1000,Calc!CR97))</f>
        <v>0</v>
      </c>
      <c r="AO100" s="2192">
        <f>IF($D$2="$ K",Calc!Y97,Calc!Y97/1000)</f>
        <v>0</v>
      </c>
      <c r="AP100" s="1891">
        <f>IF(Calc!BJ97=0,0,IF($D$2="$ M",Calc!CS97/1000,Calc!CS97))</f>
        <v>0</v>
      </c>
      <c r="AQ100" s="2192">
        <f>IF($D$2="$ K",Calc!Z97,Calc!Z97/1000)</f>
        <v>0</v>
      </c>
      <c r="AR100" s="1891">
        <f>IF(Calc!BL97=0,0,IF($D$2="$ M",Calc!CT97/1000,Calc!CT97))</f>
        <v>0</v>
      </c>
      <c r="AS100" s="2192">
        <f>IF($D$2="$ K",Calc!AA97,Calc!AA97/1000)</f>
        <v>0</v>
      </c>
      <c r="AT100" s="1891">
        <f>IF(Calc!BN97=0,0,IF($D$2="$ M",Calc!CU97/1000,Calc!CU97))</f>
        <v>0</v>
      </c>
      <c r="AU100" s="2192">
        <f>IF($D$2="$ K",Calc!AB97,Calc!AB97/1000)</f>
        <v>0</v>
      </c>
      <c r="AV100" s="1891">
        <f>IF(Calc!BP97=0,0,IF($D$2="$ M",Calc!CV97/1000,Calc!CV97))</f>
        <v>0</v>
      </c>
      <c r="AW100" s="2192">
        <f>IF($D$2="$ K",Calc!AC97,Calc!AC97/1000)</f>
        <v>0</v>
      </c>
      <c r="AX100" s="1891">
        <f>IF(Calc!BR97=0,0,IF($D$2="$ M",Calc!CW97/1000,Calc!CW97))</f>
        <v>0</v>
      </c>
      <c r="AY100" s="2192">
        <f>IF($D$2="$ K",Calc!AD97,Calc!AD97/1000)</f>
        <v>0</v>
      </c>
      <c r="AZ100" s="1891">
        <f>IF(Calc!BT97=0,0,IF($D$2="$ M",Calc!CX97/1000,Calc!CX97))</f>
        <v>0</v>
      </c>
      <c r="BA100" s="2192">
        <f>IF($D$2="$ K",Calc!AE97,Calc!AE97/1000)</f>
        <v>0</v>
      </c>
      <c r="BB100" s="1891">
        <f>IF(Calc!BV97=0,0,IF($D$2="$ M",Calc!CY97/1000,Calc!CY97))</f>
        <v>0</v>
      </c>
      <c r="BC100" s="2192">
        <f>IF($D$2="$ K",Calc!AF97,Calc!AF97/1000)</f>
        <v>0</v>
      </c>
      <c r="BD100" s="1891">
        <f>IF(Calc!BX97=0,0,IF($D$2="$ M",Calc!CZ97/1000,Calc!CZ97))</f>
        <v>0</v>
      </c>
      <c r="BE100" s="2192">
        <f>IF($D$2="$ K",Calc!AG97,Calc!AG97/1000)</f>
        <v>0</v>
      </c>
      <c r="BF100" s="1891">
        <f>IF(Calc!BZ97=0,0,IF($D$2="$ M",Calc!DA97/1000,Calc!DA97))</f>
        <v>0</v>
      </c>
      <c r="BG100" s="2192">
        <f>IF($D$2="$ K",Calc!AH97,Calc!AH97/1000)</f>
        <v>0</v>
      </c>
      <c r="BH100" s="1891">
        <f>IF(Calc!CB97=0,0,IF($D$2="$ M",Calc!DB97/1000,Calc!DB97))</f>
        <v>0</v>
      </c>
      <c r="BI100" s="2192">
        <f>IF($D$2="$ K",Calc!AI97,Calc!AI97/1000)</f>
        <v>0</v>
      </c>
      <c r="BJ100" s="1891">
        <f>IF(Calc!BS97=0,0,IF($D$2="$ M",Calc!DC97/1000,Calc!DC97))</f>
        <v>0</v>
      </c>
      <c r="BK100" s="2192">
        <f>IF($D$2="$ K",Calc!AJ97,Calc!AJ97/1000)</f>
        <v>0</v>
      </c>
      <c r="BL100" s="2193"/>
      <c r="BM100" s="1897">
        <f>IF(Calc!BT97=0,0,IF($D$2="$ M",Calc!DD97/1000,Calc!DD97))</f>
        <v>0</v>
      </c>
      <c r="BN100" s="2189"/>
      <c r="BO100" s="1070"/>
      <c r="BP100" s="2194">
        <f>IF($D$2="$ K",Calc!AM97,Calc!AM97/1000)</f>
        <v>0</v>
      </c>
      <c r="BQ100" s="2260"/>
      <c r="BR100" s="2260"/>
      <c r="BS100" s="2265"/>
    </row>
    <row r="101" spans="1:71" s="2266" customFormat="1" hidden="1" outlineLevel="1" x14ac:dyDescent="0.3">
      <c r="A101" s="2260"/>
      <c r="B101" s="2197" t="str">
        <f t="shared" si="20"/>
        <v xml:space="preserve">   Add: Pull Through</v>
      </c>
      <c r="C101" s="1099"/>
      <c r="D101" s="2190"/>
      <c r="E101" s="2191">
        <f>IF($D$2="$ K",Calc!G98,Calc!G98/1000)</f>
        <v>0</v>
      </c>
      <c r="F101" s="1891">
        <f>IF(Calc!AQ98=0,0,IF($D$2="$ M",Calc!CA98/1000,Calc!CA98))</f>
        <v>0</v>
      </c>
      <c r="G101" s="2192">
        <f>IF($D$2="$ K",Calc!H98,Calc!H98/1000)</f>
        <v>0</v>
      </c>
      <c r="H101" s="1891">
        <f>IF(Calc!AR98=0,0,IF($D$2="$ M",Calc!CB98/1000,Calc!CB98))</f>
        <v>0</v>
      </c>
      <c r="I101" s="2192">
        <f>IF($D$2="$ K",Calc!I98,Calc!I98/1000)</f>
        <v>0</v>
      </c>
      <c r="J101" s="1891">
        <f>IF(Calc!AS98=0,0,IF($D$2="$ M",Calc!CC98/1000,Calc!CC98))</f>
        <v>0</v>
      </c>
      <c r="K101" s="2192">
        <f>IF($D$2="$ K",Calc!J98,Calc!J98/1000)</f>
        <v>0</v>
      </c>
      <c r="L101" s="1891">
        <f>IF(Calc!AT98=0,0,IF($D$2="$ M",Calc!CD98/1000,Calc!CD98))</f>
        <v>0</v>
      </c>
      <c r="M101" s="2192">
        <f>IF($D$2="$ K",Calc!K98,Calc!K98/1000)</f>
        <v>0</v>
      </c>
      <c r="N101" s="1891">
        <f>IF(Calc!AU98=0,0,IF($D$2="$ M",Calc!CE98/1000,Calc!CE98))</f>
        <v>0</v>
      </c>
      <c r="O101" s="2192">
        <f>IF($D$2="$ K",Calc!L98,Calc!L98/1000)</f>
        <v>0</v>
      </c>
      <c r="P101" s="1891">
        <f>IF(Calc!AV98=0,0,IF($D$2="$ M",Calc!CF98/1000,Calc!CF98))</f>
        <v>0</v>
      </c>
      <c r="Q101" s="2192">
        <f>IF($D$2="$ K",Calc!M98,Calc!M98/1000)</f>
        <v>0</v>
      </c>
      <c r="R101" s="1891">
        <f>IF(Calc!AW98=0,0,IF($D$2="$ M",Calc!CG98/1000,Calc!CG98))</f>
        <v>0</v>
      </c>
      <c r="S101" s="2192">
        <f>IF($D$2="$ K",Calc!N98,Calc!N98/1000)</f>
        <v>0</v>
      </c>
      <c r="T101" s="1891">
        <f>IF(Calc!AX98=0,0,IF($D$2="$ M",Calc!CH98/1000,Calc!CH98))</f>
        <v>0</v>
      </c>
      <c r="U101" s="2192">
        <f>IF($D$2="$ K",Calc!O98,Calc!O98/1000)</f>
        <v>0</v>
      </c>
      <c r="V101" s="1891">
        <f>IF(Calc!AY98=0,0,IF($D$2="$ M",Calc!CI98/1000,Calc!CI98))</f>
        <v>0</v>
      </c>
      <c r="W101" s="2192">
        <f>IF($D$2="$ K",Calc!P98,Calc!P98/1000)</f>
        <v>0</v>
      </c>
      <c r="X101" s="1891">
        <f>IF(Calc!AZ98=0,0,IF($D$2="$ M",Calc!CJ98/1000,Calc!CJ98))</f>
        <v>0</v>
      </c>
      <c r="Y101" s="2192">
        <f>IF($D$2="$ K",Calc!Q98,Calc!Q98/1000)</f>
        <v>0</v>
      </c>
      <c r="Z101" s="1891">
        <f>IF(Calc!BA98=0,0,IF($D$2="$ M",Calc!CK98/1000,Calc!CK98))</f>
        <v>0</v>
      </c>
      <c r="AA101" s="2192">
        <f>IF($D$2="$ K",Calc!R98,Calc!R98/1000)</f>
        <v>0</v>
      </c>
      <c r="AB101" s="1891">
        <f>IF(Calc!BB98=0,0,IF($D$2="$ M",Calc!CL98/1000,Calc!CL98))</f>
        <v>0</v>
      </c>
      <c r="AC101" s="2192">
        <f>IF($D$2="$ K",Calc!S98,Calc!S98/1000)</f>
        <v>0</v>
      </c>
      <c r="AD101" s="1891">
        <f>IF(Calc!BC98=0,0,IF($D$2="$ M",Calc!CM98/1000,Calc!CM98))</f>
        <v>0</v>
      </c>
      <c r="AE101" s="2192">
        <f>IF($D$2="$ K",Calc!T98,Calc!T98/1000)</f>
        <v>0</v>
      </c>
      <c r="AF101" s="1891">
        <f>IF(Calc!BD98=0,0,IF($D$2="$ M",Calc!CN98/1000,Calc!CN98))</f>
        <v>0</v>
      </c>
      <c r="AG101" s="2192">
        <f>IF($D$2="$ K",Calc!U98,Calc!U98/1000)</f>
        <v>0</v>
      </c>
      <c r="AH101" s="1891">
        <f>IF(Calc!BE98=0,0,IF($D$2="$ M",Calc!CO98/1000,Calc!CO98))</f>
        <v>0</v>
      </c>
      <c r="AI101" s="2192">
        <f>IF($D$2="$ K",Calc!V98,Calc!V98/1000)</f>
        <v>0</v>
      </c>
      <c r="AJ101" s="1891">
        <f>IF(Calc!BF98=0,0,IF($D$2="$ M",Calc!CP98/1000,Calc!CP98))</f>
        <v>0</v>
      </c>
      <c r="AK101" s="2192">
        <f>IF($D$2="$ K",Calc!W98,Calc!W98/1000)</f>
        <v>0</v>
      </c>
      <c r="AL101" s="1891">
        <f>IF(Calc!BG98=0,0,IF($D$2="$ M",Calc!CQ98/1000,Calc!CQ98))</f>
        <v>0</v>
      </c>
      <c r="AM101" s="2192">
        <f>IF($D$2="$ K",Calc!X98,Calc!X98/1000)</f>
        <v>0</v>
      </c>
      <c r="AN101" s="1891">
        <f>IF(Calc!BH98=0,0,IF($D$2="$ M",Calc!CR98/1000,Calc!CR98))</f>
        <v>0</v>
      </c>
      <c r="AO101" s="2192">
        <f>IF($D$2="$ K",Calc!Y98,Calc!Y98/1000)</f>
        <v>0</v>
      </c>
      <c r="AP101" s="1891">
        <f>IF(Calc!BJ98=0,0,IF($D$2="$ M",Calc!CS98/1000,Calc!CS98))</f>
        <v>0</v>
      </c>
      <c r="AQ101" s="2192">
        <f>IF($D$2="$ K",Calc!Z98,Calc!Z98/1000)</f>
        <v>0</v>
      </c>
      <c r="AR101" s="1891">
        <f>IF(Calc!BL98=0,0,IF($D$2="$ M",Calc!CT98/1000,Calc!CT98))</f>
        <v>0</v>
      </c>
      <c r="AS101" s="2192">
        <f>IF($D$2="$ K",Calc!AA98,Calc!AA98/1000)</f>
        <v>0</v>
      </c>
      <c r="AT101" s="1891">
        <f>IF(Calc!BN98=0,0,IF($D$2="$ M",Calc!CU98/1000,Calc!CU98))</f>
        <v>0</v>
      </c>
      <c r="AU101" s="2192">
        <f>IF($D$2="$ K",Calc!AB98,Calc!AB98/1000)</f>
        <v>0</v>
      </c>
      <c r="AV101" s="1891">
        <f>IF(Calc!BP98=0,0,IF($D$2="$ M",Calc!CV98/1000,Calc!CV98))</f>
        <v>0</v>
      </c>
      <c r="AW101" s="2192">
        <f>IF($D$2="$ K",Calc!AC98,Calc!AC98/1000)</f>
        <v>0</v>
      </c>
      <c r="AX101" s="1891">
        <f>IF(Calc!BR98=0,0,IF($D$2="$ M",Calc!CW98/1000,Calc!CW98))</f>
        <v>0</v>
      </c>
      <c r="AY101" s="2192">
        <f>IF($D$2="$ K",Calc!AD98,Calc!AD98/1000)</f>
        <v>0</v>
      </c>
      <c r="AZ101" s="1891">
        <f>IF(Calc!BT98=0,0,IF($D$2="$ M",Calc!CX98/1000,Calc!CX98))</f>
        <v>0</v>
      </c>
      <c r="BA101" s="2192">
        <f>IF($D$2="$ K",Calc!AE98,Calc!AE98/1000)</f>
        <v>0</v>
      </c>
      <c r="BB101" s="1891">
        <f>IF(Calc!BV98=0,0,IF($D$2="$ M",Calc!CY98/1000,Calc!CY98))</f>
        <v>0</v>
      </c>
      <c r="BC101" s="2192">
        <f>IF($D$2="$ K",Calc!AF98,Calc!AF98/1000)</f>
        <v>0</v>
      </c>
      <c r="BD101" s="1891">
        <f>IF(Calc!BX98=0,0,IF($D$2="$ M",Calc!CZ98/1000,Calc!CZ98))</f>
        <v>0</v>
      </c>
      <c r="BE101" s="2192">
        <f>IF($D$2="$ K",Calc!AG98,Calc!AG98/1000)</f>
        <v>0</v>
      </c>
      <c r="BF101" s="1891">
        <f>IF(Calc!BZ98=0,0,IF($D$2="$ M",Calc!DA98/1000,Calc!DA98))</f>
        <v>0</v>
      </c>
      <c r="BG101" s="2192">
        <f>IF($D$2="$ K",Calc!AH98,Calc!AH98/1000)</f>
        <v>0</v>
      </c>
      <c r="BH101" s="1891">
        <f>IF(Calc!CB98=0,0,IF($D$2="$ M",Calc!DB98/1000,Calc!DB98))</f>
        <v>0</v>
      </c>
      <c r="BI101" s="2192">
        <f>IF($D$2="$ K",Calc!AI98,Calc!AI98/1000)</f>
        <v>0</v>
      </c>
      <c r="BJ101" s="1891">
        <f>IF(Calc!BS98=0,0,IF($D$2="$ M",Calc!DC98/1000,Calc!DC98))</f>
        <v>0</v>
      </c>
      <c r="BK101" s="2192">
        <f>IF($D$2="$ K",Calc!AJ98,Calc!AJ98/1000)</f>
        <v>0</v>
      </c>
      <c r="BL101" s="2193"/>
      <c r="BM101" s="1897">
        <f>IF(Calc!BT98=0,0,IF($D$2="$ M",Calc!DD98/1000,Calc!DD98))</f>
        <v>0</v>
      </c>
      <c r="BN101" s="2189"/>
      <c r="BO101" s="1070"/>
      <c r="BP101" s="2194">
        <f>IF($D$2="$ K",Calc!AM98,Calc!AM98/1000)</f>
        <v>0</v>
      </c>
      <c r="BQ101" s="2260"/>
      <c r="BR101" s="2260"/>
      <c r="BS101" s="2265"/>
    </row>
    <row r="102" spans="1:71" s="2266" customFormat="1" hidden="1" outlineLevel="1" x14ac:dyDescent="0.3">
      <c r="A102" s="2260"/>
      <c r="B102" s="1463" t="str">
        <f t="shared" si="20"/>
        <v xml:space="preserve">   Add: Loss Avoidance</v>
      </c>
      <c r="C102" s="1099"/>
      <c r="D102" s="2190"/>
      <c r="E102" s="2191">
        <f>IF($D$2="$ K",Calc!G99,Calc!G99/1000)</f>
        <v>0</v>
      </c>
      <c r="F102" s="1891">
        <f>IF(Calc!AQ99=0,0,IF($D$2="$ M",Calc!CA99/1000,Calc!CA99))</f>
        <v>0</v>
      </c>
      <c r="G102" s="2192">
        <f>IF($D$2="$ K",Calc!H99,Calc!H99/1000)</f>
        <v>0</v>
      </c>
      <c r="H102" s="1891">
        <f>IF(Calc!AR99=0,0,IF($D$2="$ M",Calc!CB99/1000,Calc!CB99))</f>
        <v>0</v>
      </c>
      <c r="I102" s="2192">
        <f>IF($D$2="$ K",Calc!I99,Calc!I99/1000)</f>
        <v>0</v>
      </c>
      <c r="J102" s="1891">
        <f>IF(Calc!AS99=0,0,IF($D$2="$ M",Calc!CC99/1000,Calc!CC99))</f>
        <v>0</v>
      </c>
      <c r="K102" s="2192">
        <f>IF($D$2="$ K",Calc!J99,Calc!J99/1000)</f>
        <v>0</v>
      </c>
      <c r="L102" s="1891">
        <f>IF(Calc!AT99=0,0,IF($D$2="$ M",Calc!CD99/1000,Calc!CD99))</f>
        <v>0</v>
      </c>
      <c r="M102" s="2192">
        <f>IF($D$2="$ K",Calc!K99,Calc!K99/1000)</f>
        <v>0</v>
      </c>
      <c r="N102" s="1891">
        <f>IF(Calc!AU99=0,0,IF($D$2="$ M",Calc!CE99/1000,Calc!CE99))</f>
        <v>0</v>
      </c>
      <c r="O102" s="2192">
        <f>IF($D$2="$ K",Calc!L99,Calc!L99/1000)</f>
        <v>0</v>
      </c>
      <c r="P102" s="1891">
        <f>IF(Calc!AV99=0,0,IF($D$2="$ M",Calc!CF99/1000,Calc!CF99))</f>
        <v>0</v>
      </c>
      <c r="Q102" s="2192">
        <f>IF($D$2="$ K",Calc!M99,Calc!M99/1000)</f>
        <v>0</v>
      </c>
      <c r="R102" s="1891">
        <f>IF(Calc!AW99=0,0,IF($D$2="$ M",Calc!CG99/1000,Calc!CG99))</f>
        <v>0</v>
      </c>
      <c r="S102" s="2192">
        <f>IF($D$2="$ K",Calc!N99,Calc!N99/1000)</f>
        <v>0</v>
      </c>
      <c r="T102" s="1891">
        <f>IF(Calc!AX99=0,0,IF($D$2="$ M",Calc!CH99/1000,Calc!CH99))</f>
        <v>0</v>
      </c>
      <c r="U102" s="2192">
        <f>IF($D$2="$ K",Calc!O99,Calc!O99/1000)</f>
        <v>0</v>
      </c>
      <c r="V102" s="1891">
        <f>IF(Calc!AY99=0,0,IF($D$2="$ M",Calc!CI99/1000,Calc!CI99))</f>
        <v>0</v>
      </c>
      <c r="W102" s="2192">
        <f>IF($D$2="$ K",Calc!P99,Calc!P99/1000)</f>
        <v>0</v>
      </c>
      <c r="X102" s="1891">
        <f>IF(Calc!AZ99=0,0,IF($D$2="$ M",Calc!CJ99/1000,Calc!CJ99))</f>
        <v>0</v>
      </c>
      <c r="Y102" s="2192">
        <f>IF($D$2="$ K",Calc!Q99,Calc!Q99/1000)</f>
        <v>0</v>
      </c>
      <c r="Z102" s="1891">
        <f>IF(Calc!BA99=0,0,IF($D$2="$ M",Calc!CK99/1000,Calc!CK99))</f>
        <v>0</v>
      </c>
      <c r="AA102" s="2192">
        <f>IF($D$2="$ K",Calc!R99,Calc!R99/1000)</f>
        <v>0</v>
      </c>
      <c r="AB102" s="1891">
        <f>IF(Calc!BB99=0,0,IF($D$2="$ M",Calc!CL99/1000,Calc!CL99))</f>
        <v>0</v>
      </c>
      <c r="AC102" s="2192">
        <f>IF($D$2="$ K",Calc!S99,Calc!S99/1000)</f>
        <v>0</v>
      </c>
      <c r="AD102" s="1891">
        <f>IF(Calc!BC99=0,0,IF($D$2="$ M",Calc!CM99/1000,Calc!CM99))</f>
        <v>0</v>
      </c>
      <c r="AE102" s="2192">
        <f>IF($D$2="$ K",Calc!T99,Calc!T99/1000)</f>
        <v>0</v>
      </c>
      <c r="AF102" s="1891">
        <f>IF(Calc!BD99=0,0,IF($D$2="$ M",Calc!CN99/1000,Calc!CN99))</f>
        <v>0</v>
      </c>
      <c r="AG102" s="2192">
        <f>IF($D$2="$ K",Calc!U99,Calc!U99/1000)</f>
        <v>0</v>
      </c>
      <c r="AH102" s="1891">
        <f>IF(Calc!BE99=0,0,IF($D$2="$ M",Calc!CO99/1000,Calc!CO99))</f>
        <v>0</v>
      </c>
      <c r="AI102" s="2192">
        <f>IF($D$2="$ K",Calc!V99,Calc!V99/1000)</f>
        <v>0</v>
      </c>
      <c r="AJ102" s="1891">
        <f>IF(Calc!BF99=0,0,IF($D$2="$ M",Calc!CP99/1000,Calc!CP99))</f>
        <v>0</v>
      </c>
      <c r="AK102" s="2192">
        <f>IF($D$2="$ K",Calc!W99,Calc!W99/1000)</f>
        <v>0</v>
      </c>
      <c r="AL102" s="1891">
        <f>IF(Calc!BG99=0,0,IF($D$2="$ M",Calc!CQ99/1000,Calc!CQ99))</f>
        <v>0</v>
      </c>
      <c r="AM102" s="2192">
        <f>IF($D$2="$ K",Calc!X99,Calc!X99/1000)</f>
        <v>0</v>
      </c>
      <c r="AN102" s="1891">
        <f>IF(Calc!BH99=0,0,IF($D$2="$ M",Calc!CR99/1000,Calc!CR99))</f>
        <v>0</v>
      </c>
      <c r="AO102" s="2192">
        <f>IF($D$2="$ K",Calc!Y99,Calc!Y99/1000)</f>
        <v>0</v>
      </c>
      <c r="AP102" s="1891">
        <f>IF(Calc!BJ99=0,0,IF($D$2="$ M",Calc!CS99/1000,Calc!CS99))</f>
        <v>0</v>
      </c>
      <c r="AQ102" s="2192">
        <f>IF($D$2="$ K",Calc!Z99,Calc!Z99/1000)</f>
        <v>0</v>
      </c>
      <c r="AR102" s="1891">
        <f>IF(Calc!BL99=0,0,IF($D$2="$ M",Calc!CT99/1000,Calc!CT99))</f>
        <v>0</v>
      </c>
      <c r="AS102" s="2192">
        <f>IF($D$2="$ K",Calc!AA99,Calc!AA99/1000)</f>
        <v>0</v>
      </c>
      <c r="AT102" s="1891">
        <f>IF(Calc!BN99=0,0,IF($D$2="$ M",Calc!CU99/1000,Calc!CU99))</f>
        <v>0</v>
      </c>
      <c r="AU102" s="2192">
        <f>IF($D$2="$ K",Calc!AB99,Calc!AB99/1000)</f>
        <v>0</v>
      </c>
      <c r="AV102" s="1891">
        <f>IF(Calc!BP99=0,0,IF($D$2="$ M",Calc!CV99/1000,Calc!CV99))</f>
        <v>0</v>
      </c>
      <c r="AW102" s="2192">
        <f>IF($D$2="$ K",Calc!AC99,Calc!AC99/1000)</f>
        <v>0</v>
      </c>
      <c r="AX102" s="1891">
        <f>IF(Calc!BR99=0,0,IF($D$2="$ M",Calc!CW99/1000,Calc!CW99))</f>
        <v>0</v>
      </c>
      <c r="AY102" s="2192">
        <f>IF($D$2="$ K",Calc!AD99,Calc!AD99/1000)</f>
        <v>0</v>
      </c>
      <c r="AZ102" s="1891">
        <f>IF(Calc!BT99=0,0,IF($D$2="$ M",Calc!CX99/1000,Calc!CX99))</f>
        <v>0</v>
      </c>
      <c r="BA102" s="2192">
        <f>IF($D$2="$ K",Calc!AE99,Calc!AE99/1000)</f>
        <v>0</v>
      </c>
      <c r="BB102" s="1891">
        <f>IF(Calc!BV99=0,0,IF($D$2="$ M",Calc!CY99/1000,Calc!CY99))</f>
        <v>0</v>
      </c>
      <c r="BC102" s="2192">
        <f>IF($D$2="$ K",Calc!AF99,Calc!AF99/1000)</f>
        <v>0</v>
      </c>
      <c r="BD102" s="1891">
        <f>IF(Calc!BX99=0,0,IF($D$2="$ M",Calc!CZ99/1000,Calc!CZ99))</f>
        <v>0</v>
      </c>
      <c r="BE102" s="2192">
        <f>IF($D$2="$ K",Calc!AG99,Calc!AG99/1000)</f>
        <v>0</v>
      </c>
      <c r="BF102" s="1891">
        <f>IF(Calc!BZ99=0,0,IF($D$2="$ M",Calc!DA99/1000,Calc!DA99))</f>
        <v>0</v>
      </c>
      <c r="BG102" s="2192">
        <f>IF($D$2="$ K",Calc!AH99,Calc!AH99/1000)</f>
        <v>0</v>
      </c>
      <c r="BH102" s="1891">
        <f>IF(Calc!CB99=0,0,IF($D$2="$ M",Calc!DB99/1000,Calc!DB99))</f>
        <v>0</v>
      </c>
      <c r="BI102" s="2192">
        <f>IF($D$2="$ K",Calc!AI99,Calc!AI99/1000)</f>
        <v>0</v>
      </c>
      <c r="BJ102" s="1891">
        <f>IF(Calc!BS99=0,0,IF($D$2="$ M",Calc!DC99/1000,Calc!DC99))</f>
        <v>0</v>
      </c>
      <c r="BK102" s="2192">
        <f>IF($D$2="$ K",Calc!AJ99,Calc!AJ99/1000)</f>
        <v>0</v>
      </c>
      <c r="BL102" s="2193"/>
      <c r="BM102" s="1897">
        <f>IF(Calc!BT99=0,0,IF($D$2="$ M",Calc!DD99/1000,Calc!DD99))</f>
        <v>0</v>
      </c>
      <c r="BN102" s="2189"/>
      <c r="BO102" s="1070"/>
      <c r="BP102" s="2194">
        <f>IF($D$2="$ K",Calc!AM99,Calc!AM99/1000)</f>
        <v>0</v>
      </c>
      <c r="BQ102" s="2260"/>
      <c r="BR102" s="2260"/>
      <c r="BS102" s="2265"/>
    </row>
    <row r="103" spans="1:71" s="2269" customFormat="1" ht="18" hidden="1" outlineLevel="1" x14ac:dyDescent="0.35">
      <c r="A103" s="2267"/>
      <c r="B103" s="2180" t="str">
        <f t="shared" si="20"/>
        <v>Incremental Revenue</v>
      </c>
      <c r="C103" s="2181"/>
      <c r="D103" s="2182"/>
      <c r="E103" s="2183">
        <f>IF($D$2="$ K",Calc!G100,Calc!G100/1000)</f>
        <v>0</v>
      </c>
      <c r="F103" s="2184">
        <f>IF(Calc!AQ100=0,0,IF($D$2="$ M",Calc!CA100/1000,Calc!CA100))</f>
        <v>0</v>
      </c>
      <c r="G103" s="2185">
        <f>IF($D$2="$ K",Calc!H100,Calc!H100/1000)</f>
        <v>0</v>
      </c>
      <c r="H103" s="2184">
        <f>IF(Calc!AR100=0,0,IF($D$2="$ M",Calc!CB100/1000,Calc!CB100))</f>
        <v>0</v>
      </c>
      <c r="I103" s="2185">
        <f>IF($D$2="$ K",Calc!I100,Calc!I100/1000)</f>
        <v>0</v>
      </c>
      <c r="J103" s="2184">
        <f>IF(Calc!AS100=0,0,IF($D$2="$ M",Calc!CC100/1000,Calc!CC100))</f>
        <v>0</v>
      </c>
      <c r="K103" s="2185">
        <f>IF($D$2="$ K",Calc!J100,Calc!J100/1000)</f>
        <v>0</v>
      </c>
      <c r="L103" s="2184">
        <f>IF(Calc!AT100=0,0,IF($D$2="$ M",Calc!CD100/1000,Calc!CD100))</f>
        <v>0</v>
      </c>
      <c r="M103" s="2185">
        <f>IF($D$2="$ K",Calc!K100,Calc!K100/1000)</f>
        <v>0</v>
      </c>
      <c r="N103" s="2184">
        <f>IF(Calc!AU100=0,0,IF($D$2="$ M",Calc!CE100/1000,Calc!CE100))</f>
        <v>0</v>
      </c>
      <c r="O103" s="2185">
        <f>IF($D$2="$ K",Calc!L100,Calc!L100/1000)</f>
        <v>0</v>
      </c>
      <c r="P103" s="2184">
        <f>IF(Calc!AV100=0,0,IF($D$2="$ M",Calc!CF100/1000,Calc!CF100))</f>
        <v>0</v>
      </c>
      <c r="Q103" s="2185">
        <f>IF($D$2="$ K",Calc!M100,Calc!M100/1000)</f>
        <v>0</v>
      </c>
      <c r="R103" s="2184">
        <f>IF(Calc!AW100=0,0,IF($D$2="$ M",Calc!CG100/1000,Calc!CG100))</f>
        <v>0</v>
      </c>
      <c r="S103" s="2185">
        <f>IF($D$2="$ K",Calc!N100,Calc!N100/1000)</f>
        <v>0</v>
      </c>
      <c r="T103" s="2184">
        <f>IF(Calc!AX100=0,0,IF($D$2="$ M",Calc!CH100/1000,Calc!CH100))</f>
        <v>0</v>
      </c>
      <c r="U103" s="2185">
        <f>IF($D$2="$ K",Calc!O100,Calc!O100/1000)</f>
        <v>0</v>
      </c>
      <c r="V103" s="2184">
        <f>IF(Calc!AY100=0,0,IF($D$2="$ M",Calc!CI100/1000,Calc!CI100))</f>
        <v>0</v>
      </c>
      <c r="W103" s="2185">
        <f>IF($D$2="$ K",Calc!P100,Calc!P100/1000)</f>
        <v>0</v>
      </c>
      <c r="X103" s="2184">
        <f>IF(Calc!AZ100=0,0,IF($D$2="$ M",Calc!CJ100/1000,Calc!CJ100))</f>
        <v>0</v>
      </c>
      <c r="Y103" s="2185">
        <f>IF($D$2="$ K",Calc!Q100,Calc!Q100/1000)</f>
        <v>0</v>
      </c>
      <c r="Z103" s="2184">
        <f>IF(Calc!BA100=0,0,IF($D$2="$ M",Calc!CK100/1000,Calc!CK100))</f>
        <v>0</v>
      </c>
      <c r="AA103" s="2185">
        <f>IF($D$2="$ K",Calc!R100,Calc!R100/1000)</f>
        <v>0</v>
      </c>
      <c r="AB103" s="2184">
        <f>IF(Calc!BB100=0,0,IF($D$2="$ M",Calc!CL100/1000,Calc!CL100))</f>
        <v>0</v>
      </c>
      <c r="AC103" s="2185">
        <f>IF($D$2="$ K",Calc!S100,Calc!S100/1000)</f>
        <v>0</v>
      </c>
      <c r="AD103" s="2184">
        <f>IF(Calc!BC100=0,0,IF($D$2="$ M",Calc!CM100/1000,Calc!CM100))</f>
        <v>0</v>
      </c>
      <c r="AE103" s="2185">
        <f>IF($D$2="$ K",Calc!T100,Calc!T100/1000)</f>
        <v>0</v>
      </c>
      <c r="AF103" s="2184">
        <f>IF(Calc!BD100=0,0,IF($D$2="$ M",Calc!CN100/1000,Calc!CN100))</f>
        <v>0</v>
      </c>
      <c r="AG103" s="2185">
        <f>IF($D$2="$ K",Calc!U100,Calc!U100/1000)</f>
        <v>0</v>
      </c>
      <c r="AH103" s="2184">
        <f>IF(Calc!BE100=0,0,IF($D$2="$ M",Calc!CO100/1000,Calc!CO100))</f>
        <v>0</v>
      </c>
      <c r="AI103" s="2185">
        <f>IF($D$2="$ K",Calc!V100,Calc!V100/1000)</f>
        <v>0</v>
      </c>
      <c r="AJ103" s="2184">
        <f>IF(Calc!BF100=0,0,IF($D$2="$ M",Calc!CP100/1000,Calc!CP100))</f>
        <v>0</v>
      </c>
      <c r="AK103" s="2185">
        <f>IF($D$2="$ K",Calc!W100,Calc!W100/1000)</f>
        <v>0</v>
      </c>
      <c r="AL103" s="2184">
        <f>IF(Calc!BG100=0,0,IF($D$2="$ M",Calc!CQ100/1000,Calc!CQ100))</f>
        <v>0</v>
      </c>
      <c r="AM103" s="2185">
        <f>IF($D$2="$ K",Calc!X100,Calc!X100/1000)</f>
        <v>0</v>
      </c>
      <c r="AN103" s="2184">
        <f>IF(Calc!BH100=0,0,IF($D$2="$ M",Calc!CR100/1000,Calc!CR100))</f>
        <v>0</v>
      </c>
      <c r="AO103" s="2185">
        <f>IF($D$2="$ K",Calc!Y100,Calc!Y100/1000)</f>
        <v>0</v>
      </c>
      <c r="AP103" s="2184">
        <f>IF(Calc!BJ100=0,0,IF($D$2="$ M",Calc!CS100/1000,Calc!CS100))</f>
        <v>0</v>
      </c>
      <c r="AQ103" s="2185">
        <f>IF($D$2="$ K",Calc!Z100,Calc!Z100/1000)</f>
        <v>0</v>
      </c>
      <c r="AR103" s="2184">
        <f>IF(Calc!BL100=0,0,IF($D$2="$ M",Calc!CT100/1000,Calc!CT100))</f>
        <v>0</v>
      </c>
      <c r="AS103" s="2185">
        <f>IF($D$2="$ K",Calc!AA100,Calc!AA100/1000)</f>
        <v>0</v>
      </c>
      <c r="AT103" s="2184">
        <f>IF(Calc!BN100=0,0,IF($D$2="$ M",Calc!CU100/1000,Calc!CU100))</f>
        <v>0</v>
      </c>
      <c r="AU103" s="2185">
        <f>IF($D$2="$ K",Calc!AB100,Calc!AB100/1000)</f>
        <v>0</v>
      </c>
      <c r="AV103" s="2184">
        <f>IF(Calc!BP100=0,0,IF($D$2="$ M",Calc!CV100/1000,Calc!CV100))</f>
        <v>0</v>
      </c>
      <c r="AW103" s="2185">
        <f>IF($D$2="$ K",Calc!AC100,Calc!AC100/1000)</f>
        <v>0</v>
      </c>
      <c r="AX103" s="2184">
        <f>IF(Calc!BR100=0,0,IF($D$2="$ M",Calc!CW100/1000,Calc!CW100))</f>
        <v>0</v>
      </c>
      <c r="AY103" s="2185">
        <f>IF($D$2="$ K",Calc!AD100,Calc!AD100/1000)</f>
        <v>0</v>
      </c>
      <c r="AZ103" s="2184">
        <f>IF(Calc!BT100=0,0,IF($D$2="$ M",Calc!CX100/1000,Calc!CX100))</f>
        <v>0</v>
      </c>
      <c r="BA103" s="2185">
        <f>IF($D$2="$ K",Calc!AE100,Calc!AE100/1000)</f>
        <v>0</v>
      </c>
      <c r="BB103" s="2184">
        <f>IF(Calc!BV100=0,0,IF($D$2="$ M",Calc!CY100/1000,Calc!CY100))</f>
        <v>0</v>
      </c>
      <c r="BC103" s="2185">
        <f>IF($D$2="$ K",Calc!AF100,Calc!AF100/1000)</f>
        <v>0</v>
      </c>
      <c r="BD103" s="2184">
        <f>IF(Calc!BX100=0,0,IF($D$2="$ M",Calc!CZ100/1000,Calc!CZ100))</f>
        <v>0</v>
      </c>
      <c r="BE103" s="2185">
        <f>IF($D$2="$ K",Calc!AG100,Calc!AG100/1000)</f>
        <v>0</v>
      </c>
      <c r="BF103" s="2184">
        <f>IF(Calc!BZ100=0,0,IF($D$2="$ M",Calc!DA100/1000,Calc!DA100))</f>
        <v>0</v>
      </c>
      <c r="BG103" s="2185">
        <f>IF($D$2="$ K",Calc!AH100,Calc!AH100/1000)</f>
        <v>0</v>
      </c>
      <c r="BH103" s="2184">
        <f>IF(Calc!CB100=0,0,IF($D$2="$ M",Calc!DB100/1000,Calc!DB100))</f>
        <v>0</v>
      </c>
      <c r="BI103" s="2185">
        <f>IF($D$2="$ K",Calc!AI100,Calc!AI100/1000)</f>
        <v>0</v>
      </c>
      <c r="BJ103" s="2184">
        <f>IF(Calc!BS100=0,0,IF($D$2="$ M",Calc!DC100/1000,Calc!DC100))</f>
        <v>0</v>
      </c>
      <c r="BK103" s="2185">
        <f>IF($D$2="$ K",Calc!AJ100,Calc!AJ100/1000)</f>
        <v>0</v>
      </c>
      <c r="BL103" s="2186"/>
      <c r="BM103" s="2187">
        <f>IF(Calc!BT100=0,0,IF($D$2="$ M",Calc!DD100/1000,Calc!DD100))</f>
        <v>0</v>
      </c>
      <c r="BN103" s="1260"/>
      <c r="BO103" s="1260"/>
      <c r="BP103" s="2188">
        <f>IF($D$2="$ K",Calc!AM100,Calc!AM100/1000)</f>
        <v>0</v>
      </c>
      <c r="BQ103" s="2267"/>
      <c r="BR103" s="2267"/>
      <c r="BS103" s="2268"/>
    </row>
    <row r="104" spans="1:71" s="2266" customFormat="1" hidden="1" outlineLevel="1" x14ac:dyDescent="0.3">
      <c r="A104" s="2260"/>
      <c r="B104" s="2197" t="str">
        <f t="shared" si="20"/>
        <v>Volume Category Share (%)  - (excl. pull-through)</v>
      </c>
      <c r="C104" s="1115"/>
      <c r="D104" s="2199"/>
      <c r="E104" s="2200" t="str">
        <f>IF(Calc!G101=0,"",Calc!G101)</f>
        <v/>
      </c>
      <c r="F104" s="2201" t="str">
        <f>IF(Calc!AQ101=0,"",Calc!CA101)</f>
        <v/>
      </c>
      <c r="G104" s="2202" t="str">
        <f>IF(Calc!H101=0,"",Calc!H101)</f>
        <v/>
      </c>
      <c r="H104" s="2201" t="str">
        <f>IF(Calc!AR101=0,"",Calc!CB101)</f>
        <v/>
      </c>
      <c r="I104" s="2202" t="str">
        <f>IF(Calc!I101=0,"",Calc!I101)</f>
        <v/>
      </c>
      <c r="J104" s="2201" t="str">
        <f>IF(Calc!AS101=0,"",Calc!CC101)</f>
        <v/>
      </c>
      <c r="K104" s="2202" t="str">
        <f>IF(Calc!J101=0,"",Calc!J101)</f>
        <v/>
      </c>
      <c r="L104" s="2201" t="str">
        <f>IF(Calc!AT101=0,"",Calc!CD101)</f>
        <v/>
      </c>
      <c r="M104" s="2202" t="str">
        <f>IF(Calc!K101=0,"",Calc!K101)</f>
        <v/>
      </c>
      <c r="N104" s="2201" t="str">
        <f>IF(Calc!AU101=0,"",Calc!CE101)</f>
        <v/>
      </c>
      <c r="O104" s="2202" t="str">
        <f>IF(Calc!L101=0,"",Calc!L101)</f>
        <v/>
      </c>
      <c r="P104" s="2201" t="str">
        <f>IF(Calc!AV101=0,"",Calc!CF101)</f>
        <v/>
      </c>
      <c r="Q104" s="2202" t="str">
        <f>IF(Calc!M101=0,"",Calc!M101)</f>
        <v/>
      </c>
      <c r="R104" s="2201" t="str">
        <f>IF(Calc!AW101=0,"",Calc!CG101)</f>
        <v/>
      </c>
      <c r="S104" s="2202" t="str">
        <f>IF(Calc!N101=0,"",Calc!N101)</f>
        <v/>
      </c>
      <c r="T104" s="2201" t="str">
        <f>IF(Calc!AX101=0,"",Calc!CH101)</f>
        <v/>
      </c>
      <c r="U104" s="2202" t="str">
        <f>IF(Calc!O101=0,"",Calc!O101)</f>
        <v/>
      </c>
      <c r="V104" s="2201" t="str">
        <f>IF(Calc!AY101=0,"",Calc!CI101)</f>
        <v/>
      </c>
      <c r="W104" s="2202" t="str">
        <f>IF(Calc!P101=0,"",Calc!P101)</f>
        <v/>
      </c>
      <c r="X104" s="2201" t="str">
        <f>IF(Calc!AZ101=0,"",Calc!CJ101)</f>
        <v/>
      </c>
      <c r="Y104" s="2202" t="str">
        <f>IF(Calc!Q101=0,"",Calc!Q101)</f>
        <v/>
      </c>
      <c r="Z104" s="2201" t="str">
        <f>IF(Calc!BA101=0,"",Calc!CK101)</f>
        <v/>
      </c>
      <c r="AA104" s="2202" t="str">
        <f>IF(Calc!R101=0,"",Calc!R101)</f>
        <v/>
      </c>
      <c r="AB104" s="2201" t="str">
        <f>IF(Calc!BB101=0,"",Calc!CL101)</f>
        <v/>
      </c>
      <c r="AC104" s="2202" t="str">
        <f>IF(Calc!S101=0,"",Calc!S101)</f>
        <v/>
      </c>
      <c r="AD104" s="2201" t="str">
        <f>IF(Calc!BC101=0,"",Calc!CM101)</f>
        <v/>
      </c>
      <c r="AE104" s="2202" t="str">
        <f>IF(Calc!T101=0,"",Calc!T101)</f>
        <v/>
      </c>
      <c r="AF104" s="2201" t="str">
        <f>IF(Calc!BD101=0,"",Calc!CN101)</f>
        <v/>
      </c>
      <c r="AG104" s="2202" t="str">
        <f>IF(Calc!U101=0,"",Calc!U101)</f>
        <v/>
      </c>
      <c r="AH104" s="2201" t="str">
        <f>IF(Calc!BE101=0,"",Calc!CO101)</f>
        <v/>
      </c>
      <c r="AI104" s="2202" t="str">
        <f>IF(Calc!V101=0,"",Calc!V101)</f>
        <v/>
      </c>
      <c r="AJ104" s="2201" t="str">
        <f>IF(Calc!BF101=0,"",Calc!CP101)</f>
        <v/>
      </c>
      <c r="AK104" s="2202" t="str">
        <f>IF(Calc!W101=0,"",Calc!W101)</f>
        <v/>
      </c>
      <c r="AL104" s="2201" t="str">
        <f>IF(Calc!BG101=0,"",Calc!CQ101)</f>
        <v/>
      </c>
      <c r="AM104" s="2202" t="str">
        <f>IF(Calc!X101=0,"",Calc!X101)</f>
        <v/>
      </c>
      <c r="AN104" s="2201" t="str">
        <f>IF(Calc!BH101=0,"",Calc!CR101)</f>
        <v/>
      </c>
      <c r="AO104" s="2202" t="str">
        <f>IF(Calc!Y101=0,"",Calc!Y101)</f>
        <v/>
      </c>
      <c r="AP104" s="2201" t="str">
        <f>IF(Calc!BJ101=0,"",Calc!CS101)</f>
        <v/>
      </c>
      <c r="AQ104" s="2202" t="str">
        <f>IF(Calc!Z101=0,"",Calc!Z101)</f>
        <v/>
      </c>
      <c r="AR104" s="2201" t="str">
        <f>IF(Calc!BL101=0,"",Calc!CT101)</f>
        <v/>
      </c>
      <c r="AS104" s="2202" t="str">
        <f>IF(Calc!AA101=0,"",Calc!AA101)</f>
        <v/>
      </c>
      <c r="AT104" s="2201" t="str">
        <f>IF(Calc!BN101=0,"",Calc!CU101)</f>
        <v/>
      </c>
      <c r="AU104" s="2202" t="str">
        <f>IF(Calc!AB101=0,"",Calc!AB101)</f>
        <v/>
      </c>
      <c r="AV104" s="2201" t="str">
        <f>IF(Calc!BP101=0,"",Calc!CV101)</f>
        <v/>
      </c>
      <c r="AW104" s="2202" t="str">
        <f>IF(Calc!AC101=0,"",Calc!AC101)</f>
        <v/>
      </c>
      <c r="AX104" s="2201" t="str">
        <f>IF(Calc!BR101=0,"",Calc!CW101)</f>
        <v/>
      </c>
      <c r="AY104" s="2202" t="str">
        <f>IF(Calc!AD101=0,"",Calc!AD101)</f>
        <v/>
      </c>
      <c r="AZ104" s="2201" t="str">
        <f>IF(Calc!BT101=0,"",Calc!CX101)</f>
        <v/>
      </c>
      <c r="BA104" s="2202" t="str">
        <f>IF(Calc!AE101=0,"",Calc!AE101)</f>
        <v/>
      </c>
      <c r="BB104" s="2201" t="str">
        <f>IF(Calc!BV101=0,"",Calc!CY101)</f>
        <v/>
      </c>
      <c r="BC104" s="2202" t="str">
        <f>IF(Calc!AF101=0,"",Calc!AF101)</f>
        <v/>
      </c>
      <c r="BD104" s="2201" t="str">
        <f>IF(Calc!BX101=0,"",Calc!CZ101)</f>
        <v/>
      </c>
      <c r="BE104" s="2202" t="str">
        <f>IF(Calc!AG101=0,"",Calc!AG101)</f>
        <v/>
      </c>
      <c r="BF104" s="2201" t="str">
        <f>IF(Calc!BZ101=0,"",Calc!DA101)</f>
        <v/>
      </c>
      <c r="BG104" s="2202" t="str">
        <f>IF(Calc!AH101=0,"",Calc!AH101)</f>
        <v/>
      </c>
      <c r="BH104" s="2201" t="str">
        <f>IF(Calc!CB101=0,"",Calc!DB101)</f>
        <v/>
      </c>
      <c r="BI104" s="2202" t="str">
        <f>IF(Calc!AI101=0,"",Calc!AI101)</f>
        <v/>
      </c>
      <c r="BJ104" s="2201" t="str">
        <f>IF(Calc!BS101=0,"",Calc!DC101)</f>
        <v/>
      </c>
      <c r="BK104" s="2203"/>
      <c r="BL104" s="2163"/>
      <c r="BM104" s="2204"/>
      <c r="BN104" s="2198"/>
      <c r="BO104" s="1070"/>
      <c r="BP104" s="2205"/>
      <c r="BQ104" s="2260"/>
      <c r="BR104" s="2260"/>
      <c r="BS104" s="2265"/>
    </row>
    <row r="105" spans="1:71" s="2266" customFormat="1" hidden="1" outlineLevel="1" x14ac:dyDescent="0.3">
      <c r="A105" s="2260"/>
      <c r="B105" s="1463" t="str">
        <f t="shared" si="20"/>
        <v>$ Category Share (%)  - (excl. pull-through)</v>
      </c>
      <c r="C105" s="2207"/>
      <c r="D105" s="2208"/>
      <c r="E105" s="2209" t="str">
        <f>IF(Calc!G102=0,"",Calc!G102)</f>
        <v/>
      </c>
      <c r="F105" s="2210" t="str">
        <f>IF(Calc!AQ102=0,"",Calc!CA102)</f>
        <v/>
      </c>
      <c r="G105" s="2211" t="str">
        <f>IF(Calc!H102=0,"",Calc!H102)</f>
        <v/>
      </c>
      <c r="H105" s="2210" t="str">
        <f>IF(Calc!AR102=0,"",Calc!CB102)</f>
        <v/>
      </c>
      <c r="I105" s="2211" t="str">
        <f>IF(Calc!I102=0,"",Calc!I102)</f>
        <v/>
      </c>
      <c r="J105" s="2210" t="str">
        <f>IF(Calc!AS102=0,"",Calc!CC102)</f>
        <v/>
      </c>
      <c r="K105" s="2211" t="str">
        <f>IF(Calc!J102=0,"",Calc!J102)</f>
        <v/>
      </c>
      <c r="L105" s="2210" t="str">
        <f>IF(Calc!AT102=0,"",Calc!CD102)</f>
        <v/>
      </c>
      <c r="M105" s="2211" t="str">
        <f>IF(Calc!K102=0,"",Calc!K102)</f>
        <v/>
      </c>
      <c r="N105" s="2210" t="str">
        <f>IF(Calc!AU102=0,"",Calc!CE102)</f>
        <v/>
      </c>
      <c r="O105" s="2211" t="str">
        <f>IF(Calc!L102=0,"",Calc!L102)</f>
        <v/>
      </c>
      <c r="P105" s="2210" t="str">
        <f>IF(Calc!AV102=0,"",Calc!CF102)</f>
        <v/>
      </c>
      <c r="Q105" s="2211" t="str">
        <f>IF(Calc!M102=0,"",Calc!M102)</f>
        <v/>
      </c>
      <c r="R105" s="2210" t="str">
        <f>IF(Calc!AW102=0,"",Calc!CG102)</f>
        <v/>
      </c>
      <c r="S105" s="2211" t="str">
        <f>IF(Calc!N102=0,"",Calc!N102)</f>
        <v/>
      </c>
      <c r="T105" s="2210" t="str">
        <f>IF(Calc!AX102=0,"",Calc!CH102)</f>
        <v/>
      </c>
      <c r="U105" s="2211" t="str">
        <f>IF(Calc!O102=0,"",Calc!O102)</f>
        <v/>
      </c>
      <c r="V105" s="2210" t="str">
        <f>IF(Calc!AY102=0,"",Calc!CI102)</f>
        <v/>
      </c>
      <c r="W105" s="2211" t="str">
        <f>IF(Calc!P102=0,"",Calc!P102)</f>
        <v/>
      </c>
      <c r="X105" s="2210" t="str">
        <f>IF(Calc!AZ102=0,"",Calc!CJ102)</f>
        <v/>
      </c>
      <c r="Y105" s="2211" t="str">
        <f>IF(Calc!Q102=0,"",Calc!Q102)</f>
        <v/>
      </c>
      <c r="Z105" s="2210" t="str">
        <f>IF(Calc!BA102=0,"",Calc!CK102)</f>
        <v/>
      </c>
      <c r="AA105" s="2211" t="str">
        <f>IF(Calc!R102=0,"",Calc!R102)</f>
        <v/>
      </c>
      <c r="AB105" s="2210" t="str">
        <f>IF(Calc!BB102=0,"",Calc!CL102)</f>
        <v/>
      </c>
      <c r="AC105" s="2211" t="str">
        <f>IF(Calc!S102=0,"",Calc!S102)</f>
        <v/>
      </c>
      <c r="AD105" s="2210" t="str">
        <f>IF(Calc!BC102=0,"",Calc!CM102)</f>
        <v/>
      </c>
      <c r="AE105" s="2211" t="str">
        <f>IF(Calc!T102=0,"",Calc!T102)</f>
        <v/>
      </c>
      <c r="AF105" s="2210" t="str">
        <f>IF(Calc!BD102=0,"",Calc!CN102)</f>
        <v/>
      </c>
      <c r="AG105" s="2211" t="str">
        <f>IF(Calc!U102=0,"",Calc!U102)</f>
        <v/>
      </c>
      <c r="AH105" s="2210" t="str">
        <f>IF(Calc!BE102=0,"",Calc!CO102)</f>
        <v/>
      </c>
      <c r="AI105" s="2211" t="str">
        <f>IF(Calc!V102=0,"",Calc!V102)</f>
        <v/>
      </c>
      <c r="AJ105" s="2210" t="str">
        <f>IF(Calc!BF102=0,"",Calc!CP102)</f>
        <v/>
      </c>
      <c r="AK105" s="2211" t="str">
        <f>IF(Calc!W102=0,"",Calc!W102)</f>
        <v/>
      </c>
      <c r="AL105" s="2210" t="str">
        <f>IF(Calc!BG102=0,"",Calc!CQ102)</f>
        <v/>
      </c>
      <c r="AM105" s="2211" t="str">
        <f>IF(Calc!X102=0,"",Calc!X102)</f>
        <v/>
      </c>
      <c r="AN105" s="2210" t="str">
        <f>IF(Calc!BH102=0,"",Calc!CR102)</f>
        <v/>
      </c>
      <c r="AO105" s="2211" t="str">
        <f>IF(Calc!Y102=0,"",Calc!Y102)</f>
        <v/>
      </c>
      <c r="AP105" s="2210" t="str">
        <f>IF(Calc!BJ102=0,"",Calc!CS102)</f>
        <v/>
      </c>
      <c r="AQ105" s="2211" t="str">
        <f>IF(Calc!Z102=0,"",Calc!Z102)</f>
        <v/>
      </c>
      <c r="AR105" s="2210" t="str">
        <f>IF(Calc!BL102=0,"",Calc!CT102)</f>
        <v/>
      </c>
      <c r="AS105" s="2211" t="str">
        <f>IF(Calc!AA102=0,"",Calc!AA102)</f>
        <v/>
      </c>
      <c r="AT105" s="2210" t="str">
        <f>IF(Calc!BN102=0,"",Calc!CU102)</f>
        <v/>
      </c>
      <c r="AU105" s="2211" t="str">
        <f>IF(Calc!AB102=0,"",Calc!AB102)</f>
        <v/>
      </c>
      <c r="AV105" s="2210" t="str">
        <f>IF(Calc!BP102=0,"",Calc!CV102)</f>
        <v/>
      </c>
      <c r="AW105" s="2211" t="str">
        <f>IF(Calc!AC102=0,"",Calc!AC102)</f>
        <v/>
      </c>
      <c r="AX105" s="2210" t="str">
        <f>IF(Calc!BR102=0,"",Calc!CW102)</f>
        <v/>
      </c>
      <c r="AY105" s="2211" t="str">
        <f>IF(Calc!AD102=0,"",Calc!AD102)</f>
        <v/>
      </c>
      <c r="AZ105" s="2210" t="str">
        <f>IF(Calc!BT102=0,"",Calc!CX102)</f>
        <v/>
      </c>
      <c r="BA105" s="2211" t="str">
        <f>IF(Calc!AE102=0,"",Calc!AE102)</f>
        <v/>
      </c>
      <c r="BB105" s="2210" t="str">
        <f>IF(Calc!BV102=0,"",Calc!CY102)</f>
        <v/>
      </c>
      <c r="BC105" s="2211" t="str">
        <f>IF(Calc!AF102=0,"",Calc!AF102)</f>
        <v/>
      </c>
      <c r="BD105" s="2210" t="str">
        <f>IF(Calc!BX102=0,"",Calc!CZ102)</f>
        <v/>
      </c>
      <c r="BE105" s="2211" t="str">
        <f>IF(Calc!AG102=0,"",Calc!AG102)</f>
        <v/>
      </c>
      <c r="BF105" s="2210" t="str">
        <f>IF(Calc!BZ102=0,"",Calc!DA102)</f>
        <v/>
      </c>
      <c r="BG105" s="2211" t="str">
        <f>IF(Calc!AH102=0,"",Calc!AH102)</f>
        <v/>
      </c>
      <c r="BH105" s="2210" t="str">
        <f>IF(Calc!CB102=0,"",Calc!DB102)</f>
        <v/>
      </c>
      <c r="BI105" s="2211" t="str">
        <f>IF(Calc!AI102=0,"",Calc!AI102)</f>
        <v/>
      </c>
      <c r="BJ105" s="2210" t="str">
        <f>IF(Calc!BS102=0,"",Calc!DC102)</f>
        <v/>
      </c>
      <c r="BK105" s="2212"/>
      <c r="BL105" s="2172"/>
      <c r="BM105" s="2213"/>
      <c r="BN105" s="2198"/>
      <c r="BO105" s="1070"/>
      <c r="BP105" s="2214"/>
      <c r="BQ105" s="2260"/>
      <c r="BR105" s="2260"/>
      <c r="BS105" s="2265"/>
    </row>
    <row r="106" spans="1:71" s="2269" customFormat="1" ht="18" hidden="1" outlineLevel="1" x14ac:dyDescent="0.35">
      <c r="A106" s="2267"/>
      <c r="B106" s="2180" t="str">
        <f t="shared" si="20"/>
        <v>True Incr Rev (exc Loss Avoid)</v>
      </c>
      <c r="C106" s="2181"/>
      <c r="D106" s="2182"/>
      <c r="E106" s="2183">
        <f>IF($D$2="$ K",Calc!G103,Calc!G103/1000)</f>
        <v>0</v>
      </c>
      <c r="F106" s="2184">
        <f>IF(Calc!AQ103=0,0,IF($D$2="$ M",Calc!CA103/1000,Calc!CA103))</f>
        <v>0</v>
      </c>
      <c r="G106" s="2185">
        <f>IF($D$2="$ K",Calc!H103,Calc!H103/1000)</f>
        <v>0</v>
      </c>
      <c r="H106" s="2184">
        <f>IF(Calc!AR103=0,0,IF($D$2="$ M",Calc!CB103/1000,Calc!CB103))</f>
        <v>0</v>
      </c>
      <c r="I106" s="2185">
        <f>IF($D$2="$ K",Calc!I103,Calc!I103/1000)</f>
        <v>0</v>
      </c>
      <c r="J106" s="2184">
        <f>IF(Calc!AS103=0,0,IF($D$2="$ M",Calc!CC103/1000,Calc!CC103))</f>
        <v>0</v>
      </c>
      <c r="K106" s="2185">
        <f>IF($D$2="$ K",Calc!J103,Calc!J103/1000)</f>
        <v>0</v>
      </c>
      <c r="L106" s="2184">
        <f>IF(Calc!AT103=0,0,IF($D$2="$ M",Calc!CD103/1000,Calc!CD103))</f>
        <v>0</v>
      </c>
      <c r="M106" s="2185">
        <f>IF($D$2="$ K",Calc!K103,Calc!K103/1000)</f>
        <v>0</v>
      </c>
      <c r="N106" s="2184">
        <f>IF(Calc!AU103=0,0,IF($D$2="$ M",Calc!CE103/1000,Calc!CE103))</f>
        <v>0</v>
      </c>
      <c r="O106" s="2185">
        <f>IF($D$2="$ K",Calc!L103,Calc!L103/1000)</f>
        <v>0</v>
      </c>
      <c r="P106" s="2184">
        <f>IF(Calc!AV103=0,0,IF($D$2="$ M",Calc!CF103/1000,Calc!CF103))</f>
        <v>0</v>
      </c>
      <c r="Q106" s="2185">
        <f>IF($D$2="$ K",Calc!M103,Calc!M103/1000)</f>
        <v>0</v>
      </c>
      <c r="R106" s="2184">
        <f>IF(Calc!AW103=0,0,IF($D$2="$ M",Calc!CG103/1000,Calc!CG103))</f>
        <v>0</v>
      </c>
      <c r="S106" s="2185">
        <f>IF($D$2="$ K",Calc!N103,Calc!N103/1000)</f>
        <v>0</v>
      </c>
      <c r="T106" s="2184">
        <f>IF(Calc!AX103=0,0,IF($D$2="$ M",Calc!CH103/1000,Calc!CH103))</f>
        <v>0</v>
      </c>
      <c r="U106" s="2185">
        <f>IF($D$2="$ K",Calc!O103,Calc!O103/1000)</f>
        <v>0</v>
      </c>
      <c r="V106" s="2184">
        <f>IF(Calc!AY103=0,0,IF($D$2="$ M",Calc!CI103/1000,Calc!CI103))</f>
        <v>0</v>
      </c>
      <c r="W106" s="2185">
        <f>IF($D$2="$ K",Calc!P103,Calc!P103/1000)</f>
        <v>0</v>
      </c>
      <c r="X106" s="2184">
        <f>IF(Calc!AZ103=0,0,IF($D$2="$ M",Calc!CJ103/1000,Calc!CJ103))</f>
        <v>0</v>
      </c>
      <c r="Y106" s="2185">
        <f>IF($D$2="$ K",Calc!Q103,Calc!Q103/1000)</f>
        <v>0</v>
      </c>
      <c r="Z106" s="2184">
        <f>IF(Calc!BA103=0,0,IF($D$2="$ M",Calc!CK103/1000,Calc!CK103))</f>
        <v>0</v>
      </c>
      <c r="AA106" s="2185">
        <f>IF($D$2="$ K",Calc!R103,Calc!R103/1000)</f>
        <v>0</v>
      </c>
      <c r="AB106" s="2184">
        <f>IF(Calc!BB103=0,0,IF($D$2="$ M",Calc!CL103/1000,Calc!CL103))</f>
        <v>0</v>
      </c>
      <c r="AC106" s="2185">
        <f>IF($D$2="$ K",Calc!S103,Calc!S103/1000)</f>
        <v>0</v>
      </c>
      <c r="AD106" s="2184">
        <f>IF(Calc!BC103=0,0,IF($D$2="$ M",Calc!CM103/1000,Calc!CM103))</f>
        <v>0</v>
      </c>
      <c r="AE106" s="2185">
        <f>IF($D$2="$ K",Calc!T103,Calc!T103/1000)</f>
        <v>0</v>
      </c>
      <c r="AF106" s="2184">
        <f>IF(Calc!BD103=0,0,IF($D$2="$ M",Calc!CN103/1000,Calc!CN103))</f>
        <v>0</v>
      </c>
      <c r="AG106" s="2185">
        <f>IF($D$2="$ K",Calc!U103,Calc!U103/1000)</f>
        <v>0</v>
      </c>
      <c r="AH106" s="2184">
        <f>IF(Calc!BE103=0,0,IF($D$2="$ M",Calc!CO103/1000,Calc!CO103))</f>
        <v>0</v>
      </c>
      <c r="AI106" s="2185">
        <f>IF($D$2="$ K",Calc!V103,Calc!V103/1000)</f>
        <v>0</v>
      </c>
      <c r="AJ106" s="2184">
        <f>IF(Calc!BF103=0,0,IF($D$2="$ M",Calc!CP103/1000,Calc!CP103))</f>
        <v>0</v>
      </c>
      <c r="AK106" s="2185">
        <f>IF($D$2="$ K",Calc!W103,Calc!W103/1000)</f>
        <v>0</v>
      </c>
      <c r="AL106" s="2184">
        <f>IF(Calc!BG103=0,0,IF($D$2="$ M",Calc!CQ103/1000,Calc!CQ103))</f>
        <v>0</v>
      </c>
      <c r="AM106" s="2185">
        <f>IF($D$2="$ K",Calc!X103,Calc!X103/1000)</f>
        <v>0</v>
      </c>
      <c r="AN106" s="2184">
        <f>IF(Calc!BH103=0,0,IF($D$2="$ M",Calc!CR103/1000,Calc!CR103))</f>
        <v>0</v>
      </c>
      <c r="AO106" s="2185">
        <f>IF($D$2="$ K",Calc!Y103,Calc!Y103/1000)</f>
        <v>0</v>
      </c>
      <c r="AP106" s="2184">
        <f>IF(Calc!BJ103=0,0,IF($D$2="$ M",Calc!CS103/1000,Calc!CS103))</f>
        <v>0</v>
      </c>
      <c r="AQ106" s="2185">
        <f>IF($D$2="$ K",Calc!Z103,Calc!Z103/1000)</f>
        <v>0</v>
      </c>
      <c r="AR106" s="2184">
        <f>IF(Calc!BL103=0,0,IF($D$2="$ M",Calc!CT103/1000,Calc!CT103))</f>
        <v>0</v>
      </c>
      <c r="AS106" s="2185">
        <f>IF($D$2="$ K",Calc!AA103,Calc!AA103/1000)</f>
        <v>0</v>
      </c>
      <c r="AT106" s="2184">
        <f>IF(Calc!BN103=0,0,IF($D$2="$ M",Calc!CU103/1000,Calc!CU103))</f>
        <v>0</v>
      </c>
      <c r="AU106" s="2185">
        <f>IF($D$2="$ K",Calc!AB103,Calc!AB103/1000)</f>
        <v>0</v>
      </c>
      <c r="AV106" s="2184">
        <f>IF(Calc!BP103=0,0,IF($D$2="$ M",Calc!CV103/1000,Calc!CV103))</f>
        <v>0</v>
      </c>
      <c r="AW106" s="2185">
        <f>IF($D$2="$ K",Calc!AC103,Calc!AC103/1000)</f>
        <v>0</v>
      </c>
      <c r="AX106" s="2184">
        <f>IF(Calc!BR103=0,0,IF($D$2="$ M",Calc!CW103/1000,Calc!CW103))</f>
        <v>0</v>
      </c>
      <c r="AY106" s="2185">
        <f>IF($D$2="$ K",Calc!AD103,Calc!AD103/1000)</f>
        <v>0</v>
      </c>
      <c r="AZ106" s="2184">
        <f>IF(Calc!BT103=0,0,IF($D$2="$ M",Calc!CX103/1000,Calc!CX103))</f>
        <v>0</v>
      </c>
      <c r="BA106" s="2185">
        <f>IF($D$2="$ K",Calc!AE103,Calc!AE103/1000)</f>
        <v>0</v>
      </c>
      <c r="BB106" s="2184">
        <f>IF(Calc!BV103=0,0,IF($D$2="$ M",Calc!CY103/1000,Calc!CY103))</f>
        <v>0</v>
      </c>
      <c r="BC106" s="2185">
        <f>IF($D$2="$ K",Calc!AF103,Calc!AF103/1000)</f>
        <v>0</v>
      </c>
      <c r="BD106" s="2184">
        <f>IF(Calc!BX103=0,0,IF($D$2="$ M",Calc!CZ103/1000,Calc!CZ103))</f>
        <v>0</v>
      </c>
      <c r="BE106" s="2185">
        <f>IF($D$2="$ K",Calc!AG103,Calc!AG103/1000)</f>
        <v>0</v>
      </c>
      <c r="BF106" s="2184">
        <f>IF(Calc!BZ103=0,0,IF($D$2="$ M",Calc!DA103/1000,Calc!DA103))</f>
        <v>0</v>
      </c>
      <c r="BG106" s="2185">
        <f>IF($D$2="$ K",Calc!AH103,Calc!AH103/1000)</f>
        <v>0</v>
      </c>
      <c r="BH106" s="2184">
        <f>IF(Calc!CB103=0,0,IF($D$2="$ M",Calc!DB103/1000,Calc!DB103))</f>
        <v>0</v>
      </c>
      <c r="BI106" s="2185">
        <f>IF($D$2="$ K",Calc!AI103,Calc!AI103/1000)</f>
        <v>0</v>
      </c>
      <c r="BJ106" s="2184">
        <f>IF(Calc!BS103=0,0,IF($D$2="$ M",Calc!DC103/1000,Calc!DC103))</f>
        <v>0</v>
      </c>
      <c r="BK106" s="2185">
        <f>IF($D$2="$ K",Calc!AJ103,Calc!AJ103/1000)</f>
        <v>0</v>
      </c>
      <c r="BL106" s="2186"/>
      <c r="BM106" s="2187">
        <f>IF(Calc!BT103=0,0,IF($D$2="$ M",Calc!DD103/1000,Calc!DD103))</f>
        <v>0</v>
      </c>
      <c r="BN106" s="1260"/>
      <c r="BO106" s="1260"/>
      <c r="BP106" s="2188">
        <f>IF($D$2="$ K",Calc!AM103,Calc!AM103/1000)</f>
        <v>0</v>
      </c>
      <c r="BQ106" s="2267"/>
      <c r="BR106" s="2267"/>
      <c r="BS106" s="2268"/>
    </row>
    <row r="107" spans="1:71" s="2269" customFormat="1" ht="15.6" hidden="1" outlineLevel="1" x14ac:dyDescent="0.3">
      <c r="A107" s="2267"/>
      <c r="B107" s="2215" t="str">
        <f t="shared" si="20"/>
        <v>ASR Rev (Hyperion)</v>
      </c>
      <c r="C107" s="2216"/>
      <c r="D107" s="2217"/>
      <c r="E107" s="2218">
        <f>IF($D$2="$ K",Calc!G104,Calc!G104/1000)</f>
        <v>0</v>
      </c>
      <c r="F107" s="2219">
        <f>IF(Calc!AQ104=0,0,IF($D$2="$ M",Calc!CA104/1000,Calc!CA104))</f>
        <v>0</v>
      </c>
      <c r="G107" s="2220">
        <f>IF($D$2="$ K",Calc!H104,Calc!H104/1000)</f>
        <v>0</v>
      </c>
      <c r="H107" s="2219">
        <f>IF(Calc!AR104=0,0,IF($D$2="$ M",Calc!CB104/1000,Calc!CB104))</f>
        <v>0</v>
      </c>
      <c r="I107" s="2220">
        <f>IF($D$2="$ K",Calc!I104,Calc!I104/1000)</f>
        <v>0</v>
      </c>
      <c r="J107" s="2219">
        <f>IF(Calc!AS104=0,0,IF($D$2="$ M",Calc!CC104/1000,Calc!CC104))</f>
        <v>0</v>
      </c>
      <c r="K107" s="2220">
        <f>IF($D$2="$ K",Calc!J104,Calc!J104/1000)</f>
        <v>0</v>
      </c>
      <c r="L107" s="2219">
        <f>IF(Calc!AT104=0,0,IF($D$2="$ M",Calc!CD104/1000,Calc!CD104))</f>
        <v>0</v>
      </c>
      <c r="M107" s="2220">
        <f>IF($D$2="$ K",Calc!K104,Calc!K104/1000)</f>
        <v>0</v>
      </c>
      <c r="N107" s="2219">
        <f>IF(Calc!AU104=0,0,IF($D$2="$ M",Calc!CE104/1000,Calc!CE104))</f>
        <v>0</v>
      </c>
      <c r="O107" s="2220">
        <f>IF($D$2="$ K",Calc!L104,Calc!L104/1000)</f>
        <v>0</v>
      </c>
      <c r="P107" s="2219">
        <f>IF(Calc!AV104=0,0,IF($D$2="$ M",Calc!CF104/1000,Calc!CF104))</f>
        <v>0</v>
      </c>
      <c r="Q107" s="2220">
        <f>IF($D$2="$ K",Calc!M104,Calc!M104/1000)</f>
        <v>0</v>
      </c>
      <c r="R107" s="2219">
        <f>IF(Calc!AW104=0,0,IF($D$2="$ M",Calc!CG104/1000,Calc!CG104))</f>
        <v>0</v>
      </c>
      <c r="S107" s="2220">
        <f>IF($D$2="$ K",Calc!N104,Calc!N104/1000)</f>
        <v>0</v>
      </c>
      <c r="T107" s="2219">
        <f>IF(Calc!AX104=0,0,IF($D$2="$ M",Calc!CH104/1000,Calc!CH104))</f>
        <v>0</v>
      </c>
      <c r="U107" s="2220">
        <f>IF($D$2="$ K",Calc!O104,Calc!O104/1000)</f>
        <v>0</v>
      </c>
      <c r="V107" s="2219">
        <f>IF(Calc!AY104=0,0,IF($D$2="$ M",Calc!CI104/1000,Calc!CI104))</f>
        <v>0</v>
      </c>
      <c r="W107" s="2220">
        <f>IF($D$2="$ K",Calc!P104,Calc!P104/1000)</f>
        <v>0</v>
      </c>
      <c r="X107" s="2219">
        <f>IF(Calc!AZ104=0,0,IF($D$2="$ M",Calc!CJ104/1000,Calc!CJ104))</f>
        <v>0</v>
      </c>
      <c r="Y107" s="2220">
        <f>IF($D$2="$ K",Calc!Q104,Calc!Q104/1000)</f>
        <v>0</v>
      </c>
      <c r="Z107" s="2219">
        <f>IF(Calc!BA104=0,0,IF($D$2="$ M",Calc!CK104/1000,Calc!CK104))</f>
        <v>0</v>
      </c>
      <c r="AA107" s="2220">
        <f>IF($D$2="$ K",Calc!R104,Calc!R104/1000)</f>
        <v>0</v>
      </c>
      <c r="AB107" s="2219">
        <f>IF(Calc!BB104=0,0,IF($D$2="$ M",Calc!CL104/1000,Calc!CL104))</f>
        <v>0</v>
      </c>
      <c r="AC107" s="2220">
        <f>IF($D$2="$ K",Calc!S104,Calc!S104/1000)</f>
        <v>0</v>
      </c>
      <c r="AD107" s="2219">
        <f>IF(Calc!BC104=0,0,IF($D$2="$ M",Calc!CM104/1000,Calc!CM104))</f>
        <v>0</v>
      </c>
      <c r="AE107" s="2220">
        <f>IF($D$2="$ K",Calc!T104,Calc!T104/1000)</f>
        <v>0</v>
      </c>
      <c r="AF107" s="2219">
        <f>IF(Calc!BD104=0,0,IF($D$2="$ M",Calc!CN104/1000,Calc!CN104))</f>
        <v>0</v>
      </c>
      <c r="AG107" s="2220">
        <f>IF($D$2="$ K",Calc!U104,Calc!U104/1000)</f>
        <v>0</v>
      </c>
      <c r="AH107" s="2219">
        <f>IF(Calc!BE104=0,0,IF($D$2="$ M",Calc!CO104/1000,Calc!CO104))</f>
        <v>0</v>
      </c>
      <c r="AI107" s="2220">
        <f>IF($D$2="$ K",Calc!V104,Calc!V104/1000)</f>
        <v>0</v>
      </c>
      <c r="AJ107" s="2219">
        <f>IF(Calc!BF104=0,0,IF($D$2="$ M",Calc!CP104/1000,Calc!CP104))</f>
        <v>0</v>
      </c>
      <c r="AK107" s="2220">
        <f>IF($D$2="$ K",Calc!W104,Calc!W104/1000)</f>
        <v>0</v>
      </c>
      <c r="AL107" s="2219">
        <f>IF(Calc!BG104=0,0,IF($D$2="$ M",Calc!CQ104/1000,Calc!CQ104))</f>
        <v>0</v>
      </c>
      <c r="AM107" s="2220">
        <f>IF($D$2="$ K",Calc!X104,Calc!X104/1000)</f>
        <v>0</v>
      </c>
      <c r="AN107" s="2219">
        <f>IF(Calc!BH104=0,0,IF($D$2="$ M",Calc!CR104/1000,Calc!CR104))</f>
        <v>0</v>
      </c>
      <c r="AO107" s="2220">
        <f>IF($D$2="$ K",Calc!Y104,Calc!Y104/1000)</f>
        <v>0</v>
      </c>
      <c r="AP107" s="2219">
        <f>IF(Calc!BJ104=0,0,IF($D$2="$ M",Calc!CS104/1000,Calc!CS104))</f>
        <v>0</v>
      </c>
      <c r="AQ107" s="2220">
        <f>IF($D$2="$ K",Calc!Z104,Calc!Z104/1000)</f>
        <v>0</v>
      </c>
      <c r="AR107" s="2219">
        <f>IF(Calc!BL104=0,0,IF($D$2="$ M",Calc!CT104/1000,Calc!CT104))</f>
        <v>0</v>
      </c>
      <c r="AS107" s="2220">
        <f>IF($D$2="$ K",Calc!AA104,Calc!AA104/1000)</f>
        <v>0</v>
      </c>
      <c r="AT107" s="2219">
        <f>IF(Calc!BN104=0,0,IF($D$2="$ M",Calc!CU104/1000,Calc!CU104))</f>
        <v>0</v>
      </c>
      <c r="AU107" s="2220">
        <f>IF($D$2="$ K",Calc!AB104,Calc!AB104/1000)</f>
        <v>0</v>
      </c>
      <c r="AV107" s="2219">
        <f>IF(Calc!BP104=0,0,IF($D$2="$ M",Calc!CV104/1000,Calc!CV104))</f>
        <v>0</v>
      </c>
      <c r="AW107" s="2220">
        <f>IF($D$2="$ K",Calc!AC104,Calc!AC104/1000)</f>
        <v>0</v>
      </c>
      <c r="AX107" s="2219">
        <f>IF(Calc!BR104=0,0,IF($D$2="$ M",Calc!CW104/1000,Calc!CW104))</f>
        <v>0</v>
      </c>
      <c r="AY107" s="2220">
        <f>IF($D$2="$ K",Calc!AD104,Calc!AD104/1000)</f>
        <v>0</v>
      </c>
      <c r="AZ107" s="2219">
        <f>IF(Calc!BT104=0,0,IF($D$2="$ M",Calc!CX104/1000,Calc!CX104))</f>
        <v>0</v>
      </c>
      <c r="BA107" s="2220">
        <f>IF($D$2="$ K",Calc!AE104,Calc!AE104/1000)</f>
        <v>0</v>
      </c>
      <c r="BB107" s="2219">
        <f>IF(Calc!BV104=0,0,IF($D$2="$ M",Calc!CY104/1000,Calc!CY104))</f>
        <v>0</v>
      </c>
      <c r="BC107" s="2220">
        <f>IF($D$2="$ K",Calc!AF104,Calc!AF104/1000)</f>
        <v>0</v>
      </c>
      <c r="BD107" s="2219">
        <f>IF(Calc!BX104=0,0,IF($D$2="$ M",Calc!CZ104/1000,Calc!CZ104))</f>
        <v>0</v>
      </c>
      <c r="BE107" s="2220">
        <f>IF($D$2="$ K",Calc!AG104,Calc!AG104/1000)</f>
        <v>0</v>
      </c>
      <c r="BF107" s="2219">
        <f>IF(Calc!BZ104=0,0,IF($D$2="$ M",Calc!DA104/1000,Calc!DA104))</f>
        <v>0</v>
      </c>
      <c r="BG107" s="2220">
        <f>IF($D$2="$ K",Calc!AH104,Calc!AH104/1000)</f>
        <v>0</v>
      </c>
      <c r="BH107" s="2219">
        <f>IF(Calc!CB104=0,0,IF($D$2="$ M",Calc!DB104/1000,Calc!DB104))</f>
        <v>0</v>
      </c>
      <c r="BI107" s="2220">
        <f>IF($D$2="$ K",Calc!AI104,Calc!AI104/1000)</f>
        <v>0</v>
      </c>
      <c r="BJ107" s="2219">
        <f>IF(Calc!BS104=0,0,IF($D$2="$ M",Calc!DC104/1000,Calc!DC104))</f>
        <v>0</v>
      </c>
      <c r="BK107" s="2220"/>
      <c r="BL107" s="2221"/>
      <c r="BM107" s="2222">
        <f>IF(Calc!BT104=0,0,IF($D$2="$ M",Calc!DD104/1000,Calc!DD104))</f>
        <v>0</v>
      </c>
      <c r="BN107" s="1260"/>
      <c r="BO107" s="1260"/>
      <c r="BP107" s="2223"/>
      <c r="BQ107" s="2267"/>
      <c r="BR107" s="2267"/>
      <c r="BS107" s="2268"/>
    </row>
    <row r="108" spans="1:71" s="2269" customFormat="1" ht="15.6" hidden="1" outlineLevel="1" x14ac:dyDescent="0.3">
      <c r="A108" s="2267"/>
      <c r="B108" s="2224" t="str">
        <f t="shared" si="20"/>
        <v>New Prod vs ASR Rev</v>
      </c>
      <c r="C108" s="2225"/>
      <c r="D108" s="2226"/>
      <c r="E108" s="2227">
        <f>IF($D$2="$ K",Calc!G105,Calc!G105/1000)</f>
        <v>0</v>
      </c>
      <c r="F108" s="2228">
        <f>IF(Calc!AQ105=0,0,IF($D$2="$ M",Calc!CA105/1000,Calc!CA105))</f>
        <v>0</v>
      </c>
      <c r="G108" s="2229">
        <f>IF($D$2="$ K",Calc!H105,Calc!H105/1000)</f>
        <v>0</v>
      </c>
      <c r="H108" s="2228">
        <f>IF(Calc!AR105=0,0,IF($D$2="$ M",Calc!CB105/1000,Calc!CB105))</f>
        <v>0</v>
      </c>
      <c r="I108" s="2229">
        <f>IF($D$2="$ K",Calc!I105,Calc!I105/1000)</f>
        <v>0</v>
      </c>
      <c r="J108" s="2228">
        <f>IF(Calc!AS105=0,0,IF($D$2="$ M",Calc!CC105/1000,Calc!CC105))</f>
        <v>0</v>
      </c>
      <c r="K108" s="2229">
        <f>IF($D$2="$ K",Calc!J105,Calc!J105/1000)</f>
        <v>0</v>
      </c>
      <c r="L108" s="2228">
        <f>IF(Calc!AT105=0,0,IF($D$2="$ M",Calc!CD105/1000,Calc!CD105))</f>
        <v>0</v>
      </c>
      <c r="M108" s="2229">
        <f>IF($D$2="$ K",Calc!K105,Calc!K105/1000)</f>
        <v>0</v>
      </c>
      <c r="N108" s="2228">
        <f>IF(Calc!AU105=0,0,IF($D$2="$ M",Calc!CE105/1000,Calc!CE105))</f>
        <v>0</v>
      </c>
      <c r="O108" s="2229">
        <f>IF($D$2="$ K",Calc!L105,Calc!L105/1000)</f>
        <v>0</v>
      </c>
      <c r="P108" s="2228">
        <f>IF(Calc!AV105=0,0,IF($D$2="$ M",Calc!CF105/1000,Calc!CF105))</f>
        <v>0</v>
      </c>
      <c r="Q108" s="2229">
        <f>IF($D$2="$ K",Calc!M105,Calc!M105/1000)</f>
        <v>0</v>
      </c>
      <c r="R108" s="2228">
        <f>IF(Calc!AW105=0,0,IF($D$2="$ M",Calc!CG105/1000,Calc!CG105))</f>
        <v>0</v>
      </c>
      <c r="S108" s="2229">
        <f>IF($D$2="$ K",Calc!N105,Calc!N105/1000)</f>
        <v>0</v>
      </c>
      <c r="T108" s="2228">
        <f>IF(Calc!AX105=0,0,IF($D$2="$ M",Calc!CH105/1000,Calc!CH105))</f>
        <v>0</v>
      </c>
      <c r="U108" s="2229">
        <f>IF($D$2="$ K",Calc!O105,Calc!O105/1000)</f>
        <v>0</v>
      </c>
      <c r="V108" s="2228">
        <f>IF(Calc!AY105=0,0,IF($D$2="$ M",Calc!CI105/1000,Calc!CI105))</f>
        <v>0</v>
      </c>
      <c r="W108" s="2229">
        <f>IF($D$2="$ K",Calc!P105,Calc!P105/1000)</f>
        <v>0</v>
      </c>
      <c r="X108" s="2228">
        <f>IF(Calc!AZ105=0,0,IF($D$2="$ M",Calc!CJ105/1000,Calc!CJ105))</f>
        <v>0</v>
      </c>
      <c r="Y108" s="2229">
        <f>IF($D$2="$ K",Calc!Q105,Calc!Q105/1000)</f>
        <v>0</v>
      </c>
      <c r="Z108" s="2228">
        <f>IF(Calc!BA105=0,0,IF($D$2="$ M",Calc!CK105/1000,Calc!CK105))</f>
        <v>0</v>
      </c>
      <c r="AA108" s="2229">
        <f>IF($D$2="$ K",Calc!R105,Calc!R105/1000)</f>
        <v>0</v>
      </c>
      <c r="AB108" s="2228">
        <f>IF(Calc!BB105=0,0,IF($D$2="$ M",Calc!CL105/1000,Calc!CL105))</f>
        <v>0</v>
      </c>
      <c r="AC108" s="2229">
        <f>IF($D$2="$ K",Calc!S105,Calc!S105/1000)</f>
        <v>0</v>
      </c>
      <c r="AD108" s="2228">
        <f>IF(Calc!BC105=0,0,IF($D$2="$ M",Calc!CM105/1000,Calc!CM105))</f>
        <v>0</v>
      </c>
      <c r="AE108" s="2229">
        <f>IF($D$2="$ K",Calc!T105,Calc!T105/1000)</f>
        <v>0</v>
      </c>
      <c r="AF108" s="2228">
        <f>IF(Calc!BD105=0,0,IF($D$2="$ M",Calc!CN105/1000,Calc!CN105))</f>
        <v>0</v>
      </c>
      <c r="AG108" s="2229">
        <f>IF($D$2="$ K",Calc!U105,Calc!U105/1000)</f>
        <v>0</v>
      </c>
      <c r="AH108" s="2228">
        <f>IF(Calc!BE105=0,0,IF($D$2="$ M",Calc!CO105/1000,Calc!CO105))</f>
        <v>0</v>
      </c>
      <c r="AI108" s="2229">
        <f>IF($D$2="$ K",Calc!V105,Calc!V105/1000)</f>
        <v>0</v>
      </c>
      <c r="AJ108" s="2228">
        <f>IF(Calc!BF105=0,0,IF($D$2="$ M",Calc!CP105/1000,Calc!CP105))</f>
        <v>0</v>
      </c>
      <c r="AK108" s="2229">
        <f>IF($D$2="$ K",Calc!W105,Calc!W105/1000)</f>
        <v>0</v>
      </c>
      <c r="AL108" s="2228">
        <f>IF(Calc!BG105=0,0,IF($D$2="$ M",Calc!CQ105/1000,Calc!CQ105))</f>
        <v>0</v>
      </c>
      <c r="AM108" s="2229">
        <f>IF($D$2="$ K",Calc!X105,Calc!X105/1000)</f>
        <v>0</v>
      </c>
      <c r="AN108" s="2228">
        <f>IF(Calc!BH105=0,0,IF($D$2="$ M",Calc!CR105/1000,Calc!CR105))</f>
        <v>0</v>
      </c>
      <c r="AO108" s="2229">
        <f>IF($D$2="$ K",Calc!Y105,Calc!Y105/1000)</f>
        <v>0</v>
      </c>
      <c r="AP108" s="2228">
        <f>IF(Calc!BJ105=0,0,IF($D$2="$ M",Calc!CS105/1000,Calc!CS105))</f>
        <v>0</v>
      </c>
      <c r="AQ108" s="2229">
        <f>IF($D$2="$ K",Calc!Z105,Calc!Z105/1000)</f>
        <v>0</v>
      </c>
      <c r="AR108" s="2228">
        <f>IF(Calc!BL105=0,0,IF($D$2="$ M",Calc!CT105/1000,Calc!CT105))</f>
        <v>0</v>
      </c>
      <c r="AS108" s="2229">
        <f>IF($D$2="$ K",Calc!AA105,Calc!AA105/1000)</f>
        <v>0</v>
      </c>
      <c r="AT108" s="2228">
        <f>IF(Calc!BN105=0,0,IF($D$2="$ M",Calc!CU105/1000,Calc!CU105))</f>
        <v>0</v>
      </c>
      <c r="AU108" s="2229">
        <f>IF($D$2="$ K",Calc!AB105,Calc!AB105/1000)</f>
        <v>0</v>
      </c>
      <c r="AV108" s="2228">
        <f>IF(Calc!BP105=0,0,IF($D$2="$ M",Calc!CV105/1000,Calc!CV105))</f>
        <v>0</v>
      </c>
      <c r="AW108" s="2229">
        <f>IF($D$2="$ K",Calc!AC105,Calc!AC105/1000)</f>
        <v>0</v>
      </c>
      <c r="AX108" s="2228">
        <f>IF(Calc!BR105=0,0,IF($D$2="$ M",Calc!CW105/1000,Calc!CW105))</f>
        <v>0</v>
      </c>
      <c r="AY108" s="2229">
        <f>IF($D$2="$ K",Calc!AD105,Calc!AD105/1000)</f>
        <v>0</v>
      </c>
      <c r="AZ108" s="2228">
        <f>IF(Calc!BT105=0,0,IF($D$2="$ M",Calc!CX105/1000,Calc!CX105))</f>
        <v>0</v>
      </c>
      <c r="BA108" s="2229">
        <f>IF($D$2="$ K",Calc!AE105,Calc!AE105/1000)</f>
        <v>0</v>
      </c>
      <c r="BB108" s="2228">
        <f>IF(Calc!BV105=0,0,IF($D$2="$ M",Calc!CY105/1000,Calc!CY105))</f>
        <v>0</v>
      </c>
      <c r="BC108" s="2229">
        <f>IF($D$2="$ K",Calc!AF105,Calc!AF105/1000)</f>
        <v>0</v>
      </c>
      <c r="BD108" s="2228">
        <f>IF(Calc!BX105=0,0,IF($D$2="$ M",Calc!CZ105/1000,Calc!CZ105))</f>
        <v>0</v>
      </c>
      <c r="BE108" s="2229">
        <f>IF($D$2="$ K",Calc!AG105,Calc!AG105/1000)</f>
        <v>0</v>
      </c>
      <c r="BF108" s="2228">
        <f>IF(Calc!BZ105=0,0,IF($D$2="$ M",Calc!DA105/1000,Calc!DA105))</f>
        <v>0</v>
      </c>
      <c r="BG108" s="2229">
        <f>IF($D$2="$ K",Calc!AH105,Calc!AH105/1000)</f>
        <v>0</v>
      </c>
      <c r="BH108" s="2228">
        <f>IF(Calc!CB105=0,0,IF($D$2="$ M",Calc!DB105/1000,Calc!DB105))</f>
        <v>0</v>
      </c>
      <c r="BI108" s="2229">
        <f>IF($D$2="$ K",Calc!AI105,Calc!AI105/1000)</f>
        <v>0</v>
      </c>
      <c r="BJ108" s="2228">
        <f>IF(Calc!BS105=0,0,IF($D$2="$ M",Calc!DC105/1000,Calc!DC105))</f>
        <v>0</v>
      </c>
      <c r="BK108" s="2229">
        <f>IF($D$2="$ K",Calc!AJ105,Calc!AJ105/1000)</f>
        <v>0</v>
      </c>
      <c r="BL108" s="2230"/>
      <c r="BM108" s="2231">
        <f>IF(Calc!BT105=0,0,IF($D$2="$ M",Calc!DD105/1000,Calc!DD105))</f>
        <v>0</v>
      </c>
      <c r="BN108" s="1260"/>
      <c r="BO108" s="1260"/>
      <c r="BP108" s="2232">
        <f>IF($D$2="$ K",Calc!AM105,Calc!AM105/1000)</f>
        <v>0</v>
      </c>
      <c r="BQ108" s="2267"/>
      <c r="BR108" s="2267"/>
      <c r="BS108" s="2268"/>
    </row>
    <row r="109" spans="1:71" s="2266" customFormat="1" hidden="1" outlineLevel="1" x14ac:dyDescent="0.3">
      <c r="A109" s="2260"/>
      <c r="B109" s="2197" t="str">
        <f t="shared" si="20"/>
        <v>Std Cost w/ Depr ($)</v>
      </c>
      <c r="C109" s="1099"/>
      <c r="D109" s="2233"/>
      <c r="E109" s="2234">
        <f>+Calc!G106</f>
        <v>0</v>
      </c>
      <c r="F109" s="2235">
        <f>IF(Calc!AQ106=0,0,Calc!CA106)</f>
        <v>0</v>
      </c>
      <c r="G109" s="2236">
        <f>+Calc!H106</f>
        <v>0</v>
      </c>
      <c r="H109" s="2235">
        <f>IF(Calc!AR106=0,0,Calc!CB106)</f>
        <v>0</v>
      </c>
      <c r="I109" s="2236">
        <f>+Calc!I106</f>
        <v>0</v>
      </c>
      <c r="J109" s="2235">
        <f>IF(Calc!AS106=0,0,Calc!CC106)</f>
        <v>0</v>
      </c>
      <c r="K109" s="2236">
        <f>+Calc!J106</f>
        <v>0</v>
      </c>
      <c r="L109" s="2235">
        <f>IF(Calc!AT106=0,0,Calc!CD106)</f>
        <v>0</v>
      </c>
      <c r="M109" s="2236">
        <f>+Calc!K106</f>
        <v>0</v>
      </c>
      <c r="N109" s="2235">
        <f>IF(Calc!AU106=0,0,Calc!CE106)</f>
        <v>0</v>
      </c>
      <c r="O109" s="2236">
        <f>+Calc!L106</f>
        <v>0</v>
      </c>
      <c r="P109" s="2235">
        <f>IF(Calc!AV106=0,0,Calc!CF106)</f>
        <v>0</v>
      </c>
      <c r="Q109" s="2236">
        <f>+Calc!M106</f>
        <v>0</v>
      </c>
      <c r="R109" s="2235">
        <f>IF(Calc!AW106=0,0,Calc!CG106)</f>
        <v>0</v>
      </c>
      <c r="S109" s="2236">
        <f>+Calc!N106</f>
        <v>0</v>
      </c>
      <c r="T109" s="2235">
        <f>IF(Calc!AX106=0,0,Calc!CH106)</f>
        <v>0</v>
      </c>
      <c r="U109" s="2236">
        <f>+Calc!O106</f>
        <v>0</v>
      </c>
      <c r="V109" s="2235">
        <f>IF(Calc!AY106=0,0,Calc!CI106)</f>
        <v>0</v>
      </c>
      <c r="W109" s="2236">
        <f>+Calc!P106</f>
        <v>0</v>
      </c>
      <c r="X109" s="2235">
        <f>IF(Calc!AZ106=0,0,Calc!CJ106)</f>
        <v>0</v>
      </c>
      <c r="Y109" s="2236">
        <f>+Calc!Q106</f>
        <v>0</v>
      </c>
      <c r="Z109" s="2235">
        <f>IF(Calc!BA106=0,0,Calc!CK106)</f>
        <v>0</v>
      </c>
      <c r="AA109" s="2236">
        <f>+Calc!R106</f>
        <v>0</v>
      </c>
      <c r="AB109" s="2235">
        <f>IF(Calc!BB106=0,0,Calc!CL106)</f>
        <v>0</v>
      </c>
      <c r="AC109" s="2236">
        <f>+Calc!S106</f>
        <v>0</v>
      </c>
      <c r="AD109" s="2235">
        <f>IF(Calc!BC106=0,0,Calc!CM106)</f>
        <v>0</v>
      </c>
      <c r="AE109" s="2236">
        <f>+Calc!T106</f>
        <v>0</v>
      </c>
      <c r="AF109" s="2235">
        <f>IF(Calc!BD106=0,0,Calc!CN106)</f>
        <v>0</v>
      </c>
      <c r="AG109" s="2236">
        <f>+Calc!U106</f>
        <v>0</v>
      </c>
      <c r="AH109" s="2235">
        <f>IF(Calc!BE106=0,0,Calc!CO106)</f>
        <v>0</v>
      </c>
      <c r="AI109" s="2236">
        <f>+Calc!V106</f>
        <v>0</v>
      </c>
      <c r="AJ109" s="2235">
        <f>IF(Calc!BF106=0,0,Calc!CP106)</f>
        <v>0</v>
      </c>
      <c r="AK109" s="2236">
        <f>+Calc!W106</f>
        <v>0</v>
      </c>
      <c r="AL109" s="2235">
        <f>IF(Calc!BG106=0,0,Calc!CQ106)</f>
        <v>0</v>
      </c>
      <c r="AM109" s="2236">
        <f>+Calc!X106</f>
        <v>0</v>
      </c>
      <c r="AN109" s="2235">
        <f>IF(Calc!BH106=0,0,Calc!CR106)</f>
        <v>0</v>
      </c>
      <c r="AO109" s="2236">
        <f>+Calc!Y106</f>
        <v>0</v>
      </c>
      <c r="AP109" s="2235">
        <f>IF(Calc!BJ106=0,0,Calc!CS106)</f>
        <v>0</v>
      </c>
      <c r="AQ109" s="2236">
        <f>+Calc!Z106</f>
        <v>0</v>
      </c>
      <c r="AR109" s="2235">
        <f>IF(Calc!BL106=0,0,Calc!CT106)</f>
        <v>0</v>
      </c>
      <c r="AS109" s="2236">
        <f>+Calc!AA106</f>
        <v>0</v>
      </c>
      <c r="AT109" s="2235">
        <f>IF(Calc!BN106=0,0,Calc!CU106)</f>
        <v>0</v>
      </c>
      <c r="AU109" s="2236">
        <f>+Calc!AB106</f>
        <v>0</v>
      </c>
      <c r="AV109" s="2235">
        <f>IF(Calc!BP106=0,0,Calc!CV106)</f>
        <v>0</v>
      </c>
      <c r="AW109" s="2236">
        <f>+Calc!AC106</f>
        <v>0</v>
      </c>
      <c r="AX109" s="2235">
        <f>IF(Calc!BR106=0,0,Calc!CW106)</f>
        <v>0</v>
      </c>
      <c r="AY109" s="2236">
        <f>+Calc!AD106</f>
        <v>0</v>
      </c>
      <c r="AZ109" s="2235">
        <f>IF(Calc!BT106=0,0,Calc!CX106)</f>
        <v>0</v>
      </c>
      <c r="BA109" s="2236">
        <f>+Calc!AE106</f>
        <v>0</v>
      </c>
      <c r="BB109" s="2235">
        <f>IF(Calc!BV106=0,0,Calc!CY106)</f>
        <v>0</v>
      </c>
      <c r="BC109" s="2236">
        <f>+Calc!AF106</f>
        <v>0</v>
      </c>
      <c r="BD109" s="2235">
        <f>IF(Calc!BX106=0,0,Calc!CZ106)</f>
        <v>0</v>
      </c>
      <c r="BE109" s="2236">
        <f>+Calc!AG106</f>
        <v>0</v>
      </c>
      <c r="BF109" s="2235">
        <f>IF(Calc!BZ106=0,0,Calc!DA106)</f>
        <v>0</v>
      </c>
      <c r="BG109" s="2236">
        <f>+Calc!AH106</f>
        <v>0</v>
      </c>
      <c r="BH109" s="2235">
        <f>IF(Calc!CB106=0,0,Calc!DB106)</f>
        <v>0</v>
      </c>
      <c r="BI109" s="2236">
        <f>+Calc!AI106</f>
        <v>0</v>
      </c>
      <c r="BJ109" s="2235">
        <f>IF(Calc!BS106=0,0,Calc!DC106)</f>
        <v>0</v>
      </c>
      <c r="BK109" s="2236">
        <f>+Calc!AJ106</f>
        <v>0</v>
      </c>
      <c r="BL109" s="2237"/>
      <c r="BM109" s="2238">
        <f>IF(Calc!BT106=0,0,Calc!DD106)</f>
        <v>0</v>
      </c>
      <c r="BN109" s="2189"/>
      <c r="BO109" s="1070"/>
      <c r="BP109" s="2239"/>
      <c r="BQ109" s="2260"/>
      <c r="BR109" s="2260"/>
      <c r="BS109" s="2265"/>
    </row>
    <row r="110" spans="1:71" s="2266" customFormat="1" hidden="1" outlineLevel="1" x14ac:dyDescent="0.3">
      <c r="A110" s="2260"/>
      <c r="B110" s="2197" t="str">
        <f t="shared" si="20"/>
        <v>Std Cost w/o Depr ($)</v>
      </c>
      <c r="C110" s="1099"/>
      <c r="D110" s="2233"/>
      <c r="E110" s="2234">
        <f>+Calc!G107</f>
        <v>0</v>
      </c>
      <c r="F110" s="2235">
        <f>IF(Calc!AQ107=0,0,Calc!CA107)</f>
        <v>0</v>
      </c>
      <c r="G110" s="2236">
        <f>+Calc!H107</f>
        <v>0</v>
      </c>
      <c r="H110" s="2235">
        <f>IF(Calc!AR107=0,0,Calc!CB107)</f>
        <v>0</v>
      </c>
      <c r="I110" s="2236">
        <f>+Calc!I107</f>
        <v>0</v>
      </c>
      <c r="J110" s="2235">
        <f>IF(Calc!AS107=0,0,Calc!CC107)</f>
        <v>0</v>
      </c>
      <c r="K110" s="2236">
        <f>+Calc!J107</f>
        <v>0</v>
      </c>
      <c r="L110" s="2235">
        <f>IF(Calc!AT107=0,0,Calc!CD107)</f>
        <v>0</v>
      </c>
      <c r="M110" s="2236">
        <f>+Calc!K107</f>
        <v>0</v>
      </c>
      <c r="N110" s="2235">
        <f>IF(Calc!AU107=0,0,Calc!CE107)</f>
        <v>0</v>
      </c>
      <c r="O110" s="2236">
        <f>+Calc!L107</f>
        <v>0</v>
      </c>
      <c r="P110" s="2235">
        <f>IF(Calc!AV107=0,0,Calc!CF107)</f>
        <v>0</v>
      </c>
      <c r="Q110" s="2236">
        <f>+Calc!M107</f>
        <v>0</v>
      </c>
      <c r="R110" s="2235">
        <f>IF(Calc!AW107=0,0,Calc!CG107)</f>
        <v>0</v>
      </c>
      <c r="S110" s="2236">
        <f>+Calc!N107</f>
        <v>0</v>
      </c>
      <c r="T110" s="2235">
        <f>IF(Calc!AX107=0,0,Calc!CH107)</f>
        <v>0</v>
      </c>
      <c r="U110" s="2236">
        <f>+Calc!O107</f>
        <v>0</v>
      </c>
      <c r="V110" s="2235">
        <f>IF(Calc!AY107=0,0,Calc!CI107)</f>
        <v>0</v>
      </c>
      <c r="W110" s="2236">
        <f>+Calc!P107</f>
        <v>0</v>
      </c>
      <c r="X110" s="2235">
        <f>IF(Calc!AZ107=0,0,Calc!CJ107)</f>
        <v>0</v>
      </c>
      <c r="Y110" s="2236">
        <f>+Calc!Q107</f>
        <v>0</v>
      </c>
      <c r="Z110" s="2235">
        <f>IF(Calc!BA107=0,0,Calc!CK107)</f>
        <v>0</v>
      </c>
      <c r="AA110" s="2236">
        <f>+Calc!R107</f>
        <v>0</v>
      </c>
      <c r="AB110" s="2235">
        <f>IF(Calc!BB107=0,0,Calc!CL107)</f>
        <v>0</v>
      </c>
      <c r="AC110" s="2236">
        <f>+Calc!S107</f>
        <v>0</v>
      </c>
      <c r="AD110" s="2235">
        <f>IF(Calc!BC107=0,0,Calc!CM107)</f>
        <v>0</v>
      </c>
      <c r="AE110" s="2236">
        <f>+Calc!T107</f>
        <v>0</v>
      </c>
      <c r="AF110" s="2235">
        <f>IF(Calc!BD107=0,0,Calc!CN107)</f>
        <v>0</v>
      </c>
      <c r="AG110" s="2236">
        <f>+Calc!U107</f>
        <v>0</v>
      </c>
      <c r="AH110" s="2235">
        <f>IF(Calc!BE107=0,0,Calc!CO107)</f>
        <v>0</v>
      </c>
      <c r="AI110" s="2236">
        <f>+Calc!V107</f>
        <v>0</v>
      </c>
      <c r="AJ110" s="2235">
        <f>IF(Calc!BF107=0,0,Calc!CP107)</f>
        <v>0</v>
      </c>
      <c r="AK110" s="2236">
        <f>+Calc!W107</f>
        <v>0</v>
      </c>
      <c r="AL110" s="2235">
        <f>IF(Calc!BG107=0,0,Calc!CQ107)</f>
        <v>0</v>
      </c>
      <c r="AM110" s="2236">
        <f>+Calc!X107</f>
        <v>0</v>
      </c>
      <c r="AN110" s="2235">
        <f>IF(Calc!BH107=0,0,Calc!CR107)</f>
        <v>0</v>
      </c>
      <c r="AO110" s="2236">
        <f>+Calc!Y107</f>
        <v>0</v>
      </c>
      <c r="AP110" s="2235">
        <f>IF(Calc!BJ107=0,0,Calc!CS107)</f>
        <v>0</v>
      </c>
      <c r="AQ110" s="2236">
        <f>+Calc!Z107</f>
        <v>0</v>
      </c>
      <c r="AR110" s="2235">
        <f>IF(Calc!BL107=0,0,Calc!CT107)</f>
        <v>0</v>
      </c>
      <c r="AS110" s="2236">
        <f>+Calc!AA107</f>
        <v>0</v>
      </c>
      <c r="AT110" s="2235">
        <f>IF(Calc!BN107=0,0,Calc!CU107)</f>
        <v>0</v>
      </c>
      <c r="AU110" s="2236">
        <f>+Calc!AB107</f>
        <v>0</v>
      </c>
      <c r="AV110" s="2235">
        <f>IF(Calc!BP107=0,0,Calc!CV107)</f>
        <v>0</v>
      </c>
      <c r="AW110" s="2236">
        <f>+Calc!AC107</f>
        <v>0</v>
      </c>
      <c r="AX110" s="2235">
        <f>IF(Calc!BR107=0,0,Calc!CW107)</f>
        <v>0</v>
      </c>
      <c r="AY110" s="2236">
        <f>+Calc!AD107</f>
        <v>0</v>
      </c>
      <c r="AZ110" s="2235">
        <f>IF(Calc!BT107=0,0,Calc!CX107)</f>
        <v>0</v>
      </c>
      <c r="BA110" s="2236">
        <f>+Calc!AE107</f>
        <v>0</v>
      </c>
      <c r="BB110" s="2235">
        <f>IF(Calc!BV107=0,0,Calc!CY107)</f>
        <v>0</v>
      </c>
      <c r="BC110" s="2236">
        <f>+Calc!AF107</f>
        <v>0</v>
      </c>
      <c r="BD110" s="2235">
        <f>IF(Calc!BX107=0,0,Calc!CZ107)</f>
        <v>0</v>
      </c>
      <c r="BE110" s="2236">
        <f>+Calc!AG107</f>
        <v>0</v>
      </c>
      <c r="BF110" s="2235">
        <f>IF(Calc!BZ107=0,0,Calc!DA107)</f>
        <v>0</v>
      </c>
      <c r="BG110" s="2236">
        <f>+Calc!AH107</f>
        <v>0</v>
      </c>
      <c r="BH110" s="2235">
        <f>IF(Calc!CB107=0,0,Calc!DB107)</f>
        <v>0</v>
      </c>
      <c r="BI110" s="2236">
        <f>+Calc!AI107</f>
        <v>0</v>
      </c>
      <c r="BJ110" s="2235">
        <f>IF(Calc!BS107=0,0,Calc!DC107)</f>
        <v>0</v>
      </c>
      <c r="BK110" s="2236">
        <f>+Calc!AJ107</f>
        <v>0</v>
      </c>
      <c r="BL110" s="2237"/>
      <c r="BM110" s="2238">
        <f>IF(Calc!BT107=0,0,Calc!DD107)</f>
        <v>0</v>
      </c>
      <c r="BN110" s="2189"/>
      <c r="BO110" s="1070"/>
      <c r="BP110" s="2239"/>
      <c r="BQ110" s="2260"/>
      <c r="BR110" s="2260"/>
      <c r="BS110" s="2265"/>
    </row>
    <row r="111" spans="1:71" s="2269" customFormat="1" ht="18" hidden="1" outlineLevel="1" x14ac:dyDescent="0.35">
      <c r="A111" s="2267"/>
      <c r="B111" s="2240" t="str">
        <f t="shared" si="20"/>
        <v>New Product Gross Profit</v>
      </c>
      <c r="C111" s="2241"/>
      <c r="D111" s="2242"/>
      <c r="E111" s="2243">
        <f>IF($D$2="$ K",Calc!G108,Calc!G108/1000)</f>
        <v>0</v>
      </c>
      <c r="F111" s="2244">
        <f>IF(Calc!AQ108=0,0,IF($D$2="$ M",Calc!CA108/1000,Calc!CA108))</f>
        <v>0</v>
      </c>
      <c r="G111" s="2245">
        <f>IF($D$2="$ K",Calc!H108,Calc!H108/1000)</f>
        <v>0</v>
      </c>
      <c r="H111" s="2244">
        <f>IF(Calc!AR108=0,0,IF($D$2="$ M",Calc!CB108/1000,Calc!CB108))</f>
        <v>0</v>
      </c>
      <c r="I111" s="2245">
        <f>IF($D$2="$ K",Calc!I108,Calc!I108/1000)</f>
        <v>0</v>
      </c>
      <c r="J111" s="2244">
        <f>IF(Calc!AS108=0,0,IF($D$2="$ M",Calc!CC108/1000,Calc!CC108))</f>
        <v>0</v>
      </c>
      <c r="K111" s="2245">
        <f>IF($D$2="$ K",Calc!J108,Calc!J108/1000)</f>
        <v>0</v>
      </c>
      <c r="L111" s="2244">
        <f>IF(Calc!AT108=0,0,IF($D$2="$ M",Calc!CD108/1000,Calc!CD108))</f>
        <v>0</v>
      </c>
      <c r="M111" s="2245">
        <f>IF($D$2="$ K",Calc!K108,Calc!K108/1000)</f>
        <v>0</v>
      </c>
      <c r="N111" s="2244">
        <f>IF(Calc!AU108=0,0,IF($D$2="$ M",Calc!CE108/1000,Calc!CE108))</f>
        <v>0</v>
      </c>
      <c r="O111" s="2245">
        <f>IF($D$2="$ K",Calc!L108,Calc!L108/1000)</f>
        <v>0</v>
      </c>
      <c r="P111" s="2244">
        <f>IF(Calc!AV108=0,0,IF($D$2="$ M",Calc!CF108/1000,Calc!CF108))</f>
        <v>0</v>
      </c>
      <c r="Q111" s="2245">
        <f>IF($D$2="$ K",Calc!M108,Calc!M108/1000)</f>
        <v>0</v>
      </c>
      <c r="R111" s="2244">
        <f>IF(Calc!AW108=0,0,IF($D$2="$ M",Calc!CG108/1000,Calc!CG108))</f>
        <v>0</v>
      </c>
      <c r="S111" s="2245">
        <f>IF($D$2="$ K",Calc!N108,Calc!N108/1000)</f>
        <v>0</v>
      </c>
      <c r="T111" s="2244">
        <f>IF(Calc!AX108=0,0,IF($D$2="$ M",Calc!CH108/1000,Calc!CH108))</f>
        <v>0</v>
      </c>
      <c r="U111" s="2245">
        <f>IF($D$2="$ K",Calc!O108,Calc!O108/1000)</f>
        <v>0</v>
      </c>
      <c r="V111" s="2244">
        <f>IF(Calc!AY108=0,0,IF($D$2="$ M",Calc!CI108/1000,Calc!CI108))</f>
        <v>0</v>
      </c>
      <c r="W111" s="2245">
        <f>IF($D$2="$ K",Calc!P108,Calc!P108/1000)</f>
        <v>0</v>
      </c>
      <c r="X111" s="2244">
        <f>IF(Calc!AZ108=0,0,IF($D$2="$ M",Calc!CJ108/1000,Calc!CJ108))</f>
        <v>0</v>
      </c>
      <c r="Y111" s="2245">
        <f>IF($D$2="$ K",Calc!Q108,Calc!Q108/1000)</f>
        <v>0</v>
      </c>
      <c r="Z111" s="2244">
        <f>IF(Calc!BA108=0,0,IF($D$2="$ M",Calc!CK108/1000,Calc!CK108))</f>
        <v>0</v>
      </c>
      <c r="AA111" s="2245">
        <f>IF($D$2="$ K",Calc!R108,Calc!R108/1000)</f>
        <v>0</v>
      </c>
      <c r="AB111" s="2244">
        <f>IF(Calc!BB108=0,0,IF($D$2="$ M",Calc!CL108/1000,Calc!CL108))</f>
        <v>0</v>
      </c>
      <c r="AC111" s="2245">
        <f>IF($D$2="$ K",Calc!S108,Calc!S108/1000)</f>
        <v>0</v>
      </c>
      <c r="AD111" s="2244">
        <f>IF(Calc!BC108=0,0,IF($D$2="$ M",Calc!CM108/1000,Calc!CM108))</f>
        <v>0</v>
      </c>
      <c r="AE111" s="2245">
        <f>IF($D$2="$ K",Calc!T108,Calc!T108/1000)</f>
        <v>0</v>
      </c>
      <c r="AF111" s="2244">
        <f>IF(Calc!BD108=0,0,IF($D$2="$ M",Calc!CN108/1000,Calc!CN108))</f>
        <v>0</v>
      </c>
      <c r="AG111" s="2245">
        <f>IF($D$2="$ K",Calc!U108,Calc!U108/1000)</f>
        <v>0</v>
      </c>
      <c r="AH111" s="2244">
        <f>IF(Calc!BE108=0,0,IF($D$2="$ M",Calc!CO108/1000,Calc!CO108))</f>
        <v>0</v>
      </c>
      <c r="AI111" s="2245">
        <f>IF($D$2="$ K",Calc!V108,Calc!V108/1000)</f>
        <v>0</v>
      </c>
      <c r="AJ111" s="2244">
        <f>IF(Calc!BF108=0,0,IF($D$2="$ M",Calc!CP108/1000,Calc!CP108))</f>
        <v>0</v>
      </c>
      <c r="AK111" s="2245">
        <f>IF($D$2="$ K",Calc!W108,Calc!W108/1000)</f>
        <v>0</v>
      </c>
      <c r="AL111" s="2244">
        <f>IF(Calc!BG108=0,0,IF($D$2="$ M",Calc!CQ108/1000,Calc!CQ108))</f>
        <v>0</v>
      </c>
      <c r="AM111" s="2245">
        <f>IF($D$2="$ K",Calc!X108,Calc!X108/1000)</f>
        <v>0</v>
      </c>
      <c r="AN111" s="2244">
        <f>IF(Calc!BH108=0,0,IF($D$2="$ M",Calc!CR108/1000,Calc!CR108))</f>
        <v>0</v>
      </c>
      <c r="AO111" s="2245">
        <f>IF($D$2="$ K",Calc!Y108,Calc!Y108/1000)</f>
        <v>0</v>
      </c>
      <c r="AP111" s="2244">
        <f>IF(Calc!BJ108=0,0,IF($D$2="$ M",Calc!CS108/1000,Calc!CS108))</f>
        <v>0</v>
      </c>
      <c r="AQ111" s="2245">
        <f>IF($D$2="$ K",Calc!Z108,Calc!Z108/1000)</f>
        <v>0</v>
      </c>
      <c r="AR111" s="2244">
        <f>IF(Calc!BL108=0,0,IF($D$2="$ M",Calc!CT108/1000,Calc!CT108))</f>
        <v>0</v>
      </c>
      <c r="AS111" s="2245">
        <f>IF($D$2="$ K",Calc!AA108,Calc!AA108/1000)</f>
        <v>0</v>
      </c>
      <c r="AT111" s="2244">
        <f>IF(Calc!BN108=0,0,IF($D$2="$ M",Calc!CU108/1000,Calc!CU108))</f>
        <v>0</v>
      </c>
      <c r="AU111" s="2245">
        <f>IF($D$2="$ K",Calc!AB108,Calc!AB108/1000)</f>
        <v>0</v>
      </c>
      <c r="AV111" s="2244">
        <f>IF(Calc!BP108=0,0,IF($D$2="$ M",Calc!CV108/1000,Calc!CV108))</f>
        <v>0</v>
      </c>
      <c r="AW111" s="2245">
        <f>IF($D$2="$ K",Calc!AC108,Calc!AC108/1000)</f>
        <v>0</v>
      </c>
      <c r="AX111" s="2244">
        <f>IF(Calc!BR108=0,0,IF($D$2="$ M",Calc!CW108/1000,Calc!CW108))</f>
        <v>0</v>
      </c>
      <c r="AY111" s="2245">
        <f>IF($D$2="$ K",Calc!AD108,Calc!AD108/1000)</f>
        <v>0</v>
      </c>
      <c r="AZ111" s="2244">
        <f>IF(Calc!BT108=0,0,IF($D$2="$ M",Calc!CX108/1000,Calc!CX108))</f>
        <v>0</v>
      </c>
      <c r="BA111" s="2245">
        <f>IF($D$2="$ K",Calc!AE108,Calc!AE108/1000)</f>
        <v>0</v>
      </c>
      <c r="BB111" s="2244">
        <f>IF(Calc!BV108=0,0,IF($D$2="$ M",Calc!CY108/1000,Calc!CY108))</f>
        <v>0</v>
      </c>
      <c r="BC111" s="2245">
        <f>IF($D$2="$ K",Calc!AF108,Calc!AF108/1000)</f>
        <v>0</v>
      </c>
      <c r="BD111" s="2244">
        <f>IF(Calc!BX108=0,0,IF($D$2="$ M",Calc!CZ108/1000,Calc!CZ108))</f>
        <v>0</v>
      </c>
      <c r="BE111" s="2245">
        <f>IF($D$2="$ K",Calc!AG108,Calc!AG108/1000)</f>
        <v>0</v>
      </c>
      <c r="BF111" s="2244">
        <f>IF(Calc!BZ108=0,0,IF($D$2="$ M",Calc!DA108/1000,Calc!DA108))</f>
        <v>0</v>
      </c>
      <c r="BG111" s="2245">
        <f>IF($D$2="$ K",Calc!AH108,Calc!AH108/1000)</f>
        <v>0</v>
      </c>
      <c r="BH111" s="2244">
        <f>IF(Calc!CB108=0,0,IF($D$2="$ M",Calc!DB108/1000,Calc!DB108))</f>
        <v>0</v>
      </c>
      <c r="BI111" s="2245">
        <f>IF($D$2="$ K",Calc!AI108,Calc!AI108/1000)</f>
        <v>0</v>
      </c>
      <c r="BJ111" s="2244">
        <f>IF(Calc!BS108=0,0,IF($D$2="$ M",Calc!DC108/1000,Calc!DC108))</f>
        <v>0</v>
      </c>
      <c r="BK111" s="2245">
        <f>IF($D$2="$ K",Calc!AJ108,Calc!AJ108/1000)</f>
        <v>0</v>
      </c>
      <c r="BL111" s="2246"/>
      <c r="BM111" s="2247">
        <f>IF(Calc!BT108=0,0,IF($D$2="$ M",Calc!DD108/1000,Calc!DD108))</f>
        <v>0</v>
      </c>
      <c r="BN111" s="1260"/>
      <c r="BO111" s="1260"/>
      <c r="BP111" s="2248">
        <f>IF($D$2="$ K",Calc!AM108,Calc!AM108/1000)</f>
        <v>0</v>
      </c>
      <c r="BQ111" s="2267"/>
      <c r="BR111" s="2267"/>
      <c r="BS111" s="2268"/>
    </row>
    <row r="112" spans="1:71" s="2266" customFormat="1" hidden="1" outlineLevel="1" x14ac:dyDescent="0.3">
      <c r="A112" s="2260"/>
      <c r="B112" s="2197" t="str">
        <f t="shared" si="20"/>
        <v>Gross Profit %</v>
      </c>
      <c r="C112" s="1115"/>
      <c r="D112" s="2249"/>
      <c r="E112" s="2250" t="str">
        <f>IF(Calc!G109=0,"",Calc!G109)</f>
        <v/>
      </c>
      <c r="F112" s="2201" t="str">
        <f>IF(Calc!AQ109=0,"",Calc!CA109)</f>
        <v/>
      </c>
      <c r="G112" s="2251" t="str">
        <f>IF(Calc!H109=0,"",Calc!H109)</f>
        <v/>
      </c>
      <c r="H112" s="2201" t="str">
        <f>IF(Calc!AR109=0,"",Calc!CB109)</f>
        <v/>
      </c>
      <c r="I112" s="2251" t="str">
        <f>IF(Calc!I109=0,"",Calc!I109)</f>
        <v/>
      </c>
      <c r="J112" s="2201" t="str">
        <f>IF(Calc!AS109=0,"",Calc!CC109)</f>
        <v/>
      </c>
      <c r="K112" s="2251" t="str">
        <f>IF(Calc!J109=0,"",Calc!J109)</f>
        <v/>
      </c>
      <c r="L112" s="2201" t="str">
        <f>IF(Calc!AT109=0,"",Calc!CD109)</f>
        <v/>
      </c>
      <c r="M112" s="2251" t="str">
        <f>IF(Calc!K109=0,"",Calc!K109)</f>
        <v/>
      </c>
      <c r="N112" s="2201" t="str">
        <f>IF(Calc!AU109=0,"",Calc!CE109)</f>
        <v/>
      </c>
      <c r="O112" s="2251" t="str">
        <f>IF(Calc!L109=0,"",Calc!L109)</f>
        <v/>
      </c>
      <c r="P112" s="2201" t="str">
        <f>IF(Calc!AV109=0,"",Calc!CF109)</f>
        <v/>
      </c>
      <c r="Q112" s="2251" t="str">
        <f>IF(Calc!M109=0,"",Calc!M109)</f>
        <v/>
      </c>
      <c r="R112" s="2201" t="str">
        <f>IF(Calc!AW109=0,"",Calc!CG109)</f>
        <v/>
      </c>
      <c r="S112" s="2251" t="str">
        <f>IF(Calc!N109=0,"",Calc!N109)</f>
        <v/>
      </c>
      <c r="T112" s="2201" t="str">
        <f>IF(Calc!AX109=0,"",Calc!CH109)</f>
        <v/>
      </c>
      <c r="U112" s="2251" t="str">
        <f>IF(Calc!O109=0,"",Calc!O109)</f>
        <v/>
      </c>
      <c r="V112" s="2201" t="str">
        <f>IF(Calc!AY109=0,"",Calc!CI109)</f>
        <v/>
      </c>
      <c r="W112" s="2251" t="str">
        <f>IF(Calc!P109=0,"",Calc!P109)</f>
        <v/>
      </c>
      <c r="X112" s="2201" t="str">
        <f>IF(Calc!AZ109=0,"",Calc!CJ109)</f>
        <v/>
      </c>
      <c r="Y112" s="2251" t="str">
        <f>IF(Calc!Q109=0,"",Calc!Q109)</f>
        <v/>
      </c>
      <c r="Z112" s="2201" t="str">
        <f>IF(Calc!BA109=0,"",Calc!CK109)</f>
        <v/>
      </c>
      <c r="AA112" s="2251" t="str">
        <f>IF(Calc!R109=0,"",Calc!R109)</f>
        <v/>
      </c>
      <c r="AB112" s="2201" t="str">
        <f>IF(Calc!BB109=0,"",Calc!CL109)</f>
        <v/>
      </c>
      <c r="AC112" s="2251" t="str">
        <f>IF(Calc!S109=0,"",Calc!S109)</f>
        <v/>
      </c>
      <c r="AD112" s="2201" t="str">
        <f>IF(Calc!BC109=0,"",Calc!CM109)</f>
        <v/>
      </c>
      <c r="AE112" s="2251" t="str">
        <f>IF(Calc!T109=0,"",Calc!T109)</f>
        <v/>
      </c>
      <c r="AF112" s="2201" t="str">
        <f>IF(Calc!BD109=0,"",Calc!CN109)</f>
        <v/>
      </c>
      <c r="AG112" s="2251" t="str">
        <f>IF(Calc!U109=0,"",Calc!U109)</f>
        <v/>
      </c>
      <c r="AH112" s="2201" t="str">
        <f>IF(Calc!BE109=0,"",Calc!CO109)</f>
        <v/>
      </c>
      <c r="AI112" s="2251" t="str">
        <f>IF(Calc!V109=0,"",Calc!V109)</f>
        <v/>
      </c>
      <c r="AJ112" s="2201" t="str">
        <f>IF(Calc!BF109=0,"",Calc!CP109)</f>
        <v/>
      </c>
      <c r="AK112" s="2251" t="str">
        <f>IF(Calc!W109=0,"",Calc!W109)</f>
        <v/>
      </c>
      <c r="AL112" s="2201" t="str">
        <f>IF(Calc!BG109=0,"",Calc!CQ109)</f>
        <v/>
      </c>
      <c r="AM112" s="2251" t="str">
        <f>IF(Calc!X109=0,"",Calc!X109)</f>
        <v/>
      </c>
      <c r="AN112" s="2201" t="str">
        <f>IF(Calc!BH109=0,"",Calc!CR109)</f>
        <v/>
      </c>
      <c r="AO112" s="2251" t="str">
        <f>IF(Calc!Y109=0,"",Calc!Y109)</f>
        <v/>
      </c>
      <c r="AP112" s="2201" t="str">
        <f>IF(Calc!BJ109=0,"",Calc!CS109)</f>
        <v/>
      </c>
      <c r="AQ112" s="2251" t="str">
        <f>IF(Calc!Z109=0,"",Calc!Z109)</f>
        <v/>
      </c>
      <c r="AR112" s="2201" t="str">
        <f>IF(Calc!BL109=0,"",Calc!CT109)</f>
        <v/>
      </c>
      <c r="AS112" s="2251" t="str">
        <f>IF(Calc!AA109=0,"",Calc!AA109)</f>
        <v/>
      </c>
      <c r="AT112" s="2201" t="str">
        <f>IF(Calc!BN109=0,"",Calc!CU109)</f>
        <v/>
      </c>
      <c r="AU112" s="2251" t="str">
        <f>IF(Calc!AB109=0,"",Calc!AB109)</f>
        <v/>
      </c>
      <c r="AV112" s="2201" t="str">
        <f>IF(Calc!BP109=0,"",Calc!CV109)</f>
        <v/>
      </c>
      <c r="AW112" s="2251" t="str">
        <f>IF(Calc!AC109=0,"",Calc!AC109)</f>
        <v/>
      </c>
      <c r="AX112" s="2201" t="str">
        <f>IF(Calc!BR109=0,"",Calc!CW109)</f>
        <v/>
      </c>
      <c r="AY112" s="2251" t="str">
        <f>IF(Calc!AD109=0,"",Calc!AD109)</f>
        <v/>
      </c>
      <c r="AZ112" s="2201" t="str">
        <f>IF(Calc!BT109=0,"",Calc!CX109)</f>
        <v/>
      </c>
      <c r="BA112" s="2251" t="str">
        <f>IF(Calc!AE109=0,"",Calc!AE109)</f>
        <v/>
      </c>
      <c r="BB112" s="2201" t="str">
        <f>IF(Calc!BV109=0,"",Calc!CY109)</f>
        <v/>
      </c>
      <c r="BC112" s="2251" t="str">
        <f>IF(Calc!AF109=0,"",Calc!AF109)</f>
        <v/>
      </c>
      <c r="BD112" s="2201" t="str">
        <f>IF(Calc!BX109=0,"",Calc!CZ109)</f>
        <v/>
      </c>
      <c r="BE112" s="2251" t="str">
        <f>IF(Calc!AG109=0,"",Calc!AG109)</f>
        <v/>
      </c>
      <c r="BF112" s="2201" t="str">
        <f>IF(Calc!BZ109=0,"",Calc!DA109)</f>
        <v/>
      </c>
      <c r="BG112" s="2251" t="str">
        <f>IF(Calc!AH109=0,"",Calc!AH109)</f>
        <v/>
      </c>
      <c r="BH112" s="2201" t="str">
        <f>IF(Calc!CB109=0,"",Calc!DB109)</f>
        <v/>
      </c>
      <c r="BI112" s="2251" t="str">
        <f>IF(Calc!AI109=0,"",Calc!AI109)</f>
        <v/>
      </c>
      <c r="BJ112" s="2201" t="str">
        <f>IF(Calc!BS109=0,"",Calc!DC109)</f>
        <v/>
      </c>
      <c r="BK112" s="2251"/>
      <c r="BL112" s="2252"/>
      <c r="BM112" s="2204"/>
      <c r="BN112" s="1070"/>
      <c r="BO112" s="1070"/>
      <c r="BP112" s="2253" t="str">
        <f>IFERROR(BP111/BP99,"")</f>
        <v/>
      </c>
      <c r="BQ112" s="2260"/>
      <c r="BR112" s="2260"/>
      <c r="BS112" s="2265"/>
    </row>
    <row r="113" spans="1:71" s="2266" customFormat="1" hidden="1" outlineLevel="1" x14ac:dyDescent="0.3">
      <c r="A113" s="2260"/>
      <c r="B113" s="2197" t="str">
        <f t="shared" si="20"/>
        <v>Product Family GP %</v>
      </c>
      <c r="C113" s="1115"/>
      <c r="D113" s="2254"/>
      <c r="E113" s="2250" t="str">
        <f>IF(Calc!G110=0,"",Calc!G110)</f>
        <v/>
      </c>
      <c r="F113" s="2201" t="str">
        <f>IF(Calc!AQ110=0,"",Calc!CA110)</f>
        <v/>
      </c>
      <c r="G113" s="2251" t="str">
        <f>IF(Calc!H110=0,"",Calc!H110)</f>
        <v/>
      </c>
      <c r="H113" s="2201" t="str">
        <f>IF(Calc!AR110=0,"",Calc!CB110)</f>
        <v/>
      </c>
      <c r="I113" s="2251" t="str">
        <f>IF(Calc!I110=0,"",Calc!I110)</f>
        <v/>
      </c>
      <c r="J113" s="2201" t="str">
        <f>IF(Calc!AS110=0,"",Calc!CC110)</f>
        <v/>
      </c>
      <c r="K113" s="2251" t="str">
        <f>IF(Calc!J110=0,"",Calc!J110)</f>
        <v/>
      </c>
      <c r="L113" s="2201" t="str">
        <f>IF(Calc!AT110=0,"",Calc!CD110)</f>
        <v/>
      </c>
      <c r="M113" s="2251" t="str">
        <f>IF(Calc!K110=0,"",Calc!K110)</f>
        <v/>
      </c>
      <c r="N113" s="2201" t="str">
        <f>IF(Calc!AU110=0,"",Calc!CE110)</f>
        <v/>
      </c>
      <c r="O113" s="2251" t="str">
        <f>IF(Calc!L110=0,"",Calc!L110)</f>
        <v/>
      </c>
      <c r="P113" s="2201" t="str">
        <f>IF(Calc!AV110=0,"",Calc!CF110)</f>
        <v/>
      </c>
      <c r="Q113" s="2251" t="str">
        <f>IF(Calc!M110=0,"",Calc!M110)</f>
        <v/>
      </c>
      <c r="R113" s="2201" t="str">
        <f>IF(Calc!AW110=0,"",Calc!CG110)</f>
        <v/>
      </c>
      <c r="S113" s="2251" t="str">
        <f>IF(Calc!N110=0,"",Calc!N110)</f>
        <v/>
      </c>
      <c r="T113" s="2201" t="str">
        <f>IF(Calc!AX110=0,"",Calc!CH110)</f>
        <v/>
      </c>
      <c r="U113" s="2251" t="str">
        <f>IF(Calc!O110=0,"",Calc!O110)</f>
        <v/>
      </c>
      <c r="V113" s="2201" t="str">
        <f>IF(Calc!AY110=0,"",Calc!CI110)</f>
        <v/>
      </c>
      <c r="W113" s="2251" t="str">
        <f>IF(Calc!P110=0,"",Calc!P110)</f>
        <v/>
      </c>
      <c r="X113" s="2201" t="str">
        <f>IF(Calc!AZ110=0,"",Calc!CJ110)</f>
        <v/>
      </c>
      <c r="Y113" s="2251" t="str">
        <f>IF(Calc!Q110=0,"",Calc!Q110)</f>
        <v/>
      </c>
      <c r="Z113" s="2201" t="str">
        <f>IF(Calc!BA110=0,"",Calc!CK110)</f>
        <v/>
      </c>
      <c r="AA113" s="2251" t="str">
        <f>IF(Calc!R110=0,"",Calc!R110)</f>
        <v/>
      </c>
      <c r="AB113" s="2201" t="str">
        <f>IF(Calc!BB110=0,"",Calc!CL110)</f>
        <v/>
      </c>
      <c r="AC113" s="2251" t="str">
        <f>IF(Calc!S110=0,"",Calc!S110)</f>
        <v/>
      </c>
      <c r="AD113" s="2201" t="str">
        <f>IF(Calc!BC110=0,"",Calc!CM110)</f>
        <v/>
      </c>
      <c r="AE113" s="2251" t="str">
        <f>IF(Calc!T110=0,"",Calc!T110)</f>
        <v/>
      </c>
      <c r="AF113" s="2201" t="str">
        <f>IF(Calc!BD110=0,"",Calc!CN110)</f>
        <v/>
      </c>
      <c r="AG113" s="2251" t="str">
        <f>IF(Calc!U110=0,"",Calc!U110)</f>
        <v/>
      </c>
      <c r="AH113" s="2201" t="str">
        <f>IF(Calc!BE110=0,"",Calc!CO110)</f>
        <v/>
      </c>
      <c r="AI113" s="2251" t="str">
        <f>IF(Calc!V110=0,"",Calc!V110)</f>
        <v/>
      </c>
      <c r="AJ113" s="2201" t="str">
        <f>IF(Calc!BF110=0,"",Calc!CP110)</f>
        <v/>
      </c>
      <c r="AK113" s="2251" t="str">
        <f>IF(Calc!W110=0,"",Calc!W110)</f>
        <v/>
      </c>
      <c r="AL113" s="2201" t="str">
        <f>IF(Calc!BG110=0,"",Calc!CQ110)</f>
        <v/>
      </c>
      <c r="AM113" s="2251" t="str">
        <f>IF(Calc!X110=0,"",Calc!X110)</f>
        <v/>
      </c>
      <c r="AN113" s="2201" t="str">
        <f>IF(Calc!BH110=0,"",Calc!CR110)</f>
        <v/>
      </c>
      <c r="AO113" s="2251" t="str">
        <f>IF(Calc!Y110=0,"",Calc!Y110)</f>
        <v/>
      </c>
      <c r="AP113" s="2201" t="str">
        <f>IF(Calc!BJ110=0,"",Calc!CS110)</f>
        <v/>
      </c>
      <c r="AQ113" s="2251" t="str">
        <f>IF(Calc!Z110=0,"",Calc!Z110)</f>
        <v/>
      </c>
      <c r="AR113" s="2201" t="str">
        <f>IF(Calc!BL110=0,"",Calc!CT110)</f>
        <v/>
      </c>
      <c r="AS113" s="2251" t="str">
        <f>IF(Calc!AA110=0,"",Calc!AA110)</f>
        <v/>
      </c>
      <c r="AT113" s="2201" t="str">
        <f>IF(Calc!BN110=0,"",Calc!CU110)</f>
        <v/>
      </c>
      <c r="AU113" s="2251" t="str">
        <f>IF(Calc!AB110=0,"",Calc!AB110)</f>
        <v/>
      </c>
      <c r="AV113" s="2201" t="str">
        <f>IF(Calc!BP110=0,"",Calc!CV110)</f>
        <v/>
      </c>
      <c r="AW113" s="2251" t="str">
        <f>IF(Calc!AC110=0,"",Calc!AC110)</f>
        <v/>
      </c>
      <c r="AX113" s="2201" t="str">
        <f>IF(Calc!BR110=0,"",Calc!CW110)</f>
        <v/>
      </c>
      <c r="AY113" s="2251" t="str">
        <f>IF(Calc!AD110=0,"",Calc!AD110)</f>
        <v/>
      </c>
      <c r="AZ113" s="2201" t="str">
        <f>IF(Calc!BT110=0,"",Calc!CX110)</f>
        <v/>
      </c>
      <c r="BA113" s="2251" t="str">
        <f>IF(Calc!AE110=0,"",Calc!AE110)</f>
        <v/>
      </c>
      <c r="BB113" s="2201" t="str">
        <f>IF(Calc!BV110=0,"",Calc!CY110)</f>
        <v/>
      </c>
      <c r="BC113" s="2251" t="str">
        <f>IF(Calc!AF110=0,"",Calc!AF110)</f>
        <v/>
      </c>
      <c r="BD113" s="2201" t="str">
        <f>IF(Calc!BX110=0,"",Calc!CZ110)</f>
        <v/>
      </c>
      <c r="BE113" s="2251" t="str">
        <f>IF(Calc!AG110=0,"",Calc!AG110)</f>
        <v/>
      </c>
      <c r="BF113" s="2201" t="str">
        <f>IF(Calc!BZ110=0,"",Calc!DA110)</f>
        <v/>
      </c>
      <c r="BG113" s="2251" t="str">
        <f>IF(Calc!AH110=0,"",Calc!AH110)</f>
        <v/>
      </c>
      <c r="BH113" s="2201" t="str">
        <f>IF(Calc!CB110=0,"",Calc!DB110)</f>
        <v/>
      </c>
      <c r="BI113" s="2251" t="str">
        <f>IF(Calc!AI110=0,"",Calc!AI110)</f>
        <v/>
      </c>
      <c r="BJ113" s="2201" t="str">
        <f>IF(Calc!BS110=0,"",Calc!DC110)</f>
        <v/>
      </c>
      <c r="BK113" s="2251"/>
      <c r="BL113" s="2255"/>
      <c r="BM113" s="2204"/>
      <c r="BN113" s="2189"/>
      <c r="BO113" s="1070"/>
      <c r="BP113" s="2253"/>
      <c r="BQ113" s="2260"/>
      <c r="BR113" s="2260"/>
      <c r="BS113" s="2265"/>
    </row>
    <row r="114" spans="1:71" s="2266" customFormat="1" hidden="1" outlineLevel="1" x14ac:dyDescent="0.3">
      <c r="A114" s="2260"/>
      <c r="B114" s="1463" t="str">
        <f t="shared" si="20"/>
        <v>Market GP %</v>
      </c>
      <c r="C114" s="2207"/>
      <c r="D114" s="2256"/>
      <c r="E114" s="2257" t="str">
        <f>IF(Calc!G111=0,"",Calc!G111)</f>
        <v/>
      </c>
      <c r="F114" s="2210" t="str">
        <f>IF(Calc!AQ111=0,"",Calc!CA111)</f>
        <v/>
      </c>
      <c r="G114" s="2257" t="str">
        <f>IF(Calc!H111=0,"",Calc!H111)</f>
        <v/>
      </c>
      <c r="H114" s="2210" t="str">
        <f>IF(Calc!AR111=0,"",Calc!CB111)</f>
        <v/>
      </c>
      <c r="I114" s="2257" t="str">
        <f>IF(Calc!I111=0,"",Calc!I111)</f>
        <v/>
      </c>
      <c r="J114" s="2210" t="str">
        <f>IF(Calc!AS111=0,"",Calc!CC111)</f>
        <v/>
      </c>
      <c r="K114" s="2257" t="str">
        <f>IF(Calc!J111=0,"",Calc!J111)</f>
        <v/>
      </c>
      <c r="L114" s="2210" t="str">
        <f>IF(Calc!AT111=0,"",Calc!CD111)</f>
        <v/>
      </c>
      <c r="M114" s="2257" t="str">
        <f>IF(Calc!K111=0,"",Calc!K111)</f>
        <v/>
      </c>
      <c r="N114" s="2210" t="str">
        <f>IF(Calc!AU111=0,"",Calc!CE111)</f>
        <v/>
      </c>
      <c r="O114" s="2257" t="str">
        <f>IF(Calc!L111=0,"",Calc!L111)</f>
        <v/>
      </c>
      <c r="P114" s="2210" t="str">
        <f>IF(Calc!AV111=0,"",Calc!CF111)</f>
        <v/>
      </c>
      <c r="Q114" s="2257" t="str">
        <f>IF(Calc!M111=0,"",Calc!M111)</f>
        <v/>
      </c>
      <c r="R114" s="2210" t="str">
        <f>IF(Calc!AW111=0,"",Calc!CG111)</f>
        <v/>
      </c>
      <c r="S114" s="2257" t="str">
        <f>IF(Calc!N111=0,"",Calc!N111)</f>
        <v/>
      </c>
      <c r="T114" s="2210" t="str">
        <f>IF(Calc!AX111=0,"",Calc!CH111)</f>
        <v/>
      </c>
      <c r="U114" s="2257" t="str">
        <f>IF(Calc!O111=0,"",Calc!O111)</f>
        <v/>
      </c>
      <c r="V114" s="2210" t="str">
        <f>IF(Calc!AY111=0,"",Calc!CI111)</f>
        <v/>
      </c>
      <c r="W114" s="2257" t="str">
        <f>IF(Calc!P111=0,"",Calc!P111)</f>
        <v/>
      </c>
      <c r="X114" s="2210" t="str">
        <f>IF(Calc!AZ111=0,"",Calc!CJ111)</f>
        <v/>
      </c>
      <c r="Y114" s="2257" t="str">
        <f>IF(Calc!Q111=0,"",Calc!Q111)</f>
        <v/>
      </c>
      <c r="Z114" s="2210" t="str">
        <f>IF(Calc!BA111=0,"",Calc!CK111)</f>
        <v/>
      </c>
      <c r="AA114" s="2257" t="str">
        <f>IF(Calc!R111=0,"",Calc!R111)</f>
        <v/>
      </c>
      <c r="AB114" s="2210" t="str">
        <f>IF(Calc!BB111=0,"",Calc!CL111)</f>
        <v/>
      </c>
      <c r="AC114" s="2257" t="str">
        <f>IF(Calc!S111=0,"",Calc!S111)</f>
        <v/>
      </c>
      <c r="AD114" s="2210" t="str">
        <f>IF(Calc!BC111=0,"",Calc!CM111)</f>
        <v/>
      </c>
      <c r="AE114" s="2257" t="str">
        <f>IF(Calc!T111=0,"",Calc!T111)</f>
        <v/>
      </c>
      <c r="AF114" s="2210" t="str">
        <f>IF(Calc!BD111=0,"",Calc!CN111)</f>
        <v/>
      </c>
      <c r="AG114" s="2257" t="str">
        <f>IF(Calc!U111=0,"",Calc!U111)</f>
        <v/>
      </c>
      <c r="AH114" s="2210" t="str">
        <f>IF(Calc!BE111=0,"",Calc!CO111)</f>
        <v/>
      </c>
      <c r="AI114" s="2257" t="str">
        <f>IF(Calc!V111=0,"",Calc!V111)</f>
        <v/>
      </c>
      <c r="AJ114" s="2210" t="str">
        <f>IF(Calc!BF111=0,"",Calc!CP111)</f>
        <v/>
      </c>
      <c r="AK114" s="2257" t="str">
        <f>IF(Calc!W111=0,"",Calc!W111)</f>
        <v/>
      </c>
      <c r="AL114" s="2210" t="str">
        <f>IF(Calc!BG111=0,"",Calc!CQ111)</f>
        <v/>
      </c>
      <c r="AM114" s="2257" t="str">
        <f>IF(Calc!X111=0,"",Calc!X111)</f>
        <v/>
      </c>
      <c r="AN114" s="2210" t="str">
        <f>IF(Calc!BH111=0,"",Calc!CR111)</f>
        <v/>
      </c>
      <c r="AO114" s="2257" t="str">
        <f>IF(Calc!Y111=0,"",Calc!Y111)</f>
        <v/>
      </c>
      <c r="AP114" s="2210" t="str">
        <f>IF(Calc!BJ111=0,"",Calc!CS111)</f>
        <v/>
      </c>
      <c r="AQ114" s="2257" t="str">
        <f>IF(Calc!Z111=0,"",Calc!Z111)</f>
        <v/>
      </c>
      <c r="AR114" s="2210" t="str">
        <f>IF(Calc!BL111=0,"",Calc!CT111)</f>
        <v/>
      </c>
      <c r="AS114" s="2257" t="str">
        <f>IF(Calc!AA111=0,"",Calc!AA111)</f>
        <v/>
      </c>
      <c r="AT114" s="2210" t="str">
        <f>IF(Calc!BN111=0,"",Calc!CU111)</f>
        <v/>
      </c>
      <c r="AU114" s="2257" t="str">
        <f>IF(Calc!AB111=0,"",Calc!AB111)</f>
        <v/>
      </c>
      <c r="AV114" s="2210" t="str">
        <f>IF(Calc!BP111=0,"",Calc!CV111)</f>
        <v/>
      </c>
      <c r="AW114" s="2257" t="str">
        <f>IF(Calc!AC111=0,"",Calc!AC111)</f>
        <v/>
      </c>
      <c r="AX114" s="2210" t="str">
        <f>IF(Calc!BR111=0,"",Calc!CW111)</f>
        <v/>
      </c>
      <c r="AY114" s="2257" t="str">
        <f>IF(Calc!AD111=0,"",Calc!AD111)</f>
        <v/>
      </c>
      <c r="AZ114" s="2210" t="str">
        <f>IF(Calc!BT111=0,"",Calc!CX111)</f>
        <v/>
      </c>
      <c r="BA114" s="2257" t="str">
        <f>IF(Calc!AE111=0,"",Calc!AE111)</f>
        <v/>
      </c>
      <c r="BB114" s="2210" t="str">
        <f>IF(Calc!BV111=0,"",Calc!CY111)</f>
        <v/>
      </c>
      <c r="BC114" s="2257" t="str">
        <f>IF(Calc!AF111=0,"",Calc!AF111)</f>
        <v/>
      </c>
      <c r="BD114" s="2210" t="str">
        <f>IF(Calc!BX111=0,"",Calc!CZ111)</f>
        <v/>
      </c>
      <c r="BE114" s="2257" t="str">
        <f>IF(Calc!AG111=0,"",Calc!AG111)</f>
        <v/>
      </c>
      <c r="BF114" s="2210" t="str">
        <f>IF(Calc!BZ111=0,"",Calc!DA111)</f>
        <v/>
      </c>
      <c r="BG114" s="2257" t="str">
        <f>IF(Calc!AH111=0,"",Calc!AH111)</f>
        <v/>
      </c>
      <c r="BH114" s="2210" t="str">
        <f>IF(Calc!CB111=0,"",Calc!DB111)</f>
        <v/>
      </c>
      <c r="BI114" s="2257" t="str">
        <f>IF(Calc!AI111=0,"",Calc!AI111)</f>
        <v/>
      </c>
      <c r="BJ114" s="2210" t="str">
        <f>IF(Calc!BS111=0,"",Calc!DC111)</f>
        <v/>
      </c>
      <c r="BK114" s="2257"/>
      <c r="BL114" s="2258"/>
      <c r="BM114" s="2213"/>
      <c r="BN114" s="2189"/>
      <c r="BO114" s="1070"/>
      <c r="BP114" s="2259"/>
      <c r="BQ114" s="2260"/>
      <c r="BR114" s="2260"/>
      <c r="BS114" s="2265"/>
    </row>
    <row r="115" spans="1:71" s="2266" customFormat="1" ht="12.75" customHeight="1" collapsed="1" thickBot="1" x14ac:dyDescent="0.35">
      <c r="A115" s="2260"/>
      <c r="B115" s="2261"/>
      <c r="C115" s="2261"/>
      <c r="D115" s="2262"/>
      <c r="E115" s="2262"/>
      <c r="F115" s="2262"/>
      <c r="G115" s="2262"/>
      <c r="H115" s="2262"/>
      <c r="I115" s="2262"/>
      <c r="J115" s="2262"/>
      <c r="K115" s="2262"/>
      <c r="L115" s="2262"/>
      <c r="M115" s="2262"/>
      <c r="N115" s="2262"/>
      <c r="O115" s="2262"/>
      <c r="P115" s="2262"/>
      <c r="Q115" s="2262"/>
      <c r="R115" s="2262"/>
      <c r="S115" s="2262"/>
      <c r="T115" s="2262"/>
      <c r="U115" s="2262"/>
      <c r="V115" s="2262"/>
      <c r="W115" s="2262"/>
      <c r="X115" s="2262"/>
      <c r="Y115" s="2262"/>
      <c r="Z115" s="2262"/>
      <c r="AA115" s="2262"/>
      <c r="AB115" s="2262"/>
      <c r="AC115" s="2262"/>
      <c r="AD115" s="2262"/>
      <c r="AE115" s="2262"/>
      <c r="AF115" s="2262"/>
      <c r="AG115" s="2262"/>
      <c r="AH115" s="2262"/>
      <c r="AI115" s="2262"/>
      <c r="AJ115" s="2262"/>
      <c r="AK115" s="2262"/>
      <c r="AL115" s="2262"/>
      <c r="AM115" s="2262"/>
      <c r="AN115" s="2262"/>
      <c r="AO115" s="2262"/>
      <c r="AP115" s="2262"/>
      <c r="AQ115" s="2262"/>
      <c r="AR115" s="2262"/>
      <c r="AS115" s="2262"/>
      <c r="AT115" s="2262"/>
      <c r="AU115" s="2262"/>
      <c r="AV115" s="2262"/>
      <c r="AW115" s="2262"/>
      <c r="AX115" s="2262"/>
      <c r="AY115" s="2262"/>
      <c r="AZ115" s="2262"/>
      <c r="BA115" s="2262"/>
      <c r="BB115" s="2262"/>
      <c r="BC115" s="2262"/>
      <c r="BD115" s="2262"/>
      <c r="BE115" s="2262"/>
      <c r="BF115" s="2262"/>
      <c r="BG115" s="2262"/>
      <c r="BH115" s="2262"/>
      <c r="BI115" s="2262"/>
      <c r="BJ115" s="2262"/>
      <c r="BK115" s="2262"/>
      <c r="BL115" s="2262"/>
      <c r="BM115" s="2264"/>
      <c r="BN115" s="2260"/>
      <c r="BO115" s="1070"/>
      <c r="BP115" s="1070"/>
      <c r="BQ115" s="2260"/>
      <c r="BR115" s="2260"/>
      <c r="BS115" s="2265"/>
    </row>
    <row r="116" spans="1:71" s="2266" customFormat="1" ht="12.75" customHeight="1" outlineLevel="1" thickBot="1" x14ac:dyDescent="0.35">
      <c r="A116" s="2260"/>
      <c r="B116" s="2261"/>
      <c r="C116" s="2261"/>
      <c r="D116" s="2262"/>
      <c r="E116" s="3312">
        <f>E6</f>
        <v>0</v>
      </c>
      <c r="F116" s="3313"/>
      <c r="G116" s="3314">
        <f>G6</f>
        <v>0</v>
      </c>
      <c r="H116" s="3313"/>
      <c r="I116" s="3314">
        <f>I6</f>
        <v>0</v>
      </c>
      <c r="J116" s="3313"/>
      <c r="K116" s="3314">
        <f>K6</f>
        <v>0</v>
      </c>
      <c r="L116" s="3313"/>
      <c r="M116" s="3314">
        <f>M6</f>
        <v>0</v>
      </c>
      <c r="N116" s="3313"/>
      <c r="O116" s="3314">
        <f>O6</f>
        <v>0</v>
      </c>
      <c r="P116" s="3313"/>
      <c r="Q116" s="3314">
        <f>Q6</f>
        <v>0</v>
      </c>
      <c r="R116" s="3313"/>
      <c r="S116" s="3314">
        <f>S6</f>
        <v>0</v>
      </c>
      <c r="T116" s="3313"/>
      <c r="U116" s="3314">
        <f>U6</f>
        <v>0</v>
      </c>
      <c r="V116" s="3313"/>
      <c r="W116" s="3314">
        <f>W6</f>
        <v>0</v>
      </c>
      <c r="X116" s="3313"/>
      <c r="Y116" s="3314">
        <f>Y6</f>
        <v>0</v>
      </c>
      <c r="Z116" s="3313"/>
      <c r="AA116" s="3314">
        <f>AA6</f>
        <v>0</v>
      </c>
      <c r="AB116" s="3313"/>
      <c r="AC116" s="3314">
        <f>AC6</f>
        <v>0</v>
      </c>
      <c r="AD116" s="3313"/>
      <c r="AE116" s="3314">
        <f>AE6</f>
        <v>0</v>
      </c>
      <c r="AF116" s="3313"/>
      <c r="AG116" s="3314">
        <f>AG6</f>
        <v>0</v>
      </c>
      <c r="AH116" s="3313"/>
      <c r="AI116" s="3314">
        <f>AI6</f>
        <v>0</v>
      </c>
      <c r="AJ116" s="3313"/>
      <c r="AK116" s="3314">
        <f>AK6</f>
        <v>0</v>
      </c>
      <c r="AL116" s="3315"/>
      <c r="AM116" s="3314">
        <f>AM6</f>
        <v>0</v>
      </c>
      <c r="AN116" s="3315"/>
      <c r="AO116" s="3314">
        <f>AO6</f>
        <v>0</v>
      </c>
      <c r="AP116" s="3315"/>
      <c r="AQ116" s="3314">
        <f>AQ6</f>
        <v>0</v>
      </c>
      <c r="AR116" s="3315"/>
      <c r="AS116" s="3314">
        <f>AS6</f>
        <v>0</v>
      </c>
      <c r="AT116" s="3315"/>
      <c r="AU116" s="3314">
        <f>AU6</f>
        <v>0</v>
      </c>
      <c r="AV116" s="3315"/>
      <c r="AW116" s="3314">
        <f>AW6</f>
        <v>0</v>
      </c>
      <c r="AX116" s="3315"/>
      <c r="AY116" s="3314">
        <f>AY6</f>
        <v>0</v>
      </c>
      <c r="AZ116" s="3315"/>
      <c r="BA116" s="3314">
        <f>BA6</f>
        <v>0</v>
      </c>
      <c r="BB116" s="3315"/>
      <c r="BC116" s="3314">
        <f>BC6</f>
        <v>0</v>
      </c>
      <c r="BD116" s="3315"/>
      <c r="BE116" s="3314">
        <f>BE6</f>
        <v>0</v>
      </c>
      <c r="BF116" s="3315"/>
      <c r="BG116" s="3314">
        <f>BG6</f>
        <v>0</v>
      </c>
      <c r="BH116" s="3315"/>
      <c r="BI116" s="3314">
        <f>BI6</f>
        <v>0</v>
      </c>
      <c r="BJ116" s="3315"/>
      <c r="BK116" s="3316" t="s">
        <v>1570</v>
      </c>
      <c r="BL116" s="3317"/>
      <c r="BM116" s="3318"/>
      <c r="BN116" s="2260"/>
      <c r="BO116" s="1070"/>
      <c r="BP116" s="2144" t="str">
        <f>"15 Yrs Total"</f>
        <v>15 Yrs Total</v>
      </c>
      <c r="BQ116" s="2260"/>
      <c r="BR116" s="2260"/>
      <c r="BS116" s="2265"/>
    </row>
    <row r="117" spans="1:71" s="2266" customFormat="1" ht="24.9" customHeight="1" outlineLevel="1" thickBot="1" x14ac:dyDescent="0.4">
      <c r="A117" s="2260"/>
      <c r="B117" s="2270" t="s">
        <v>1588</v>
      </c>
      <c r="C117" s="2271"/>
      <c r="D117" s="2272"/>
      <c r="E117" s="2149" t="str">
        <f t="shared" ref="E117:BK117" si="21">E7</f>
        <v>FY18</v>
      </c>
      <c r="F117" s="2150" t="str">
        <f t="shared" si="21"/>
        <v>vs Def Exit</v>
      </c>
      <c r="G117" s="2151" t="str">
        <f t="shared" si="21"/>
        <v>FY19</v>
      </c>
      <c r="H117" s="2150" t="str">
        <f t="shared" si="21"/>
        <v>vs Def Exit</v>
      </c>
      <c r="I117" s="2151" t="str">
        <f t="shared" si="21"/>
        <v>FY20</v>
      </c>
      <c r="J117" s="2150" t="str">
        <f t="shared" si="21"/>
        <v>vs Def Exit</v>
      </c>
      <c r="K117" s="2151" t="str">
        <f t="shared" si="21"/>
        <v>FY21</v>
      </c>
      <c r="L117" s="2150" t="str">
        <f t="shared" si="21"/>
        <v>vs Def Exit</v>
      </c>
      <c r="M117" s="2151" t="str">
        <f t="shared" si="21"/>
        <v>FY22</v>
      </c>
      <c r="N117" s="2150" t="str">
        <f t="shared" si="21"/>
        <v>vs Def Exit</v>
      </c>
      <c r="O117" s="2151" t="str">
        <f t="shared" si="21"/>
        <v>FY23</v>
      </c>
      <c r="P117" s="2150" t="str">
        <f t="shared" si="21"/>
        <v>vs Def Exit</v>
      </c>
      <c r="Q117" s="2151" t="str">
        <f t="shared" si="21"/>
        <v>FY24</v>
      </c>
      <c r="R117" s="2150" t="str">
        <f t="shared" si="21"/>
        <v>vs Def Exit</v>
      </c>
      <c r="S117" s="2151" t="str">
        <f t="shared" si="21"/>
        <v>FY25</v>
      </c>
      <c r="T117" s="2150" t="str">
        <f t="shared" si="21"/>
        <v>vs Def Exit</v>
      </c>
      <c r="U117" s="2151" t="str">
        <f t="shared" si="21"/>
        <v>FY26</v>
      </c>
      <c r="V117" s="2150" t="str">
        <f t="shared" si="21"/>
        <v>vs Def Exit</v>
      </c>
      <c r="W117" s="2151" t="str">
        <f t="shared" si="21"/>
        <v>FY27</v>
      </c>
      <c r="X117" s="2150" t="str">
        <f t="shared" si="21"/>
        <v>vs Def Exit</v>
      </c>
      <c r="Y117" s="2151" t="str">
        <f t="shared" si="21"/>
        <v>FY28</v>
      </c>
      <c r="Z117" s="2150" t="str">
        <f t="shared" si="21"/>
        <v>vs Def Exit</v>
      </c>
      <c r="AA117" s="2151" t="str">
        <f t="shared" si="21"/>
        <v>FY29</v>
      </c>
      <c r="AB117" s="2150" t="str">
        <f t="shared" si="21"/>
        <v>vs Def Exit</v>
      </c>
      <c r="AC117" s="2151" t="str">
        <f t="shared" si="21"/>
        <v>FY30</v>
      </c>
      <c r="AD117" s="2150" t="str">
        <f t="shared" si="21"/>
        <v>vs Def Exit</v>
      </c>
      <c r="AE117" s="2151" t="str">
        <f t="shared" si="21"/>
        <v>FY31</v>
      </c>
      <c r="AF117" s="2150" t="str">
        <f t="shared" si="21"/>
        <v>vs Def Exit</v>
      </c>
      <c r="AG117" s="2151" t="str">
        <f t="shared" si="21"/>
        <v>FY32</v>
      </c>
      <c r="AH117" s="2150" t="str">
        <f t="shared" si="21"/>
        <v>vs Def Exit</v>
      </c>
      <c r="AI117" s="2151" t="str">
        <f t="shared" si="21"/>
        <v>FY33</v>
      </c>
      <c r="AJ117" s="2150" t="str">
        <f t="shared" si="21"/>
        <v>vs Def Exit</v>
      </c>
      <c r="AK117" s="2151" t="str">
        <f t="shared" si="21"/>
        <v>FY34</v>
      </c>
      <c r="AL117" s="2150" t="str">
        <f t="shared" si="21"/>
        <v>vs Def Exit</v>
      </c>
      <c r="AM117" s="2151" t="str">
        <f>AM7</f>
        <v>FY35</v>
      </c>
      <c r="AN117" s="2150" t="str">
        <f>AN7</f>
        <v>vs Def Exit</v>
      </c>
      <c r="AO117" s="2151" t="str">
        <f>AO7</f>
        <v>FY36</v>
      </c>
      <c r="AP117" s="2150" t="str">
        <f>AP7</f>
        <v>vs Def Exit</v>
      </c>
      <c r="AQ117" s="2151" t="str">
        <f>AQ7</f>
        <v>FY37</v>
      </c>
      <c r="AR117" s="2150" t="str">
        <f>AR7</f>
        <v>vs Def Exit</v>
      </c>
      <c r="AS117" s="2151" t="str">
        <f>AS7</f>
        <v>FY38</v>
      </c>
      <c r="AT117" s="2150" t="str">
        <f>AT7</f>
        <v>vs Def Exit</v>
      </c>
      <c r="AU117" s="2151" t="str">
        <f>AU7</f>
        <v>FY39</v>
      </c>
      <c r="AV117" s="2150" t="str">
        <f>AV7</f>
        <v>vs Def Exit</v>
      </c>
      <c r="AW117" s="2151" t="str">
        <f>AW7</f>
        <v>FY40</v>
      </c>
      <c r="AX117" s="2150" t="str">
        <f>AX7</f>
        <v>vs Def Exit</v>
      </c>
      <c r="AY117" s="2151" t="str">
        <f>AY7</f>
        <v>FY41</v>
      </c>
      <c r="AZ117" s="2150" t="str">
        <f>AZ7</f>
        <v>vs Def Exit</v>
      </c>
      <c r="BA117" s="2151" t="str">
        <f>BA7</f>
        <v>FY42</v>
      </c>
      <c r="BB117" s="2150" t="str">
        <f>BB7</f>
        <v>vs Def Exit</v>
      </c>
      <c r="BC117" s="2151" t="str">
        <f>BC7</f>
        <v>FY43</v>
      </c>
      <c r="BD117" s="2150" t="str">
        <f>BD7</f>
        <v>vs Def Exit</v>
      </c>
      <c r="BE117" s="2151" t="str">
        <f>BE7</f>
        <v>FY44</v>
      </c>
      <c r="BF117" s="2150" t="str">
        <f>BF7</f>
        <v>vs Def Exit</v>
      </c>
      <c r="BG117" s="2151" t="str">
        <f>BG7</f>
        <v>FY45</v>
      </c>
      <c r="BH117" s="2150" t="str">
        <f>BH7</f>
        <v>vs Def Exit</v>
      </c>
      <c r="BI117" s="2151" t="str">
        <f>BI7</f>
        <v>FY46</v>
      </c>
      <c r="BJ117" s="2150" t="str">
        <f>BJ7</f>
        <v>vs Def Exit</v>
      </c>
      <c r="BK117" s="2273" t="str">
        <f t="shared" si="21"/>
        <v>FY18-27</v>
      </c>
      <c r="BL117" s="2274"/>
      <c r="BM117" s="2150" t="str">
        <f>"vs "&amp;Comp&amp;" H/(L)"</f>
        <v>vs Def Exit H/(L)</v>
      </c>
      <c r="BN117" s="2275">
        <f>BN7</f>
        <v>0</v>
      </c>
      <c r="BO117" s="1887"/>
      <c r="BP117" s="2151" t="str">
        <f>"FY"&amp;CurrentFY&amp;"-"&amp;CurrentFY+14</f>
        <v>FY18-32</v>
      </c>
      <c r="BQ117" s="2260"/>
      <c r="BR117" s="2260"/>
      <c r="BS117" s="2265"/>
    </row>
    <row r="118" spans="1:71" s="2266" customFormat="1" ht="5.25" customHeight="1" outlineLevel="1" x14ac:dyDescent="0.3">
      <c r="A118" s="2260"/>
      <c r="B118" s="2276"/>
      <c r="C118" s="2277"/>
      <c r="D118" s="2278"/>
      <c r="E118" s="2262"/>
      <c r="F118" s="2263"/>
      <c r="G118" s="2262"/>
      <c r="H118" s="2263"/>
      <c r="I118" s="2262"/>
      <c r="J118" s="2263"/>
      <c r="K118" s="2262"/>
      <c r="L118" s="2263"/>
      <c r="M118" s="2262"/>
      <c r="N118" s="2263"/>
      <c r="O118" s="2262"/>
      <c r="P118" s="2263"/>
      <c r="Q118" s="2262"/>
      <c r="R118" s="2263"/>
      <c r="S118" s="2262"/>
      <c r="T118" s="2263"/>
      <c r="U118" s="2262"/>
      <c r="V118" s="2263"/>
      <c r="W118" s="2262"/>
      <c r="X118" s="2263"/>
      <c r="Y118" s="2262"/>
      <c r="Z118" s="2263"/>
      <c r="AA118" s="2262"/>
      <c r="AB118" s="2263"/>
      <c r="AC118" s="2262"/>
      <c r="AD118" s="2263"/>
      <c r="AE118" s="2262"/>
      <c r="AF118" s="2263"/>
      <c r="AG118" s="2262"/>
      <c r="AH118" s="2263"/>
      <c r="AI118" s="2262"/>
      <c r="AJ118" s="2263"/>
      <c r="AK118" s="2262"/>
      <c r="AL118" s="2263"/>
      <c r="AM118" s="2262"/>
      <c r="AN118" s="2263"/>
      <c r="AO118" s="2262"/>
      <c r="AP118" s="2263"/>
      <c r="AQ118" s="2262"/>
      <c r="AR118" s="2263"/>
      <c r="AS118" s="2262"/>
      <c r="AT118" s="2263"/>
      <c r="AU118" s="2262"/>
      <c r="AV118" s="2263"/>
      <c r="AW118" s="2262"/>
      <c r="AX118" s="2263"/>
      <c r="AY118" s="2262"/>
      <c r="AZ118" s="2263"/>
      <c r="BA118" s="2262"/>
      <c r="BB118" s="2263"/>
      <c r="BC118" s="2262"/>
      <c r="BD118" s="2263"/>
      <c r="BE118" s="2262"/>
      <c r="BF118" s="2263"/>
      <c r="BG118" s="2262"/>
      <c r="BH118" s="2263"/>
      <c r="BI118" s="2262"/>
      <c r="BJ118" s="2263"/>
      <c r="BK118" s="2262"/>
      <c r="BL118" s="2262"/>
      <c r="BM118" s="2279"/>
      <c r="BN118" s="2260"/>
      <c r="BO118" s="1070"/>
      <c r="BP118" s="1070"/>
      <c r="BQ118" s="2260"/>
      <c r="BR118" s="2260"/>
      <c r="BS118" s="2265"/>
    </row>
    <row r="119" spans="1:71" s="2266" customFormat="1" ht="18" outlineLevel="1" x14ac:dyDescent="0.35">
      <c r="A119" s="2260"/>
      <c r="B119" s="2180" t="s">
        <v>1573</v>
      </c>
      <c r="C119" s="2280"/>
      <c r="D119" s="2281"/>
      <c r="E119" s="1929">
        <f t="shared" ref="E119:BK123" si="22">E11+E33+E55+E77+E99</f>
        <v>0</v>
      </c>
      <c r="F119" s="2282">
        <f t="shared" si="22"/>
        <v>0</v>
      </c>
      <c r="G119" s="2283">
        <f t="shared" si="22"/>
        <v>0</v>
      </c>
      <c r="H119" s="2282">
        <f t="shared" si="22"/>
        <v>0</v>
      </c>
      <c r="I119" s="2283">
        <f t="shared" si="22"/>
        <v>0</v>
      </c>
      <c r="J119" s="2282">
        <f t="shared" si="22"/>
        <v>0</v>
      </c>
      <c r="K119" s="2283">
        <f t="shared" si="22"/>
        <v>0</v>
      </c>
      <c r="L119" s="2282">
        <f t="shared" si="22"/>
        <v>0</v>
      </c>
      <c r="M119" s="2283">
        <f t="shared" si="22"/>
        <v>0</v>
      </c>
      <c r="N119" s="2282">
        <f t="shared" si="22"/>
        <v>0</v>
      </c>
      <c r="O119" s="2283">
        <f t="shared" si="22"/>
        <v>16.667203805107203</v>
      </c>
      <c r="P119" s="2282">
        <f t="shared" si="22"/>
        <v>0</v>
      </c>
      <c r="Q119" s="2283">
        <f t="shared" si="22"/>
        <v>38.568729451259294</v>
      </c>
      <c r="R119" s="2282">
        <f t="shared" si="22"/>
        <v>0</v>
      </c>
      <c r="S119" s="2283">
        <f t="shared" si="22"/>
        <v>73.523969476654173</v>
      </c>
      <c r="T119" s="2282">
        <f t="shared" si="22"/>
        <v>0</v>
      </c>
      <c r="U119" s="2283">
        <f t="shared" si="22"/>
        <v>110.31899500952554</v>
      </c>
      <c r="V119" s="2282">
        <f t="shared" si="22"/>
        <v>0</v>
      </c>
      <c r="W119" s="2283">
        <f t="shared" si="22"/>
        <v>137.34105381475933</v>
      </c>
      <c r="X119" s="2282">
        <f t="shared" si="22"/>
        <v>0</v>
      </c>
      <c r="Y119" s="2283">
        <f t="shared" si="22"/>
        <v>152.86510012769503</v>
      </c>
      <c r="Z119" s="2282">
        <f t="shared" si="22"/>
        <v>0</v>
      </c>
      <c r="AA119" s="2283">
        <f t="shared" si="22"/>
        <v>165.74456703901546</v>
      </c>
      <c r="AB119" s="2282">
        <f t="shared" si="22"/>
        <v>0</v>
      </c>
      <c r="AC119" s="2283">
        <f t="shared" si="22"/>
        <v>190.18987253450209</v>
      </c>
      <c r="AD119" s="2282">
        <f t="shared" si="22"/>
        <v>0</v>
      </c>
      <c r="AE119" s="2283">
        <f t="shared" si="22"/>
        <v>198.82688370596603</v>
      </c>
      <c r="AF119" s="2282">
        <f t="shared" si="22"/>
        <v>0</v>
      </c>
      <c r="AG119" s="2283">
        <f t="shared" si="22"/>
        <v>239.30803722850067</v>
      </c>
      <c r="AH119" s="2282">
        <f t="shared" si="22"/>
        <v>0</v>
      </c>
      <c r="AI119" s="2283">
        <f t="shared" si="22"/>
        <v>268.53502227712966</v>
      </c>
      <c r="AJ119" s="2282">
        <f t="shared" si="22"/>
        <v>0</v>
      </c>
      <c r="AK119" s="2283">
        <f t="shared" si="22"/>
        <v>308.70314307628644</v>
      </c>
      <c r="AL119" s="2282">
        <f t="shared" si="22"/>
        <v>0</v>
      </c>
      <c r="AM119" s="2283">
        <f t="shared" si="22"/>
        <v>252.78709082071077</v>
      </c>
      <c r="AN119" s="2282">
        <f t="shared" si="22"/>
        <v>0</v>
      </c>
      <c r="AO119" s="2283">
        <f t="shared" si="22"/>
        <v>0</v>
      </c>
      <c r="AP119" s="2282">
        <f t="shared" si="22"/>
        <v>0</v>
      </c>
      <c r="AQ119" s="2283">
        <f t="shared" si="22"/>
        <v>0</v>
      </c>
      <c r="AR119" s="2282">
        <f t="shared" si="22"/>
        <v>0</v>
      </c>
      <c r="AS119" s="2283">
        <f t="shared" si="22"/>
        <v>0</v>
      </c>
      <c r="AT119" s="2282">
        <f t="shared" si="22"/>
        <v>0</v>
      </c>
      <c r="AU119" s="2283">
        <f t="shared" si="22"/>
        <v>0</v>
      </c>
      <c r="AV119" s="2282">
        <f t="shared" si="22"/>
        <v>0</v>
      </c>
      <c r="AW119" s="2283">
        <f t="shared" si="22"/>
        <v>0</v>
      </c>
      <c r="AX119" s="2282">
        <f t="shared" si="22"/>
        <v>0</v>
      </c>
      <c r="AY119" s="2283">
        <f t="shared" si="22"/>
        <v>0</v>
      </c>
      <c r="AZ119" s="2282">
        <f t="shared" si="22"/>
        <v>0</v>
      </c>
      <c r="BA119" s="2283">
        <f t="shared" si="22"/>
        <v>0</v>
      </c>
      <c r="BB119" s="2282">
        <f t="shared" si="22"/>
        <v>0</v>
      </c>
      <c r="BC119" s="2283">
        <f t="shared" si="22"/>
        <v>0</v>
      </c>
      <c r="BD119" s="2282">
        <f t="shared" si="22"/>
        <v>0</v>
      </c>
      <c r="BE119" s="2283">
        <f t="shared" si="22"/>
        <v>0</v>
      </c>
      <c r="BF119" s="2282">
        <f t="shared" si="22"/>
        <v>0</v>
      </c>
      <c r="BG119" s="2283">
        <f t="shared" si="22"/>
        <v>0</v>
      </c>
      <c r="BH119" s="2282">
        <f t="shared" si="22"/>
        <v>0</v>
      </c>
      <c r="BI119" s="2283">
        <f t="shared" si="22"/>
        <v>0</v>
      </c>
      <c r="BJ119" s="2282">
        <f t="shared" si="22"/>
        <v>0</v>
      </c>
      <c r="BK119" s="2283">
        <f t="shared" si="22"/>
        <v>376.41995155730552</v>
      </c>
      <c r="BL119" s="2284"/>
      <c r="BM119" s="2285">
        <f>BM11+BM33+BM55+BM77+BM99</f>
        <v>0</v>
      </c>
      <c r="BN119" s="2286"/>
      <c r="BO119" s="2287"/>
      <c r="BP119" s="2288">
        <f>BP11+BP33+BP55+BP77+BP99</f>
        <v>1323.3544121929849</v>
      </c>
      <c r="BQ119" s="2260"/>
      <c r="BR119" s="2260"/>
      <c r="BS119" s="2265"/>
    </row>
    <row r="120" spans="1:71" s="2266" customFormat="1" outlineLevel="1" x14ac:dyDescent="0.3">
      <c r="A120" s="2260"/>
      <c r="B120" s="1217" t="s">
        <v>1574</v>
      </c>
      <c r="C120" s="2289"/>
      <c r="D120" s="2290"/>
      <c r="E120" s="2291">
        <f t="shared" si="22"/>
        <v>0</v>
      </c>
      <c r="F120" s="2292">
        <f t="shared" si="22"/>
        <v>0</v>
      </c>
      <c r="G120" s="2293">
        <f t="shared" si="22"/>
        <v>0</v>
      </c>
      <c r="H120" s="2292">
        <f t="shared" si="22"/>
        <v>0</v>
      </c>
      <c r="I120" s="2293">
        <f t="shared" si="22"/>
        <v>0</v>
      </c>
      <c r="J120" s="2292">
        <f t="shared" si="22"/>
        <v>0</v>
      </c>
      <c r="K120" s="2293">
        <f t="shared" si="22"/>
        <v>0</v>
      </c>
      <c r="L120" s="2292">
        <f t="shared" si="22"/>
        <v>0</v>
      </c>
      <c r="M120" s="2293">
        <f t="shared" si="22"/>
        <v>0</v>
      </c>
      <c r="N120" s="2292">
        <f t="shared" si="22"/>
        <v>0</v>
      </c>
      <c r="O120" s="2293">
        <f t="shared" si="22"/>
        <v>0</v>
      </c>
      <c r="P120" s="2292">
        <f t="shared" si="22"/>
        <v>0</v>
      </c>
      <c r="Q120" s="2293">
        <f t="shared" si="22"/>
        <v>0</v>
      </c>
      <c r="R120" s="2292">
        <f t="shared" si="22"/>
        <v>0</v>
      </c>
      <c r="S120" s="2293">
        <f t="shared" si="22"/>
        <v>0</v>
      </c>
      <c r="T120" s="2292">
        <f t="shared" si="22"/>
        <v>0</v>
      </c>
      <c r="U120" s="2293">
        <f t="shared" si="22"/>
        <v>0</v>
      </c>
      <c r="V120" s="2292">
        <f t="shared" si="22"/>
        <v>0</v>
      </c>
      <c r="W120" s="2293">
        <f t="shared" si="22"/>
        <v>0</v>
      </c>
      <c r="X120" s="2292">
        <f t="shared" si="22"/>
        <v>0</v>
      </c>
      <c r="Y120" s="2293">
        <f t="shared" si="22"/>
        <v>0</v>
      </c>
      <c r="Z120" s="2292">
        <f t="shared" si="22"/>
        <v>0</v>
      </c>
      <c r="AA120" s="2293">
        <f t="shared" si="22"/>
        <v>0</v>
      </c>
      <c r="AB120" s="2292">
        <f t="shared" si="22"/>
        <v>0</v>
      </c>
      <c r="AC120" s="2293">
        <f t="shared" si="22"/>
        <v>0</v>
      </c>
      <c r="AD120" s="2292">
        <f t="shared" si="22"/>
        <v>0</v>
      </c>
      <c r="AE120" s="2293">
        <f t="shared" si="22"/>
        <v>0</v>
      </c>
      <c r="AF120" s="2292">
        <f t="shared" si="22"/>
        <v>0</v>
      </c>
      <c r="AG120" s="2293">
        <f t="shared" si="22"/>
        <v>0</v>
      </c>
      <c r="AH120" s="2292">
        <f t="shared" si="22"/>
        <v>0</v>
      </c>
      <c r="AI120" s="2293">
        <f t="shared" si="22"/>
        <v>0</v>
      </c>
      <c r="AJ120" s="2292">
        <f t="shared" si="22"/>
        <v>0</v>
      </c>
      <c r="AK120" s="2293">
        <f t="shared" si="22"/>
        <v>0</v>
      </c>
      <c r="AL120" s="2292">
        <f t="shared" si="22"/>
        <v>0</v>
      </c>
      <c r="AM120" s="2293">
        <f t="shared" si="22"/>
        <v>0</v>
      </c>
      <c r="AN120" s="2292">
        <f t="shared" si="22"/>
        <v>0</v>
      </c>
      <c r="AO120" s="2293">
        <f t="shared" si="22"/>
        <v>0</v>
      </c>
      <c r="AP120" s="2292">
        <f t="shared" si="22"/>
        <v>0</v>
      </c>
      <c r="AQ120" s="2293">
        <f t="shared" si="22"/>
        <v>0</v>
      </c>
      <c r="AR120" s="2292">
        <f t="shared" si="22"/>
        <v>0</v>
      </c>
      <c r="AS120" s="2293">
        <f t="shared" si="22"/>
        <v>0</v>
      </c>
      <c r="AT120" s="2292">
        <f t="shared" si="22"/>
        <v>0</v>
      </c>
      <c r="AU120" s="2293">
        <f t="shared" si="22"/>
        <v>0</v>
      </c>
      <c r="AV120" s="2292">
        <f t="shared" si="22"/>
        <v>0</v>
      </c>
      <c r="AW120" s="2293">
        <f t="shared" si="22"/>
        <v>0</v>
      </c>
      <c r="AX120" s="2292">
        <f t="shared" si="22"/>
        <v>0</v>
      </c>
      <c r="AY120" s="2293">
        <f t="shared" si="22"/>
        <v>0</v>
      </c>
      <c r="AZ120" s="2292">
        <f t="shared" si="22"/>
        <v>0</v>
      </c>
      <c r="BA120" s="2293">
        <f t="shared" si="22"/>
        <v>0</v>
      </c>
      <c r="BB120" s="2292">
        <f t="shared" si="22"/>
        <v>0</v>
      </c>
      <c r="BC120" s="2293">
        <f t="shared" si="22"/>
        <v>0</v>
      </c>
      <c r="BD120" s="2292">
        <f t="shared" si="22"/>
        <v>0</v>
      </c>
      <c r="BE120" s="2293">
        <f t="shared" si="22"/>
        <v>0</v>
      </c>
      <c r="BF120" s="2292">
        <f t="shared" si="22"/>
        <v>0</v>
      </c>
      <c r="BG120" s="2293">
        <f t="shared" si="22"/>
        <v>0</v>
      </c>
      <c r="BH120" s="2292">
        <f t="shared" si="22"/>
        <v>0</v>
      </c>
      <c r="BI120" s="2293">
        <f t="shared" si="22"/>
        <v>0</v>
      </c>
      <c r="BJ120" s="2292">
        <f t="shared" si="22"/>
        <v>0</v>
      </c>
      <c r="BK120" s="2293">
        <f t="shared" si="22"/>
        <v>0</v>
      </c>
      <c r="BL120" s="2294"/>
      <c r="BM120" s="2295">
        <f>BM12+BM34+BM56+BM78+BM100</f>
        <v>0</v>
      </c>
      <c r="BN120" s="2296"/>
      <c r="BO120" s="1314"/>
      <c r="BP120" s="2297">
        <f>BP12+BP34+BP56+BP78+BP100</f>
        <v>0</v>
      </c>
      <c r="BQ120" s="2260"/>
      <c r="BR120" s="2260"/>
      <c r="BS120" s="2265"/>
    </row>
    <row r="121" spans="1:71" s="2266" customFormat="1" outlineLevel="1" x14ac:dyDescent="0.3">
      <c r="A121" s="2260"/>
      <c r="B121" s="2197" t="s">
        <v>1575</v>
      </c>
      <c r="C121" s="1683"/>
      <c r="D121" s="2298"/>
      <c r="E121" s="2299">
        <f t="shared" si="22"/>
        <v>0</v>
      </c>
      <c r="F121" s="1916">
        <f t="shared" si="22"/>
        <v>0</v>
      </c>
      <c r="G121" s="2300">
        <f t="shared" si="22"/>
        <v>0</v>
      </c>
      <c r="H121" s="1916">
        <f t="shared" si="22"/>
        <v>0</v>
      </c>
      <c r="I121" s="2300">
        <f t="shared" si="22"/>
        <v>0</v>
      </c>
      <c r="J121" s="1916">
        <f t="shared" si="22"/>
        <v>0</v>
      </c>
      <c r="K121" s="2300">
        <f t="shared" si="22"/>
        <v>0</v>
      </c>
      <c r="L121" s="1916">
        <f t="shared" si="22"/>
        <v>0</v>
      </c>
      <c r="M121" s="2300">
        <f t="shared" si="22"/>
        <v>0</v>
      </c>
      <c r="N121" s="1916">
        <f t="shared" si="22"/>
        <v>0</v>
      </c>
      <c r="O121" s="2300">
        <f t="shared" si="22"/>
        <v>0</v>
      </c>
      <c r="P121" s="1916">
        <f t="shared" si="22"/>
        <v>0</v>
      </c>
      <c r="Q121" s="2300">
        <f t="shared" si="22"/>
        <v>0</v>
      </c>
      <c r="R121" s="1916">
        <f t="shared" si="22"/>
        <v>0</v>
      </c>
      <c r="S121" s="2300">
        <f t="shared" si="22"/>
        <v>0</v>
      </c>
      <c r="T121" s="1916">
        <f t="shared" si="22"/>
        <v>0</v>
      </c>
      <c r="U121" s="2300">
        <f t="shared" si="22"/>
        <v>0</v>
      </c>
      <c r="V121" s="1916">
        <f t="shared" si="22"/>
        <v>0</v>
      </c>
      <c r="W121" s="2300">
        <f t="shared" si="22"/>
        <v>0</v>
      </c>
      <c r="X121" s="1916">
        <f t="shared" si="22"/>
        <v>0</v>
      </c>
      <c r="Y121" s="2300">
        <f t="shared" si="22"/>
        <v>0</v>
      </c>
      <c r="Z121" s="1916">
        <f t="shared" si="22"/>
        <v>0</v>
      </c>
      <c r="AA121" s="2300">
        <f t="shared" si="22"/>
        <v>0</v>
      </c>
      <c r="AB121" s="1916">
        <f t="shared" si="22"/>
        <v>0</v>
      </c>
      <c r="AC121" s="2300">
        <f t="shared" si="22"/>
        <v>0</v>
      </c>
      <c r="AD121" s="1916">
        <f t="shared" si="22"/>
        <v>0</v>
      </c>
      <c r="AE121" s="2300">
        <f t="shared" si="22"/>
        <v>0</v>
      </c>
      <c r="AF121" s="1916">
        <f t="shared" si="22"/>
        <v>0</v>
      </c>
      <c r="AG121" s="2300">
        <f t="shared" si="22"/>
        <v>0</v>
      </c>
      <c r="AH121" s="1916">
        <f t="shared" si="22"/>
        <v>0</v>
      </c>
      <c r="AI121" s="2300">
        <f t="shared" si="22"/>
        <v>0</v>
      </c>
      <c r="AJ121" s="1916">
        <f t="shared" si="22"/>
        <v>0</v>
      </c>
      <c r="AK121" s="2300">
        <f t="shared" si="22"/>
        <v>0</v>
      </c>
      <c r="AL121" s="1916">
        <f t="shared" si="22"/>
        <v>0</v>
      </c>
      <c r="AM121" s="2300">
        <f t="shared" si="22"/>
        <v>0</v>
      </c>
      <c r="AN121" s="1916">
        <f t="shared" si="22"/>
        <v>0</v>
      </c>
      <c r="AO121" s="2300">
        <f t="shared" si="22"/>
        <v>0</v>
      </c>
      <c r="AP121" s="1916">
        <f t="shared" si="22"/>
        <v>0</v>
      </c>
      <c r="AQ121" s="2300">
        <f t="shared" si="22"/>
        <v>0</v>
      </c>
      <c r="AR121" s="1916">
        <f t="shared" si="22"/>
        <v>0</v>
      </c>
      <c r="AS121" s="2300">
        <f t="shared" si="22"/>
        <v>0</v>
      </c>
      <c r="AT121" s="1916">
        <f t="shared" si="22"/>
        <v>0</v>
      </c>
      <c r="AU121" s="2300">
        <f t="shared" si="22"/>
        <v>0</v>
      </c>
      <c r="AV121" s="1916">
        <f t="shared" si="22"/>
        <v>0</v>
      </c>
      <c r="AW121" s="2300">
        <f t="shared" si="22"/>
        <v>0</v>
      </c>
      <c r="AX121" s="1916">
        <f t="shared" si="22"/>
        <v>0</v>
      </c>
      <c r="AY121" s="2300">
        <f t="shared" si="22"/>
        <v>0</v>
      </c>
      <c r="AZ121" s="1916">
        <f t="shared" si="22"/>
        <v>0</v>
      </c>
      <c r="BA121" s="2300">
        <f t="shared" si="22"/>
        <v>0</v>
      </c>
      <c r="BB121" s="1916">
        <f t="shared" si="22"/>
        <v>0</v>
      </c>
      <c r="BC121" s="2300">
        <f t="shared" si="22"/>
        <v>0</v>
      </c>
      <c r="BD121" s="1916">
        <f t="shared" si="22"/>
        <v>0</v>
      </c>
      <c r="BE121" s="2300">
        <f t="shared" si="22"/>
        <v>0</v>
      </c>
      <c r="BF121" s="1916">
        <f t="shared" si="22"/>
        <v>0</v>
      </c>
      <c r="BG121" s="2300">
        <f t="shared" si="22"/>
        <v>0</v>
      </c>
      <c r="BH121" s="1916">
        <f t="shared" si="22"/>
        <v>0</v>
      </c>
      <c r="BI121" s="2300">
        <f t="shared" si="22"/>
        <v>0</v>
      </c>
      <c r="BJ121" s="1916">
        <f t="shared" si="22"/>
        <v>0</v>
      </c>
      <c r="BK121" s="2300">
        <f t="shared" si="22"/>
        <v>0</v>
      </c>
      <c r="BL121" s="2301"/>
      <c r="BM121" s="1921">
        <f>BM13+BM35+BM57+BM79+BM101</f>
        <v>0</v>
      </c>
      <c r="BN121" s="2296"/>
      <c r="BO121" s="1314"/>
      <c r="BP121" s="2302">
        <f>BP13+BP35+BP57+BP79+BP101</f>
        <v>0</v>
      </c>
      <c r="BQ121" s="2260"/>
      <c r="BR121" s="2260"/>
      <c r="BS121" s="2265"/>
    </row>
    <row r="122" spans="1:71" s="2266" customFormat="1" outlineLevel="1" x14ac:dyDescent="0.3">
      <c r="A122" s="2260"/>
      <c r="B122" s="1463" t="s">
        <v>1576</v>
      </c>
      <c r="C122" s="2303"/>
      <c r="D122" s="2304"/>
      <c r="E122" s="1561">
        <f t="shared" si="22"/>
        <v>0</v>
      </c>
      <c r="F122" s="2305">
        <f t="shared" si="22"/>
        <v>0</v>
      </c>
      <c r="G122" s="2306">
        <f t="shared" si="22"/>
        <v>0</v>
      </c>
      <c r="H122" s="2305">
        <f t="shared" si="22"/>
        <v>0</v>
      </c>
      <c r="I122" s="2306">
        <f t="shared" si="22"/>
        <v>0</v>
      </c>
      <c r="J122" s="2305">
        <f t="shared" si="22"/>
        <v>0</v>
      </c>
      <c r="K122" s="2306">
        <f t="shared" si="22"/>
        <v>0</v>
      </c>
      <c r="L122" s="2305">
        <f t="shared" si="22"/>
        <v>0</v>
      </c>
      <c r="M122" s="2306">
        <f t="shared" si="22"/>
        <v>0</v>
      </c>
      <c r="N122" s="2305">
        <f t="shared" si="22"/>
        <v>0</v>
      </c>
      <c r="O122" s="2306">
        <f t="shared" si="22"/>
        <v>0</v>
      </c>
      <c r="P122" s="2305">
        <f t="shared" si="22"/>
        <v>0</v>
      </c>
      <c r="Q122" s="2306">
        <f t="shared" si="22"/>
        <v>0</v>
      </c>
      <c r="R122" s="2305">
        <f t="shared" si="22"/>
        <v>0</v>
      </c>
      <c r="S122" s="2306">
        <f t="shared" si="22"/>
        <v>0</v>
      </c>
      <c r="T122" s="2305">
        <f t="shared" si="22"/>
        <v>0</v>
      </c>
      <c r="U122" s="2306">
        <f t="shared" si="22"/>
        <v>0</v>
      </c>
      <c r="V122" s="2305">
        <f t="shared" si="22"/>
        <v>0</v>
      </c>
      <c r="W122" s="2306">
        <f t="shared" si="22"/>
        <v>0</v>
      </c>
      <c r="X122" s="2305">
        <f t="shared" si="22"/>
        <v>0</v>
      </c>
      <c r="Y122" s="2306">
        <f t="shared" si="22"/>
        <v>0</v>
      </c>
      <c r="Z122" s="2305">
        <f t="shared" si="22"/>
        <v>0</v>
      </c>
      <c r="AA122" s="2306">
        <f t="shared" si="22"/>
        <v>0</v>
      </c>
      <c r="AB122" s="2305">
        <f t="shared" si="22"/>
        <v>0</v>
      </c>
      <c r="AC122" s="2306">
        <f t="shared" si="22"/>
        <v>0</v>
      </c>
      <c r="AD122" s="2305">
        <f t="shared" si="22"/>
        <v>0</v>
      </c>
      <c r="AE122" s="2306">
        <f t="shared" si="22"/>
        <v>0</v>
      </c>
      <c r="AF122" s="2305">
        <f t="shared" si="22"/>
        <v>0</v>
      </c>
      <c r="AG122" s="2306">
        <f t="shared" si="22"/>
        <v>0</v>
      </c>
      <c r="AH122" s="2305">
        <f t="shared" si="22"/>
        <v>0</v>
      </c>
      <c r="AI122" s="2306">
        <f t="shared" si="22"/>
        <v>0</v>
      </c>
      <c r="AJ122" s="2305">
        <f t="shared" si="22"/>
        <v>0</v>
      </c>
      <c r="AK122" s="2306">
        <f t="shared" si="22"/>
        <v>0</v>
      </c>
      <c r="AL122" s="2305">
        <f t="shared" si="22"/>
        <v>0</v>
      </c>
      <c r="AM122" s="2306">
        <f t="shared" si="22"/>
        <v>0</v>
      </c>
      <c r="AN122" s="2305">
        <f t="shared" si="22"/>
        <v>0</v>
      </c>
      <c r="AO122" s="2306">
        <f t="shared" si="22"/>
        <v>0</v>
      </c>
      <c r="AP122" s="2305">
        <f t="shared" si="22"/>
        <v>0</v>
      </c>
      <c r="AQ122" s="2306">
        <f t="shared" si="22"/>
        <v>0</v>
      </c>
      <c r="AR122" s="2305">
        <f t="shared" si="22"/>
        <v>0</v>
      </c>
      <c r="AS122" s="2306">
        <f t="shared" si="22"/>
        <v>0</v>
      </c>
      <c r="AT122" s="2305">
        <f t="shared" si="22"/>
        <v>0</v>
      </c>
      <c r="AU122" s="2306">
        <f t="shared" si="22"/>
        <v>0</v>
      </c>
      <c r="AV122" s="2305">
        <f t="shared" si="22"/>
        <v>0</v>
      </c>
      <c r="AW122" s="2306">
        <f t="shared" si="22"/>
        <v>0</v>
      </c>
      <c r="AX122" s="2305">
        <f t="shared" si="22"/>
        <v>0</v>
      </c>
      <c r="AY122" s="2306">
        <f t="shared" si="22"/>
        <v>0</v>
      </c>
      <c r="AZ122" s="2305">
        <f t="shared" si="22"/>
        <v>0</v>
      </c>
      <c r="BA122" s="2306">
        <f t="shared" si="22"/>
        <v>0</v>
      </c>
      <c r="BB122" s="2305">
        <f t="shared" si="22"/>
        <v>0</v>
      </c>
      <c r="BC122" s="2306">
        <f t="shared" si="22"/>
        <v>0</v>
      </c>
      <c r="BD122" s="2305">
        <f t="shared" si="22"/>
        <v>0</v>
      </c>
      <c r="BE122" s="2306">
        <f t="shared" si="22"/>
        <v>0</v>
      </c>
      <c r="BF122" s="2305">
        <f t="shared" si="22"/>
        <v>0</v>
      </c>
      <c r="BG122" s="2306">
        <f t="shared" si="22"/>
        <v>0</v>
      </c>
      <c r="BH122" s="2305">
        <f t="shared" si="22"/>
        <v>0</v>
      </c>
      <c r="BI122" s="2306">
        <f t="shared" si="22"/>
        <v>0</v>
      </c>
      <c r="BJ122" s="2305">
        <f t="shared" si="22"/>
        <v>0</v>
      </c>
      <c r="BK122" s="2306">
        <f t="shared" si="22"/>
        <v>0</v>
      </c>
      <c r="BL122" s="2307"/>
      <c r="BM122" s="2308">
        <f>BM14+BM36+BM58+BM80+BM102</f>
        <v>0</v>
      </c>
      <c r="BN122" s="2296"/>
      <c r="BO122" s="1314"/>
      <c r="BP122" s="2309">
        <f>BP14+BP36+BP58+BP80+BP102</f>
        <v>0</v>
      </c>
      <c r="BQ122" s="2260"/>
      <c r="BR122" s="2260"/>
      <c r="BS122" s="2265"/>
    </row>
    <row r="123" spans="1:71" s="2266" customFormat="1" ht="18" outlineLevel="1" x14ac:dyDescent="0.35">
      <c r="A123" s="2260"/>
      <c r="B123" s="2310" t="s">
        <v>1589</v>
      </c>
      <c r="C123" s="2311"/>
      <c r="D123" s="2312"/>
      <c r="E123" s="1884">
        <f t="shared" si="22"/>
        <v>0</v>
      </c>
      <c r="F123" s="2313">
        <f t="shared" si="22"/>
        <v>0</v>
      </c>
      <c r="G123" s="2314">
        <f t="shared" si="22"/>
        <v>0</v>
      </c>
      <c r="H123" s="2313">
        <f t="shared" si="22"/>
        <v>0</v>
      </c>
      <c r="I123" s="2314">
        <f t="shared" si="22"/>
        <v>0</v>
      </c>
      <c r="J123" s="2313">
        <f t="shared" si="22"/>
        <v>0</v>
      </c>
      <c r="K123" s="2314">
        <f t="shared" si="22"/>
        <v>0</v>
      </c>
      <c r="L123" s="2313">
        <f t="shared" si="22"/>
        <v>0</v>
      </c>
      <c r="M123" s="2314">
        <f t="shared" si="22"/>
        <v>0</v>
      </c>
      <c r="N123" s="2313">
        <f t="shared" si="22"/>
        <v>0</v>
      </c>
      <c r="O123" s="2314">
        <f t="shared" si="22"/>
        <v>16.667203805107203</v>
      </c>
      <c r="P123" s="2313">
        <f t="shared" si="22"/>
        <v>0</v>
      </c>
      <c r="Q123" s="2314">
        <f t="shared" si="22"/>
        <v>38.568729451259294</v>
      </c>
      <c r="R123" s="2313">
        <f t="shared" si="22"/>
        <v>0</v>
      </c>
      <c r="S123" s="2314">
        <f t="shared" si="22"/>
        <v>73.523969476654173</v>
      </c>
      <c r="T123" s="2313">
        <f t="shared" si="22"/>
        <v>0</v>
      </c>
      <c r="U123" s="2314">
        <f t="shared" si="22"/>
        <v>110.31899500952554</v>
      </c>
      <c r="V123" s="2313">
        <f t="shared" si="22"/>
        <v>0</v>
      </c>
      <c r="W123" s="2314">
        <f t="shared" si="22"/>
        <v>137.34105381475933</v>
      </c>
      <c r="X123" s="2313">
        <f t="shared" ref="X123:BK123" si="23">X15+X37+X59+X81+X103</f>
        <v>0</v>
      </c>
      <c r="Y123" s="2314">
        <f t="shared" si="23"/>
        <v>152.86510012769503</v>
      </c>
      <c r="Z123" s="2313">
        <f t="shared" si="23"/>
        <v>0</v>
      </c>
      <c r="AA123" s="2314">
        <f t="shared" si="23"/>
        <v>165.74456703901546</v>
      </c>
      <c r="AB123" s="2313">
        <f t="shared" si="23"/>
        <v>0</v>
      </c>
      <c r="AC123" s="2314">
        <f t="shared" si="23"/>
        <v>190.18987253450209</v>
      </c>
      <c r="AD123" s="2313">
        <f t="shared" si="23"/>
        <v>0</v>
      </c>
      <c r="AE123" s="2314">
        <f t="shared" si="23"/>
        <v>198.82688370596603</v>
      </c>
      <c r="AF123" s="2313">
        <f t="shared" si="23"/>
        <v>0</v>
      </c>
      <c r="AG123" s="2314">
        <f t="shared" si="23"/>
        <v>239.30803722850067</v>
      </c>
      <c r="AH123" s="2313">
        <f t="shared" si="23"/>
        <v>0</v>
      </c>
      <c r="AI123" s="2314">
        <f t="shared" si="23"/>
        <v>268.53502227712966</v>
      </c>
      <c r="AJ123" s="2313">
        <f t="shared" si="23"/>
        <v>0</v>
      </c>
      <c r="AK123" s="2314">
        <f t="shared" si="23"/>
        <v>308.70314307628644</v>
      </c>
      <c r="AL123" s="2313">
        <f t="shared" si="23"/>
        <v>0</v>
      </c>
      <c r="AM123" s="2314">
        <f t="shared" si="23"/>
        <v>252.78709082071077</v>
      </c>
      <c r="AN123" s="2313">
        <f t="shared" si="23"/>
        <v>0</v>
      </c>
      <c r="AO123" s="2314">
        <f t="shared" si="23"/>
        <v>0</v>
      </c>
      <c r="AP123" s="2313">
        <f t="shared" si="23"/>
        <v>0</v>
      </c>
      <c r="AQ123" s="2314">
        <f t="shared" si="23"/>
        <v>0</v>
      </c>
      <c r="AR123" s="2313">
        <f t="shared" si="23"/>
        <v>0</v>
      </c>
      <c r="AS123" s="2314">
        <f t="shared" si="23"/>
        <v>0</v>
      </c>
      <c r="AT123" s="2313">
        <f t="shared" si="23"/>
        <v>0</v>
      </c>
      <c r="AU123" s="2314">
        <f t="shared" si="23"/>
        <v>0</v>
      </c>
      <c r="AV123" s="2313">
        <f t="shared" si="23"/>
        <v>0</v>
      </c>
      <c r="AW123" s="2314">
        <f t="shared" si="23"/>
        <v>0</v>
      </c>
      <c r="AX123" s="2313">
        <f t="shared" si="23"/>
        <v>0</v>
      </c>
      <c r="AY123" s="2314">
        <f t="shared" si="23"/>
        <v>0</v>
      </c>
      <c r="AZ123" s="2313">
        <f t="shared" si="23"/>
        <v>0</v>
      </c>
      <c r="BA123" s="2314">
        <f t="shared" si="23"/>
        <v>0</v>
      </c>
      <c r="BB123" s="2313">
        <f t="shared" si="23"/>
        <v>0</v>
      </c>
      <c r="BC123" s="2314">
        <f t="shared" si="23"/>
        <v>0</v>
      </c>
      <c r="BD123" s="2313">
        <f t="shared" si="23"/>
        <v>0</v>
      </c>
      <c r="BE123" s="2314">
        <f t="shared" si="23"/>
        <v>0</v>
      </c>
      <c r="BF123" s="2313">
        <f t="shared" si="23"/>
        <v>0</v>
      </c>
      <c r="BG123" s="2314">
        <f t="shared" si="23"/>
        <v>0</v>
      </c>
      <c r="BH123" s="2313">
        <f t="shared" si="23"/>
        <v>0</v>
      </c>
      <c r="BI123" s="2314">
        <f t="shared" si="23"/>
        <v>0</v>
      </c>
      <c r="BJ123" s="2313">
        <f t="shared" si="23"/>
        <v>0</v>
      </c>
      <c r="BK123" s="2314">
        <f t="shared" si="23"/>
        <v>376.41995155730552</v>
      </c>
      <c r="BL123" s="2315"/>
      <c r="BM123" s="2316">
        <f>BM15+BM37+BM59+BM81+BM103</f>
        <v>0</v>
      </c>
      <c r="BN123" s="2286"/>
      <c r="BO123" s="2287"/>
      <c r="BP123" s="2317">
        <f>BP15+BP37+BP59+BP81+BP103</f>
        <v>1323.3544121929849</v>
      </c>
      <c r="BQ123" s="2260"/>
      <c r="BR123" s="2260"/>
      <c r="BS123" s="2265"/>
    </row>
    <row r="124" spans="1:71" s="2266" customFormat="1" ht="18" outlineLevel="1" x14ac:dyDescent="0.35">
      <c r="A124" s="2260"/>
      <c r="B124" s="2318" t="s">
        <v>1579</v>
      </c>
      <c r="C124" s="2319"/>
      <c r="D124" s="2320"/>
      <c r="E124" s="2321">
        <f t="shared" ref="E124:BK124" si="24">E18+E40+E62+E84+E106</f>
        <v>0</v>
      </c>
      <c r="F124" s="2322">
        <f t="shared" si="24"/>
        <v>0</v>
      </c>
      <c r="G124" s="2323">
        <f t="shared" si="24"/>
        <v>0</v>
      </c>
      <c r="H124" s="2322">
        <f t="shared" si="24"/>
        <v>0</v>
      </c>
      <c r="I124" s="2323">
        <f t="shared" si="24"/>
        <v>0</v>
      </c>
      <c r="J124" s="2322">
        <f t="shared" si="24"/>
        <v>0</v>
      </c>
      <c r="K124" s="2323">
        <f t="shared" si="24"/>
        <v>0</v>
      </c>
      <c r="L124" s="2322">
        <f t="shared" si="24"/>
        <v>0</v>
      </c>
      <c r="M124" s="2323">
        <f t="shared" si="24"/>
        <v>0</v>
      </c>
      <c r="N124" s="2322">
        <f t="shared" si="24"/>
        <v>0</v>
      </c>
      <c r="O124" s="2323">
        <f t="shared" si="24"/>
        <v>16.667203805107203</v>
      </c>
      <c r="P124" s="2322">
        <f t="shared" si="24"/>
        <v>0</v>
      </c>
      <c r="Q124" s="2323">
        <f t="shared" si="24"/>
        <v>38.568729451259294</v>
      </c>
      <c r="R124" s="2322">
        <f t="shared" si="24"/>
        <v>0</v>
      </c>
      <c r="S124" s="2323">
        <f t="shared" si="24"/>
        <v>73.523969476654173</v>
      </c>
      <c r="T124" s="2322">
        <f t="shared" si="24"/>
        <v>0</v>
      </c>
      <c r="U124" s="2323">
        <f t="shared" si="24"/>
        <v>110.31899500952554</v>
      </c>
      <c r="V124" s="2322">
        <f t="shared" si="24"/>
        <v>0</v>
      </c>
      <c r="W124" s="2323">
        <f t="shared" si="24"/>
        <v>137.34105381475933</v>
      </c>
      <c r="X124" s="2322">
        <f t="shared" si="24"/>
        <v>0</v>
      </c>
      <c r="Y124" s="2323">
        <f t="shared" si="24"/>
        <v>152.86510012769503</v>
      </c>
      <c r="Z124" s="2322">
        <f t="shared" si="24"/>
        <v>0</v>
      </c>
      <c r="AA124" s="2323">
        <f t="shared" si="24"/>
        <v>165.74456703901546</v>
      </c>
      <c r="AB124" s="2322">
        <f t="shared" si="24"/>
        <v>0</v>
      </c>
      <c r="AC124" s="2323">
        <f t="shared" si="24"/>
        <v>190.18987253450209</v>
      </c>
      <c r="AD124" s="2322">
        <f t="shared" si="24"/>
        <v>0</v>
      </c>
      <c r="AE124" s="2323">
        <f t="shared" si="24"/>
        <v>198.82688370596603</v>
      </c>
      <c r="AF124" s="2322">
        <f t="shared" si="24"/>
        <v>0</v>
      </c>
      <c r="AG124" s="2323">
        <f t="shared" si="24"/>
        <v>239.30803722850067</v>
      </c>
      <c r="AH124" s="2322">
        <f t="shared" si="24"/>
        <v>0</v>
      </c>
      <c r="AI124" s="2323">
        <f t="shared" si="24"/>
        <v>268.53502227712966</v>
      </c>
      <c r="AJ124" s="2322">
        <f t="shared" si="24"/>
        <v>0</v>
      </c>
      <c r="AK124" s="2323">
        <f t="shared" si="24"/>
        <v>308.70314307628644</v>
      </c>
      <c r="AL124" s="2322">
        <f t="shared" si="24"/>
        <v>0</v>
      </c>
      <c r="AM124" s="2323">
        <f t="shared" si="24"/>
        <v>252.78709082071077</v>
      </c>
      <c r="AN124" s="2322">
        <f t="shared" si="24"/>
        <v>0</v>
      </c>
      <c r="AO124" s="2323">
        <f t="shared" si="24"/>
        <v>0</v>
      </c>
      <c r="AP124" s="2322">
        <f t="shared" si="24"/>
        <v>0</v>
      </c>
      <c r="AQ124" s="2323">
        <f t="shared" si="24"/>
        <v>0</v>
      </c>
      <c r="AR124" s="2322">
        <f t="shared" si="24"/>
        <v>0</v>
      </c>
      <c r="AS124" s="2323">
        <f t="shared" si="24"/>
        <v>0</v>
      </c>
      <c r="AT124" s="2322">
        <f t="shared" si="24"/>
        <v>0</v>
      </c>
      <c r="AU124" s="2323">
        <f t="shared" si="24"/>
        <v>0</v>
      </c>
      <c r="AV124" s="2322">
        <f t="shared" si="24"/>
        <v>0</v>
      </c>
      <c r="AW124" s="2323">
        <f t="shared" si="24"/>
        <v>0</v>
      </c>
      <c r="AX124" s="2322">
        <f t="shared" si="24"/>
        <v>0</v>
      </c>
      <c r="AY124" s="2323">
        <f t="shared" si="24"/>
        <v>0</v>
      </c>
      <c r="AZ124" s="2322">
        <f t="shared" si="24"/>
        <v>0</v>
      </c>
      <c r="BA124" s="2323">
        <f t="shared" si="24"/>
        <v>0</v>
      </c>
      <c r="BB124" s="2322">
        <f t="shared" si="24"/>
        <v>0</v>
      </c>
      <c r="BC124" s="2323">
        <f t="shared" si="24"/>
        <v>0</v>
      </c>
      <c r="BD124" s="2322">
        <f t="shared" si="24"/>
        <v>0</v>
      </c>
      <c r="BE124" s="2323">
        <f t="shared" si="24"/>
        <v>0</v>
      </c>
      <c r="BF124" s="2322">
        <f t="shared" si="24"/>
        <v>0</v>
      </c>
      <c r="BG124" s="2323">
        <f t="shared" si="24"/>
        <v>0</v>
      </c>
      <c r="BH124" s="2322">
        <f t="shared" si="24"/>
        <v>0</v>
      </c>
      <c r="BI124" s="2323">
        <f t="shared" si="24"/>
        <v>0</v>
      </c>
      <c r="BJ124" s="2322">
        <f t="shared" si="24"/>
        <v>0</v>
      </c>
      <c r="BK124" s="2323">
        <f t="shared" si="24"/>
        <v>376.41995155730552</v>
      </c>
      <c r="BL124" s="2324"/>
      <c r="BM124" s="2325">
        <f>BM18+BM40+BM62+BM84+BM106</f>
        <v>0</v>
      </c>
      <c r="BN124" s="2286"/>
      <c r="BO124" s="2287"/>
      <c r="BP124" s="2326">
        <f>BP18+BP40+BP62+BP84+BP106</f>
        <v>1323.3544121929849</v>
      </c>
      <c r="BQ124" s="2260"/>
      <c r="BR124" s="2260"/>
      <c r="BS124" s="2265"/>
    </row>
    <row r="125" spans="1:71" s="2266" customFormat="1" ht="18" outlineLevel="1" x14ac:dyDescent="0.35">
      <c r="A125" s="2260"/>
      <c r="B125" s="2310" t="s">
        <v>1584</v>
      </c>
      <c r="C125" s="2311"/>
      <c r="D125" s="2312"/>
      <c r="E125" s="1884">
        <f t="shared" ref="E125:BK125" si="25">E23+E45+E67+E89+E111</f>
        <v>0</v>
      </c>
      <c r="F125" s="2313">
        <f t="shared" si="25"/>
        <v>0</v>
      </c>
      <c r="G125" s="2314">
        <f t="shared" si="25"/>
        <v>0</v>
      </c>
      <c r="H125" s="2313">
        <f t="shared" si="25"/>
        <v>0</v>
      </c>
      <c r="I125" s="2314">
        <f t="shared" si="25"/>
        <v>0</v>
      </c>
      <c r="J125" s="2313">
        <f t="shared" si="25"/>
        <v>0</v>
      </c>
      <c r="K125" s="2314">
        <f t="shared" si="25"/>
        <v>0</v>
      </c>
      <c r="L125" s="2313">
        <f t="shared" si="25"/>
        <v>0</v>
      </c>
      <c r="M125" s="2314">
        <f t="shared" si="25"/>
        <v>0</v>
      </c>
      <c r="N125" s="2313">
        <f t="shared" si="25"/>
        <v>0</v>
      </c>
      <c r="O125" s="2314">
        <f t="shared" si="25"/>
        <v>11.757135657116162</v>
      </c>
      <c r="P125" s="2313">
        <f t="shared" si="25"/>
        <v>0</v>
      </c>
      <c r="Q125" s="2314">
        <f t="shared" si="25"/>
        <v>26.869836887375115</v>
      </c>
      <c r="R125" s="2313">
        <f t="shared" si="25"/>
        <v>0</v>
      </c>
      <c r="S125" s="2314">
        <f t="shared" si="25"/>
        <v>51.155585902063727</v>
      </c>
      <c r="T125" s="2313">
        <f t="shared" si="25"/>
        <v>0</v>
      </c>
      <c r="U125" s="2314">
        <f t="shared" si="25"/>
        <v>76.659511587420297</v>
      </c>
      <c r="V125" s="2313">
        <f t="shared" si="25"/>
        <v>0</v>
      </c>
      <c r="W125" s="2314">
        <f t="shared" si="25"/>
        <v>95.146110514129788</v>
      </c>
      <c r="X125" s="2313">
        <f t="shared" si="25"/>
        <v>0</v>
      </c>
      <c r="Y125" s="2314">
        <f t="shared" si="25"/>
        <v>105.73639576409268</v>
      </c>
      <c r="Z125" s="2313">
        <f t="shared" si="25"/>
        <v>0</v>
      </c>
      <c r="AA125" s="2314">
        <f t="shared" si="25"/>
        <v>112.72498070060381</v>
      </c>
      <c r="AB125" s="2313">
        <f t="shared" si="25"/>
        <v>0</v>
      </c>
      <c r="AC125" s="2314">
        <f t="shared" si="25"/>
        <v>130.26218980704834</v>
      </c>
      <c r="AD125" s="2313">
        <f t="shared" si="25"/>
        <v>0</v>
      </c>
      <c r="AE125" s="2314">
        <f t="shared" si="25"/>
        <v>133.92686425193108</v>
      </c>
      <c r="AF125" s="2313">
        <f t="shared" si="25"/>
        <v>0</v>
      </c>
      <c r="AG125" s="2314">
        <f t="shared" si="25"/>
        <v>165.36228609762625</v>
      </c>
      <c r="AH125" s="2313">
        <f t="shared" si="25"/>
        <v>0</v>
      </c>
      <c r="AI125" s="2314">
        <f t="shared" si="25"/>
        <v>182.48429734090408</v>
      </c>
      <c r="AJ125" s="2313">
        <f t="shared" si="25"/>
        <v>0</v>
      </c>
      <c r="AK125" s="2314">
        <f t="shared" si="25"/>
        <v>209.52590987333636</v>
      </c>
      <c r="AL125" s="2313">
        <f t="shared" si="25"/>
        <v>0</v>
      </c>
      <c r="AM125" s="2314">
        <f t="shared" si="25"/>
        <v>252.78709082071077</v>
      </c>
      <c r="AN125" s="2313">
        <f t="shared" si="25"/>
        <v>0</v>
      </c>
      <c r="AO125" s="2314">
        <f t="shared" si="25"/>
        <v>0</v>
      </c>
      <c r="AP125" s="2313">
        <f t="shared" si="25"/>
        <v>0</v>
      </c>
      <c r="AQ125" s="2314">
        <f t="shared" si="25"/>
        <v>0</v>
      </c>
      <c r="AR125" s="2313">
        <f t="shared" si="25"/>
        <v>0</v>
      </c>
      <c r="AS125" s="2314">
        <f t="shared" si="25"/>
        <v>0</v>
      </c>
      <c r="AT125" s="2313">
        <f t="shared" si="25"/>
        <v>0</v>
      </c>
      <c r="AU125" s="2314">
        <f t="shared" si="25"/>
        <v>0</v>
      </c>
      <c r="AV125" s="2313">
        <f t="shared" si="25"/>
        <v>0</v>
      </c>
      <c r="AW125" s="2314">
        <f t="shared" si="25"/>
        <v>0</v>
      </c>
      <c r="AX125" s="2313">
        <f t="shared" si="25"/>
        <v>0</v>
      </c>
      <c r="AY125" s="2314">
        <f t="shared" si="25"/>
        <v>0</v>
      </c>
      <c r="AZ125" s="2313">
        <f t="shared" si="25"/>
        <v>0</v>
      </c>
      <c r="BA125" s="2314">
        <f t="shared" si="25"/>
        <v>0</v>
      </c>
      <c r="BB125" s="2313">
        <f t="shared" si="25"/>
        <v>0</v>
      </c>
      <c r="BC125" s="2314">
        <f t="shared" si="25"/>
        <v>0</v>
      </c>
      <c r="BD125" s="2313">
        <f t="shared" si="25"/>
        <v>0</v>
      </c>
      <c r="BE125" s="2314">
        <f t="shared" si="25"/>
        <v>0</v>
      </c>
      <c r="BF125" s="2313">
        <f t="shared" si="25"/>
        <v>0</v>
      </c>
      <c r="BG125" s="2314">
        <f t="shared" si="25"/>
        <v>0</v>
      </c>
      <c r="BH125" s="2313">
        <f t="shared" si="25"/>
        <v>0</v>
      </c>
      <c r="BI125" s="2314">
        <f t="shared" si="25"/>
        <v>0</v>
      </c>
      <c r="BJ125" s="2313">
        <f t="shared" si="25"/>
        <v>0</v>
      </c>
      <c r="BK125" s="2314">
        <f t="shared" si="25"/>
        <v>261.58818054810507</v>
      </c>
      <c r="BL125" s="2315"/>
      <c r="BM125" s="2316">
        <f>BM23+BM45+BM67+BM89+BM111</f>
        <v>0</v>
      </c>
      <c r="BN125" s="2286"/>
      <c r="BO125" s="2287"/>
      <c r="BP125" s="2317">
        <f>BP23+BP45+BP67+BP89+BP111</f>
        <v>909.60089716940718</v>
      </c>
      <c r="BQ125" s="2260"/>
      <c r="BR125" s="2260"/>
      <c r="BS125" s="2265"/>
    </row>
    <row r="126" spans="1:71" s="2266" customFormat="1" outlineLevel="1" x14ac:dyDescent="0.3">
      <c r="A126" s="2260"/>
      <c r="B126" s="2327" t="s">
        <v>1585</v>
      </c>
      <c r="C126" s="2303"/>
      <c r="D126" s="2304"/>
      <c r="E126" s="2328" t="str">
        <f t="shared" ref="E126:I126" si="26">IFERROR(E125/E119,"")</f>
        <v/>
      </c>
      <c r="F126" s="2210" t="str">
        <f>IFERROR(E126-((E125-F125)/(E119-F119)),"")</f>
        <v/>
      </c>
      <c r="G126" s="2329" t="str">
        <f t="shared" si="26"/>
        <v/>
      </c>
      <c r="H126" s="2210" t="str">
        <f>IFERROR(G126-((G125-H125)/(G119-H119)),"")</f>
        <v/>
      </c>
      <c r="I126" s="2329" t="str">
        <f t="shared" si="26"/>
        <v/>
      </c>
      <c r="J126" s="2210" t="str">
        <f>IFERROR(I126-((I125-J125)/(I119-J119)),"")</f>
        <v/>
      </c>
      <c r="K126" s="2329" t="str">
        <f>IFERROR(IF(ABS(K125/K119)&gt;100%,"",K125/K119),"")</f>
        <v/>
      </c>
      <c r="L126" s="2210" t="str">
        <f>IFERROR(K126-((K125-L125)/(K119-L119)),"")</f>
        <v/>
      </c>
      <c r="M126" s="2329" t="str">
        <f>IFERROR(IF(ABS(M125/M119)&gt;100%,"",M125/M119),"")</f>
        <v/>
      </c>
      <c r="N126" s="2210" t="str">
        <f>IFERROR(M126-((M125-N125)/(M119-N119)),"")</f>
        <v/>
      </c>
      <c r="O126" s="2329">
        <f>IFERROR(IF(ABS(O125/O119)&gt;100%,"",O125/O119),"")</f>
        <v>0.70540540540540542</v>
      </c>
      <c r="P126" s="2210">
        <f>IFERROR(O126-((O125-P125)/(O119-P119)),"")</f>
        <v>0</v>
      </c>
      <c r="Q126" s="2329">
        <f>IFERROR(IF(ABS(Q125/Q119)&gt;100%,"",Q125/Q119),"")</f>
        <v>0.69667415208301076</v>
      </c>
      <c r="R126" s="2210">
        <f>IFERROR(Q126-((Q125-R125)/(Q119-R119)),"")</f>
        <v>0</v>
      </c>
      <c r="S126" s="2329">
        <f>IFERROR(IF(ABS(S125/S119)&gt;100%,"",S125/S119),"")</f>
        <v>0.69576746557878644</v>
      </c>
      <c r="T126" s="2210">
        <f>IFERROR(S126-((S125-T125)/(S119-T119)),"")</f>
        <v>0</v>
      </c>
      <c r="U126" s="2329">
        <f>IFERROR(IF(ABS(U125/U119)&gt;100%,"",U125/U119),"")</f>
        <v>0.69488950276243089</v>
      </c>
      <c r="V126" s="2210">
        <f>IFERROR(U126-((U125-V125)/(U119-V119)),"")</f>
        <v>0</v>
      </c>
      <c r="W126" s="2329">
        <f>IFERROR(IF(ABS(W125/W119)&gt;100%,"",W125/W119),"")</f>
        <v>0.69277253866465471</v>
      </c>
      <c r="X126" s="2210">
        <f>IFERROR(W126-((W125-X125)/(W119-X119)),"")</f>
        <v>0</v>
      </c>
      <c r="Y126" s="2329">
        <f>IFERROR(IF(ABS(Y125/Y119)&gt;100%,"",Y125/Y119),"")</f>
        <v>0.69169742260179956</v>
      </c>
      <c r="Z126" s="2210">
        <f>IFERROR(Y126-((Y125-Z125)/(Y119-Z119)),"")</f>
        <v>0</v>
      </c>
      <c r="AA126" s="2329">
        <f>IFERROR(IF(ABS(AA125/AA119)&gt;100%,"",AA125/AA119),"")</f>
        <v>0.68011267406471854</v>
      </c>
      <c r="AB126" s="2210">
        <f>IFERROR(AA126-((AA125-AB125)/(AA119-AB119)),"")</f>
        <v>0</v>
      </c>
      <c r="AC126" s="2329">
        <f>IFERROR(IF(ABS(AC125/AC119)&gt;100%,"",AC125/AC119),"")</f>
        <v>0.68490602612616847</v>
      </c>
      <c r="AD126" s="2210">
        <f>IFERROR(AC126-((AC125-AD125)/(AC119-AD119)),"")</f>
        <v>0</v>
      </c>
      <c r="AE126" s="2329">
        <f>IFERROR(IF(ABS(AE125/AE119)&gt;100%,"",AE125/AE119),"")</f>
        <v>0.67358529065912454</v>
      </c>
      <c r="AF126" s="2210">
        <f>IFERROR(AE126-((AE125-AF125)/(AE119-AF119)),"")</f>
        <v>0</v>
      </c>
      <c r="AG126" s="2329">
        <f>IFERROR(IF(ABS(AG125/AG119)&gt;100%,"",AG125/AG119),"")</f>
        <v>0.69100180676226886</v>
      </c>
      <c r="AH126" s="2210">
        <f>IFERROR(AG126-((AG125-AH125)/(AG119-AH119)),"")</f>
        <v>0</v>
      </c>
      <c r="AI126" s="2329">
        <f>IFERROR(IF(ABS(AI125/AI119)&gt;100%,"",AI125/AI119),"")</f>
        <v>0.67955492655471683</v>
      </c>
      <c r="AJ126" s="2210">
        <f>IFERROR(AI126-((AI125-AJ125)/(AI119-AJ119)),"")</f>
        <v>0</v>
      </c>
      <c r="AK126" s="2329">
        <f>IFERROR(IF(ABS(AK125/AK119)&gt;100%,"",AK125/AK119),"")</f>
        <v>0.6787294349690457</v>
      </c>
      <c r="AL126" s="2210">
        <f>IFERROR(AK126-((AK125-AL125)/(AK119-AL119)),"")</f>
        <v>0</v>
      </c>
      <c r="AM126" s="2329">
        <f>IFERROR(IF(ABS(AM125/AM119)&gt;100%,"",AM125/AM119),"")</f>
        <v>1</v>
      </c>
      <c r="AN126" s="2210">
        <f>IFERROR(AM126-((AM125-AN125)/(AM119-AN119)),"")</f>
        <v>0</v>
      </c>
      <c r="AO126" s="2329" t="str">
        <f>IFERROR(IF(ABS(AO125/AO119)&gt;100%,"",AO125/AO119),"")</f>
        <v/>
      </c>
      <c r="AP126" s="2210" t="str">
        <f>IFERROR(AO126-((AO125-AP125)/(AO119-AP119)),"")</f>
        <v/>
      </c>
      <c r="AQ126" s="2329" t="str">
        <f>IFERROR(IF(ABS(AQ125/AQ119)&gt;100%,"",AQ125/AQ119),"")</f>
        <v/>
      </c>
      <c r="AR126" s="2210" t="str">
        <f>IFERROR(AQ126-((AQ125-AR125)/(AQ119-AR119)),"")</f>
        <v/>
      </c>
      <c r="AS126" s="2329" t="str">
        <f>IFERROR(IF(ABS(AS125/AS119)&gt;100%,"",AS125/AS119),"")</f>
        <v/>
      </c>
      <c r="AT126" s="2210" t="str">
        <f>IFERROR(AS126-((AS125-AT125)/(AS119-AT119)),"")</f>
        <v/>
      </c>
      <c r="AU126" s="2329" t="str">
        <f>IFERROR(IF(ABS(AU125/AU119)&gt;100%,"",AU125/AU119),"")</f>
        <v/>
      </c>
      <c r="AV126" s="2210" t="str">
        <f>IFERROR(AU126-((AU125-AV125)/(AU119-AV119)),"")</f>
        <v/>
      </c>
      <c r="AW126" s="2329" t="str">
        <f>IFERROR(IF(ABS(AW125/AW119)&gt;100%,"",AW125/AW119),"")</f>
        <v/>
      </c>
      <c r="AX126" s="2210" t="str">
        <f>IFERROR(AW126-((AW125-AX125)/(AW119-AX119)),"")</f>
        <v/>
      </c>
      <c r="AY126" s="2329" t="str">
        <f>IFERROR(IF(ABS(AY125/AY119)&gt;100%,"",AY125/AY119),"")</f>
        <v/>
      </c>
      <c r="AZ126" s="2210" t="str">
        <f>IFERROR(AY126-((AY125-AZ125)/(AY119-AZ119)),"")</f>
        <v/>
      </c>
      <c r="BA126" s="2329" t="str">
        <f>IFERROR(IF(ABS(BA125/BA119)&gt;100%,"",BA125/BA119),"")</f>
        <v/>
      </c>
      <c r="BB126" s="2210" t="str">
        <f>IFERROR(BA126-((BA125-BB125)/(BA119-BB119)),"")</f>
        <v/>
      </c>
      <c r="BC126" s="2329" t="str">
        <f>IFERROR(IF(ABS(BC125/BC119)&gt;100%,"",BC125/BC119),"")</f>
        <v/>
      </c>
      <c r="BD126" s="2210" t="str">
        <f>IFERROR(BC126-((BC125-BD125)/(BC119-BD119)),"")</f>
        <v/>
      </c>
      <c r="BE126" s="2329" t="str">
        <f>IFERROR(IF(ABS(BE125/BE119)&gt;100%,"",BE125/BE119),"")</f>
        <v/>
      </c>
      <c r="BF126" s="2210" t="str">
        <f>IFERROR(BE126-((BE125-BF125)/(BE119-BF119)),"")</f>
        <v/>
      </c>
      <c r="BG126" s="2329" t="str">
        <f>IFERROR(IF(ABS(BG125/BG119)&gt;100%,"",BG125/BG119),"")</f>
        <v/>
      </c>
      <c r="BH126" s="2210" t="str">
        <f>IFERROR(BG126-((BG125-BH125)/(BG119-BH119)),"")</f>
        <v/>
      </c>
      <c r="BI126" s="2329" t="str">
        <f>IFERROR(IF(ABS(BI125/BI119)&gt;100%,"",BI125/BI119),"")</f>
        <v/>
      </c>
      <c r="BJ126" s="2210" t="str">
        <f>IFERROR(BI126-((BI125-BJ125)/(BI119-BJ119)),"")</f>
        <v/>
      </c>
      <c r="BK126" s="2329">
        <f>IFERROR(IF(ABS(BK125/BK119)&gt;100%,"",BK125/BK119),"")</f>
        <v>0.69493707617217348</v>
      </c>
      <c r="BL126" s="2258"/>
      <c r="BM126" s="2213">
        <f>IFERROR(BK126-((BK125-BM125)/(BK119-BM119)),"")</f>
        <v>0</v>
      </c>
      <c r="BN126" s="2296"/>
      <c r="BO126" s="1923"/>
      <c r="BP126" s="2259">
        <f>IFERROR(IF(ABS(BP125/BP119)&gt;100%,"",BP125/BP119),"")</f>
        <v>0.68734489324146375</v>
      </c>
      <c r="BQ126" s="2260"/>
      <c r="BR126" s="2260"/>
      <c r="BS126" s="2265"/>
    </row>
    <row r="127" spans="1:71" s="2266" customFormat="1" ht="12.75" customHeight="1" x14ac:dyDescent="0.3">
      <c r="A127" s="2260"/>
      <c r="B127" s="2261"/>
      <c r="C127" s="2261"/>
      <c r="D127" s="2262"/>
      <c r="E127" s="2262"/>
      <c r="F127" s="2262"/>
      <c r="G127" s="2262"/>
      <c r="H127" s="2262"/>
      <c r="I127" s="2262"/>
      <c r="J127" s="2262"/>
      <c r="K127" s="2262"/>
      <c r="L127" s="2262"/>
      <c r="M127" s="2262"/>
      <c r="N127" s="2263"/>
      <c r="O127" s="2262"/>
      <c r="P127" s="2262"/>
      <c r="Q127" s="2262"/>
      <c r="R127" s="2262"/>
      <c r="S127" s="2262"/>
      <c r="T127" s="2262"/>
      <c r="U127" s="2262"/>
      <c r="V127" s="2262"/>
      <c r="W127" s="2262"/>
      <c r="X127" s="2262"/>
      <c r="Y127" s="2262"/>
      <c r="Z127" s="2263"/>
      <c r="AA127" s="2262"/>
      <c r="AB127" s="2262"/>
      <c r="AC127" s="2262"/>
      <c r="AD127" s="2262"/>
      <c r="AE127" s="2262"/>
      <c r="AF127" s="2262"/>
      <c r="AG127" s="2262"/>
      <c r="AH127" s="2262"/>
      <c r="AI127" s="2262"/>
      <c r="AJ127" s="2262"/>
      <c r="AK127" s="2262"/>
      <c r="AL127" s="2262"/>
      <c r="AM127" s="2262"/>
      <c r="AN127" s="2262"/>
      <c r="AO127" s="2262"/>
      <c r="AP127" s="2262"/>
      <c r="AQ127" s="2262"/>
      <c r="AR127" s="2262"/>
      <c r="AS127" s="2262"/>
      <c r="AT127" s="2262"/>
      <c r="AU127" s="2262"/>
      <c r="AV127" s="2262"/>
      <c r="AW127" s="2262"/>
      <c r="AX127" s="2262"/>
      <c r="AY127" s="2262"/>
      <c r="AZ127" s="2262"/>
      <c r="BA127" s="2262"/>
      <c r="BB127" s="2262"/>
      <c r="BC127" s="2262"/>
      <c r="BD127" s="2262"/>
      <c r="BE127" s="2262"/>
      <c r="BF127" s="2262"/>
      <c r="BG127" s="2262"/>
      <c r="BH127" s="2262"/>
      <c r="BI127" s="2262"/>
      <c r="BJ127" s="2262"/>
      <c r="BK127" s="2262"/>
      <c r="BL127" s="2262"/>
      <c r="BM127" s="2264"/>
      <c r="BN127" s="2260"/>
      <c r="BO127" s="1070"/>
      <c r="BP127" s="1070"/>
      <c r="BQ127" s="2260"/>
      <c r="BR127" s="2260"/>
      <c r="BS127" s="2265"/>
    </row>
    <row r="128" spans="1:71" s="2266" customFormat="1" ht="12.75" customHeight="1" x14ac:dyDescent="0.3">
      <c r="A128" s="2260"/>
      <c r="B128" s="2261"/>
      <c r="C128" s="2261"/>
      <c r="D128" s="2262"/>
      <c r="E128" s="2262"/>
      <c r="F128" s="2262"/>
      <c r="G128" s="2262"/>
      <c r="H128" s="2262"/>
      <c r="I128" s="2262"/>
      <c r="J128" s="2262"/>
      <c r="K128" s="2262"/>
      <c r="L128" s="2262"/>
      <c r="M128" s="2262"/>
      <c r="N128" s="2262"/>
      <c r="O128" s="2262"/>
      <c r="P128" s="2262"/>
      <c r="Q128" s="2262"/>
      <c r="R128" s="2262"/>
      <c r="S128" s="2262"/>
      <c r="T128" s="2262"/>
      <c r="U128" s="2262"/>
      <c r="V128" s="2262"/>
      <c r="W128" s="2262"/>
      <c r="X128" s="2262"/>
      <c r="Y128" s="2262"/>
      <c r="Z128" s="2262"/>
      <c r="AA128" s="2262"/>
      <c r="AB128" s="2262"/>
      <c r="AC128" s="2262"/>
      <c r="AD128" s="2262"/>
      <c r="AE128" s="2262"/>
      <c r="AF128" s="2262"/>
      <c r="AG128" s="2262"/>
      <c r="AH128" s="2262"/>
      <c r="AI128" s="2262"/>
      <c r="AJ128" s="2262"/>
      <c r="AK128" s="2262"/>
      <c r="AL128" s="2262"/>
      <c r="AM128" s="2262"/>
      <c r="AN128" s="2262"/>
      <c r="AO128" s="2262"/>
      <c r="AP128" s="2262"/>
      <c r="AQ128" s="2262"/>
      <c r="AR128" s="2262"/>
      <c r="AS128" s="2262"/>
      <c r="AT128" s="2262"/>
      <c r="AU128" s="2262"/>
      <c r="AV128" s="2262"/>
      <c r="AW128" s="2262"/>
      <c r="AX128" s="2262"/>
      <c r="AY128" s="2262"/>
      <c r="AZ128" s="2262"/>
      <c r="BA128" s="2262"/>
      <c r="BB128" s="2262"/>
      <c r="BC128" s="2262"/>
      <c r="BD128" s="2262"/>
      <c r="BE128" s="2262"/>
      <c r="BF128" s="2262"/>
      <c r="BG128" s="2262"/>
      <c r="BH128" s="2262"/>
      <c r="BI128" s="2262"/>
      <c r="BJ128" s="2262"/>
      <c r="BK128" s="2262"/>
      <c r="BL128" s="2262"/>
      <c r="BM128" s="2264"/>
      <c r="BN128" s="2260"/>
      <c r="BO128" s="1070"/>
      <c r="BP128" s="1070"/>
      <c r="BQ128" s="2260"/>
      <c r="BR128" s="2260"/>
      <c r="BS128" s="2265"/>
    </row>
    <row r="129" spans="1:71" s="2266" customFormat="1" ht="12.75" customHeight="1" thickBot="1" x14ac:dyDescent="0.35">
      <c r="A129" s="2260"/>
      <c r="B129" s="2261"/>
      <c r="C129" s="2261"/>
      <c r="D129" s="2262"/>
      <c r="E129" s="2262"/>
      <c r="F129" s="2262"/>
      <c r="G129" s="2262"/>
      <c r="H129" s="2262"/>
      <c r="I129" s="2262"/>
      <c r="J129" s="2262"/>
      <c r="K129" s="2262"/>
      <c r="L129" s="2262"/>
      <c r="M129" s="2262"/>
      <c r="N129" s="2262"/>
      <c r="O129" s="2262"/>
      <c r="P129" s="2262"/>
      <c r="Q129" s="2262"/>
      <c r="R129" s="2262"/>
      <c r="S129" s="2262"/>
      <c r="T129" s="2262"/>
      <c r="U129" s="2262"/>
      <c r="V129" s="2262"/>
      <c r="W129" s="2262"/>
      <c r="X129" s="2262"/>
      <c r="Y129" s="2262"/>
      <c r="Z129" s="2262"/>
      <c r="AA129" s="2262"/>
      <c r="AB129" s="2262"/>
      <c r="AC129" s="2262"/>
      <c r="AD129" s="2262"/>
      <c r="AE129" s="2262"/>
      <c r="AF129" s="2262"/>
      <c r="AG129" s="2262"/>
      <c r="AH129" s="2262"/>
      <c r="AI129" s="2262"/>
      <c r="AJ129" s="2262"/>
      <c r="AK129" s="2262"/>
      <c r="AL129" s="2262"/>
      <c r="AM129" s="2262"/>
      <c r="AN129" s="2262"/>
      <c r="AO129" s="2262"/>
      <c r="AP129" s="2262"/>
      <c r="AQ129" s="2262"/>
      <c r="AR129" s="2262"/>
      <c r="AS129" s="2262"/>
      <c r="AT129" s="2262"/>
      <c r="AU129" s="2262"/>
      <c r="AV129" s="2262"/>
      <c r="AW129" s="2262"/>
      <c r="AX129" s="2262"/>
      <c r="AY129" s="2262"/>
      <c r="AZ129" s="2262"/>
      <c r="BA129" s="2262"/>
      <c r="BB129" s="2262"/>
      <c r="BC129" s="2262"/>
      <c r="BD129" s="2262"/>
      <c r="BE129" s="2262"/>
      <c r="BF129" s="2262"/>
      <c r="BG129" s="2262"/>
      <c r="BH129" s="2262"/>
      <c r="BI129" s="2262"/>
      <c r="BJ129" s="2262"/>
      <c r="BK129" s="2262"/>
      <c r="BL129" s="2262"/>
      <c r="BM129" s="2264"/>
      <c r="BN129" s="2260"/>
      <c r="BO129" s="1070"/>
      <c r="BP129" s="1070"/>
      <c r="BQ129" s="2260"/>
      <c r="BR129" s="2260"/>
      <c r="BS129" s="2265"/>
    </row>
    <row r="130" spans="1:71" ht="18.600000000000001" thickBot="1" x14ac:dyDescent="0.4">
      <c r="A130" s="1070"/>
      <c r="B130" s="1070"/>
      <c r="C130" s="3238" t="str">
        <f>"P&amp;L and Free Cash Flow ("&amp;D2&amp;"): Actuals / Projections vs. "&amp;Comp</f>
        <v>P&amp;L and Free Cash Flow ($ M): Actuals / Projections vs. Def Exit</v>
      </c>
      <c r="D130" s="3239"/>
      <c r="E130" s="3239"/>
      <c r="F130" s="3239"/>
      <c r="G130" s="3239"/>
      <c r="H130" s="3239"/>
      <c r="I130" s="3239"/>
      <c r="J130" s="3239"/>
      <c r="K130" s="3239"/>
      <c r="L130" s="3239"/>
      <c r="M130" s="3239"/>
      <c r="N130" s="3239"/>
      <c r="O130" s="3239"/>
      <c r="P130" s="3239"/>
      <c r="Q130" s="3239"/>
      <c r="R130" s="3239"/>
      <c r="S130" s="3239"/>
      <c r="T130" s="3239"/>
      <c r="U130" s="3239"/>
      <c r="V130" s="3239"/>
      <c r="W130" s="3239"/>
      <c r="X130" s="3239"/>
      <c r="Y130" s="3239"/>
      <c r="Z130" s="3239"/>
      <c r="AA130" s="3239"/>
      <c r="AB130" s="3239"/>
      <c r="AC130" s="3239"/>
      <c r="AD130" s="3239"/>
      <c r="AE130" s="3239"/>
      <c r="AF130" s="3239"/>
      <c r="AG130" s="3239"/>
      <c r="AH130" s="3239"/>
      <c r="AI130" s="3239"/>
      <c r="AJ130" s="3239"/>
      <c r="AK130" s="3239"/>
      <c r="AL130" s="3239"/>
      <c r="AM130" s="3239"/>
      <c r="AN130" s="3239"/>
      <c r="AO130" s="3239"/>
      <c r="AP130" s="3239"/>
      <c r="AQ130" s="3239"/>
      <c r="AR130" s="3239"/>
      <c r="AS130" s="3239"/>
      <c r="AT130" s="3239"/>
      <c r="AU130" s="3239"/>
      <c r="AV130" s="3239"/>
      <c r="AW130" s="3239"/>
      <c r="AX130" s="3239"/>
      <c r="AY130" s="3239"/>
      <c r="AZ130" s="3239"/>
      <c r="BA130" s="3239"/>
      <c r="BB130" s="3239"/>
      <c r="BC130" s="3239"/>
      <c r="BD130" s="3239"/>
      <c r="BE130" s="3239"/>
      <c r="BF130" s="3239"/>
      <c r="BG130" s="3239"/>
      <c r="BH130" s="3239"/>
      <c r="BI130" s="3239"/>
      <c r="BJ130" s="3239"/>
      <c r="BK130" s="3239"/>
      <c r="BL130" s="3239"/>
      <c r="BM130" s="3240"/>
      <c r="BN130" s="1070"/>
      <c r="BO130" s="1070"/>
      <c r="BP130" s="1070"/>
      <c r="BQ130" s="1070"/>
      <c r="BR130" s="1070"/>
      <c r="BS130" s="1824"/>
    </row>
    <row r="131" spans="1:71" s="1248" customFormat="1" ht="3.75" customHeight="1" x14ac:dyDescent="0.25">
      <c r="A131" s="1238"/>
      <c r="B131" s="1337"/>
      <c r="C131" s="2330"/>
      <c r="D131" s="2330"/>
      <c r="E131" s="2330"/>
      <c r="F131" s="2330" t="str">
        <f>E133</f>
        <v>FY18</v>
      </c>
      <c r="G131" s="2330"/>
      <c r="H131" s="2330" t="str">
        <f>G133</f>
        <v>FY19</v>
      </c>
      <c r="I131" s="2330"/>
      <c r="J131" s="2330" t="str">
        <f>I133</f>
        <v>FY20</v>
      </c>
      <c r="K131" s="2330"/>
      <c r="L131" s="2330" t="str">
        <f>K133</f>
        <v>FY21</v>
      </c>
      <c r="M131" s="2330"/>
      <c r="N131" s="2330" t="str">
        <f>M133</f>
        <v>FY22</v>
      </c>
      <c r="O131" s="2330"/>
      <c r="P131" s="2330" t="str">
        <f>O133</f>
        <v>FY23</v>
      </c>
      <c r="Q131" s="2330"/>
      <c r="R131" s="2330" t="str">
        <f>Q133</f>
        <v>FY24</v>
      </c>
      <c r="S131" s="2330"/>
      <c r="T131" s="2330" t="str">
        <f>S133</f>
        <v>FY25</v>
      </c>
      <c r="U131" s="2330"/>
      <c r="V131" s="2330" t="str">
        <f>U133</f>
        <v>FY26</v>
      </c>
      <c r="W131" s="2330"/>
      <c r="X131" s="2330" t="str">
        <f>W133</f>
        <v>FY27</v>
      </c>
      <c r="Y131" s="2330"/>
      <c r="Z131" s="2330" t="str">
        <f>Y133</f>
        <v>FY28</v>
      </c>
      <c r="AA131" s="2330"/>
      <c r="AB131" s="2330" t="str">
        <f>AA133</f>
        <v>FY29</v>
      </c>
      <c r="AC131" s="2330"/>
      <c r="AD131" s="2330" t="str">
        <f>AC133</f>
        <v>FY30</v>
      </c>
      <c r="AE131" s="2330"/>
      <c r="AF131" s="2330" t="str">
        <f>AE133</f>
        <v>FY31</v>
      </c>
      <c r="AG131" s="2330"/>
      <c r="AH131" s="2330" t="str">
        <f>AG133</f>
        <v>FY32</v>
      </c>
      <c r="AI131" s="2330"/>
      <c r="AJ131" s="2330" t="str">
        <f>AI133</f>
        <v>FY33</v>
      </c>
      <c r="AK131" s="2330"/>
      <c r="AL131" s="2330" t="str">
        <f>AK133</f>
        <v>FY34</v>
      </c>
      <c r="AM131" s="2331"/>
      <c r="AN131" s="2330" t="str">
        <f>AM133</f>
        <v>FY35</v>
      </c>
      <c r="AO131" s="2331"/>
      <c r="AP131" s="2330" t="str">
        <f>AO133</f>
        <v>FY36</v>
      </c>
      <c r="AQ131" s="2331"/>
      <c r="AR131" s="2330" t="str">
        <f>AQ133</f>
        <v>FY37</v>
      </c>
      <c r="AS131" s="2331"/>
      <c r="AT131" s="2330" t="str">
        <f>AS133</f>
        <v>FY38</v>
      </c>
      <c r="AU131" s="2331"/>
      <c r="AV131" s="2330" t="str">
        <f>AU133</f>
        <v>FY39</v>
      </c>
      <c r="AW131" s="2331"/>
      <c r="AX131" s="2330" t="str">
        <f>AW133</f>
        <v>FY40</v>
      </c>
      <c r="AY131" s="2331"/>
      <c r="AZ131" s="2330" t="str">
        <f>AY133</f>
        <v>FY41</v>
      </c>
      <c r="BA131" s="2331"/>
      <c r="BB131" s="2330" t="str">
        <f>BA133</f>
        <v>FY42</v>
      </c>
      <c r="BC131" s="2331"/>
      <c r="BD131" s="2330" t="str">
        <f>BC133</f>
        <v>FY43</v>
      </c>
      <c r="BE131" s="2331"/>
      <c r="BF131" s="2330" t="str">
        <f>BE133</f>
        <v>FY44</v>
      </c>
      <c r="BG131" s="2331"/>
      <c r="BH131" s="2330" t="str">
        <f>BG133</f>
        <v>FY45</v>
      </c>
      <c r="BI131" s="2331"/>
      <c r="BJ131" s="2330" t="str">
        <f>BI133</f>
        <v>FY46</v>
      </c>
      <c r="BK131" s="1238"/>
      <c r="BL131" s="1238"/>
      <c r="BM131" s="1337"/>
      <c r="BN131" s="1238"/>
      <c r="BO131" s="1238"/>
      <c r="BP131" s="1238"/>
      <c r="BQ131" s="1238"/>
      <c r="BR131" s="1238"/>
      <c r="BS131" s="2332"/>
    </row>
    <row r="132" spans="1:71" s="1248" customFormat="1" ht="16.2" customHeight="1" x14ac:dyDescent="0.25">
      <c r="A132" s="1238"/>
      <c r="B132" s="1337"/>
      <c r="C132" s="1337"/>
      <c r="D132" s="2333"/>
      <c r="E132" s="3312">
        <f>E6</f>
        <v>0</v>
      </c>
      <c r="F132" s="3313"/>
      <c r="G132" s="3314">
        <f>G6</f>
        <v>0</v>
      </c>
      <c r="H132" s="3313"/>
      <c r="I132" s="3314">
        <f>I6</f>
        <v>0</v>
      </c>
      <c r="J132" s="3313"/>
      <c r="K132" s="3314">
        <f>K6</f>
        <v>0</v>
      </c>
      <c r="L132" s="3313"/>
      <c r="M132" s="3314">
        <f>M6</f>
        <v>0</v>
      </c>
      <c r="N132" s="3313"/>
      <c r="O132" s="3314">
        <f>O6</f>
        <v>0</v>
      </c>
      <c r="P132" s="3313"/>
      <c r="Q132" s="3314">
        <f>Q6</f>
        <v>0</v>
      </c>
      <c r="R132" s="3313"/>
      <c r="S132" s="3314">
        <f>S6</f>
        <v>0</v>
      </c>
      <c r="T132" s="3313"/>
      <c r="U132" s="3314">
        <f>U6</f>
        <v>0</v>
      </c>
      <c r="V132" s="3313"/>
      <c r="W132" s="3314">
        <f>W6</f>
        <v>0</v>
      </c>
      <c r="X132" s="3313"/>
      <c r="Y132" s="3314">
        <f>Y6</f>
        <v>0</v>
      </c>
      <c r="Z132" s="3313"/>
      <c r="AA132" s="3314">
        <f>AA6</f>
        <v>0</v>
      </c>
      <c r="AB132" s="3313"/>
      <c r="AC132" s="3314">
        <f>AC6</f>
        <v>0</v>
      </c>
      <c r="AD132" s="3313"/>
      <c r="AE132" s="3314">
        <f>AE6</f>
        <v>0</v>
      </c>
      <c r="AF132" s="3313"/>
      <c r="AG132" s="3314">
        <f>AG6</f>
        <v>0</v>
      </c>
      <c r="AH132" s="3313"/>
      <c r="AI132" s="3314">
        <f>AI6</f>
        <v>0</v>
      </c>
      <c r="AJ132" s="3313"/>
      <c r="AK132" s="3314">
        <f>AK6</f>
        <v>0</v>
      </c>
      <c r="AL132" s="3315"/>
      <c r="AM132" s="3314">
        <f>AM6</f>
        <v>0</v>
      </c>
      <c r="AN132" s="3315"/>
      <c r="AO132" s="3314">
        <f>AO6</f>
        <v>0</v>
      </c>
      <c r="AP132" s="3315"/>
      <c r="AQ132" s="3314">
        <f>AQ6</f>
        <v>0</v>
      </c>
      <c r="AR132" s="3315"/>
      <c r="AS132" s="3314">
        <f>AS6</f>
        <v>0</v>
      </c>
      <c r="AT132" s="3315"/>
      <c r="AU132" s="3314">
        <f>AU6</f>
        <v>0</v>
      </c>
      <c r="AV132" s="3315"/>
      <c r="AW132" s="3314">
        <f>AW6</f>
        <v>0</v>
      </c>
      <c r="AX132" s="3315"/>
      <c r="AY132" s="3314">
        <f>AY6</f>
        <v>0</v>
      </c>
      <c r="AZ132" s="3315"/>
      <c r="BA132" s="3314">
        <f>BA6</f>
        <v>0</v>
      </c>
      <c r="BB132" s="3315"/>
      <c r="BC132" s="3314">
        <f>BC6</f>
        <v>0</v>
      </c>
      <c r="BD132" s="3315"/>
      <c r="BE132" s="3314">
        <f>BE6</f>
        <v>0</v>
      </c>
      <c r="BF132" s="3315"/>
      <c r="BG132" s="3314">
        <f>BG6</f>
        <v>0</v>
      </c>
      <c r="BH132" s="3315"/>
      <c r="BI132" s="3314">
        <f>BI6</f>
        <v>0</v>
      </c>
      <c r="BJ132" s="3315"/>
      <c r="BK132" s="3319" t="s">
        <v>1570</v>
      </c>
      <c r="BL132" s="3320"/>
      <c r="BM132" s="3321"/>
      <c r="BN132" s="1238"/>
      <c r="BO132" s="1238"/>
      <c r="BP132" s="3322" t="str">
        <f>"15 Yrs Total"</f>
        <v>15 Yrs Total</v>
      </c>
      <c r="BQ132" s="3323"/>
      <c r="BR132" s="1238"/>
      <c r="BS132" s="2332"/>
    </row>
    <row r="133" spans="1:71" s="1248" customFormat="1" ht="24.9" customHeight="1" thickBot="1" x14ac:dyDescent="0.3">
      <c r="A133" s="1238"/>
      <c r="B133" s="1860" t="str">
        <f>IF(D2="$ M", "($'s in Millions)","($'s in Thousands)")</f>
        <v>($'s in Millions)</v>
      </c>
      <c r="C133" s="1861" t="s">
        <v>739</v>
      </c>
      <c r="D133" s="1862" t="str">
        <f>"vs "&amp;Comp</f>
        <v>vs Def Exit</v>
      </c>
      <c r="E133" s="1863" t="str">
        <f>E7</f>
        <v>FY18</v>
      </c>
      <c r="F133" s="1862" t="str">
        <f>"vs "&amp;Comp</f>
        <v>vs Def Exit</v>
      </c>
      <c r="G133" s="1863" t="str">
        <f>G7</f>
        <v>FY19</v>
      </c>
      <c r="H133" s="1864" t="str">
        <f>"vs "&amp;Comp</f>
        <v>vs Def Exit</v>
      </c>
      <c r="I133" s="1863" t="str">
        <f>I7</f>
        <v>FY20</v>
      </c>
      <c r="J133" s="1864" t="str">
        <f>"vs "&amp;Comp</f>
        <v>vs Def Exit</v>
      </c>
      <c r="K133" s="1863" t="str">
        <f>K7</f>
        <v>FY21</v>
      </c>
      <c r="L133" s="1864" t="str">
        <f>"vs "&amp;Comp</f>
        <v>vs Def Exit</v>
      </c>
      <c r="M133" s="1863" t="str">
        <f>M7</f>
        <v>FY22</v>
      </c>
      <c r="N133" s="1864" t="str">
        <f>"vs "&amp;Comp</f>
        <v>vs Def Exit</v>
      </c>
      <c r="O133" s="1863" t="str">
        <f>O7</f>
        <v>FY23</v>
      </c>
      <c r="P133" s="1864" t="str">
        <f>"vs "&amp;Comp</f>
        <v>vs Def Exit</v>
      </c>
      <c r="Q133" s="1863" t="str">
        <f>Q7</f>
        <v>FY24</v>
      </c>
      <c r="R133" s="1864" t="str">
        <f>"vs "&amp;Comp</f>
        <v>vs Def Exit</v>
      </c>
      <c r="S133" s="1863" t="str">
        <f>S7</f>
        <v>FY25</v>
      </c>
      <c r="T133" s="1864" t="str">
        <f>"vs "&amp;Comp</f>
        <v>vs Def Exit</v>
      </c>
      <c r="U133" s="1863" t="str">
        <f>U7</f>
        <v>FY26</v>
      </c>
      <c r="V133" s="1864" t="str">
        <f>"vs "&amp;Comp</f>
        <v>vs Def Exit</v>
      </c>
      <c r="W133" s="1863" t="str">
        <f>W7</f>
        <v>FY27</v>
      </c>
      <c r="X133" s="1864" t="str">
        <f>"vs "&amp;Comp</f>
        <v>vs Def Exit</v>
      </c>
      <c r="Y133" s="1863" t="str">
        <f>Y7</f>
        <v>FY28</v>
      </c>
      <c r="Z133" s="1864" t="str">
        <f>"vs "&amp;Comp</f>
        <v>vs Def Exit</v>
      </c>
      <c r="AA133" s="1863" t="str">
        <f>AA7</f>
        <v>FY29</v>
      </c>
      <c r="AB133" s="1864" t="str">
        <f>"vs "&amp;Comp</f>
        <v>vs Def Exit</v>
      </c>
      <c r="AC133" s="1863" t="str">
        <f>AC7</f>
        <v>FY30</v>
      </c>
      <c r="AD133" s="1864" t="str">
        <f>"vs "&amp;Comp</f>
        <v>vs Def Exit</v>
      </c>
      <c r="AE133" s="1863" t="str">
        <f>AE7</f>
        <v>FY31</v>
      </c>
      <c r="AF133" s="1864" t="str">
        <f>"vs "&amp;Comp</f>
        <v>vs Def Exit</v>
      </c>
      <c r="AG133" s="1863" t="str">
        <f>AG7</f>
        <v>FY32</v>
      </c>
      <c r="AH133" s="1864" t="str">
        <f>"vs "&amp;Comp</f>
        <v>vs Def Exit</v>
      </c>
      <c r="AI133" s="1863" t="str">
        <f>AI7</f>
        <v>FY33</v>
      </c>
      <c r="AJ133" s="1864" t="str">
        <f>"vs "&amp;Comp</f>
        <v>vs Def Exit</v>
      </c>
      <c r="AK133" s="1863" t="str">
        <f>AK7</f>
        <v>FY34</v>
      </c>
      <c r="AL133" s="1864" t="str">
        <f>"vs "&amp;Comp</f>
        <v>vs Def Exit</v>
      </c>
      <c r="AM133" s="1863" t="str">
        <f>AM7</f>
        <v>FY35</v>
      </c>
      <c r="AN133" s="1864" t="str">
        <f>"vs "&amp;Comp</f>
        <v>vs Def Exit</v>
      </c>
      <c r="AO133" s="1863" t="str">
        <f>AO7</f>
        <v>FY36</v>
      </c>
      <c r="AP133" s="1864" t="str">
        <f>"vs "&amp;Comp</f>
        <v>vs Def Exit</v>
      </c>
      <c r="AQ133" s="1863" t="str">
        <f>AQ7</f>
        <v>FY37</v>
      </c>
      <c r="AR133" s="1864" t="str">
        <f>"vs "&amp;Comp</f>
        <v>vs Def Exit</v>
      </c>
      <c r="AS133" s="1863" t="str">
        <f>AS7</f>
        <v>FY38</v>
      </c>
      <c r="AT133" s="1864" t="str">
        <f>"vs "&amp;Comp</f>
        <v>vs Def Exit</v>
      </c>
      <c r="AU133" s="1863" t="str">
        <f>AU7</f>
        <v>FY39</v>
      </c>
      <c r="AV133" s="1864" t="str">
        <f>"vs "&amp;Comp</f>
        <v>vs Def Exit</v>
      </c>
      <c r="AW133" s="1863" t="str">
        <f>AW7</f>
        <v>FY40</v>
      </c>
      <c r="AX133" s="1864" t="str">
        <f>"vs "&amp;Comp</f>
        <v>vs Def Exit</v>
      </c>
      <c r="AY133" s="1863" t="str">
        <f>AY7</f>
        <v>FY41</v>
      </c>
      <c r="AZ133" s="1864" t="str">
        <f>"vs "&amp;Comp</f>
        <v>vs Def Exit</v>
      </c>
      <c r="BA133" s="1863" t="str">
        <f>BA7</f>
        <v>FY42</v>
      </c>
      <c r="BB133" s="1864" t="str">
        <f>"vs "&amp;Comp</f>
        <v>vs Def Exit</v>
      </c>
      <c r="BC133" s="1863" t="str">
        <f>BC7</f>
        <v>FY43</v>
      </c>
      <c r="BD133" s="1864" t="str">
        <f>"vs "&amp;Comp</f>
        <v>vs Def Exit</v>
      </c>
      <c r="BE133" s="1863" t="str">
        <f>BE7</f>
        <v>FY44</v>
      </c>
      <c r="BF133" s="1864" t="str">
        <f>"vs "&amp;Comp</f>
        <v>vs Def Exit</v>
      </c>
      <c r="BG133" s="1863" t="str">
        <f>BG7</f>
        <v>FY45</v>
      </c>
      <c r="BH133" s="1864" t="str">
        <f>"vs "&amp;Comp</f>
        <v>vs Def Exit</v>
      </c>
      <c r="BI133" s="1863" t="str">
        <f>BI7</f>
        <v>FY46</v>
      </c>
      <c r="BJ133" s="1864" t="str">
        <f>"vs "&amp;Comp</f>
        <v>vs Def Exit</v>
      </c>
      <c r="BK133" s="1865" t="str">
        <f>"FY"&amp;CurrentFY&amp;"-"&amp;CurrentFY+9</f>
        <v>FY18-27</v>
      </c>
      <c r="BL133" s="1866" t="s">
        <v>1487</v>
      </c>
      <c r="BM133" s="1864" t="str">
        <f>"vs "&amp;Comp&amp;" H/(L)"</f>
        <v>vs Def Exit H/(L)</v>
      </c>
      <c r="BN133" s="1238"/>
      <c r="BO133" s="1855"/>
      <c r="BP133" s="2151" t="str">
        <f>"FY"&amp;CurrentFY&amp;"-"&amp;CurrentFY+14</f>
        <v>FY18-32</v>
      </c>
      <c r="BQ133" s="2334" t="s">
        <v>1487</v>
      </c>
      <c r="BR133" s="1238"/>
      <c r="BS133" s="2332"/>
    </row>
    <row r="134" spans="1:71" s="1248" customFormat="1" ht="4.5" customHeight="1" x14ac:dyDescent="0.3">
      <c r="A134" s="1238"/>
      <c r="B134" s="1142"/>
      <c r="C134" s="1201"/>
      <c r="D134" s="1328"/>
      <c r="E134" s="1201"/>
      <c r="F134" s="2157"/>
      <c r="G134" s="1201"/>
      <c r="H134" s="2157"/>
      <c r="I134" s="1201"/>
      <c r="J134" s="2157"/>
      <c r="K134" s="1201"/>
      <c r="L134" s="2157"/>
      <c r="M134" s="1201"/>
      <c r="N134" s="2157"/>
      <c r="O134" s="1201"/>
      <c r="P134" s="2157"/>
      <c r="Q134" s="1201"/>
      <c r="R134" s="2157"/>
      <c r="S134" s="1201"/>
      <c r="T134" s="2335"/>
      <c r="U134" s="1876"/>
      <c r="V134" s="1875"/>
      <c r="W134" s="1876"/>
      <c r="X134" s="1875"/>
      <c r="Y134" s="1876"/>
      <c r="Z134" s="1875"/>
      <c r="AA134" s="1876"/>
      <c r="AB134" s="1875"/>
      <c r="AC134" s="1876"/>
      <c r="AD134" s="1875"/>
      <c r="AE134" s="1876"/>
      <c r="AF134" s="1875"/>
      <c r="AG134" s="1876"/>
      <c r="AH134" s="1875"/>
      <c r="AI134" s="1876"/>
      <c r="AJ134" s="1875"/>
      <c r="AK134" s="1876"/>
      <c r="AL134" s="1875"/>
      <c r="AM134" s="1876"/>
      <c r="AN134" s="1875"/>
      <c r="AO134" s="1876"/>
      <c r="AP134" s="1875"/>
      <c r="AQ134" s="1876"/>
      <c r="AR134" s="1875"/>
      <c r="AS134" s="1876"/>
      <c r="AT134" s="1875"/>
      <c r="AU134" s="1876"/>
      <c r="AV134" s="1875"/>
      <c r="AW134" s="1876"/>
      <c r="AX134" s="1875"/>
      <c r="AY134" s="1876"/>
      <c r="AZ134" s="1875"/>
      <c r="BA134" s="1876"/>
      <c r="BB134" s="1875"/>
      <c r="BC134" s="1876"/>
      <c r="BD134" s="1875"/>
      <c r="BE134" s="1876"/>
      <c r="BF134" s="1875"/>
      <c r="BG134" s="1876"/>
      <c r="BH134" s="1875"/>
      <c r="BI134" s="1876"/>
      <c r="BJ134" s="1875"/>
      <c r="BK134" s="1877"/>
      <c r="BL134" s="1878"/>
      <c r="BM134" s="1875"/>
      <c r="BN134" s="1070"/>
      <c r="BO134" s="1070"/>
      <c r="BP134" s="1070"/>
      <c r="BQ134" s="2135"/>
      <c r="BR134" s="1238"/>
      <c r="BS134" s="2332"/>
    </row>
    <row r="135" spans="1:71" s="1248" customFormat="1" ht="18.75" customHeight="1" outlineLevel="1" x14ac:dyDescent="0.35">
      <c r="A135" s="1238"/>
      <c r="B135" s="2336" t="s">
        <v>1573</v>
      </c>
      <c r="C135" s="2337"/>
      <c r="D135" s="2338"/>
      <c r="E135" s="2339">
        <f>E119</f>
        <v>0</v>
      </c>
      <c r="F135" s="2340">
        <f t="shared" ref="F135:BK135" si="27">F119</f>
        <v>0</v>
      </c>
      <c r="G135" s="2341">
        <f t="shared" si="27"/>
        <v>0</v>
      </c>
      <c r="H135" s="2340">
        <f t="shared" si="27"/>
        <v>0</v>
      </c>
      <c r="I135" s="2341">
        <f t="shared" si="27"/>
        <v>0</v>
      </c>
      <c r="J135" s="2340">
        <f t="shared" si="27"/>
        <v>0</v>
      </c>
      <c r="K135" s="2341">
        <f t="shared" si="27"/>
        <v>0</v>
      </c>
      <c r="L135" s="2340">
        <f t="shared" si="27"/>
        <v>0</v>
      </c>
      <c r="M135" s="2341">
        <f t="shared" si="27"/>
        <v>0</v>
      </c>
      <c r="N135" s="2340">
        <f t="shared" si="27"/>
        <v>0</v>
      </c>
      <c r="O135" s="2341">
        <f t="shared" si="27"/>
        <v>16.667203805107203</v>
      </c>
      <c r="P135" s="2340">
        <f t="shared" si="27"/>
        <v>0</v>
      </c>
      <c r="Q135" s="2341">
        <f t="shared" si="27"/>
        <v>38.568729451259294</v>
      </c>
      <c r="R135" s="2340">
        <f t="shared" si="27"/>
        <v>0</v>
      </c>
      <c r="S135" s="2341">
        <f t="shared" si="27"/>
        <v>73.523969476654173</v>
      </c>
      <c r="T135" s="2340">
        <f t="shared" si="27"/>
        <v>0</v>
      </c>
      <c r="U135" s="2341">
        <f t="shared" si="27"/>
        <v>110.31899500952554</v>
      </c>
      <c r="V135" s="2340">
        <f t="shared" si="27"/>
        <v>0</v>
      </c>
      <c r="W135" s="2341">
        <f t="shared" si="27"/>
        <v>137.34105381475933</v>
      </c>
      <c r="X135" s="2340">
        <f t="shared" si="27"/>
        <v>0</v>
      </c>
      <c r="Y135" s="2341">
        <f t="shared" si="27"/>
        <v>152.86510012769503</v>
      </c>
      <c r="Z135" s="2340">
        <f t="shared" si="27"/>
        <v>0</v>
      </c>
      <c r="AA135" s="2341">
        <f t="shared" si="27"/>
        <v>165.74456703901546</v>
      </c>
      <c r="AB135" s="2340">
        <f t="shared" si="27"/>
        <v>0</v>
      </c>
      <c r="AC135" s="2341">
        <f t="shared" si="27"/>
        <v>190.18987253450209</v>
      </c>
      <c r="AD135" s="2340">
        <f t="shared" si="27"/>
        <v>0</v>
      </c>
      <c r="AE135" s="2341">
        <f t="shared" si="27"/>
        <v>198.82688370596603</v>
      </c>
      <c r="AF135" s="2340">
        <f t="shared" si="27"/>
        <v>0</v>
      </c>
      <c r="AG135" s="2341">
        <f t="shared" si="27"/>
        <v>239.30803722850067</v>
      </c>
      <c r="AH135" s="2340">
        <f t="shared" si="27"/>
        <v>0</v>
      </c>
      <c r="AI135" s="2341">
        <f t="shared" si="27"/>
        <v>268.53502227712966</v>
      </c>
      <c r="AJ135" s="2340">
        <f t="shared" si="27"/>
        <v>0</v>
      </c>
      <c r="AK135" s="2341">
        <f t="shared" si="27"/>
        <v>308.70314307628644</v>
      </c>
      <c r="AL135" s="2340">
        <f t="shared" si="27"/>
        <v>0</v>
      </c>
      <c r="AM135" s="2341">
        <f t="shared" si="27"/>
        <v>252.78709082071077</v>
      </c>
      <c r="AN135" s="2340">
        <f t="shared" si="27"/>
        <v>0</v>
      </c>
      <c r="AO135" s="2341">
        <f t="shared" si="27"/>
        <v>0</v>
      </c>
      <c r="AP135" s="2340">
        <f t="shared" si="27"/>
        <v>0</v>
      </c>
      <c r="AQ135" s="2341">
        <f t="shared" si="27"/>
        <v>0</v>
      </c>
      <c r="AR135" s="2340">
        <f t="shared" si="27"/>
        <v>0</v>
      </c>
      <c r="AS135" s="2341">
        <f t="shared" si="27"/>
        <v>0</v>
      </c>
      <c r="AT135" s="2340">
        <f t="shared" si="27"/>
        <v>0</v>
      </c>
      <c r="AU135" s="2341">
        <f t="shared" si="27"/>
        <v>0</v>
      </c>
      <c r="AV135" s="2340">
        <f t="shared" si="27"/>
        <v>0</v>
      </c>
      <c r="AW135" s="2341">
        <f t="shared" si="27"/>
        <v>0</v>
      </c>
      <c r="AX135" s="2340">
        <f t="shared" si="27"/>
        <v>0</v>
      </c>
      <c r="AY135" s="2341">
        <f t="shared" si="27"/>
        <v>0</v>
      </c>
      <c r="AZ135" s="2340">
        <f t="shared" si="27"/>
        <v>0</v>
      </c>
      <c r="BA135" s="2341">
        <f t="shared" si="27"/>
        <v>0</v>
      </c>
      <c r="BB135" s="2340">
        <f t="shared" si="27"/>
        <v>0</v>
      </c>
      <c r="BC135" s="2341">
        <f t="shared" si="27"/>
        <v>0</v>
      </c>
      <c r="BD135" s="2340">
        <f t="shared" si="27"/>
        <v>0</v>
      </c>
      <c r="BE135" s="2341">
        <f t="shared" si="27"/>
        <v>0</v>
      </c>
      <c r="BF135" s="2340">
        <f t="shared" si="27"/>
        <v>0</v>
      </c>
      <c r="BG135" s="2341">
        <f t="shared" si="27"/>
        <v>0</v>
      </c>
      <c r="BH135" s="2340">
        <f t="shared" si="27"/>
        <v>0</v>
      </c>
      <c r="BI135" s="2341">
        <f t="shared" si="27"/>
        <v>0</v>
      </c>
      <c r="BJ135" s="2340">
        <f t="shared" si="27"/>
        <v>0</v>
      </c>
      <c r="BK135" s="2341">
        <f t="shared" si="27"/>
        <v>376.41995155730552</v>
      </c>
      <c r="BL135" s="2342"/>
      <c r="BM135" s="2343">
        <f t="shared" ref="BM135" si="28">BM119</f>
        <v>0</v>
      </c>
      <c r="BN135" s="2286"/>
      <c r="BO135" s="2287"/>
      <c r="BP135" s="2339">
        <f t="shared" ref="BP135" si="29">BP119</f>
        <v>1323.3544121929849</v>
      </c>
      <c r="BQ135" s="2344"/>
      <c r="BR135" s="1238"/>
      <c r="BS135" s="2332"/>
    </row>
    <row r="136" spans="1:71" s="2352" customFormat="1" ht="15" customHeight="1" outlineLevel="1" x14ac:dyDescent="0.3">
      <c r="A136" s="2345"/>
      <c r="B136" s="1434" t="s">
        <v>1590</v>
      </c>
      <c r="C136" s="2346"/>
      <c r="D136" s="2304"/>
      <c r="E136" s="2347">
        <f>E19+E41+E63+E85+E107</f>
        <v>0</v>
      </c>
      <c r="F136" s="2322">
        <f t="shared" ref="F136:BP136" si="30">F19+F41+F63+F85+F107</f>
        <v>0</v>
      </c>
      <c r="G136" s="2348">
        <f t="shared" si="30"/>
        <v>0</v>
      </c>
      <c r="H136" s="2322">
        <f t="shared" si="30"/>
        <v>0</v>
      </c>
      <c r="I136" s="2348">
        <f t="shared" si="30"/>
        <v>0</v>
      </c>
      <c r="J136" s="2322">
        <f t="shared" si="30"/>
        <v>0</v>
      </c>
      <c r="K136" s="2348">
        <f t="shared" si="30"/>
        <v>0</v>
      </c>
      <c r="L136" s="2322">
        <f t="shared" si="30"/>
        <v>0</v>
      </c>
      <c r="M136" s="2348">
        <f t="shared" si="30"/>
        <v>0</v>
      </c>
      <c r="N136" s="2322">
        <f t="shared" si="30"/>
        <v>0</v>
      </c>
      <c r="O136" s="2348">
        <f t="shared" si="30"/>
        <v>0</v>
      </c>
      <c r="P136" s="2322">
        <f t="shared" si="30"/>
        <v>0</v>
      </c>
      <c r="Q136" s="2348">
        <f t="shared" si="30"/>
        <v>0</v>
      </c>
      <c r="R136" s="2322">
        <f t="shared" si="30"/>
        <v>0</v>
      </c>
      <c r="S136" s="2348">
        <f t="shared" si="30"/>
        <v>0</v>
      </c>
      <c r="T136" s="2322">
        <f t="shared" si="30"/>
        <v>0</v>
      </c>
      <c r="U136" s="2348">
        <f t="shared" si="30"/>
        <v>0</v>
      </c>
      <c r="V136" s="2322">
        <f t="shared" si="30"/>
        <v>0</v>
      </c>
      <c r="W136" s="2348">
        <f t="shared" si="30"/>
        <v>0</v>
      </c>
      <c r="X136" s="2322">
        <f t="shared" si="30"/>
        <v>0</v>
      </c>
      <c r="Y136" s="2348">
        <f t="shared" si="30"/>
        <v>0</v>
      </c>
      <c r="Z136" s="2322">
        <f t="shared" si="30"/>
        <v>0</v>
      </c>
      <c r="AA136" s="2348">
        <f t="shared" si="30"/>
        <v>0</v>
      </c>
      <c r="AB136" s="2322">
        <f t="shared" si="30"/>
        <v>0</v>
      </c>
      <c r="AC136" s="2348">
        <f t="shared" si="30"/>
        <v>0</v>
      </c>
      <c r="AD136" s="2322">
        <f t="shared" si="30"/>
        <v>0</v>
      </c>
      <c r="AE136" s="2348">
        <f t="shared" si="30"/>
        <v>0</v>
      </c>
      <c r="AF136" s="2322">
        <f t="shared" si="30"/>
        <v>0</v>
      </c>
      <c r="AG136" s="2348">
        <f t="shared" si="30"/>
        <v>0</v>
      </c>
      <c r="AH136" s="2322">
        <f t="shared" si="30"/>
        <v>0</v>
      </c>
      <c r="AI136" s="2348">
        <f t="shared" si="30"/>
        <v>0</v>
      </c>
      <c r="AJ136" s="2322">
        <f t="shared" si="30"/>
        <v>0</v>
      </c>
      <c r="AK136" s="2348">
        <f t="shared" si="30"/>
        <v>0</v>
      </c>
      <c r="AL136" s="2322">
        <f t="shared" si="30"/>
        <v>0</v>
      </c>
      <c r="AM136" s="2348">
        <f t="shared" si="30"/>
        <v>0</v>
      </c>
      <c r="AN136" s="2322">
        <f t="shared" si="30"/>
        <v>0</v>
      </c>
      <c r="AO136" s="2348">
        <f t="shared" si="30"/>
        <v>0</v>
      </c>
      <c r="AP136" s="2322">
        <f t="shared" si="30"/>
        <v>0</v>
      </c>
      <c r="AQ136" s="2348">
        <f t="shared" si="30"/>
        <v>0</v>
      </c>
      <c r="AR136" s="2322">
        <f t="shared" si="30"/>
        <v>0</v>
      </c>
      <c r="AS136" s="2348">
        <f t="shared" si="30"/>
        <v>0</v>
      </c>
      <c r="AT136" s="2322">
        <f t="shared" si="30"/>
        <v>0</v>
      </c>
      <c r="AU136" s="2348">
        <f t="shared" si="30"/>
        <v>0</v>
      </c>
      <c r="AV136" s="2322">
        <f t="shared" si="30"/>
        <v>0</v>
      </c>
      <c r="AW136" s="2348">
        <f t="shared" si="30"/>
        <v>0</v>
      </c>
      <c r="AX136" s="2322">
        <f t="shared" si="30"/>
        <v>0</v>
      </c>
      <c r="AY136" s="2348">
        <f t="shared" si="30"/>
        <v>0</v>
      </c>
      <c r="AZ136" s="2322">
        <f t="shared" si="30"/>
        <v>0</v>
      </c>
      <c r="BA136" s="2348">
        <f t="shared" si="30"/>
        <v>0</v>
      </c>
      <c r="BB136" s="2322">
        <f t="shared" si="30"/>
        <v>0</v>
      </c>
      <c r="BC136" s="2348">
        <f t="shared" si="30"/>
        <v>0</v>
      </c>
      <c r="BD136" s="2322">
        <f t="shared" si="30"/>
        <v>0</v>
      </c>
      <c r="BE136" s="2348">
        <f t="shared" si="30"/>
        <v>0</v>
      </c>
      <c r="BF136" s="2322">
        <f t="shared" si="30"/>
        <v>0</v>
      </c>
      <c r="BG136" s="2348">
        <f t="shared" si="30"/>
        <v>0</v>
      </c>
      <c r="BH136" s="2322">
        <f t="shared" si="30"/>
        <v>0</v>
      </c>
      <c r="BI136" s="2348">
        <f t="shared" si="30"/>
        <v>0</v>
      </c>
      <c r="BJ136" s="2322">
        <f t="shared" si="30"/>
        <v>0</v>
      </c>
      <c r="BK136" s="2348">
        <f t="shared" si="30"/>
        <v>0</v>
      </c>
      <c r="BL136" s="2349"/>
      <c r="BM136" s="2325">
        <f t="shared" si="30"/>
        <v>0</v>
      </c>
      <c r="BN136" s="2296">
        <f t="shared" si="30"/>
        <v>0</v>
      </c>
      <c r="BO136" s="1923"/>
      <c r="BP136" s="2347">
        <f t="shared" si="30"/>
        <v>0</v>
      </c>
      <c r="BQ136" s="2350"/>
      <c r="BR136" s="2345"/>
      <c r="BS136" s="2351"/>
    </row>
    <row r="137" spans="1:71" s="1248" customFormat="1" outlineLevel="1" x14ac:dyDescent="0.3">
      <c r="A137" s="1238"/>
      <c r="B137" s="2353" t="s">
        <v>1591</v>
      </c>
      <c r="C137" s="2289"/>
      <c r="D137" s="2290"/>
      <c r="E137" s="2291">
        <f>E120</f>
        <v>0</v>
      </c>
      <c r="F137" s="2292">
        <f t="shared" ref="F137:BK139" si="31">F120</f>
        <v>0</v>
      </c>
      <c r="G137" s="2293">
        <f t="shared" si="31"/>
        <v>0</v>
      </c>
      <c r="H137" s="2292">
        <f t="shared" si="31"/>
        <v>0</v>
      </c>
      <c r="I137" s="2293">
        <f t="shared" si="31"/>
        <v>0</v>
      </c>
      <c r="J137" s="2292">
        <f t="shared" si="31"/>
        <v>0</v>
      </c>
      <c r="K137" s="2293">
        <f t="shared" si="31"/>
        <v>0</v>
      </c>
      <c r="L137" s="2292">
        <f t="shared" si="31"/>
        <v>0</v>
      </c>
      <c r="M137" s="2293">
        <f t="shared" si="31"/>
        <v>0</v>
      </c>
      <c r="N137" s="2292">
        <f t="shared" si="31"/>
        <v>0</v>
      </c>
      <c r="O137" s="2293">
        <f t="shared" si="31"/>
        <v>0</v>
      </c>
      <c r="P137" s="2292">
        <f t="shared" si="31"/>
        <v>0</v>
      </c>
      <c r="Q137" s="2293">
        <f t="shared" si="31"/>
        <v>0</v>
      </c>
      <c r="R137" s="2292">
        <f t="shared" si="31"/>
        <v>0</v>
      </c>
      <c r="S137" s="2293">
        <f t="shared" si="31"/>
        <v>0</v>
      </c>
      <c r="T137" s="2292">
        <f t="shared" si="31"/>
        <v>0</v>
      </c>
      <c r="U137" s="2293">
        <f t="shared" si="31"/>
        <v>0</v>
      </c>
      <c r="V137" s="2292">
        <f t="shared" si="31"/>
        <v>0</v>
      </c>
      <c r="W137" s="2293">
        <f t="shared" si="31"/>
        <v>0</v>
      </c>
      <c r="X137" s="2292">
        <f t="shared" si="31"/>
        <v>0</v>
      </c>
      <c r="Y137" s="2293">
        <f t="shared" si="31"/>
        <v>0</v>
      </c>
      <c r="Z137" s="2292">
        <f t="shared" si="31"/>
        <v>0</v>
      </c>
      <c r="AA137" s="2293">
        <f t="shared" si="31"/>
        <v>0</v>
      </c>
      <c r="AB137" s="2292">
        <f t="shared" si="31"/>
        <v>0</v>
      </c>
      <c r="AC137" s="2293">
        <f t="shared" si="31"/>
        <v>0</v>
      </c>
      <c r="AD137" s="2292">
        <f t="shared" si="31"/>
        <v>0</v>
      </c>
      <c r="AE137" s="2293">
        <f t="shared" si="31"/>
        <v>0</v>
      </c>
      <c r="AF137" s="2292">
        <f t="shared" si="31"/>
        <v>0</v>
      </c>
      <c r="AG137" s="2293">
        <f t="shared" si="31"/>
        <v>0</v>
      </c>
      <c r="AH137" s="2292">
        <f t="shared" si="31"/>
        <v>0</v>
      </c>
      <c r="AI137" s="2293">
        <f t="shared" si="31"/>
        <v>0</v>
      </c>
      <c r="AJ137" s="2292">
        <f t="shared" si="31"/>
        <v>0</v>
      </c>
      <c r="AK137" s="2293">
        <f t="shared" si="31"/>
        <v>0</v>
      </c>
      <c r="AL137" s="2292">
        <f t="shared" si="31"/>
        <v>0</v>
      </c>
      <c r="AM137" s="2293">
        <f t="shared" si="31"/>
        <v>0</v>
      </c>
      <c r="AN137" s="2292">
        <f t="shared" si="31"/>
        <v>0</v>
      </c>
      <c r="AO137" s="2293">
        <f t="shared" si="31"/>
        <v>0</v>
      </c>
      <c r="AP137" s="2292">
        <f t="shared" si="31"/>
        <v>0</v>
      </c>
      <c r="AQ137" s="2293">
        <f t="shared" si="31"/>
        <v>0</v>
      </c>
      <c r="AR137" s="2292">
        <f t="shared" si="31"/>
        <v>0</v>
      </c>
      <c r="AS137" s="2293">
        <f t="shared" si="31"/>
        <v>0</v>
      </c>
      <c r="AT137" s="2292">
        <f t="shared" si="31"/>
        <v>0</v>
      </c>
      <c r="AU137" s="2293">
        <f t="shared" si="31"/>
        <v>0</v>
      </c>
      <c r="AV137" s="2292">
        <f t="shared" si="31"/>
        <v>0</v>
      </c>
      <c r="AW137" s="2293">
        <f t="shared" si="31"/>
        <v>0</v>
      </c>
      <c r="AX137" s="2292">
        <f t="shared" si="31"/>
        <v>0</v>
      </c>
      <c r="AY137" s="2293">
        <f t="shared" si="31"/>
        <v>0</v>
      </c>
      <c r="AZ137" s="2292">
        <f t="shared" si="31"/>
        <v>0</v>
      </c>
      <c r="BA137" s="2293">
        <f t="shared" si="31"/>
        <v>0</v>
      </c>
      <c r="BB137" s="2292">
        <f t="shared" si="31"/>
        <v>0</v>
      </c>
      <c r="BC137" s="2293">
        <f t="shared" si="31"/>
        <v>0</v>
      </c>
      <c r="BD137" s="2292">
        <f t="shared" si="31"/>
        <v>0</v>
      </c>
      <c r="BE137" s="2293">
        <f t="shared" si="31"/>
        <v>0</v>
      </c>
      <c r="BF137" s="2292">
        <f t="shared" si="31"/>
        <v>0</v>
      </c>
      <c r="BG137" s="2293">
        <f t="shared" si="31"/>
        <v>0</v>
      </c>
      <c r="BH137" s="2292">
        <f t="shared" si="31"/>
        <v>0</v>
      </c>
      <c r="BI137" s="2293">
        <f t="shared" si="31"/>
        <v>0</v>
      </c>
      <c r="BJ137" s="2292">
        <f t="shared" si="31"/>
        <v>0</v>
      </c>
      <c r="BK137" s="2293">
        <f t="shared" si="31"/>
        <v>0</v>
      </c>
      <c r="BL137" s="2294"/>
      <c r="BM137" s="2295">
        <f t="shared" ref="BM137:BM139" si="32">BM120</f>
        <v>0</v>
      </c>
      <c r="BN137" s="2296"/>
      <c r="BO137" s="1314"/>
      <c r="BP137" s="2291">
        <f>BP120</f>
        <v>0</v>
      </c>
      <c r="BQ137" s="2354"/>
      <c r="BR137" s="1238"/>
      <c r="BS137" s="2332"/>
    </row>
    <row r="138" spans="1:71" s="1248" customFormat="1" outlineLevel="1" x14ac:dyDescent="0.3">
      <c r="A138" s="1238"/>
      <c r="B138" s="2355" t="s">
        <v>1592</v>
      </c>
      <c r="C138" s="1683"/>
      <c r="D138" s="2298"/>
      <c r="E138" s="2299">
        <f t="shared" ref="E138:BJ139" si="33">E121</f>
        <v>0</v>
      </c>
      <c r="F138" s="1916">
        <f t="shared" si="33"/>
        <v>0</v>
      </c>
      <c r="G138" s="2300">
        <f t="shared" si="33"/>
        <v>0</v>
      </c>
      <c r="H138" s="1916">
        <f t="shared" si="33"/>
        <v>0</v>
      </c>
      <c r="I138" s="2300">
        <f t="shared" si="33"/>
        <v>0</v>
      </c>
      <c r="J138" s="1916">
        <f t="shared" si="33"/>
        <v>0</v>
      </c>
      <c r="K138" s="2300">
        <f t="shared" si="33"/>
        <v>0</v>
      </c>
      <c r="L138" s="1916">
        <f t="shared" si="33"/>
        <v>0</v>
      </c>
      <c r="M138" s="2300">
        <f t="shared" si="33"/>
        <v>0</v>
      </c>
      <c r="N138" s="1916">
        <f t="shared" si="33"/>
        <v>0</v>
      </c>
      <c r="O138" s="2300">
        <f t="shared" si="33"/>
        <v>0</v>
      </c>
      <c r="P138" s="1916">
        <f t="shared" si="33"/>
        <v>0</v>
      </c>
      <c r="Q138" s="2300">
        <f t="shared" si="33"/>
        <v>0</v>
      </c>
      <c r="R138" s="1916">
        <f t="shared" si="33"/>
        <v>0</v>
      </c>
      <c r="S138" s="2300">
        <f t="shared" si="33"/>
        <v>0</v>
      </c>
      <c r="T138" s="1916">
        <f t="shared" si="33"/>
        <v>0</v>
      </c>
      <c r="U138" s="2300">
        <f t="shared" si="33"/>
        <v>0</v>
      </c>
      <c r="V138" s="1916">
        <f t="shared" si="33"/>
        <v>0</v>
      </c>
      <c r="W138" s="2300">
        <f t="shared" si="33"/>
        <v>0</v>
      </c>
      <c r="X138" s="1916">
        <f t="shared" si="33"/>
        <v>0</v>
      </c>
      <c r="Y138" s="2300">
        <f t="shared" si="33"/>
        <v>0</v>
      </c>
      <c r="Z138" s="1916">
        <f t="shared" si="33"/>
        <v>0</v>
      </c>
      <c r="AA138" s="2300">
        <f t="shared" si="33"/>
        <v>0</v>
      </c>
      <c r="AB138" s="1916">
        <f t="shared" si="33"/>
        <v>0</v>
      </c>
      <c r="AC138" s="2300">
        <f t="shared" si="33"/>
        <v>0</v>
      </c>
      <c r="AD138" s="1916">
        <f t="shared" si="33"/>
        <v>0</v>
      </c>
      <c r="AE138" s="2300">
        <f t="shared" si="33"/>
        <v>0</v>
      </c>
      <c r="AF138" s="1916">
        <f t="shared" si="33"/>
        <v>0</v>
      </c>
      <c r="AG138" s="2300">
        <f t="shared" si="33"/>
        <v>0</v>
      </c>
      <c r="AH138" s="1916">
        <f t="shared" si="33"/>
        <v>0</v>
      </c>
      <c r="AI138" s="2300">
        <f t="shared" si="33"/>
        <v>0</v>
      </c>
      <c r="AJ138" s="1916">
        <f t="shared" si="33"/>
        <v>0</v>
      </c>
      <c r="AK138" s="2300">
        <f t="shared" si="33"/>
        <v>0</v>
      </c>
      <c r="AL138" s="1916">
        <f t="shared" si="33"/>
        <v>0</v>
      </c>
      <c r="AM138" s="2300">
        <f t="shared" si="33"/>
        <v>0</v>
      </c>
      <c r="AN138" s="1916">
        <f t="shared" si="33"/>
        <v>0</v>
      </c>
      <c r="AO138" s="2300">
        <f t="shared" si="33"/>
        <v>0</v>
      </c>
      <c r="AP138" s="1916">
        <f t="shared" si="33"/>
        <v>0</v>
      </c>
      <c r="AQ138" s="2300">
        <f t="shared" si="33"/>
        <v>0</v>
      </c>
      <c r="AR138" s="1916">
        <f t="shared" si="33"/>
        <v>0</v>
      </c>
      <c r="AS138" s="2300">
        <f t="shared" si="33"/>
        <v>0</v>
      </c>
      <c r="AT138" s="1916">
        <f t="shared" si="33"/>
        <v>0</v>
      </c>
      <c r="AU138" s="2300">
        <f t="shared" si="33"/>
        <v>0</v>
      </c>
      <c r="AV138" s="1916">
        <f t="shared" si="33"/>
        <v>0</v>
      </c>
      <c r="AW138" s="2300">
        <f t="shared" si="33"/>
        <v>0</v>
      </c>
      <c r="AX138" s="1916">
        <f t="shared" si="33"/>
        <v>0</v>
      </c>
      <c r="AY138" s="2300">
        <f t="shared" si="33"/>
        <v>0</v>
      </c>
      <c r="AZ138" s="1916">
        <f t="shared" si="33"/>
        <v>0</v>
      </c>
      <c r="BA138" s="2300">
        <f t="shared" si="33"/>
        <v>0</v>
      </c>
      <c r="BB138" s="1916">
        <f t="shared" si="33"/>
        <v>0</v>
      </c>
      <c r="BC138" s="2300">
        <f t="shared" si="33"/>
        <v>0</v>
      </c>
      <c r="BD138" s="1916">
        <f t="shared" si="33"/>
        <v>0</v>
      </c>
      <c r="BE138" s="2300">
        <f t="shared" si="33"/>
        <v>0</v>
      </c>
      <c r="BF138" s="1916">
        <f t="shared" si="33"/>
        <v>0</v>
      </c>
      <c r="BG138" s="2300">
        <f t="shared" si="33"/>
        <v>0</v>
      </c>
      <c r="BH138" s="1916">
        <f t="shared" si="33"/>
        <v>0</v>
      </c>
      <c r="BI138" s="2300">
        <f t="shared" si="33"/>
        <v>0</v>
      </c>
      <c r="BJ138" s="1916">
        <f t="shared" si="33"/>
        <v>0</v>
      </c>
      <c r="BK138" s="2300">
        <f t="shared" si="31"/>
        <v>0</v>
      </c>
      <c r="BL138" s="2301"/>
      <c r="BM138" s="1921">
        <f t="shared" si="32"/>
        <v>0</v>
      </c>
      <c r="BN138" s="2296"/>
      <c r="BO138" s="1314"/>
      <c r="BP138" s="2299">
        <f>BP121</f>
        <v>0</v>
      </c>
      <c r="BQ138" s="2356"/>
      <c r="BR138" s="1238"/>
      <c r="BS138" s="2332"/>
    </row>
    <row r="139" spans="1:71" outlineLevel="1" x14ac:dyDescent="0.3">
      <c r="A139" s="1070"/>
      <c r="B139" s="2355" t="s">
        <v>1593</v>
      </c>
      <c r="C139" s="1683"/>
      <c r="D139" s="2298"/>
      <c r="E139" s="2299">
        <f t="shared" si="33"/>
        <v>0</v>
      </c>
      <c r="F139" s="1916">
        <f t="shared" si="33"/>
        <v>0</v>
      </c>
      <c r="G139" s="2300">
        <f t="shared" si="33"/>
        <v>0</v>
      </c>
      <c r="H139" s="1916">
        <f t="shared" si="33"/>
        <v>0</v>
      </c>
      <c r="I139" s="2300">
        <f t="shared" si="33"/>
        <v>0</v>
      </c>
      <c r="J139" s="1916">
        <f t="shared" si="33"/>
        <v>0</v>
      </c>
      <c r="K139" s="2300">
        <f t="shared" si="33"/>
        <v>0</v>
      </c>
      <c r="L139" s="1916">
        <f t="shared" si="33"/>
        <v>0</v>
      </c>
      <c r="M139" s="2300">
        <f t="shared" si="33"/>
        <v>0</v>
      </c>
      <c r="N139" s="1916">
        <f t="shared" si="33"/>
        <v>0</v>
      </c>
      <c r="O139" s="2300">
        <f t="shared" si="33"/>
        <v>0</v>
      </c>
      <c r="P139" s="1916">
        <f t="shared" si="33"/>
        <v>0</v>
      </c>
      <c r="Q139" s="2300">
        <f t="shared" si="33"/>
        <v>0</v>
      </c>
      <c r="R139" s="1916">
        <f t="shared" si="33"/>
        <v>0</v>
      </c>
      <c r="S139" s="2300">
        <f t="shared" si="33"/>
        <v>0</v>
      </c>
      <c r="T139" s="1916">
        <f t="shared" si="33"/>
        <v>0</v>
      </c>
      <c r="U139" s="2300">
        <f t="shared" si="33"/>
        <v>0</v>
      </c>
      <c r="V139" s="1916">
        <f t="shared" si="33"/>
        <v>0</v>
      </c>
      <c r="W139" s="2300">
        <f t="shared" si="33"/>
        <v>0</v>
      </c>
      <c r="X139" s="1916">
        <f t="shared" si="33"/>
        <v>0</v>
      </c>
      <c r="Y139" s="2300">
        <f t="shared" si="33"/>
        <v>0</v>
      </c>
      <c r="Z139" s="1916">
        <f t="shared" si="33"/>
        <v>0</v>
      </c>
      <c r="AA139" s="2300">
        <f t="shared" si="33"/>
        <v>0</v>
      </c>
      <c r="AB139" s="1916">
        <f t="shared" si="33"/>
        <v>0</v>
      </c>
      <c r="AC139" s="2300">
        <f t="shared" si="33"/>
        <v>0</v>
      </c>
      <c r="AD139" s="1916">
        <f t="shared" si="33"/>
        <v>0</v>
      </c>
      <c r="AE139" s="2300">
        <f t="shared" si="33"/>
        <v>0</v>
      </c>
      <c r="AF139" s="1916">
        <f t="shared" si="33"/>
        <v>0</v>
      </c>
      <c r="AG139" s="2300">
        <f t="shared" si="33"/>
        <v>0</v>
      </c>
      <c r="AH139" s="1916">
        <f t="shared" si="33"/>
        <v>0</v>
      </c>
      <c r="AI139" s="2300">
        <f t="shared" si="33"/>
        <v>0</v>
      </c>
      <c r="AJ139" s="1916">
        <f t="shared" si="33"/>
        <v>0</v>
      </c>
      <c r="AK139" s="2300">
        <f t="shared" si="33"/>
        <v>0</v>
      </c>
      <c r="AL139" s="1916">
        <f t="shared" si="33"/>
        <v>0</v>
      </c>
      <c r="AM139" s="2300">
        <f t="shared" si="33"/>
        <v>0</v>
      </c>
      <c r="AN139" s="1916">
        <f t="shared" si="33"/>
        <v>0</v>
      </c>
      <c r="AO139" s="2300">
        <f t="shared" si="33"/>
        <v>0</v>
      </c>
      <c r="AP139" s="1916">
        <f t="shared" si="33"/>
        <v>0</v>
      </c>
      <c r="AQ139" s="2300">
        <f t="shared" si="33"/>
        <v>0</v>
      </c>
      <c r="AR139" s="1916">
        <f t="shared" si="33"/>
        <v>0</v>
      </c>
      <c r="AS139" s="2300">
        <f t="shared" si="33"/>
        <v>0</v>
      </c>
      <c r="AT139" s="1916">
        <f t="shared" si="33"/>
        <v>0</v>
      </c>
      <c r="AU139" s="2300">
        <f t="shared" si="33"/>
        <v>0</v>
      </c>
      <c r="AV139" s="1916">
        <f t="shared" si="33"/>
        <v>0</v>
      </c>
      <c r="AW139" s="2300">
        <f t="shared" si="33"/>
        <v>0</v>
      </c>
      <c r="AX139" s="1916">
        <f t="shared" si="33"/>
        <v>0</v>
      </c>
      <c r="AY139" s="2300">
        <f t="shared" si="33"/>
        <v>0</v>
      </c>
      <c r="AZ139" s="1916">
        <f t="shared" si="33"/>
        <v>0</v>
      </c>
      <c r="BA139" s="2300">
        <f t="shared" si="33"/>
        <v>0</v>
      </c>
      <c r="BB139" s="1916">
        <f t="shared" si="33"/>
        <v>0</v>
      </c>
      <c r="BC139" s="2300">
        <f t="shared" si="33"/>
        <v>0</v>
      </c>
      <c r="BD139" s="1916">
        <f t="shared" si="33"/>
        <v>0</v>
      </c>
      <c r="BE139" s="2300">
        <f t="shared" si="33"/>
        <v>0</v>
      </c>
      <c r="BF139" s="1916">
        <f t="shared" si="33"/>
        <v>0</v>
      </c>
      <c r="BG139" s="2300">
        <f t="shared" si="33"/>
        <v>0</v>
      </c>
      <c r="BH139" s="1916">
        <f t="shared" si="33"/>
        <v>0</v>
      </c>
      <c r="BI139" s="2300">
        <f t="shared" si="33"/>
        <v>0</v>
      </c>
      <c r="BJ139" s="1916">
        <f t="shared" si="33"/>
        <v>0</v>
      </c>
      <c r="BK139" s="2300">
        <f t="shared" si="31"/>
        <v>0</v>
      </c>
      <c r="BL139" s="2301"/>
      <c r="BM139" s="1921">
        <f t="shared" si="32"/>
        <v>0</v>
      </c>
      <c r="BN139" s="2296"/>
      <c r="BO139" s="1314"/>
      <c r="BP139" s="1561">
        <f>BP122</f>
        <v>0</v>
      </c>
      <c r="BQ139" s="2357"/>
      <c r="BR139" s="1070"/>
      <c r="BS139" s="1824"/>
    </row>
    <row r="140" spans="1:71" s="1265" customFormat="1" ht="18" x14ac:dyDescent="0.35">
      <c r="A140" s="1260"/>
      <c r="B140" s="1879" t="s">
        <v>1594</v>
      </c>
      <c r="C140" s="1880"/>
      <c r="D140" s="1881"/>
      <c r="E140" s="2358">
        <f>IF($D$2="$ K",Calc!G127,Calc!G127/1000)</f>
        <v>0</v>
      </c>
      <c r="F140" s="1881">
        <f>IF(Calc!AQ127=0,0,IF($D$2="$ M",Calc!CA127/1000,Calc!CA127))</f>
        <v>0</v>
      </c>
      <c r="G140" s="1882">
        <f>IF($D$2="$ K",Calc!H127,Calc!H127/1000)</f>
        <v>0</v>
      </c>
      <c r="H140" s="1881">
        <f>IF(Calc!AR127=0,0,IF($D$2="$ M",Calc!CB127/1000,Calc!CB127))</f>
        <v>0</v>
      </c>
      <c r="I140" s="1882">
        <f>IF($D$2="$ K",Calc!I127,Calc!I127/1000)</f>
        <v>0</v>
      </c>
      <c r="J140" s="1881">
        <f>IF(Calc!AS127=0,0,IF($D$2="$ M",Calc!CC127/1000,Calc!CC127))</f>
        <v>0</v>
      </c>
      <c r="K140" s="1882">
        <f>IF($D$2="$ K",Calc!J127,Calc!J127/1000)</f>
        <v>0</v>
      </c>
      <c r="L140" s="1881">
        <f>IF(Calc!AT127=0,0,IF($D$2="$ M",Calc!CD127/1000,Calc!CD127))</f>
        <v>0</v>
      </c>
      <c r="M140" s="1882">
        <f>IF($D$2="$ K",Calc!K127,Calc!K127/1000)</f>
        <v>0</v>
      </c>
      <c r="N140" s="1881">
        <f>IF(Calc!AU127=0,0,IF($D$2="$ M",Calc!CE127/1000,Calc!CE127))</f>
        <v>0</v>
      </c>
      <c r="O140" s="1882">
        <f>IF($D$2="$ K",Calc!L127,Calc!L127/1000)</f>
        <v>16.667203805107203</v>
      </c>
      <c r="P140" s="1881">
        <f>IF(Calc!AV127=0,0,IF($D$2="$ M",Calc!CF127/1000,Calc!CF127))</f>
        <v>0</v>
      </c>
      <c r="Q140" s="1882">
        <f>IF($D$2="$ K",Calc!M127,Calc!M127/1000)</f>
        <v>38.568729451259294</v>
      </c>
      <c r="R140" s="1881">
        <f>IF(Calc!AW127=0,0,IF($D$2="$ M",Calc!CG127/1000,Calc!CG127))</f>
        <v>0</v>
      </c>
      <c r="S140" s="1882">
        <f>IF($D$2="$ K",Calc!N127,Calc!N127/1000)</f>
        <v>73.523969476654173</v>
      </c>
      <c r="T140" s="1881">
        <f>IF(Calc!AX127=0,0,IF($D$2="$ M",Calc!CH127/1000,Calc!CH127))</f>
        <v>0</v>
      </c>
      <c r="U140" s="1882">
        <f>IF($D$2="$ K",Calc!O127,Calc!O127/1000)</f>
        <v>110.31899500952554</v>
      </c>
      <c r="V140" s="1881">
        <f>IF(Calc!AY127=0,0,IF($D$2="$ M",Calc!CI127/1000,Calc!CI127))</f>
        <v>0</v>
      </c>
      <c r="W140" s="1882">
        <f>IF($D$2="$ K",Calc!P127,Calc!P127/1000)</f>
        <v>137.34105381475933</v>
      </c>
      <c r="X140" s="1881">
        <f>IF(Calc!AZ127=0,0,IF($D$2="$ M",Calc!CJ127/1000,Calc!CJ127))</f>
        <v>0</v>
      </c>
      <c r="Y140" s="1882">
        <f>IF($D$2="$ K",Calc!Q127,Calc!Q127/1000)</f>
        <v>152.86510012769503</v>
      </c>
      <c r="Z140" s="1881">
        <f>IF(Calc!BA127=0,0,IF($D$2="$ M",Calc!CK127/1000,Calc!CK127))</f>
        <v>0</v>
      </c>
      <c r="AA140" s="1882">
        <f>IF($D$2="$ K",Calc!R127,Calc!R127/1000)</f>
        <v>165.74456703901546</v>
      </c>
      <c r="AB140" s="1881">
        <f>IF(Calc!BB127=0,0,IF($D$2="$ M",Calc!CL127/1000,Calc!CL127))</f>
        <v>0</v>
      </c>
      <c r="AC140" s="1882">
        <f>IF($D$2="$ K",Calc!S127,Calc!S127/1000)</f>
        <v>190.18987253450209</v>
      </c>
      <c r="AD140" s="1881">
        <f>IF(Calc!BC127=0,0,IF($D$2="$ M",Calc!CM127/1000,Calc!CM127))</f>
        <v>0</v>
      </c>
      <c r="AE140" s="1882">
        <f>IF($D$2="$ K",Calc!T127,Calc!T127/1000)</f>
        <v>198.82688370596603</v>
      </c>
      <c r="AF140" s="1881">
        <f>IF(Calc!BD127=0,0,IF($D$2="$ M",Calc!CN127/1000,Calc!CN127))</f>
        <v>0</v>
      </c>
      <c r="AG140" s="1882">
        <f>IF($D$2="$ K",Calc!U127,Calc!U127/1000)</f>
        <v>239.30803722850067</v>
      </c>
      <c r="AH140" s="1881">
        <f>IF(Calc!BE127=0,0,IF($D$2="$ M",Calc!CO127/1000,Calc!CO127))</f>
        <v>0</v>
      </c>
      <c r="AI140" s="1882">
        <f>IF($D$2="$ K",Calc!V127,Calc!V127/1000)</f>
        <v>268.53502227712966</v>
      </c>
      <c r="AJ140" s="1881">
        <f>IF(Calc!BF127=0,0,IF($D$2="$ M",Calc!CP127/1000,Calc!CP127))</f>
        <v>0</v>
      </c>
      <c r="AK140" s="1882">
        <f>IF($D$2="$ K",Calc!W127,Calc!W127/1000)</f>
        <v>308.70314307628644</v>
      </c>
      <c r="AL140" s="1881">
        <f>IF(Calc!BG127=0,0,IF($D$2="$ M",Calc!CQ127/1000,Calc!CQ127))</f>
        <v>0</v>
      </c>
      <c r="AM140" s="1882">
        <f>IF($D$2="$ K",Calc!X127,Calc!X127/1000)</f>
        <v>252.78709082071077</v>
      </c>
      <c r="AN140" s="1881">
        <f>IF(Calc!BH127=0,0,IF($D$2="$ M",Calc!CR127/1000,Calc!CR127))</f>
        <v>0</v>
      </c>
      <c r="AO140" s="1882">
        <f>IF($D$2="$ K",Calc!Y127,Calc!Y127/1000)</f>
        <v>0</v>
      </c>
      <c r="AP140" s="1881">
        <f>IF(Calc!BJ127=0,0,IF($D$2="$ M",Calc!CS127/1000,Calc!CS127))</f>
        <v>0</v>
      </c>
      <c r="AQ140" s="1882">
        <f>IF($D$2="$ K",Calc!Z127,Calc!Z127/1000)</f>
        <v>0</v>
      </c>
      <c r="AR140" s="1881">
        <f>IF(Calc!BL127=0,0,IF($D$2="$ M",Calc!CT127/1000,Calc!CT127))</f>
        <v>0</v>
      </c>
      <c r="AS140" s="1882">
        <f>IF($D$2="$ K",Calc!AA127,Calc!AA127/1000)</f>
        <v>0</v>
      </c>
      <c r="AT140" s="1881">
        <f>IF(Calc!BN127=0,0,IF($D$2="$ M",Calc!CU127/1000,Calc!CU127))</f>
        <v>0</v>
      </c>
      <c r="AU140" s="1882">
        <f>IF($D$2="$ K",Calc!AB127,Calc!AB127/1000)</f>
        <v>0</v>
      </c>
      <c r="AV140" s="1881">
        <f>IF(Calc!BP127=0,0,IF($D$2="$ M",Calc!CV127/1000,Calc!CV127))</f>
        <v>0</v>
      </c>
      <c r="AW140" s="1882">
        <f>IF($D$2="$ K",Calc!AC127,Calc!AC127/1000)</f>
        <v>0</v>
      </c>
      <c r="AX140" s="1881">
        <f>IF(Calc!BR127=0,0,IF($D$2="$ M",Calc!CW127/1000,Calc!CW127))</f>
        <v>0</v>
      </c>
      <c r="AY140" s="1882">
        <f>IF($D$2="$ K",Calc!AD127,Calc!AD127/1000)</f>
        <v>0</v>
      </c>
      <c r="AZ140" s="1881">
        <f>IF(Calc!BT127=0,0,IF($D$2="$ M",Calc!CX127/1000,Calc!CX127))</f>
        <v>0</v>
      </c>
      <c r="BA140" s="1882">
        <f>IF($D$2="$ K",Calc!AE127,Calc!AE127/1000)</f>
        <v>0</v>
      </c>
      <c r="BB140" s="1881">
        <f>IF(Calc!BV127=0,0,IF($D$2="$ M",Calc!CY127/1000,Calc!CY127))</f>
        <v>0</v>
      </c>
      <c r="BC140" s="1882">
        <f>IF($D$2="$ K",Calc!AF127,Calc!AF127/1000)</f>
        <v>0</v>
      </c>
      <c r="BD140" s="1881">
        <f>IF(Calc!BX127=0,0,IF($D$2="$ M",Calc!CZ127/1000,Calc!CZ127))</f>
        <v>0</v>
      </c>
      <c r="BE140" s="1882">
        <f>IF($D$2="$ K",Calc!AG127,Calc!AG127/1000)</f>
        <v>0</v>
      </c>
      <c r="BF140" s="1881">
        <f>IF(Calc!BZ127=0,0,IF($D$2="$ M",Calc!DA127/1000,Calc!DA127))</f>
        <v>0</v>
      </c>
      <c r="BG140" s="1882">
        <f>IF($D$2="$ K",Calc!AH127,Calc!AH127/1000)</f>
        <v>0</v>
      </c>
      <c r="BH140" s="1881">
        <f>IF(Calc!CB127=0,0,IF($D$2="$ M",Calc!DB127/1000,Calc!DB127))</f>
        <v>0</v>
      </c>
      <c r="BI140" s="1882">
        <f>IF($D$2="$ K",Calc!AI127,Calc!AI127/1000)</f>
        <v>0</v>
      </c>
      <c r="BJ140" s="1881">
        <f>IF(Calc!BS127=0,0,IF($D$2="$ M",Calc!DC127/1000,Calc!DC127))</f>
        <v>0</v>
      </c>
      <c r="BK140" s="2314">
        <f>IF($D$2="$ K",Calc!AJ127,Calc!AJ127/1000)</f>
        <v>376.41995155730552</v>
      </c>
      <c r="BL140" s="1885"/>
      <c r="BM140" s="1886">
        <f>IF(Calc!BT127=0,0,IF($D$2="$ M",Calc!DD127/1000,Calc!DD127))</f>
        <v>0</v>
      </c>
      <c r="BN140" s="1887"/>
      <c r="BO140" s="2359"/>
      <c r="BP140" s="1884">
        <f>IF($D$2="$ K",Calc!AM127,Calc!AM127/1000)</f>
        <v>1323.3544121929849</v>
      </c>
      <c r="BQ140" s="2360"/>
      <c r="BR140" s="1260"/>
      <c r="BS140" s="2145"/>
    </row>
    <row r="141" spans="1:71" s="1278" customFormat="1" ht="15" customHeight="1" x14ac:dyDescent="0.3">
      <c r="A141" s="1272"/>
      <c r="B141" s="1889" t="s">
        <v>1317</v>
      </c>
      <c r="C141" s="1890"/>
      <c r="D141" s="1891"/>
      <c r="E141" s="1892" t="str">
        <f>IF(Calc!G128=0,"",Calc!G128)</f>
        <v/>
      </c>
      <c r="F141" s="1891"/>
      <c r="G141" s="1893" t="str">
        <f>IF(Calc!H128=0,"",Calc!H128)</f>
        <v/>
      </c>
      <c r="H141" s="1891"/>
      <c r="I141" s="1893" t="str">
        <f>IF(Calc!I128=0,"",Calc!I128)</f>
        <v/>
      </c>
      <c r="J141" s="1891"/>
      <c r="K141" s="1893" t="str">
        <f>IF(Calc!J128=0,"",IF(ABS(Calc!J128)&gt;200%,"",Calc!J128))</f>
        <v/>
      </c>
      <c r="L141" s="1891"/>
      <c r="M141" s="1893" t="str">
        <f>IF(Calc!K128=0,"",IF(ABS(Calc!K128)&gt;200%,"",Calc!K128))</f>
        <v/>
      </c>
      <c r="N141" s="1891"/>
      <c r="O141" s="1894" t="str">
        <f>IF(Calc!L128=0,"",IF(ABS(Calc!L128)&gt;200%,"",Calc!L128))</f>
        <v/>
      </c>
      <c r="P141" s="1891"/>
      <c r="Q141" s="1894">
        <f>IF(Calc!M128=0,"",IF(ABS(Calc!M128)&gt;200%,"",Calc!M128))</f>
        <v>1.3140491891891894</v>
      </c>
      <c r="R141" s="1891"/>
      <c r="S141" s="1893">
        <f>IF(Calc!N128=0,"",IF(ABS(Calc!N128)&gt;200%,"",Calc!N128))</f>
        <v>0.90631038467495006</v>
      </c>
      <c r="T141" s="1891"/>
      <c r="U141" s="1893">
        <f>IF(Calc!O128=0,"",IF(ABS(Calc!O128)&gt;200%,"",Calc!O128))</f>
        <v>0.50044938806731265</v>
      </c>
      <c r="V141" s="1891"/>
      <c r="W141" s="1893">
        <f>IF(Calc!P128=0,"",IF(ABS(Calc!P128)&gt;200%,"",Calc!P128))</f>
        <v>0.24494475138121563</v>
      </c>
      <c r="X141" s="1891"/>
      <c r="Y141" s="1893">
        <f>IF(Calc!Q128=0,"",IF(ABS(Calc!Q128)&gt;200%,"",Calc!Q128))</f>
        <v>0.11303281780460184</v>
      </c>
      <c r="Z141" s="1891"/>
      <c r="AA141" s="1893">
        <f>IF(Calc!R128=0,"",IF(ABS(Calc!R128)&gt;200%,"",Calc!R128))</f>
        <v>8.4253808754003595E-2</v>
      </c>
      <c r="AB141" s="1891"/>
      <c r="AC141" s="1893">
        <f>IF(Calc!S128=0,"",IF(ABS(Calc!S128)&gt;200%,"",Calc!S128))</f>
        <v>0.14748782377724826</v>
      </c>
      <c r="AD141" s="1891"/>
      <c r="AE141" s="1893">
        <f>IF(Calc!T128=0,"",IF(ABS(Calc!T128)&gt;200%,"",Calc!T128))</f>
        <v>4.541257142857124E-2</v>
      </c>
      <c r="AF141" s="1891"/>
      <c r="AG141" s="1893">
        <f>IF(Calc!U128=0,"",IF(ABS(Calc!U128)&gt;200%,"",Calc!U128))</f>
        <v>0.20359999999999981</v>
      </c>
      <c r="AH141" s="1891"/>
      <c r="AI141" s="1893">
        <f>IF(Calc!V128=0,"",IF(ABS(Calc!V128)&gt;200%,"",Calc!V128))</f>
        <v>0.12213123047230502</v>
      </c>
      <c r="AJ141" s="1891"/>
      <c r="AK141" s="1893">
        <f>IF(Calc!W128=0,"",IF(ABS(Calc!W128)&gt;200%,"",Calc!W128))</f>
        <v>0.14958242861038459</v>
      </c>
      <c r="AL141" s="1891"/>
      <c r="AM141" s="1893">
        <f>IF(Calc!X128=0,"",IF(ABS(Calc!X128)&gt;200%,"",Calc!X128))</f>
        <v>-0.18113211190000003</v>
      </c>
      <c r="AN141" s="1891"/>
      <c r="AO141" s="1893">
        <f>IF(Calc!Y128=0,"",IF(ABS(Calc!Y128)&gt;200%,"",Calc!Y128))</f>
        <v>-1</v>
      </c>
      <c r="AP141" s="1891"/>
      <c r="AQ141" s="1893" t="str">
        <f>IF(Calc!Z128=0,"",IF(ABS(Calc!Z128)&gt;200%,"",Calc!Z128))</f>
        <v/>
      </c>
      <c r="AR141" s="1891"/>
      <c r="AS141" s="1893" t="str">
        <f>IF(Calc!AA128=0,"",IF(ABS(Calc!AA128)&gt;200%,"",Calc!AA128))</f>
        <v/>
      </c>
      <c r="AT141" s="1891"/>
      <c r="AU141" s="1893" t="str">
        <f>IF(Calc!AB128=0,"",IF(ABS(Calc!AB128)&gt;200%,"",Calc!AB128))</f>
        <v/>
      </c>
      <c r="AV141" s="1891"/>
      <c r="AW141" s="1893" t="str">
        <f>IF(Calc!AC128=0,"",IF(ABS(Calc!AC128)&gt;200%,"",Calc!AC128))</f>
        <v/>
      </c>
      <c r="AX141" s="1891"/>
      <c r="AY141" s="1893" t="str">
        <f>IF(Calc!AD128=0,"",IF(ABS(Calc!AD128)&gt;200%,"",Calc!AD128))</f>
        <v/>
      </c>
      <c r="AZ141" s="1891"/>
      <c r="BA141" s="1893" t="str">
        <f>IF(Calc!AE128=0,"",IF(ABS(Calc!AE128)&gt;200%,"",Calc!AE128))</f>
        <v/>
      </c>
      <c r="BB141" s="1891"/>
      <c r="BC141" s="1893" t="str">
        <f>IF(Calc!AF128=0,"",IF(ABS(Calc!AF128)&gt;200%,"",Calc!AF128))</f>
        <v/>
      </c>
      <c r="BD141" s="1891"/>
      <c r="BE141" s="1893" t="str">
        <f>IF(Calc!AG128=0,"",IF(ABS(Calc!AG128)&gt;200%,"",Calc!AG128))</f>
        <v/>
      </c>
      <c r="BF141" s="1891"/>
      <c r="BG141" s="1893" t="str">
        <f>IF(Calc!AH128=0,"",IF(ABS(Calc!AH128)&gt;200%,"",Calc!AH128))</f>
        <v/>
      </c>
      <c r="BH141" s="1891"/>
      <c r="BI141" s="1893" t="str">
        <f>IF(Calc!AI128=0,"",IF(ABS(Calc!AI128)&gt;200%,"",Calc!AI128))</f>
        <v/>
      </c>
      <c r="BJ141" s="1891"/>
      <c r="BK141" s="2361">
        <f>IF(ABS(Calc!AJ128)&gt;200%,"",Calc!AJ128)</f>
        <v>0.6942769690809576</v>
      </c>
      <c r="BL141" s="1896" t="s">
        <v>1595</v>
      </c>
      <c r="BM141" s="1897"/>
      <c r="BN141" s="1272"/>
      <c r="BO141" s="1238"/>
      <c r="BP141" s="1898"/>
      <c r="BQ141" s="2362"/>
      <c r="BR141" s="1272"/>
      <c r="BS141" s="2145"/>
    </row>
    <row r="142" spans="1:71" s="1278" customFormat="1" ht="15" customHeight="1" x14ac:dyDescent="0.3">
      <c r="A142" s="1272"/>
      <c r="B142" s="1889" t="str">
        <f>"   Category Share "&amp;Calc!C129</f>
        <v xml:space="preserve">   Category Share Dollar ($)</v>
      </c>
      <c r="C142" s="1890"/>
      <c r="D142" s="1891"/>
      <c r="E142" s="1892" t="str">
        <f>IF(Calc!G129=0,"",Calc!G129)</f>
        <v/>
      </c>
      <c r="F142" s="1891"/>
      <c r="G142" s="1894" t="str">
        <f>IF(Calc!H129=0,"",Calc!H129)</f>
        <v/>
      </c>
      <c r="H142" s="1891"/>
      <c r="I142" s="1894" t="str">
        <f>IF(Calc!I129=0,"",Calc!I129)</f>
        <v/>
      </c>
      <c r="J142" s="1891"/>
      <c r="K142" s="1894" t="str">
        <f>IF(Calc!J129=0,"",Calc!J129)</f>
        <v/>
      </c>
      <c r="L142" s="1891"/>
      <c r="M142" s="1894" t="str">
        <f>IF(Calc!K129=0,"",Calc!K129)</f>
        <v/>
      </c>
      <c r="N142" s="1891"/>
      <c r="O142" s="1894" t="str">
        <f>IF(Calc!L129=0,"",Calc!L129)</f>
        <v/>
      </c>
      <c r="P142" s="1891"/>
      <c r="Q142" s="1894" t="str">
        <f>IF(Calc!M129=0,"",Calc!M129)</f>
        <v/>
      </c>
      <c r="R142" s="1891"/>
      <c r="S142" s="1894" t="str">
        <f>IF(Calc!N129=0,"",Calc!N129)</f>
        <v/>
      </c>
      <c r="T142" s="1891"/>
      <c r="U142" s="1894" t="str">
        <f>IF(Calc!O129=0,"",Calc!O129)</f>
        <v/>
      </c>
      <c r="V142" s="1891"/>
      <c r="W142" s="1894" t="str">
        <f>IF(Calc!P129=0,"",Calc!P129)</f>
        <v/>
      </c>
      <c r="X142" s="1891"/>
      <c r="Y142" s="1894" t="str">
        <f>IF(Calc!Q129=0,"",Calc!Q129)</f>
        <v/>
      </c>
      <c r="Z142" s="1891"/>
      <c r="AA142" s="1894" t="str">
        <f>IF(Calc!R129=0,"",Calc!R129)</f>
        <v/>
      </c>
      <c r="AB142" s="1891"/>
      <c r="AC142" s="1894" t="str">
        <f>IF(Calc!S129=0,"",Calc!S129)</f>
        <v/>
      </c>
      <c r="AD142" s="1891"/>
      <c r="AE142" s="1894" t="str">
        <f>IF(Calc!T129=0,"",Calc!T129)</f>
        <v/>
      </c>
      <c r="AF142" s="1891"/>
      <c r="AG142" s="1894" t="str">
        <f>IF(Calc!U129=0,"",Calc!U129)</f>
        <v/>
      </c>
      <c r="AH142" s="1891"/>
      <c r="AI142" s="1894" t="str">
        <f>IF(Calc!V129=0,"",Calc!V129)</f>
        <v/>
      </c>
      <c r="AJ142" s="1891"/>
      <c r="AK142" s="1894" t="str">
        <f>IF(Calc!W129=0,"",Calc!W129)</f>
        <v/>
      </c>
      <c r="AL142" s="1891"/>
      <c r="AM142" s="1894" t="str">
        <f>IF(Calc!X129=0,"",Calc!X129)</f>
        <v/>
      </c>
      <c r="AN142" s="1891"/>
      <c r="AO142" s="1894" t="str">
        <f>IF(Calc!Y129=0,"",Calc!Y129)</f>
        <v/>
      </c>
      <c r="AP142" s="1891"/>
      <c r="AQ142" s="1894" t="str">
        <f>IF(Calc!Z129=0,"",Calc!Z129)</f>
        <v/>
      </c>
      <c r="AR142" s="1891"/>
      <c r="AS142" s="1894" t="str">
        <f>IF(Calc!AA129=0,"",Calc!AA129)</f>
        <v/>
      </c>
      <c r="AT142" s="1891"/>
      <c r="AU142" s="1894" t="str">
        <f>IF(Calc!AB129=0,"",Calc!AB129)</f>
        <v/>
      </c>
      <c r="AV142" s="1891"/>
      <c r="AW142" s="1894" t="str">
        <f>IF(Calc!AC129=0,"",Calc!AC129)</f>
        <v/>
      </c>
      <c r="AX142" s="1891"/>
      <c r="AY142" s="1894" t="str">
        <f>IF(Calc!AD129=0,"",Calc!AD129)</f>
        <v/>
      </c>
      <c r="AZ142" s="1891"/>
      <c r="BA142" s="1894" t="str">
        <f>IF(Calc!AE129=0,"",Calc!AE129)</f>
        <v/>
      </c>
      <c r="BB142" s="1891"/>
      <c r="BC142" s="1894" t="str">
        <f>IF(Calc!AF129=0,"",Calc!AF129)</f>
        <v/>
      </c>
      <c r="BD142" s="1891"/>
      <c r="BE142" s="1894" t="str">
        <f>IF(Calc!AG129=0,"",Calc!AG129)</f>
        <v/>
      </c>
      <c r="BF142" s="1891"/>
      <c r="BG142" s="1894" t="str">
        <f>IF(Calc!AH129=0,"",Calc!AH129)</f>
        <v/>
      </c>
      <c r="BH142" s="1891"/>
      <c r="BI142" s="1894" t="str">
        <f>IF(Calc!AI129=0,"",Calc!AI129)</f>
        <v/>
      </c>
      <c r="BJ142" s="1891"/>
      <c r="BK142" s="2363" t="str">
        <f>IF(Calc!AJ129=0,"",Calc!AJ129)</f>
        <v/>
      </c>
      <c r="BL142" s="1900"/>
      <c r="BM142" s="1897"/>
      <c r="BN142" s="1272"/>
      <c r="BO142" s="1238"/>
      <c r="BP142" s="1901"/>
      <c r="BQ142" s="2362"/>
      <c r="BR142" s="1272"/>
      <c r="BS142" s="2145"/>
    </row>
    <row r="143" spans="1:71" s="1265" customFormat="1" ht="18" x14ac:dyDescent="0.3">
      <c r="A143" s="1260"/>
      <c r="B143" s="2364" t="s">
        <v>1321</v>
      </c>
      <c r="C143" s="2365">
        <f>IF($D$2="$ K",Calc!F131,Calc!F131/1000)</f>
        <v>0</v>
      </c>
      <c r="D143" s="2292">
        <f>IF(Calc!AP131=0,0,IF($D$2="$ M",Calc!BZ131/1000,Calc!BZ131))</f>
        <v>0</v>
      </c>
      <c r="E143" s="2366">
        <f>IF($D$2="$ K",Calc!G131,Calc!G131/1000)</f>
        <v>0</v>
      </c>
      <c r="F143" s="2292">
        <f>IF(Calc!AQ131=0,0,IF($D$2="$ M",Calc!CA131/1000,Calc!CA131))</f>
        <v>0</v>
      </c>
      <c r="G143" s="2367">
        <f>IF($D$2="$ K",Calc!H131,Calc!H131/1000)</f>
        <v>0</v>
      </c>
      <c r="H143" s="2292">
        <f>IF(Calc!AR131=0,0,IF($D$2="$ M",Calc!CB131/1000,Calc!CB131))</f>
        <v>0</v>
      </c>
      <c r="I143" s="2367">
        <f>IF($D$2="$ K",Calc!I131,Calc!I131/1000)</f>
        <v>0</v>
      </c>
      <c r="J143" s="2292">
        <f>IF(Calc!AS131=0,0,IF($D$2="$ M",Calc!CC131/1000,Calc!CC131))</f>
        <v>0</v>
      </c>
      <c r="K143" s="2367">
        <f>IF($D$2="$ K",Calc!J131,Calc!J131/1000)</f>
        <v>0</v>
      </c>
      <c r="L143" s="2292">
        <f>IF(Calc!AT131=0,0,IF($D$2="$ M",Calc!CD131/1000,Calc!CD131))</f>
        <v>0</v>
      </c>
      <c r="M143" s="2367">
        <f>IF($D$2="$ K",Calc!K131,Calc!K131/1000)</f>
        <v>0</v>
      </c>
      <c r="N143" s="2292">
        <f>IF(Calc!AU131=0,0,IF($D$2="$ M",Calc!CE131/1000,Calc!CE131))</f>
        <v>0</v>
      </c>
      <c r="O143" s="2367">
        <f>IF($D$2="$ K",Calc!L131,Calc!L131/1000)</f>
        <v>4.9100681479910397</v>
      </c>
      <c r="P143" s="2292">
        <f>IF(Calc!AV131=0,0,IF($D$2="$ M",Calc!CF131/1000,Calc!CF131))</f>
        <v>0</v>
      </c>
      <c r="Q143" s="2367">
        <f>IF($D$2="$ K",Calc!M131,Calc!M131/1000)</f>
        <v>11.698892563884183</v>
      </c>
      <c r="R143" s="2292">
        <f>IF(Calc!AW131=0,0,IF($D$2="$ M",Calc!CG131/1000,Calc!CG131))</f>
        <v>0</v>
      </c>
      <c r="S143" s="2367">
        <f>IF($D$2="$ K",Calc!N131,Calc!N131/1000)</f>
        <v>22.368383574590457</v>
      </c>
      <c r="T143" s="2292">
        <f>IF(Calc!AX131=0,0,IF($D$2="$ M",Calc!CH131/1000,Calc!CH131))</f>
        <v>0</v>
      </c>
      <c r="U143" s="2367">
        <f>IF($D$2="$ K",Calc!O131,Calc!O131/1000)</f>
        <v>33.659483422105239</v>
      </c>
      <c r="V143" s="2292">
        <f>IF(Calc!AY131=0,0,IF($D$2="$ M",Calc!CI131/1000,Calc!CI131))</f>
        <v>0</v>
      </c>
      <c r="W143" s="2367">
        <f>IF($D$2="$ K",Calc!P131,Calc!P131/1000)</f>
        <v>42.194943300629532</v>
      </c>
      <c r="X143" s="2292">
        <f>IF(Calc!AZ131=0,0,IF($D$2="$ M",Calc!CJ131/1000,Calc!CJ131))</f>
        <v>0</v>
      </c>
      <c r="Y143" s="2367">
        <f>IF($D$2="$ K",Calc!Q131,Calc!Q131/1000)</f>
        <v>47.128704363602353</v>
      </c>
      <c r="Z143" s="2292">
        <f>IF(Calc!BA131=0,0,IF($D$2="$ M",Calc!CK131/1000,Calc!CK131))</f>
        <v>0</v>
      </c>
      <c r="AA143" s="2367">
        <f>IF($D$2="$ K",Calc!R131,Calc!R131/1000)</f>
        <v>53.019586338411656</v>
      </c>
      <c r="AB143" s="2292">
        <f>IF(Calc!BB131=0,0,IF($D$2="$ M",Calc!CL131/1000,Calc!CL131))</f>
        <v>0</v>
      </c>
      <c r="AC143" s="2367">
        <f>IF($D$2="$ K",Calc!S131,Calc!S131/1000)</f>
        <v>59.927682727453757</v>
      </c>
      <c r="AD143" s="2292">
        <f>IF(Calc!BC131=0,0,IF($D$2="$ M",Calc!CM131/1000,Calc!CM131))</f>
        <v>0</v>
      </c>
      <c r="AE143" s="2367">
        <f>IF($D$2="$ K",Calc!T131,Calc!T131/1000)</f>
        <v>64.900019454034961</v>
      </c>
      <c r="AF143" s="2292">
        <f>IF(Calc!BD131=0,0,IF($D$2="$ M",Calc!CN131/1000,Calc!CN131))</f>
        <v>0</v>
      </c>
      <c r="AG143" s="2367">
        <f>IF($D$2="$ K",Calc!U131,Calc!U131/1000)</f>
        <v>73.945751130874427</v>
      </c>
      <c r="AH143" s="2292">
        <f>IF(Calc!BE131=0,0,IF($D$2="$ M",Calc!CO131/1000,Calc!CO131))</f>
        <v>0</v>
      </c>
      <c r="AI143" s="2367">
        <f>IF($D$2="$ K",Calc!V131,Calc!V131/1000)</f>
        <v>86.050724936225578</v>
      </c>
      <c r="AJ143" s="2292">
        <f>IF(Calc!BF131=0,0,IF($D$2="$ M",Calc!CP131/1000,Calc!CP131))</f>
        <v>0</v>
      </c>
      <c r="AK143" s="2367">
        <f>IF($D$2="$ K",Calc!W131,Calc!W131/1000)</f>
        <v>99.177233202950077</v>
      </c>
      <c r="AL143" s="2292">
        <f>IF(Calc!BG131=0,0,IF($D$2="$ M",Calc!CQ131/1000,Calc!CQ131))</f>
        <v>0</v>
      </c>
      <c r="AM143" s="2367">
        <f>IF($D$2="$ K",Calc!X131,Calc!X131/1000)</f>
        <v>0</v>
      </c>
      <c r="AN143" s="2292">
        <f>IF(Calc!BH131=0,0,IF($D$2="$ M",Calc!CR131/1000,Calc!CR131))</f>
        <v>0</v>
      </c>
      <c r="AO143" s="2367">
        <f>IF($D$2="$ K",Calc!Y131,Calc!Y131/1000)</f>
        <v>0</v>
      </c>
      <c r="AP143" s="2292">
        <f>IF(Calc!BJ131=0,0,IF($D$2="$ M",Calc!CS131/1000,Calc!CS131))</f>
        <v>0</v>
      </c>
      <c r="AQ143" s="2367">
        <f>IF($D$2="$ K",Calc!Z131,Calc!Z131/1000)</f>
        <v>0</v>
      </c>
      <c r="AR143" s="2292">
        <f>IF(Calc!BL131=0,0,IF($D$2="$ M",Calc!CT131/1000,Calc!CT131))</f>
        <v>0</v>
      </c>
      <c r="AS143" s="2367">
        <f>IF($D$2="$ K",Calc!AA131,Calc!AA131/1000)</f>
        <v>0</v>
      </c>
      <c r="AT143" s="2292">
        <f>IF(Calc!BN131=0,0,IF($D$2="$ M",Calc!CU131/1000,Calc!CU131))</f>
        <v>0</v>
      </c>
      <c r="AU143" s="2367">
        <f>IF($D$2="$ K",Calc!AB131,Calc!AB131/1000)</f>
        <v>0</v>
      </c>
      <c r="AV143" s="2292">
        <f>IF(Calc!BP131=0,0,IF($D$2="$ M",Calc!CV131/1000,Calc!CV131))</f>
        <v>0</v>
      </c>
      <c r="AW143" s="2367">
        <f>IF($D$2="$ K",Calc!AC131,Calc!AC131/1000)</f>
        <v>0</v>
      </c>
      <c r="AX143" s="2292">
        <f>IF(Calc!BR131=0,0,IF($D$2="$ M",Calc!CW131/1000,Calc!CW131))</f>
        <v>0</v>
      </c>
      <c r="AY143" s="2367">
        <f>IF($D$2="$ K",Calc!AD131,Calc!AD131/1000)</f>
        <v>0</v>
      </c>
      <c r="AZ143" s="2292">
        <f>IF(Calc!BT131=0,0,IF($D$2="$ M",Calc!CX131/1000,Calc!CX131))</f>
        <v>0</v>
      </c>
      <c r="BA143" s="2367">
        <f>IF($D$2="$ K",Calc!AE131,Calc!AE131/1000)</f>
        <v>0</v>
      </c>
      <c r="BB143" s="2292">
        <f>IF(Calc!BV131=0,0,IF($D$2="$ M",Calc!CY131/1000,Calc!CY131))</f>
        <v>0</v>
      </c>
      <c r="BC143" s="2367">
        <f>IF($D$2="$ K",Calc!AF131,Calc!AF131/1000)</f>
        <v>0</v>
      </c>
      <c r="BD143" s="2292">
        <f>IF(Calc!BX131=0,0,IF($D$2="$ M",Calc!CZ131/1000,Calc!CZ131))</f>
        <v>0</v>
      </c>
      <c r="BE143" s="2367">
        <f>IF($D$2="$ K",Calc!AG131,Calc!AG131/1000)</f>
        <v>0</v>
      </c>
      <c r="BF143" s="2292">
        <f>IF(Calc!BZ131=0,0,IF($D$2="$ M",Calc!DA131/1000,Calc!DA131))</f>
        <v>0</v>
      </c>
      <c r="BG143" s="2367">
        <f>IF($D$2="$ K",Calc!AH131,Calc!AH131/1000)</f>
        <v>0</v>
      </c>
      <c r="BH143" s="2292">
        <f>IF(Calc!CB131=0,0,IF($D$2="$ M",Calc!DB131/1000,Calc!DB131))</f>
        <v>0</v>
      </c>
      <c r="BI143" s="2367">
        <f>IF($D$2="$ K",Calc!AI131,Calc!AI131/1000)</f>
        <v>0</v>
      </c>
      <c r="BJ143" s="2292">
        <f>IF(Calc!BS131=0,0,IF($D$2="$ M",Calc!DC131/1000,Calc!DC131))</f>
        <v>0</v>
      </c>
      <c r="BK143" s="2368">
        <f>IF($D$2="$ K",Calc!AJ131,Calc!AJ131/1000)</f>
        <v>114.83177100920045</v>
      </c>
      <c r="BL143" s="1920">
        <f>Calc!AK131</f>
        <v>0.30506292382782657</v>
      </c>
      <c r="BM143" s="2295">
        <f>IF(Calc!BT131=0,0,IF($D$2="$ M",Calc!DD131/1000,Calc!DD131))</f>
        <v>0</v>
      </c>
      <c r="BN143" s="1260"/>
      <c r="BO143" s="2369"/>
      <c r="BP143" s="2370">
        <f>IF($D$2="$ K",Calc!AM131,Calc!AM131/1000)</f>
        <v>413.75351502357762</v>
      </c>
      <c r="BQ143" s="2371">
        <f>BP143/$BP$140</f>
        <v>0.31265510675853619</v>
      </c>
      <c r="BR143" s="1260"/>
      <c r="BS143" s="2145"/>
    </row>
    <row r="144" spans="1:71" s="1265" customFormat="1" ht="18" x14ac:dyDescent="0.3">
      <c r="A144" s="1260"/>
      <c r="B144" s="1297" t="s">
        <v>1322</v>
      </c>
      <c r="C144" s="1915">
        <f>IF($D$2="$ K",Calc!F132,Calc!F132/1000)</f>
        <v>0</v>
      </c>
      <c r="D144" s="1916">
        <f>IF(Calc!AP132=0,0,IF($D$2="$ M",Calc!BZ132/1000,Calc!BZ132))</f>
        <v>0</v>
      </c>
      <c r="E144" s="1917">
        <f>IF($D$2="$ K",Calc!G132,Calc!G132/1000)</f>
        <v>0</v>
      </c>
      <c r="F144" s="1916">
        <f>IF(Calc!AQ132=0,0,IF($D$2="$ M",Calc!CA132/1000,Calc!CA132))</f>
        <v>0</v>
      </c>
      <c r="G144" s="1918">
        <f>IF($D$2="$ K",Calc!H132,Calc!H132/1000)</f>
        <v>0</v>
      </c>
      <c r="H144" s="1916">
        <f>IF(Calc!AR132=0,0,IF($D$2="$ M",Calc!CB132/1000,Calc!CB132))</f>
        <v>0</v>
      </c>
      <c r="I144" s="1918">
        <f>IF($D$2="$ K",Calc!I132,Calc!I132/1000)</f>
        <v>0</v>
      </c>
      <c r="J144" s="1916">
        <f>IF(Calc!AS132=0,0,IF($D$2="$ M",Calc!CC132/1000,Calc!CC132))</f>
        <v>0</v>
      </c>
      <c r="K144" s="1918">
        <f>IF($D$2="$ K",Calc!J132,Calc!J132/1000)</f>
        <v>0</v>
      </c>
      <c r="L144" s="1916">
        <f>IF(Calc!AT132=0,0,IF($D$2="$ M",Calc!CD132/1000,Calc!CD132))</f>
        <v>0</v>
      </c>
      <c r="M144" s="1918">
        <f>IF($D$2="$ K",Calc!K132,Calc!K132/1000)</f>
        <v>0</v>
      </c>
      <c r="N144" s="1916">
        <f>IF(Calc!AU132=0,0,IF($D$2="$ M",Calc!CE132/1000,Calc!CE132))</f>
        <v>0</v>
      </c>
      <c r="O144" s="1918">
        <f>IF($D$2="$ K",Calc!L132,Calc!L132/1000)</f>
        <v>0</v>
      </c>
      <c r="P144" s="1916">
        <f>IF(Calc!AV132=0,0,IF($D$2="$ M",Calc!CF132/1000,Calc!CF132))</f>
        <v>0</v>
      </c>
      <c r="Q144" s="1918">
        <f>IF($D$2="$ K",Calc!M132,Calc!M132/1000)</f>
        <v>0</v>
      </c>
      <c r="R144" s="1916">
        <f>IF(Calc!AW132=0,0,IF($D$2="$ M",Calc!CG132/1000,Calc!CG132))</f>
        <v>0</v>
      </c>
      <c r="S144" s="1918">
        <f>IF($D$2="$ K",Calc!N132,Calc!N132/1000)</f>
        <v>0</v>
      </c>
      <c r="T144" s="1916">
        <f>IF(Calc!AX132=0,0,IF($D$2="$ M",Calc!CH132/1000,Calc!CH132))</f>
        <v>0</v>
      </c>
      <c r="U144" s="1918">
        <f>IF($D$2="$ K",Calc!O132,Calc!O132/1000)</f>
        <v>0</v>
      </c>
      <c r="V144" s="1916">
        <f>IF(Calc!AY132=0,0,IF($D$2="$ M",Calc!CI132/1000,Calc!CI132))</f>
        <v>0</v>
      </c>
      <c r="W144" s="1918">
        <f>IF($D$2="$ K",Calc!P132,Calc!P132/1000)</f>
        <v>0</v>
      </c>
      <c r="X144" s="1916">
        <f>IF(Calc!AZ132=0,0,IF($D$2="$ M",Calc!CJ132/1000,Calc!CJ132))</f>
        <v>0</v>
      </c>
      <c r="Y144" s="1918">
        <f>IF($D$2="$ K",Calc!Q132,Calc!Q132/1000)</f>
        <v>0</v>
      </c>
      <c r="Z144" s="1916">
        <f>IF(Calc!BA132=0,0,IF($D$2="$ M",Calc!CK132/1000,Calc!CK132))</f>
        <v>0</v>
      </c>
      <c r="AA144" s="1918">
        <f>IF($D$2="$ K",Calc!R132,Calc!R132/1000)</f>
        <v>0</v>
      </c>
      <c r="AB144" s="1916">
        <f>IF(Calc!BB132=0,0,IF($D$2="$ M",Calc!CL132/1000,Calc!CL132))</f>
        <v>0</v>
      </c>
      <c r="AC144" s="1918">
        <f>IF($D$2="$ K",Calc!S132,Calc!S132/1000)</f>
        <v>0</v>
      </c>
      <c r="AD144" s="1916">
        <f>IF(Calc!BC132=0,0,IF($D$2="$ M",Calc!CM132/1000,Calc!CM132))</f>
        <v>0</v>
      </c>
      <c r="AE144" s="1918">
        <f>IF($D$2="$ K",Calc!T132,Calc!T132/1000)</f>
        <v>0</v>
      </c>
      <c r="AF144" s="1916">
        <f>IF(Calc!BD132=0,0,IF($D$2="$ M",Calc!CN132/1000,Calc!CN132))</f>
        <v>0</v>
      </c>
      <c r="AG144" s="1918">
        <f>IF($D$2="$ K",Calc!U132,Calc!U132/1000)</f>
        <v>0</v>
      </c>
      <c r="AH144" s="1916">
        <f>IF(Calc!BE132=0,0,IF($D$2="$ M",Calc!CO132/1000,Calc!CO132))</f>
        <v>0</v>
      </c>
      <c r="AI144" s="1918">
        <f>IF($D$2="$ K",Calc!V132,Calc!V132/1000)</f>
        <v>0</v>
      </c>
      <c r="AJ144" s="1916">
        <f>IF(Calc!BF132=0,0,IF($D$2="$ M",Calc!CP132/1000,Calc!CP132))</f>
        <v>0</v>
      </c>
      <c r="AK144" s="1918">
        <f>IF($D$2="$ K",Calc!W132,Calc!W132/1000)</f>
        <v>0</v>
      </c>
      <c r="AL144" s="1916">
        <f>IF(Calc!BG132=0,0,IF($D$2="$ M",Calc!CQ132/1000,Calc!CQ132))</f>
        <v>0</v>
      </c>
      <c r="AM144" s="1918">
        <f>IF($D$2="$ K",Calc!X132,Calc!X132/1000)</f>
        <v>0</v>
      </c>
      <c r="AN144" s="1916">
        <f>IF(Calc!BH132=0,0,IF($D$2="$ M",Calc!CR132/1000,Calc!CR132))</f>
        <v>0</v>
      </c>
      <c r="AO144" s="1918">
        <f>IF($D$2="$ K",Calc!Y132,Calc!Y132/1000)</f>
        <v>0</v>
      </c>
      <c r="AP144" s="1916">
        <f>IF(Calc!BJ132=0,0,IF($D$2="$ M",Calc!CS132/1000,Calc!CS132))</f>
        <v>0</v>
      </c>
      <c r="AQ144" s="1918">
        <f>IF($D$2="$ K",Calc!Z132,Calc!Z132/1000)</f>
        <v>0</v>
      </c>
      <c r="AR144" s="1916">
        <f>IF(Calc!BL132=0,0,IF($D$2="$ M",Calc!CT132/1000,Calc!CT132))</f>
        <v>0</v>
      </c>
      <c r="AS144" s="1918">
        <f>IF($D$2="$ K",Calc!AA132,Calc!AA132/1000)</f>
        <v>0</v>
      </c>
      <c r="AT144" s="1916">
        <f>IF(Calc!BN132=0,0,IF($D$2="$ M",Calc!CU132/1000,Calc!CU132))</f>
        <v>0</v>
      </c>
      <c r="AU144" s="1918">
        <f>IF($D$2="$ K",Calc!AB132,Calc!AB132/1000)</f>
        <v>0</v>
      </c>
      <c r="AV144" s="1916">
        <f>IF(Calc!BP132=0,0,IF($D$2="$ M",Calc!CV132/1000,Calc!CV132))</f>
        <v>0</v>
      </c>
      <c r="AW144" s="1918">
        <f>IF($D$2="$ K",Calc!AC132,Calc!AC132/1000)</f>
        <v>0</v>
      </c>
      <c r="AX144" s="1916">
        <f>IF(Calc!BR132=0,0,IF($D$2="$ M",Calc!CW132/1000,Calc!CW132))</f>
        <v>0</v>
      </c>
      <c r="AY144" s="1918">
        <f>IF($D$2="$ K",Calc!AD132,Calc!AD132/1000)</f>
        <v>0</v>
      </c>
      <c r="AZ144" s="1916">
        <f>IF(Calc!BT132=0,0,IF($D$2="$ M",Calc!CX132/1000,Calc!CX132))</f>
        <v>0</v>
      </c>
      <c r="BA144" s="1918">
        <f>IF($D$2="$ K",Calc!AE132,Calc!AE132/1000)</f>
        <v>0</v>
      </c>
      <c r="BB144" s="1916">
        <f>IF(Calc!BV132=0,0,IF($D$2="$ M",Calc!CY132/1000,Calc!CY132))</f>
        <v>0</v>
      </c>
      <c r="BC144" s="1918">
        <f>IF($D$2="$ K",Calc!AF132,Calc!AF132/1000)</f>
        <v>0</v>
      </c>
      <c r="BD144" s="1916">
        <f>IF(Calc!BX132=0,0,IF($D$2="$ M",Calc!CZ132/1000,Calc!CZ132))</f>
        <v>0</v>
      </c>
      <c r="BE144" s="1918">
        <f>IF($D$2="$ K",Calc!AG132,Calc!AG132/1000)</f>
        <v>0</v>
      </c>
      <c r="BF144" s="1916">
        <f>IF(Calc!BZ132=0,0,IF($D$2="$ M",Calc!DA132/1000,Calc!DA132))</f>
        <v>0</v>
      </c>
      <c r="BG144" s="1918">
        <f>IF($D$2="$ K",Calc!AH132,Calc!AH132/1000)</f>
        <v>0</v>
      </c>
      <c r="BH144" s="1916">
        <f>IF(Calc!CB132=0,0,IF($D$2="$ M",Calc!DB132/1000,Calc!DB132))</f>
        <v>0</v>
      </c>
      <c r="BI144" s="1918">
        <f>IF($D$2="$ K",Calc!AI132,Calc!AI132/1000)</f>
        <v>0</v>
      </c>
      <c r="BJ144" s="1916">
        <f>IF(Calc!BS132=0,0,IF($D$2="$ M",Calc!DC132/1000,Calc!DC132))</f>
        <v>0</v>
      </c>
      <c r="BK144" s="2372">
        <f>IF($D$2="$ K",Calc!AJ132,Calc!AJ132/1000)</f>
        <v>0</v>
      </c>
      <c r="BL144" s="1922">
        <f>Calc!AK132</f>
        <v>0</v>
      </c>
      <c r="BM144" s="1921">
        <f>IF(Calc!BT132=0,0,IF($D$2="$ M",Calc!DD132/1000,Calc!DD132))</f>
        <v>0</v>
      </c>
      <c r="BN144" s="1260"/>
      <c r="BO144" s="2373"/>
      <c r="BP144" s="1919">
        <f>IF($D$2="$ K",Calc!AM132,Calc!AM132/1000)</f>
        <v>0</v>
      </c>
      <c r="BQ144" s="2374">
        <f>BP144/$BP$140</f>
        <v>0</v>
      </c>
      <c r="BR144" s="1260"/>
      <c r="BS144" s="2145"/>
    </row>
    <row r="145" spans="1:71" s="1265" customFormat="1" ht="18" x14ac:dyDescent="0.3">
      <c r="A145" s="1260"/>
      <c r="B145" s="1924" t="s">
        <v>286</v>
      </c>
      <c r="C145" s="1925">
        <f>IF($D$2="$ K",Calc!F133,Calc!F133/1000)</f>
        <v>0</v>
      </c>
      <c r="D145" s="1926">
        <f>IF(Calc!AP133=0,0,IF($D$2="$ M",Calc!BZ133/1000,Calc!BZ133))</f>
        <v>0</v>
      </c>
      <c r="E145" s="1927">
        <f>IF($D$2="$ K",Calc!G133,Calc!G133/1000)</f>
        <v>0</v>
      </c>
      <c r="F145" s="1926">
        <f>IF(Calc!AQ133=0,0,IF($D$2="$ M",Calc!CA133/1000,Calc!CA133))</f>
        <v>0</v>
      </c>
      <c r="G145" s="1928">
        <f>IF($D$2="$ K",Calc!H133,Calc!H133/1000)</f>
        <v>0</v>
      </c>
      <c r="H145" s="1926">
        <f>IF(Calc!AR133=0,0,IF($D$2="$ M",Calc!CB133/1000,Calc!CB133))</f>
        <v>0</v>
      </c>
      <c r="I145" s="1928">
        <f>IF($D$2="$ K",Calc!I133,Calc!I133/1000)</f>
        <v>0</v>
      </c>
      <c r="J145" s="1926">
        <f>IF(Calc!AS133=0,0,IF($D$2="$ M",Calc!CC133/1000,Calc!CC133))</f>
        <v>0</v>
      </c>
      <c r="K145" s="1928">
        <f>IF($D$2="$ K",Calc!J133,Calc!J133/1000)</f>
        <v>0</v>
      </c>
      <c r="L145" s="1926">
        <f>IF(Calc!AT133=0,0,IF($D$2="$ M",Calc!CD133/1000,Calc!CD133))</f>
        <v>0</v>
      </c>
      <c r="M145" s="1928">
        <f>IF($D$2="$ K",Calc!K133,Calc!K133/1000)</f>
        <v>0</v>
      </c>
      <c r="N145" s="1926">
        <f>IF(Calc!AU133=0,0,IF($D$2="$ M",Calc!CE133/1000,Calc!CE133))</f>
        <v>0</v>
      </c>
      <c r="O145" s="1928">
        <f>IF($D$2="$ K",Calc!L133,Calc!L133/1000)</f>
        <v>11.757135657116162</v>
      </c>
      <c r="P145" s="1926">
        <f>IF(Calc!AV133=0,0,IF($D$2="$ M",Calc!CF133/1000,Calc!CF133))</f>
        <v>0</v>
      </c>
      <c r="Q145" s="1928">
        <f>IF($D$2="$ K",Calc!M133,Calc!M133/1000)</f>
        <v>26.869836887375108</v>
      </c>
      <c r="R145" s="1926">
        <f>IF(Calc!AW133=0,0,IF($D$2="$ M",Calc!CG133/1000,Calc!CG133))</f>
        <v>0</v>
      </c>
      <c r="S145" s="1928">
        <f>IF($D$2="$ K",Calc!N133,Calc!N133/1000)</f>
        <v>51.15558590206372</v>
      </c>
      <c r="T145" s="1926">
        <f>IF(Calc!AX133=0,0,IF($D$2="$ M",Calc!CH133/1000,Calc!CH133))</f>
        <v>0</v>
      </c>
      <c r="U145" s="1928">
        <f>IF($D$2="$ K",Calc!O133,Calc!O133/1000)</f>
        <v>76.659511587420297</v>
      </c>
      <c r="V145" s="1926">
        <f>IF(Calc!AY133=0,0,IF($D$2="$ M",Calc!CI133/1000,Calc!CI133))</f>
        <v>0</v>
      </c>
      <c r="W145" s="1928">
        <f>IF($D$2="$ K",Calc!P133,Calc!P133/1000)</f>
        <v>95.146110514129802</v>
      </c>
      <c r="X145" s="1926">
        <f>IF(Calc!AZ133=0,0,IF($D$2="$ M",Calc!CJ133/1000,Calc!CJ133))</f>
        <v>0</v>
      </c>
      <c r="Y145" s="1928">
        <f>IF($D$2="$ K",Calc!Q133,Calc!Q133/1000)</f>
        <v>105.73639576409268</v>
      </c>
      <c r="Z145" s="1926">
        <f>IF(Calc!BA133=0,0,IF($D$2="$ M",Calc!CK133/1000,Calc!CK133))</f>
        <v>0</v>
      </c>
      <c r="AA145" s="1928">
        <f>IF($D$2="$ K",Calc!R133,Calc!R133/1000)</f>
        <v>112.72498070060382</v>
      </c>
      <c r="AB145" s="1926">
        <f>IF(Calc!BB133=0,0,IF($D$2="$ M",Calc!CL133/1000,Calc!CL133))</f>
        <v>0</v>
      </c>
      <c r="AC145" s="1928">
        <f>IF($D$2="$ K",Calc!S133,Calc!S133/1000)</f>
        <v>130.26218980704832</v>
      </c>
      <c r="AD145" s="1926">
        <f>IF(Calc!BC133=0,0,IF($D$2="$ M",Calc!CM133/1000,Calc!CM133))</f>
        <v>0</v>
      </c>
      <c r="AE145" s="1928">
        <f>IF($D$2="$ K",Calc!T133,Calc!T133/1000)</f>
        <v>133.92686425193108</v>
      </c>
      <c r="AF145" s="1926">
        <f>IF(Calc!BD133=0,0,IF($D$2="$ M",Calc!CN133/1000,Calc!CN133))</f>
        <v>0</v>
      </c>
      <c r="AG145" s="1928">
        <f>IF($D$2="$ K",Calc!U133,Calc!U133/1000)</f>
        <v>165.36228609762625</v>
      </c>
      <c r="AH145" s="1926">
        <f>IF(Calc!BE133=0,0,IF($D$2="$ M",Calc!CO133/1000,Calc!CO133))</f>
        <v>0</v>
      </c>
      <c r="AI145" s="1928">
        <f>IF($D$2="$ K",Calc!V133,Calc!V133/1000)</f>
        <v>182.48429734090408</v>
      </c>
      <c r="AJ145" s="1926">
        <f>IF(Calc!BF133=0,0,IF($D$2="$ M",Calc!CP133/1000,Calc!CP133))</f>
        <v>0</v>
      </c>
      <c r="AK145" s="1928">
        <f>IF($D$2="$ K",Calc!W133,Calc!W133/1000)</f>
        <v>209.52590987333633</v>
      </c>
      <c r="AL145" s="1926">
        <f>IF(Calc!BG133=0,0,IF($D$2="$ M",Calc!CQ133/1000,Calc!CQ133))</f>
        <v>0</v>
      </c>
      <c r="AM145" s="1928">
        <f>IF($D$2="$ K",Calc!X133,Calc!X133/1000)</f>
        <v>252.78709082071077</v>
      </c>
      <c r="AN145" s="1926">
        <f>IF(Calc!BH133=0,0,IF($D$2="$ M",Calc!CR133/1000,Calc!CR133))</f>
        <v>0</v>
      </c>
      <c r="AO145" s="1928">
        <f>IF($D$2="$ K",Calc!Y133,Calc!Y133/1000)</f>
        <v>0</v>
      </c>
      <c r="AP145" s="1926">
        <f>IF(Calc!BJ133=0,0,IF($D$2="$ M",Calc!CS133/1000,Calc!CS133))</f>
        <v>0</v>
      </c>
      <c r="AQ145" s="1928">
        <f>IF($D$2="$ K",Calc!Z133,Calc!Z133/1000)</f>
        <v>0</v>
      </c>
      <c r="AR145" s="1926">
        <f>IF(Calc!BL133=0,0,IF($D$2="$ M",Calc!CT133/1000,Calc!CT133))</f>
        <v>0</v>
      </c>
      <c r="AS145" s="1928">
        <f>IF($D$2="$ K",Calc!AA133,Calc!AA133/1000)</f>
        <v>0</v>
      </c>
      <c r="AT145" s="1926">
        <f>IF(Calc!BN133=0,0,IF($D$2="$ M",Calc!CU133/1000,Calc!CU133))</f>
        <v>0</v>
      </c>
      <c r="AU145" s="1928">
        <f>IF($D$2="$ K",Calc!AB133,Calc!AB133/1000)</f>
        <v>0</v>
      </c>
      <c r="AV145" s="1926">
        <f>IF(Calc!BP133=0,0,IF($D$2="$ M",Calc!CV133/1000,Calc!CV133))</f>
        <v>0</v>
      </c>
      <c r="AW145" s="1928">
        <f>IF($D$2="$ K",Calc!AC133,Calc!AC133/1000)</f>
        <v>0</v>
      </c>
      <c r="AX145" s="1926">
        <f>IF(Calc!BR133=0,0,IF($D$2="$ M",Calc!CW133/1000,Calc!CW133))</f>
        <v>0</v>
      </c>
      <c r="AY145" s="1928">
        <f>IF($D$2="$ K",Calc!AD133,Calc!AD133/1000)</f>
        <v>0</v>
      </c>
      <c r="AZ145" s="1926">
        <f>IF(Calc!BT133=0,0,IF($D$2="$ M",Calc!CX133/1000,Calc!CX133))</f>
        <v>0</v>
      </c>
      <c r="BA145" s="1928">
        <f>IF($D$2="$ K",Calc!AE133,Calc!AE133/1000)</f>
        <v>0</v>
      </c>
      <c r="BB145" s="1926">
        <f>IF(Calc!BV133=0,0,IF($D$2="$ M",Calc!CY133/1000,Calc!CY133))</f>
        <v>0</v>
      </c>
      <c r="BC145" s="1928">
        <f>IF($D$2="$ K",Calc!AF133,Calc!AF133/1000)</f>
        <v>0</v>
      </c>
      <c r="BD145" s="1926">
        <f>IF(Calc!BX133=0,0,IF($D$2="$ M",Calc!CZ133/1000,Calc!CZ133))</f>
        <v>0</v>
      </c>
      <c r="BE145" s="1928">
        <f>IF($D$2="$ K",Calc!AG133,Calc!AG133/1000)</f>
        <v>0</v>
      </c>
      <c r="BF145" s="1926">
        <f>IF(Calc!BZ133=0,0,IF($D$2="$ M",Calc!DA133/1000,Calc!DA133))</f>
        <v>0</v>
      </c>
      <c r="BG145" s="1928">
        <f>IF($D$2="$ K",Calc!AH133,Calc!AH133/1000)</f>
        <v>0</v>
      </c>
      <c r="BH145" s="1926">
        <f>IF(Calc!CB133=0,0,IF($D$2="$ M",Calc!DB133/1000,Calc!DB133))</f>
        <v>0</v>
      </c>
      <c r="BI145" s="1928">
        <f>IF($D$2="$ K",Calc!AI133,Calc!AI133/1000)</f>
        <v>0</v>
      </c>
      <c r="BJ145" s="1926">
        <f>IF(Calc!BS133=0,0,IF($D$2="$ M",Calc!DC133/1000,Calc!DC133))</f>
        <v>0</v>
      </c>
      <c r="BK145" s="2283">
        <f>IF($D$2="$ K",Calc!AJ133,Calc!AJ133/1000)</f>
        <v>261.58818054810507</v>
      </c>
      <c r="BL145" s="1930"/>
      <c r="BM145" s="1931">
        <f>IF(Calc!BT133=0,0,IF($D$2="$ M",Calc!DD133/1000,Calc!DD133/1000))</f>
        <v>0</v>
      </c>
      <c r="BN145" s="1260"/>
      <c r="BO145" s="2373"/>
      <c r="BP145" s="1929">
        <f>IF($D$2="$ K",Calc!AM133,Calc!AM133/1000)</f>
        <v>909.60089716940729</v>
      </c>
      <c r="BQ145" s="2375"/>
      <c r="BR145" s="1260"/>
      <c r="BS145" s="2145"/>
    </row>
    <row r="146" spans="1:71" s="1334" customFormat="1" ht="15" thickBot="1" x14ac:dyDescent="0.3">
      <c r="A146" s="1328"/>
      <c r="B146" s="1935" t="s">
        <v>1491</v>
      </c>
      <c r="C146" s="1936"/>
      <c r="D146" s="1937"/>
      <c r="E146" s="1938" t="str">
        <f>IF(Calc!G134=0,"",Calc!G134)</f>
        <v/>
      </c>
      <c r="F146" s="1937"/>
      <c r="G146" s="1939" t="str">
        <f>IF(Calc!H134=0,"",Calc!H134)</f>
        <v/>
      </c>
      <c r="H146" s="1937"/>
      <c r="I146" s="1939" t="str">
        <f>IF(Calc!I134=0,"",Calc!I134)</f>
        <v/>
      </c>
      <c r="J146" s="1937"/>
      <c r="K146" s="1939" t="str">
        <f>IF(Calc!J134=0,"",IF(ABS(Calc!J134)&gt;100%,"",Calc!J134))</f>
        <v/>
      </c>
      <c r="L146" s="1937"/>
      <c r="M146" s="1939" t="str">
        <f>IF(Calc!K134=0,"",IF(ABS(Calc!K134)&gt;100%,"",Calc!K134))</f>
        <v/>
      </c>
      <c r="N146" s="1937"/>
      <c r="O146" s="1939">
        <f>IF(Calc!L134=0,"",IF(ABS(Calc!L134)&gt;100%,"",Calc!L134))</f>
        <v>0.70540540540540542</v>
      </c>
      <c r="P146" s="1937"/>
      <c r="Q146" s="1939">
        <f>IF(Calc!M134=0,"",IF(ABS(Calc!M134)&gt;100%,"",Calc!M134))</f>
        <v>0.69667415208301064</v>
      </c>
      <c r="R146" s="1937"/>
      <c r="S146" s="1939">
        <f>IF(Calc!N134=0,"",IF(ABS(Calc!N134)&gt;100%,"",Calc!N134))</f>
        <v>0.69576746557878633</v>
      </c>
      <c r="T146" s="1937"/>
      <c r="U146" s="1939">
        <f>IF(Calc!O134=0,"",IF(ABS(Calc!O134)&gt;100%,"",Calc!O134))</f>
        <v>0.694889502762431</v>
      </c>
      <c r="V146" s="1937"/>
      <c r="W146" s="1939">
        <f>IF(Calc!P134=0,"",IF(ABS(Calc!P134)&gt;100%,"",Calc!P134))</f>
        <v>0.69277253866465482</v>
      </c>
      <c r="X146" s="1937"/>
      <c r="Y146" s="1939">
        <f>IF(Calc!Q134=0,"",IF(ABS(Calc!Q134)&gt;100%,"",Calc!Q134))</f>
        <v>0.69169742260179956</v>
      </c>
      <c r="Z146" s="1937"/>
      <c r="AA146" s="1939">
        <f>IF(Calc!R134=0,"",IF(ABS(Calc!R134)&gt;100%,"",Calc!R134))</f>
        <v>0.68011267406471854</v>
      </c>
      <c r="AB146" s="1937"/>
      <c r="AC146" s="1939">
        <f>IF(Calc!S134=0,"",IF(ABS(Calc!S134)&gt;100%,"",Calc!S134))</f>
        <v>0.68490602612616835</v>
      </c>
      <c r="AD146" s="1937"/>
      <c r="AE146" s="1939">
        <f>IF(Calc!T134=0,"",IF(ABS(Calc!T134)&gt;100%,"",Calc!T134))</f>
        <v>0.67358529065912454</v>
      </c>
      <c r="AF146" s="1937"/>
      <c r="AG146" s="1939">
        <f>IF(Calc!U134=0,"",IF(ABS(Calc!U134)&gt;100%,"",Calc!U134))</f>
        <v>0.69100180676226886</v>
      </c>
      <c r="AH146" s="1937"/>
      <c r="AI146" s="1939">
        <f>IF(Calc!V134=0,"",IF(ABS(Calc!V134)&gt;100%,"",Calc!V134))</f>
        <v>0.67955492655471683</v>
      </c>
      <c r="AJ146" s="1937"/>
      <c r="AK146" s="1939">
        <f>IF(Calc!W134=0,"",IF(ABS(Calc!W134)&gt;100%,"",Calc!W134))</f>
        <v>0.67872943496904559</v>
      </c>
      <c r="AL146" s="1937"/>
      <c r="AM146" s="1939">
        <f>IF(Calc!X134=0,"",IF(ABS(Calc!X134)&gt;100%,"",Calc!X134))</f>
        <v>1</v>
      </c>
      <c r="AN146" s="1937"/>
      <c r="AO146" s="1939" t="str">
        <f>IF(Calc!Y134=0,"",IF(ABS(Calc!Y134)&gt;100%,"",Calc!Y134))</f>
        <v/>
      </c>
      <c r="AP146" s="1937"/>
      <c r="AQ146" s="1939" t="str">
        <f>IF(Calc!Z134=0,"",IF(ABS(Calc!Z134)&gt;100%,"",Calc!Z134))</f>
        <v/>
      </c>
      <c r="AR146" s="1937"/>
      <c r="AS146" s="1939" t="str">
        <f>IF(Calc!AA134=0,"",IF(ABS(Calc!AA134)&gt;100%,"",Calc!AA134))</f>
        <v/>
      </c>
      <c r="AT146" s="1937"/>
      <c r="AU146" s="1939" t="str">
        <f>IF(Calc!AB134=0,"",IF(ABS(Calc!AB134)&gt;100%,"",Calc!AB134))</f>
        <v/>
      </c>
      <c r="AV146" s="1937"/>
      <c r="AW146" s="1939" t="str">
        <f>IF(Calc!AC134=0,"",IF(ABS(Calc!AC134)&gt;100%,"",Calc!AC134))</f>
        <v/>
      </c>
      <c r="AX146" s="1937"/>
      <c r="AY146" s="1939" t="str">
        <f>IF(Calc!AD134=0,"",IF(ABS(Calc!AD134)&gt;100%,"",Calc!AD134))</f>
        <v/>
      </c>
      <c r="AZ146" s="1937"/>
      <c r="BA146" s="1939" t="str">
        <f>IF(Calc!AE134=0,"",IF(ABS(Calc!AE134)&gt;100%,"",Calc!AE134))</f>
        <v/>
      </c>
      <c r="BB146" s="1937"/>
      <c r="BC146" s="1939" t="str">
        <f>IF(Calc!AF134=0,"",IF(ABS(Calc!AF134)&gt;100%,"",Calc!AF134))</f>
        <v/>
      </c>
      <c r="BD146" s="1937"/>
      <c r="BE146" s="1939" t="str">
        <f>IF(Calc!AG134=0,"",IF(ABS(Calc!AG134)&gt;100%,"",Calc!AG134))</f>
        <v/>
      </c>
      <c r="BF146" s="1937"/>
      <c r="BG146" s="1939" t="str">
        <f>IF(Calc!AH134=0,"",IF(ABS(Calc!AH134)&gt;100%,"",Calc!AH134))</f>
        <v/>
      </c>
      <c r="BH146" s="1937"/>
      <c r="BI146" s="1939" t="str">
        <f>IF(Calc!AI134=0,"",IF(ABS(Calc!AI134)&gt;100%,"",Calc!AI134))</f>
        <v/>
      </c>
      <c r="BJ146" s="1937"/>
      <c r="BK146" s="2376">
        <f>IF(ABS(Calc!AJ134)&gt;100%,"",Calc!AJ134)</f>
        <v>0.69493707617217348</v>
      </c>
      <c r="BL146" s="1941"/>
      <c r="BM146" s="1942"/>
      <c r="BN146" s="1943"/>
      <c r="BO146" s="2377"/>
      <c r="BP146" s="2378">
        <f>IF(ABS(BP145/$BP$140)&gt;100%,"",BP145/$BP$140)</f>
        <v>0.68734489324146375</v>
      </c>
      <c r="BQ146" s="2379"/>
      <c r="BR146" s="1328"/>
      <c r="BS146" s="2380"/>
    </row>
    <row r="147" spans="1:71" s="1265" customFormat="1" ht="18.600000000000001" thickTop="1" x14ac:dyDescent="0.3">
      <c r="A147" s="1260"/>
      <c r="B147" s="1297" t="s">
        <v>1324</v>
      </c>
      <c r="C147" s="1944">
        <f>IF($D$2="$ K",Calc!F135,Calc!F135/1000)</f>
        <v>0</v>
      </c>
      <c r="D147" s="1945">
        <f>IF(Calc!AP135=0,0,IF($D$2="$ M",Calc!BZ135/1000,Calc!BZ135))</f>
        <v>0</v>
      </c>
      <c r="E147" s="1946">
        <f>IF($D$2="$ K",Calc!G135,Calc!G135/1000)</f>
        <v>0.2</v>
      </c>
      <c r="F147" s="1945">
        <f>IF(Calc!AQ135=0,0,IF($D$2="$ M",Calc!CA135/1000,Calc!CA135))</f>
        <v>0</v>
      </c>
      <c r="G147" s="1947">
        <f>IF($D$2="$ K",Calc!H135,Calc!H135/1000)</f>
        <v>1</v>
      </c>
      <c r="H147" s="1945">
        <f>IF(Calc!AR135=0,0,IF($D$2="$ M",Calc!CB135/1000,Calc!CB135))</f>
        <v>0</v>
      </c>
      <c r="I147" s="1947">
        <f>IF($D$2="$ K",Calc!I135,Calc!I135/1000)</f>
        <v>2.5</v>
      </c>
      <c r="J147" s="1945">
        <f>IF(Calc!AS135=0,0,IF($D$2="$ M",Calc!CC135/1000,Calc!CC135))</f>
        <v>0</v>
      </c>
      <c r="K147" s="1947">
        <f>IF($D$2="$ K",Calc!J135,Calc!J135/1000)</f>
        <v>3.5</v>
      </c>
      <c r="L147" s="1945">
        <f>IF(Calc!AT135=0,0,IF($D$2="$ M",Calc!CD135/1000,Calc!CD135))</f>
        <v>0</v>
      </c>
      <c r="M147" s="1947">
        <f>IF($D$2="$ K",Calc!K135,Calc!K135/1000)</f>
        <v>4.5</v>
      </c>
      <c r="N147" s="1945">
        <f>IF(Calc!AU135=0,0,IF($D$2="$ M",Calc!CE135/1000,Calc!CE135))</f>
        <v>0</v>
      </c>
      <c r="O147" s="1947">
        <f>IF($D$2="$ K",Calc!L135,Calc!L135/1000)</f>
        <v>3.3000096684919296</v>
      </c>
      <c r="P147" s="1945">
        <f>IF(Calc!AV135=0,0,IF($D$2="$ M",Calc!CF135/1000,Calc!CF135))</f>
        <v>0</v>
      </c>
      <c r="Q147" s="1918">
        <f>IF($D$2="$ K",Calc!M135,Calc!M135/1000)</f>
        <v>3.6942371301226671</v>
      </c>
      <c r="R147" s="1945">
        <f>IF(Calc!AW135=0,0,IF($D$2="$ M",Calc!CG135/1000,Calc!CG135))</f>
        <v>0</v>
      </c>
      <c r="S147" s="1918">
        <f>IF($D$2="$ K",Calc!N135,Calc!N135/1000)</f>
        <v>3.3234314505797751</v>
      </c>
      <c r="T147" s="1945">
        <f>IF(Calc!AX135=0,0,IF($D$2="$ M",Calc!CH135/1000,Calc!CH135))</f>
        <v>0</v>
      </c>
      <c r="U147" s="1918">
        <f>IF($D$2="$ K",Calc!O135,Calc!O135/1000)</f>
        <v>3.4857419101714595</v>
      </c>
      <c r="V147" s="1945">
        <f>IF(Calc!AY135=0,0,IF($D$2="$ M",Calc!CI135/1000,Calc!CI135))</f>
        <v>0</v>
      </c>
      <c r="W147" s="1918">
        <f>IF($D$2="$ K",Calc!P135,Calc!P135/1000)</f>
        <v>3.972138968665667</v>
      </c>
      <c r="X147" s="1945">
        <f>IF(Calc!AZ135=0,0,IF($D$2="$ M",Calc!CJ135/1000,Calc!CJ135))</f>
        <v>0</v>
      </c>
      <c r="Y147" s="1918">
        <f>IF($D$2="$ K",Calc!Q135,Calc!Q135/1000)</f>
        <v>4.2515718022985114</v>
      </c>
      <c r="Z147" s="1945">
        <f>IF(Calc!BA135=0,0,IF($D$2="$ M",Calc!CK135/1000,Calc!CK135))</f>
        <v>0</v>
      </c>
      <c r="AA147" s="1918">
        <f>IF($D$2="$ K",Calc!R135,Calc!R135/1000)</f>
        <v>3.9834022067022778</v>
      </c>
      <c r="AB147" s="1945">
        <f>IF(Calc!BB135=0,0,IF($D$2="$ M",Calc!CL135/1000,Calc!CL135))</f>
        <v>0</v>
      </c>
      <c r="AC147" s="1918">
        <f>IF($D$2="$ K",Calc!S135,Calc!S135/1000)</f>
        <v>4.4234177056210378</v>
      </c>
      <c r="AD147" s="1945">
        <f>IF(Calc!BC135=0,0,IF($D$2="$ M",Calc!CM135/1000,Calc!CM135))</f>
        <v>0</v>
      </c>
      <c r="AE147" s="1918">
        <f>IF($D$2="$ K",Calc!T135,Calc!T135/1000)</f>
        <v>4.5788839067073877</v>
      </c>
      <c r="AF147" s="1945">
        <f>IF(Calc!BD135=0,0,IF($D$2="$ M",Calc!CN135/1000,Calc!CN135))</f>
        <v>0</v>
      </c>
      <c r="AG147" s="1918">
        <f>IF($D$2="$ K",Calc!U135,Calc!U135/1000)</f>
        <v>5.3075446701130122</v>
      </c>
      <c r="AH147" s="1945">
        <f>IF(Calc!BE135=0,0,IF($D$2="$ M",Calc!CO135/1000,Calc!CO135))</f>
        <v>0</v>
      </c>
      <c r="AI147" s="1918">
        <f>IF($D$2="$ K",Calc!V135,Calc!V135/1000)</f>
        <v>5.8336304009883335</v>
      </c>
      <c r="AJ147" s="1945">
        <f>IF(Calc!BF135=0,0,IF($D$2="$ M",Calc!CP135/1000,Calc!CP135))</f>
        <v>0</v>
      </c>
      <c r="AK147" s="1918">
        <f>IF($D$2="$ K",Calc!W135,Calc!W135/1000)</f>
        <v>6.5566565753731547</v>
      </c>
      <c r="AL147" s="1945">
        <f>IF(Calc!BG135=0,0,IF($D$2="$ M",Calc!CQ135/1000,Calc!CQ135))</f>
        <v>0</v>
      </c>
      <c r="AM147" s="1918">
        <f>IF($D$2="$ K",Calc!X135,Calc!X135/1000)</f>
        <v>0</v>
      </c>
      <c r="AN147" s="1945">
        <f>IF(Calc!BH135=0,0,IF($D$2="$ M",Calc!CR135/1000,Calc!CR135))</f>
        <v>0</v>
      </c>
      <c r="AO147" s="1918">
        <f>IF($D$2="$ K",Calc!Y135,Calc!Y135/1000)</f>
        <v>0</v>
      </c>
      <c r="AP147" s="1945">
        <f>IF(Calc!BJ135=0,0,IF($D$2="$ M",Calc!CS135/1000,Calc!CS135))</f>
        <v>0</v>
      </c>
      <c r="AQ147" s="1918">
        <f>IF($D$2="$ K",Calc!Z135,Calc!Z135/1000)</f>
        <v>0</v>
      </c>
      <c r="AR147" s="1945">
        <f>IF(Calc!BL135=0,0,IF($D$2="$ M",Calc!CT135/1000,Calc!CT135))</f>
        <v>0</v>
      </c>
      <c r="AS147" s="1918">
        <f>IF($D$2="$ K",Calc!AA135,Calc!AA135/1000)</f>
        <v>0</v>
      </c>
      <c r="AT147" s="1945">
        <f>IF(Calc!BN135=0,0,IF($D$2="$ M",Calc!CU135/1000,Calc!CU135))</f>
        <v>0</v>
      </c>
      <c r="AU147" s="1918">
        <f>IF($D$2="$ K",Calc!AB135,Calc!AB135/1000)</f>
        <v>0</v>
      </c>
      <c r="AV147" s="1945">
        <f>IF(Calc!BP135=0,0,IF($D$2="$ M",Calc!CV135/1000,Calc!CV135))</f>
        <v>0</v>
      </c>
      <c r="AW147" s="1918">
        <f>IF($D$2="$ K",Calc!AC135,Calc!AC135/1000)</f>
        <v>0</v>
      </c>
      <c r="AX147" s="1945">
        <f>IF(Calc!BR135=0,0,IF($D$2="$ M",Calc!CW135/1000,Calc!CW135))</f>
        <v>0</v>
      </c>
      <c r="AY147" s="1918">
        <f>IF($D$2="$ K",Calc!AD135,Calc!AD135/1000)</f>
        <v>0</v>
      </c>
      <c r="AZ147" s="1945">
        <f>IF(Calc!BT135=0,0,IF($D$2="$ M",Calc!CX135/1000,Calc!CX135))</f>
        <v>0</v>
      </c>
      <c r="BA147" s="1918">
        <f>IF($D$2="$ K",Calc!AE135,Calc!AE135/1000)</f>
        <v>0</v>
      </c>
      <c r="BB147" s="1945">
        <f>IF(Calc!BV135=0,0,IF($D$2="$ M",Calc!CY135/1000,Calc!CY135))</f>
        <v>0</v>
      </c>
      <c r="BC147" s="1918">
        <f>IF($D$2="$ K",Calc!AF135,Calc!AF135/1000)</f>
        <v>0</v>
      </c>
      <c r="BD147" s="1945">
        <f>IF(Calc!BX135=0,0,IF($D$2="$ M",Calc!CZ135/1000,Calc!CZ135))</f>
        <v>0</v>
      </c>
      <c r="BE147" s="1918">
        <f>IF($D$2="$ K",Calc!AG135,Calc!AG135/1000)</f>
        <v>0</v>
      </c>
      <c r="BF147" s="1945">
        <f>IF(Calc!BZ135=0,0,IF($D$2="$ M",Calc!DA135/1000,Calc!DA135))</f>
        <v>0</v>
      </c>
      <c r="BG147" s="1918">
        <f>IF($D$2="$ K",Calc!AH135,Calc!AH135/1000)</f>
        <v>0</v>
      </c>
      <c r="BH147" s="1945">
        <f>IF(Calc!CB135=0,0,IF($D$2="$ M",Calc!DB135/1000,Calc!DB135))</f>
        <v>0</v>
      </c>
      <c r="BI147" s="1918">
        <f>IF($D$2="$ K",Calc!AI135,Calc!AI135/1000)</f>
        <v>0</v>
      </c>
      <c r="BJ147" s="1945">
        <f>IF(Calc!BS135=0,0,IF($D$2="$ M",Calc!DC135/1000,Calc!DC135))</f>
        <v>0</v>
      </c>
      <c r="BK147" s="2372">
        <f>IF($D$2="$ K",Calc!AJ135,Calc!AJ135/1000)</f>
        <v>29.475559128031495</v>
      </c>
      <c r="BL147" s="1948">
        <f>Calc!AK135</f>
        <v>7.8304986242325111E-2</v>
      </c>
      <c r="BM147" s="1921">
        <f>IF(Calc!BT135=0,0,IF($D$2="$ M",Calc!DD135/1000,Calc!DD135))</f>
        <v>0</v>
      </c>
      <c r="BN147" s="1260"/>
      <c r="BO147" s="2373"/>
      <c r="BP147" s="1949">
        <f>IF($D$2="$ K",Calc!AM135,Calc!AM135/1000)</f>
        <v>52.020379419473727</v>
      </c>
      <c r="BQ147" s="2381">
        <f>BP147/$BP$140</f>
        <v>3.9309484247132723E-2</v>
      </c>
      <c r="BR147" s="1260"/>
      <c r="BS147" s="2145"/>
    </row>
    <row r="148" spans="1:71" s="1265" customFormat="1" ht="18" x14ac:dyDescent="0.3">
      <c r="A148" s="1260"/>
      <c r="B148" s="1297" t="s">
        <v>1325</v>
      </c>
      <c r="C148" s="1944">
        <f>IF($D$2="$ K",Calc!F136,Calc!F136/1000)</f>
        <v>0</v>
      </c>
      <c r="D148" s="1945">
        <f>IF(Calc!AP136=0,0,IF($D$2="$ M",Calc!BZ136/1000,Calc!BZ136))</f>
        <v>0</v>
      </c>
      <c r="E148" s="1946">
        <f>IF($D$2="$ K",Calc!G136,Calc!G136/1000)</f>
        <v>4.8284206951872992</v>
      </c>
      <c r="F148" s="1945">
        <f>IF(Calc!AQ136=0,0,IF($D$2="$ M",Calc!CA136/1000,Calc!CA136))</f>
        <v>0</v>
      </c>
      <c r="G148" s="1947">
        <f>IF($D$2="$ K",Calc!H136,Calc!H136/1000)</f>
        <v>3.450632337065406</v>
      </c>
      <c r="H148" s="1945">
        <f>IF(Calc!AR136=0,0,IF($D$2="$ M",Calc!CB136/1000,Calc!CB136))</f>
        <v>0</v>
      </c>
      <c r="I148" s="1947">
        <f>IF($D$2="$ K",Calc!I136,Calc!I136/1000)</f>
        <v>8.3385410565232565</v>
      </c>
      <c r="J148" s="1945">
        <f>IF(Calc!AS136=0,0,IF($D$2="$ M",Calc!CC136/1000,Calc!CC136))</f>
        <v>0</v>
      </c>
      <c r="K148" s="1947">
        <f>IF($D$2="$ K",Calc!J136,Calc!J136/1000)</f>
        <v>7.7360276633552907</v>
      </c>
      <c r="L148" s="1945">
        <f>IF(Calc!AT136=0,0,IF($D$2="$ M",Calc!CD136/1000,Calc!CD136))</f>
        <v>0</v>
      </c>
      <c r="M148" s="1947">
        <f>IF($D$2="$ K",Calc!K136,Calc!K136/1000)</f>
        <v>2.3626098811049889</v>
      </c>
      <c r="N148" s="1945">
        <f>IF(Calc!AU136=0,0,IF($D$2="$ M",Calc!CE136/1000,Calc!CE136))</f>
        <v>0</v>
      </c>
      <c r="O148" s="1947">
        <f>IF($D$2="$ K",Calc!L136,Calc!L136/1000)</f>
        <v>1.4518026343507922</v>
      </c>
      <c r="P148" s="1945">
        <f>IF(Calc!AV136=0,0,IF($D$2="$ M",Calc!CF136/1000,Calc!CF136))</f>
        <v>0</v>
      </c>
      <c r="Q148" s="1918">
        <f>IF($D$2="$ K",Calc!M136,Calc!M136/1000)</f>
        <v>0.20583868703780805</v>
      </c>
      <c r="R148" s="1945">
        <f>IF(Calc!AW136=0,0,IF($D$2="$ M",Calc!CG136/1000,Calc!CG136))</f>
        <v>0</v>
      </c>
      <c r="S148" s="1918">
        <f>IF($D$2="$ K",Calc!N136,Calc!N136/1000)</f>
        <v>0.2099554607785642</v>
      </c>
      <c r="T148" s="1945">
        <f>IF(Calc!AX136=0,0,IF($D$2="$ M",Calc!CH136/1000,Calc!CH136))</f>
        <v>0</v>
      </c>
      <c r="U148" s="1918">
        <f>IF($D$2="$ K",Calc!O136,Calc!O136/1000)</f>
        <v>0.21415456999413551</v>
      </c>
      <c r="V148" s="1945">
        <f>IF(Calc!AY136=0,0,IF($D$2="$ M",Calc!CI136/1000,Calc!CI136))</f>
        <v>0</v>
      </c>
      <c r="W148" s="1918">
        <f>IF($D$2="$ K",Calc!P136,Calc!P136/1000)</f>
        <v>0.21843766139401816</v>
      </c>
      <c r="X148" s="1945">
        <f>IF(Calc!AZ136=0,0,IF($D$2="$ M",Calc!CJ136/1000,Calc!CJ136))</f>
        <v>0</v>
      </c>
      <c r="Y148" s="1918">
        <f>IF($D$2="$ K",Calc!Q136,Calc!Q136/1000)</f>
        <v>0.22280641462189857</v>
      </c>
      <c r="Z148" s="1945">
        <f>IF(Calc!BA136=0,0,IF($D$2="$ M",Calc!CK136/1000,Calc!CK136))</f>
        <v>0</v>
      </c>
      <c r="AA148" s="1918">
        <f>IF($D$2="$ K",Calc!R136,Calc!R136/1000)</f>
        <v>0</v>
      </c>
      <c r="AB148" s="1945">
        <f>IF(Calc!BB136=0,0,IF($D$2="$ M",Calc!CL136/1000,Calc!CL136))</f>
        <v>0</v>
      </c>
      <c r="AC148" s="1918">
        <f>IF($D$2="$ K",Calc!S136,Calc!S136/1000)</f>
        <v>0</v>
      </c>
      <c r="AD148" s="1945">
        <f>IF(Calc!BC136=0,0,IF($D$2="$ M",Calc!CM136/1000,Calc!CM136))</f>
        <v>0</v>
      </c>
      <c r="AE148" s="1918">
        <f>IF($D$2="$ K",Calc!T136,Calc!T136/1000)</f>
        <v>0</v>
      </c>
      <c r="AF148" s="1945">
        <f>IF(Calc!BD136=0,0,IF($D$2="$ M",Calc!CN136/1000,Calc!CN136))</f>
        <v>0</v>
      </c>
      <c r="AG148" s="1918">
        <f>IF($D$2="$ K",Calc!U136,Calc!U136/1000)</f>
        <v>0</v>
      </c>
      <c r="AH148" s="1945">
        <f>IF(Calc!BE136=0,0,IF($D$2="$ M",Calc!CO136/1000,Calc!CO136))</f>
        <v>0</v>
      </c>
      <c r="AI148" s="1918">
        <f>IF($D$2="$ K",Calc!V136,Calc!V136/1000)</f>
        <v>0</v>
      </c>
      <c r="AJ148" s="1945">
        <f>IF(Calc!BF136=0,0,IF($D$2="$ M",Calc!CP136/1000,Calc!CP136))</f>
        <v>0</v>
      </c>
      <c r="AK148" s="1918">
        <f>IF($D$2="$ K",Calc!W136,Calc!W136/1000)</f>
        <v>0</v>
      </c>
      <c r="AL148" s="1945">
        <f>IF(Calc!BG136=0,0,IF($D$2="$ M",Calc!CQ136/1000,Calc!CQ136))</f>
        <v>0</v>
      </c>
      <c r="AM148" s="1918">
        <f>IF($D$2="$ K",Calc!X136,Calc!X136/1000)</f>
        <v>0</v>
      </c>
      <c r="AN148" s="1945">
        <f>IF(Calc!BH136=0,0,IF($D$2="$ M",Calc!CR136/1000,Calc!CR136))</f>
        <v>0</v>
      </c>
      <c r="AO148" s="1918">
        <f>IF($D$2="$ K",Calc!Y136,Calc!Y136/1000)</f>
        <v>0</v>
      </c>
      <c r="AP148" s="1945">
        <f>IF(Calc!BJ136=0,0,IF($D$2="$ M",Calc!CS136/1000,Calc!CS136))</f>
        <v>0</v>
      </c>
      <c r="AQ148" s="1918">
        <f>IF($D$2="$ K",Calc!Z136,Calc!Z136/1000)</f>
        <v>0</v>
      </c>
      <c r="AR148" s="1945">
        <f>IF(Calc!BL136=0,0,IF($D$2="$ M",Calc!CT136/1000,Calc!CT136))</f>
        <v>0</v>
      </c>
      <c r="AS148" s="1918">
        <f>IF($D$2="$ K",Calc!AA136,Calc!AA136/1000)</f>
        <v>0</v>
      </c>
      <c r="AT148" s="1945">
        <f>IF(Calc!BN136=0,0,IF($D$2="$ M",Calc!CU136/1000,Calc!CU136))</f>
        <v>0</v>
      </c>
      <c r="AU148" s="1918">
        <f>IF($D$2="$ K",Calc!AB136,Calc!AB136/1000)</f>
        <v>0</v>
      </c>
      <c r="AV148" s="1945">
        <f>IF(Calc!BP136=0,0,IF($D$2="$ M",Calc!CV136/1000,Calc!CV136))</f>
        <v>0</v>
      </c>
      <c r="AW148" s="1918">
        <f>IF($D$2="$ K",Calc!AC136,Calc!AC136/1000)</f>
        <v>0</v>
      </c>
      <c r="AX148" s="1945">
        <f>IF(Calc!BR136=0,0,IF($D$2="$ M",Calc!CW136/1000,Calc!CW136))</f>
        <v>0</v>
      </c>
      <c r="AY148" s="1918">
        <f>IF($D$2="$ K",Calc!AD136,Calc!AD136/1000)</f>
        <v>0</v>
      </c>
      <c r="AZ148" s="1945">
        <f>IF(Calc!BT136=0,0,IF($D$2="$ M",Calc!CX136/1000,Calc!CX136))</f>
        <v>0</v>
      </c>
      <c r="BA148" s="1918">
        <f>IF($D$2="$ K",Calc!AE136,Calc!AE136/1000)</f>
        <v>0</v>
      </c>
      <c r="BB148" s="1945">
        <f>IF(Calc!BV136=0,0,IF($D$2="$ M",Calc!CY136/1000,Calc!CY136))</f>
        <v>0</v>
      </c>
      <c r="BC148" s="1918">
        <f>IF($D$2="$ K",Calc!AF136,Calc!AF136/1000)</f>
        <v>0</v>
      </c>
      <c r="BD148" s="1945">
        <f>IF(Calc!BX136=0,0,IF($D$2="$ M",Calc!CZ136/1000,Calc!CZ136))</f>
        <v>0</v>
      </c>
      <c r="BE148" s="1918">
        <f>IF($D$2="$ K",Calc!AG136,Calc!AG136/1000)</f>
        <v>0</v>
      </c>
      <c r="BF148" s="1945">
        <f>IF(Calc!BZ136=0,0,IF($D$2="$ M",Calc!DA136/1000,Calc!DA136))</f>
        <v>0</v>
      </c>
      <c r="BG148" s="1918">
        <f>IF($D$2="$ K",Calc!AH136,Calc!AH136/1000)</f>
        <v>0</v>
      </c>
      <c r="BH148" s="1945">
        <f>IF(Calc!CB136=0,0,IF($D$2="$ M",Calc!DB136/1000,Calc!DB136))</f>
        <v>0</v>
      </c>
      <c r="BI148" s="1918">
        <f>IF($D$2="$ K",Calc!AI136,Calc!AI136/1000)</f>
        <v>0</v>
      </c>
      <c r="BJ148" s="1945">
        <f>IF(Calc!BS136=0,0,IF($D$2="$ M",Calc!DC136/1000,Calc!DC136))</f>
        <v>0</v>
      </c>
      <c r="BK148" s="2372">
        <f>IF($D$2="$ K",Calc!AJ136,Calc!AJ136/1000)</f>
        <v>29.016420646791559</v>
      </c>
      <c r="BL148" s="1950">
        <f>Calc!AK136</f>
        <v>7.708523559058518E-2</v>
      </c>
      <c r="BM148" s="1921">
        <f>IF(Calc!BT136=0,0,IF($D$2="$ M",Calc!DD136/1000,Calc!DD136))</f>
        <v>0</v>
      </c>
      <c r="BN148" s="1260"/>
      <c r="BO148" s="2373"/>
      <c r="BP148" s="1949">
        <f>IF($D$2="$ K",Calc!AM136,Calc!AM136/1000)</f>
        <v>29.239227061413459</v>
      </c>
      <c r="BQ148" s="2382">
        <f>BP148/$BP$140</f>
        <v>2.2094781860408759E-2</v>
      </c>
      <c r="BR148" s="1260"/>
      <c r="BS148" s="2145"/>
    </row>
    <row r="149" spans="1:71" s="1265" customFormat="1" ht="18.600000000000001" thickBot="1" x14ac:dyDescent="0.35">
      <c r="A149" s="1260"/>
      <c r="B149" s="1951" t="s">
        <v>660</v>
      </c>
      <c r="C149" s="1952">
        <f>IF($D$2="$ K",Calc!F137,Calc!F137/1000)</f>
        <v>0</v>
      </c>
      <c r="D149" s="1953">
        <f>IF(Calc!AP137=0,0,IF($D$2="$ M",Calc!BZ137/1000,Calc!BZ137))</f>
        <v>0</v>
      </c>
      <c r="E149" s="1954">
        <f>IF($D$2="$ K",Calc!G137,Calc!G137/1000)</f>
        <v>-5.0284206951872994</v>
      </c>
      <c r="F149" s="1953">
        <f>IF(Calc!AQ137=0,0,IF($D$2="$ M",Calc!CA137/1000,Calc!CA137))</f>
        <v>0</v>
      </c>
      <c r="G149" s="1955">
        <f>IF($D$2="$ K",Calc!H137,Calc!H137/1000)</f>
        <v>-4.4506323370654064</v>
      </c>
      <c r="H149" s="1953">
        <f>IF(Calc!AR137=0,0,IF($D$2="$ M",Calc!CB137/1000,Calc!CB137))</f>
        <v>0</v>
      </c>
      <c r="I149" s="1955">
        <f>IF($D$2="$ K",Calc!I137,Calc!I137/1000)</f>
        <v>-10.838541056523257</v>
      </c>
      <c r="J149" s="1953">
        <f>IF(Calc!AS137=0,0,IF($D$2="$ M",Calc!CC137/1000,Calc!CC137))</f>
        <v>0</v>
      </c>
      <c r="K149" s="1955">
        <f>IF($D$2="$ K",Calc!J137,Calc!J137/1000)</f>
        <v>-11.236027663355289</v>
      </c>
      <c r="L149" s="1953">
        <f>IF(Calc!AT137=0,0,IF($D$2="$ M",Calc!CD137/1000,Calc!CD137))</f>
        <v>0</v>
      </c>
      <c r="M149" s="1955">
        <f>IF($D$2="$ K",Calc!K137,Calc!K137/1000)</f>
        <v>-6.8626098811049889</v>
      </c>
      <c r="N149" s="1953">
        <f>IF(Calc!AU137=0,0,IF($D$2="$ M",Calc!CE137/1000,Calc!CE137))</f>
        <v>0</v>
      </c>
      <c r="O149" s="1955">
        <f>IF($D$2="$ K",Calc!L137,Calc!L137/1000)</f>
        <v>7.0053233542734397</v>
      </c>
      <c r="P149" s="1953">
        <f>IF(Calc!AV137=0,0,IF($D$2="$ M",Calc!CF137/1000,Calc!CF137))</f>
        <v>0</v>
      </c>
      <c r="Q149" s="1955">
        <f>IF($D$2="$ K",Calc!M137,Calc!M137/1000)</f>
        <v>22.969761070214634</v>
      </c>
      <c r="R149" s="1953">
        <f>IF(Calc!AW137=0,0,IF($D$2="$ M",Calc!CG137/1000,Calc!CG137))</f>
        <v>0</v>
      </c>
      <c r="S149" s="1955">
        <f>IF($D$2="$ K",Calc!N137,Calc!N137/1000)</f>
        <v>47.622198990705385</v>
      </c>
      <c r="T149" s="1953">
        <f>IF(Calc!AX137=0,0,IF($D$2="$ M",Calc!CH137/1000,Calc!CH137))</f>
        <v>0</v>
      </c>
      <c r="U149" s="1955">
        <f>IF($D$2="$ K",Calc!O137,Calc!O137/1000)</f>
        <v>72.959615107254706</v>
      </c>
      <c r="V149" s="1953">
        <f>IF(Calc!AY137=0,0,IF($D$2="$ M",Calc!CI137/1000,Calc!CI137))</f>
        <v>0</v>
      </c>
      <c r="W149" s="1955">
        <f>IF($D$2="$ K",Calc!P137,Calc!P137/1000)</f>
        <v>90.955533884070135</v>
      </c>
      <c r="X149" s="1953">
        <f>IF(Calc!AZ137=0,0,IF($D$2="$ M",Calc!CJ137/1000,Calc!CJ137))</f>
        <v>0</v>
      </c>
      <c r="Y149" s="1955">
        <f>IF($D$2="$ K",Calc!Q137,Calc!Q137/1000)</f>
        <v>101.26201754717228</v>
      </c>
      <c r="Z149" s="1953">
        <f>IF(Calc!BA137=0,0,IF($D$2="$ M",Calc!CK137/1000,Calc!CK137))</f>
        <v>0</v>
      </c>
      <c r="AA149" s="1955">
        <f>IF($D$2="$ K",Calc!R137,Calc!R137/1000)</f>
        <v>108.74157849390154</v>
      </c>
      <c r="AB149" s="1953">
        <f>IF(Calc!BB137=0,0,IF($D$2="$ M",Calc!CL137/1000,Calc!CL137))</f>
        <v>0</v>
      </c>
      <c r="AC149" s="1955">
        <f>IF($D$2="$ K",Calc!S137,Calc!S137/1000)</f>
        <v>125.8387721014273</v>
      </c>
      <c r="AD149" s="1953">
        <f>IF(Calc!BC137=0,0,IF($D$2="$ M",Calc!CM137/1000,Calc!CM137))</f>
        <v>0</v>
      </c>
      <c r="AE149" s="1955">
        <f>IF($D$2="$ K",Calc!T137,Calc!T137/1000)</f>
        <v>129.3479803452237</v>
      </c>
      <c r="AF149" s="1953">
        <f>IF(Calc!BD137=0,0,IF($D$2="$ M",Calc!CN137/1000,Calc!CN137))</f>
        <v>0</v>
      </c>
      <c r="AG149" s="1955">
        <f>IF($D$2="$ K",Calc!U137,Calc!U137/1000)</f>
        <v>160.05474142751325</v>
      </c>
      <c r="AH149" s="1953">
        <f>IF(Calc!BE137=0,0,IF($D$2="$ M",Calc!CO137/1000,Calc!CO137))</f>
        <v>0</v>
      </c>
      <c r="AI149" s="1955">
        <f>IF($D$2="$ K",Calc!V137,Calc!V137/1000)</f>
        <v>176.65066693991574</v>
      </c>
      <c r="AJ149" s="1953">
        <f>IF(Calc!BF137=0,0,IF($D$2="$ M",Calc!CP137/1000,Calc!CP137))</f>
        <v>0</v>
      </c>
      <c r="AK149" s="1955">
        <f>IF($D$2="$ K",Calc!W137,Calc!W137/1000)</f>
        <v>202.96925329796318</v>
      </c>
      <c r="AL149" s="1953">
        <f>IF(Calc!BG137=0,0,IF($D$2="$ M",Calc!CQ137/1000,Calc!CQ137))</f>
        <v>0</v>
      </c>
      <c r="AM149" s="1955">
        <f>IF($D$2="$ K",Calc!X137,Calc!X137/1000)</f>
        <v>252.78709082071077</v>
      </c>
      <c r="AN149" s="1953">
        <f>IF(Calc!BH137=0,0,IF($D$2="$ M",Calc!CR137/1000,Calc!CR137))</f>
        <v>0</v>
      </c>
      <c r="AO149" s="1955">
        <f>IF($D$2="$ K",Calc!Y137,Calc!Y137/1000)</f>
        <v>0</v>
      </c>
      <c r="AP149" s="1953">
        <f>IF(Calc!BJ137=0,0,IF($D$2="$ M",Calc!CS137/1000,Calc!CS137))</f>
        <v>0</v>
      </c>
      <c r="AQ149" s="1955">
        <f>IF($D$2="$ K",Calc!Z137,Calc!Z137/1000)</f>
        <v>0</v>
      </c>
      <c r="AR149" s="1953">
        <f>IF(Calc!BL137=0,0,IF($D$2="$ M",Calc!CT137/1000,Calc!CT137))</f>
        <v>0</v>
      </c>
      <c r="AS149" s="1955">
        <f>IF($D$2="$ K",Calc!AA137,Calc!AA137/1000)</f>
        <v>0</v>
      </c>
      <c r="AT149" s="1953">
        <f>IF(Calc!BN137=0,0,IF($D$2="$ M",Calc!CU137/1000,Calc!CU137))</f>
        <v>0</v>
      </c>
      <c r="AU149" s="1955">
        <f>IF($D$2="$ K",Calc!AB137,Calc!AB137/1000)</f>
        <v>0</v>
      </c>
      <c r="AV149" s="1953">
        <f>IF(Calc!BP137=0,0,IF($D$2="$ M",Calc!CV137/1000,Calc!CV137))</f>
        <v>0</v>
      </c>
      <c r="AW149" s="1955">
        <f>IF($D$2="$ K",Calc!AC137,Calc!AC137/1000)</f>
        <v>0</v>
      </c>
      <c r="AX149" s="1953">
        <f>IF(Calc!BR137=0,0,IF($D$2="$ M",Calc!CW137/1000,Calc!CW137))</f>
        <v>0</v>
      </c>
      <c r="AY149" s="1955">
        <f>IF($D$2="$ K",Calc!AD137,Calc!AD137/1000)</f>
        <v>0</v>
      </c>
      <c r="AZ149" s="1953">
        <f>IF(Calc!BT137=0,0,IF($D$2="$ M",Calc!CX137/1000,Calc!CX137))</f>
        <v>0</v>
      </c>
      <c r="BA149" s="1955">
        <f>IF($D$2="$ K",Calc!AE137,Calc!AE137/1000)</f>
        <v>0</v>
      </c>
      <c r="BB149" s="1953">
        <f>IF(Calc!BV137=0,0,IF($D$2="$ M",Calc!CY137/1000,Calc!CY137))</f>
        <v>0</v>
      </c>
      <c r="BC149" s="1955">
        <f>IF($D$2="$ K",Calc!AF137,Calc!AF137/1000)</f>
        <v>0</v>
      </c>
      <c r="BD149" s="1953">
        <f>IF(Calc!BX137=0,0,IF($D$2="$ M",Calc!CZ137/1000,Calc!CZ137))</f>
        <v>0</v>
      </c>
      <c r="BE149" s="1955">
        <f>IF($D$2="$ K",Calc!AG137,Calc!AG137/1000)</f>
        <v>0</v>
      </c>
      <c r="BF149" s="1953">
        <f>IF(Calc!BZ137=0,0,IF($D$2="$ M",Calc!DA137/1000,Calc!DA137))</f>
        <v>0</v>
      </c>
      <c r="BG149" s="1955">
        <f>IF($D$2="$ K",Calc!AH137,Calc!AH137/1000)</f>
        <v>0</v>
      </c>
      <c r="BH149" s="1953">
        <f>IF(Calc!CB137=0,0,IF($D$2="$ M",Calc!DB137/1000,Calc!DB137))</f>
        <v>0</v>
      </c>
      <c r="BI149" s="1955">
        <f>IF($D$2="$ K",Calc!AI137,Calc!AI137/1000)</f>
        <v>0</v>
      </c>
      <c r="BJ149" s="1953">
        <f>IF(Calc!BS137=0,0,IF($D$2="$ M",Calc!DC137/1000,Calc!DC137))</f>
        <v>0</v>
      </c>
      <c r="BK149" s="2383">
        <f>IF($D$2="$ K",Calc!AJ137,Calc!AJ137/1000)</f>
        <v>203.09620077328202</v>
      </c>
      <c r="BL149" s="1957"/>
      <c r="BM149" s="1958">
        <f>IF(Calc!BT137=0,0,IF($D$2="$ M",Calc!DD137/1000,Calc!DD137))</f>
        <v>0</v>
      </c>
      <c r="BN149" s="1260"/>
      <c r="BO149" s="2373"/>
      <c r="BP149" s="1884">
        <f>IF($D$2="$ K",Calc!AM137,Calc!AM137/1000)</f>
        <v>828.34129068852019</v>
      </c>
      <c r="BQ149" s="2360"/>
      <c r="BR149" s="1260"/>
      <c r="BS149" s="2145"/>
    </row>
    <row r="150" spans="1:71" s="1334" customFormat="1" ht="15" thickTop="1" x14ac:dyDescent="0.25">
      <c r="A150" s="1328"/>
      <c r="B150" s="1961" t="s">
        <v>1491</v>
      </c>
      <c r="C150" s="1962"/>
      <c r="D150" s="1963"/>
      <c r="E150" s="1964" t="str">
        <f>IF(Calc!G138=0,"",Calc!G138)</f>
        <v/>
      </c>
      <c r="F150" s="1963"/>
      <c r="G150" s="1965" t="str">
        <f>IF(Calc!H138=0,"",Calc!H138)</f>
        <v/>
      </c>
      <c r="H150" s="1963"/>
      <c r="I150" s="1965" t="str">
        <f>IF(Calc!I138=0,"",Calc!I138)</f>
        <v/>
      </c>
      <c r="J150" s="1963"/>
      <c r="K150" s="1965" t="str">
        <f>IF(Calc!J138=0,"",IF(ABS(Calc!J138)&gt;100%,"",Calc!J138))</f>
        <v/>
      </c>
      <c r="L150" s="1963"/>
      <c r="M150" s="1965" t="str">
        <f>IF(Calc!K138=0,"",IF(ABS(Calc!K138)&gt;100%,"",Calc!K138))</f>
        <v/>
      </c>
      <c r="N150" s="1963"/>
      <c r="O150" s="1965">
        <f>IF(Calc!L138=0,"",IF(ABS(Calc!L138)&gt;100%,"",Calc!L138))</f>
        <v>0.42030585551049982</v>
      </c>
      <c r="P150" s="1963"/>
      <c r="Q150" s="1965">
        <f>IF(Calc!M138=0,"",IF(ABS(Calc!M138)&gt;100%,"",Calc!M138))</f>
        <v>0.5955539992377078</v>
      </c>
      <c r="R150" s="1963"/>
      <c r="S150" s="1965">
        <f>IF(Calc!N138=0,"",IF(ABS(Calc!N138)&gt;100%,"",Calc!N138))</f>
        <v>0.64770984659399689</v>
      </c>
      <c r="T150" s="1963"/>
      <c r="U150" s="1965">
        <f>IF(Calc!O138=0,"",IF(ABS(Calc!O138)&gt;100%,"",Calc!O138))</f>
        <v>0.66135133936775792</v>
      </c>
      <c r="V150" s="1963"/>
      <c r="W150" s="1965">
        <f>IF(Calc!P138=0,"",IF(ABS(Calc!P138)&gt;100%,"",Calc!P138))</f>
        <v>0.66226034647111187</v>
      </c>
      <c r="X150" s="1963"/>
      <c r="Y150" s="1965">
        <f>IF(Calc!Q138=0,"",IF(ABS(Calc!Q138)&gt;100%,"",Calc!Q138))</f>
        <v>0.66242731311845271</v>
      </c>
      <c r="Z150" s="1963"/>
      <c r="AA150" s="1965">
        <f>IF(Calc!R138=0,"",IF(ABS(Calc!R138)&gt;100%,"",Calc!R138))</f>
        <v>0.65607929379853702</v>
      </c>
      <c r="AB150" s="1963"/>
      <c r="AC150" s="1965">
        <f>IF(Calc!S138=0,"",IF(ABS(Calc!S138)&gt;100%,"",Calc!S138))</f>
        <v>0.661648122607575</v>
      </c>
      <c r="AD150" s="1963"/>
      <c r="AE150" s="1965">
        <f>IF(Calc!T138=0,"",IF(ABS(Calc!T138)&gt;100%,"",Calc!T138))</f>
        <v>0.65055578971156236</v>
      </c>
      <c r="AF150" s="1963"/>
      <c r="AG150" s="1965">
        <f>IF(Calc!U138=0,"",IF(ABS(Calc!U138)&gt;100%,"",Calc!U138))</f>
        <v>0.66882309211657076</v>
      </c>
      <c r="AH150" s="1963"/>
      <c r="AI150" s="1965">
        <f>IF(Calc!V138=0,"",IF(ABS(Calc!V138)&gt;100%,"",Calc!V138))</f>
        <v>0.65783101750359874</v>
      </c>
      <c r="AJ150" s="1963"/>
      <c r="AK150" s="1965">
        <f>IF(Calc!W138=0,"",IF(ABS(Calc!W138)&gt;100%,"",Calc!W138))</f>
        <v>0.65749007695657191</v>
      </c>
      <c r="AL150" s="1963"/>
      <c r="AM150" s="1965">
        <f>IF(Calc!X138=0,"",IF(ABS(Calc!X138)&gt;100%,"",Calc!X138))</f>
        <v>1</v>
      </c>
      <c r="AN150" s="1963"/>
      <c r="AO150" s="1965" t="str">
        <f>IF(Calc!Y138=0,"",IF(ABS(Calc!Y138)&gt;100%,"",Calc!Y138))</f>
        <v/>
      </c>
      <c r="AP150" s="1963"/>
      <c r="AQ150" s="1965" t="str">
        <f>IF(Calc!Z138=0,"",IF(ABS(Calc!Z138)&gt;100%,"",Calc!Z138))</f>
        <v/>
      </c>
      <c r="AR150" s="1963"/>
      <c r="AS150" s="1965" t="str">
        <f>IF(Calc!AA138=0,"",IF(ABS(Calc!AA138)&gt;100%,"",Calc!AA138))</f>
        <v/>
      </c>
      <c r="AT150" s="1963"/>
      <c r="AU150" s="1965" t="str">
        <f>IF(Calc!AB138=0,"",IF(ABS(Calc!AB138)&gt;100%,"",Calc!AB138))</f>
        <v/>
      </c>
      <c r="AV150" s="1963"/>
      <c r="AW150" s="1965" t="str">
        <f>IF(Calc!AC138=0,"",IF(ABS(Calc!AC138)&gt;100%,"",Calc!AC138))</f>
        <v/>
      </c>
      <c r="AX150" s="1963"/>
      <c r="AY150" s="1965" t="str">
        <f>IF(Calc!AD138=0,"",IF(ABS(Calc!AD138)&gt;100%,"",Calc!AD138))</f>
        <v/>
      </c>
      <c r="AZ150" s="1963"/>
      <c r="BA150" s="1965" t="str">
        <f>IF(Calc!AE138=0,"",IF(ABS(Calc!AE138)&gt;100%,"",Calc!AE138))</f>
        <v/>
      </c>
      <c r="BB150" s="1963"/>
      <c r="BC150" s="1965" t="str">
        <f>IF(Calc!AF138=0,"",IF(ABS(Calc!AF138)&gt;100%,"",Calc!AF138))</f>
        <v/>
      </c>
      <c r="BD150" s="1963"/>
      <c r="BE150" s="1965" t="str">
        <f>IF(Calc!AG138=0,"",IF(ABS(Calc!AG138)&gt;100%,"",Calc!AG138))</f>
        <v/>
      </c>
      <c r="BF150" s="1963"/>
      <c r="BG150" s="1965" t="str">
        <f>IF(Calc!AH138=0,"",IF(ABS(Calc!AH138)&gt;100%,"",Calc!AH138))</f>
        <v/>
      </c>
      <c r="BH150" s="1963"/>
      <c r="BI150" s="1965" t="str">
        <f>IF(Calc!AI138=0,"",IF(ABS(Calc!AI138)&gt;100%,"",Calc!AI138))</f>
        <v/>
      </c>
      <c r="BJ150" s="1963"/>
      <c r="BK150" s="2384">
        <f>IF(ABS(Calc!AJ138)&gt;100%,"",Calc!AJ138)</f>
        <v>0.53954685433926319</v>
      </c>
      <c r="BL150" s="1967"/>
      <c r="BM150" s="1968"/>
      <c r="BN150" s="1943"/>
      <c r="BO150" s="2377"/>
      <c r="BP150" s="1966">
        <f>IF(ABS(BP149/$BP$140)&gt;100%,"",BP149/$BP$140)</f>
        <v>0.6259406271339224</v>
      </c>
      <c r="BQ150" s="2381"/>
      <c r="BR150" s="1328"/>
      <c r="BS150" s="2380"/>
    </row>
    <row r="151" spans="1:71" s="1265" customFormat="1" ht="18" x14ac:dyDescent="0.3">
      <c r="A151" s="1260"/>
      <c r="B151" s="1297" t="s">
        <v>1492</v>
      </c>
      <c r="C151" s="1944">
        <f>IF($D$2="$ K",Calc!F139,Calc!F139/1000)</f>
        <v>0</v>
      </c>
      <c r="D151" s="1916">
        <f>IF(Calc!AP139=0,0,IF($D$2="$ M",Calc!BZ139/1000,Calc!BZ139))</f>
        <v>0</v>
      </c>
      <c r="E151" s="1946">
        <f>IF($D$2="$ K",Calc!G139,Calc!G139/1000)</f>
        <v>0</v>
      </c>
      <c r="F151" s="1916">
        <f>IF(Calc!AQ139=0,0,IF($D$2="$ M",Calc!CA139/1000,Calc!CA139))</f>
        <v>0</v>
      </c>
      <c r="G151" s="1947">
        <f>IF($D$2="$ K",Calc!H139,Calc!H139/1000)</f>
        <v>0</v>
      </c>
      <c r="H151" s="1916">
        <f>IF(Calc!AR139=0,0,IF($D$2="$ M",Calc!CB139/1000,Calc!CB139))</f>
        <v>0</v>
      </c>
      <c r="I151" s="1947">
        <f>IF($D$2="$ K",Calc!I139,Calc!I139/1000)</f>
        <v>0</v>
      </c>
      <c r="J151" s="1916">
        <f>IF(Calc!AS139=0,0,IF($D$2="$ M",Calc!CC139/1000,Calc!CC139))</f>
        <v>0</v>
      </c>
      <c r="K151" s="1947">
        <f>IF($D$2="$ K",Calc!J139,Calc!J139/1000)</f>
        <v>0</v>
      </c>
      <c r="L151" s="1916">
        <f>IF(Calc!AT139=0,0,IF($D$2="$ M",Calc!CD139/1000,Calc!CD139))</f>
        <v>0</v>
      </c>
      <c r="M151" s="1947">
        <f>IF($D$2="$ K",Calc!K139,Calc!K139/1000)</f>
        <v>0</v>
      </c>
      <c r="N151" s="1916">
        <f>IF(Calc!AU139=0,0,IF($D$2="$ M",Calc!CE139/1000,Calc!CE139))</f>
        <v>0</v>
      </c>
      <c r="O151" s="1947">
        <f>IF($D$2="$ K",Calc!L139,Calc!L139/1000)</f>
        <v>0.93333333333333335</v>
      </c>
      <c r="P151" s="1916">
        <f>IF(Calc!AV139=0,0,IF($D$2="$ M",Calc!CF139/1000,Calc!CF139))</f>
        <v>0</v>
      </c>
      <c r="Q151" s="1947">
        <f>IF($D$2="$ K",Calc!M139,Calc!M139/1000)</f>
        <v>0.93333333333333335</v>
      </c>
      <c r="R151" s="1916">
        <f>IF(Calc!AW139=0,0,IF($D$2="$ M",Calc!CG139/1000,Calc!CG139))</f>
        <v>0</v>
      </c>
      <c r="S151" s="1947">
        <f>IF($D$2="$ K",Calc!N139,Calc!N139/1000)</f>
        <v>0.93333333333333335</v>
      </c>
      <c r="T151" s="1916">
        <f>IF(Calc!AX139=0,0,IF($D$2="$ M",Calc!CH139/1000,Calc!CH139))</f>
        <v>0</v>
      </c>
      <c r="U151" s="1947">
        <f>IF($D$2="$ K",Calc!O139,Calc!O139/1000)</f>
        <v>0.93333333333333335</v>
      </c>
      <c r="V151" s="1916">
        <f>IF(Calc!AY139=0,0,IF($D$2="$ M",Calc!CI139/1000,Calc!CI139))</f>
        <v>0</v>
      </c>
      <c r="W151" s="1947">
        <f>IF($D$2="$ K",Calc!P139,Calc!P139/1000)</f>
        <v>0.93333333333333335</v>
      </c>
      <c r="X151" s="1916">
        <f>IF(Calc!AZ139=0,0,IF($D$2="$ M",Calc!CJ139/1000,Calc!CJ139))</f>
        <v>0</v>
      </c>
      <c r="Y151" s="1947">
        <f>IF($D$2="$ K",Calc!Q139,Calc!Q139/1000)</f>
        <v>0.93333333333333335</v>
      </c>
      <c r="Z151" s="1916">
        <f>IF(Calc!BA139=0,0,IF($D$2="$ M",Calc!CK139/1000,Calc!CK139))</f>
        <v>0</v>
      </c>
      <c r="AA151" s="1947">
        <f>IF($D$2="$ K",Calc!R139,Calc!R139/1000)</f>
        <v>0.93333333333333335</v>
      </c>
      <c r="AB151" s="1916">
        <f>IF(Calc!BB139=0,0,IF($D$2="$ M",Calc!CL139/1000,Calc!CL139))</f>
        <v>0</v>
      </c>
      <c r="AC151" s="1947">
        <f>IF($D$2="$ K",Calc!S139,Calc!S139/1000)</f>
        <v>0.93333333333333335</v>
      </c>
      <c r="AD151" s="1916">
        <f>IF(Calc!BC139=0,0,IF($D$2="$ M",Calc!CM139/1000,Calc!CM139))</f>
        <v>0</v>
      </c>
      <c r="AE151" s="1947">
        <f>IF($D$2="$ K",Calc!T139,Calc!T139/1000)</f>
        <v>0.93333333333333335</v>
      </c>
      <c r="AF151" s="1916">
        <f>IF(Calc!BD139=0,0,IF($D$2="$ M",Calc!CN139/1000,Calc!CN139))</f>
        <v>0</v>
      </c>
      <c r="AG151" s="1947">
        <f>IF($D$2="$ K",Calc!U139,Calc!U139/1000)</f>
        <v>0.93333333333333335</v>
      </c>
      <c r="AH151" s="1916">
        <f>IF(Calc!BE139=0,0,IF($D$2="$ M",Calc!CO139/1000,Calc!CO139))</f>
        <v>0</v>
      </c>
      <c r="AI151" s="1947">
        <f>IF($D$2="$ K",Calc!V139,Calc!V139/1000)</f>
        <v>0.93333333333333335</v>
      </c>
      <c r="AJ151" s="1916">
        <f>IF(Calc!BF139=0,0,IF($D$2="$ M",Calc!CP139/1000,Calc!CP139))</f>
        <v>0</v>
      </c>
      <c r="AK151" s="1947">
        <f>IF($D$2="$ K",Calc!W139,Calc!W139/1000)</f>
        <v>0.93333333333333335</v>
      </c>
      <c r="AL151" s="1916">
        <f>IF(Calc!BG139=0,0,IF($D$2="$ M",Calc!CQ139/1000,Calc!CQ139))</f>
        <v>0</v>
      </c>
      <c r="AM151" s="1947">
        <f>IF($D$2="$ K",Calc!X139,Calc!X139/1000)</f>
        <v>0.93333333333333335</v>
      </c>
      <c r="AN151" s="1916">
        <f>IF(Calc!BH139=0,0,IF($D$2="$ M",Calc!CR139/1000,Calc!CR139))</f>
        <v>0</v>
      </c>
      <c r="AO151" s="1947">
        <f>IF($D$2="$ K",Calc!Y139,Calc!Y139/1000)</f>
        <v>0.93333333333333335</v>
      </c>
      <c r="AP151" s="1916">
        <f>IF(Calc!BJ139=0,0,IF($D$2="$ M",Calc!CS139/1000,Calc!CS139))</f>
        <v>0</v>
      </c>
      <c r="AQ151" s="1947">
        <f>IF($D$2="$ K",Calc!Z139,Calc!Z139/1000)</f>
        <v>0.93333333333333335</v>
      </c>
      <c r="AR151" s="1916">
        <f>IF(Calc!BL139=0,0,IF($D$2="$ M",Calc!CT139/1000,Calc!CT139))</f>
        <v>0</v>
      </c>
      <c r="AS151" s="1947">
        <f>IF($D$2="$ K",Calc!AA139,Calc!AA139/1000)</f>
        <v>0</v>
      </c>
      <c r="AT151" s="1916">
        <f>IF(Calc!BN139=0,0,IF($D$2="$ M",Calc!CU139/1000,Calc!CU139))</f>
        <v>0</v>
      </c>
      <c r="AU151" s="1947">
        <f>IF($D$2="$ K",Calc!AB139,Calc!AB139/1000)</f>
        <v>0</v>
      </c>
      <c r="AV151" s="1916">
        <f>IF(Calc!BP139=0,0,IF($D$2="$ M",Calc!CV139/1000,Calc!CV139))</f>
        <v>0</v>
      </c>
      <c r="AW151" s="1947">
        <f>IF($D$2="$ K",Calc!AC139,Calc!AC139/1000)</f>
        <v>0</v>
      </c>
      <c r="AX151" s="1916">
        <f>IF(Calc!BR139=0,0,IF($D$2="$ M",Calc!CW139/1000,Calc!CW139))</f>
        <v>0</v>
      </c>
      <c r="AY151" s="1947">
        <f>IF($D$2="$ K",Calc!AD139,Calc!AD139/1000)</f>
        <v>0</v>
      </c>
      <c r="AZ151" s="1916">
        <f>IF(Calc!BT139=0,0,IF($D$2="$ M",Calc!CX139/1000,Calc!CX139))</f>
        <v>0</v>
      </c>
      <c r="BA151" s="1947">
        <f>IF($D$2="$ K",Calc!AE139,Calc!AE139/1000)</f>
        <v>0</v>
      </c>
      <c r="BB151" s="1916">
        <f>IF(Calc!BV139=0,0,IF($D$2="$ M",Calc!CY139/1000,Calc!CY139))</f>
        <v>0</v>
      </c>
      <c r="BC151" s="1947">
        <f>IF($D$2="$ K",Calc!AF139,Calc!AF139/1000)</f>
        <v>0</v>
      </c>
      <c r="BD151" s="1916">
        <f>IF(Calc!BX139=0,0,IF($D$2="$ M",Calc!CZ139/1000,Calc!CZ139))</f>
        <v>0</v>
      </c>
      <c r="BE151" s="1947">
        <f>IF($D$2="$ K",Calc!AG139,Calc!AG139/1000)</f>
        <v>0</v>
      </c>
      <c r="BF151" s="1916">
        <f>IF(Calc!BZ139=0,0,IF($D$2="$ M",Calc!DA139/1000,Calc!DA139))</f>
        <v>0</v>
      </c>
      <c r="BG151" s="1947">
        <f>IF($D$2="$ K",Calc!AH139,Calc!AH139/1000)</f>
        <v>0</v>
      </c>
      <c r="BH151" s="1916">
        <f>IF(Calc!CB139=0,0,IF($D$2="$ M",Calc!DB139/1000,Calc!DB139))</f>
        <v>0</v>
      </c>
      <c r="BI151" s="1947">
        <f>IF($D$2="$ K",Calc!AI139,Calc!AI139/1000)</f>
        <v>0</v>
      </c>
      <c r="BJ151" s="1916">
        <f>IF(Calc!BS139=0,0,IF($D$2="$ M",Calc!DC139/1000,Calc!DC139))</f>
        <v>0</v>
      </c>
      <c r="BK151" s="2372">
        <f>IF($D$2="$ K",Calc!AJ139,Calc!AJ139/1000)</f>
        <v>4.666666666666667</v>
      </c>
      <c r="BL151" s="1969"/>
      <c r="BM151" s="1921">
        <f>IF(Calc!BT139=0,0,IF($D$2="$ M",Calc!DD139/1000,Calc!DD139))</f>
        <v>0</v>
      </c>
      <c r="BN151" s="1260"/>
      <c r="BO151" s="2373"/>
      <c r="BP151" s="1919">
        <f>SUM(E151,G151,I151,K151,M151,O151,Q151,S151,U151,W151,Y151,AA151,AC151,AE151,AG151)</f>
        <v>9.3333333333333339</v>
      </c>
      <c r="BQ151" s="2385">
        <f>BP151/$BP$140</f>
        <v>7.0527843843938105E-3</v>
      </c>
      <c r="BR151" s="1260"/>
      <c r="BS151" s="2145"/>
    </row>
    <row r="152" spans="1:71" s="1265" customFormat="1" ht="18" x14ac:dyDescent="0.3">
      <c r="A152" s="1973">
        <v>0.38</v>
      </c>
      <c r="B152" s="1297" t="s">
        <v>1493</v>
      </c>
      <c r="C152" s="1915">
        <f>IF($D$2="$ K",Calc!F140,Calc!F140/1000)</f>
        <v>0</v>
      </c>
      <c r="D152" s="1916">
        <f>IF(Calc!AP140=0,0,IF($D$2="$ M",Calc!BZ140/1000,Calc!BZ140))</f>
        <v>0</v>
      </c>
      <c r="E152" s="1917">
        <f>IF($D$2="$ K",Calc!G140,Calc!G140/1000)</f>
        <v>-1.407957794652444</v>
      </c>
      <c r="F152" s="1916">
        <f>IF(Calc!AQ140=0,0,IF($D$2="$ M",Calc!CA140/1000,Calc!CA140))</f>
        <v>0</v>
      </c>
      <c r="G152" s="1918">
        <f>IF($D$2="$ K",Calc!H140,Calc!H140/1000)</f>
        <v>-1.2461770543783139</v>
      </c>
      <c r="H152" s="1916">
        <f>IF(Calc!AR140=0,0,IF($D$2="$ M",Calc!CB140/1000,Calc!CB140))</f>
        <v>0</v>
      </c>
      <c r="I152" s="1918">
        <f>IF($D$2="$ K",Calc!I140,Calc!I140/1000)</f>
        <v>-3.0347914958265121</v>
      </c>
      <c r="J152" s="1916">
        <f>IF(Calc!AS140=0,0,IF($D$2="$ M",Calc!CC140/1000,Calc!CC140))</f>
        <v>0</v>
      </c>
      <c r="K152" s="1918">
        <f>IF($D$2="$ K",Calc!J140,Calc!J140/1000)</f>
        <v>-3.1460877457394814</v>
      </c>
      <c r="L152" s="1916">
        <f>IF(Calc!AT140=0,0,IF($D$2="$ M",Calc!CD140/1000,Calc!CD140))</f>
        <v>0</v>
      </c>
      <c r="M152" s="1918">
        <f>IF($D$2="$ K",Calc!K140,Calc!K140/1000)</f>
        <v>-1.921530766709397</v>
      </c>
      <c r="N152" s="1916">
        <f>IF(Calc!AU140=0,0,IF($D$2="$ M",Calc!CE140/1000,Calc!CE140))</f>
        <v>0</v>
      </c>
      <c r="O152" s="1918">
        <f>IF($D$2="$ K",Calc!L140,Calc!L140/1000)</f>
        <v>1.7001572058632299</v>
      </c>
      <c r="P152" s="1916">
        <f>IF(Calc!AV140=0,0,IF($D$2="$ M",Calc!CF140/1000,Calc!CF140))</f>
        <v>0</v>
      </c>
      <c r="Q152" s="1918">
        <f>IF($D$2="$ K",Calc!M140,Calc!M140/1000)</f>
        <v>6.1701997663267649</v>
      </c>
      <c r="R152" s="1916">
        <f>IF(Calc!AW140=0,0,IF($D$2="$ M",Calc!CG140/1000,Calc!CG140))</f>
        <v>0</v>
      </c>
      <c r="S152" s="1918">
        <f>IF($D$2="$ K",Calc!N140,Calc!N140/1000)</f>
        <v>13.072882384064176</v>
      </c>
      <c r="T152" s="1916">
        <f>IF(Calc!AX140=0,0,IF($D$2="$ M",Calc!CH140/1000,Calc!CH140))</f>
        <v>0</v>
      </c>
      <c r="U152" s="1918">
        <f>IF($D$2="$ K",Calc!O140,Calc!O140/1000)</f>
        <v>20.167358896697987</v>
      </c>
      <c r="V152" s="1916">
        <f>IF(Calc!AY140=0,0,IF($D$2="$ M",Calc!CI140/1000,Calc!CI140))</f>
        <v>0</v>
      </c>
      <c r="W152" s="1918">
        <f>IF($D$2="$ K",Calc!P140,Calc!P140/1000)</f>
        <v>25.206216154206309</v>
      </c>
      <c r="X152" s="1916">
        <f>IF(Calc!AZ140=0,0,IF($D$2="$ M",Calc!CJ140/1000,Calc!CJ140))</f>
        <v>0</v>
      </c>
      <c r="Y152" s="1918">
        <f>IF($D$2="$ K",Calc!Q140,Calc!Q140/1000)</f>
        <v>28.092031579874906</v>
      </c>
      <c r="Z152" s="1916">
        <f>IF(Calc!BA140=0,0,IF($D$2="$ M",Calc!CK140/1000,Calc!CK140))</f>
        <v>0</v>
      </c>
      <c r="AA152" s="1918">
        <f>IF($D$2="$ K",Calc!R140,Calc!R140/1000)</f>
        <v>30.186308644959102</v>
      </c>
      <c r="AB152" s="1916">
        <f>IF(Calc!BB140=0,0,IF($D$2="$ M",Calc!CL140/1000,Calc!CL140))</f>
        <v>0</v>
      </c>
      <c r="AC152" s="1918">
        <f>IF($D$2="$ K",Calc!S140,Calc!S140/1000)</f>
        <v>34.973522855066314</v>
      </c>
      <c r="AD152" s="1916">
        <f>IF(Calc!BC140=0,0,IF($D$2="$ M",Calc!CM140/1000,Calc!CM140))</f>
        <v>0</v>
      </c>
      <c r="AE152" s="1918">
        <f>IF($D$2="$ K",Calc!T140,Calc!T140/1000)</f>
        <v>35.956101163329308</v>
      </c>
      <c r="AF152" s="1916">
        <f>IF(Calc!BD140=0,0,IF($D$2="$ M",Calc!CN140/1000,Calc!CN140))</f>
        <v>0</v>
      </c>
      <c r="AG152" s="1918">
        <f>IF($D$2="$ K",Calc!U140,Calc!U140/1000)</f>
        <v>44.553994266370374</v>
      </c>
      <c r="AH152" s="1916">
        <f>IF(Calc!BE140=0,0,IF($D$2="$ M",Calc!CO140/1000,Calc!CO140))</f>
        <v>0</v>
      </c>
      <c r="AI152" s="1918">
        <f>IF($D$2="$ K",Calc!V140,Calc!V140/1000)</f>
        <v>49.200853409843077</v>
      </c>
      <c r="AJ152" s="1916">
        <f>IF(Calc!BF140=0,0,IF($D$2="$ M",Calc!CP140/1000,Calc!CP140))</f>
        <v>0</v>
      </c>
      <c r="AK152" s="1918">
        <f>IF($D$2="$ K",Calc!W140,Calc!W140/1000)</f>
        <v>56.570057590096361</v>
      </c>
      <c r="AL152" s="1916">
        <f>IF(Calc!BG140=0,0,IF($D$2="$ M",Calc!CQ140/1000,Calc!CQ140))</f>
        <v>0</v>
      </c>
      <c r="AM152" s="1918">
        <f>IF($D$2="$ K",Calc!X140,Calc!X140/1000)</f>
        <v>70.519052096465686</v>
      </c>
      <c r="AN152" s="1916">
        <f>IF(Calc!BH140=0,0,IF($D$2="$ M",Calc!CR140/1000,Calc!CR140))</f>
        <v>0</v>
      </c>
      <c r="AO152" s="1918">
        <f>IF($D$2="$ K",Calc!Y140,Calc!Y140/1000)</f>
        <v>-0.26133333333333336</v>
      </c>
      <c r="AP152" s="1916">
        <f>IF(Calc!BJ140=0,0,IF($D$2="$ M",Calc!CS140/1000,Calc!CS140))</f>
        <v>0</v>
      </c>
      <c r="AQ152" s="1918">
        <f>IF($D$2="$ K",Calc!Z140,Calc!Z140/1000)</f>
        <v>-0.26133333333333336</v>
      </c>
      <c r="AR152" s="1916">
        <f>IF(Calc!BL140=0,0,IF($D$2="$ M",Calc!CT140/1000,Calc!CT140))</f>
        <v>0</v>
      </c>
      <c r="AS152" s="1918">
        <f>IF($D$2="$ K",Calc!AA140,Calc!AA140/1000)</f>
        <v>0</v>
      </c>
      <c r="AT152" s="1916">
        <f>IF(Calc!BN140=0,0,IF($D$2="$ M",Calc!CU140/1000,Calc!CU140))</f>
        <v>0</v>
      </c>
      <c r="AU152" s="1918">
        <f>IF($D$2="$ K",Calc!AB140,Calc!AB140/1000)</f>
        <v>0</v>
      </c>
      <c r="AV152" s="1916">
        <f>IF(Calc!BP140=0,0,IF($D$2="$ M",Calc!CV140/1000,Calc!CV140))</f>
        <v>0</v>
      </c>
      <c r="AW152" s="1918">
        <f>IF($D$2="$ K",Calc!AC140,Calc!AC140/1000)</f>
        <v>0</v>
      </c>
      <c r="AX152" s="1916">
        <f>IF(Calc!BR140=0,0,IF($D$2="$ M",Calc!CW140/1000,Calc!CW140))</f>
        <v>0</v>
      </c>
      <c r="AY152" s="1918">
        <f>IF($D$2="$ K",Calc!AD140,Calc!AD140/1000)</f>
        <v>0</v>
      </c>
      <c r="AZ152" s="1916">
        <f>IF(Calc!BT140=0,0,IF($D$2="$ M",Calc!CX140/1000,Calc!CX140))</f>
        <v>0</v>
      </c>
      <c r="BA152" s="1918">
        <f>IF($D$2="$ K",Calc!AE140,Calc!AE140/1000)</f>
        <v>0</v>
      </c>
      <c r="BB152" s="1916">
        <f>IF(Calc!BV140=0,0,IF($D$2="$ M",Calc!CY140/1000,Calc!CY140))</f>
        <v>0</v>
      </c>
      <c r="BC152" s="1918">
        <f>IF($D$2="$ K",Calc!AF140,Calc!AF140/1000)</f>
        <v>0</v>
      </c>
      <c r="BD152" s="1916">
        <f>IF(Calc!BX140=0,0,IF($D$2="$ M",Calc!CZ140/1000,Calc!CZ140))</f>
        <v>0</v>
      </c>
      <c r="BE152" s="1918">
        <f>IF($D$2="$ K",Calc!AG140,Calc!AG140/1000)</f>
        <v>0</v>
      </c>
      <c r="BF152" s="1916">
        <f>IF(Calc!BZ140=0,0,IF($D$2="$ M",Calc!DA140/1000,Calc!DA140))</f>
        <v>0</v>
      </c>
      <c r="BG152" s="1918">
        <f>IF($D$2="$ K",Calc!AH140,Calc!AH140/1000)</f>
        <v>0</v>
      </c>
      <c r="BH152" s="1916">
        <f>IF(Calc!CB140=0,0,IF($D$2="$ M",Calc!DB140/1000,Calc!DB140))</f>
        <v>0</v>
      </c>
      <c r="BI152" s="1918">
        <f>IF($D$2="$ K",Calc!AI140,Calc!AI140/1000)</f>
        <v>0</v>
      </c>
      <c r="BJ152" s="1916">
        <f>IF(Calc!BS140=0,0,IF($D$2="$ M",Calc!DC140/1000,Calc!DC140))</f>
        <v>0</v>
      </c>
      <c r="BK152" s="2372">
        <f>IF($D$2="$ K",Calc!AJ140,Calc!AJ140/1000)</f>
        <v>55.560269549852322</v>
      </c>
      <c r="BL152" s="1922">
        <f>Calc!AK140</f>
        <v>0.273566267307357</v>
      </c>
      <c r="BM152" s="1921">
        <f>IF(Calc!BT140=0,0,IF($D$2="$ M",Calc!DD140/1000,Calc!DD140))</f>
        <v>0</v>
      </c>
      <c r="BN152" s="1260"/>
      <c r="BO152" s="2373"/>
      <c r="BP152" s="1919">
        <f>IF($D$2="$ K",Calc!AM140,Calc!AM140/1000)</f>
        <v>229.32222805945236</v>
      </c>
      <c r="BQ152" s="2374">
        <f>BP152/$BP$140</f>
        <v>0.17328859596986804</v>
      </c>
      <c r="BR152" s="1260"/>
      <c r="BS152" s="2145"/>
    </row>
    <row r="153" spans="1:71" s="1265" customFormat="1" ht="18" x14ac:dyDescent="0.3">
      <c r="A153" s="1260"/>
      <c r="B153" s="1924" t="s">
        <v>674</v>
      </c>
      <c r="C153" s="1925">
        <f>IF($D$2="$ K",Calc!F141,Calc!F141/1000)</f>
        <v>0</v>
      </c>
      <c r="D153" s="1926">
        <f>IF(Calc!AP141=0,0,IF($D$2="$ M",Calc!BZ141/1000,Calc!BZ141))</f>
        <v>0</v>
      </c>
      <c r="E153" s="1927">
        <f>IF($D$2="$ K",Calc!G141,Calc!G141/1000)</f>
        <v>-3.620462900534855</v>
      </c>
      <c r="F153" s="1926">
        <f>IF(Calc!AQ141=0,0,IF($D$2="$ M",Calc!CA141/1000,Calc!CA141))</f>
        <v>0</v>
      </c>
      <c r="G153" s="1928">
        <f>IF($D$2="$ K",Calc!H141,Calc!H141/1000)</f>
        <v>-3.2044552826870922</v>
      </c>
      <c r="H153" s="1926">
        <f>IF(Calc!AR141=0,0,IF($D$2="$ M",Calc!CB141/1000,Calc!CB141))</f>
        <v>0</v>
      </c>
      <c r="I153" s="1928">
        <f>IF($D$2="$ K",Calc!I141,Calc!I141/1000)</f>
        <v>-7.803749560696744</v>
      </c>
      <c r="J153" s="1926">
        <f>IF(Calc!AS141=0,0,IF($D$2="$ M",Calc!CC141/1000,Calc!CC141))</f>
        <v>0</v>
      </c>
      <c r="K153" s="1928">
        <f>IF($D$2="$ K",Calc!J141,Calc!J141/1000)</f>
        <v>-8.0899399176158084</v>
      </c>
      <c r="L153" s="1926">
        <f>IF(Calc!AT141=0,0,IF($D$2="$ M",Calc!CD141/1000,Calc!CD141))</f>
        <v>0</v>
      </c>
      <c r="M153" s="1928">
        <f>IF($D$2="$ K",Calc!K141,Calc!K141/1000)</f>
        <v>-4.9410791143955919</v>
      </c>
      <c r="N153" s="1926">
        <f>IF(Calc!AU141=0,0,IF($D$2="$ M",Calc!CE141/1000,Calc!CE141))</f>
        <v>0</v>
      </c>
      <c r="O153" s="1928">
        <f>IF($D$2="$ K",Calc!L141,Calc!L141/1000)</f>
        <v>4.3718328150768766</v>
      </c>
      <c r="P153" s="1926">
        <f>IF(Calc!AV141=0,0,IF($D$2="$ M",Calc!CF141/1000,Calc!CF141))</f>
        <v>0</v>
      </c>
      <c r="Q153" s="1928">
        <f>IF($D$2="$ K",Calc!M141,Calc!M141/1000)</f>
        <v>15.866227970554537</v>
      </c>
      <c r="R153" s="1926">
        <f>IF(Calc!AW141=0,0,IF($D$2="$ M",Calc!CG141/1000,Calc!CG141))</f>
        <v>0</v>
      </c>
      <c r="S153" s="1928">
        <f>IF($D$2="$ K",Calc!N141,Calc!N141/1000)</f>
        <v>33.615983273307876</v>
      </c>
      <c r="T153" s="1926">
        <f>IF(Calc!AX141=0,0,IF($D$2="$ M",Calc!CH141/1000,Calc!CH141))</f>
        <v>0</v>
      </c>
      <c r="U153" s="1928">
        <f>IF($D$2="$ K",Calc!O141,Calc!O141/1000)</f>
        <v>51.858922877223392</v>
      </c>
      <c r="V153" s="1926">
        <f>IF(Calc!AY141=0,0,IF($D$2="$ M",Calc!CI141/1000,Calc!CI141))</f>
        <v>0</v>
      </c>
      <c r="W153" s="1928">
        <f>IF($D$2="$ K",Calc!P141,Calc!P141/1000)</f>
        <v>64.815984396530496</v>
      </c>
      <c r="X153" s="1926">
        <f>IF(Calc!AZ141=0,0,IF($D$2="$ M",Calc!CJ141/1000,Calc!CJ141))</f>
        <v>0</v>
      </c>
      <c r="Y153" s="1928">
        <f>IF($D$2="$ K",Calc!Q141,Calc!Q141/1000)</f>
        <v>72.236652633964042</v>
      </c>
      <c r="Z153" s="1926">
        <f>IF(Calc!BA141=0,0,IF($D$2="$ M",Calc!CK141/1000,Calc!CK141))</f>
        <v>0</v>
      </c>
      <c r="AA153" s="1928">
        <f>IF($D$2="$ K",Calc!R141,Calc!R141/1000)</f>
        <v>77.621936515609107</v>
      </c>
      <c r="AB153" s="1926">
        <f>IF(Calc!BB141=0,0,IF($D$2="$ M",Calc!CL141/1000,Calc!CL141))</f>
        <v>0</v>
      </c>
      <c r="AC153" s="1928">
        <f>IF($D$2="$ K",Calc!S141,Calc!S141/1000)</f>
        <v>89.931915913027652</v>
      </c>
      <c r="AD153" s="1926">
        <f>IF(Calc!BC141=0,0,IF($D$2="$ M",Calc!CM141/1000,Calc!CM141))</f>
        <v>0</v>
      </c>
      <c r="AE153" s="1928">
        <f>IF($D$2="$ K",Calc!T141,Calc!T141/1000)</f>
        <v>92.458545848561059</v>
      </c>
      <c r="AF153" s="1926">
        <f>IF(Calc!BD141=0,0,IF($D$2="$ M",Calc!CN141/1000,Calc!CN141))</f>
        <v>0</v>
      </c>
      <c r="AG153" s="1928">
        <f>IF($D$2="$ K",Calc!U141,Calc!U141/1000)</f>
        <v>114.56741382780953</v>
      </c>
      <c r="AH153" s="1926">
        <f>IF(Calc!BE141=0,0,IF($D$2="$ M",Calc!CO141/1000,Calc!CO141))</f>
        <v>0</v>
      </c>
      <c r="AI153" s="1928">
        <f>IF($D$2="$ K",Calc!V141,Calc!V141/1000)</f>
        <v>126.51648019673931</v>
      </c>
      <c r="AJ153" s="1926">
        <f>IF(Calc!BF141=0,0,IF($D$2="$ M",Calc!CP141/1000,Calc!CP141))</f>
        <v>0</v>
      </c>
      <c r="AK153" s="1928">
        <f>IF($D$2="$ K",Calc!W141,Calc!W141/1000)</f>
        <v>145.46586237453349</v>
      </c>
      <c r="AL153" s="1926">
        <f>IF(Calc!BG141=0,0,IF($D$2="$ M",Calc!CQ141/1000,Calc!CQ141))</f>
        <v>0</v>
      </c>
      <c r="AM153" s="1928">
        <f>IF($D$2="$ K",Calc!X141,Calc!X141/1000)</f>
        <v>181.33470539091175</v>
      </c>
      <c r="AN153" s="1926">
        <f>IF(Calc!BH141=0,0,IF($D$2="$ M",Calc!CR141/1000,Calc!CR141))</f>
        <v>0</v>
      </c>
      <c r="AO153" s="1928">
        <f>IF($D$2="$ K",Calc!Y141,Calc!Y141/1000)</f>
        <v>-0.67200000000000004</v>
      </c>
      <c r="AP153" s="1926">
        <f>IF(Calc!BJ141=0,0,IF($D$2="$ M",Calc!CS141/1000,Calc!CS141))</f>
        <v>0</v>
      </c>
      <c r="AQ153" s="1928">
        <f>IF($D$2="$ K",Calc!Z141,Calc!Z141/1000)</f>
        <v>-0.67200000000000004</v>
      </c>
      <c r="AR153" s="1926">
        <f>IF(Calc!BL141=0,0,IF($D$2="$ M",Calc!CT141/1000,Calc!CT141))</f>
        <v>0</v>
      </c>
      <c r="AS153" s="1928">
        <f>IF($D$2="$ K",Calc!AA141,Calc!AA141/1000)</f>
        <v>0</v>
      </c>
      <c r="AT153" s="1926">
        <f>IF(Calc!BN141=0,0,IF($D$2="$ M",Calc!CU141/1000,Calc!CU141))</f>
        <v>0</v>
      </c>
      <c r="AU153" s="1928">
        <f>IF($D$2="$ K",Calc!AB141,Calc!AB141/1000)</f>
        <v>0</v>
      </c>
      <c r="AV153" s="1926">
        <f>IF(Calc!BP141=0,0,IF($D$2="$ M",Calc!CV141/1000,Calc!CV141))</f>
        <v>0</v>
      </c>
      <c r="AW153" s="1928">
        <f>IF($D$2="$ K",Calc!AC141,Calc!AC141/1000)</f>
        <v>0</v>
      </c>
      <c r="AX153" s="1926">
        <f>IF(Calc!BR141=0,0,IF($D$2="$ M",Calc!CW141/1000,Calc!CW141))</f>
        <v>0</v>
      </c>
      <c r="AY153" s="1928">
        <f>IF($D$2="$ K",Calc!AD141,Calc!AD141/1000)</f>
        <v>0</v>
      </c>
      <c r="AZ153" s="1926">
        <f>IF(Calc!BT141=0,0,IF($D$2="$ M",Calc!CX141/1000,Calc!CX141))</f>
        <v>0</v>
      </c>
      <c r="BA153" s="1928">
        <f>IF($D$2="$ K",Calc!AE141,Calc!AE141/1000)</f>
        <v>0</v>
      </c>
      <c r="BB153" s="1926">
        <f>IF(Calc!BV141=0,0,IF($D$2="$ M",Calc!CY141/1000,Calc!CY141))</f>
        <v>0</v>
      </c>
      <c r="BC153" s="1928">
        <f>IF($D$2="$ K",Calc!AF141,Calc!AF141/1000)</f>
        <v>0</v>
      </c>
      <c r="BD153" s="1926">
        <f>IF(Calc!BX141=0,0,IF($D$2="$ M",Calc!CZ141/1000,Calc!CZ141))</f>
        <v>0</v>
      </c>
      <c r="BE153" s="1928">
        <f>IF($D$2="$ K",Calc!AG141,Calc!AG141/1000)</f>
        <v>0</v>
      </c>
      <c r="BF153" s="1926">
        <f>IF(Calc!BZ141=0,0,IF($D$2="$ M",Calc!DA141/1000,Calc!DA141))</f>
        <v>0</v>
      </c>
      <c r="BG153" s="1928">
        <f>IF($D$2="$ K",Calc!AH141,Calc!AH141/1000)</f>
        <v>0</v>
      </c>
      <c r="BH153" s="1926">
        <f>IF(Calc!CB141=0,0,IF($D$2="$ M",Calc!DB141/1000,Calc!DB141))</f>
        <v>0</v>
      </c>
      <c r="BI153" s="1928">
        <f>IF($D$2="$ K",Calc!AI141,Calc!AI141/1000)</f>
        <v>0</v>
      </c>
      <c r="BJ153" s="1926">
        <f>IF(Calc!BS141=0,0,IF($D$2="$ M",Calc!DC141/1000,Calc!DC141))</f>
        <v>0</v>
      </c>
      <c r="BK153" s="2283">
        <f>IF($D$2="$ K",Calc!AJ141,Calc!AJ141/1000)</f>
        <v>142.86926455676306</v>
      </c>
      <c r="BL153" s="1930"/>
      <c r="BM153" s="1931">
        <f>IF(Calc!BT141=0,0,IF($D$2="$ M",Calc!DD141/1000,Calc!DD141))</f>
        <v>0</v>
      </c>
      <c r="BN153" s="1260"/>
      <c r="BO153" s="2373"/>
      <c r="BP153" s="1929">
        <f>IF($D$2="$ K",Calc!AM141,Calc!AM141/1000)</f>
        <v>589.6857292957344</v>
      </c>
      <c r="BQ153" s="2375"/>
      <c r="BR153" s="1260"/>
      <c r="BS153" s="2145"/>
    </row>
    <row r="154" spans="1:71" s="1265" customFormat="1" ht="15.6" x14ac:dyDescent="0.3">
      <c r="A154" s="1260"/>
      <c r="B154" s="1935" t="s">
        <v>1491</v>
      </c>
      <c r="C154" s="1971"/>
      <c r="D154" s="1972"/>
      <c r="E154" s="1938" t="str">
        <f>IF(Calc!G142=0,"",Calc!G142)</f>
        <v/>
      </c>
      <c r="F154" s="1972"/>
      <c r="G154" s="1939" t="str">
        <f>IF(Calc!H142=0,"",Calc!H142)</f>
        <v/>
      </c>
      <c r="H154" s="1972"/>
      <c r="I154" s="1939" t="str">
        <f>IF(Calc!I142=0,"",Calc!I142)</f>
        <v/>
      </c>
      <c r="J154" s="1972"/>
      <c r="K154" s="1939" t="str">
        <f>IF(Calc!J142=0,"",IF(ABS(Calc!J142)&gt;100%,"",Calc!J142))</f>
        <v/>
      </c>
      <c r="L154" s="1972"/>
      <c r="M154" s="1939" t="str">
        <f>IF(Calc!K142=0,"",IF(ABS(Calc!K142)&gt;100%,"",Calc!K142))</f>
        <v/>
      </c>
      <c r="N154" s="1972"/>
      <c r="O154" s="1939">
        <f>IF(Calc!L142=0,"",IF(ABS(Calc!L142)&gt;100%,"",Calc!L142))</f>
        <v>0.26230151537099761</v>
      </c>
      <c r="P154" s="1972"/>
      <c r="Q154" s="1939">
        <f>IF(Calc!M142=0,"",IF(ABS(Calc!M142)&gt;100%,"",Calc!M142))</f>
        <v>0.41137543798546089</v>
      </c>
      <c r="R154" s="1972"/>
      <c r="S154" s="1939">
        <f>IF(Calc!N142=0,"",IF(ABS(Calc!N142)&gt;100%,"",Calc!N142))</f>
        <v>0.45721121305864537</v>
      </c>
      <c r="T154" s="1972"/>
      <c r="U154" s="1939">
        <f>IF(Calc!O142=0,"",IF(ABS(Calc!O142)&gt;100%,"",Calc!O142))</f>
        <v>0.47008153829488397</v>
      </c>
      <c r="V154" s="1972"/>
      <c r="W154" s="1939">
        <f>IF(Calc!P142=0,"",IF(ABS(Calc!P142)&gt;100%,"",Calc!P142))</f>
        <v>0.47193452064196301</v>
      </c>
      <c r="X154" s="1972"/>
      <c r="Y154" s="1939">
        <f>IF(Calc!Q142=0,"",IF(ABS(Calc!Q142)&gt;100%,"",Calc!Q142))</f>
        <v>0.47255163260692951</v>
      </c>
      <c r="Z154" s="1972"/>
      <c r="AA154" s="1939">
        <f>IF(Calc!R142=0,"",IF(ABS(Calc!R142)&gt;100%,"",Calc!R142))</f>
        <v>0.46832265999607264</v>
      </c>
      <c r="AB154" s="1972"/>
      <c r="AC154" s="1939">
        <f>IF(Calc!S142=0,"",IF(ABS(Calc!S142)&gt;100%,"",Calc!S142))</f>
        <v>0.47285333711295918</v>
      </c>
      <c r="AD154" s="1972"/>
      <c r="AE154" s="1939">
        <f>IF(Calc!T142=0,"",IF(ABS(Calc!T142)&gt;100%,"",Calc!T142))</f>
        <v>0.46502034395556308</v>
      </c>
      <c r="AF154" s="1972"/>
      <c r="AG154" s="1939">
        <f>IF(Calc!U142=0,"",IF(ABS(Calc!U142)&gt;100%,"",Calc!U142))</f>
        <v>0.47874453008202178</v>
      </c>
      <c r="AH154" s="1972"/>
      <c r="AI154" s="1939">
        <f>IF(Calc!V142=0,"",IF(ABS(Calc!V142)&gt;100%,"",Calc!V142))</f>
        <v>0.47113586572023963</v>
      </c>
      <c r="AJ154" s="1972"/>
      <c r="AK154" s="1939">
        <f>IF(Calc!W142=0,"",IF(ABS(Calc!W142)&gt;100%,"",Calc!W142))</f>
        <v>0.47121600682434939</v>
      </c>
      <c r="AL154" s="1972"/>
      <c r="AM154" s="1939">
        <f>IF(Calc!X142=0,"",IF(ABS(Calc!X142)&gt;100%,"",Calc!X142))</f>
        <v>0.71734163640311588</v>
      </c>
      <c r="AN154" s="1972"/>
      <c r="AO154" s="1939" t="str">
        <f>IF(Calc!Y142=0,"",IF(ABS(Calc!Y142)&gt;100%,"",Calc!Y142))</f>
        <v/>
      </c>
      <c r="AP154" s="1972"/>
      <c r="AQ154" s="1939" t="str">
        <f>IF(Calc!Z142=0,"",IF(ABS(Calc!Z142)&gt;100%,"",Calc!Z142))</f>
        <v/>
      </c>
      <c r="AR154" s="1972"/>
      <c r="AS154" s="1939" t="str">
        <f>IF(Calc!AA142=0,"",IF(ABS(Calc!AA142)&gt;100%,"",Calc!AA142))</f>
        <v/>
      </c>
      <c r="AT154" s="1972"/>
      <c r="AU154" s="1939" t="str">
        <f>IF(Calc!AB142=0,"",IF(ABS(Calc!AB142)&gt;100%,"",Calc!AB142))</f>
        <v/>
      </c>
      <c r="AV154" s="1972"/>
      <c r="AW154" s="1939" t="str">
        <f>IF(Calc!AC142=0,"",IF(ABS(Calc!AC142)&gt;100%,"",Calc!AC142))</f>
        <v/>
      </c>
      <c r="AX154" s="1972"/>
      <c r="AY154" s="1939" t="str">
        <f>IF(Calc!AD142=0,"",IF(ABS(Calc!AD142)&gt;100%,"",Calc!AD142))</f>
        <v/>
      </c>
      <c r="AZ154" s="1972"/>
      <c r="BA154" s="1939" t="str">
        <f>IF(Calc!AE142=0,"",IF(ABS(Calc!AE142)&gt;100%,"",Calc!AE142))</f>
        <v/>
      </c>
      <c r="BB154" s="1972"/>
      <c r="BC154" s="1939" t="str">
        <f>IF(Calc!AF142=0,"",IF(ABS(Calc!AF142)&gt;100%,"",Calc!AF142))</f>
        <v/>
      </c>
      <c r="BD154" s="1972"/>
      <c r="BE154" s="1939" t="str">
        <f>IF(Calc!AG142=0,"",IF(ABS(Calc!AG142)&gt;100%,"",Calc!AG142))</f>
        <v/>
      </c>
      <c r="BF154" s="1972"/>
      <c r="BG154" s="1939" t="str">
        <f>IF(Calc!AH142=0,"",IF(ABS(Calc!AH142)&gt;100%,"",Calc!AH142))</f>
        <v/>
      </c>
      <c r="BH154" s="1972"/>
      <c r="BI154" s="1939" t="str">
        <f>IF(Calc!AI142=0,"",IF(ABS(Calc!AI142)&gt;100%,"",Calc!AI142))</f>
        <v/>
      </c>
      <c r="BJ154" s="1972"/>
      <c r="BK154" s="2376">
        <f>IF(ABS(Calc!AJ142)&gt;100%,"",Calc!AJ142)</f>
        <v>0.37954753451747597</v>
      </c>
      <c r="BL154" s="1941"/>
      <c r="BM154" s="1942"/>
      <c r="BN154" s="1973"/>
      <c r="BO154" s="2377"/>
      <c r="BP154" s="1940">
        <f>IF(ABS(BP153/$BP$140)&gt;100%,"",BP153/$BP$140)</f>
        <v>0.44559924677966045</v>
      </c>
      <c r="BQ154" s="2386"/>
      <c r="BR154" s="1260"/>
      <c r="BS154" s="2145"/>
    </row>
    <row r="155" spans="1:71" s="1265" customFormat="1" ht="18" x14ac:dyDescent="0.3">
      <c r="A155" s="1260"/>
      <c r="B155" s="1297" t="s">
        <v>1328</v>
      </c>
      <c r="C155" s="1915">
        <f>IF($D$2="$ K",Calc!F143,Calc!F143/1000)</f>
        <v>0</v>
      </c>
      <c r="D155" s="1916">
        <f>IF(Calc!AP143=0,0,IF($D$2="$ M",Calc!BZ143/1000,Calc!BZ143))</f>
        <v>0</v>
      </c>
      <c r="E155" s="1917">
        <f>IF($D$2="$ K",Calc!G143,Calc!G143/1000)</f>
        <v>0</v>
      </c>
      <c r="F155" s="1916">
        <f>IF(Calc!AQ143=0,0,IF($D$2="$ M",Calc!CA143/1000,Calc!CA143))</f>
        <v>0</v>
      </c>
      <c r="G155" s="1918">
        <f>IF($D$2="$ K",Calc!H143,Calc!H143/1000)</f>
        <v>0</v>
      </c>
      <c r="H155" s="1916">
        <f>IF(Calc!AR143=0,0,IF($D$2="$ M",Calc!CB143/1000,Calc!CB143))</f>
        <v>0</v>
      </c>
      <c r="I155" s="1918">
        <f>IF($D$2="$ K",Calc!I143,Calc!I143/1000)</f>
        <v>0</v>
      </c>
      <c r="J155" s="1916">
        <f>IF(Calc!AS143=0,0,IF($D$2="$ M",Calc!CC143/1000,Calc!CC143))</f>
        <v>0</v>
      </c>
      <c r="K155" s="1918">
        <f>IF($D$2="$ K",Calc!J143,Calc!J143/1000)</f>
        <v>0</v>
      </c>
      <c r="L155" s="1916">
        <f>IF(Calc!AT143=0,0,IF($D$2="$ M",Calc!CD143/1000,Calc!CD143))</f>
        <v>0</v>
      </c>
      <c r="M155" s="1918">
        <f>IF($D$2="$ K",Calc!K143,Calc!K143/1000)</f>
        <v>0</v>
      </c>
      <c r="N155" s="1916">
        <f>IF(Calc!AU143=0,0,IF($D$2="$ M",Calc!CE143/1000,Calc!CE143))</f>
        <v>0</v>
      </c>
      <c r="O155" s="1918">
        <f>IF($D$2="$ K",Calc!L143,Calc!L143/1000)</f>
        <v>13.066666666666666</v>
      </c>
      <c r="P155" s="1916">
        <f>IF(Calc!AV143=0,0,IF($D$2="$ M",Calc!CF143/1000,Calc!CF143))</f>
        <v>0</v>
      </c>
      <c r="Q155" s="1918">
        <f>IF($D$2="$ K",Calc!M143,Calc!M143/1000)</f>
        <v>-0.93333333333333335</v>
      </c>
      <c r="R155" s="1916">
        <f>IF(Calc!AW143=0,0,IF($D$2="$ M",Calc!CG143/1000,Calc!CG143))</f>
        <v>0</v>
      </c>
      <c r="S155" s="1918">
        <f>IF($D$2="$ K",Calc!N143,Calc!N143/1000)</f>
        <v>-0.93333333333333335</v>
      </c>
      <c r="T155" s="1916">
        <f>IF(Calc!AX143=0,0,IF($D$2="$ M",Calc!CH143/1000,Calc!CH143))</f>
        <v>0</v>
      </c>
      <c r="U155" s="1918">
        <f>IF($D$2="$ K",Calc!O143,Calc!O143/1000)</f>
        <v>-0.93333333333333335</v>
      </c>
      <c r="V155" s="1916">
        <f>IF(Calc!AY143=0,0,IF($D$2="$ M",Calc!CI143/1000,Calc!CI143))</f>
        <v>0</v>
      </c>
      <c r="W155" s="1918">
        <f>IF($D$2="$ K",Calc!P143,Calc!P143/1000)</f>
        <v>-0.93333333333333335</v>
      </c>
      <c r="X155" s="1916">
        <f>IF(Calc!AZ143=0,0,IF($D$2="$ M",Calc!CJ143/1000,Calc!CJ143))</f>
        <v>0</v>
      </c>
      <c r="Y155" s="1918">
        <f>IF($D$2="$ K",Calc!Q143,Calc!Q143/1000)</f>
        <v>-0.93333333333333335</v>
      </c>
      <c r="Z155" s="1916">
        <f>IF(Calc!BA143=0,0,IF($D$2="$ M",Calc!CK143/1000,Calc!CK143))</f>
        <v>0</v>
      </c>
      <c r="AA155" s="1918">
        <f>IF($D$2="$ K",Calc!R143,Calc!R143/1000)</f>
        <v>-0.93333333333333335</v>
      </c>
      <c r="AB155" s="1916">
        <f>IF(Calc!BB143=0,0,IF($D$2="$ M",Calc!CL143/1000,Calc!CL143))</f>
        <v>0</v>
      </c>
      <c r="AC155" s="1918">
        <f>IF($D$2="$ K",Calc!S143,Calc!S143/1000)</f>
        <v>-0.93333333333333335</v>
      </c>
      <c r="AD155" s="1916">
        <f>IF(Calc!BC143=0,0,IF($D$2="$ M",Calc!CM143/1000,Calc!CM143))</f>
        <v>0</v>
      </c>
      <c r="AE155" s="1918">
        <f>IF($D$2="$ K",Calc!T143,Calc!T143/1000)</f>
        <v>-0.93333333333333335</v>
      </c>
      <c r="AF155" s="1916">
        <f>IF(Calc!BD143=0,0,IF($D$2="$ M",Calc!CN143/1000,Calc!CN143))</f>
        <v>0</v>
      </c>
      <c r="AG155" s="1918">
        <f>IF($D$2="$ K",Calc!U143,Calc!U143/1000)</f>
        <v>-0.93333333333333335</v>
      </c>
      <c r="AH155" s="1916">
        <f>IF(Calc!BE143=0,0,IF($D$2="$ M",Calc!CO143/1000,Calc!CO143))</f>
        <v>0</v>
      </c>
      <c r="AI155" s="1918">
        <f>IF($D$2="$ K",Calc!V143,Calc!V143/1000)</f>
        <v>-0.93333333333333335</v>
      </c>
      <c r="AJ155" s="1916">
        <f>IF(Calc!BF143=0,0,IF($D$2="$ M",Calc!CP143/1000,Calc!CP143))</f>
        <v>0</v>
      </c>
      <c r="AK155" s="1918">
        <f>IF($D$2="$ K",Calc!W143,Calc!W143/1000)</f>
        <v>-0.93333333333333335</v>
      </c>
      <c r="AL155" s="1916">
        <f>IF(Calc!BG143=0,0,IF($D$2="$ M",Calc!CQ143/1000,Calc!CQ143))</f>
        <v>0</v>
      </c>
      <c r="AM155" s="1918">
        <f>IF($D$2="$ K",Calc!X143,Calc!X143/1000)</f>
        <v>-0.93333333333333335</v>
      </c>
      <c r="AN155" s="1916">
        <f>IF(Calc!BH143=0,0,IF($D$2="$ M",Calc!CR143/1000,Calc!CR143))</f>
        <v>0</v>
      </c>
      <c r="AO155" s="1918">
        <f>IF($D$2="$ K",Calc!Y143,Calc!Y143/1000)</f>
        <v>-0.93333333333333335</v>
      </c>
      <c r="AP155" s="1916">
        <f>IF(Calc!BJ143=0,0,IF($D$2="$ M",Calc!CS143/1000,Calc!CS143))</f>
        <v>0</v>
      </c>
      <c r="AQ155" s="1918">
        <f>IF($D$2="$ K",Calc!Z143,Calc!Z143/1000)</f>
        <v>-0.93333333333333335</v>
      </c>
      <c r="AR155" s="1916">
        <f>IF(Calc!BL143=0,0,IF($D$2="$ M",Calc!CT143/1000,Calc!CT143))</f>
        <v>0</v>
      </c>
      <c r="AS155" s="1918">
        <f>IF($D$2="$ K",Calc!AA143,Calc!AA143/1000)</f>
        <v>0</v>
      </c>
      <c r="AT155" s="1916">
        <f>IF(Calc!BN143=0,0,IF($D$2="$ M",Calc!CU143/1000,Calc!CU143))</f>
        <v>0</v>
      </c>
      <c r="AU155" s="1918">
        <f>IF($D$2="$ K",Calc!AB143,Calc!AB143/1000)</f>
        <v>0</v>
      </c>
      <c r="AV155" s="1916">
        <f>IF(Calc!BP143=0,0,IF($D$2="$ M",Calc!CV143/1000,Calc!CV143))</f>
        <v>0</v>
      </c>
      <c r="AW155" s="1918">
        <f>IF($D$2="$ K",Calc!AC143,Calc!AC143/1000)</f>
        <v>0</v>
      </c>
      <c r="AX155" s="1916">
        <f>IF(Calc!BR143=0,0,IF($D$2="$ M",Calc!CW143/1000,Calc!CW143))</f>
        <v>0</v>
      </c>
      <c r="AY155" s="1918">
        <f>IF($D$2="$ K",Calc!AD143,Calc!AD143/1000)</f>
        <v>0</v>
      </c>
      <c r="AZ155" s="1916">
        <f>IF(Calc!BT143=0,0,IF($D$2="$ M",Calc!CX143/1000,Calc!CX143))</f>
        <v>0</v>
      </c>
      <c r="BA155" s="1918">
        <f>IF($D$2="$ K",Calc!AE143,Calc!AE143/1000)</f>
        <v>0</v>
      </c>
      <c r="BB155" s="1916">
        <f>IF(Calc!BV143=0,0,IF($D$2="$ M",Calc!CY143/1000,Calc!CY143))</f>
        <v>0</v>
      </c>
      <c r="BC155" s="1918">
        <f>IF($D$2="$ K",Calc!AF143,Calc!AF143/1000)</f>
        <v>0</v>
      </c>
      <c r="BD155" s="1916">
        <f>IF(Calc!BX143=0,0,IF($D$2="$ M",Calc!CZ143/1000,Calc!CZ143))</f>
        <v>0</v>
      </c>
      <c r="BE155" s="1918">
        <f>IF($D$2="$ K",Calc!AG143,Calc!AG143/1000)</f>
        <v>0</v>
      </c>
      <c r="BF155" s="1916">
        <f>IF(Calc!BZ143=0,0,IF($D$2="$ M",Calc!DA143/1000,Calc!DA143))</f>
        <v>0</v>
      </c>
      <c r="BG155" s="1918">
        <f>IF($D$2="$ K",Calc!AH143,Calc!AH143/1000)</f>
        <v>0</v>
      </c>
      <c r="BH155" s="1916">
        <f>IF(Calc!CB143=0,0,IF($D$2="$ M",Calc!DB143/1000,Calc!DB143))</f>
        <v>0</v>
      </c>
      <c r="BI155" s="1918">
        <f>IF($D$2="$ K",Calc!AI143,Calc!AI143/1000)</f>
        <v>0</v>
      </c>
      <c r="BJ155" s="1916">
        <f>IF(Calc!BS143=0,0,IF($D$2="$ M",Calc!DC143/1000,Calc!DC143))</f>
        <v>0</v>
      </c>
      <c r="BK155" s="2372">
        <f>IF($D$2="$ K",Calc!AJ143,Calc!AJ143/1000)</f>
        <v>9.3333333333333304</v>
      </c>
      <c r="BL155" s="1974">
        <f>Calc!AK143</f>
        <v>2.4795001685537488E-2</v>
      </c>
      <c r="BM155" s="1921">
        <f>IF(Calc!BT143=0,0,IF($D$2="$ M",Calc!DD143/1000,Calc!DD143))</f>
        <v>0</v>
      </c>
      <c r="BN155" s="1260"/>
      <c r="BO155" s="2373"/>
      <c r="BP155" s="1919">
        <f>IF($D$2="$ K",Calc!AM143,Calc!AM143/1000)</f>
        <v>4.6666666666666634</v>
      </c>
      <c r="BQ155" s="2387">
        <f>BP155/$BP$140</f>
        <v>3.5263921921969026E-3</v>
      </c>
      <c r="BR155" s="1260"/>
      <c r="BS155" s="2145"/>
    </row>
    <row r="156" spans="1:71" s="1265" customFormat="1" ht="18" x14ac:dyDescent="0.3">
      <c r="A156" s="1260"/>
      <c r="B156" s="1297" t="s">
        <v>1494</v>
      </c>
      <c r="C156" s="1915">
        <f>IF($D$2="$ K",Calc!F144,Calc!F144/1000)</f>
        <v>0</v>
      </c>
      <c r="D156" s="1916">
        <f>IF(Calc!AP144=0,0,IF($D$2="$ M",Calc!BZ144/1000,Calc!BZ144))</f>
        <v>0</v>
      </c>
      <c r="E156" s="1917">
        <f>IF($D$2="$ K",Calc!G144,Calc!G144/1000)</f>
        <v>0</v>
      </c>
      <c r="F156" s="1916">
        <f>IF(Calc!AQ144=0,0,IF($D$2="$ M",Calc!CA144/1000,Calc!CA144))</f>
        <v>0</v>
      </c>
      <c r="G156" s="1918">
        <f>IF($D$2="$ K",Calc!H144,Calc!H144/1000)</f>
        <v>0</v>
      </c>
      <c r="H156" s="1916">
        <f>IF(Calc!AR144=0,0,IF($D$2="$ M",Calc!CB144/1000,Calc!CB144))</f>
        <v>0</v>
      </c>
      <c r="I156" s="1918">
        <f>IF($D$2="$ K",Calc!I144,Calc!I144/1000)</f>
        <v>0</v>
      </c>
      <c r="J156" s="1916">
        <f>IF(Calc!AS144=0,0,IF($D$2="$ M",Calc!CC144/1000,Calc!CC144))</f>
        <v>0</v>
      </c>
      <c r="K156" s="1918">
        <f>IF($D$2="$ K",Calc!J144,Calc!J144/1000)</f>
        <v>0</v>
      </c>
      <c r="L156" s="1916">
        <f>IF(Calc!AT144=0,0,IF($D$2="$ M",Calc!CD144/1000,Calc!CD144))</f>
        <v>0</v>
      </c>
      <c r="M156" s="1918">
        <f>IF($D$2="$ K",Calc!K144,Calc!K144/1000)</f>
        <v>0</v>
      </c>
      <c r="N156" s="1916">
        <f>IF(Calc!AU144=0,0,IF($D$2="$ M",Calc!CE144/1000,Calc!CE144))</f>
        <v>0</v>
      </c>
      <c r="O156" s="1918">
        <f>IF($D$2="$ K",Calc!L144,Calc!L144/1000)</f>
        <v>3.1601368776124801</v>
      </c>
      <c r="P156" s="1916">
        <f>IF(Calc!AV144=0,0,IF($D$2="$ M",Calc!CF144/1000,Calc!CF144))</f>
        <v>0</v>
      </c>
      <c r="Q156" s="1918">
        <f>IF($D$2="$ K",Calc!M144,Calc!M144/1000)</f>
        <v>4.194669470148769</v>
      </c>
      <c r="R156" s="1916">
        <f>IF(Calc!AW144=0,0,IF($D$2="$ M",Calc!CG144/1000,Calc!CG144))</f>
        <v>0</v>
      </c>
      <c r="S156" s="1918">
        <f>IF($D$2="$ K",Calc!N144,Calc!N144/1000)</f>
        <v>6.6740702691069469</v>
      </c>
      <c r="T156" s="1916">
        <f>IF(Calc!AX144=0,0,IF($D$2="$ M",Calc!CH144/1000,Calc!CH144))</f>
        <v>0</v>
      </c>
      <c r="U156" s="1918">
        <f>IF($D$2="$ K",Calc!O144,Calc!O144/1000)</f>
        <v>7.0328497151280258</v>
      </c>
      <c r="V156" s="1916">
        <f>IF(Calc!AY144=0,0,IF($D$2="$ M",Calc!CI144/1000,Calc!CI144))</f>
        <v>0</v>
      </c>
      <c r="W156" s="1918">
        <f>IF($D$2="$ K",Calc!P144,Calc!P144/1000)</f>
        <v>5.1953025800595896</v>
      </c>
      <c r="X156" s="1916">
        <f>IF(Calc!AZ144=0,0,IF($D$2="$ M",Calc!CJ144/1000,Calc!CJ144))</f>
        <v>0</v>
      </c>
      <c r="Y156" s="1918">
        <f>IF($D$2="$ K",Calc!Q144,Calc!Q144/1000)</f>
        <v>2.9884494306812242</v>
      </c>
      <c r="Z156" s="1916">
        <f>IF(Calc!BA144=0,0,IF($D$2="$ M",Calc!CK144/1000,Calc!CK144))</f>
        <v>0</v>
      </c>
      <c r="AA156" s="1918">
        <f>IF($D$2="$ K",Calc!R144,Calc!R144/1000)</f>
        <v>2.7040565805251164</v>
      </c>
      <c r="AB156" s="1916">
        <f>IF(Calc!BB144=0,0,IF($D$2="$ M",Calc!CL144/1000,Calc!CL144))</f>
        <v>0</v>
      </c>
      <c r="AC156" s="1918">
        <f>IF($D$2="$ K",Calc!S144,Calc!S144/1000)</f>
        <v>4.5982114993296115</v>
      </c>
      <c r="AD156" s="1916">
        <f>IF(Calc!BC144=0,0,IF($D$2="$ M",Calc!CM144/1000,Calc!CM144))</f>
        <v>0</v>
      </c>
      <c r="AE156" s="1918">
        <f>IF($D$2="$ K",Calc!T144,Calc!T144/1000)</f>
        <v>1.9410854642407502</v>
      </c>
      <c r="AF156" s="1916">
        <f>IF(Calc!BD144=0,0,IF($D$2="$ M",Calc!CN144/1000,Calc!CN144))</f>
        <v>0</v>
      </c>
      <c r="AG156" s="1918">
        <f>IF($D$2="$ K",Calc!U144,Calc!U144/1000)</f>
        <v>7.3153371366588367</v>
      </c>
      <c r="AH156" s="1916">
        <f>IF(Calc!BE144=0,0,IF($D$2="$ M",Calc!CO144/1000,Calc!CO144))</f>
        <v>0</v>
      </c>
      <c r="AI156" s="1918">
        <f>IF($D$2="$ K",Calc!V144,Calc!V144/1000)</f>
        <v>5.9783555525427641</v>
      </c>
      <c r="AJ156" s="1916">
        <f>IF(Calc!BF144=0,0,IF($D$2="$ M",Calc!CP144/1000,Calc!CP144))</f>
        <v>0</v>
      </c>
      <c r="AK156" s="1918">
        <f>IF($D$2="$ K",Calc!W144,Calc!W144/1000)</f>
        <v>7.7776097665450781</v>
      </c>
      <c r="AL156" s="1916">
        <f>IF(Calc!BG144=0,0,IF($D$2="$ M",Calc!CQ144/1000,Calc!CQ144))</f>
        <v>0</v>
      </c>
      <c r="AM156" s="1918">
        <f>IF($D$2="$ K",Calc!X144,Calc!X144/1000)</f>
        <v>-20.939884356081713</v>
      </c>
      <c r="AN156" s="1916">
        <f>IF(Calc!BH144=0,0,IF($D$2="$ M",Calc!CR144/1000,Calc!CR144))</f>
        <v>0</v>
      </c>
      <c r="AO156" s="1918">
        <f>IF($D$2="$ K",Calc!Y144,Calc!Y144/1000)</f>
        <v>-38.620249986497484</v>
      </c>
      <c r="AP156" s="1916">
        <f>IF(Calc!BJ144=0,0,IF($D$2="$ M",Calc!CS144/1000,Calc!CS144))</f>
        <v>0</v>
      </c>
      <c r="AQ156" s="1918">
        <f>IF($D$2="$ K",Calc!Z144,Calc!Z144/1000)</f>
        <v>0</v>
      </c>
      <c r="AR156" s="1916">
        <f>IF(Calc!BL144=0,0,IF($D$2="$ M",Calc!CT144/1000,Calc!CT144))</f>
        <v>0</v>
      </c>
      <c r="AS156" s="1918">
        <f>IF($D$2="$ K",Calc!AA144,Calc!AA144/1000)</f>
        <v>0</v>
      </c>
      <c r="AT156" s="1916">
        <f>IF(Calc!BN144=0,0,IF($D$2="$ M",Calc!CU144/1000,Calc!CU144))</f>
        <v>0</v>
      </c>
      <c r="AU156" s="1918">
        <f>IF($D$2="$ K",Calc!AB144,Calc!AB144/1000)</f>
        <v>0</v>
      </c>
      <c r="AV156" s="1916">
        <f>IF(Calc!BP144=0,0,IF($D$2="$ M",Calc!CV144/1000,Calc!CV144))</f>
        <v>0</v>
      </c>
      <c r="AW156" s="1918">
        <f>IF($D$2="$ K",Calc!AC144,Calc!AC144/1000)</f>
        <v>0</v>
      </c>
      <c r="AX156" s="1916">
        <f>IF(Calc!BR144=0,0,IF($D$2="$ M",Calc!CW144/1000,Calc!CW144))</f>
        <v>0</v>
      </c>
      <c r="AY156" s="1918">
        <f>IF($D$2="$ K",Calc!AD144,Calc!AD144/1000)</f>
        <v>0</v>
      </c>
      <c r="AZ156" s="1916">
        <f>IF(Calc!BT144=0,0,IF($D$2="$ M",Calc!CX144/1000,Calc!CX144))</f>
        <v>0</v>
      </c>
      <c r="BA156" s="1918">
        <f>IF($D$2="$ K",Calc!AE144,Calc!AE144/1000)</f>
        <v>0</v>
      </c>
      <c r="BB156" s="1916">
        <f>IF(Calc!BV144=0,0,IF($D$2="$ M",Calc!CY144/1000,Calc!CY144))</f>
        <v>0</v>
      </c>
      <c r="BC156" s="1918">
        <f>IF($D$2="$ K",Calc!AF144,Calc!AF144/1000)</f>
        <v>0</v>
      </c>
      <c r="BD156" s="1916">
        <f>IF(Calc!BX144=0,0,IF($D$2="$ M",Calc!CZ144/1000,Calc!CZ144))</f>
        <v>0</v>
      </c>
      <c r="BE156" s="1918">
        <f>IF($D$2="$ K",Calc!AG144,Calc!AG144/1000)</f>
        <v>0</v>
      </c>
      <c r="BF156" s="1916">
        <f>IF(Calc!BZ144=0,0,IF($D$2="$ M",Calc!DA144/1000,Calc!DA144))</f>
        <v>0</v>
      </c>
      <c r="BG156" s="1918">
        <f>IF($D$2="$ K",Calc!AH144,Calc!AH144/1000)</f>
        <v>0</v>
      </c>
      <c r="BH156" s="1916">
        <f>IF(Calc!CB144=0,0,IF($D$2="$ M",Calc!DB144/1000,Calc!DB144))</f>
        <v>0</v>
      </c>
      <c r="BI156" s="1918">
        <f>IF($D$2="$ K",Calc!AI144,Calc!AI144/1000)</f>
        <v>0</v>
      </c>
      <c r="BJ156" s="1916">
        <f>IF(Calc!BS144=0,0,IF($D$2="$ M",Calc!DC144/1000,Calc!DC144))</f>
        <v>0</v>
      </c>
      <c r="BK156" s="2372">
        <f>IF($D$2="$ K",Calc!AJ144,Calc!AJ144/1000)</f>
        <v>26.257028912055812</v>
      </c>
      <c r="BL156" s="1974">
        <f>Calc!AK144</f>
        <v>6.9754615299817566E-2</v>
      </c>
      <c r="BM156" s="1921">
        <f>IF(Calc!BT144=0,0,IF($D$2="$ M",Calc!DD144/1000,Calc!DD144))</f>
        <v>0</v>
      </c>
      <c r="BN156" s="1260"/>
      <c r="BO156" s="2373"/>
      <c r="BP156" s="1919">
        <f>IF($D$2="$ K",Calc!AM144,Calc!AM144/1000)</f>
        <v>45.804169023491355</v>
      </c>
      <c r="BQ156" s="2387">
        <f>BP156/$BP$140</f>
        <v>3.4612170860251555E-2</v>
      </c>
      <c r="BR156" s="1260"/>
      <c r="BS156" s="2145"/>
    </row>
    <row r="157" spans="1:71" s="1265" customFormat="1" ht="18" x14ac:dyDescent="0.3">
      <c r="A157" s="1260"/>
      <c r="B157" s="1976" t="s">
        <v>1330</v>
      </c>
      <c r="C157" s="1977">
        <f>IF($D$2="$ K",Calc!F145,Calc!F145/1000)</f>
        <v>0</v>
      </c>
      <c r="D157" s="1978">
        <f>IF(Calc!AP145=0,0,IF($D$2="$ M",Calc!BZ145/1000,Calc!BZ145))</f>
        <v>0</v>
      </c>
      <c r="E157" s="1979">
        <f>IF($D$2="$ K",Calc!G145,Calc!G145/1000)</f>
        <v>-3.620462900534855</v>
      </c>
      <c r="F157" s="1978">
        <f>IF(Calc!AQ145=0,0,IF($D$2="$ M",Calc!CA145/1000,Calc!CA145))</f>
        <v>0</v>
      </c>
      <c r="G157" s="1980">
        <f>IF($D$2="$ K",Calc!H145,Calc!H145/1000)</f>
        <v>-3.2044552826870922</v>
      </c>
      <c r="H157" s="1978">
        <f>IF(Calc!AR145=0,0,IF($D$2="$ M",Calc!CB145/1000,Calc!CB145))</f>
        <v>0</v>
      </c>
      <c r="I157" s="1980">
        <f>IF($D$2="$ K",Calc!I145,Calc!I145/1000)</f>
        <v>-7.803749560696744</v>
      </c>
      <c r="J157" s="1978">
        <f>IF(Calc!AS145=0,0,IF($D$2="$ M",Calc!CC145/1000,Calc!CC145))</f>
        <v>0</v>
      </c>
      <c r="K157" s="1980">
        <f>IF($D$2="$ K",Calc!J145,Calc!J145/1000)</f>
        <v>-8.0899399176158084</v>
      </c>
      <c r="L157" s="1978">
        <f>IF(Calc!AT145=0,0,IF($D$2="$ M",Calc!CD145/1000,Calc!CD145))</f>
        <v>0</v>
      </c>
      <c r="M157" s="1980">
        <f>IF($D$2="$ K",Calc!K145,Calc!K145/1000)</f>
        <v>-4.9410791143955919</v>
      </c>
      <c r="N157" s="1978">
        <f>IF(Calc!AU145=0,0,IF($D$2="$ M",Calc!CE145/1000,Calc!CE145))</f>
        <v>0</v>
      </c>
      <c r="O157" s="1980">
        <f>IF($D$2="$ K",Calc!L145,Calc!L145/1000)</f>
        <v>-11.854970729202268</v>
      </c>
      <c r="P157" s="1978">
        <f>IF(Calc!AV145=0,0,IF($D$2="$ M",Calc!CF145/1000,Calc!CF145))</f>
        <v>0</v>
      </c>
      <c r="Q157" s="1980">
        <f>IF($D$2="$ K",Calc!M145,Calc!M145/1000)</f>
        <v>12.604891833739101</v>
      </c>
      <c r="R157" s="1978">
        <f>IF(Calc!AW145=0,0,IF($D$2="$ M",Calc!CG145/1000,Calc!CG145))</f>
        <v>0</v>
      </c>
      <c r="S157" s="1980">
        <f>IF($D$2="$ K",Calc!N145,Calc!N145/1000)</f>
        <v>27.875246337534264</v>
      </c>
      <c r="T157" s="1978">
        <f>IF(Calc!AX145=0,0,IF($D$2="$ M",Calc!CH145/1000,Calc!CH145))</f>
        <v>0</v>
      </c>
      <c r="U157" s="1980">
        <f>IF($D$2="$ K",Calc!O145,Calc!O145/1000)</f>
        <v>45.759406495428699</v>
      </c>
      <c r="V157" s="1978">
        <f>IF(Calc!AY145=0,0,IF($D$2="$ M",Calc!CI145/1000,Calc!CI145))</f>
        <v>0</v>
      </c>
      <c r="W157" s="1980">
        <f>IF($D$2="$ K",Calc!P145,Calc!P145/1000)</f>
        <v>60.554015149804222</v>
      </c>
      <c r="X157" s="1978">
        <f>IF(Calc!AZ145=0,0,IF($D$2="$ M",Calc!CJ145/1000,Calc!CJ145))</f>
        <v>0</v>
      </c>
      <c r="Y157" s="1980">
        <f>IF($D$2="$ K",Calc!Q145,Calc!Q145/1000)</f>
        <v>70.181536536616136</v>
      </c>
      <c r="Z157" s="1978">
        <f>IF(Calc!BA145=0,0,IF($D$2="$ M",Calc!CK145/1000,Calc!CK145))</f>
        <v>0</v>
      </c>
      <c r="AA157" s="1980">
        <f>IF($D$2="$ K",Calc!R145,Calc!R145/1000)</f>
        <v>75.851213268417325</v>
      </c>
      <c r="AB157" s="1978">
        <f>IF(Calc!BB145=0,0,IF($D$2="$ M",Calc!CL145/1000,Calc!CL145))</f>
        <v>0</v>
      </c>
      <c r="AC157" s="1980">
        <f>IF($D$2="$ K",Calc!S145,Calc!S145/1000)</f>
        <v>86.267037747031367</v>
      </c>
      <c r="AD157" s="1978">
        <f>IF(Calc!BC145=0,0,IF($D$2="$ M",Calc!CM145/1000,Calc!CM145))</f>
        <v>0</v>
      </c>
      <c r="AE157" s="1980">
        <f>IF($D$2="$ K",Calc!T145,Calc!T145/1000)</f>
        <v>91.450793717653639</v>
      </c>
      <c r="AF157" s="1978">
        <f>IF(Calc!BD145=0,0,IF($D$2="$ M",Calc!CN145/1000,Calc!CN145))</f>
        <v>0</v>
      </c>
      <c r="AG157" s="1980">
        <f>IF($D$2="$ K",Calc!U145,Calc!U145/1000)</f>
        <v>108.18541002448403</v>
      </c>
      <c r="AH157" s="1978">
        <f>IF(Calc!BE145=0,0,IF($D$2="$ M",Calc!CO145/1000,Calc!CO145))</f>
        <v>0</v>
      </c>
      <c r="AI157" s="1980">
        <f>IF($D$2="$ K",Calc!V145,Calc!V145/1000)</f>
        <v>121.47145797752988</v>
      </c>
      <c r="AJ157" s="1978">
        <f>IF(Calc!BF145=0,0,IF($D$2="$ M",Calc!CP145/1000,Calc!CP145))</f>
        <v>0</v>
      </c>
      <c r="AK157" s="1980">
        <f>IF($D$2="$ K",Calc!W145,Calc!W145/1000)</f>
        <v>138.62158594132177</v>
      </c>
      <c r="AL157" s="1978">
        <f>IF(Calc!BG145=0,0,IF($D$2="$ M",Calc!CQ145/1000,Calc!CQ145))</f>
        <v>0</v>
      </c>
      <c r="AM157" s="1980">
        <f>IF($D$2="$ K",Calc!X145,Calc!X145/1000)</f>
        <v>203.20792308032682</v>
      </c>
      <c r="AN157" s="1978">
        <f>IF(Calc!BH145=0,0,IF($D$2="$ M",Calc!CR145/1000,Calc!CR145))</f>
        <v>0</v>
      </c>
      <c r="AO157" s="1980">
        <f>IF($D$2="$ K",Calc!Y145,Calc!Y145/1000)</f>
        <v>38.881583319830817</v>
      </c>
      <c r="AP157" s="1978">
        <f>IF(Calc!BJ145=0,0,IF($D$2="$ M",Calc!CS145/1000,Calc!CS145))</f>
        <v>0</v>
      </c>
      <c r="AQ157" s="1980">
        <f>IF($D$2="$ K",Calc!Z145,Calc!Z145/1000)</f>
        <v>0.26133333333333336</v>
      </c>
      <c r="AR157" s="1978">
        <f>IF(Calc!BL145=0,0,IF($D$2="$ M",Calc!CT145/1000,Calc!CT145))</f>
        <v>0</v>
      </c>
      <c r="AS157" s="1980">
        <f>IF($D$2="$ K",Calc!AA145,Calc!AA145/1000)</f>
        <v>0</v>
      </c>
      <c r="AT157" s="1978">
        <f>IF(Calc!BN145=0,0,IF($D$2="$ M",Calc!CU145/1000,Calc!CU145))</f>
        <v>0</v>
      </c>
      <c r="AU157" s="1980">
        <f>IF($D$2="$ K",Calc!AB145,Calc!AB145/1000)</f>
        <v>0</v>
      </c>
      <c r="AV157" s="1978">
        <f>IF(Calc!BP145=0,0,IF($D$2="$ M",Calc!CV145/1000,Calc!CV145))</f>
        <v>0</v>
      </c>
      <c r="AW157" s="1980">
        <f>IF($D$2="$ K",Calc!AC145,Calc!AC145/1000)</f>
        <v>0</v>
      </c>
      <c r="AX157" s="1978">
        <f>IF(Calc!BR145=0,0,IF($D$2="$ M",Calc!CW145/1000,Calc!CW145))</f>
        <v>0</v>
      </c>
      <c r="AY157" s="1980">
        <f>IF($D$2="$ K",Calc!AD145,Calc!AD145/1000)</f>
        <v>0</v>
      </c>
      <c r="AZ157" s="1978">
        <f>IF(Calc!BT145=0,0,IF($D$2="$ M",Calc!CX145/1000,Calc!CX145))</f>
        <v>0</v>
      </c>
      <c r="BA157" s="1980">
        <f>IF($D$2="$ K",Calc!AE145,Calc!AE145/1000)</f>
        <v>0</v>
      </c>
      <c r="BB157" s="1978">
        <f>IF(Calc!BV145=0,0,IF($D$2="$ M",Calc!CY145/1000,Calc!CY145))</f>
        <v>0</v>
      </c>
      <c r="BC157" s="1980">
        <f>IF($D$2="$ K",Calc!AF145,Calc!AF145/1000)</f>
        <v>0</v>
      </c>
      <c r="BD157" s="1978">
        <f>IF(Calc!BX145=0,0,IF($D$2="$ M",Calc!CZ145/1000,Calc!CZ145))</f>
        <v>0</v>
      </c>
      <c r="BE157" s="1980">
        <f>IF($D$2="$ K",Calc!AG145,Calc!AG145/1000)</f>
        <v>0</v>
      </c>
      <c r="BF157" s="1978">
        <f>IF(Calc!BZ145=0,0,IF($D$2="$ M",Calc!DA145/1000,Calc!DA145))</f>
        <v>0</v>
      </c>
      <c r="BG157" s="1980">
        <f>IF($D$2="$ K",Calc!AH145,Calc!AH145/1000)</f>
        <v>0</v>
      </c>
      <c r="BH157" s="1978">
        <f>IF(Calc!CB145=0,0,IF($D$2="$ M",Calc!DB145/1000,Calc!DB145))</f>
        <v>0</v>
      </c>
      <c r="BI157" s="1980">
        <f>IF($D$2="$ K",Calc!AI145,Calc!AI145/1000)</f>
        <v>0</v>
      </c>
      <c r="BJ157" s="1978">
        <f>IF(Calc!BS145=0,0,IF($D$2="$ M",Calc!DC145/1000,Calc!DC145))</f>
        <v>0</v>
      </c>
      <c r="BK157" s="2388">
        <f>IF($D$2="$ K",Calc!AJ145,Calc!AJ145/1000)</f>
        <v>107.2789023113739</v>
      </c>
      <c r="BL157" s="1982"/>
      <c r="BM157" s="1983">
        <f>IF(Calc!BT145=0,0,IF($D$2="$ M",Calc!DD145/1000,Calc!DD145))</f>
        <v>0</v>
      </c>
      <c r="BN157" s="1260"/>
      <c r="BO157" s="2373"/>
      <c r="BP157" s="1981">
        <f>IF($D$2="$ K",Calc!AM145,Calc!AM145/1000)</f>
        <v>539.21489360557644</v>
      </c>
      <c r="BQ157" s="2389"/>
      <c r="BR157" s="1260"/>
      <c r="BS157" s="2145"/>
    </row>
    <row r="158" spans="1:71" s="2394" customFormat="1" ht="16.2" thickBot="1" x14ac:dyDescent="0.35">
      <c r="A158" s="1272"/>
      <c r="B158" s="1889" t="s">
        <v>1491</v>
      </c>
      <c r="C158" s="1984"/>
      <c r="D158" s="1985"/>
      <c r="E158" s="1986" t="str">
        <f>IF(Calc!G146=0,"",Calc!G146)</f>
        <v/>
      </c>
      <c r="F158" s="1985"/>
      <c r="G158" s="1987" t="str">
        <f>IF(Calc!H146=0,"",Calc!H146)</f>
        <v/>
      </c>
      <c r="H158" s="1985"/>
      <c r="I158" s="1987" t="str">
        <f>IF(Calc!I146=0,"",Calc!I146)</f>
        <v/>
      </c>
      <c r="J158" s="1985"/>
      <c r="K158" s="1987" t="str">
        <f>IF(Calc!J146=0,"",IF(ABS(Calc!J146)&gt;100%,"",Calc!J146))</f>
        <v/>
      </c>
      <c r="L158" s="1985"/>
      <c r="M158" s="1987" t="str">
        <f>IF(Calc!K146=0,"",IF(ABS(Calc!K146)&gt;100%,"",Calc!K146))</f>
        <v/>
      </c>
      <c r="N158" s="1985"/>
      <c r="O158" s="1987">
        <f>IF(Calc!L146=0,"",IF(ABS(Calc!L146)&gt;100%,"",Calc!L146))</f>
        <v>-0.71127532055314779</v>
      </c>
      <c r="P158" s="1985"/>
      <c r="Q158" s="1987">
        <f>IF(Calc!M146=0,"",IF(ABS(Calc!M146)&gt;100%,"",Calc!M146))</f>
        <v>0.32681636167632538</v>
      </c>
      <c r="R158" s="1985"/>
      <c r="S158" s="1987">
        <f>IF(Calc!N146=0,"",IF(ABS(Calc!N146)&gt;100%,"",Calc!N146))</f>
        <v>0.37913141164644815</v>
      </c>
      <c r="T158" s="1985"/>
      <c r="U158" s="1987">
        <f>IF(Calc!O146=0,"",IF(ABS(Calc!O146)&gt;100%,"",Calc!O146))</f>
        <v>0.41479172731294001</v>
      </c>
      <c r="V158" s="1985"/>
      <c r="W158" s="1987">
        <f>IF(Calc!P146=0,"",IF(ABS(Calc!P146)&gt;100%,"",Calc!P146))</f>
        <v>0.44090250852070278</v>
      </c>
      <c r="X158" s="1985"/>
      <c r="Y158" s="1987">
        <f>IF(Calc!Q146=0,"",IF(ABS(Calc!Q146)&gt;100%,"",Calc!Q146))</f>
        <v>0.45910764771023843</v>
      </c>
      <c r="Z158" s="1985"/>
      <c r="AA158" s="1987">
        <f>IF(Calc!R146=0,"",IF(ABS(Calc!R146)&gt;100%,"",Calc!R146))</f>
        <v>0.45763921329959684</v>
      </c>
      <c r="AB158" s="1985"/>
      <c r="AC158" s="1987">
        <f>IF(Calc!S146=0,"",IF(ABS(Calc!S146)&gt;100%,"",Calc!S146))</f>
        <v>0.45358376130875094</v>
      </c>
      <c r="AD158" s="1985"/>
      <c r="AE158" s="1987">
        <f>IF(Calc!T146=0,"",IF(ABS(Calc!T146)&gt;100%,"",Calc!T146))</f>
        <v>0.4599518536582563</v>
      </c>
      <c r="AF158" s="1985"/>
      <c r="AG158" s="1987">
        <f>IF(Calc!U146=0,"",IF(ABS(Calc!U146)&gt;100%,"",Calc!U146))</f>
        <v>0.45207595732016453</v>
      </c>
      <c r="AH158" s="1985"/>
      <c r="AI158" s="1987">
        <f>IF(Calc!V146=0,"",IF(ABS(Calc!V146)&gt;100%,"",Calc!V146))</f>
        <v>0.4523486618150338</v>
      </c>
      <c r="AJ158" s="1985"/>
      <c r="AK158" s="1987">
        <f>IF(Calc!W146=0,"",IF(ABS(Calc!W146)&gt;100%,"",Calc!W146))</f>
        <v>0.44904494512083976</v>
      </c>
      <c r="AL158" s="1985"/>
      <c r="AM158" s="1987">
        <f>IF(Calc!X146=0,"",IF(ABS(Calc!X146)&gt;100%,"",Calc!X146))</f>
        <v>0.80386985909993325</v>
      </c>
      <c r="AN158" s="1985"/>
      <c r="AO158" s="1985" t="str">
        <f>IF(Calc!Y146=0,"",IF(ABS(Calc!Y146)&gt;100%,"",Calc!Y146))</f>
        <v/>
      </c>
      <c r="AP158" s="1985"/>
      <c r="AQ158" s="1985" t="str">
        <f>IF(Calc!Z146=0,"",IF(ABS(Calc!Z146)&gt;100%,"",Calc!Z146))</f>
        <v/>
      </c>
      <c r="AR158" s="1985"/>
      <c r="AS158" s="1985" t="str">
        <f>IF(Calc!AA146=0,"",IF(ABS(Calc!AA146)&gt;100%,"",Calc!AA146))</f>
        <v/>
      </c>
      <c r="AT158" s="1985"/>
      <c r="AU158" s="1985" t="str">
        <f>IF(Calc!AB146=0,"",IF(ABS(Calc!AB146)&gt;100%,"",Calc!AB146))</f>
        <v/>
      </c>
      <c r="AV158" s="1985"/>
      <c r="AW158" s="1985" t="str">
        <f>IF(Calc!AC146=0,"",IF(ABS(Calc!AC146)&gt;100%,"",Calc!AC146))</f>
        <v/>
      </c>
      <c r="AX158" s="1985"/>
      <c r="AY158" s="1985" t="str">
        <f>IF(Calc!AD146=0,"",IF(ABS(Calc!AD146)&gt;100%,"",Calc!AD146))</f>
        <v/>
      </c>
      <c r="AZ158" s="1985"/>
      <c r="BA158" s="1985" t="str">
        <f>IF(Calc!AE146=0,"",IF(ABS(Calc!AE146)&gt;100%,"",Calc!AE146))</f>
        <v/>
      </c>
      <c r="BB158" s="1985"/>
      <c r="BC158" s="1985" t="str">
        <f>IF(Calc!AF146=0,"",IF(ABS(Calc!AF146)&gt;100%,"",Calc!AF146))</f>
        <v/>
      </c>
      <c r="BD158" s="1985"/>
      <c r="BE158" s="1985" t="str">
        <f>IF(Calc!AG146=0,"",IF(ABS(Calc!AG146)&gt;100%,"",Calc!AG146))</f>
        <v/>
      </c>
      <c r="BF158" s="1985"/>
      <c r="BG158" s="1985" t="str">
        <f>IF(Calc!AH146=0,"",IF(ABS(Calc!AH146)&gt;100%,"",Calc!AH146))</f>
        <v/>
      </c>
      <c r="BH158" s="1985"/>
      <c r="BI158" s="1987" t="str">
        <f>IF(Calc!AI146=0,"",IF(ABS(Calc!AI146)&gt;100%,"",Calc!AI146))</f>
        <v/>
      </c>
      <c r="BJ158" s="1985"/>
      <c r="BK158" s="2390">
        <f>IF(ABS(Calc!AJ146)&gt;100%,"",Calc!AJ146)</f>
        <v>0.28499791753212089</v>
      </c>
      <c r="BL158" s="1989"/>
      <c r="BM158" s="1990"/>
      <c r="BN158" s="1991"/>
      <c r="BO158" s="1991"/>
      <c r="BP158" s="1988">
        <f>IF(ABS(BP157/$BP$140)&gt;100%,"",BP157/$BP$140)</f>
        <v>0.40746068372721206</v>
      </c>
      <c r="BQ158" s="2391"/>
      <c r="BR158" s="2392"/>
      <c r="BS158" s="2393"/>
    </row>
    <row r="159" spans="1:71" s="2394" customFormat="1" ht="18.600000000000001" thickBot="1" x14ac:dyDescent="0.35">
      <c r="A159" s="1272"/>
      <c r="B159" s="1369" t="str">
        <f>"Disc FCF to FY"&amp;CurrentFY&amp;"*"</f>
        <v>Disc FCF to FY18*</v>
      </c>
      <c r="C159" s="2395">
        <f>IF($D$2="$ K",Calc!F147,Calc!F147/1000)</f>
        <v>0</v>
      </c>
      <c r="D159" s="1916"/>
      <c r="E159" s="2396">
        <f>IF($D$2="$ K",Calc!G147,Calc!G147/1000)</f>
        <v>-3.620462900534855</v>
      </c>
      <c r="F159" s="1916"/>
      <c r="G159" s="2005">
        <f>IF($D$2="$ K",Calc!H147,Calc!H147/1000)</f>
        <v>-2.7864828545105151</v>
      </c>
      <c r="H159" s="2006"/>
      <c r="I159" s="2005">
        <f>IF($D$2="$ K",Calc!I147,Calc!I147/1000)</f>
        <v>-5.9007558114909227</v>
      </c>
      <c r="J159" s="2006"/>
      <c r="K159" s="2005">
        <f>IF($D$2="$ K",Calc!J147,Calc!J147/1000)</f>
        <v>-5.3192668152318969</v>
      </c>
      <c r="L159" s="2006"/>
      <c r="M159" s="2005">
        <f>IF($D$2="$ K",Calc!K147,Calc!K147/1000)</f>
        <v>-2.8250780203876307</v>
      </c>
      <c r="N159" s="2006"/>
      <c r="O159" s="2005">
        <f>IF($D$2="$ K",Calc!L147,Calc!L147/1000)</f>
        <v>-5.8940156442015708</v>
      </c>
      <c r="P159" s="2006"/>
      <c r="Q159" s="2005">
        <f>IF($D$2="$ K",Calc!M147,Calc!M147/1000)</f>
        <v>5.4494425832056361</v>
      </c>
      <c r="R159" s="2006"/>
      <c r="S159" s="2005">
        <f>IF($D$2="$ K",Calc!N147,Calc!N147/1000)</f>
        <v>10.479337595259661</v>
      </c>
      <c r="T159" s="2006"/>
      <c r="U159" s="2005">
        <f>IF($D$2="$ K",Calc!O147,Calc!O147/1000)</f>
        <v>14.958831153503484</v>
      </c>
      <c r="V159" s="2006"/>
      <c r="W159" s="2005">
        <f>IF($D$2="$ K",Calc!P147,Calc!P147/1000)</f>
        <v>17.213230405198875</v>
      </c>
      <c r="X159" s="2006"/>
      <c r="Y159" s="2005">
        <f>IF($D$2="$ K",Calc!Q147,Calc!Q147/1000)</f>
        <v>17.347802483984456</v>
      </c>
      <c r="Z159" s="2006"/>
      <c r="AA159" s="2005">
        <f>IF($D$2="$ K",Calc!R147,Calc!R147/1000)</f>
        <v>16.303704226731053</v>
      </c>
      <c r="AB159" s="2006"/>
      <c r="AC159" s="2005">
        <f>IF($D$2="$ K",Calc!S147,Calc!S147/1000)</f>
        <v>16.123926180343187</v>
      </c>
      <c r="AD159" s="2006"/>
      <c r="AE159" s="2005">
        <f>IF($D$2="$ K",Calc!T147,Calc!T147/1000)</f>
        <v>14.863310640065485</v>
      </c>
      <c r="AF159" s="2006"/>
      <c r="AG159" s="2005">
        <f>IF($D$2="$ K",Calc!U147,Calc!U147/1000)</f>
        <v>15.289698812440292</v>
      </c>
      <c r="AH159" s="2006"/>
      <c r="AI159" s="2005">
        <f>IF($D$2="$ K",Calc!V147,Calc!V147/1000)</f>
        <v>14.928172295290199</v>
      </c>
      <c r="AJ159" s="2006"/>
      <c r="AK159" s="2005">
        <f>IF($D$2="$ K",Calc!W147,Calc!W147/1000)</f>
        <v>14.813763863135698</v>
      </c>
      <c r="AL159" s="2006"/>
      <c r="AM159" s="2005">
        <f>IF($D$2="$ K",Calc!X147,Calc!X147/1000)</f>
        <v>18.883276443555683</v>
      </c>
      <c r="AN159" s="2006"/>
      <c r="AO159" s="2005">
        <f>IF($D$2="$ K",Calc!Y147,Calc!Y147/1000)</f>
        <v>3.1418309631357006</v>
      </c>
      <c r="AP159" s="2006"/>
      <c r="AQ159" s="2005">
        <f>IF($D$2="$ K",Calc!Z147,Calc!Z147/1000)</f>
        <v>1.8362670497600923E-2</v>
      </c>
      <c r="AR159" s="2006"/>
      <c r="AS159" s="2005">
        <f>IF($D$2="$ K",Calc!AA147,Calc!AA147/1000)</f>
        <v>0</v>
      </c>
      <c r="AT159" s="2006"/>
      <c r="AU159" s="2005">
        <f>IF($D$2="$ K",Calc!AB147,Calc!AB147/1000)</f>
        <v>0</v>
      </c>
      <c r="AV159" s="2006"/>
      <c r="AW159" s="2005">
        <f>IF($D$2="$ K",Calc!AC147,Calc!AC147/1000)</f>
        <v>0</v>
      </c>
      <c r="AX159" s="2006"/>
      <c r="AY159" s="2005">
        <f>IF($D$2="$ K",Calc!AD147,Calc!AD147/1000)</f>
        <v>0</v>
      </c>
      <c r="AZ159" s="2006"/>
      <c r="BA159" s="2005">
        <f>IF($D$2="$ K",Calc!AE147,Calc!AE147/1000)</f>
        <v>0</v>
      </c>
      <c r="BB159" s="2006"/>
      <c r="BC159" s="2005">
        <f>IF($D$2="$ K",Calc!AF147,Calc!AF147/1000)</f>
        <v>0</v>
      </c>
      <c r="BD159" s="2006"/>
      <c r="BE159" s="2005">
        <f>IF($D$2="$ K",Calc!AG147,Calc!AG147/1000)</f>
        <v>0</v>
      </c>
      <c r="BF159" s="2006"/>
      <c r="BG159" s="2005">
        <f>IF($D$2="$ K",Calc!AH147,Calc!AH147/1000)</f>
        <v>0</v>
      </c>
      <c r="BH159" s="2006"/>
      <c r="BI159" s="2005">
        <f>IF($D$2="$ K",Calc!AI147,Calc!AI147/1000)</f>
        <v>0</v>
      </c>
      <c r="BJ159" s="1916"/>
      <c r="BK159" s="2397">
        <f>IF($D$2="$ K",Calc!AJ147,Calc!AJ147/1000)</f>
        <v>21.75477969081027</v>
      </c>
      <c r="BL159" s="2398"/>
      <c r="BM159" s="1921"/>
      <c r="BN159" s="1272"/>
      <c r="BO159" s="2399"/>
      <c r="BP159" s="2400">
        <f>IF($D$2="$ K",Calc!AM147,Calc!AM147/1000)</f>
        <v>101.68322203437475</v>
      </c>
      <c r="BQ159" s="2401"/>
      <c r="BR159" s="2392"/>
      <c r="BS159" s="2393"/>
    </row>
    <row r="160" spans="1:71" s="2394" customFormat="1" ht="16.2" thickTop="1" x14ac:dyDescent="0.3">
      <c r="A160" s="1272"/>
      <c r="B160" s="2402"/>
      <c r="C160" s="2403"/>
      <c r="D160" s="2404"/>
      <c r="E160" s="2405"/>
      <c r="F160" s="2406"/>
      <c r="G160" s="2405"/>
      <c r="H160" s="2406"/>
      <c r="I160" s="2405"/>
      <c r="J160" s="2406"/>
      <c r="K160" s="2405"/>
      <c r="L160" s="2406"/>
      <c r="M160" s="2405"/>
      <c r="N160" s="2407"/>
      <c r="O160" s="2405"/>
      <c r="P160" s="2407"/>
      <c r="Q160" s="2405"/>
      <c r="R160" s="2407"/>
      <c r="S160" s="2405"/>
      <c r="T160" s="2407"/>
      <c r="U160" s="2405"/>
      <c r="V160" s="2408"/>
      <c r="W160" s="2405"/>
      <c r="X160" s="2408"/>
      <c r="Y160" s="2405"/>
      <c r="Z160" s="2408"/>
      <c r="AA160" s="2405"/>
      <c r="AB160" s="2408"/>
      <c r="AC160" s="2405"/>
      <c r="AD160" s="2408"/>
      <c r="AE160" s="2405"/>
      <c r="AF160" s="2408"/>
      <c r="AG160" s="2405"/>
      <c r="AH160" s="2408"/>
      <c r="AI160" s="2405"/>
      <c r="AJ160" s="2408"/>
      <c r="AK160" s="2405"/>
      <c r="AL160" s="2408"/>
      <c r="AM160" s="2408"/>
      <c r="AN160" s="2408"/>
      <c r="AO160" s="2409"/>
      <c r="AP160" s="2409"/>
      <c r="AQ160" s="2409"/>
      <c r="AR160" s="2409"/>
      <c r="AS160" s="2409"/>
      <c r="AT160" s="2409"/>
      <c r="AU160" s="2409"/>
      <c r="AV160" s="2409"/>
      <c r="AW160" s="2409"/>
      <c r="AX160" s="2409"/>
      <c r="AY160" s="2409"/>
      <c r="AZ160" s="2409"/>
      <c r="BA160" s="2409"/>
      <c r="BB160" s="2409"/>
      <c r="BC160" s="2409"/>
      <c r="BD160" s="2409"/>
      <c r="BE160" s="2409"/>
      <c r="BF160" s="2409"/>
      <c r="BG160" s="2409"/>
      <c r="BH160" s="2409"/>
      <c r="BI160" s="2409"/>
      <c r="BJ160" s="2409"/>
      <c r="BK160" s="2410"/>
      <c r="BL160" s="2410"/>
      <c r="BM160" s="2411"/>
      <c r="BN160" s="2392"/>
      <c r="BO160" s="2392"/>
      <c r="BP160" s="2410"/>
      <c r="BQ160" s="2410"/>
      <c r="BR160" s="2392"/>
      <c r="BS160" s="2393"/>
    </row>
    <row r="161" spans="1:98" s="2394" customFormat="1" ht="15.6" x14ac:dyDescent="0.3">
      <c r="A161" s="1272"/>
      <c r="B161" s="2412" t="s">
        <v>1331</v>
      </c>
      <c r="C161" s="2413"/>
      <c r="D161" s="2414"/>
      <c r="E161" s="2415"/>
      <c r="F161" s="2416"/>
      <c r="G161" s="2415"/>
      <c r="H161" s="2416"/>
      <c r="I161" s="2415"/>
      <c r="J161" s="2416"/>
      <c r="K161" s="2415"/>
      <c r="L161" s="2416"/>
      <c r="M161" s="2415"/>
      <c r="N161" s="2417"/>
      <c r="O161" s="2415"/>
      <c r="P161" s="2417"/>
      <c r="Q161" s="2415"/>
      <c r="R161" s="2417"/>
      <c r="S161" s="2415"/>
      <c r="T161" s="2417"/>
      <c r="U161" s="2415"/>
      <c r="V161" s="2418"/>
      <c r="W161" s="2415"/>
      <c r="X161" s="2418"/>
      <c r="Y161" s="2415"/>
      <c r="Z161" s="2418"/>
      <c r="AA161" s="2415"/>
      <c r="AB161" s="2418"/>
      <c r="AC161" s="2415"/>
      <c r="AD161" s="2418"/>
      <c r="AE161" s="2415"/>
      <c r="AF161" s="2418"/>
      <c r="AG161" s="2415"/>
      <c r="AH161" s="2418"/>
      <c r="AI161" s="2415"/>
      <c r="AJ161" s="2418"/>
      <c r="AK161" s="2415"/>
      <c r="AL161" s="2418"/>
      <c r="AM161" s="2418"/>
      <c r="AN161" s="2418"/>
      <c r="AO161" s="2419"/>
      <c r="AP161" s="2419"/>
      <c r="AQ161" s="2419"/>
      <c r="AR161" s="2419"/>
      <c r="AS161" s="2419"/>
      <c r="AT161" s="2419"/>
      <c r="AU161" s="2419"/>
      <c r="AV161" s="2419"/>
      <c r="AW161" s="2419"/>
      <c r="AX161" s="2419"/>
      <c r="AY161" s="2419"/>
      <c r="AZ161" s="2419"/>
      <c r="BA161" s="2419"/>
      <c r="BB161" s="2419"/>
      <c r="BC161" s="2419"/>
      <c r="BD161" s="2419"/>
      <c r="BE161" s="2419"/>
      <c r="BF161" s="2419"/>
      <c r="BG161" s="2419"/>
      <c r="BH161" s="2419"/>
      <c r="BI161" s="2419"/>
      <c r="BJ161" s="2419"/>
      <c r="BK161" s="2420"/>
      <c r="BL161" s="2420"/>
      <c r="BM161" s="2421"/>
      <c r="BN161" s="2392"/>
      <c r="BO161" s="2392"/>
      <c r="BP161" s="2420"/>
      <c r="BQ161" s="2420"/>
      <c r="BR161" s="2392"/>
      <c r="BS161" s="2393"/>
    </row>
    <row r="162" spans="1:98" s="2394" customFormat="1" ht="15.75" customHeight="1" x14ac:dyDescent="0.3">
      <c r="A162" s="1272"/>
      <c r="B162" s="2412" t="s">
        <v>1596</v>
      </c>
      <c r="C162" s="2422"/>
      <c r="D162" s="2392"/>
      <c r="E162" s="1070"/>
      <c r="F162" s="1070"/>
      <c r="G162" s="2392"/>
      <c r="H162" s="2392"/>
      <c r="I162" s="2392"/>
      <c r="J162" s="2392"/>
      <c r="K162" s="2422"/>
      <c r="L162" s="2423"/>
      <c r="M162" s="2422"/>
      <c r="N162" s="1970"/>
      <c r="O162" s="2422"/>
      <c r="P162" s="1970"/>
      <c r="Q162" s="2422"/>
      <c r="R162" s="1970"/>
      <c r="S162" s="2422"/>
      <c r="T162" s="1970"/>
      <c r="U162" s="2422"/>
      <c r="V162" s="2424"/>
      <c r="W162" s="2422"/>
      <c r="X162" s="2424"/>
      <c r="Y162" s="2422"/>
      <c r="Z162" s="2424"/>
      <c r="AA162" s="2422"/>
      <c r="AB162" s="2424"/>
      <c r="AC162" s="2422"/>
      <c r="AD162" s="2424"/>
      <c r="AE162" s="2422"/>
      <c r="AF162" s="2424"/>
      <c r="AG162" s="2422"/>
      <c r="AH162" s="2424"/>
      <c r="AI162" s="2422"/>
      <c r="AJ162" s="2424"/>
      <c r="AK162" s="2422"/>
      <c r="AL162" s="2424"/>
      <c r="AM162" s="2424"/>
      <c r="AN162" s="2424"/>
      <c r="AO162" s="2424"/>
      <c r="AP162" s="2424"/>
      <c r="AQ162" s="2424"/>
      <c r="AR162" s="2424"/>
      <c r="AS162" s="2424"/>
      <c r="AT162" s="2424"/>
      <c r="AU162" s="2424"/>
      <c r="AV162" s="2424"/>
      <c r="AW162" s="2424"/>
      <c r="AX162" s="2424"/>
      <c r="AY162" s="2424"/>
      <c r="AZ162" s="2424"/>
      <c r="BA162" s="2424"/>
      <c r="BB162" s="2424"/>
      <c r="BC162" s="2424"/>
      <c r="BD162" s="2424"/>
      <c r="BE162" s="2424"/>
      <c r="BF162" s="2424"/>
      <c r="BG162" s="2424"/>
      <c r="BH162" s="2424"/>
      <c r="BI162" s="2424"/>
      <c r="BJ162" s="2424"/>
      <c r="BK162" s="2392"/>
      <c r="BL162" s="2422"/>
      <c r="BM162" s="2392"/>
      <c r="BN162" s="2392"/>
      <c r="BO162" s="2392"/>
      <c r="BP162" s="2392"/>
      <c r="BQ162" s="2392"/>
      <c r="BR162" s="2392"/>
      <c r="BS162" s="2393"/>
    </row>
    <row r="163" spans="1:98" s="2394" customFormat="1" ht="15.6" x14ac:dyDescent="0.3">
      <c r="A163" s="1278"/>
      <c r="B163" s="2425"/>
      <c r="Y163" s="2426"/>
      <c r="Z163" s="2427"/>
      <c r="AA163" s="2426"/>
      <c r="AB163" s="2428"/>
      <c r="AC163" s="2426"/>
      <c r="AD163" s="2427"/>
      <c r="AE163" s="2426"/>
      <c r="AF163" s="2427"/>
      <c r="AG163" s="2426"/>
      <c r="AH163" s="2427"/>
      <c r="AI163" s="2426"/>
      <c r="AJ163" s="2427"/>
      <c r="AK163" s="2426"/>
      <c r="AL163" s="2427"/>
      <c r="AM163" s="2427"/>
      <c r="AN163" s="2427"/>
      <c r="AO163" s="2427"/>
      <c r="AP163" s="2427"/>
      <c r="AQ163" s="2427"/>
      <c r="AR163" s="2427"/>
      <c r="AS163" s="2427"/>
      <c r="AT163" s="2427"/>
      <c r="AU163" s="2427"/>
      <c r="AV163" s="2427"/>
      <c r="AW163" s="2427"/>
      <c r="AX163" s="2427"/>
      <c r="AY163" s="2427"/>
      <c r="AZ163" s="2427"/>
      <c r="BA163" s="2427"/>
      <c r="BB163" s="2427"/>
      <c r="BC163" s="2427"/>
      <c r="BD163" s="2427"/>
      <c r="BE163" s="2427"/>
      <c r="BF163" s="2427"/>
      <c r="BG163" s="2427"/>
      <c r="BH163" s="2427"/>
      <c r="BI163" s="2427"/>
      <c r="BJ163" s="2427"/>
      <c r="BK163" s="2426"/>
      <c r="BL163" s="2426"/>
      <c r="BM163" s="1776"/>
      <c r="BS163" s="2393"/>
      <c r="BT163" s="2392"/>
      <c r="BU163" s="2392"/>
      <c r="BV163" s="2392"/>
      <c r="BW163" s="2392"/>
      <c r="BX163" s="2392"/>
      <c r="BY163" s="2392"/>
      <c r="BZ163" s="2392"/>
      <c r="CA163" s="2392"/>
      <c r="CB163" s="2392"/>
      <c r="CC163" s="2392"/>
      <c r="CD163" s="2392"/>
      <c r="CE163" s="2392"/>
      <c r="CF163" s="2392"/>
      <c r="CG163" s="2392"/>
      <c r="CH163" s="2392"/>
      <c r="CI163" s="2392"/>
      <c r="CJ163" s="2392"/>
      <c r="CK163" s="2392"/>
      <c r="CL163" s="2392"/>
      <c r="CM163" s="2392"/>
      <c r="CN163" s="2392"/>
      <c r="CO163" s="2392"/>
      <c r="CP163" s="2392"/>
      <c r="CQ163" s="2392"/>
      <c r="CR163" s="2392"/>
      <c r="CS163" s="2392"/>
      <c r="CT163" s="2392"/>
    </row>
    <row r="164" spans="1:98" s="1070" customFormat="1" ht="15.6" x14ac:dyDescent="0.3">
      <c r="A164" s="2425"/>
      <c r="B164" s="2425"/>
      <c r="C164" s="1071"/>
      <c r="D164" s="1071"/>
      <c r="E164" s="1071"/>
      <c r="F164" s="1071"/>
      <c r="G164" s="1071"/>
      <c r="H164" s="1071"/>
      <c r="I164" s="1071"/>
      <c r="J164" s="1071"/>
      <c r="K164" s="1071"/>
      <c r="L164" s="1071"/>
      <c r="M164" s="1071"/>
      <c r="N164" s="1071"/>
      <c r="O164" s="1071"/>
      <c r="P164" s="1071"/>
      <c r="Q164" s="1071"/>
      <c r="R164" s="1071"/>
      <c r="S164" s="1071"/>
      <c r="T164" s="1071"/>
      <c r="U164" s="1071"/>
      <c r="V164" s="2429"/>
      <c r="W164" s="2426"/>
      <c r="X164" s="2426"/>
      <c r="Y164" s="1071"/>
      <c r="Z164" s="2429"/>
      <c r="AA164" s="1071"/>
      <c r="AB164" s="2429"/>
      <c r="AC164" s="1071"/>
      <c r="AD164" s="2429"/>
      <c r="AE164" s="1071"/>
      <c r="AF164" s="2429"/>
      <c r="AG164" s="1071"/>
      <c r="AH164" s="2429"/>
      <c r="AI164" s="1071"/>
      <c r="AJ164" s="2429"/>
      <c r="AK164" s="1071"/>
      <c r="AL164" s="2429"/>
      <c r="AM164" s="2429"/>
      <c r="AN164" s="2429"/>
      <c r="AO164" s="2429"/>
      <c r="AP164" s="2429"/>
      <c r="AQ164" s="2429"/>
      <c r="AR164" s="2429"/>
      <c r="AS164" s="2429"/>
      <c r="AT164" s="2429"/>
      <c r="AU164" s="2429"/>
      <c r="AV164" s="2429"/>
      <c r="AW164" s="2429"/>
      <c r="AX164" s="2429"/>
      <c r="AY164" s="2429"/>
      <c r="AZ164" s="2429"/>
      <c r="BA164" s="2429"/>
      <c r="BB164" s="2429"/>
      <c r="BC164" s="2429"/>
      <c r="BD164" s="2429"/>
      <c r="BE164" s="2429"/>
      <c r="BF164" s="2429"/>
      <c r="BG164" s="2429"/>
      <c r="BH164" s="2429"/>
      <c r="BI164" s="2429"/>
      <c r="BJ164" s="2429"/>
      <c r="BK164" s="2430"/>
      <c r="BL164" s="2430"/>
      <c r="BM164" s="1071"/>
      <c r="BN164" s="1071"/>
      <c r="BO164" s="1071"/>
      <c r="BP164" s="1071"/>
      <c r="BQ164" s="1071"/>
      <c r="BR164" s="1071"/>
      <c r="BS164" s="1824"/>
      <c r="BU164" s="2431" t="s">
        <v>1597</v>
      </c>
      <c r="BV164" s="2432"/>
      <c r="BW164" s="2432"/>
      <c r="BX164" s="2432"/>
      <c r="BY164" s="2432"/>
      <c r="BZ164" s="2432"/>
      <c r="CA164" s="2432"/>
      <c r="CB164" s="2392"/>
      <c r="CC164" s="2392"/>
      <c r="CD164" s="2392"/>
      <c r="CE164" s="2392"/>
      <c r="CF164" s="2392"/>
    </row>
    <row r="165" spans="1:98" s="1070" customFormat="1" ht="15.6" x14ac:dyDescent="0.3">
      <c r="A165" s="2425"/>
      <c r="B165" s="2425"/>
      <c r="C165" s="1071"/>
      <c r="D165" s="1071"/>
      <c r="E165" s="1071"/>
      <c r="F165" s="1071"/>
      <c r="G165" s="1071"/>
      <c r="H165" s="1071"/>
      <c r="I165" s="1071"/>
      <c r="J165" s="1071"/>
      <c r="K165" s="1071"/>
      <c r="L165" s="1071"/>
      <c r="M165" s="1071"/>
      <c r="N165" s="1071"/>
      <c r="O165" s="1071"/>
      <c r="P165" s="1071"/>
      <c r="Q165" s="1071"/>
      <c r="R165" s="1071"/>
      <c r="S165" s="1071"/>
      <c r="T165" s="1071"/>
      <c r="U165" s="1071"/>
      <c r="V165" s="2429"/>
      <c r="W165" s="2426"/>
      <c r="X165" s="2426"/>
      <c r="Y165" s="1071"/>
      <c r="Z165" s="2429"/>
      <c r="AA165" s="1071"/>
      <c r="AB165" s="2429"/>
      <c r="AC165" s="1071"/>
      <c r="AD165" s="2429"/>
      <c r="AE165" s="1071"/>
      <c r="AF165" s="2429"/>
      <c r="AG165" s="1071"/>
      <c r="AH165" s="2429"/>
      <c r="AI165" s="1071"/>
      <c r="AJ165" s="2429"/>
      <c r="AK165" s="1071"/>
      <c r="AL165" s="2429"/>
      <c r="AM165" s="2429"/>
      <c r="AN165" s="2429"/>
      <c r="AO165" s="2429"/>
      <c r="AP165" s="2429"/>
      <c r="AQ165" s="2429"/>
      <c r="AR165" s="2429"/>
      <c r="AS165" s="2429"/>
      <c r="AT165" s="2429"/>
      <c r="AU165" s="2429"/>
      <c r="AV165" s="2429"/>
      <c r="AW165" s="2429"/>
      <c r="AX165" s="2429"/>
      <c r="AY165" s="2429"/>
      <c r="AZ165" s="2429"/>
      <c r="BA165" s="2429"/>
      <c r="BB165" s="2429"/>
      <c r="BC165" s="2429"/>
      <c r="BD165" s="2429"/>
      <c r="BE165" s="2429"/>
      <c r="BF165" s="2429"/>
      <c r="BG165" s="2429"/>
      <c r="BH165" s="2429"/>
      <c r="BI165" s="2429"/>
      <c r="BJ165" s="2429"/>
      <c r="BK165" s="2430"/>
      <c r="BL165" s="2430"/>
      <c r="BM165" s="1071"/>
      <c r="BN165" s="1071"/>
      <c r="BO165" s="1071"/>
      <c r="BP165" s="1071"/>
      <c r="BQ165" s="1071"/>
      <c r="BR165" s="1071"/>
      <c r="BS165" s="1824"/>
      <c r="BV165" s="1077" t="s">
        <v>1598</v>
      </c>
      <c r="BW165" s="1077"/>
      <c r="BX165" s="1077" t="s">
        <v>1599</v>
      </c>
      <c r="BY165" s="1077"/>
      <c r="CB165" s="2392"/>
      <c r="CC165" s="2392"/>
      <c r="CD165" s="2392"/>
      <c r="CE165" s="2392"/>
      <c r="CF165" s="2392"/>
    </row>
    <row r="166" spans="1:98" s="1070" customFormat="1" ht="15.6" x14ac:dyDescent="0.3">
      <c r="A166" s="2425"/>
      <c r="B166" s="2425"/>
      <c r="C166" s="1071"/>
      <c r="D166" s="1071"/>
      <c r="E166" s="1071"/>
      <c r="F166" s="1071"/>
      <c r="G166" s="1071"/>
      <c r="H166" s="1071"/>
      <c r="I166" s="1071"/>
      <c r="J166" s="1071"/>
      <c r="K166" s="1071"/>
      <c r="L166" s="1071"/>
      <c r="M166" s="1071"/>
      <c r="N166" s="1071"/>
      <c r="O166" s="1071"/>
      <c r="P166" s="1071"/>
      <c r="Q166" s="1071"/>
      <c r="R166" s="1071"/>
      <c r="S166" s="1071"/>
      <c r="T166" s="1071"/>
      <c r="U166" s="1071"/>
      <c r="V166" s="2429"/>
      <c r="W166" s="2426"/>
      <c r="X166" s="2426"/>
      <c r="Y166" s="1071"/>
      <c r="Z166" s="2429"/>
      <c r="AA166" s="1071"/>
      <c r="AB166" s="2429"/>
      <c r="AC166" s="1071"/>
      <c r="AD166" s="2429"/>
      <c r="AE166" s="1071"/>
      <c r="AF166" s="2429"/>
      <c r="AG166" s="1071"/>
      <c r="AH166" s="2429"/>
      <c r="AI166" s="1071"/>
      <c r="AJ166" s="2429"/>
      <c r="AK166" s="1071"/>
      <c r="AL166" s="2429"/>
      <c r="AM166" s="2429"/>
      <c r="AN166" s="2429"/>
      <c r="AO166" s="2429"/>
      <c r="AP166" s="2429"/>
      <c r="AQ166" s="2429"/>
      <c r="AR166" s="2429"/>
      <c r="AS166" s="2429"/>
      <c r="AT166" s="2429"/>
      <c r="AU166" s="2429"/>
      <c r="AV166" s="2429"/>
      <c r="AW166" s="2429"/>
      <c r="AX166" s="2429"/>
      <c r="AY166" s="2429"/>
      <c r="AZ166" s="2429"/>
      <c r="BA166" s="2429"/>
      <c r="BB166" s="2429"/>
      <c r="BC166" s="2429"/>
      <c r="BD166" s="2429"/>
      <c r="BE166" s="2429"/>
      <c r="BF166" s="2429"/>
      <c r="BG166" s="2429"/>
      <c r="BH166" s="2429"/>
      <c r="BI166" s="2429"/>
      <c r="BJ166" s="2429"/>
      <c r="BK166" s="2430"/>
      <c r="BL166" s="2430"/>
      <c r="BM166" s="1071"/>
      <c r="BN166" s="1071"/>
      <c r="BO166" s="1071"/>
      <c r="BP166" s="1071"/>
      <c r="BQ166" s="1071"/>
      <c r="BR166" s="1071"/>
      <c r="BS166" s="1824"/>
      <c r="BU166" s="1077" t="s">
        <v>1600</v>
      </c>
      <c r="BZ166" s="1555"/>
      <c r="CA166" s="1555"/>
      <c r="CB166" s="2392"/>
      <c r="CC166" s="2392"/>
      <c r="CD166" s="2392"/>
      <c r="CE166" s="2392"/>
      <c r="CF166" s="2392"/>
    </row>
    <row r="167" spans="1:98" s="1070" customFormat="1" ht="15" customHeight="1" x14ac:dyDescent="0.3">
      <c r="A167" s="1071"/>
      <c r="B167" s="1071"/>
      <c r="C167" s="1071"/>
      <c r="D167" s="1071"/>
      <c r="E167" s="1071"/>
      <c r="F167" s="1071"/>
      <c r="G167" s="1071"/>
      <c r="H167" s="1071"/>
      <c r="I167" s="1071"/>
      <c r="J167" s="1071"/>
      <c r="K167" s="1071"/>
      <c r="L167" s="1071"/>
      <c r="M167" s="1071"/>
      <c r="N167" s="1071"/>
      <c r="O167" s="1071"/>
      <c r="P167" s="1071"/>
      <c r="Q167" s="1071"/>
      <c r="R167" s="1071"/>
      <c r="S167" s="1071"/>
      <c r="T167" s="1071"/>
      <c r="U167" s="1071"/>
      <c r="V167" s="1071"/>
      <c r="W167" s="1071"/>
      <c r="X167" s="1071"/>
      <c r="Y167" s="1071"/>
      <c r="Z167" s="1071"/>
      <c r="AA167" s="1071"/>
      <c r="AB167" s="1071"/>
      <c r="AC167" s="1071"/>
      <c r="AD167" s="1071"/>
      <c r="AE167" s="1071"/>
      <c r="AF167" s="1071"/>
      <c r="AG167" s="1071"/>
      <c r="AH167" s="2429"/>
      <c r="AI167" s="1071"/>
      <c r="AJ167" s="2429"/>
      <c r="AK167" s="1071"/>
      <c r="AL167" s="2429"/>
      <c r="AM167" s="2429"/>
      <c r="AN167" s="2429"/>
      <c r="AO167" s="2429"/>
      <c r="AP167" s="2429"/>
      <c r="AQ167" s="2429"/>
      <c r="AR167" s="2429"/>
      <c r="AS167" s="2429"/>
      <c r="AT167" s="2429"/>
      <c r="AU167" s="2429"/>
      <c r="AV167" s="2429"/>
      <c r="AW167" s="2429"/>
      <c r="AX167" s="2429"/>
      <c r="AY167" s="2429"/>
      <c r="AZ167" s="2429"/>
      <c r="BA167" s="2429"/>
      <c r="BB167" s="2429"/>
      <c r="BC167" s="2429"/>
      <c r="BD167" s="2429"/>
      <c r="BE167" s="2429"/>
      <c r="BF167" s="2429"/>
      <c r="BG167" s="2429"/>
      <c r="BH167" s="2429"/>
      <c r="BI167" s="2429"/>
      <c r="BJ167" s="2429"/>
      <c r="BK167" s="2430"/>
      <c r="BL167" s="2430"/>
      <c r="BM167" s="1071"/>
      <c r="BN167" s="1071"/>
      <c r="BO167" s="1071"/>
      <c r="BP167" s="1071"/>
      <c r="BQ167" s="1071"/>
      <c r="BR167" s="1071"/>
      <c r="BS167" s="1824"/>
      <c r="BV167" s="3324" t="str">
        <f>"Forward Look (Hdle"&amp;DiscR*100&amp;"%)"</f>
        <v>Forward Look (Hdle15%)</v>
      </c>
      <c r="BW167" s="3325"/>
      <c r="BX167" s="3325"/>
      <c r="BY167" s="3326"/>
      <c r="BZ167" s="2433" t="str">
        <f>Comp&amp;" (Hdle"&amp;DiscRDE*100&amp;"%)"</f>
        <v>Def Exit (Hdle15%)</v>
      </c>
      <c r="CA167" s="2434"/>
      <c r="CH167" s="2392"/>
      <c r="CI167" s="2392"/>
      <c r="CJ167" s="2392"/>
      <c r="CK167" s="2392"/>
      <c r="CL167" s="2392"/>
    </row>
    <row r="168" spans="1:98" s="1070" customFormat="1" ht="15.6" x14ac:dyDescent="0.3">
      <c r="A168" s="1071"/>
      <c r="B168" s="1071"/>
      <c r="C168" s="1071"/>
      <c r="D168" s="1071"/>
      <c r="E168" s="1071"/>
      <c r="F168" s="1071"/>
      <c r="G168" s="1071"/>
      <c r="H168" s="1071"/>
      <c r="I168" s="1071"/>
      <c r="J168" s="1071"/>
      <c r="K168" s="1071"/>
      <c r="L168" s="1071"/>
      <c r="M168" s="1071"/>
      <c r="N168" s="1071"/>
      <c r="O168" s="1071"/>
      <c r="P168" s="1071"/>
      <c r="Q168" s="1071"/>
      <c r="R168" s="1071"/>
      <c r="S168" s="1071"/>
      <c r="T168" s="1071"/>
      <c r="U168" s="1071"/>
      <c r="V168" s="1071"/>
      <c r="W168" s="1071"/>
      <c r="X168" s="1071"/>
      <c r="Y168" s="1071"/>
      <c r="Z168" s="1071"/>
      <c r="AA168" s="1071"/>
      <c r="AB168" s="1071"/>
      <c r="AC168" s="1071"/>
      <c r="AD168" s="1071"/>
      <c r="AE168" s="1071"/>
      <c r="AF168" s="1071"/>
      <c r="AG168" s="1071"/>
      <c r="AH168" s="2429"/>
      <c r="AI168" s="1071"/>
      <c r="AJ168" s="2429"/>
      <c r="AK168" s="1071"/>
      <c r="AL168" s="2429"/>
      <c r="AM168" s="2429"/>
      <c r="AN168" s="2429"/>
      <c r="AO168" s="2429"/>
      <c r="AP168" s="2429"/>
      <c r="AQ168" s="2429"/>
      <c r="AR168" s="2429"/>
      <c r="AS168" s="2429"/>
      <c r="AT168" s="2429"/>
      <c r="AU168" s="2429"/>
      <c r="AV168" s="2429"/>
      <c r="AW168" s="2429"/>
      <c r="AX168" s="2429"/>
      <c r="AY168" s="2429"/>
      <c r="AZ168" s="2429"/>
      <c r="BA168" s="2429"/>
      <c r="BB168" s="2429"/>
      <c r="BC168" s="2429"/>
      <c r="BD168" s="2429"/>
      <c r="BE168" s="2429"/>
      <c r="BF168" s="2429"/>
      <c r="BG168" s="2429"/>
      <c r="BH168" s="2429"/>
      <c r="BI168" s="2429"/>
      <c r="BJ168" s="2429"/>
      <c r="BK168" s="2430"/>
      <c r="BL168" s="2430"/>
      <c r="BM168" s="1071"/>
      <c r="BN168" s="1071"/>
      <c r="BO168" s="1071"/>
      <c r="BP168" s="1071"/>
      <c r="BQ168" s="1071"/>
      <c r="BR168" s="1071"/>
      <c r="BS168" s="1824"/>
      <c r="BV168" s="3327" t="str">
        <f>"(FY"&amp;CurrentFY&amp;"-FY"&amp;CurrentFY+9&amp;")"</f>
        <v>(FY18-FY27)</v>
      </c>
      <c r="BW168" s="3328"/>
      <c r="BX168" s="3327" t="str">
        <f>"(FY"&amp;CurrentFY&amp;"-FY"&amp;CurrentFY+9&amp;")"</f>
        <v>(FY18-FY27)</v>
      </c>
      <c r="BY168" s="3328"/>
      <c r="BZ168" s="2435" t="e">
        <f>"(FY"&amp;DefExitFY&amp;"-FY"&amp;DefExitFY+9&amp;")"</f>
        <v>#VALUE!</v>
      </c>
      <c r="CA168" s="2436"/>
      <c r="CH168" s="2392"/>
      <c r="CI168" s="2392"/>
      <c r="CJ168" s="2392"/>
      <c r="CK168" s="2392"/>
      <c r="CL168" s="2392"/>
    </row>
    <row r="169" spans="1:98" s="1070" customFormat="1" ht="15.6" x14ac:dyDescent="0.3">
      <c r="A169" s="1071"/>
      <c r="B169" s="1071"/>
      <c r="C169" s="1071"/>
      <c r="D169" s="1071"/>
      <c r="E169" s="1071"/>
      <c r="F169" s="1071"/>
      <c r="G169" s="1071"/>
      <c r="H169" s="1071"/>
      <c r="I169" s="1071"/>
      <c r="J169" s="1071"/>
      <c r="K169" s="1071"/>
      <c r="L169" s="1071"/>
      <c r="M169" s="1071"/>
      <c r="N169" s="1071"/>
      <c r="O169" s="1071"/>
      <c r="P169" s="1071"/>
      <c r="Q169" s="1071"/>
      <c r="R169" s="1071"/>
      <c r="S169" s="1071"/>
      <c r="T169" s="1071"/>
      <c r="U169" s="1071"/>
      <c r="V169" s="2429"/>
      <c r="W169" s="1071"/>
      <c r="X169" s="2429"/>
      <c r="Y169" s="1071"/>
      <c r="Z169" s="2429"/>
      <c r="AA169" s="1071"/>
      <c r="AB169" s="2429"/>
      <c r="AC169" s="1071"/>
      <c r="AD169" s="2429"/>
      <c r="AE169" s="1071"/>
      <c r="AF169" s="2429"/>
      <c r="AG169" s="1071"/>
      <c r="AH169" s="2429"/>
      <c r="AI169" s="1071"/>
      <c r="AJ169" s="2429"/>
      <c r="AK169" s="1071"/>
      <c r="AL169" s="2429"/>
      <c r="AM169" s="2429"/>
      <c r="AN169" s="2429"/>
      <c r="AO169" s="2429"/>
      <c r="AP169" s="2429"/>
      <c r="AQ169" s="2429"/>
      <c r="AR169" s="2429"/>
      <c r="AS169" s="2429"/>
      <c r="AT169" s="2429"/>
      <c r="AU169" s="2429"/>
      <c r="AV169" s="2429"/>
      <c r="AW169" s="2429"/>
      <c r="AX169" s="2429"/>
      <c r="AY169" s="2429"/>
      <c r="AZ169" s="2429"/>
      <c r="BA169" s="2429"/>
      <c r="BB169" s="2429"/>
      <c r="BC169" s="2429"/>
      <c r="BD169" s="2429"/>
      <c r="BE169" s="2429"/>
      <c r="BF169" s="2429"/>
      <c r="BG169" s="2429"/>
      <c r="BH169" s="2429"/>
      <c r="BI169" s="2429"/>
      <c r="BJ169" s="2429"/>
      <c r="BK169" s="2430"/>
      <c r="BL169" s="2430"/>
      <c r="BM169" s="1071"/>
      <c r="BN169" s="1071"/>
      <c r="BO169" s="1071"/>
      <c r="BP169" s="1071"/>
      <c r="BQ169" s="1071"/>
      <c r="BR169" s="1071"/>
      <c r="BS169" s="1824"/>
      <c r="BV169" s="2437" t="s">
        <v>1495</v>
      </c>
      <c r="BW169" s="2437" t="s">
        <v>1601</v>
      </c>
      <c r="BX169" s="2437" t="s">
        <v>1495</v>
      </c>
      <c r="BY169" s="2437" t="s">
        <v>1601</v>
      </c>
      <c r="BZ169" s="2437" t="s">
        <v>1495</v>
      </c>
      <c r="CA169" s="2437" t="s">
        <v>1602</v>
      </c>
      <c r="CH169" s="2392"/>
      <c r="CI169" s="2392"/>
      <c r="CJ169" s="2392"/>
      <c r="CK169" s="2392"/>
      <c r="CL169" s="2392"/>
    </row>
    <row r="170" spans="1:98" s="1070" customFormat="1" ht="15.6" x14ac:dyDescent="0.3">
      <c r="A170" s="1071"/>
      <c r="B170" s="1071"/>
      <c r="C170" s="1071"/>
      <c r="D170" s="1071"/>
      <c r="E170" s="1071"/>
      <c r="F170" s="1071"/>
      <c r="G170" s="1071"/>
      <c r="H170" s="1071"/>
      <c r="I170" s="1071"/>
      <c r="J170" s="1071"/>
      <c r="K170" s="1071"/>
      <c r="L170" s="1071"/>
      <c r="M170" s="1071"/>
      <c r="N170" s="1071"/>
      <c r="O170" s="1071"/>
      <c r="P170" s="1071"/>
      <c r="Q170" s="1071"/>
      <c r="R170" s="1071"/>
      <c r="S170" s="1071"/>
      <c r="T170" s="1071"/>
      <c r="U170" s="1071"/>
      <c r="V170" s="2429"/>
      <c r="W170" s="1071"/>
      <c r="X170" s="2429"/>
      <c r="Y170" s="1071"/>
      <c r="Z170" s="2429"/>
      <c r="AA170" s="1071"/>
      <c r="AB170" s="2429"/>
      <c r="AC170" s="1071"/>
      <c r="AD170" s="2429"/>
      <c r="AE170" s="1071"/>
      <c r="AF170" s="2429"/>
      <c r="AG170" s="1071"/>
      <c r="AH170" s="2429"/>
      <c r="AI170" s="1071"/>
      <c r="AJ170" s="2429"/>
      <c r="AK170" s="1071"/>
      <c r="AL170" s="2429"/>
      <c r="AM170" s="2429"/>
      <c r="AN170" s="2429"/>
      <c r="AO170" s="2429"/>
      <c r="AP170" s="2429"/>
      <c r="AQ170" s="2429"/>
      <c r="AR170" s="2429"/>
      <c r="AS170" s="2429"/>
      <c r="AT170" s="2429"/>
      <c r="AU170" s="2429"/>
      <c r="AV170" s="2429"/>
      <c r="AW170" s="2429"/>
      <c r="AX170" s="2429"/>
      <c r="AY170" s="2429"/>
      <c r="AZ170" s="2429"/>
      <c r="BA170" s="2429"/>
      <c r="BB170" s="2429"/>
      <c r="BC170" s="2429"/>
      <c r="BD170" s="2429"/>
      <c r="BE170" s="2429"/>
      <c r="BF170" s="2429"/>
      <c r="BG170" s="2429"/>
      <c r="BH170" s="2429"/>
      <c r="BI170" s="2429"/>
      <c r="BJ170" s="2429"/>
      <c r="BK170" s="2430"/>
      <c r="BL170" s="2430"/>
      <c r="BM170" s="1071"/>
      <c r="BN170" s="1071"/>
      <c r="BO170" s="1071"/>
      <c r="BP170" s="1071"/>
      <c r="BQ170" s="1071"/>
      <c r="BR170" s="1071"/>
      <c r="BS170" s="1824"/>
      <c r="BU170" s="1163" t="s">
        <v>1603</v>
      </c>
      <c r="BV170" s="2438">
        <f>Calc!I176-DiscR</f>
        <v>5.2644605277894302E-2</v>
      </c>
      <c r="BW170" s="2438">
        <f>Current_Prior!BE37-DiscR</f>
        <v>-0.15</v>
      </c>
      <c r="BX170" s="2438">
        <f>Calc!I176-DiscR</f>
        <v>5.2644605277894302E-2</v>
      </c>
      <c r="BY170" s="2438">
        <f>Current_Prior!BD37-DiscR</f>
        <v>-0.15</v>
      </c>
      <c r="BZ170" s="2438" t="e">
        <f>Calc!H176-DiscRDE</f>
        <v>#VALUE!</v>
      </c>
      <c r="CA170" s="2438" t="e">
        <f>Calc!G176-DiscRDE</f>
        <v>#VALUE!</v>
      </c>
      <c r="CH170" s="2392"/>
      <c r="CI170" s="2392"/>
      <c r="CJ170" s="2392"/>
      <c r="CK170" s="2392"/>
      <c r="CL170" s="2392"/>
    </row>
    <row r="171" spans="1:98" s="1070" customFormat="1" ht="15.6" x14ac:dyDescent="0.3">
      <c r="A171" s="1071"/>
      <c r="B171" s="1071"/>
      <c r="C171" s="1071"/>
      <c r="D171" s="1071"/>
      <c r="E171" s="1071"/>
      <c r="F171" s="1071"/>
      <c r="G171" s="1071"/>
      <c r="H171" s="1071"/>
      <c r="I171" s="1071"/>
      <c r="J171" s="1071"/>
      <c r="K171" s="1071"/>
      <c r="L171" s="1071"/>
      <c r="M171" s="1071"/>
      <c r="N171" s="1071"/>
      <c r="O171" s="1071"/>
      <c r="P171" s="1071"/>
      <c r="Q171" s="1071"/>
      <c r="R171" s="1071"/>
      <c r="S171" s="1071"/>
      <c r="T171" s="1071"/>
      <c r="U171" s="1071"/>
      <c r="V171" s="1071"/>
      <c r="W171" s="1071"/>
      <c r="X171" s="1071"/>
      <c r="Y171" s="1071"/>
      <c r="Z171" s="1071"/>
      <c r="AA171" s="1071"/>
      <c r="AB171" s="1071"/>
      <c r="AC171" s="1071"/>
      <c r="AD171" s="1071"/>
      <c r="AE171" s="1071"/>
      <c r="AF171" s="1071"/>
      <c r="AG171" s="1071"/>
      <c r="AH171" s="2429"/>
      <c r="AI171" s="1071"/>
      <c r="AJ171" s="2429"/>
      <c r="AK171" s="1071"/>
      <c r="AL171" s="2429"/>
      <c r="AM171" s="2429"/>
      <c r="AN171" s="2429"/>
      <c r="AO171" s="2429"/>
      <c r="AP171" s="2429"/>
      <c r="AQ171" s="2429"/>
      <c r="AR171" s="2429"/>
      <c r="AS171" s="2429"/>
      <c r="AT171" s="2429"/>
      <c r="AU171" s="2429"/>
      <c r="AV171" s="2429"/>
      <c r="AW171" s="2429"/>
      <c r="AX171" s="2429"/>
      <c r="AY171" s="2429"/>
      <c r="AZ171" s="2429"/>
      <c r="BA171" s="2429"/>
      <c r="BB171" s="2429"/>
      <c r="BC171" s="2429"/>
      <c r="BD171" s="2429"/>
      <c r="BE171" s="2429"/>
      <c r="BF171" s="2429"/>
      <c r="BG171" s="2429"/>
      <c r="BH171" s="2429"/>
      <c r="BI171" s="2429"/>
      <c r="BJ171" s="2429"/>
      <c r="BK171" s="2430"/>
      <c r="BL171" s="2430"/>
      <c r="BM171" s="1071"/>
      <c r="BN171" s="1071"/>
      <c r="BO171" s="1071"/>
      <c r="BP171" s="1071"/>
      <c r="BQ171" s="1071"/>
      <c r="BR171" s="1071"/>
      <c r="BS171" s="1824"/>
      <c r="BU171" s="1185" t="s">
        <v>725</v>
      </c>
      <c r="BV171" s="2439">
        <f>Calc!I177/1000</f>
        <v>21.75477969081026</v>
      </c>
      <c r="BW171" s="2439">
        <f>Current_Prior!BE38/1000</f>
        <v>0</v>
      </c>
      <c r="BX171" s="2439">
        <f>Calc!I177/1000</f>
        <v>21.75477969081026</v>
      </c>
      <c r="BY171" s="2439">
        <f>Current_Prior!BD38/1000</f>
        <v>0</v>
      </c>
      <c r="BZ171" s="2439" t="e">
        <f>Calc!H177/1000</f>
        <v>#VALUE!</v>
      </c>
      <c r="CA171" s="2439" t="e">
        <f>Calc!G177/1000</f>
        <v>#VALUE!</v>
      </c>
      <c r="CH171" s="2392"/>
      <c r="CI171" s="2392"/>
      <c r="CJ171" s="2392"/>
      <c r="CK171" s="2392"/>
      <c r="CL171" s="2392"/>
    </row>
    <row r="172" spans="1:98" s="1070" customFormat="1" ht="5.25" customHeight="1" x14ac:dyDescent="0.3">
      <c r="A172" s="1071"/>
      <c r="B172" s="1071"/>
      <c r="C172" s="1071"/>
      <c r="D172" s="1071"/>
      <c r="E172" s="1071"/>
      <c r="F172" s="1071"/>
      <c r="G172" s="1071"/>
      <c r="H172" s="1071"/>
      <c r="I172" s="1071"/>
      <c r="J172" s="1071"/>
      <c r="K172" s="1071"/>
      <c r="L172" s="1071"/>
      <c r="M172" s="1071"/>
      <c r="N172" s="1071"/>
      <c r="O172" s="1071"/>
      <c r="P172" s="1071"/>
      <c r="Q172" s="1071"/>
      <c r="R172" s="1071"/>
      <c r="S172" s="1071"/>
      <c r="T172" s="1071"/>
      <c r="U172" s="1071"/>
      <c r="V172" s="1071"/>
      <c r="W172" s="1071"/>
      <c r="X172" s="1071"/>
      <c r="Y172" s="1071"/>
      <c r="Z172" s="1071"/>
      <c r="AA172" s="1071"/>
      <c r="AB172" s="1071"/>
      <c r="AC172" s="1071"/>
      <c r="AD172" s="1071"/>
      <c r="AE172" s="1071"/>
      <c r="AF172" s="1071"/>
      <c r="AG172" s="1071"/>
      <c r="AH172" s="2429"/>
      <c r="AI172" s="1071"/>
      <c r="AJ172" s="2429"/>
      <c r="AK172" s="1071"/>
      <c r="AL172" s="2429"/>
      <c r="AM172" s="2429"/>
      <c r="AN172" s="2429"/>
      <c r="AO172" s="2429"/>
      <c r="AP172" s="2429"/>
      <c r="AQ172" s="2429"/>
      <c r="AR172" s="2429"/>
      <c r="AS172" s="2429"/>
      <c r="AT172" s="2429"/>
      <c r="AU172" s="2429"/>
      <c r="AV172" s="2429"/>
      <c r="AW172" s="2429"/>
      <c r="AX172" s="2429"/>
      <c r="AY172" s="2429"/>
      <c r="AZ172" s="2429"/>
      <c r="BA172" s="2429"/>
      <c r="BB172" s="2429"/>
      <c r="BC172" s="2429"/>
      <c r="BD172" s="2429"/>
      <c r="BE172" s="2429"/>
      <c r="BF172" s="2429"/>
      <c r="BG172" s="2429"/>
      <c r="BH172" s="2429"/>
      <c r="BI172" s="2429"/>
      <c r="BJ172" s="2429"/>
      <c r="BK172" s="2430"/>
      <c r="BL172" s="2430"/>
      <c r="BM172" s="1071"/>
      <c r="BN172" s="1071"/>
      <c r="BO172" s="1071"/>
      <c r="BP172" s="1071"/>
      <c r="BQ172" s="1071"/>
      <c r="BR172" s="1071"/>
      <c r="BS172" s="1824"/>
      <c r="CH172" s="2392"/>
      <c r="CI172" s="2392"/>
      <c r="CJ172" s="2392"/>
      <c r="CK172" s="2392"/>
      <c r="CL172" s="2392"/>
    </row>
    <row r="173" spans="1:98" s="1070" customFormat="1" ht="15.6" x14ac:dyDescent="0.3">
      <c r="A173" s="1071"/>
      <c r="B173" s="1071"/>
      <c r="C173" s="1071"/>
      <c r="D173" s="1071"/>
      <c r="E173" s="1071"/>
      <c r="F173" s="1071"/>
      <c r="G173" s="1071"/>
      <c r="H173" s="1071"/>
      <c r="I173" s="1071"/>
      <c r="J173" s="1071"/>
      <c r="K173" s="1071"/>
      <c r="L173" s="1071"/>
      <c r="M173" s="1071"/>
      <c r="N173" s="1071"/>
      <c r="O173" s="1071"/>
      <c r="P173" s="1071"/>
      <c r="Q173" s="1071"/>
      <c r="R173" s="1071"/>
      <c r="S173" s="1071"/>
      <c r="T173" s="1071"/>
      <c r="U173" s="1071"/>
      <c r="V173" s="2429"/>
      <c r="W173" s="1071"/>
      <c r="X173" s="2429"/>
      <c r="Y173" s="1071"/>
      <c r="Z173" s="2429"/>
      <c r="AA173" s="1071"/>
      <c r="AB173" s="2429"/>
      <c r="AC173" s="1071"/>
      <c r="AD173" s="2429"/>
      <c r="AE173" s="1071"/>
      <c r="AF173" s="2429"/>
      <c r="AG173" s="1071"/>
      <c r="AH173" s="2429"/>
      <c r="AI173" s="1071"/>
      <c r="AJ173" s="2429"/>
      <c r="AK173" s="1071"/>
      <c r="AL173" s="2429"/>
      <c r="AM173" s="2429"/>
      <c r="AN173" s="2429"/>
      <c r="AO173" s="2429"/>
      <c r="AP173" s="2429"/>
      <c r="AQ173" s="2429"/>
      <c r="AR173" s="2429"/>
      <c r="AS173" s="2429"/>
      <c r="AT173" s="2429"/>
      <c r="AU173" s="2429"/>
      <c r="AV173" s="2429"/>
      <c r="AW173" s="2429"/>
      <c r="AX173" s="2429"/>
      <c r="AY173" s="2429"/>
      <c r="AZ173" s="2429"/>
      <c r="BA173" s="2429"/>
      <c r="BB173" s="2429"/>
      <c r="BC173" s="2429"/>
      <c r="BD173" s="2429"/>
      <c r="BE173" s="2429"/>
      <c r="BF173" s="2429"/>
      <c r="BG173" s="2429"/>
      <c r="BH173" s="2429"/>
      <c r="BI173" s="2429"/>
      <c r="BJ173" s="2429"/>
      <c r="BK173" s="2430"/>
      <c r="BL173" s="2430"/>
      <c r="BM173" s="1071"/>
      <c r="BN173" s="1071"/>
      <c r="BO173" s="1071"/>
      <c r="BP173" s="1071"/>
      <c r="BQ173" s="1071"/>
      <c r="BR173" s="1071"/>
      <c r="BS173" s="1824"/>
      <c r="BU173" s="1077" t="s">
        <v>1604</v>
      </c>
      <c r="CH173" s="2392"/>
      <c r="CI173" s="2392"/>
      <c r="CJ173" s="2392"/>
      <c r="CK173" s="2392"/>
      <c r="CL173" s="2392"/>
    </row>
    <row r="174" spans="1:98" s="1070" customFormat="1" ht="15" customHeight="1" x14ac:dyDescent="0.3">
      <c r="A174" s="1071"/>
      <c r="B174" s="1071"/>
      <c r="C174" s="1071"/>
      <c r="D174" s="1071"/>
      <c r="E174" s="1071"/>
      <c r="F174" s="1071"/>
      <c r="G174" s="1071"/>
      <c r="H174" s="1071"/>
      <c r="I174" s="1071"/>
      <c r="J174" s="1071"/>
      <c r="K174" s="1071"/>
      <c r="L174" s="1071"/>
      <c r="M174" s="1071"/>
      <c r="N174" s="1071"/>
      <c r="O174" s="1071"/>
      <c r="P174" s="1071"/>
      <c r="Q174" s="1071"/>
      <c r="R174" s="1071"/>
      <c r="S174" s="1071"/>
      <c r="T174" s="1071"/>
      <c r="U174" s="1071"/>
      <c r="V174" s="1071"/>
      <c r="W174" s="1071"/>
      <c r="X174" s="1071"/>
      <c r="Y174" s="1071"/>
      <c r="Z174" s="1071"/>
      <c r="AA174" s="1071"/>
      <c r="AB174" s="1071"/>
      <c r="AC174" s="1071"/>
      <c r="AD174" s="1071"/>
      <c r="AE174" s="1071"/>
      <c r="AF174" s="1071"/>
      <c r="AG174" s="1071"/>
      <c r="AH174" s="2429"/>
      <c r="AI174" s="1071"/>
      <c r="AJ174" s="2429"/>
      <c r="AK174" s="1071"/>
      <c r="AL174" s="2429"/>
      <c r="AM174" s="2429"/>
      <c r="AN174" s="2429"/>
      <c r="AO174" s="2429"/>
      <c r="AP174" s="2429"/>
      <c r="AQ174" s="2429"/>
      <c r="AR174" s="2429"/>
      <c r="AS174" s="2429"/>
      <c r="AT174" s="2429"/>
      <c r="AU174" s="2429"/>
      <c r="AV174" s="2429"/>
      <c r="AW174" s="2429"/>
      <c r="AX174" s="2429"/>
      <c r="AY174" s="2429"/>
      <c r="AZ174" s="2429"/>
      <c r="BA174" s="2429"/>
      <c r="BB174" s="2429"/>
      <c r="BC174" s="2429"/>
      <c r="BD174" s="2429"/>
      <c r="BE174" s="2429"/>
      <c r="BF174" s="2429"/>
      <c r="BG174" s="2429"/>
      <c r="BH174" s="2429"/>
      <c r="BI174" s="2429"/>
      <c r="BJ174" s="2429"/>
      <c r="BK174" s="2430"/>
      <c r="BL174" s="2430"/>
      <c r="BM174" s="1071"/>
      <c r="BN174" s="1071"/>
      <c r="BO174" s="1071"/>
      <c r="BP174" s="1071"/>
      <c r="BQ174" s="1071"/>
      <c r="BR174" s="1071"/>
      <c r="BS174" s="1824"/>
      <c r="BV174" s="3324" t="str">
        <f>"Forward Look (Hdle"&amp;DiscR*100&amp;"%)"</f>
        <v>Forward Look (Hdle15%)</v>
      </c>
      <c r="BW174" s="3325"/>
      <c r="BX174" s="3325"/>
      <c r="BY174" s="3326"/>
      <c r="BZ174" s="2433" t="str">
        <f>Comp&amp;" (Hdle"&amp;DiscRDE*100&amp;"%)"</f>
        <v>Def Exit (Hdle15%)</v>
      </c>
      <c r="CA174" s="2434"/>
      <c r="CH174" s="2392"/>
      <c r="CI174" s="2392"/>
      <c r="CJ174" s="2392"/>
      <c r="CK174" s="2392"/>
      <c r="CL174" s="2392"/>
    </row>
    <row r="175" spans="1:98" s="1070" customFormat="1" ht="15.6" x14ac:dyDescent="0.3">
      <c r="A175" s="1071"/>
      <c r="B175" s="1071"/>
      <c r="C175" s="1071"/>
      <c r="D175" s="1071"/>
      <c r="E175" s="1071"/>
      <c r="F175" s="1071"/>
      <c r="G175" s="1071"/>
      <c r="H175" s="1071"/>
      <c r="I175" s="1071"/>
      <c r="J175" s="1071"/>
      <c r="K175" s="1071"/>
      <c r="L175" s="1071"/>
      <c r="M175" s="1071"/>
      <c r="N175" s="1071"/>
      <c r="O175" s="1071"/>
      <c r="P175" s="1071"/>
      <c r="Q175" s="1071"/>
      <c r="R175" s="1071"/>
      <c r="S175" s="1071"/>
      <c r="T175" s="1071"/>
      <c r="U175" s="1071"/>
      <c r="V175" s="2429"/>
      <c r="W175" s="1071"/>
      <c r="X175" s="2429"/>
      <c r="Y175" s="1071"/>
      <c r="Z175" s="2429"/>
      <c r="AA175" s="1071"/>
      <c r="AB175" s="2429"/>
      <c r="AC175" s="1071"/>
      <c r="AD175" s="2429"/>
      <c r="AE175" s="1071"/>
      <c r="AF175" s="2429"/>
      <c r="AG175" s="1071"/>
      <c r="AH175" s="2429"/>
      <c r="AI175" s="1071"/>
      <c r="AJ175" s="2429"/>
      <c r="AK175" s="1071"/>
      <c r="AL175" s="2429"/>
      <c r="AM175" s="2429"/>
      <c r="AN175" s="2429"/>
      <c r="AO175" s="2429"/>
      <c r="AP175" s="2429"/>
      <c r="AQ175" s="2429"/>
      <c r="AR175" s="2429"/>
      <c r="AS175" s="2429"/>
      <c r="AT175" s="2429"/>
      <c r="AU175" s="2429"/>
      <c r="AV175" s="2429"/>
      <c r="AW175" s="2429"/>
      <c r="AX175" s="2429"/>
      <c r="AY175" s="2429"/>
      <c r="AZ175" s="2429"/>
      <c r="BA175" s="2429"/>
      <c r="BB175" s="2429"/>
      <c r="BC175" s="2429"/>
      <c r="BD175" s="2429"/>
      <c r="BE175" s="2429"/>
      <c r="BF175" s="2429"/>
      <c r="BG175" s="2429"/>
      <c r="BH175" s="2429"/>
      <c r="BI175" s="2429"/>
      <c r="BJ175" s="2429"/>
      <c r="BK175" s="2430"/>
      <c r="BL175" s="2430"/>
      <c r="BM175" s="1071"/>
      <c r="BN175" s="1071"/>
      <c r="BO175" s="1071"/>
      <c r="BP175" s="1071"/>
      <c r="BQ175" s="1071"/>
      <c r="BR175" s="1071"/>
      <c r="BS175" s="1824"/>
      <c r="BV175" s="3327" t="str">
        <f>"(FY"&amp;CurrentFY&amp;"-FY"&amp;CurrentFY+14&amp;")"</f>
        <v>(FY18-FY32)</v>
      </c>
      <c r="BW175" s="3328"/>
      <c r="BX175" s="3327" t="str">
        <f>"(FY"&amp;CurrentFY&amp;"-FY"&amp;CurrentFY+14&amp;")"</f>
        <v>(FY18-FY32)</v>
      </c>
      <c r="BY175" s="3328"/>
      <c r="BZ175" s="2435" t="e">
        <f>"(FY"&amp;DefExitFY&amp;"-FY"&amp;DefExitFY+14&amp;")"</f>
        <v>#VALUE!</v>
      </c>
      <c r="CA175" s="2436"/>
      <c r="CH175" s="2392"/>
      <c r="CI175" s="2392"/>
      <c r="CJ175" s="2392"/>
      <c r="CK175" s="2392"/>
      <c r="CL175" s="2392"/>
    </row>
    <row r="176" spans="1:98" s="1070" customFormat="1" ht="15.6" x14ac:dyDescent="0.3">
      <c r="A176" s="1071"/>
      <c r="B176" s="1071"/>
      <c r="C176" s="1071"/>
      <c r="D176" s="1071"/>
      <c r="E176" s="1071"/>
      <c r="F176" s="1071"/>
      <c r="G176" s="1071"/>
      <c r="H176" s="1071"/>
      <c r="I176" s="1071"/>
      <c r="J176" s="1071"/>
      <c r="K176" s="1071"/>
      <c r="L176" s="1071"/>
      <c r="M176" s="1071"/>
      <c r="N176" s="1071"/>
      <c r="O176" s="1071"/>
      <c r="P176" s="1071"/>
      <c r="Q176" s="1071"/>
      <c r="R176" s="1071"/>
      <c r="S176" s="1071"/>
      <c r="T176" s="1071"/>
      <c r="U176" s="1071"/>
      <c r="V176" s="2429"/>
      <c r="W176" s="1071"/>
      <c r="X176" s="1071"/>
      <c r="Y176" s="1071"/>
      <c r="Z176" s="2429"/>
      <c r="AA176" s="1071"/>
      <c r="AB176" s="2429"/>
      <c r="AC176" s="1071"/>
      <c r="AD176" s="2429"/>
      <c r="AE176" s="1071"/>
      <c r="AF176" s="2429"/>
      <c r="AG176" s="1071"/>
      <c r="AH176" s="2429"/>
      <c r="AI176" s="1071"/>
      <c r="AJ176" s="2429"/>
      <c r="AK176" s="1071"/>
      <c r="AL176" s="2429"/>
      <c r="AM176" s="2429"/>
      <c r="AN176" s="2429"/>
      <c r="AO176" s="2429"/>
      <c r="AP176" s="2429"/>
      <c r="AQ176" s="2429"/>
      <c r="AR176" s="2429"/>
      <c r="AS176" s="2429"/>
      <c r="AT176" s="2429"/>
      <c r="AU176" s="2429"/>
      <c r="AV176" s="2429"/>
      <c r="AW176" s="2429"/>
      <c r="AX176" s="2429"/>
      <c r="AY176" s="2429"/>
      <c r="AZ176" s="2429"/>
      <c r="BA176" s="2429"/>
      <c r="BB176" s="2429"/>
      <c r="BC176" s="2429"/>
      <c r="BD176" s="2429"/>
      <c r="BE176" s="2429"/>
      <c r="BF176" s="2429"/>
      <c r="BG176" s="2429"/>
      <c r="BH176" s="2429"/>
      <c r="BI176" s="2429"/>
      <c r="BJ176" s="2429"/>
      <c r="BK176" s="2430"/>
      <c r="BL176" s="2430"/>
      <c r="BM176" s="1071"/>
      <c r="BN176" s="1071"/>
      <c r="BO176" s="1071"/>
      <c r="BP176" s="1071"/>
      <c r="BQ176" s="1071"/>
      <c r="BR176" s="1071"/>
      <c r="BS176" s="1824"/>
      <c r="BV176" s="2437" t="s">
        <v>1495</v>
      </c>
      <c r="BW176" s="2437" t="s">
        <v>1601</v>
      </c>
      <c r="BX176" s="2437" t="s">
        <v>1495</v>
      </c>
      <c r="BY176" s="2437" t="s">
        <v>1601</v>
      </c>
      <c r="BZ176" s="2437" t="s">
        <v>1495</v>
      </c>
      <c r="CA176" s="2437" t="s">
        <v>1602</v>
      </c>
      <c r="CH176" s="2392"/>
      <c r="CI176" s="2392"/>
      <c r="CJ176" s="2392"/>
      <c r="CK176" s="2392"/>
      <c r="CL176" s="2392"/>
    </row>
    <row r="177" spans="1:98" s="1070" customFormat="1" ht="15.6" x14ac:dyDescent="0.3">
      <c r="A177" s="1071"/>
      <c r="B177" s="1071"/>
      <c r="C177" s="1071"/>
      <c r="D177" s="1071"/>
      <c r="E177" s="1071"/>
      <c r="F177" s="1071"/>
      <c r="G177" s="1071"/>
      <c r="H177" s="1071"/>
      <c r="I177" s="1071"/>
      <c r="J177" s="1071"/>
      <c r="K177" s="1071"/>
      <c r="L177" s="1071"/>
      <c r="M177" s="1071"/>
      <c r="N177" s="1071"/>
      <c r="O177" s="1071"/>
      <c r="P177" s="1071"/>
      <c r="Q177" s="1071"/>
      <c r="R177" s="1071"/>
      <c r="S177" s="1071"/>
      <c r="T177" s="1071"/>
      <c r="U177" s="1071"/>
      <c r="V177" s="2429"/>
      <c r="W177" s="1071"/>
      <c r="X177" s="2429"/>
      <c r="Y177" s="1071"/>
      <c r="Z177" s="2429"/>
      <c r="AA177" s="1071"/>
      <c r="AB177" s="2429"/>
      <c r="AC177" s="1071"/>
      <c r="AD177" s="2429"/>
      <c r="AE177" s="1071"/>
      <c r="AF177" s="2429"/>
      <c r="AG177" s="1071"/>
      <c r="AH177" s="2429"/>
      <c r="AI177" s="1071"/>
      <c r="AJ177" s="2429"/>
      <c r="AK177" s="1071"/>
      <c r="AL177" s="2429"/>
      <c r="AM177" s="2429"/>
      <c r="AN177" s="2429"/>
      <c r="AO177" s="2429"/>
      <c r="AP177" s="2429"/>
      <c r="AQ177" s="2429"/>
      <c r="AR177" s="2429"/>
      <c r="AS177" s="2429"/>
      <c r="AT177" s="2429"/>
      <c r="AU177" s="2429"/>
      <c r="AV177" s="2429"/>
      <c r="AW177" s="2429"/>
      <c r="AX177" s="2429"/>
      <c r="AY177" s="2429"/>
      <c r="AZ177" s="2429"/>
      <c r="BA177" s="2429"/>
      <c r="BB177" s="2429"/>
      <c r="BC177" s="2429"/>
      <c r="BD177" s="2429"/>
      <c r="BE177" s="2429"/>
      <c r="BF177" s="2429"/>
      <c r="BG177" s="2429"/>
      <c r="BH177" s="2429"/>
      <c r="BI177" s="2429"/>
      <c r="BJ177" s="2429"/>
      <c r="BK177" s="2430"/>
      <c r="BL177" s="2430"/>
      <c r="BM177" s="1071"/>
      <c r="BN177" s="1071"/>
      <c r="BO177" s="1071"/>
      <c r="BP177" s="1071"/>
      <c r="BQ177" s="1071"/>
      <c r="BR177" s="1071"/>
      <c r="BS177" s="1824"/>
      <c r="BU177" s="1163" t="s">
        <v>1603</v>
      </c>
      <c r="BV177" s="2438">
        <f>Calc!N176-DiscR</f>
        <v>0.11443581159256935</v>
      </c>
      <c r="BW177" s="2438">
        <f>Current_Prior!BJ37-DiscR</f>
        <v>-0.15</v>
      </c>
      <c r="BX177" s="2438">
        <f>Calc!N176-DiscR</f>
        <v>0.11443581159256935</v>
      </c>
      <c r="BY177" s="2438">
        <f>Current_Prior!BI37-DiscR</f>
        <v>-0.15</v>
      </c>
      <c r="BZ177" s="2438" t="e">
        <f>Calc!M176-DiscRDE</f>
        <v>#VALUE!</v>
      </c>
      <c r="CA177" s="2438" t="e">
        <f>Calc!L176-DiscRDE</f>
        <v>#VALUE!</v>
      </c>
      <c r="CH177" s="2392"/>
      <c r="CI177" s="2392"/>
      <c r="CJ177" s="2392"/>
      <c r="CK177" s="2392"/>
      <c r="CL177" s="2392"/>
    </row>
    <row r="178" spans="1:98" s="1070" customFormat="1" ht="15.6" x14ac:dyDescent="0.3">
      <c r="A178" s="1071"/>
      <c r="B178" s="1071"/>
      <c r="C178" s="1071"/>
      <c r="D178" s="1071"/>
      <c r="E178" s="1071"/>
      <c r="F178" s="1071"/>
      <c r="G178" s="1071"/>
      <c r="H178" s="1071"/>
      <c r="I178" s="1071"/>
      <c r="J178" s="1071"/>
      <c r="K178" s="1071"/>
      <c r="L178" s="1071"/>
      <c r="M178" s="1071"/>
      <c r="N178" s="1071"/>
      <c r="O178" s="1071"/>
      <c r="P178" s="1071"/>
      <c r="Q178" s="1071"/>
      <c r="R178" s="1071"/>
      <c r="S178" s="1071"/>
      <c r="T178" s="1071"/>
      <c r="U178" s="1071"/>
      <c r="V178" s="2429"/>
      <c r="W178" s="1071"/>
      <c r="X178" s="2429"/>
      <c r="Y178" s="1071"/>
      <c r="Z178" s="2429"/>
      <c r="AA178" s="1071"/>
      <c r="AB178" s="2429"/>
      <c r="AC178" s="1071"/>
      <c r="AD178" s="2429"/>
      <c r="AE178" s="2429"/>
      <c r="AF178" s="2429"/>
      <c r="AG178" s="2429"/>
      <c r="AH178" s="2429"/>
      <c r="AI178" s="1071"/>
      <c r="AJ178" s="2429"/>
      <c r="AK178" s="1071"/>
      <c r="AL178" s="2429"/>
      <c r="AM178" s="2429"/>
      <c r="AN178" s="2429"/>
      <c r="AO178" s="2429"/>
      <c r="AP178" s="2429"/>
      <c r="AQ178" s="2429"/>
      <c r="AR178" s="2429"/>
      <c r="AS178" s="2429"/>
      <c r="AT178" s="2429"/>
      <c r="AU178" s="2429"/>
      <c r="AV178" s="2429"/>
      <c r="AW178" s="2429"/>
      <c r="AX178" s="2429"/>
      <c r="AY178" s="2429"/>
      <c r="AZ178" s="2429"/>
      <c r="BA178" s="2429"/>
      <c r="BB178" s="2429"/>
      <c r="BC178" s="2429"/>
      <c r="BD178" s="2429"/>
      <c r="BE178" s="2429"/>
      <c r="BF178" s="2429"/>
      <c r="BG178" s="2429"/>
      <c r="BH178" s="2429"/>
      <c r="BI178" s="2429"/>
      <c r="BJ178" s="2429"/>
      <c r="BK178" s="2430"/>
      <c r="BL178" s="2430"/>
      <c r="BM178" s="1071"/>
      <c r="BN178" s="1071"/>
      <c r="BO178" s="1071"/>
      <c r="BP178" s="1071"/>
      <c r="BQ178" s="1071"/>
      <c r="BR178" s="1071"/>
      <c r="BS178" s="1824"/>
      <c r="BU178" s="1185" t="s">
        <v>725</v>
      </c>
      <c r="BV178" s="2439">
        <f>Calc!N177/1000</f>
        <v>101.68322203437474</v>
      </c>
      <c r="BW178" s="2439">
        <f>Current_Prior!BJ38/1000</f>
        <v>0</v>
      </c>
      <c r="BX178" s="2439">
        <f>Calc!N177/1000</f>
        <v>101.68322203437474</v>
      </c>
      <c r="BY178" s="2439">
        <f>Current_Prior!BI38/1000</f>
        <v>0</v>
      </c>
      <c r="BZ178" s="2439" t="e">
        <f>Calc!M177/1000</f>
        <v>#VALUE!</v>
      </c>
      <c r="CA178" s="2439" t="e">
        <f>Calc!L177/1000</f>
        <v>#VALUE!</v>
      </c>
      <c r="CH178" s="2392"/>
      <c r="CI178" s="2392"/>
      <c r="CJ178" s="2392"/>
      <c r="CK178" s="2392"/>
      <c r="CL178" s="2392"/>
    </row>
    <row r="179" spans="1:98" s="1070" customFormat="1" x14ac:dyDescent="0.3">
      <c r="A179" s="1071"/>
      <c r="B179" s="1071"/>
      <c r="C179" s="1071"/>
      <c r="D179" s="1071"/>
      <c r="E179" s="1071"/>
      <c r="F179" s="1071"/>
      <c r="G179" s="1071"/>
      <c r="H179" s="1071"/>
      <c r="I179" s="1071"/>
      <c r="J179" s="1071"/>
      <c r="K179" s="1071"/>
      <c r="L179" s="1071"/>
      <c r="M179" s="1071"/>
      <c r="N179" s="1071"/>
      <c r="O179" s="1071"/>
      <c r="P179" s="1071"/>
      <c r="Q179" s="1071"/>
      <c r="R179" s="1071"/>
      <c r="S179" s="1071"/>
      <c r="T179" s="1071"/>
      <c r="U179" s="1071"/>
      <c r="V179" s="2429"/>
      <c r="W179" s="1071"/>
      <c r="X179" s="2429"/>
      <c r="Y179" s="1071"/>
      <c r="Z179" s="2429"/>
      <c r="AA179" s="1071"/>
      <c r="AB179" s="2429"/>
      <c r="AC179" s="1071"/>
      <c r="AD179" s="2429"/>
      <c r="AE179" s="1071"/>
      <c r="AF179" s="2429"/>
      <c r="AG179" s="1071"/>
      <c r="AH179" s="2429"/>
      <c r="AI179" s="1071"/>
      <c r="AJ179" s="2429"/>
      <c r="AK179" s="1071"/>
      <c r="AL179" s="2429"/>
      <c r="AM179" s="2429"/>
      <c r="AN179" s="2429"/>
      <c r="AO179" s="2429"/>
      <c r="AP179" s="2429"/>
      <c r="AQ179" s="2429"/>
      <c r="AR179" s="2429"/>
      <c r="AS179" s="2429"/>
      <c r="AT179" s="2429"/>
      <c r="AU179" s="2429"/>
      <c r="AV179" s="2429"/>
      <c r="AW179" s="2429"/>
      <c r="AX179" s="2429"/>
      <c r="AY179" s="2429"/>
      <c r="AZ179" s="2429"/>
      <c r="BA179" s="2429"/>
      <c r="BB179" s="2429"/>
      <c r="BC179" s="2429"/>
      <c r="BD179" s="2429"/>
      <c r="BE179" s="2429"/>
      <c r="BF179" s="2429"/>
      <c r="BG179" s="2429"/>
      <c r="BH179" s="2429"/>
      <c r="BI179" s="2429"/>
      <c r="BJ179" s="2429"/>
      <c r="BK179" s="2430"/>
      <c r="BL179" s="2430"/>
      <c r="BM179" s="1071"/>
      <c r="BN179" s="1071"/>
      <c r="BO179" s="1071"/>
      <c r="BP179" s="1071"/>
      <c r="BQ179" s="1071"/>
      <c r="BR179" s="1071"/>
      <c r="BS179" s="1824"/>
      <c r="BZ179" s="1555"/>
      <c r="CA179" s="1555"/>
    </row>
    <row r="180" spans="1:98" s="1070" customFormat="1" x14ac:dyDescent="0.3">
      <c r="A180" s="1071"/>
      <c r="B180" s="1071"/>
      <c r="C180" s="1071"/>
      <c r="D180" s="1071"/>
      <c r="E180" s="1071"/>
      <c r="F180" s="1071"/>
      <c r="G180" s="1071"/>
      <c r="H180" s="1071"/>
      <c r="I180" s="1071"/>
      <c r="J180" s="1071"/>
      <c r="K180" s="1071"/>
      <c r="L180" s="1071"/>
      <c r="M180" s="1071"/>
      <c r="N180" s="1071"/>
      <c r="O180" s="1071"/>
      <c r="P180" s="1071"/>
      <c r="Q180" s="1071"/>
      <c r="R180" s="1071"/>
      <c r="S180" s="1071"/>
      <c r="T180" s="1071"/>
      <c r="U180" s="1071"/>
      <c r="V180" s="2429"/>
      <c r="W180" s="1071"/>
      <c r="X180" s="2429"/>
      <c r="Y180" s="1071"/>
      <c r="Z180" s="2429"/>
      <c r="AA180" s="1071"/>
      <c r="AB180" s="2429"/>
      <c r="AC180" s="1071"/>
      <c r="AD180" s="2429"/>
      <c r="AE180" s="1071"/>
      <c r="AF180" s="2429"/>
      <c r="AG180" s="1071"/>
      <c r="AH180" s="2429"/>
      <c r="AI180" s="1071"/>
      <c r="AJ180" s="2429"/>
      <c r="AK180" s="1071"/>
      <c r="AL180" s="2429"/>
      <c r="AM180" s="2429"/>
      <c r="AN180" s="2429"/>
      <c r="AO180" s="2429"/>
      <c r="AP180" s="2429"/>
      <c r="AQ180" s="2429"/>
      <c r="AR180" s="2429"/>
      <c r="AS180" s="2429"/>
      <c r="AT180" s="2429"/>
      <c r="AU180" s="2429"/>
      <c r="AV180" s="2429"/>
      <c r="AW180" s="2429"/>
      <c r="AX180" s="2429"/>
      <c r="AY180" s="2429"/>
      <c r="AZ180" s="2429"/>
      <c r="BA180" s="2429"/>
      <c r="BB180" s="2429"/>
      <c r="BC180" s="2429"/>
      <c r="BD180" s="2429"/>
      <c r="BE180" s="2429"/>
      <c r="BF180" s="2429"/>
      <c r="BG180" s="2429"/>
      <c r="BH180" s="2429"/>
      <c r="BI180" s="2429"/>
      <c r="BJ180" s="2429"/>
      <c r="BK180" s="2430"/>
      <c r="BL180" s="2430"/>
      <c r="BM180" s="1071"/>
      <c r="BN180" s="1071"/>
      <c r="BO180" s="1071"/>
      <c r="BP180" s="1071"/>
      <c r="BQ180" s="1071"/>
      <c r="BR180" s="1071"/>
      <c r="BS180" s="1824"/>
    </row>
    <row r="181" spans="1:98" x14ac:dyDescent="0.3">
      <c r="BS181" s="1824"/>
      <c r="BT181" s="1070"/>
      <c r="BU181" s="1070"/>
      <c r="BV181" s="1070"/>
      <c r="BW181" s="1070"/>
      <c r="BX181" s="1070"/>
      <c r="BY181" s="1070"/>
      <c r="BZ181" s="1070"/>
      <c r="CA181" s="1070"/>
      <c r="CB181" s="1070"/>
      <c r="CC181" s="1070"/>
      <c r="CD181" s="1070"/>
      <c r="CE181" s="1070"/>
      <c r="CF181" s="1070"/>
      <c r="CG181" s="1070"/>
      <c r="CH181" s="1070"/>
      <c r="CI181" s="1070"/>
      <c r="CJ181" s="1070"/>
      <c r="CK181" s="1070"/>
      <c r="CL181" s="1070"/>
      <c r="CM181" s="1070"/>
      <c r="CN181" s="1070"/>
      <c r="CO181" s="1070"/>
      <c r="CP181" s="1070"/>
      <c r="CQ181" s="1070"/>
      <c r="CR181" s="1070"/>
      <c r="CS181" s="1070"/>
      <c r="CT181" s="1070"/>
    </row>
    <row r="182" spans="1:98" x14ac:dyDescent="0.3">
      <c r="AB182" s="1071"/>
      <c r="BS182" s="1824"/>
      <c r="BT182" s="1070"/>
      <c r="BU182" s="1070"/>
      <c r="BV182" s="1070"/>
      <c r="BW182" s="1070"/>
      <c r="BX182" s="1070"/>
      <c r="BY182" s="1070"/>
      <c r="BZ182" s="1070"/>
      <c r="CA182" s="1070"/>
      <c r="CB182" s="1070"/>
      <c r="CC182" s="2431" t="s">
        <v>1605</v>
      </c>
      <c r="CD182" s="2432"/>
      <c r="CE182" s="2432"/>
      <c r="CF182" s="2432"/>
      <c r="CG182" s="2432"/>
      <c r="CH182" s="2432"/>
      <c r="CI182" s="2432"/>
      <c r="CJ182" s="2432"/>
      <c r="CK182" s="2432"/>
      <c r="CL182" s="2440"/>
      <c r="CM182" s="1070"/>
      <c r="CN182" s="2431" t="s">
        <v>1606</v>
      </c>
      <c r="CO182" s="2432"/>
      <c r="CP182" s="2432"/>
      <c r="CQ182" s="2432"/>
      <c r="CR182" s="2432"/>
      <c r="CS182" s="2440"/>
      <c r="CT182" s="1070"/>
    </row>
    <row r="183" spans="1:98" x14ac:dyDescent="0.3">
      <c r="BS183" s="1824"/>
      <c r="BT183" s="1070"/>
      <c r="BU183" s="1070"/>
      <c r="BV183" s="1070"/>
      <c r="BW183" s="1070"/>
      <c r="BX183" s="1070"/>
      <c r="BY183" s="1070"/>
      <c r="BZ183" s="1070"/>
      <c r="CA183" s="1070"/>
      <c r="CB183" s="1070"/>
      <c r="CC183" s="1158"/>
      <c r="CD183" s="1158"/>
      <c r="CE183" s="1158"/>
      <c r="CF183" s="1158"/>
      <c r="CG183" s="1158"/>
      <c r="CH183" s="1158"/>
      <c r="CI183" s="1158"/>
      <c r="CJ183" s="1158"/>
      <c r="CK183" s="1158"/>
      <c r="CL183" s="1158"/>
      <c r="CM183" s="1070"/>
      <c r="CN183" s="1070"/>
      <c r="CO183" s="1070"/>
      <c r="CP183" s="1070"/>
      <c r="CQ183" s="1070"/>
      <c r="CR183" s="1070"/>
      <c r="CS183" s="1070"/>
      <c r="CT183" s="1070"/>
    </row>
    <row r="184" spans="1:98" x14ac:dyDescent="0.3">
      <c r="BS184" s="1824"/>
      <c r="BT184" s="1070"/>
      <c r="BU184" s="1070"/>
      <c r="BV184" s="1070"/>
      <c r="BW184" s="1070"/>
      <c r="BX184" s="1070"/>
      <c r="BY184" s="1070"/>
      <c r="BZ184" s="1070"/>
      <c r="CA184" s="1070"/>
      <c r="CB184" s="1070"/>
      <c r="CC184" s="1070"/>
      <c r="CD184" s="1070"/>
      <c r="CE184" s="1070"/>
      <c r="CF184" s="1070"/>
      <c r="CG184" s="1070"/>
      <c r="CH184" s="1070"/>
      <c r="CI184" s="1070"/>
      <c r="CJ184" s="1070"/>
      <c r="CK184" s="1070"/>
      <c r="CL184" s="1070"/>
      <c r="CM184" s="1070"/>
      <c r="CN184" s="1070"/>
      <c r="CO184" s="1070"/>
      <c r="CP184" s="1070"/>
      <c r="CQ184" s="1070"/>
      <c r="CR184" s="1070"/>
      <c r="CS184" s="1070"/>
      <c r="CT184" s="1070"/>
    </row>
    <row r="185" spans="1:98" x14ac:dyDescent="0.3">
      <c r="BS185" s="1824"/>
      <c r="BT185" s="1070"/>
      <c r="BU185" s="1070"/>
      <c r="BV185" s="1070"/>
      <c r="BW185" s="1070"/>
      <c r="BX185" s="1070"/>
      <c r="BY185" s="1070"/>
      <c r="BZ185" s="1070"/>
      <c r="CA185" s="1070"/>
      <c r="CB185" s="1070"/>
      <c r="CC185" s="3329" t="s">
        <v>1607</v>
      </c>
      <c r="CD185" s="3330"/>
      <c r="CE185" s="3330"/>
      <c r="CF185" s="1070"/>
      <c r="CG185" s="1070"/>
      <c r="CH185" s="3331" t="s">
        <v>1608</v>
      </c>
      <c r="CI185" s="3332"/>
      <c r="CJ185" s="3332"/>
      <c r="CK185" s="3332"/>
      <c r="CL185" s="3333"/>
      <c r="CM185" s="1070"/>
      <c r="CN185" s="1734"/>
      <c r="CO185" s="1734"/>
      <c r="CP185" s="3349" t="s">
        <v>1313</v>
      </c>
      <c r="CQ185" s="3350"/>
      <c r="CR185" s="3349" t="s">
        <v>1314</v>
      </c>
      <c r="CS185" s="3350"/>
      <c r="CT185" s="1070"/>
    </row>
    <row r="186" spans="1:98" x14ac:dyDescent="0.3">
      <c r="BS186" s="1824"/>
      <c r="BT186" s="1070"/>
      <c r="BU186" s="1070"/>
      <c r="BV186" s="1070"/>
      <c r="BW186" s="1070"/>
      <c r="BX186" s="1070"/>
      <c r="BY186" s="1070"/>
      <c r="BZ186" s="1070"/>
      <c r="CA186" s="1070"/>
      <c r="CB186" s="1070"/>
      <c r="CC186" s="1145" t="s">
        <v>1267</v>
      </c>
      <c r="CD186" s="2441" t="str">
        <f>Input!D57&amp;" "&amp;Input!E57</f>
        <v>N/A N/A</v>
      </c>
      <c r="CE186" s="2442"/>
      <c r="CF186" s="1070"/>
      <c r="CG186" s="1070"/>
      <c r="CH186" s="2443" t="str">
        <f>Input!B70</f>
        <v>Commercial Risk</v>
      </c>
      <c r="CI186" s="1070"/>
      <c r="CJ186" s="1159"/>
      <c r="CK186" s="1186"/>
      <c r="CL186" s="2444" t="str">
        <f>Input!D70</f>
        <v>N/A</v>
      </c>
      <c r="CM186" s="1070"/>
      <c r="CN186" s="1164" t="s">
        <v>1609</v>
      </c>
      <c r="CO186" s="2445"/>
      <c r="CP186" s="1165" t="s">
        <v>1610</v>
      </c>
      <c r="CQ186" s="1165" t="s">
        <v>1611</v>
      </c>
      <c r="CR186" s="1165" t="s">
        <v>1610</v>
      </c>
      <c r="CS186" s="1165" t="s">
        <v>1611</v>
      </c>
      <c r="CT186" s="1070"/>
    </row>
    <row r="187" spans="1:98" x14ac:dyDescent="0.3">
      <c r="BS187" s="1824"/>
      <c r="BT187" s="1070"/>
      <c r="BU187" s="1070"/>
      <c r="BV187" s="1070"/>
      <c r="BW187" s="1070"/>
      <c r="BX187" s="1070"/>
      <c r="BY187" s="1070"/>
      <c r="BZ187" s="1070"/>
      <c r="CA187" s="1070"/>
      <c r="CB187" s="1070"/>
      <c r="CC187" s="1656" t="s">
        <v>1612</v>
      </c>
      <c r="CD187" s="2446" t="s">
        <v>49</v>
      </c>
      <c r="CE187" s="2447" t="s">
        <v>1265</v>
      </c>
      <c r="CF187" s="1070"/>
      <c r="CG187" s="1070"/>
      <c r="CH187" s="2448" t="str">
        <f>Input!B71</f>
        <v>Technical Risk</v>
      </c>
      <c r="CI187" s="1070"/>
      <c r="CJ187" s="1142"/>
      <c r="CK187" s="1437"/>
      <c r="CL187" s="2449" t="str">
        <f>Input!D71</f>
        <v>N/A</v>
      </c>
      <c r="CM187" s="1070"/>
      <c r="CN187" s="1147" t="s">
        <v>1613</v>
      </c>
      <c r="CO187" s="1186"/>
      <c r="CP187" s="1147" t="s">
        <v>1614</v>
      </c>
      <c r="CQ187" s="1186" t="s">
        <v>1615</v>
      </c>
      <c r="CR187" s="1147" t="str">
        <f>CP187</f>
        <v>FT_Calc</v>
      </c>
      <c r="CS187" s="1186" t="s">
        <v>1616</v>
      </c>
      <c r="CT187" s="1070"/>
    </row>
    <row r="188" spans="1:98" x14ac:dyDescent="0.3">
      <c r="BS188" s="1824"/>
      <c r="BT188" s="1070"/>
      <c r="BU188" s="1070"/>
      <c r="BV188" s="1070"/>
      <c r="BW188" s="1070"/>
      <c r="BX188" s="1070"/>
      <c r="BY188" s="1070"/>
      <c r="BZ188" s="1070"/>
      <c r="CA188" s="1070"/>
      <c r="CB188" s="1070"/>
      <c r="CC188" s="1149" t="s">
        <v>756</v>
      </c>
      <c r="CD188" s="1564" t="str">
        <f>Input!D58&amp;" "&amp;Input!E58</f>
        <v>N/A N/A</v>
      </c>
      <c r="CE188" s="1197" t="str">
        <f>Input!F58&amp;" "&amp;Input!H58</f>
        <v>N/A N/A</v>
      </c>
      <c r="CF188" s="1070"/>
      <c r="CG188" s="1070"/>
      <c r="CH188" s="2448" t="str">
        <f>Input!B68</f>
        <v>Discount (Hurdle) Rate @ Act/Projection Scenarios</v>
      </c>
      <c r="CI188" s="1070"/>
      <c r="CJ188" s="1142"/>
      <c r="CK188" s="1437"/>
      <c r="CL188" s="2449">
        <f>Input!F68</f>
        <v>0.15</v>
      </c>
      <c r="CM188" s="1070"/>
      <c r="CN188" s="1149" t="s">
        <v>1185</v>
      </c>
      <c r="CO188" s="1437"/>
      <c r="CP188" s="1149" t="s">
        <v>1614</v>
      </c>
      <c r="CQ188" s="1437" t="s">
        <v>1617</v>
      </c>
      <c r="CR188" s="1149" t="str">
        <f>CP188</f>
        <v>FT_Calc</v>
      </c>
      <c r="CS188" s="1437" t="s">
        <v>1618</v>
      </c>
      <c r="CT188" s="1070"/>
    </row>
    <row r="189" spans="1:98" x14ac:dyDescent="0.3">
      <c r="BS189" s="1824"/>
      <c r="BT189" s="1070"/>
      <c r="BU189" s="1070"/>
      <c r="BV189" s="1070"/>
      <c r="BW189" s="1070"/>
      <c r="BX189" s="1070"/>
      <c r="BY189" s="1070"/>
      <c r="BZ189" s="1070"/>
      <c r="CA189" s="1070"/>
      <c r="CB189" s="1070"/>
      <c r="CC189" s="1149" t="s">
        <v>757</v>
      </c>
      <c r="CD189" s="1564" t="str">
        <f>Input!D59&amp;" "&amp;Input!E59</f>
        <v>N/A N/A</v>
      </c>
      <c r="CE189" s="1197" t="str">
        <f>Input!F59&amp;" "&amp;Input!H59</f>
        <v>N/A N/A</v>
      </c>
      <c r="CF189" s="1070"/>
      <c r="CG189" s="1070"/>
      <c r="CH189" s="2448" t="str">
        <f>Input!B72</f>
        <v>Finance Rate (for MIRR calc)</v>
      </c>
      <c r="CI189" s="1070"/>
      <c r="CJ189" s="1142"/>
      <c r="CK189" s="1437"/>
      <c r="CL189" s="2449">
        <f>Input!F72</f>
        <v>0.08</v>
      </c>
      <c r="CM189" s="1070"/>
      <c r="CN189" s="1149" t="s">
        <v>1619</v>
      </c>
      <c r="CO189" s="1437"/>
      <c r="CP189" s="1149" t="s">
        <v>1614</v>
      </c>
      <c r="CQ189" s="1437" t="s">
        <v>1620</v>
      </c>
      <c r="CR189" s="1149" t="str">
        <f>CP189</f>
        <v>FT_Calc</v>
      </c>
      <c r="CS189" s="1437" t="s">
        <v>1621</v>
      </c>
      <c r="CT189" s="1070"/>
    </row>
    <row r="190" spans="1:98" ht="15" customHeight="1" x14ac:dyDescent="0.3">
      <c r="BS190" s="1824"/>
      <c r="BT190" s="1070"/>
      <c r="BU190" s="1070"/>
      <c r="BV190" s="1070"/>
      <c r="BW190" s="1070"/>
      <c r="BX190" s="1070"/>
      <c r="BY190" s="1070"/>
      <c r="BZ190" s="1070"/>
      <c r="CA190" s="1070"/>
      <c r="CB190" s="1070"/>
      <c r="CC190" s="1656"/>
      <c r="CD190" s="2446"/>
      <c r="CE190" s="2450" t="s">
        <v>1622</v>
      </c>
      <c r="CF190" s="1070"/>
      <c r="CG190" s="1070"/>
      <c r="CH190" s="2448" t="str">
        <f>Input!B73</f>
        <v>Reinvestment Rate (for MIRR calc)</v>
      </c>
      <c r="CI190" s="1070"/>
      <c r="CJ190" s="1142"/>
      <c r="CK190" s="1437"/>
      <c r="CL190" s="2449">
        <f>Input!F73</f>
        <v>0.125</v>
      </c>
      <c r="CM190" s="1070"/>
      <c r="CN190" s="1149" t="s">
        <v>1623</v>
      </c>
      <c r="CO190" s="1437"/>
      <c r="CP190" s="2451"/>
      <c r="CQ190" s="1437"/>
      <c r="CR190" s="1149"/>
      <c r="CS190" s="1437"/>
      <c r="CT190" s="1070"/>
    </row>
    <row r="191" spans="1:98" x14ac:dyDescent="0.3">
      <c r="BS191" s="1824"/>
      <c r="BT191" s="1070"/>
      <c r="BU191" s="1070"/>
      <c r="BV191" s="1070"/>
      <c r="BW191" s="1070"/>
      <c r="BX191" s="1070"/>
      <c r="BY191" s="1070"/>
      <c r="BZ191" s="1070"/>
      <c r="CA191" s="1070"/>
      <c r="CB191" s="1070"/>
      <c r="CC191" s="1149" t="s">
        <v>758</v>
      </c>
      <c r="CD191" s="1564" t="str">
        <f>Input!D61&amp;" "&amp;Input!E61</f>
        <v>N/A N/A</v>
      </c>
      <c r="CE191" s="2452" t="str">
        <f>Input!F61&amp;" "&amp;Input!H61</f>
        <v>N/A N/A</v>
      </c>
      <c r="CF191" s="1070"/>
      <c r="CG191" s="1070"/>
      <c r="CH191" s="3331" t="s">
        <v>1624</v>
      </c>
      <c r="CI191" s="3332"/>
      <c r="CJ191" s="3332"/>
      <c r="CK191" s="3332"/>
      <c r="CL191" s="3333"/>
      <c r="CM191" s="1070"/>
      <c r="CN191" s="1149"/>
      <c r="CO191" s="1437" t="s">
        <v>1625</v>
      </c>
      <c r="CP191" s="1149" t="s">
        <v>1626</v>
      </c>
      <c r="CQ191" s="1477" t="s">
        <v>1627</v>
      </c>
      <c r="CR191" s="1207" t="str">
        <f>CP191</f>
        <v>Current vs. Prior Sub</v>
      </c>
      <c r="CS191" s="1477" t="s">
        <v>1628</v>
      </c>
      <c r="CT191" s="1070"/>
    </row>
    <row r="192" spans="1:98" x14ac:dyDescent="0.3">
      <c r="BS192" s="1824"/>
      <c r="BT192" s="1070"/>
      <c r="BU192" s="1070"/>
      <c r="BV192" s="1070"/>
      <c r="BW192" s="1070"/>
      <c r="BX192" s="1070"/>
      <c r="BY192" s="1070"/>
      <c r="BZ192" s="1070"/>
      <c r="CA192" s="1070"/>
      <c r="CB192" s="1070"/>
      <c r="CC192" s="1149" t="s">
        <v>759</v>
      </c>
      <c r="CD192" s="1564" t="str">
        <f>Input!D62&amp;" "&amp;Input!E62</f>
        <v>N/A N/A</v>
      </c>
      <c r="CE192" s="2452" t="str">
        <f>Input!F62&amp;" "&amp;Input!H62</f>
        <v>N/A N/A</v>
      </c>
      <c r="CF192" s="1070"/>
      <c r="CG192" s="1070"/>
      <c r="CH192" s="2453" t="str">
        <f>Input!B94</f>
        <v>Product Life Cycle (Yrs after launch)</v>
      </c>
      <c r="CI192" s="1159"/>
      <c r="CJ192" s="1159"/>
      <c r="CK192" s="1159"/>
      <c r="CL192" s="2454">
        <f>Input!F94</f>
        <v>0</v>
      </c>
      <c r="CM192" s="1070"/>
      <c r="CN192" s="1184"/>
      <c r="CO192" s="1459" t="s">
        <v>1629</v>
      </c>
      <c r="CP192" s="1184" t="s">
        <v>1626</v>
      </c>
      <c r="CQ192" s="1435" t="s">
        <v>1630</v>
      </c>
      <c r="CR192" s="1150" t="str">
        <f>CP192</f>
        <v>Current vs. Prior Sub</v>
      </c>
      <c r="CS192" s="1435" t="s">
        <v>1631</v>
      </c>
      <c r="CT192" s="1070"/>
    </row>
    <row r="193" spans="71:98" x14ac:dyDescent="0.3">
      <c r="BS193" s="1824"/>
      <c r="BT193" s="1070"/>
      <c r="BU193" s="1070"/>
      <c r="BV193" s="1070"/>
      <c r="BW193" s="1070"/>
      <c r="BX193" s="1070"/>
      <c r="BY193" s="1070"/>
      <c r="BZ193" s="1070"/>
      <c r="CA193" s="1070"/>
      <c r="CB193" s="1070"/>
      <c r="CC193" s="1184" t="s">
        <v>1268</v>
      </c>
      <c r="CD193" s="2455" t="str">
        <f>Input!D63&amp;" "&amp;Input!E63</f>
        <v>N/A N/A</v>
      </c>
      <c r="CE193" s="2456" t="str">
        <f>Input!F63&amp;" "&amp;Input!H63</f>
        <v>N/A N/A</v>
      </c>
      <c r="CF193" s="1070"/>
      <c r="CG193" s="1070"/>
      <c r="CH193" s="1184" t="s">
        <v>1632</v>
      </c>
      <c r="CI193" s="1201"/>
      <c r="CJ193" s="1201"/>
      <c r="CK193" s="1201"/>
      <c r="CL193" s="2457">
        <f>Input!F92</f>
        <v>0</v>
      </c>
      <c r="CM193" s="1070"/>
      <c r="CN193" s="1070"/>
      <c r="CO193" s="1070"/>
      <c r="CP193" s="1070"/>
      <c r="CQ193" s="1070"/>
      <c r="CR193" s="1070"/>
      <c r="CS193" s="1070"/>
      <c r="CT193" s="1070"/>
    </row>
    <row r="194" spans="71:98" x14ac:dyDescent="0.3">
      <c r="BS194" s="1824"/>
      <c r="BT194" s="1070"/>
      <c r="BU194" s="1070"/>
      <c r="BV194" s="1070"/>
      <c r="BW194" s="1070"/>
      <c r="BX194" s="1070"/>
      <c r="BY194" s="1070"/>
      <c r="BZ194" s="1070"/>
      <c r="CA194" s="1070"/>
      <c r="CB194" s="1070"/>
      <c r="CC194" s="1070"/>
      <c r="CD194" s="1070"/>
      <c r="CE194" s="1070"/>
      <c r="CF194" s="1070"/>
      <c r="CG194" s="1070"/>
      <c r="CH194" s="1070"/>
      <c r="CI194" s="1070"/>
      <c r="CJ194" s="1070"/>
      <c r="CK194" s="1070"/>
      <c r="CL194" s="1070"/>
      <c r="CM194" s="1070"/>
      <c r="CN194" s="1070"/>
      <c r="CO194" s="1070"/>
      <c r="CP194" s="1070"/>
      <c r="CQ194" s="1070"/>
      <c r="CR194" s="1070"/>
      <c r="CS194" s="1070"/>
      <c r="CT194" s="1070"/>
    </row>
    <row r="195" spans="71:98" x14ac:dyDescent="0.3">
      <c r="BS195" s="1824"/>
      <c r="BT195" s="1070"/>
      <c r="BU195" s="1070"/>
      <c r="BV195" s="1070"/>
      <c r="BW195" s="1070"/>
      <c r="BX195" s="1070"/>
      <c r="BY195" s="1070"/>
      <c r="BZ195" s="1070"/>
      <c r="CA195" s="1070"/>
      <c r="CB195" s="1070"/>
      <c r="CC195" s="3331" t="str">
        <f>Input!B80&amp;" Comparison"</f>
        <v>SMS + Technology Innovation Comparison</v>
      </c>
      <c r="CD195" s="3332"/>
      <c r="CE195" s="3332"/>
      <c r="CF195" s="3332"/>
      <c r="CG195" s="1070"/>
      <c r="CH195" s="3351" t="s">
        <v>1298</v>
      </c>
      <c r="CI195" s="3352"/>
      <c r="CJ195" s="3353"/>
      <c r="CK195" s="1070"/>
      <c r="CL195" s="1070"/>
      <c r="CM195" s="1070"/>
      <c r="CN195" s="1070"/>
      <c r="CO195" s="1070"/>
      <c r="CP195" s="1070"/>
      <c r="CQ195" s="1070"/>
      <c r="CR195" s="1070"/>
      <c r="CS195" s="1070"/>
      <c r="CT195" s="1070"/>
    </row>
    <row r="196" spans="71:98" x14ac:dyDescent="0.3">
      <c r="BS196" s="1824"/>
      <c r="BT196" s="1070"/>
      <c r="BU196" s="1070"/>
      <c r="BV196" s="1070"/>
      <c r="BW196" s="1070"/>
      <c r="BX196" s="1070"/>
      <c r="BY196" s="1070"/>
      <c r="BZ196" s="1070"/>
      <c r="CA196" s="1070"/>
      <c r="CB196" s="1070"/>
      <c r="CC196" s="3354" t="str">
        <f>Input!B81</f>
        <v>SMS Name</v>
      </c>
      <c r="CD196" s="3355"/>
      <c r="CE196" s="3355"/>
      <c r="CF196" s="3356"/>
      <c r="CG196" s="1070"/>
      <c r="CH196" s="2458" t="s">
        <v>1301</v>
      </c>
      <c r="CI196" s="2459"/>
      <c r="CJ196" s="2460" t="s">
        <v>1633</v>
      </c>
      <c r="CK196" s="1070"/>
      <c r="CL196" s="1070"/>
      <c r="CM196" s="1070"/>
      <c r="CN196" s="1070"/>
      <c r="CO196" s="1070"/>
      <c r="CP196" s="1070"/>
      <c r="CQ196" s="1070"/>
      <c r="CR196" s="1070"/>
      <c r="CS196" s="1070"/>
      <c r="CT196" s="1070"/>
    </row>
    <row r="197" spans="71:98" x14ac:dyDescent="0.3">
      <c r="BS197" s="1824"/>
      <c r="BT197" s="1070"/>
      <c r="BU197" s="1070"/>
      <c r="BV197" s="1070"/>
      <c r="BW197" s="1070"/>
      <c r="BX197" s="1070"/>
      <c r="BY197" s="1070"/>
      <c r="BZ197" s="1070"/>
      <c r="CA197" s="1070"/>
      <c r="CB197" s="1070"/>
      <c r="CC197" s="1147" t="str">
        <f>Input!B82</f>
        <v>Quadrant</v>
      </c>
      <c r="CD197" s="1159"/>
      <c r="CE197" s="1186"/>
      <c r="CF197" s="2454" t="e">
        <f>Input!F82</f>
        <v>#N/A</v>
      </c>
      <c r="CG197" s="1070"/>
      <c r="CH197" s="2461" t="str">
        <f>Input!B99</f>
        <v>AA</v>
      </c>
      <c r="CI197" s="1232"/>
      <c r="CJ197" s="1435" t="str">
        <f>Input!D99&amp;" "&amp;Input!E99</f>
        <v>N/A N/A</v>
      </c>
      <c r="CK197" s="1070"/>
      <c r="CL197" s="1070"/>
      <c r="CM197" s="1070"/>
      <c r="CN197" s="1070"/>
      <c r="CO197" s="1070"/>
      <c r="CP197" s="1070"/>
      <c r="CQ197" s="1070"/>
      <c r="CR197" s="1070"/>
      <c r="CS197" s="1070"/>
      <c r="CT197" s="1070"/>
    </row>
    <row r="198" spans="71:98" x14ac:dyDescent="0.3">
      <c r="BS198" s="1824"/>
      <c r="BT198" s="1070"/>
      <c r="BU198" s="1070"/>
      <c r="BV198" s="1070"/>
      <c r="BW198" s="1070"/>
      <c r="BX198" s="1070"/>
      <c r="BY198" s="1070"/>
      <c r="BZ198" s="1070"/>
      <c r="CA198" s="1070"/>
      <c r="CB198" s="1070"/>
      <c r="CC198" s="1149" t="str">
        <f>Input!B83</f>
        <v>SMS FY17 Rev ($ M)</v>
      </c>
      <c r="CD198" s="1142"/>
      <c r="CE198" s="1437"/>
      <c r="CF198" s="2462" t="e">
        <f>Input!F83</f>
        <v>#N/A</v>
      </c>
      <c r="CG198" s="1070"/>
      <c r="CH198" s="2458" t="s">
        <v>730</v>
      </c>
      <c r="CI198" s="2459"/>
      <c r="CJ198" s="2460" t="s">
        <v>1633</v>
      </c>
      <c r="CK198" s="1070"/>
      <c r="CL198" s="1070"/>
      <c r="CM198" s="1070"/>
      <c r="CN198" s="1070"/>
      <c r="CO198" s="1070"/>
      <c r="CP198" s="1070"/>
      <c r="CQ198" s="1070"/>
      <c r="CR198" s="1070"/>
      <c r="CS198" s="1070"/>
      <c r="CT198" s="1070"/>
    </row>
    <row r="199" spans="71:98" x14ac:dyDescent="0.3">
      <c r="BS199" s="1824"/>
      <c r="BT199" s="1070"/>
      <c r="BU199" s="1070"/>
      <c r="BV199" s="1070"/>
      <c r="BW199" s="1070"/>
      <c r="BX199" s="1070"/>
      <c r="BY199" s="1070"/>
      <c r="BZ199" s="1070"/>
      <c r="CA199" s="1070"/>
      <c r="CB199" s="1070"/>
      <c r="CC199" s="1149" t="str">
        <f>Input!B84</f>
        <v>FY17 Share</v>
      </c>
      <c r="CD199" s="1142"/>
      <c r="CE199" s="1437"/>
      <c r="CF199" s="2463" t="e">
        <f>Input!F84</f>
        <v>#N/A</v>
      </c>
      <c r="CG199" s="1070"/>
      <c r="CH199" s="2461" t="str">
        <f>Input!B101</f>
        <v>BB</v>
      </c>
      <c r="CI199" s="1232"/>
      <c r="CJ199" s="1435" t="str">
        <f>Input!D101&amp;" "&amp;Input!E101</f>
        <v>N/A N/A</v>
      </c>
      <c r="CK199" s="1070"/>
      <c r="CL199" s="1070"/>
      <c r="CM199" s="1070"/>
      <c r="CN199" s="1070"/>
      <c r="CO199" s="1070"/>
      <c r="CP199" s="1070"/>
      <c r="CQ199" s="1070"/>
      <c r="CR199" s="1070"/>
      <c r="CS199" s="1070"/>
      <c r="CT199" s="1070"/>
    </row>
    <row r="200" spans="71:98" x14ac:dyDescent="0.3">
      <c r="BS200" s="1824"/>
      <c r="BT200" s="1070"/>
      <c r="BU200" s="1070"/>
      <c r="BV200" s="1070"/>
      <c r="BW200" s="1070"/>
      <c r="BX200" s="1070"/>
      <c r="BY200" s="1070"/>
      <c r="BZ200" s="1070"/>
      <c r="CA200" s="1070"/>
      <c r="CB200" s="1070"/>
      <c r="CC200" s="1149" t="str">
        <f>Input!B85</f>
        <v>Size Address. FY 17 WW Mkt ($ M)</v>
      </c>
      <c r="CD200" s="1142"/>
      <c r="CE200" s="1437"/>
      <c r="CF200" s="2462" t="e">
        <f>Input!F85</f>
        <v>#N/A</v>
      </c>
      <c r="CG200" s="1070"/>
      <c r="CH200" s="2458" t="s">
        <v>446</v>
      </c>
      <c r="CI200" s="2459"/>
      <c r="CJ200" s="2460" t="s">
        <v>1633</v>
      </c>
      <c r="CK200" s="1070"/>
      <c r="CL200" s="1070"/>
      <c r="CM200" s="1070"/>
      <c r="CN200" s="1070"/>
      <c r="CO200" s="1070"/>
      <c r="CP200" s="1070"/>
      <c r="CQ200" s="1070"/>
      <c r="CR200" s="1070"/>
      <c r="CS200" s="1070"/>
      <c r="CT200" s="1070"/>
    </row>
    <row r="201" spans="71:98" x14ac:dyDescent="0.3">
      <c r="BS201" s="1824"/>
      <c r="BT201" s="1070"/>
      <c r="BU201" s="1070"/>
      <c r="BV201" s="1070"/>
      <c r="BW201" s="1070"/>
      <c r="BX201" s="1070"/>
      <c r="BY201" s="1070"/>
      <c r="BZ201" s="1070"/>
      <c r="CA201" s="1070"/>
      <c r="CB201" s="1070"/>
      <c r="CC201" s="1149" t="str">
        <f>Input!B86</f>
        <v>Address. FY17-FY22 WW Mkt gwth (%)</v>
      </c>
      <c r="CD201" s="1142"/>
      <c r="CE201" s="1437"/>
      <c r="CF201" s="2463" t="e">
        <f>Input!F86</f>
        <v>#N/A</v>
      </c>
      <c r="CG201" s="1070"/>
      <c r="CH201" s="2461" t="str">
        <f>Input!B103</f>
        <v>CC</v>
      </c>
      <c r="CI201" s="1232"/>
      <c r="CJ201" s="1435" t="str">
        <f>Input!D103&amp;" "&amp;Input!E103</f>
        <v>N/A N/A</v>
      </c>
      <c r="CK201" s="1070"/>
      <c r="CL201" s="1070"/>
      <c r="CM201" s="1070"/>
      <c r="CN201" s="1070"/>
      <c r="CO201" s="1070"/>
      <c r="CP201" s="1070"/>
      <c r="CQ201" s="1070"/>
      <c r="CR201" s="1070"/>
      <c r="CS201" s="1070"/>
      <c r="CT201" s="1070"/>
    </row>
    <row r="202" spans="71:98" x14ac:dyDescent="0.3">
      <c r="BS202" s="1824"/>
      <c r="BT202" s="1070"/>
      <c r="BU202" s="1070"/>
      <c r="BV202" s="1070"/>
      <c r="BW202" s="1070"/>
      <c r="BX202" s="1070"/>
      <c r="BY202" s="1070"/>
      <c r="BZ202" s="1070"/>
      <c r="CA202" s="1070"/>
      <c r="CB202" s="1070"/>
      <c r="CC202" s="1184" t="str">
        <f>Input!B87</f>
        <v>FY22 Std Gross Margin (%)</v>
      </c>
      <c r="CD202" s="1201"/>
      <c r="CE202" s="1459"/>
      <c r="CF202" s="2464" t="e">
        <f>Input!F87</f>
        <v>#N/A</v>
      </c>
      <c r="CG202" s="1070"/>
      <c r="CH202" s="2458" t="s">
        <v>1305</v>
      </c>
      <c r="CI202" s="2459"/>
      <c r="CJ202" s="2460" t="s">
        <v>1633</v>
      </c>
      <c r="CK202" s="1070"/>
      <c r="CL202" s="1070"/>
      <c r="CM202" s="1070"/>
      <c r="CN202" s="1070"/>
      <c r="CO202" s="1070"/>
      <c r="CP202" s="2135"/>
      <c r="CQ202" s="1070"/>
      <c r="CR202" s="1070"/>
      <c r="CS202" s="1070"/>
      <c r="CT202" s="1070"/>
    </row>
    <row r="203" spans="71:98" x14ac:dyDescent="0.3">
      <c r="BS203" s="1824"/>
      <c r="BT203" s="1070"/>
      <c r="BU203" s="1070"/>
      <c r="BV203" s="1070"/>
      <c r="BW203" s="1070"/>
      <c r="BX203" s="1070"/>
      <c r="BY203" s="1070"/>
      <c r="BZ203" s="1070"/>
      <c r="CA203" s="1070"/>
      <c r="CB203" s="1070"/>
      <c r="CC203" s="1145" t="s">
        <v>1634</v>
      </c>
      <c r="CD203" s="1127"/>
      <c r="CE203" s="1127"/>
      <c r="CF203" s="2465" t="str">
        <f>Input!F88</f>
        <v>N/A</v>
      </c>
      <c r="CG203" s="1070"/>
      <c r="CH203" s="2461" t="str">
        <f>Input!B105</f>
        <v>DD</v>
      </c>
      <c r="CI203" s="1232"/>
      <c r="CJ203" s="1435" t="str">
        <f>Input!D105&amp;" "&amp;Input!E105</f>
        <v>N/A N/A</v>
      </c>
      <c r="CK203" s="1070"/>
      <c r="CL203" s="1070"/>
      <c r="CM203" s="1070"/>
      <c r="CN203" s="1070"/>
      <c r="CO203" s="1070"/>
      <c r="CP203" s="2135"/>
      <c r="CQ203" s="1070"/>
      <c r="CR203" s="1070"/>
      <c r="CS203" s="1070"/>
      <c r="CT203" s="1070"/>
    </row>
    <row r="204" spans="71:98" x14ac:dyDescent="0.3">
      <c r="BS204" s="1824"/>
      <c r="BT204" s="1070"/>
      <c r="BU204" s="1070"/>
      <c r="BV204" s="1070"/>
      <c r="BW204" s="1070"/>
      <c r="BX204" s="1070"/>
      <c r="BY204" s="1070"/>
      <c r="BZ204" s="1070"/>
      <c r="CA204" s="1070"/>
      <c r="CB204" s="1070"/>
      <c r="CC204" s="1070"/>
      <c r="CD204" s="1070"/>
      <c r="CE204" s="1070"/>
      <c r="CF204" s="1070"/>
      <c r="CG204" s="1070"/>
      <c r="CH204" s="1070"/>
      <c r="CI204" s="1070"/>
      <c r="CJ204" s="1070"/>
      <c r="CK204" s="1070"/>
      <c r="CL204" s="1070"/>
      <c r="CM204" s="1070"/>
      <c r="CN204" s="1070"/>
      <c r="CO204" s="1070"/>
      <c r="CP204" s="1070"/>
      <c r="CQ204" s="1070"/>
      <c r="CR204" s="1070"/>
      <c r="CS204" s="1070"/>
      <c r="CT204" s="1070"/>
    </row>
    <row r="205" spans="71:98" x14ac:dyDescent="0.3">
      <c r="BS205" s="1824"/>
      <c r="BT205" s="1070"/>
      <c r="BU205" s="1070"/>
      <c r="BV205" s="1070"/>
      <c r="BW205" s="1070"/>
      <c r="BX205" s="1070"/>
      <c r="BY205" s="1070"/>
      <c r="BZ205" s="1070"/>
      <c r="CA205" s="1070"/>
      <c r="CB205" s="1070"/>
      <c r="CC205" s="3329" t="str">
        <f>Calc!R150</f>
        <v>Product Launch Details</v>
      </c>
      <c r="CD205" s="3330"/>
      <c r="CE205" s="3330"/>
      <c r="CF205" s="3330"/>
      <c r="CG205" s="1070"/>
      <c r="CH205" s="1070"/>
      <c r="CI205" s="1070"/>
      <c r="CJ205" s="1070"/>
      <c r="CK205" s="1070"/>
      <c r="CL205" s="1070"/>
      <c r="CM205" s="1070"/>
      <c r="CN205" s="1070"/>
      <c r="CO205" s="1070"/>
      <c r="CP205" s="1070"/>
      <c r="CQ205" s="1070"/>
      <c r="CR205" s="1070"/>
      <c r="CS205" s="1070"/>
      <c r="CT205" s="1070"/>
    </row>
    <row r="206" spans="71:98" x14ac:dyDescent="0.3">
      <c r="BS206" s="1824"/>
      <c r="BT206" s="1070"/>
      <c r="BU206" s="1070"/>
      <c r="BV206" s="1070"/>
      <c r="BW206" s="1070"/>
      <c r="BX206" s="1070"/>
      <c r="BY206" s="1070"/>
      <c r="BZ206" s="1070"/>
      <c r="CA206" s="1070"/>
      <c r="CB206" s="1070"/>
      <c r="CC206" s="1147"/>
      <c r="CD206" s="1159"/>
      <c r="CE206" s="2466" t="str">
        <f>Calc!T151</f>
        <v>Current</v>
      </c>
      <c r="CF206" s="2467" t="str">
        <f>Calc!U151</f>
        <v>Def Exit</v>
      </c>
      <c r="CG206" s="1070"/>
      <c r="CH206" s="1070"/>
      <c r="CI206" s="1070"/>
      <c r="CJ206" s="1070"/>
      <c r="CK206" s="1070"/>
      <c r="CL206" s="1070"/>
      <c r="CM206" s="1070"/>
      <c r="CN206" s="1070"/>
      <c r="CO206" s="1070"/>
      <c r="CP206" s="1070"/>
      <c r="CQ206" s="1070"/>
      <c r="CR206" s="1070"/>
      <c r="CS206" s="1070"/>
      <c r="CT206" s="1070"/>
    </row>
    <row r="207" spans="71:98" x14ac:dyDescent="0.3">
      <c r="BS207" s="1824"/>
      <c r="BT207" s="1070"/>
      <c r="BU207" s="1070"/>
      <c r="BV207" s="1070"/>
      <c r="BW207" s="1070"/>
      <c r="BX207" s="1070"/>
      <c r="BY207" s="1070"/>
      <c r="BZ207" s="1070"/>
      <c r="CA207" s="1070"/>
      <c r="CB207" s="1070"/>
      <c r="CC207" s="1149" t="str">
        <f>Calc!R154</f>
        <v>R&amp;D Exp to Launch ($)</v>
      </c>
      <c r="CD207" s="1142"/>
      <c r="CE207" s="2468">
        <f>IF($D$2="$ K",Calc!T154,Calc!T154/1000)</f>
        <v>0</v>
      </c>
      <c r="CF207" s="2469">
        <f>IF($D$2="$ K",Calc!U154,Calc!U154/1000)</f>
        <v>0</v>
      </c>
      <c r="CG207" s="1070"/>
      <c r="CH207" s="1070"/>
      <c r="CI207" s="1070"/>
      <c r="CJ207" s="1070"/>
      <c r="CK207" s="1070"/>
      <c r="CL207" s="1070"/>
      <c r="CM207" s="1070"/>
      <c r="CN207" s="1070"/>
      <c r="CO207" s="1070"/>
      <c r="CP207" s="1070"/>
      <c r="CQ207" s="1070"/>
      <c r="CR207" s="1070"/>
      <c r="CS207" s="1070"/>
      <c r="CT207" s="1070"/>
    </row>
    <row r="208" spans="71:98" x14ac:dyDescent="0.3">
      <c r="BS208" s="1824"/>
      <c r="BT208" s="1070"/>
      <c r="BU208" s="1070"/>
      <c r="BV208" s="1070"/>
      <c r="BW208" s="1070"/>
      <c r="BX208" s="1070"/>
      <c r="BY208" s="1070"/>
      <c r="BZ208" s="1070"/>
      <c r="CA208" s="1070"/>
      <c r="CB208" s="1070"/>
      <c r="CC208" s="1149" t="str">
        <f>Calc!R153</f>
        <v>SSG&amp;A Exp to Launch ($)</v>
      </c>
      <c r="CD208" s="1142"/>
      <c r="CE208" s="2468">
        <f>IF($D$2="$ K",Calc!T153,Calc!T153/1000)</f>
        <v>0</v>
      </c>
      <c r="CF208" s="2469">
        <f>IF($D$2="$ K",Calc!U153,Calc!U153/1000)</f>
        <v>0</v>
      </c>
      <c r="CG208" s="1070"/>
      <c r="CH208" s="1070"/>
      <c r="CI208" s="1070"/>
      <c r="CJ208" s="1070"/>
      <c r="CK208" s="1070"/>
      <c r="CL208" s="1070"/>
      <c r="CM208" s="1070"/>
      <c r="CN208" s="1070"/>
      <c r="CO208" s="1070"/>
      <c r="CP208" s="1070"/>
      <c r="CQ208" s="1070"/>
      <c r="CR208" s="1070"/>
      <c r="CS208" s="1070"/>
      <c r="CT208" s="1070"/>
    </row>
    <row r="209" spans="71:98" x14ac:dyDescent="0.3">
      <c r="BS209" s="1824"/>
      <c r="BT209" s="1070"/>
      <c r="BU209" s="1070"/>
      <c r="BV209" s="1070"/>
      <c r="BW209" s="1070"/>
      <c r="BX209" s="1070"/>
      <c r="BY209" s="1070"/>
      <c r="BZ209" s="1070"/>
      <c r="CA209" s="1070"/>
      <c r="CB209" s="1070"/>
      <c r="CC209" s="1149" t="str">
        <f>Calc!R155</f>
        <v>Capital Exp to Launch ($)</v>
      </c>
      <c r="CD209" s="1142"/>
      <c r="CE209" s="2468">
        <f>IF($D$2="$ K",Calc!T155,Calc!T155/1000)</f>
        <v>0</v>
      </c>
      <c r="CF209" s="2469">
        <f>IF($D$2="$ K",Calc!U155,Calc!U155/1000)</f>
        <v>0</v>
      </c>
      <c r="CG209" s="1070"/>
      <c r="CH209" s="1070"/>
      <c r="CI209" s="1070"/>
      <c r="CJ209" s="1070"/>
      <c r="CK209" s="1070"/>
      <c r="CL209" s="1070"/>
      <c r="CM209" s="1070"/>
      <c r="CN209" s="1070"/>
      <c r="CO209" s="1070"/>
      <c r="CP209" s="1070"/>
      <c r="CQ209" s="1070"/>
      <c r="CR209" s="1070"/>
      <c r="CS209" s="1070"/>
      <c r="CT209" s="1070"/>
    </row>
    <row r="210" spans="71:98" x14ac:dyDescent="0.3">
      <c r="BS210" s="1824"/>
      <c r="BT210" s="1070"/>
      <c r="BU210" s="1070"/>
      <c r="BV210" s="1070"/>
      <c r="BW210" s="1070"/>
      <c r="BX210" s="1070"/>
      <c r="BY210" s="1070"/>
      <c r="BZ210" s="1070"/>
      <c r="CA210" s="1070"/>
      <c r="CB210" s="1070"/>
      <c r="CC210" s="1149" t="str">
        <f>Calc!R156</f>
        <v>SSG&amp;A Exp aft Launch* ($)</v>
      </c>
      <c r="CD210" s="1142"/>
      <c r="CE210" s="2468">
        <f>IF($D$2="$ K",Calc!T156,Calc!T156/1000)</f>
        <v>0</v>
      </c>
      <c r="CF210" s="2469">
        <f>IF($D$2="$ K",Calc!U156,Calc!U156/1000)</f>
        <v>0</v>
      </c>
      <c r="CG210" s="1070"/>
      <c r="CH210" s="1070"/>
      <c r="CI210" s="1070"/>
      <c r="CJ210" s="1070"/>
      <c r="CK210" s="1070"/>
      <c r="CL210" s="1070"/>
      <c r="CM210" s="1070"/>
      <c r="CN210" s="1070"/>
      <c r="CO210" s="1070"/>
      <c r="CP210" s="1070"/>
      <c r="CQ210" s="1070"/>
      <c r="CR210" s="1070"/>
      <c r="CS210" s="1070"/>
      <c r="CT210" s="1070"/>
    </row>
    <row r="211" spans="71:98" x14ac:dyDescent="0.3">
      <c r="BS211" s="1824"/>
      <c r="BT211" s="1070"/>
      <c r="BU211" s="1070"/>
      <c r="BV211" s="1070"/>
      <c r="BW211" s="1070"/>
      <c r="BX211" s="1070"/>
      <c r="BY211" s="1070"/>
      <c r="BZ211" s="1070"/>
      <c r="CA211" s="1070"/>
      <c r="CB211" s="1070"/>
      <c r="CC211" s="2470" t="str">
        <f>"Rev 48Mth aft Launch "&amp;D2</f>
        <v>Rev 48Mth aft Launch $ M</v>
      </c>
      <c r="CD211" s="2471"/>
      <c r="CE211" s="2472" t="e">
        <f>IF($D$2="$ K",Calc!T161,Calc!T161/1000)</f>
        <v>#VALUE!</v>
      </c>
      <c r="CF211" s="2473" t="e">
        <f>IF($D$2="$ K",Calc!U161,Calc!U161/1000)</f>
        <v>#VALUE!</v>
      </c>
      <c r="CG211" s="1070"/>
      <c r="CH211" s="1070"/>
      <c r="CI211" s="1070"/>
      <c r="CJ211" s="1070"/>
      <c r="CK211" s="1070"/>
      <c r="CL211" s="1070"/>
      <c r="CM211" s="1070"/>
      <c r="CN211" s="1070"/>
      <c r="CO211" s="1070"/>
      <c r="CP211" s="1070"/>
      <c r="CQ211" s="1070"/>
      <c r="CR211" s="1070"/>
      <c r="CS211" s="1070"/>
      <c r="CT211" s="1070"/>
    </row>
    <row r="212" spans="71:98" x14ac:dyDescent="0.3">
      <c r="BS212" s="1824"/>
      <c r="BT212" s="1070"/>
      <c r="BU212" s="1070"/>
      <c r="BV212" s="1070"/>
      <c r="BW212" s="1070"/>
      <c r="BX212" s="1070"/>
      <c r="BY212" s="1070"/>
      <c r="BZ212" s="1070"/>
      <c r="CA212" s="1070"/>
      <c r="CB212" s="1070"/>
      <c r="CC212" s="1070"/>
      <c r="CD212" s="1070"/>
      <c r="CE212" s="1070"/>
      <c r="CF212" s="1070"/>
      <c r="CG212" s="1070"/>
      <c r="CH212" s="1070"/>
      <c r="CI212" s="1070"/>
      <c r="CJ212" s="1070"/>
      <c r="CK212" s="1142"/>
      <c r="CL212" s="1142"/>
      <c r="CM212" s="1142"/>
      <c r="CN212" s="1142"/>
      <c r="CO212" s="1142"/>
      <c r="CP212" s="2135"/>
      <c r="CQ212" s="1070"/>
      <c r="CR212" s="1070"/>
      <c r="CS212" s="1070"/>
      <c r="CT212" s="1070"/>
    </row>
    <row r="213" spans="71:98" x14ac:dyDescent="0.3">
      <c r="BS213" s="1824"/>
      <c r="BT213" s="1070"/>
      <c r="BU213" s="1070"/>
      <c r="BV213" s="1070"/>
      <c r="BW213" s="1070"/>
      <c r="BX213" s="1070"/>
      <c r="BY213" s="1070"/>
      <c r="BZ213" s="1070"/>
      <c r="CA213" s="1070"/>
      <c r="CB213" s="1070"/>
      <c r="CC213" s="2474" t="s">
        <v>1635</v>
      </c>
      <c r="CD213" s="1070"/>
      <c r="CE213" s="1070"/>
      <c r="CF213" s="1070"/>
      <c r="CG213" s="1070"/>
      <c r="CH213" s="1070"/>
      <c r="CI213" s="1070"/>
      <c r="CJ213" s="1070"/>
      <c r="CK213" s="1070"/>
      <c r="CL213" s="1070"/>
      <c r="CM213" s="1070"/>
      <c r="CN213" s="1070"/>
      <c r="CO213" s="1070"/>
      <c r="CP213" s="2135"/>
      <c r="CQ213" s="1070"/>
      <c r="CR213" s="1070"/>
      <c r="CS213" s="1070"/>
      <c r="CT213" s="1070"/>
    </row>
    <row r="214" spans="71:98" x14ac:dyDescent="0.3">
      <c r="BS214" s="1824"/>
      <c r="BT214" s="1070"/>
      <c r="BU214" s="1070"/>
      <c r="BV214" s="1070"/>
      <c r="BW214" s="1070"/>
      <c r="BX214" s="1070"/>
      <c r="BY214" s="1070"/>
      <c r="BZ214" s="1070"/>
      <c r="CA214" s="1070"/>
      <c r="CB214" s="1070"/>
      <c r="CC214" s="1070"/>
      <c r="CD214" s="1070"/>
      <c r="CE214" s="1070"/>
      <c r="CF214" s="1070"/>
      <c r="CG214" s="1070"/>
      <c r="CH214" s="1070"/>
      <c r="CI214" s="1070"/>
      <c r="CJ214" s="1070"/>
      <c r="CK214" s="1070"/>
      <c r="CL214" s="1070"/>
      <c r="CM214" s="1070"/>
      <c r="CN214" s="1070"/>
      <c r="CO214" s="1070"/>
      <c r="CP214" s="2135"/>
      <c r="CQ214" s="1070"/>
      <c r="CR214" s="1070"/>
      <c r="CS214" s="1070"/>
      <c r="CT214" s="1070"/>
    </row>
    <row r="215" spans="71:98" x14ac:dyDescent="0.3">
      <c r="CP215" s="2429"/>
    </row>
    <row r="216" spans="71:98" x14ac:dyDescent="0.3">
      <c r="CI216" s="2475" t="str">
        <f>Calc!W150</f>
        <v>Marketing Driver Changes vs. Def Exit</v>
      </c>
      <c r="CJ216" s="2476"/>
      <c r="CK216" s="2477"/>
      <c r="CL216" s="2477"/>
      <c r="CM216" s="2478"/>
      <c r="CN216" s="2478"/>
      <c r="CO216" s="2478"/>
    </row>
    <row r="217" spans="71:98" ht="15" customHeight="1" x14ac:dyDescent="0.3">
      <c r="CI217" s="2479" t="str">
        <f>Calc!W151</f>
        <v>Dimensions</v>
      </c>
      <c r="CJ217" s="2480"/>
      <c r="CK217" s="2481" t="str">
        <f>Calc!Y151</f>
        <v>Current</v>
      </c>
      <c r="CL217" s="2481" t="str">
        <f>Calc!Z151</f>
        <v>Def Exit</v>
      </c>
      <c r="CM217" s="2482" t="str">
        <f>Calc!AA151</f>
        <v>Comment Significant Variances</v>
      </c>
      <c r="CN217" s="1182"/>
      <c r="CO217" s="1183"/>
    </row>
    <row r="218" spans="71:98" x14ac:dyDescent="0.3">
      <c r="CI218" s="2483" t="s">
        <v>1636</v>
      </c>
      <c r="CJ218" s="1662"/>
      <c r="CK218" s="2484" t="str">
        <f>Calc!Y152</f>
        <v>N/A</v>
      </c>
      <c r="CL218" s="2484" t="str">
        <f>Calc!Z152</f>
        <v>N/A</v>
      </c>
      <c r="CM218" s="3343">
        <f>Calc!AA152</f>
        <v>111</v>
      </c>
      <c r="CN218" s="3344"/>
      <c r="CO218" s="3345"/>
    </row>
    <row r="219" spans="71:98" x14ac:dyDescent="0.3">
      <c r="CI219" s="2485" t="s">
        <v>1637</v>
      </c>
      <c r="CJ219" s="1678"/>
      <c r="CK219" s="2486">
        <f>Calc!Y153</f>
        <v>0</v>
      </c>
      <c r="CL219" s="2486">
        <f>Calc!Z153</f>
        <v>0</v>
      </c>
      <c r="CM219" s="3343" t="str">
        <f>Calc!AA153</f>
        <v>AAA</v>
      </c>
      <c r="CN219" s="3344"/>
      <c r="CO219" s="3345"/>
    </row>
    <row r="220" spans="71:98" x14ac:dyDescent="0.3">
      <c r="CI220" s="2485" t="s">
        <v>1638</v>
      </c>
      <c r="CJ220" s="1678"/>
      <c r="CK220" s="2487">
        <f>Calc!Y154</f>
        <v>0</v>
      </c>
      <c r="CL220" s="2487">
        <f>Calc!Z154</f>
        <v>0</v>
      </c>
      <c r="CM220" s="3343" t="str">
        <f>Calc!AA154</f>
        <v>BBB</v>
      </c>
      <c r="CN220" s="3344"/>
      <c r="CO220" s="3345"/>
    </row>
    <row r="221" spans="71:98" x14ac:dyDescent="0.3">
      <c r="CI221" s="2485" t="s">
        <v>1639</v>
      </c>
      <c r="CJ221" s="1678"/>
      <c r="CK221" s="2488" t="str">
        <f>Calc!Y155</f>
        <v>N/A</v>
      </c>
      <c r="CL221" s="2488" t="str">
        <f>Calc!Z155</f>
        <v>N/A</v>
      </c>
      <c r="CM221" s="3343" t="str">
        <f>Calc!AA155</f>
        <v>CCC</v>
      </c>
      <c r="CN221" s="3344"/>
      <c r="CO221" s="3345"/>
    </row>
    <row r="222" spans="71:98" x14ac:dyDescent="0.3">
      <c r="CI222" s="2485" t="s">
        <v>1640</v>
      </c>
      <c r="CJ222" s="1678"/>
      <c r="CK222" s="2489">
        <f>Calc!Y156</f>
        <v>0</v>
      </c>
      <c r="CL222" s="2489">
        <f>Calc!Z156</f>
        <v>0</v>
      </c>
      <c r="CM222" s="3343" t="str">
        <f>Calc!AA156</f>
        <v>DDD</v>
      </c>
      <c r="CN222" s="3344"/>
      <c r="CO222" s="3345"/>
    </row>
    <row r="223" spans="71:98" x14ac:dyDescent="0.3">
      <c r="CI223" s="2490" t="s">
        <v>1641</v>
      </c>
      <c r="CJ223" s="1708"/>
      <c r="CK223" s="2491">
        <f>Calc!Y157</f>
        <v>0</v>
      </c>
      <c r="CL223" s="2491">
        <f>Calc!Z157</f>
        <v>0</v>
      </c>
      <c r="CM223" s="3346" t="str">
        <f>Calc!AA157</f>
        <v>EEE</v>
      </c>
      <c r="CN223" s="3347"/>
      <c r="CO223" s="3348"/>
    </row>
    <row r="224" spans="71:98" x14ac:dyDescent="0.3">
      <c r="CI224" s="2492" t="s">
        <v>1642</v>
      </c>
      <c r="CM224" s="1070"/>
      <c r="CN224" s="1070"/>
      <c r="CO224" s="1070"/>
    </row>
    <row r="225" spans="81:93" x14ac:dyDescent="0.3">
      <c r="CI225" s="2493" t="s">
        <v>1643</v>
      </c>
      <c r="CM225" s="1070"/>
      <c r="CN225" s="1070"/>
      <c r="CO225" s="1070"/>
    </row>
    <row r="228" spans="81:93" x14ac:dyDescent="0.3">
      <c r="CC228" s="3329" t="str">
        <f>"Project Description: "&amp;Input!D10&amp;" ("&amp;Input!D5&amp;")"</f>
        <v>Project Description:  (BDB)</v>
      </c>
      <c r="CD228" s="3330"/>
      <c r="CE228" s="3330"/>
      <c r="CF228" s="3330"/>
      <c r="CG228" s="3330"/>
      <c r="CH228" s="3330"/>
      <c r="CI228" s="3330"/>
      <c r="CJ228" s="3330"/>
      <c r="CK228" s="3330"/>
      <c r="CL228" s="3330"/>
    </row>
    <row r="229" spans="81:93" x14ac:dyDescent="0.3">
      <c r="CC229" s="3334" t="str">
        <f>Input!B39</f>
        <v>&lt;&lt;Please provide a brief and high level project / product description; no need to be a technical explanation&gt;&gt;</v>
      </c>
      <c r="CD229" s="3335"/>
      <c r="CE229" s="3335"/>
      <c r="CF229" s="3335"/>
      <c r="CG229" s="3335"/>
      <c r="CH229" s="3335"/>
      <c r="CI229" s="3335"/>
      <c r="CJ229" s="3335"/>
      <c r="CK229" s="3335"/>
      <c r="CL229" s="3336"/>
    </row>
    <row r="230" spans="81:93" x14ac:dyDescent="0.3">
      <c r="CC230" s="3337"/>
      <c r="CD230" s="3338"/>
      <c r="CE230" s="3338"/>
      <c r="CF230" s="3338"/>
      <c r="CG230" s="3338"/>
      <c r="CH230" s="3338"/>
      <c r="CI230" s="3338"/>
      <c r="CJ230" s="3338"/>
      <c r="CK230" s="3338"/>
      <c r="CL230" s="3339"/>
    </row>
    <row r="231" spans="81:93" x14ac:dyDescent="0.3">
      <c r="CC231" s="3340"/>
      <c r="CD231" s="3341"/>
      <c r="CE231" s="3341"/>
      <c r="CF231" s="3341"/>
      <c r="CG231" s="3341"/>
      <c r="CH231" s="3341"/>
      <c r="CI231" s="3341"/>
      <c r="CJ231" s="3341"/>
      <c r="CK231" s="3341"/>
      <c r="CL231" s="3342"/>
    </row>
  </sheetData>
  <sheetProtection algorithmName="SHA-512" hashValue="h7SF+rjYQ+DWh8EmaBLLzcNO8Ic6Rzadnce1YLjnJGhfT8nydrVsoLRI9Do2XQeI39S7/ZeIZZ7aMACTIRSdXg==" saltValue="sZ2qmWAPmPXT4dX0jKGfPA==" spinCount="100000" sheet="1" scenarios="1" formatCells="0" formatColumns="0" formatRows="0" pivotTables="0"/>
  <mergeCells count="237">
    <mergeCell ref="CC229:CL231"/>
    <mergeCell ref="CM218:CO218"/>
    <mergeCell ref="CM219:CO219"/>
    <mergeCell ref="CM220:CO220"/>
    <mergeCell ref="CM221:CO221"/>
    <mergeCell ref="CM222:CO222"/>
    <mergeCell ref="CM223:CO223"/>
    <mergeCell ref="CR185:CS185"/>
    <mergeCell ref="CH191:CL191"/>
    <mergeCell ref="CC195:CF195"/>
    <mergeCell ref="CH195:CJ195"/>
    <mergeCell ref="CC196:CF196"/>
    <mergeCell ref="CC205:CF205"/>
    <mergeCell ref="CP185:CQ185"/>
    <mergeCell ref="BG132:BH132"/>
    <mergeCell ref="BI132:BJ132"/>
    <mergeCell ref="BK132:BM132"/>
    <mergeCell ref="BP132:BQ132"/>
    <mergeCell ref="BV167:BY167"/>
    <mergeCell ref="BV168:BW168"/>
    <mergeCell ref="BX168:BY168"/>
    <mergeCell ref="CC228:CL228"/>
    <mergeCell ref="AM132:AN132"/>
    <mergeCell ref="AO132:AP132"/>
    <mergeCell ref="AQ132:AR132"/>
    <mergeCell ref="AS132:AT132"/>
    <mergeCell ref="BV174:BY174"/>
    <mergeCell ref="BV175:BW175"/>
    <mergeCell ref="BX175:BY175"/>
    <mergeCell ref="CC185:CE185"/>
    <mergeCell ref="CH185:CL185"/>
    <mergeCell ref="W132:X132"/>
    <mergeCell ref="Y132:Z132"/>
    <mergeCell ref="AA132:AB132"/>
    <mergeCell ref="AC132:AD132"/>
    <mergeCell ref="AE132:AF132"/>
    <mergeCell ref="AG132:AH132"/>
    <mergeCell ref="C130:BM130"/>
    <mergeCell ref="E132:F132"/>
    <mergeCell ref="G132:H132"/>
    <mergeCell ref="I132:J132"/>
    <mergeCell ref="K132:L132"/>
    <mergeCell ref="M132:N132"/>
    <mergeCell ref="O132:P132"/>
    <mergeCell ref="Q132:R132"/>
    <mergeCell ref="S132:T132"/>
    <mergeCell ref="U132:V132"/>
    <mergeCell ref="AU132:AV132"/>
    <mergeCell ref="AW132:AX132"/>
    <mergeCell ref="AY132:AZ132"/>
    <mergeCell ref="BA132:BB132"/>
    <mergeCell ref="BC132:BD132"/>
    <mergeCell ref="BE132:BF132"/>
    <mergeCell ref="AI132:AJ132"/>
    <mergeCell ref="AK132:AL132"/>
    <mergeCell ref="BA116:BB116"/>
    <mergeCell ref="BC116:BD116"/>
    <mergeCell ref="BE116:BF116"/>
    <mergeCell ref="BG116:BH116"/>
    <mergeCell ref="BI116:BJ116"/>
    <mergeCell ref="BK116:BM116"/>
    <mergeCell ref="AO116:AP116"/>
    <mergeCell ref="AQ116:AR116"/>
    <mergeCell ref="AS116:AT116"/>
    <mergeCell ref="AU116:AV116"/>
    <mergeCell ref="AW116:AX116"/>
    <mergeCell ref="AY116:AZ116"/>
    <mergeCell ref="AC116:AD116"/>
    <mergeCell ref="AE116:AF116"/>
    <mergeCell ref="AG116:AH116"/>
    <mergeCell ref="AI116:AJ116"/>
    <mergeCell ref="AK116:AL116"/>
    <mergeCell ref="AM116:AN116"/>
    <mergeCell ref="Q116:R116"/>
    <mergeCell ref="S116:T116"/>
    <mergeCell ref="U116:V116"/>
    <mergeCell ref="W116:X116"/>
    <mergeCell ref="Y116:Z116"/>
    <mergeCell ref="AA116:AB116"/>
    <mergeCell ref="E116:F116"/>
    <mergeCell ref="G116:H116"/>
    <mergeCell ref="I116:J116"/>
    <mergeCell ref="K116:L116"/>
    <mergeCell ref="M116:N116"/>
    <mergeCell ref="O116:P116"/>
    <mergeCell ref="BA94:BB94"/>
    <mergeCell ref="BC94:BD94"/>
    <mergeCell ref="BE94:BF94"/>
    <mergeCell ref="AC94:AD94"/>
    <mergeCell ref="AE94:AF94"/>
    <mergeCell ref="AG94:AH94"/>
    <mergeCell ref="AI94:AJ94"/>
    <mergeCell ref="AK94:AL94"/>
    <mergeCell ref="AM94:AN94"/>
    <mergeCell ref="Q94:R94"/>
    <mergeCell ref="S94:T94"/>
    <mergeCell ref="U94:V94"/>
    <mergeCell ref="W94:X94"/>
    <mergeCell ref="Y94:Z94"/>
    <mergeCell ref="AA94:AB94"/>
    <mergeCell ref="E94:F94"/>
    <mergeCell ref="G94:H94"/>
    <mergeCell ref="I94:J94"/>
    <mergeCell ref="BG94:BH94"/>
    <mergeCell ref="BI94:BJ94"/>
    <mergeCell ref="BK94:BM94"/>
    <mergeCell ref="AO94:AP94"/>
    <mergeCell ref="AQ94:AR94"/>
    <mergeCell ref="AS94:AT94"/>
    <mergeCell ref="AU94:AV94"/>
    <mergeCell ref="AW94:AX94"/>
    <mergeCell ref="AY94:AZ94"/>
    <mergeCell ref="K94:L94"/>
    <mergeCell ref="M94:N94"/>
    <mergeCell ref="O94:P94"/>
    <mergeCell ref="BA72:BB72"/>
    <mergeCell ref="BC72:BD72"/>
    <mergeCell ref="BE72:BF72"/>
    <mergeCell ref="BG72:BH72"/>
    <mergeCell ref="BI72:BJ72"/>
    <mergeCell ref="BK72:BM72"/>
    <mergeCell ref="AO72:AP72"/>
    <mergeCell ref="AQ72:AR72"/>
    <mergeCell ref="AS72:AT72"/>
    <mergeCell ref="AU72:AV72"/>
    <mergeCell ref="AW72:AX72"/>
    <mergeCell ref="AY72:AZ72"/>
    <mergeCell ref="AC72:AD72"/>
    <mergeCell ref="AE72:AF72"/>
    <mergeCell ref="AG72:AH72"/>
    <mergeCell ref="AI72:AJ72"/>
    <mergeCell ref="AK72:AL72"/>
    <mergeCell ref="AM72:AN72"/>
    <mergeCell ref="Q72:R72"/>
    <mergeCell ref="S72:T72"/>
    <mergeCell ref="U72:V72"/>
    <mergeCell ref="W72:X72"/>
    <mergeCell ref="Y72:Z72"/>
    <mergeCell ref="AA72:AB72"/>
    <mergeCell ref="E72:F72"/>
    <mergeCell ref="G72:H72"/>
    <mergeCell ref="I72:J72"/>
    <mergeCell ref="K72:L72"/>
    <mergeCell ref="M72:N72"/>
    <mergeCell ref="O72:P72"/>
    <mergeCell ref="BA50:BB50"/>
    <mergeCell ref="BC50:BD50"/>
    <mergeCell ref="BE50:BF50"/>
    <mergeCell ref="BG50:BH50"/>
    <mergeCell ref="BI50:BJ50"/>
    <mergeCell ref="BK50:BM50"/>
    <mergeCell ref="AO50:AP50"/>
    <mergeCell ref="AQ50:AR50"/>
    <mergeCell ref="AS50:AT50"/>
    <mergeCell ref="AU50:AV50"/>
    <mergeCell ref="AW50:AX50"/>
    <mergeCell ref="AY50:AZ50"/>
    <mergeCell ref="AI50:AJ50"/>
    <mergeCell ref="AK50:AL50"/>
    <mergeCell ref="AM50:AN50"/>
    <mergeCell ref="Q50:R50"/>
    <mergeCell ref="S50:T50"/>
    <mergeCell ref="U50:V50"/>
    <mergeCell ref="W50:X50"/>
    <mergeCell ref="Y50:Z50"/>
    <mergeCell ref="AA50:AB50"/>
    <mergeCell ref="E50:F50"/>
    <mergeCell ref="G50:H50"/>
    <mergeCell ref="I50:J50"/>
    <mergeCell ref="K50:L50"/>
    <mergeCell ref="M50:N50"/>
    <mergeCell ref="O50:P50"/>
    <mergeCell ref="BA28:BB28"/>
    <mergeCell ref="BC28:BD28"/>
    <mergeCell ref="BE28:BF28"/>
    <mergeCell ref="AC28:AD28"/>
    <mergeCell ref="AE28:AF28"/>
    <mergeCell ref="AG28:AH28"/>
    <mergeCell ref="AI28:AJ28"/>
    <mergeCell ref="AK28:AL28"/>
    <mergeCell ref="AM28:AN28"/>
    <mergeCell ref="Q28:R28"/>
    <mergeCell ref="S28:T28"/>
    <mergeCell ref="U28:V28"/>
    <mergeCell ref="W28:X28"/>
    <mergeCell ref="Y28:Z28"/>
    <mergeCell ref="AA28:AB28"/>
    <mergeCell ref="AC50:AD50"/>
    <mergeCell ref="AE50:AF50"/>
    <mergeCell ref="AG50:AH50"/>
    <mergeCell ref="BG28:BH28"/>
    <mergeCell ref="BI28:BJ28"/>
    <mergeCell ref="BK28:BM28"/>
    <mergeCell ref="AO28:AP28"/>
    <mergeCell ref="AQ28:AR28"/>
    <mergeCell ref="AS28:AT28"/>
    <mergeCell ref="AU28:AV28"/>
    <mergeCell ref="AW28:AX28"/>
    <mergeCell ref="AY28:AZ28"/>
    <mergeCell ref="E28:F28"/>
    <mergeCell ref="G28:H28"/>
    <mergeCell ref="I28:J28"/>
    <mergeCell ref="K28:L28"/>
    <mergeCell ref="M28:N28"/>
    <mergeCell ref="O28:P28"/>
    <mergeCell ref="AS6:AT6"/>
    <mergeCell ref="AU6:AV6"/>
    <mergeCell ref="AW6:AX6"/>
    <mergeCell ref="AG6:AH6"/>
    <mergeCell ref="AI6:AJ6"/>
    <mergeCell ref="AK6:AL6"/>
    <mergeCell ref="AM6:AN6"/>
    <mergeCell ref="AO6:AP6"/>
    <mergeCell ref="AQ6:AR6"/>
    <mergeCell ref="U6:V6"/>
    <mergeCell ref="W6:X6"/>
    <mergeCell ref="Y6:Z6"/>
    <mergeCell ref="AA6:AB6"/>
    <mergeCell ref="AC6:AD6"/>
    <mergeCell ref="AE6:AF6"/>
    <mergeCell ref="B2:C2"/>
    <mergeCell ref="B4:BM4"/>
    <mergeCell ref="E6:F6"/>
    <mergeCell ref="G6:H6"/>
    <mergeCell ref="I6:J6"/>
    <mergeCell ref="K6:L6"/>
    <mergeCell ref="M6:N6"/>
    <mergeCell ref="O6:P6"/>
    <mergeCell ref="Q6:R6"/>
    <mergeCell ref="S6:T6"/>
    <mergeCell ref="BE6:BF6"/>
    <mergeCell ref="BG6:BH6"/>
    <mergeCell ref="BI6:BJ6"/>
    <mergeCell ref="BK6:BM6"/>
    <mergeCell ref="AY6:AZ6"/>
    <mergeCell ref="BA6:BB6"/>
    <mergeCell ref="BC6:BD6"/>
  </mergeCells>
  <conditionalFormatting sqref="E6">
    <cfRule type="cellIs" dxfId="235" priority="219" operator="equal">
      <formula>0</formula>
    </cfRule>
  </conditionalFormatting>
  <conditionalFormatting sqref="G6">
    <cfRule type="cellIs" dxfId="234" priority="218" operator="equal">
      <formula>0</formula>
    </cfRule>
  </conditionalFormatting>
  <conditionalFormatting sqref="I6">
    <cfRule type="cellIs" dxfId="233" priority="217" operator="equal">
      <formula>0</formula>
    </cfRule>
  </conditionalFormatting>
  <conditionalFormatting sqref="K6">
    <cfRule type="cellIs" dxfId="232" priority="216" operator="equal">
      <formula>0</formula>
    </cfRule>
  </conditionalFormatting>
  <conditionalFormatting sqref="M6">
    <cfRule type="cellIs" dxfId="231" priority="215" operator="equal">
      <formula>0</formula>
    </cfRule>
  </conditionalFormatting>
  <conditionalFormatting sqref="O6">
    <cfRule type="cellIs" dxfId="230" priority="214" operator="equal">
      <formula>0</formula>
    </cfRule>
  </conditionalFormatting>
  <conditionalFormatting sqref="Q6">
    <cfRule type="cellIs" dxfId="229" priority="213" operator="equal">
      <formula>0</formula>
    </cfRule>
  </conditionalFormatting>
  <conditionalFormatting sqref="S6">
    <cfRule type="cellIs" dxfId="228" priority="212" operator="equal">
      <formula>0</formula>
    </cfRule>
  </conditionalFormatting>
  <conditionalFormatting sqref="U6">
    <cfRule type="cellIs" dxfId="227" priority="211" operator="equal">
      <formula>0</formula>
    </cfRule>
  </conditionalFormatting>
  <conditionalFormatting sqref="W6">
    <cfRule type="cellIs" dxfId="226" priority="210" operator="equal">
      <formula>0</formula>
    </cfRule>
  </conditionalFormatting>
  <conditionalFormatting sqref="Y6">
    <cfRule type="cellIs" dxfId="225" priority="209" operator="equal">
      <formula>0</formula>
    </cfRule>
  </conditionalFormatting>
  <conditionalFormatting sqref="AA6">
    <cfRule type="cellIs" dxfId="224" priority="208" operator="equal">
      <formula>0</formula>
    </cfRule>
  </conditionalFormatting>
  <conditionalFormatting sqref="AC6">
    <cfRule type="cellIs" dxfId="223" priority="207" operator="equal">
      <formula>0</formula>
    </cfRule>
  </conditionalFormatting>
  <conditionalFormatting sqref="AE6">
    <cfRule type="cellIs" dxfId="222" priority="206" operator="equal">
      <formula>0</formula>
    </cfRule>
  </conditionalFormatting>
  <conditionalFormatting sqref="AG6">
    <cfRule type="cellIs" dxfId="221" priority="205" operator="equal">
      <formula>0</formula>
    </cfRule>
  </conditionalFormatting>
  <conditionalFormatting sqref="AI6">
    <cfRule type="cellIs" dxfId="220" priority="204" operator="equal">
      <formula>0</formula>
    </cfRule>
  </conditionalFormatting>
  <conditionalFormatting sqref="AK6">
    <cfRule type="cellIs" dxfId="219" priority="203" operator="equal">
      <formula>0</formula>
    </cfRule>
  </conditionalFormatting>
  <conditionalFormatting sqref="C149">
    <cfRule type="cellIs" dxfId="218" priority="200" operator="lessThan">
      <formula>0</formula>
    </cfRule>
    <cfRule type="cellIs" dxfId="217" priority="201" operator="lessThan">
      <formula>0</formula>
    </cfRule>
    <cfRule type="cellIs" dxfId="216" priority="202" operator="lessThan">
      <formula>-7</formula>
    </cfRule>
  </conditionalFormatting>
  <conditionalFormatting sqref="E149 G149 I149 K149 M149 O149 Q149 S149 U149 W149 Y149 AA149 AC149 AE149 AG149 AI149 AK149">
    <cfRule type="cellIs" dxfId="215" priority="199" operator="lessThan">
      <formula>0</formula>
    </cfRule>
  </conditionalFormatting>
  <conditionalFormatting sqref="AM149">
    <cfRule type="cellIs" dxfId="214" priority="198" operator="lessThan">
      <formula>0</formula>
    </cfRule>
  </conditionalFormatting>
  <conditionalFormatting sqref="BI149">
    <cfRule type="cellIs" dxfId="213" priority="197" operator="lessThan">
      <formula>0</formula>
    </cfRule>
  </conditionalFormatting>
  <conditionalFormatting sqref="AO6">
    <cfRule type="cellIs" dxfId="212" priority="196" operator="equal">
      <formula>0</formula>
    </cfRule>
  </conditionalFormatting>
  <conditionalFormatting sqref="AQ6">
    <cfRule type="cellIs" dxfId="211" priority="195" operator="equal">
      <formula>0</formula>
    </cfRule>
  </conditionalFormatting>
  <conditionalFormatting sqref="AS6">
    <cfRule type="cellIs" dxfId="210" priority="194" operator="equal">
      <formula>0</formula>
    </cfRule>
  </conditionalFormatting>
  <conditionalFormatting sqref="AU6">
    <cfRule type="cellIs" dxfId="209" priority="193" operator="equal">
      <formula>0</formula>
    </cfRule>
  </conditionalFormatting>
  <conditionalFormatting sqref="AW6">
    <cfRule type="cellIs" dxfId="208" priority="192" operator="equal">
      <formula>0</formula>
    </cfRule>
  </conditionalFormatting>
  <conditionalFormatting sqref="AY6">
    <cfRule type="cellIs" dxfId="207" priority="191" operator="equal">
      <formula>0</formula>
    </cfRule>
  </conditionalFormatting>
  <conditionalFormatting sqref="BA6">
    <cfRule type="cellIs" dxfId="206" priority="190" operator="equal">
      <formula>0</formula>
    </cfRule>
  </conditionalFormatting>
  <conditionalFormatting sqref="BC6">
    <cfRule type="cellIs" dxfId="205" priority="189" operator="equal">
      <formula>0</formula>
    </cfRule>
  </conditionalFormatting>
  <conditionalFormatting sqref="BE6">
    <cfRule type="cellIs" dxfId="204" priority="188" operator="equal">
      <formula>0</formula>
    </cfRule>
  </conditionalFormatting>
  <conditionalFormatting sqref="BG6">
    <cfRule type="cellIs" dxfId="203" priority="187" operator="equal">
      <formula>0</formula>
    </cfRule>
  </conditionalFormatting>
  <conditionalFormatting sqref="BI6">
    <cfRule type="cellIs" dxfId="202" priority="186" operator="equal">
      <formula>0</formula>
    </cfRule>
  </conditionalFormatting>
  <conditionalFormatting sqref="AO149">
    <cfRule type="cellIs" dxfId="201" priority="185" operator="lessThan">
      <formula>0</formula>
    </cfRule>
  </conditionalFormatting>
  <conditionalFormatting sqref="AQ149">
    <cfRule type="cellIs" dxfId="200" priority="184" operator="lessThan">
      <formula>0</formula>
    </cfRule>
  </conditionalFormatting>
  <conditionalFormatting sqref="AS149">
    <cfRule type="cellIs" dxfId="199" priority="183" operator="lessThan">
      <formula>0</formula>
    </cfRule>
  </conditionalFormatting>
  <conditionalFormatting sqref="AU149">
    <cfRule type="cellIs" dxfId="198" priority="182" operator="lessThan">
      <formula>0</formula>
    </cfRule>
  </conditionalFormatting>
  <conditionalFormatting sqref="AW149">
    <cfRule type="cellIs" dxfId="197" priority="181" operator="lessThan">
      <formula>0</formula>
    </cfRule>
  </conditionalFormatting>
  <conditionalFormatting sqref="AY149">
    <cfRule type="cellIs" dxfId="196" priority="180" operator="lessThan">
      <formula>0</formula>
    </cfRule>
  </conditionalFormatting>
  <conditionalFormatting sqref="BA149">
    <cfRule type="cellIs" dxfId="195" priority="179" operator="lessThan">
      <formula>0</formula>
    </cfRule>
  </conditionalFormatting>
  <conditionalFormatting sqref="BC149">
    <cfRule type="cellIs" dxfId="194" priority="178" operator="lessThan">
      <formula>0</formula>
    </cfRule>
  </conditionalFormatting>
  <conditionalFormatting sqref="BE149">
    <cfRule type="cellIs" dxfId="193" priority="177" operator="lessThan">
      <formula>0</formula>
    </cfRule>
  </conditionalFormatting>
  <conditionalFormatting sqref="BG149">
    <cfRule type="cellIs" dxfId="192" priority="176" operator="lessThan">
      <formula>0</formula>
    </cfRule>
  </conditionalFormatting>
  <conditionalFormatting sqref="E28">
    <cfRule type="cellIs" dxfId="191" priority="175" operator="equal">
      <formula>0</formula>
    </cfRule>
  </conditionalFormatting>
  <conditionalFormatting sqref="G28">
    <cfRule type="cellIs" dxfId="190" priority="174" operator="equal">
      <formula>0</formula>
    </cfRule>
  </conditionalFormatting>
  <conditionalFormatting sqref="I28">
    <cfRule type="cellIs" dxfId="189" priority="173" operator="equal">
      <formula>0</formula>
    </cfRule>
  </conditionalFormatting>
  <conditionalFormatting sqref="K28">
    <cfRule type="cellIs" dxfId="188" priority="172" operator="equal">
      <formula>0</formula>
    </cfRule>
  </conditionalFormatting>
  <conditionalFormatting sqref="M28">
    <cfRule type="cellIs" dxfId="187" priority="171" operator="equal">
      <formula>0</formula>
    </cfRule>
  </conditionalFormatting>
  <conditionalFormatting sqref="O28">
    <cfRule type="cellIs" dxfId="186" priority="170" operator="equal">
      <formula>0</formula>
    </cfRule>
  </conditionalFormatting>
  <conditionalFormatting sqref="Q28">
    <cfRule type="cellIs" dxfId="185" priority="169" operator="equal">
      <formula>0</formula>
    </cfRule>
  </conditionalFormatting>
  <conditionalFormatting sqref="S28">
    <cfRule type="cellIs" dxfId="184" priority="168" operator="equal">
      <formula>0</formula>
    </cfRule>
  </conditionalFormatting>
  <conditionalFormatting sqref="U28">
    <cfRule type="cellIs" dxfId="183" priority="167" operator="equal">
      <formula>0</formula>
    </cfRule>
  </conditionalFormatting>
  <conditionalFormatting sqref="W28">
    <cfRule type="cellIs" dxfId="182" priority="166" operator="equal">
      <formula>0</formula>
    </cfRule>
  </conditionalFormatting>
  <conditionalFormatting sqref="Y28">
    <cfRule type="cellIs" dxfId="181" priority="165" operator="equal">
      <formula>0</formula>
    </cfRule>
  </conditionalFormatting>
  <conditionalFormatting sqref="AA28">
    <cfRule type="cellIs" dxfId="180" priority="164" operator="equal">
      <formula>0</formula>
    </cfRule>
  </conditionalFormatting>
  <conditionalFormatting sqref="AC28">
    <cfRule type="cellIs" dxfId="179" priority="163" operator="equal">
      <formula>0</formula>
    </cfRule>
  </conditionalFormatting>
  <conditionalFormatting sqref="AE28">
    <cfRule type="cellIs" dxfId="178" priority="162" operator="equal">
      <formula>0</formula>
    </cfRule>
  </conditionalFormatting>
  <conditionalFormatting sqref="AG28">
    <cfRule type="cellIs" dxfId="177" priority="161" operator="equal">
      <formula>0</formula>
    </cfRule>
  </conditionalFormatting>
  <conditionalFormatting sqref="AI28">
    <cfRule type="cellIs" dxfId="176" priority="160" operator="equal">
      <formula>0</formula>
    </cfRule>
  </conditionalFormatting>
  <conditionalFormatting sqref="AK28">
    <cfRule type="cellIs" dxfId="175" priority="159" operator="equal">
      <formula>0</formula>
    </cfRule>
  </conditionalFormatting>
  <conditionalFormatting sqref="AM28">
    <cfRule type="cellIs" dxfId="174" priority="158" operator="equal">
      <formula>0</formula>
    </cfRule>
  </conditionalFormatting>
  <conditionalFormatting sqref="AO28">
    <cfRule type="cellIs" dxfId="173" priority="157" operator="equal">
      <formula>0</formula>
    </cfRule>
  </conditionalFormatting>
  <conditionalFormatting sqref="AQ28">
    <cfRule type="cellIs" dxfId="172" priority="156" operator="equal">
      <formula>0</formula>
    </cfRule>
  </conditionalFormatting>
  <conditionalFormatting sqref="AS28">
    <cfRule type="cellIs" dxfId="171" priority="155" operator="equal">
      <formula>0</formula>
    </cfRule>
  </conditionalFormatting>
  <conditionalFormatting sqref="AU28">
    <cfRule type="cellIs" dxfId="170" priority="154" operator="equal">
      <formula>0</formula>
    </cfRule>
  </conditionalFormatting>
  <conditionalFormatting sqref="AW28">
    <cfRule type="cellIs" dxfId="169" priority="153" operator="equal">
      <formula>0</formula>
    </cfRule>
  </conditionalFormatting>
  <conditionalFormatting sqref="AY28">
    <cfRule type="cellIs" dxfId="168" priority="152" operator="equal">
      <formula>0</formula>
    </cfRule>
  </conditionalFormatting>
  <conditionalFormatting sqref="BA28">
    <cfRule type="cellIs" dxfId="167" priority="151" operator="equal">
      <formula>0</formula>
    </cfRule>
  </conditionalFormatting>
  <conditionalFormatting sqref="BC28">
    <cfRule type="cellIs" dxfId="166" priority="150" operator="equal">
      <formula>0</formula>
    </cfRule>
  </conditionalFormatting>
  <conditionalFormatting sqref="BE28">
    <cfRule type="cellIs" dxfId="165" priority="149" operator="equal">
      <formula>0</formula>
    </cfRule>
  </conditionalFormatting>
  <conditionalFormatting sqref="BG28">
    <cfRule type="cellIs" dxfId="164" priority="148" operator="equal">
      <formula>0</formula>
    </cfRule>
  </conditionalFormatting>
  <conditionalFormatting sqref="BI28">
    <cfRule type="cellIs" dxfId="163" priority="147" operator="equal">
      <formula>0</formula>
    </cfRule>
  </conditionalFormatting>
  <conditionalFormatting sqref="E50">
    <cfRule type="cellIs" dxfId="162" priority="146" operator="equal">
      <formula>0</formula>
    </cfRule>
  </conditionalFormatting>
  <conditionalFormatting sqref="G50">
    <cfRule type="cellIs" dxfId="161" priority="145" operator="equal">
      <formula>0</formula>
    </cfRule>
  </conditionalFormatting>
  <conditionalFormatting sqref="I50">
    <cfRule type="cellIs" dxfId="160" priority="144" operator="equal">
      <formula>0</formula>
    </cfRule>
  </conditionalFormatting>
  <conditionalFormatting sqref="K50">
    <cfRule type="cellIs" dxfId="159" priority="143" operator="equal">
      <formula>0</formula>
    </cfRule>
  </conditionalFormatting>
  <conditionalFormatting sqref="M50">
    <cfRule type="cellIs" dxfId="158" priority="142" operator="equal">
      <formula>0</formula>
    </cfRule>
  </conditionalFormatting>
  <conditionalFormatting sqref="O50">
    <cfRule type="cellIs" dxfId="157" priority="141" operator="equal">
      <formula>0</formula>
    </cfRule>
  </conditionalFormatting>
  <conditionalFormatting sqref="Q50">
    <cfRule type="cellIs" dxfId="156" priority="140" operator="equal">
      <formula>0</formula>
    </cfRule>
  </conditionalFormatting>
  <conditionalFormatting sqref="S50">
    <cfRule type="cellIs" dxfId="155" priority="139" operator="equal">
      <formula>0</formula>
    </cfRule>
  </conditionalFormatting>
  <conditionalFormatting sqref="U50">
    <cfRule type="cellIs" dxfId="154" priority="138" operator="equal">
      <formula>0</formula>
    </cfRule>
  </conditionalFormatting>
  <conditionalFormatting sqref="W50">
    <cfRule type="cellIs" dxfId="153" priority="137" operator="equal">
      <formula>0</formula>
    </cfRule>
  </conditionalFormatting>
  <conditionalFormatting sqref="Y50">
    <cfRule type="cellIs" dxfId="152" priority="136" operator="equal">
      <formula>0</formula>
    </cfRule>
  </conditionalFormatting>
  <conditionalFormatting sqref="AA50">
    <cfRule type="cellIs" dxfId="151" priority="135" operator="equal">
      <formula>0</formula>
    </cfRule>
  </conditionalFormatting>
  <conditionalFormatting sqref="AC50">
    <cfRule type="cellIs" dxfId="150" priority="134" operator="equal">
      <formula>0</formula>
    </cfRule>
  </conditionalFormatting>
  <conditionalFormatting sqref="AE50">
    <cfRule type="cellIs" dxfId="149" priority="133" operator="equal">
      <formula>0</formula>
    </cfRule>
  </conditionalFormatting>
  <conditionalFormatting sqref="AG50">
    <cfRule type="cellIs" dxfId="148" priority="132" operator="equal">
      <formula>0</formula>
    </cfRule>
  </conditionalFormatting>
  <conditionalFormatting sqref="AI50">
    <cfRule type="cellIs" dxfId="147" priority="131" operator="equal">
      <formula>0</formula>
    </cfRule>
  </conditionalFormatting>
  <conditionalFormatting sqref="AK50">
    <cfRule type="cellIs" dxfId="146" priority="130" operator="equal">
      <formula>0</formula>
    </cfRule>
  </conditionalFormatting>
  <conditionalFormatting sqref="AM50">
    <cfRule type="cellIs" dxfId="145" priority="129" operator="equal">
      <formula>0</formula>
    </cfRule>
  </conditionalFormatting>
  <conditionalFormatting sqref="AO50">
    <cfRule type="cellIs" dxfId="144" priority="128" operator="equal">
      <formula>0</formula>
    </cfRule>
  </conditionalFormatting>
  <conditionalFormatting sqref="AQ50">
    <cfRule type="cellIs" dxfId="143" priority="127" operator="equal">
      <formula>0</formula>
    </cfRule>
  </conditionalFormatting>
  <conditionalFormatting sqref="AS50">
    <cfRule type="cellIs" dxfId="142" priority="126" operator="equal">
      <formula>0</formula>
    </cfRule>
  </conditionalFormatting>
  <conditionalFormatting sqref="AU50">
    <cfRule type="cellIs" dxfId="141" priority="125" operator="equal">
      <formula>0</formula>
    </cfRule>
  </conditionalFormatting>
  <conditionalFormatting sqref="AW50">
    <cfRule type="cellIs" dxfId="140" priority="124" operator="equal">
      <formula>0</formula>
    </cfRule>
  </conditionalFormatting>
  <conditionalFormatting sqref="AY50">
    <cfRule type="cellIs" dxfId="139" priority="123" operator="equal">
      <formula>0</formula>
    </cfRule>
  </conditionalFormatting>
  <conditionalFormatting sqref="BA50">
    <cfRule type="cellIs" dxfId="138" priority="122" operator="equal">
      <formula>0</formula>
    </cfRule>
  </conditionalFormatting>
  <conditionalFormatting sqref="BC50">
    <cfRule type="cellIs" dxfId="137" priority="121" operator="equal">
      <formula>0</formula>
    </cfRule>
  </conditionalFormatting>
  <conditionalFormatting sqref="BE50">
    <cfRule type="cellIs" dxfId="136" priority="120" operator="equal">
      <formula>0</formula>
    </cfRule>
  </conditionalFormatting>
  <conditionalFormatting sqref="BG50">
    <cfRule type="cellIs" dxfId="135" priority="119" operator="equal">
      <formula>0</formula>
    </cfRule>
  </conditionalFormatting>
  <conditionalFormatting sqref="BI50">
    <cfRule type="cellIs" dxfId="134" priority="118" operator="equal">
      <formula>0</formula>
    </cfRule>
  </conditionalFormatting>
  <conditionalFormatting sqref="E72">
    <cfRule type="cellIs" dxfId="133" priority="117" operator="equal">
      <formula>0</formula>
    </cfRule>
  </conditionalFormatting>
  <conditionalFormatting sqref="G72">
    <cfRule type="cellIs" dxfId="132" priority="116" operator="equal">
      <formula>0</formula>
    </cfRule>
  </conditionalFormatting>
  <conditionalFormatting sqref="I72">
    <cfRule type="cellIs" dxfId="131" priority="115" operator="equal">
      <formula>0</formula>
    </cfRule>
  </conditionalFormatting>
  <conditionalFormatting sqref="K72">
    <cfRule type="cellIs" dxfId="130" priority="114" operator="equal">
      <formula>0</formula>
    </cfRule>
  </conditionalFormatting>
  <conditionalFormatting sqref="M72">
    <cfRule type="cellIs" dxfId="129" priority="113" operator="equal">
      <formula>0</formula>
    </cfRule>
  </conditionalFormatting>
  <conditionalFormatting sqref="O72">
    <cfRule type="cellIs" dxfId="128" priority="112" operator="equal">
      <formula>0</formula>
    </cfRule>
  </conditionalFormatting>
  <conditionalFormatting sqref="Q72">
    <cfRule type="cellIs" dxfId="127" priority="111" operator="equal">
      <formula>0</formula>
    </cfRule>
  </conditionalFormatting>
  <conditionalFormatting sqref="S72">
    <cfRule type="cellIs" dxfId="126" priority="110" operator="equal">
      <formula>0</formula>
    </cfRule>
  </conditionalFormatting>
  <conditionalFormatting sqref="U72">
    <cfRule type="cellIs" dxfId="125" priority="109" operator="equal">
      <formula>0</formula>
    </cfRule>
  </conditionalFormatting>
  <conditionalFormatting sqref="W72">
    <cfRule type="cellIs" dxfId="124" priority="108" operator="equal">
      <formula>0</formula>
    </cfRule>
  </conditionalFormatting>
  <conditionalFormatting sqref="Y72">
    <cfRule type="cellIs" dxfId="123" priority="107" operator="equal">
      <formula>0</formula>
    </cfRule>
  </conditionalFormatting>
  <conditionalFormatting sqref="AA72">
    <cfRule type="cellIs" dxfId="122" priority="106" operator="equal">
      <formula>0</formula>
    </cfRule>
  </conditionalFormatting>
  <conditionalFormatting sqref="AC72">
    <cfRule type="cellIs" dxfId="121" priority="105" operator="equal">
      <formula>0</formula>
    </cfRule>
  </conditionalFormatting>
  <conditionalFormatting sqref="AE72">
    <cfRule type="cellIs" dxfId="120" priority="104" operator="equal">
      <formula>0</formula>
    </cfRule>
  </conditionalFormatting>
  <conditionalFormatting sqref="AG72">
    <cfRule type="cellIs" dxfId="119" priority="103" operator="equal">
      <formula>0</formula>
    </cfRule>
  </conditionalFormatting>
  <conditionalFormatting sqref="AI72">
    <cfRule type="cellIs" dxfId="118" priority="102" operator="equal">
      <formula>0</formula>
    </cfRule>
  </conditionalFormatting>
  <conditionalFormatting sqref="AK72">
    <cfRule type="cellIs" dxfId="117" priority="101" operator="equal">
      <formula>0</formula>
    </cfRule>
  </conditionalFormatting>
  <conditionalFormatting sqref="AM72">
    <cfRule type="cellIs" dxfId="116" priority="100" operator="equal">
      <formula>0</formula>
    </cfRule>
  </conditionalFormatting>
  <conditionalFormatting sqref="AO72">
    <cfRule type="cellIs" dxfId="115" priority="99" operator="equal">
      <formula>0</formula>
    </cfRule>
  </conditionalFormatting>
  <conditionalFormatting sqref="AQ72">
    <cfRule type="cellIs" dxfId="114" priority="98" operator="equal">
      <formula>0</formula>
    </cfRule>
  </conditionalFormatting>
  <conditionalFormatting sqref="AS72">
    <cfRule type="cellIs" dxfId="113" priority="97" operator="equal">
      <formula>0</formula>
    </cfRule>
  </conditionalFormatting>
  <conditionalFormatting sqref="AU72">
    <cfRule type="cellIs" dxfId="112" priority="96" operator="equal">
      <formula>0</formula>
    </cfRule>
  </conditionalFormatting>
  <conditionalFormatting sqref="AW72">
    <cfRule type="cellIs" dxfId="111" priority="95" operator="equal">
      <formula>0</formula>
    </cfRule>
  </conditionalFormatting>
  <conditionalFormatting sqref="AY72">
    <cfRule type="cellIs" dxfId="110" priority="94" operator="equal">
      <formula>0</formula>
    </cfRule>
  </conditionalFormatting>
  <conditionalFormatting sqref="BA72">
    <cfRule type="cellIs" dxfId="109" priority="93" operator="equal">
      <formula>0</formula>
    </cfRule>
  </conditionalFormatting>
  <conditionalFormatting sqref="BC72">
    <cfRule type="cellIs" dxfId="108" priority="92" operator="equal">
      <formula>0</formula>
    </cfRule>
  </conditionalFormatting>
  <conditionalFormatting sqref="BE72">
    <cfRule type="cellIs" dxfId="107" priority="91" operator="equal">
      <formula>0</formula>
    </cfRule>
  </conditionalFormatting>
  <conditionalFormatting sqref="BG72">
    <cfRule type="cellIs" dxfId="106" priority="90" operator="equal">
      <formula>0</formula>
    </cfRule>
  </conditionalFormatting>
  <conditionalFormatting sqref="BI72">
    <cfRule type="cellIs" dxfId="105" priority="89" operator="equal">
      <formula>0</formula>
    </cfRule>
  </conditionalFormatting>
  <conditionalFormatting sqref="E94">
    <cfRule type="cellIs" dxfId="104" priority="88" operator="equal">
      <formula>0</formula>
    </cfRule>
  </conditionalFormatting>
  <conditionalFormatting sqref="G94">
    <cfRule type="cellIs" dxfId="103" priority="87" operator="equal">
      <formula>0</formula>
    </cfRule>
  </conditionalFormatting>
  <conditionalFormatting sqref="I94">
    <cfRule type="cellIs" dxfId="102" priority="86" operator="equal">
      <formula>0</formula>
    </cfRule>
  </conditionalFormatting>
  <conditionalFormatting sqref="K94">
    <cfRule type="cellIs" dxfId="101" priority="85" operator="equal">
      <formula>0</formula>
    </cfRule>
  </conditionalFormatting>
  <conditionalFormatting sqref="M94">
    <cfRule type="cellIs" dxfId="100" priority="84" operator="equal">
      <formula>0</formula>
    </cfRule>
  </conditionalFormatting>
  <conditionalFormatting sqref="O94">
    <cfRule type="cellIs" dxfId="99" priority="83" operator="equal">
      <formula>0</formula>
    </cfRule>
  </conditionalFormatting>
  <conditionalFormatting sqref="Q94">
    <cfRule type="cellIs" dxfId="98" priority="82" operator="equal">
      <formula>0</formula>
    </cfRule>
  </conditionalFormatting>
  <conditionalFormatting sqref="S94">
    <cfRule type="cellIs" dxfId="97" priority="81" operator="equal">
      <formula>0</formula>
    </cfRule>
  </conditionalFormatting>
  <conditionalFormatting sqref="U94">
    <cfRule type="cellIs" dxfId="96" priority="80" operator="equal">
      <formula>0</formula>
    </cfRule>
  </conditionalFormatting>
  <conditionalFormatting sqref="W94">
    <cfRule type="cellIs" dxfId="95" priority="79" operator="equal">
      <formula>0</formula>
    </cfRule>
  </conditionalFormatting>
  <conditionalFormatting sqref="Y94">
    <cfRule type="cellIs" dxfId="94" priority="78" operator="equal">
      <formula>0</formula>
    </cfRule>
  </conditionalFormatting>
  <conditionalFormatting sqref="AA94">
    <cfRule type="cellIs" dxfId="93" priority="77" operator="equal">
      <formula>0</formula>
    </cfRule>
  </conditionalFormatting>
  <conditionalFormatting sqref="AC94">
    <cfRule type="cellIs" dxfId="92" priority="76" operator="equal">
      <formula>0</formula>
    </cfRule>
  </conditionalFormatting>
  <conditionalFormatting sqref="AE94">
    <cfRule type="cellIs" dxfId="91" priority="75" operator="equal">
      <formula>0</formula>
    </cfRule>
  </conditionalFormatting>
  <conditionalFormatting sqref="AG94">
    <cfRule type="cellIs" dxfId="90" priority="74" operator="equal">
      <formula>0</formula>
    </cfRule>
  </conditionalFormatting>
  <conditionalFormatting sqref="AI94">
    <cfRule type="cellIs" dxfId="89" priority="73" operator="equal">
      <formula>0</formula>
    </cfRule>
  </conditionalFormatting>
  <conditionalFormatting sqref="AK94">
    <cfRule type="cellIs" dxfId="88" priority="72" operator="equal">
      <formula>0</formula>
    </cfRule>
  </conditionalFormatting>
  <conditionalFormatting sqref="AM94">
    <cfRule type="cellIs" dxfId="87" priority="71" operator="equal">
      <formula>0</formula>
    </cfRule>
  </conditionalFormatting>
  <conditionalFormatting sqref="AO94">
    <cfRule type="cellIs" dxfId="86" priority="70" operator="equal">
      <formula>0</formula>
    </cfRule>
  </conditionalFormatting>
  <conditionalFormatting sqref="AQ94">
    <cfRule type="cellIs" dxfId="85" priority="69" operator="equal">
      <formula>0</formula>
    </cfRule>
  </conditionalFormatting>
  <conditionalFormatting sqref="AS94">
    <cfRule type="cellIs" dxfId="84" priority="68" operator="equal">
      <formula>0</formula>
    </cfRule>
  </conditionalFormatting>
  <conditionalFormatting sqref="AU94">
    <cfRule type="cellIs" dxfId="83" priority="67" operator="equal">
      <formula>0</formula>
    </cfRule>
  </conditionalFormatting>
  <conditionalFormatting sqref="AW94">
    <cfRule type="cellIs" dxfId="82" priority="66" operator="equal">
      <formula>0</formula>
    </cfRule>
  </conditionalFormatting>
  <conditionalFormatting sqref="AY94">
    <cfRule type="cellIs" dxfId="81" priority="65" operator="equal">
      <formula>0</formula>
    </cfRule>
  </conditionalFormatting>
  <conditionalFormatting sqref="BA94">
    <cfRule type="cellIs" dxfId="80" priority="64" operator="equal">
      <formula>0</formula>
    </cfRule>
  </conditionalFormatting>
  <conditionalFormatting sqref="BC94">
    <cfRule type="cellIs" dxfId="79" priority="63" operator="equal">
      <formula>0</formula>
    </cfRule>
  </conditionalFormatting>
  <conditionalFormatting sqref="BE94">
    <cfRule type="cellIs" dxfId="78" priority="62" operator="equal">
      <formula>0</formula>
    </cfRule>
  </conditionalFormatting>
  <conditionalFormatting sqref="BG94">
    <cfRule type="cellIs" dxfId="77" priority="61" operator="equal">
      <formula>0</formula>
    </cfRule>
  </conditionalFormatting>
  <conditionalFormatting sqref="BI94">
    <cfRule type="cellIs" dxfId="76" priority="60" operator="equal">
      <formula>0</formula>
    </cfRule>
  </conditionalFormatting>
  <conditionalFormatting sqref="E116">
    <cfRule type="cellIs" dxfId="75" priority="59" operator="equal">
      <formula>0</formula>
    </cfRule>
  </conditionalFormatting>
  <conditionalFormatting sqref="G116">
    <cfRule type="cellIs" dxfId="74" priority="58" operator="equal">
      <formula>0</formula>
    </cfRule>
  </conditionalFormatting>
  <conditionalFormatting sqref="I116">
    <cfRule type="cellIs" dxfId="73" priority="57" operator="equal">
      <formula>0</formula>
    </cfRule>
  </conditionalFormatting>
  <conditionalFormatting sqref="K116">
    <cfRule type="cellIs" dxfId="72" priority="56" operator="equal">
      <formula>0</formula>
    </cfRule>
  </conditionalFormatting>
  <conditionalFormatting sqref="M116">
    <cfRule type="cellIs" dxfId="71" priority="55" operator="equal">
      <formula>0</formula>
    </cfRule>
  </conditionalFormatting>
  <conditionalFormatting sqref="O116">
    <cfRule type="cellIs" dxfId="70" priority="54" operator="equal">
      <formula>0</formula>
    </cfRule>
  </conditionalFormatting>
  <conditionalFormatting sqref="Q116">
    <cfRule type="cellIs" dxfId="69" priority="53" operator="equal">
      <formula>0</formula>
    </cfRule>
  </conditionalFormatting>
  <conditionalFormatting sqref="S116">
    <cfRule type="cellIs" dxfId="68" priority="52" operator="equal">
      <formula>0</formula>
    </cfRule>
  </conditionalFormatting>
  <conditionalFormatting sqref="U116">
    <cfRule type="cellIs" dxfId="67" priority="51" operator="equal">
      <formula>0</formula>
    </cfRule>
  </conditionalFormatting>
  <conditionalFormatting sqref="W116">
    <cfRule type="cellIs" dxfId="66" priority="50" operator="equal">
      <formula>0</formula>
    </cfRule>
  </conditionalFormatting>
  <conditionalFormatting sqref="Y116">
    <cfRule type="cellIs" dxfId="65" priority="49" operator="equal">
      <formula>0</formula>
    </cfRule>
  </conditionalFormatting>
  <conditionalFormatting sqref="AA116">
    <cfRule type="cellIs" dxfId="64" priority="48" operator="equal">
      <formula>0</formula>
    </cfRule>
  </conditionalFormatting>
  <conditionalFormatting sqref="AC116">
    <cfRule type="cellIs" dxfId="63" priority="47" operator="equal">
      <formula>0</formula>
    </cfRule>
  </conditionalFormatting>
  <conditionalFormatting sqref="AE116">
    <cfRule type="cellIs" dxfId="62" priority="46" operator="equal">
      <formula>0</formula>
    </cfRule>
  </conditionalFormatting>
  <conditionalFormatting sqref="AG116">
    <cfRule type="cellIs" dxfId="61" priority="45" operator="equal">
      <formula>0</formula>
    </cfRule>
  </conditionalFormatting>
  <conditionalFormatting sqref="AI116">
    <cfRule type="cellIs" dxfId="60" priority="44" operator="equal">
      <formula>0</formula>
    </cfRule>
  </conditionalFormatting>
  <conditionalFormatting sqref="AK116">
    <cfRule type="cellIs" dxfId="59" priority="43" operator="equal">
      <formula>0</formula>
    </cfRule>
  </conditionalFormatting>
  <conditionalFormatting sqref="AM116">
    <cfRule type="cellIs" dxfId="58" priority="42" operator="equal">
      <formula>0</formula>
    </cfRule>
  </conditionalFormatting>
  <conditionalFormatting sqref="AO116">
    <cfRule type="cellIs" dxfId="57" priority="41" operator="equal">
      <formula>0</formula>
    </cfRule>
  </conditionalFormatting>
  <conditionalFormatting sqref="AQ116">
    <cfRule type="cellIs" dxfId="56" priority="40" operator="equal">
      <formula>0</formula>
    </cfRule>
  </conditionalFormatting>
  <conditionalFormatting sqref="AS116">
    <cfRule type="cellIs" dxfId="55" priority="39" operator="equal">
      <formula>0</formula>
    </cfRule>
  </conditionalFormatting>
  <conditionalFormatting sqref="AU116">
    <cfRule type="cellIs" dxfId="54" priority="38" operator="equal">
      <formula>0</formula>
    </cfRule>
  </conditionalFormatting>
  <conditionalFormatting sqref="AW116">
    <cfRule type="cellIs" dxfId="53" priority="37" operator="equal">
      <formula>0</formula>
    </cfRule>
  </conditionalFormatting>
  <conditionalFormatting sqref="AY116">
    <cfRule type="cellIs" dxfId="52" priority="36" operator="equal">
      <formula>0</formula>
    </cfRule>
  </conditionalFormatting>
  <conditionalFormatting sqref="BA116">
    <cfRule type="cellIs" dxfId="51" priority="35" operator="equal">
      <formula>0</formula>
    </cfRule>
  </conditionalFormatting>
  <conditionalFormatting sqref="BC116">
    <cfRule type="cellIs" dxfId="50" priority="34" operator="equal">
      <formula>0</formula>
    </cfRule>
  </conditionalFormatting>
  <conditionalFormatting sqref="BE116">
    <cfRule type="cellIs" dxfId="49" priority="33" operator="equal">
      <formula>0</formula>
    </cfRule>
  </conditionalFormatting>
  <conditionalFormatting sqref="BG116">
    <cfRule type="cellIs" dxfId="48" priority="32" operator="equal">
      <formula>0</formula>
    </cfRule>
  </conditionalFormatting>
  <conditionalFormatting sqref="BI116">
    <cfRule type="cellIs" dxfId="47" priority="31" operator="equal">
      <formula>0</formula>
    </cfRule>
  </conditionalFormatting>
  <conditionalFormatting sqref="E132">
    <cfRule type="cellIs" dxfId="46" priority="30" operator="equal">
      <formula>0</formula>
    </cfRule>
  </conditionalFormatting>
  <conditionalFormatting sqref="G132">
    <cfRule type="cellIs" dxfId="45" priority="29" operator="equal">
      <formula>0</formula>
    </cfRule>
  </conditionalFormatting>
  <conditionalFormatting sqref="I132">
    <cfRule type="cellIs" dxfId="44" priority="28" operator="equal">
      <formula>0</formula>
    </cfRule>
  </conditionalFormatting>
  <conditionalFormatting sqref="K132">
    <cfRule type="cellIs" dxfId="43" priority="27" operator="equal">
      <formula>0</formula>
    </cfRule>
  </conditionalFormatting>
  <conditionalFormatting sqref="M132">
    <cfRule type="cellIs" dxfId="42" priority="26" operator="equal">
      <formula>0</formula>
    </cfRule>
  </conditionalFormatting>
  <conditionalFormatting sqref="O132">
    <cfRule type="cellIs" dxfId="41" priority="25" operator="equal">
      <formula>0</formula>
    </cfRule>
  </conditionalFormatting>
  <conditionalFormatting sqref="Q132">
    <cfRule type="cellIs" dxfId="40" priority="24" operator="equal">
      <formula>0</formula>
    </cfRule>
  </conditionalFormatting>
  <conditionalFormatting sqref="S132">
    <cfRule type="cellIs" dxfId="39" priority="23" operator="equal">
      <formula>0</formula>
    </cfRule>
  </conditionalFormatting>
  <conditionalFormatting sqref="U132">
    <cfRule type="cellIs" dxfId="38" priority="22" operator="equal">
      <formula>0</formula>
    </cfRule>
  </conditionalFormatting>
  <conditionalFormatting sqref="W132">
    <cfRule type="cellIs" dxfId="37" priority="21" operator="equal">
      <formula>0</formula>
    </cfRule>
  </conditionalFormatting>
  <conditionalFormatting sqref="Y132">
    <cfRule type="cellIs" dxfId="36" priority="20" operator="equal">
      <formula>0</formula>
    </cfRule>
  </conditionalFormatting>
  <conditionalFormatting sqref="AA132">
    <cfRule type="cellIs" dxfId="35" priority="19" operator="equal">
      <formula>0</formula>
    </cfRule>
  </conditionalFormatting>
  <conditionalFormatting sqref="AC132">
    <cfRule type="cellIs" dxfId="34" priority="18" operator="equal">
      <formula>0</formula>
    </cfRule>
  </conditionalFormatting>
  <conditionalFormatting sqref="AE132">
    <cfRule type="cellIs" dxfId="33" priority="17" operator="equal">
      <formula>0</formula>
    </cfRule>
  </conditionalFormatting>
  <conditionalFormatting sqref="AG132">
    <cfRule type="cellIs" dxfId="32" priority="16" operator="equal">
      <formula>0</formula>
    </cfRule>
  </conditionalFormatting>
  <conditionalFormatting sqref="AI132">
    <cfRule type="cellIs" dxfId="31" priority="15" operator="equal">
      <formula>0</formula>
    </cfRule>
  </conditionalFormatting>
  <conditionalFormatting sqref="AK132">
    <cfRule type="cellIs" dxfId="30" priority="14" operator="equal">
      <formula>0</formula>
    </cfRule>
  </conditionalFormatting>
  <conditionalFormatting sqref="AM132">
    <cfRule type="cellIs" dxfId="29" priority="13" operator="equal">
      <formula>0</formula>
    </cfRule>
  </conditionalFormatting>
  <conditionalFormatting sqref="AO132">
    <cfRule type="cellIs" dxfId="28" priority="12" operator="equal">
      <formula>0</formula>
    </cfRule>
  </conditionalFormatting>
  <conditionalFormatting sqref="AQ132">
    <cfRule type="cellIs" dxfId="27" priority="11" operator="equal">
      <formula>0</formula>
    </cfRule>
  </conditionalFormatting>
  <conditionalFormatting sqref="AS132">
    <cfRule type="cellIs" dxfId="26" priority="10" operator="equal">
      <formula>0</formula>
    </cfRule>
  </conditionalFormatting>
  <conditionalFormatting sqref="AU132">
    <cfRule type="cellIs" dxfId="25" priority="9" operator="equal">
      <formula>0</formula>
    </cfRule>
  </conditionalFormatting>
  <conditionalFormatting sqref="AW132">
    <cfRule type="cellIs" dxfId="24" priority="8" operator="equal">
      <formula>0</formula>
    </cfRule>
  </conditionalFormatting>
  <conditionalFormatting sqref="AY132">
    <cfRule type="cellIs" dxfId="23" priority="7" operator="equal">
      <formula>0</formula>
    </cfRule>
  </conditionalFormatting>
  <conditionalFormatting sqref="BA132">
    <cfRule type="cellIs" dxfId="22" priority="6" operator="equal">
      <formula>0</formula>
    </cfRule>
  </conditionalFormatting>
  <conditionalFormatting sqref="BC132">
    <cfRule type="cellIs" dxfId="21" priority="5" operator="equal">
      <formula>0</formula>
    </cfRule>
  </conditionalFormatting>
  <conditionalFormatting sqref="BE132">
    <cfRule type="cellIs" dxfId="20" priority="4" operator="equal">
      <formula>0</formula>
    </cfRule>
  </conditionalFormatting>
  <conditionalFormatting sqref="BG132">
    <cfRule type="cellIs" dxfId="19" priority="3" operator="equal">
      <formula>0</formula>
    </cfRule>
  </conditionalFormatting>
  <conditionalFormatting sqref="BI132">
    <cfRule type="cellIs" dxfId="18" priority="2" operator="equal">
      <formula>0</formula>
    </cfRule>
  </conditionalFormatting>
  <conditionalFormatting sqref="AM6">
    <cfRule type="cellIs" dxfId="17" priority="1" operator="equal">
      <formula>0</formula>
    </cfRule>
  </conditionalFormatting>
  <printOptions horizontalCentered="1"/>
  <pageMargins left="0" right="0" top="0.25" bottom="0.25" header="0.3" footer="0.3"/>
  <pageSetup scale="71"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FT_PPD_DD!$B$77:$B$78</xm:f>
          </x14:formula1>
          <xm:sqref>D2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pageSetUpPr fitToPage="1"/>
  </sheetPr>
  <dimension ref="A1:DG438"/>
  <sheetViews>
    <sheetView showGridLines="0" topLeftCell="A151" zoomScale="80" zoomScaleNormal="80" workbookViewId="0">
      <selection activeCell="Z147" sqref="Z147"/>
    </sheetView>
  </sheetViews>
  <sheetFormatPr defaultColWidth="9.109375" defaultRowHeight="14.4" outlineLevelRow="2" outlineLevelCol="1" x14ac:dyDescent="0.3"/>
  <cols>
    <col min="1" max="1" width="1.109375" style="1071" customWidth="1"/>
    <col min="2" max="2" width="16.6640625" style="1071" customWidth="1"/>
    <col min="3" max="3" width="26.6640625" style="1071" customWidth="1"/>
    <col min="4" max="4" width="1.5546875" style="1071" customWidth="1"/>
    <col min="5" max="5" width="0.5546875" style="1071" customWidth="1"/>
    <col min="6" max="6" width="11.109375" style="1071" customWidth="1"/>
    <col min="7" max="7" width="11.6640625" style="1071" customWidth="1"/>
    <col min="8" max="8" width="12" style="1071" customWidth="1"/>
    <col min="9" max="13" width="11.109375" style="1071" customWidth="1"/>
    <col min="14" max="20" width="12.5546875" style="1071" customWidth="1"/>
    <col min="21" max="23" width="11.44140625" style="1071" customWidth="1"/>
    <col min="24" max="24" width="12.44140625" style="1071" customWidth="1"/>
    <col min="25" max="35" width="11.44140625" style="1071" customWidth="1"/>
    <col min="36" max="36" width="13" style="2430" customWidth="1"/>
    <col min="37" max="37" width="10" style="1071" customWidth="1"/>
    <col min="38" max="38" width="2.5546875" style="1071" customWidth="1"/>
    <col min="39" max="39" width="12.88671875" style="1071" customWidth="1"/>
    <col min="40" max="40" width="5.5546875" style="1071" customWidth="1"/>
    <col min="41" max="41" width="7.5546875" style="1071" customWidth="1"/>
    <col min="42" max="42" width="10.5546875" style="1071" customWidth="1"/>
    <col min="43" max="53" width="11.5546875" style="1071" customWidth="1"/>
    <col min="54" max="54" width="14.44140625" style="1071" customWidth="1"/>
    <col min="55" max="71" width="11.5546875" style="1071" customWidth="1"/>
    <col min="72" max="72" width="13.33203125" style="1071" customWidth="1"/>
    <col min="73" max="73" width="11.33203125" style="1071" customWidth="1"/>
    <col min="74" max="74" width="2" style="1071" customWidth="1"/>
    <col min="75" max="75" width="13.33203125" style="1071" customWidth="1"/>
    <col min="76" max="76" width="9.109375" style="1071" customWidth="1"/>
    <col min="77" max="77" width="4.44140625" style="1071" customWidth="1"/>
    <col min="78" max="78" width="10.109375" style="1071" customWidth="1"/>
    <col min="79" max="107" width="11" style="1071" customWidth="1" outlineLevel="1"/>
    <col min="108" max="108" width="14.109375" style="1071" customWidth="1" outlineLevel="1"/>
    <col min="109" max="109" width="7" style="1071" customWidth="1"/>
    <col min="110" max="110" width="12.5546875" style="1071" customWidth="1"/>
    <col min="111" max="16384" width="9.109375" style="1071"/>
  </cols>
  <sheetData>
    <row r="1" spans="1:111" x14ac:dyDescent="0.3">
      <c r="A1" s="1070"/>
      <c r="B1" s="2494"/>
      <c r="C1" s="1070" t="s">
        <v>1075</v>
      </c>
      <c r="D1" s="1070"/>
      <c r="E1" s="1070"/>
      <c r="F1" s="1070"/>
      <c r="G1" s="1070"/>
      <c r="H1" s="1070"/>
      <c r="I1" s="1070"/>
      <c r="J1" s="1070"/>
      <c r="K1" s="1070"/>
      <c r="L1" s="1070"/>
      <c r="M1" s="1070"/>
      <c r="N1" s="1070"/>
      <c r="O1" s="1070"/>
      <c r="P1" s="1070"/>
      <c r="Q1" s="1070"/>
      <c r="R1" s="1070"/>
      <c r="S1" s="1070"/>
      <c r="T1" s="1070"/>
      <c r="U1" s="1070"/>
      <c r="V1" s="1070"/>
      <c r="W1" s="1070"/>
      <c r="X1" s="1070"/>
      <c r="Y1" s="1070"/>
      <c r="Z1" s="1070"/>
      <c r="AA1" s="1070"/>
      <c r="AB1" s="1070"/>
      <c r="AC1" s="1070"/>
      <c r="AD1" s="1070"/>
      <c r="AE1" s="1070"/>
      <c r="AF1" s="1070"/>
      <c r="AG1" s="1070"/>
      <c r="AH1" s="1070"/>
      <c r="AI1" s="1070"/>
      <c r="AJ1" s="2136"/>
      <c r="AK1" s="1070"/>
      <c r="AL1" s="1070"/>
      <c r="AM1" s="1070"/>
      <c r="AN1" s="1070"/>
      <c r="AO1" s="1070"/>
      <c r="AP1" s="1070"/>
      <c r="AQ1" s="1070"/>
      <c r="AR1" s="1070"/>
      <c r="AS1" s="1070"/>
      <c r="AT1" s="1070"/>
      <c r="AU1" s="1070"/>
      <c r="AV1" s="1070"/>
      <c r="AW1" s="1070"/>
      <c r="AX1" s="1070"/>
      <c r="AY1" s="1070"/>
      <c r="AZ1" s="1070"/>
      <c r="BA1" s="1070"/>
      <c r="BB1" s="1070"/>
      <c r="BC1" s="1070"/>
      <c r="BD1" s="1070"/>
      <c r="BE1" s="1070"/>
      <c r="BF1" s="1070"/>
      <c r="BG1" s="1070"/>
      <c r="BH1" s="1070"/>
      <c r="BI1" s="1070"/>
      <c r="BJ1" s="1070"/>
      <c r="BK1" s="1070"/>
      <c r="BL1" s="1070"/>
      <c r="BM1" s="1070"/>
      <c r="BN1" s="1070"/>
      <c r="BO1" s="1070"/>
      <c r="BP1" s="1070"/>
      <c r="BQ1" s="1070"/>
      <c r="BR1" s="1070"/>
      <c r="BS1" s="1070"/>
      <c r="BT1" s="1070"/>
      <c r="BU1" s="1070"/>
      <c r="BV1" s="1070"/>
      <c r="BW1" s="1070"/>
      <c r="BX1" s="1070"/>
      <c r="BY1" s="1070"/>
      <c r="BZ1" s="1070"/>
      <c r="CA1" s="1070"/>
      <c r="CB1" s="1070"/>
      <c r="CC1" s="1070"/>
      <c r="CD1" s="1070"/>
      <c r="CE1" s="1070"/>
      <c r="CF1" s="1070"/>
      <c r="CG1" s="1070"/>
      <c r="CH1" s="1070"/>
      <c r="CI1" s="1070"/>
      <c r="CJ1" s="1070"/>
      <c r="CK1" s="1070"/>
      <c r="CL1" s="1070"/>
      <c r="CM1" s="1070"/>
      <c r="CN1" s="1070"/>
      <c r="CO1" s="1070"/>
      <c r="CP1" s="1070"/>
      <c r="CQ1" s="1070"/>
      <c r="CR1" s="1070"/>
      <c r="CS1" s="1070"/>
      <c r="CT1" s="1070"/>
      <c r="CU1" s="1070"/>
      <c r="CV1" s="1070"/>
      <c r="CW1" s="1070"/>
      <c r="CX1" s="1070"/>
      <c r="CY1" s="1070"/>
      <c r="CZ1" s="1070"/>
      <c r="DA1" s="1070"/>
      <c r="DB1" s="1070"/>
      <c r="DC1" s="1070"/>
      <c r="DD1" s="1070"/>
      <c r="DE1" s="1070"/>
      <c r="DF1" s="1070"/>
      <c r="DG1" s="1070"/>
    </row>
    <row r="2" spans="1:111" x14ac:dyDescent="0.3">
      <c r="A2" s="1070"/>
      <c r="B2" s="2495"/>
      <c r="C2" s="1070" t="s">
        <v>1076</v>
      </c>
      <c r="D2" s="1070"/>
      <c r="E2" s="1070"/>
      <c r="F2" s="1070"/>
      <c r="G2" s="1070"/>
      <c r="H2" s="1070"/>
      <c r="I2" s="1070"/>
      <c r="J2" s="1070"/>
      <c r="K2" s="1070"/>
      <c r="L2" s="1070"/>
      <c r="M2" s="1070"/>
      <c r="N2" s="1070"/>
      <c r="O2" s="1070"/>
      <c r="P2" s="1070"/>
      <c r="Q2" s="1070"/>
      <c r="R2" s="1070"/>
      <c r="S2" s="1070"/>
      <c r="T2" s="1070"/>
      <c r="U2" s="1070"/>
      <c r="V2" s="1070"/>
      <c r="W2" s="1070"/>
      <c r="X2" s="1070"/>
      <c r="Y2" s="1070"/>
      <c r="Z2" s="1070"/>
      <c r="AA2" s="1070"/>
      <c r="AB2" s="1070"/>
      <c r="AC2" s="1070"/>
      <c r="AD2" s="1070"/>
      <c r="AE2" s="1070"/>
      <c r="AF2" s="1070"/>
      <c r="AG2" s="1070"/>
      <c r="AH2" s="1070"/>
      <c r="AI2" s="1070"/>
      <c r="AJ2" s="2136"/>
      <c r="AK2" s="1070"/>
      <c r="AL2" s="1070"/>
      <c r="AM2" s="1070"/>
      <c r="AN2" s="1070"/>
      <c r="AO2" s="1070"/>
      <c r="AP2" s="1070"/>
      <c r="AQ2" s="1070"/>
      <c r="AR2" s="1070"/>
      <c r="AS2" s="1070"/>
      <c r="AT2" s="1070"/>
      <c r="AU2" s="1070"/>
      <c r="AV2" s="1070"/>
      <c r="AW2" s="1070"/>
      <c r="AX2" s="1070"/>
      <c r="AY2" s="1070"/>
      <c r="AZ2" s="1070"/>
      <c r="BA2" s="1070"/>
      <c r="BB2" s="1070"/>
      <c r="BC2" s="1070"/>
      <c r="BD2" s="1070"/>
      <c r="BE2" s="1070"/>
      <c r="BF2" s="1070"/>
      <c r="BG2" s="1070"/>
      <c r="BH2" s="1070"/>
      <c r="BI2" s="1070"/>
      <c r="BJ2" s="1070"/>
      <c r="BK2" s="1070"/>
      <c r="BL2" s="1070"/>
      <c r="BM2" s="1070"/>
      <c r="BN2" s="1070"/>
      <c r="BO2" s="1070"/>
      <c r="BP2" s="1070"/>
      <c r="BQ2" s="1070"/>
      <c r="BR2" s="1070"/>
      <c r="BS2" s="1070"/>
      <c r="BT2" s="1070"/>
      <c r="BU2" s="1070"/>
      <c r="BV2" s="1070"/>
      <c r="BW2" s="1070"/>
      <c r="BX2" s="1070"/>
      <c r="BY2" s="1070"/>
      <c r="BZ2" s="1070"/>
      <c r="CA2" s="1070"/>
      <c r="CB2" s="1070"/>
      <c r="CC2" s="1070"/>
      <c r="CD2" s="1070"/>
      <c r="CE2" s="1070"/>
      <c r="CF2" s="1070"/>
      <c r="CG2" s="1070"/>
      <c r="CH2" s="1070"/>
      <c r="CI2" s="1070"/>
      <c r="CJ2" s="1070"/>
      <c r="CK2" s="1070"/>
      <c r="CL2" s="1070"/>
      <c r="CM2" s="1070"/>
      <c r="CN2" s="1070"/>
      <c r="CO2" s="1070"/>
      <c r="CP2" s="1070"/>
      <c r="CQ2" s="1070"/>
      <c r="CR2" s="1070"/>
      <c r="CS2" s="1070"/>
      <c r="CT2" s="1070"/>
      <c r="CU2" s="1070"/>
      <c r="CV2" s="1070"/>
      <c r="CW2" s="1070"/>
      <c r="CX2" s="1070"/>
      <c r="CY2" s="1070"/>
      <c r="CZ2" s="1070"/>
      <c r="DA2" s="1070"/>
      <c r="DB2" s="1070"/>
      <c r="DC2" s="1070"/>
      <c r="DD2" s="1070"/>
      <c r="DE2" s="1070"/>
      <c r="DF2" s="1070"/>
      <c r="DG2" s="1070"/>
    </row>
    <row r="3" spans="1:111" x14ac:dyDescent="0.3">
      <c r="A3" s="1070"/>
      <c r="B3" s="2496"/>
      <c r="C3" s="1070" t="s">
        <v>1077</v>
      </c>
      <c r="D3" s="1070"/>
      <c r="E3" s="1070"/>
      <c r="F3" s="1070"/>
      <c r="G3" s="1070"/>
      <c r="H3" s="1070"/>
      <c r="I3" s="1070"/>
      <c r="J3" s="1070"/>
      <c r="K3" s="1070"/>
      <c r="L3" s="1070"/>
      <c r="M3" s="1070"/>
      <c r="N3" s="1070"/>
      <c r="O3" s="1070"/>
      <c r="P3" s="1070"/>
      <c r="Q3" s="1070"/>
      <c r="R3" s="1070"/>
      <c r="S3" s="1070"/>
      <c r="T3" s="1070"/>
      <c r="U3" s="1070"/>
      <c r="V3" s="1070"/>
      <c r="W3" s="1070"/>
      <c r="X3" s="1070"/>
      <c r="Y3" s="1070"/>
      <c r="Z3" s="1070"/>
      <c r="AA3" s="1070"/>
      <c r="AB3" s="1070"/>
      <c r="AC3" s="1070"/>
      <c r="AD3" s="1070"/>
      <c r="AE3" s="1070"/>
      <c r="AF3" s="1070"/>
      <c r="AG3" s="1070"/>
      <c r="AH3" s="1070"/>
      <c r="AI3" s="1070"/>
      <c r="AJ3" s="2136"/>
      <c r="AK3" s="1070"/>
      <c r="AL3" s="1070"/>
      <c r="AM3" s="1070"/>
      <c r="AN3" s="1070"/>
      <c r="AO3" s="1070"/>
      <c r="AP3" s="1070"/>
      <c r="AQ3" s="1070"/>
      <c r="AR3" s="1070"/>
      <c r="AS3" s="1070"/>
      <c r="AT3" s="1070"/>
      <c r="AU3" s="1070"/>
      <c r="AV3" s="1070"/>
      <c r="AW3" s="1070"/>
      <c r="AX3" s="1070"/>
      <c r="AY3" s="1070"/>
      <c r="AZ3" s="1070"/>
      <c r="BA3" s="1070"/>
      <c r="BB3" s="1070"/>
      <c r="BC3" s="1070"/>
      <c r="BD3" s="1070"/>
      <c r="BE3" s="1070"/>
      <c r="BF3" s="1070"/>
      <c r="BG3" s="1070"/>
      <c r="BH3" s="1070"/>
      <c r="BI3" s="1070"/>
      <c r="BJ3" s="1070"/>
      <c r="BK3" s="1070"/>
      <c r="BL3" s="1070"/>
      <c r="BM3" s="1070"/>
      <c r="BN3" s="1070"/>
      <c r="BO3" s="1070"/>
      <c r="BP3" s="1070"/>
      <c r="BQ3" s="1070"/>
      <c r="BR3" s="1070"/>
      <c r="BS3" s="1070"/>
      <c r="BT3" s="1070"/>
      <c r="BU3" s="1070"/>
      <c r="BV3" s="1070"/>
      <c r="BW3" s="1070"/>
      <c r="BX3" s="1070"/>
      <c r="BY3" s="1070"/>
      <c r="BZ3" s="1070"/>
      <c r="CA3" s="1070"/>
      <c r="CB3" s="1070"/>
      <c r="CC3" s="1070"/>
      <c r="CD3" s="1070"/>
      <c r="CE3" s="1070"/>
      <c r="CF3" s="1070"/>
      <c r="CG3" s="1070"/>
      <c r="CH3" s="1070"/>
      <c r="CI3" s="1070"/>
      <c r="CJ3" s="1070"/>
      <c r="CK3" s="1070"/>
      <c r="CL3" s="1070"/>
      <c r="CM3" s="1070"/>
      <c r="CN3" s="1070"/>
      <c r="CO3" s="1070"/>
      <c r="CP3" s="1070"/>
      <c r="CQ3" s="1070"/>
      <c r="CR3" s="1070"/>
      <c r="CS3" s="1070"/>
      <c r="CT3" s="1070"/>
      <c r="CU3" s="1070"/>
      <c r="CV3" s="1070"/>
      <c r="CW3" s="1070"/>
      <c r="CX3" s="1070"/>
      <c r="CY3" s="1070"/>
      <c r="CZ3" s="1070"/>
      <c r="DA3" s="1070"/>
      <c r="DB3" s="1070"/>
      <c r="DC3" s="1070"/>
      <c r="DD3" s="1070"/>
      <c r="DE3" s="1070"/>
      <c r="DF3" s="1070"/>
      <c r="DG3" s="1070"/>
    </row>
    <row r="4" spans="1:111" x14ac:dyDescent="0.3">
      <c r="A4" s="1070"/>
      <c r="B4" s="2497"/>
      <c r="C4" s="1070" t="s">
        <v>1078</v>
      </c>
      <c r="D4" s="1070"/>
      <c r="E4" s="1070"/>
      <c r="F4" s="1070"/>
      <c r="G4" s="1070"/>
      <c r="H4" s="1070"/>
      <c r="I4" s="1070"/>
      <c r="J4" s="1070"/>
      <c r="K4" s="1070"/>
      <c r="L4" s="1070"/>
      <c r="M4" s="1070"/>
      <c r="N4" s="1070"/>
      <c r="O4" s="1070"/>
      <c r="P4" s="1070"/>
      <c r="Q4" s="1070"/>
      <c r="R4" s="1070"/>
      <c r="S4" s="1070"/>
      <c r="T4" s="1070"/>
      <c r="U4" s="1070"/>
      <c r="V4" s="1070"/>
      <c r="W4" s="1070"/>
      <c r="X4" s="1070"/>
      <c r="Y4" s="1070"/>
      <c r="Z4" s="1070"/>
      <c r="AA4" s="1070"/>
      <c r="AB4" s="1070"/>
      <c r="AC4" s="1070"/>
      <c r="AD4" s="1070"/>
      <c r="AE4" s="1070"/>
      <c r="AF4" s="1070"/>
      <c r="AG4" s="1070"/>
      <c r="AH4" s="1070"/>
      <c r="AI4" s="1070"/>
      <c r="AJ4" s="2136"/>
      <c r="AK4" s="1070"/>
      <c r="AL4" s="1070"/>
      <c r="AM4" s="1070"/>
      <c r="AN4" s="1070"/>
      <c r="AO4" s="1070"/>
      <c r="AP4" s="1070"/>
      <c r="AQ4" s="1070"/>
      <c r="AR4" s="1070"/>
      <c r="AS4" s="1070"/>
      <c r="AT4" s="1070"/>
      <c r="AU4" s="1070"/>
      <c r="AV4" s="1070"/>
      <c r="AW4" s="1070"/>
      <c r="AX4" s="1070"/>
      <c r="AY4" s="1070"/>
      <c r="AZ4" s="1070"/>
      <c r="BA4" s="1070"/>
      <c r="BB4" s="1070"/>
      <c r="BC4" s="1070"/>
      <c r="BD4" s="1070"/>
      <c r="BE4" s="1070"/>
      <c r="BF4" s="1070"/>
      <c r="BG4" s="1070"/>
      <c r="BH4" s="1070"/>
      <c r="BI4" s="1070"/>
      <c r="BJ4" s="1070"/>
      <c r="BK4" s="1070"/>
      <c r="BL4" s="1070"/>
      <c r="BM4" s="1070"/>
      <c r="BN4" s="1070"/>
      <c r="BO4" s="1070"/>
      <c r="BP4" s="1070"/>
      <c r="BQ4" s="1070"/>
      <c r="BR4" s="1070"/>
      <c r="BS4" s="1070"/>
      <c r="BT4" s="1070"/>
      <c r="BU4" s="1070"/>
      <c r="BV4" s="1070"/>
      <c r="BW4" s="1070"/>
      <c r="BX4" s="1070"/>
      <c r="BY4" s="1070"/>
      <c r="BZ4" s="1070"/>
      <c r="CA4" s="1070"/>
      <c r="CB4" s="1070"/>
      <c r="CC4" s="1070"/>
      <c r="CD4" s="1070"/>
      <c r="CE4" s="1070"/>
      <c r="CF4" s="1070"/>
      <c r="CG4" s="1070"/>
      <c r="CH4" s="1070"/>
      <c r="CI4" s="1070"/>
      <c r="CJ4" s="1070"/>
      <c r="CK4" s="1070"/>
      <c r="CL4" s="1070"/>
      <c r="CM4" s="1070"/>
      <c r="CN4" s="1070"/>
      <c r="CO4" s="1070"/>
      <c r="CP4" s="1070"/>
      <c r="CQ4" s="1070"/>
      <c r="CR4" s="1070"/>
      <c r="CS4" s="1070"/>
      <c r="CT4" s="1070"/>
      <c r="CU4" s="1070"/>
      <c r="CV4" s="1070"/>
      <c r="CW4" s="1070"/>
      <c r="CX4" s="1070"/>
      <c r="CY4" s="1070"/>
      <c r="CZ4" s="1070"/>
      <c r="DA4" s="1070"/>
      <c r="DB4" s="1070"/>
      <c r="DC4" s="1070"/>
      <c r="DD4" s="1070"/>
      <c r="DE4" s="1070"/>
      <c r="DF4" s="1070"/>
      <c r="DG4" s="1070"/>
    </row>
    <row r="5" spans="1:111" ht="15" thickBot="1" x14ac:dyDescent="0.35">
      <c r="A5" s="1070"/>
      <c r="B5" s="1070"/>
      <c r="C5" s="1070"/>
      <c r="D5" s="1070"/>
      <c r="E5" s="1070"/>
      <c r="F5" s="1070"/>
      <c r="G5" s="1070"/>
      <c r="H5" s="1070"/>
      <c r="I5" s="1070"/>
      <c r="J5" s="1070"/>
      <c r="K5" s="1070"/>
      <c r="L5" s="1070"/>
      <c r="M5" s="1070"/>
      <c r="N5" s="1070"/>
      <c r="O5" s="1070"/>
      <c r="P5" s="1070"/>
      <c r="Q5" s="1070"/>
      <c r="R5" s="1070"/>
      <c r="S5" s="1070"/>
      <c r="T5" s="1070"/>
      <c r="U5" s="1070"/>
      <c r="V5" s="1070"/>
      <c r="W5" s="1070"/>
      <c r="X5" s="1070"/>
      <c r="Y5" s="1070"/>
      <c r="Z5" s="1070"/>
      <c r="AA5" s="1070"/>
      <c r="AB5" s="1070"/>
      <c r="AC5" s="1070"/>
      <c r="AD5" s="1070"/>
      <c r="AE5" s="1070"/>
      <c r="AF5" s="1070"/>
      <c r="AG5" s="1070"/>
      <c r="AH5" s="1070"/>
      <c r="AI5" s="1070"/>
      <c r="AJ5" s="1070"/>
      <c r="AK5" s="1070"/>
      <c r="AL5" s="1070"/>
      <c r="AM5" s="1070"/>
      <c r="AN5" s="1070"/>
      <c r="AO5" s="1070"/>
      <c r="AP5" s="1070"/>
      <c r="AQ5" s="1070"/>
      <c r="AR5" s="1070"/>
      <c r="AS5" s="1070"/>
      <c r="AT5" s="1070"/>
      <c r="AU5" s="1070"/>
      <c r="AV5" s="1070"/>
      <c r="AW5" s="1070"/>
      <c r="AX5" s="1070"/>
      <c r="AY5" s="1070"/>
      <c r="AZ5" s="1070"/>
      <c r="BA5" s="1070"/>
      <c r="BB5" s="1070"/>
      <c r="BC5" s="1070"/>
      <c r="BD5" s="1070"/>
      <c r="BE5" s="1070"/>
      <c r="BF5" s="1070"/>
      <c r="BG5" s="1070"/>
      <c r="BH5" s="1070"/>
      <c r="BI5" s="1070"/>
      <c r="BJ5" s="1070"/>
      <c r="BK5" s="1070"/>
      <c r="BL5" s="1070"/>
      <c r="BM5" s="1070"/>
      <c r="BN5" s="1070"/>
      <c r="BO5" s="1070"/>
      <c r="BP5" s="1070"/>
      <c r="BQ5" s="1070"/>
      <c r="BR5" s="1070"/>
      <c r="BS5" s="1070"/>
      <c r="BT5" s="1070"/>
      <c r="BU5" s="1070"/>
      <c r="BV5" s="1082"/>
      <c r="BW5" s="1082"/>
      <c r="BX5" s="1082"/>
      <c r="BY5" s="1070"/>
      <c r="BZ5" s="1070"/>
      <c r="CA5" s="1070"/>
      <c r="CB5" s="1070"/>
      <c r="CC5" s="1070"/>
      <c r="CD5" s="1070"/>
      <c r="CE5" s="1070"/>
      <c r="CF5" s="1070"/>
      <c r="CG5" s="1070"/>
      <c r="CH5" s="1070"/>
      <c r="CI5" s="1070"/>
      <c r="CJ5" s="1070"/>
      <c r="CK5" s="1070"/>
      <c r="CL5" s="1070"/>
      <c r="CM5" s="1070"/>
      <c r="CN5" s="1070"/>
      <c r="CO5" s="1070"/>
      <c r="CP5" s="1070"/>
      <c r="CQ5" s="1070"/>
      <c r="CR5" s="1070"/>
      <c r="CS5" s="1070"/>
      <c r="CT5" s="1070"/>
      <c r="CU5" s="1070"/>
      <c r="CV5" s="1070"/>
      <c r="CW5" s="1070"/>
      <c r="CX5" s="1070"/>
      <c r="CY5" s="1070"/>
      <c r="CZ5" s="1070"/>
      <c r="DA5" s="1070"/>
      <c r="DB5" s="1070"/>
      <c r="DC5" s="1070"/>
      <c r="DD5" s="1070"/>
      <c r="DE5" s="1070"/>
      <c r="DF5" s="1070"/>
      <c r="DG5" s="1070"/>
    </row>
    <row r="6" spans="1:111" ht="19.5" customHeight="1" thickBot="1" x14ac:dyDescent="0.4">
      <c r="A6" s="1070"/>
      <c r="B6" s="3238" t="str">
        <f>"Revenue and Profitability Input (K): Actuals / Projections "</f>
        <v xml:space="preserve">Revenue and Profitability Input (K): Actuals / Projections </v>
      </c>
      <c r="C6" s="3239"/>
      <c r="D6" s="3239"/>
      <c r="E6" s="3239"/>
      <c r="F6" s="3239"/>
      <c r="G6" s="3239"/>
      <c r="H6" s="3239"/>
      <c r="I6" s="3239"/>
      <c r="J6" s="3239"/>
      <c r="K6" s="3239"/>
      <c r="L6" s="3239"/>
      <c r="M6" s="3239"/>
      <c r="N6" s="3239"/>
      <c r="O6" s="3239"/>
      <c r="P6" s="3239"/>
      <c r="Q6" s="3239"/>
      <c r="R6" s="3239"/>
      <c r="S6" s="3239"/>
      <c r="T6" s="3239"/>
      <c r="U6" s="3239"/>
      <c r="V6" s="3239"/>
      <c r="W6" s="3239"/>
      <c r="X6" s="3239"/>
      <c r="Y6" s="3239"/>
      <c r="Z6" s="3239"/>
      <c r="AA6" s="3239"/>
      <c r="AB6" s="3239"/>
      <c r="AC6" s="3239"/>
      <c r="AD6" s="3239"/>
      <c r="AE6" s="3239"/>
      <c r="AF6" s="3239"/>
      <c r="AG6" s="3239"/>
      <c r="AH6" s="3239"/>
      <c r="AI6" s="3239"/>
      <c r="AJ6" s="3239"/>
      <c r="AK6" s="3239"/>
      <c r="AL6" s="3239"/>
      <c r="AM6" s="3240"/>
      <c r="AN6" s="1070"/>
      <c r="AO6" s="1070"/>
      <c r="AP6" s="1070"/>
      <c r="AQ6" s="3238" t="str">
        <f>"Revenue and Profitability Input (K): "&amp;Comp</f>
        <v>Revenue and Profitability Input (K): Def Exit</v>
      </c>
      <c r="AR6" s="3239"/>
      <c r="AS6" s="3239"/>
      <c r="AT6" s="3239"/>
      <c r="AU6" s="3239"/>
      <c r="AV6" s="3239"/>
      <c r="AW6" s="3239"/>
      <c r="AX6" s="3239"/>
      <c r="AY6" s="3239"/>
      <c r="AZ6" s="3239"/>
      <c r="BA6" s="3239"/>
      <c r="BB6" s="3239"/>
      <c r="BC6" s="3239"/>
      <c r="BD6" s="3239"/>
      <c r="BE6" s="3239"/>
      <c r="BF6" s="3239"/>
      <c r="BG6" s="3239"/>
      <c r="BH6" s="3239"/>
      <c r="BI6" s="3239"/>
      <c r="BJ6" s="3239"/>
      <c r="BK6" s="3239"/>
      <c r="BL6" s="3239"/>
      <c r="BM6" s="3239"/>
      <c r="BN6" s="3239"/>
      <c r="BO6" s="3239"/>
      <c r="BP6" s="3239"/>
      <c r="BQ6" s="3239"/>
      <c r="BR6" s="3239"/>
      <c r="BS6" s="3239"/>
      <c r="BT6" s="3239"/>
      <c r="BU6" s="3239"/>
      <c r="BV6" s="3239"/>
      <c r="BW6" s="3240"/>
      <c r="BX6" s="1070"/>
      <c r="BY6" s="1070"/>
      <c r="BZ6" s="3358" t="str">
        <f>"H / (L) vs. "&amp;Comp</f>
        <v>H / (L) vs. Def Exit</v>
      </c>
      <c r="CA6" s="3359"/>
      <c r="CB6" s="3359"/>
      <c r="CC6" s="3359"/>
      <c r="CD6" s="3359"/>
      <c r="CE6" s="3359"/>
      <c r="CF6" s="3359"/>
      <c r="CG6" s="3359"/>
      <c r="CH6" s="3359"/>
      <c r="CI6" s="3359"/>
      <c r="CJ6" s="3359"/>
      <c r="CK6" s="3359"/>
      <c r="CL6" s="3359"/>
      <c r="CM6" s="3359"/>
      <c r="CN6" s="3359"/>
      <c r="CO6" s="3359"/>
      <c r="CP6" s="3359"/>
      <c r="CQ6" s="3359"/>
      <c r="CR6" s="3359"/>
      <c r="CS6" s="3359"/>
      <c r="CT6" s="3359"/>
      <c r="CU6" s="3359"/>
      <c r="CV6" s="3359"/>
      <c r="CW6" s="3359"/>
      <c r="CX6" s="3359"/>
      <c r="CY6" s="3359"/>
      <c r="CZ6" s="3359"/>
      <c r="DA6" s="3359"/>
      <c r="DB6" s="3359"/>
      <c r="DC6" s="3359"/>
      <c r="DD6" s="3359"/>
      <c r="DE6" s="3359"/>
      <c r="DF6" s="3360"/>
      <c r="DG6" s="1070"/>
    </row>
    <row r="7" spans="1:111" ht="3" customHeight="1" x14ac:dyDescent="0.3">
      <c r="A7" s="1070"/>
      <c r="B7" s="1852"/>
      <c r="C7" s="1337"/>
      <c r="D7" s="1337"/>
      <c r="E7" s="1337"/>
      <c r="F7" s="1337"/>
      <c r="G7" s="3361"/>
      <c r="H7" s="3361"/>
      <c r="I7" s="3361"/>
      <c r="J7" s="3361"/>
      <c r="K7" s="3361"/>
      <c r="L7" s="3361"/>
      <c r="M7" s="3361"/>
      <c r="N7" s="3361"/>
      <c r="O7" s="3361"/>
      <c r="P7" s="3361"/>
      <c r="Q7" s="3361"/>
      <c r="R7" s="3361"/>
      <c r="S7" s="3361"/>
      <c r="T7" s="3361"/>
      <c r="U7" s="3361"/>
      <c r="V7" s="3361"/>
      <c r="W7" s="3361"/>
      <c r="X7" s="3361"/>
      <c r="Y7" s="3361"/>
      <c r="Z7" s="3361"/>
      <c r="AA7" s="3361"/>
      <c r="AB7" s="3361"/>
      <c r="AC7" s="3361"/>
      <c r="AD7" s="3361"/>
      <c r="AE7" s="3361"/>
      <c r="AF7" s="3361"/>
      <c r="AG7" s="3361"/>
      <c r="AH7" s="3361"/>
      <c r="AI7" s="3361"/>
      <c r="AJ7" s="3361"/>
      <c r="AK7" s="3361"/>
      <c r="AL7" s="1142"/>
      <c r="AM7" s="1142"/>
      <c r="AN7" s="1142"/>
      <c r="AO7" s="1070"/>
      <c r="AP7" s="1070"/>
      <c r="AQ7" s="3361"/>
      <c r="AR7" s="3361"/>
      <c r="AS7" s="3361"/>
      <c r="AT7" s="3361"/>
      <c r="AU7" s="3361"/>
      <c r="AV7" s="3361"/>
      <c r="AW7" s="3361"/>
      <c r="AX7" s="3361"/>
      <c r="AY7" s="3361"/>
      <c r="AZ7" s="3361"/>
      <c r="BA7" s="3361"/>
      <c r="BB7" s="3361"/>
      <c r="BC7" s="3361"/>
      <c r="BD7" s="3361"/>
      <c r="BE7" s="3361"/>
      <c r="BF7" s="3361"/>
      <c r="BG7" s="3361"/>
      <c r="BH7" s="3361"/>
      <c r="BI7" s="3361"/>
      <c r="BJ7" s="3361"/>
      <c r="BK7" s="3361"/>
      <c r="BL7" s="3361"/>
      <c r="BM7" s="3361"/>
      <c r="BN7" s="3361"/>
      <c r="BO7" s="3361"/>
      <c r="BP7" s="3361"/>
      <c r="BQ7" s="3361"/>
      <c r="BR7" s="3361"/>
      <c r="BS7" s="3361"/>
      <c r="BT7" s="3361"/>
      <c r="BU7" s="1070"/>
      <c r="BV7" s="1070"/>
      <c r="BW7" s="1070"/>
      <c r="BX7" s="1070"/>
      <c r="BY7" s="1070"/>
      <c r="BZ7" s="1070"/>
      <c r="CA7" s="1070"/>
      <c r="CB7" s="1070"/>
      <c r="CC7" s="1070"/>
      <c r="CD7" s="1070"/>
      <c r="CE7" s="1070"/>
      <c r="CF7" s="1070"/>
      <c r="CG7" s="1070"/>
      <c r="CH7" s="1070"/>
      <c r="CI7" s="1070"/>
      <c r="CJ7" s="1070"/>
      <c r="CK7" s="1070"/>
      <c r="CL7" s="1070"/>
      <c r="CM7" s="1070"/>
      <c r="CN7" s="1070"/>
      <c r="CO7" s="1070"/>
      <c r="CP7" s="1070"/>
      <c r="CQ7" s="1070"/>
      <c r="CR7" s="1070"/>
      <c r="CS7" s="1070"/>
      <c r="CT7" s="1070"/>
      <c r="CU7" s="1070"/>
      <c r="CV7" s="1070"/>
      <c r="CW7" s="1070"/>
      <c r="CX7" s="1070"/>
      <c r="CY7" s="1070"/>
      <c r="CZ7" s="1070"/>
      <c r="DA7" s="1070"/>
      <c r="DB7" s="1070"/>
      <c r="DC7" s="1070"/>
      <c r="DD7" s="1070"/>
      <c r="DE7" s="1070"/>
      <c r="DF7" s="1070"/>
      <c r="DG7" s="1070"/>
    </row>
    <row r="8" spans="1:111" ht="18" x14ac:dyDescent="0.3">
      <c r="A8" s="1070"/>
      <c r="B8" s="2498" t="s">
        <v>1644</v>
      </c>
      <c r="C8" s="1337"/>
      <c r="D8" s="1337"/>
      <c r="E8" s="1337"/>
      <c r="F8" s="1337"/>
      <c r="G8" s="1853">
        <f t="shared" ref="G8:AI8" si="0">IFERROR(IF(G$113=ASRFY,"ASR",IF(G$113=ASRFY+1,"ASR",IF(G$113=ASRFY+2,"ASR",0))),0)</f>
        <v>0</v>
      </c>
      <c r="H8" s="1853">
        <f t="shared" si="0"/>
        <v>0</v>
      </c>
      <c r="I8" s="1853">
        <f t="shared" si="0"/>
        <v>0</v>
      </c>
      <c r="J8" s="1853">
        <f t="shared" si="0"/>
        <v>0</v>
      </c>
      <c r="K8" s="1853">
        <f t="shared" si="0"/>
        <v>0</v>
      </c>
      <c r="L8" s="1853">
        <f t="shared" si="0"/>
        <v>0</v>
      </c>
      <c r="M8" s="1853">
        <f t="shared" si="0"/>
        <v>0</v>
      </c>
      <c r="N8" s="1853">
        <f t="shared" si="0"/>
        <v>0</v>
      </c>
      <c r="O8" s="1853">
        <f t="shared" si="0"/>
        <v>0</v>
      </c>
      <c r="P8" s="1853">
        <f t="shared" si="0"/>
        <v>0</v>
      </c>
      <c r="Q8" s="1853">
        <f t="shared" si="0"/>
        <v>0</v>
      </c>
      <c r="R8" s="1853">
        <f t="shared" si="0"/>
        <v>0</v>
      </c>
      <c r="S8" s="1853">
        <f t="shared" si="0"/>
        <v>0</v>
      </c>
      <c r="T8" s="1853">
        <f t="shared" si="0"/>
        <v>0</v>
      </c>
      <c r="U8" s="1853">
        <f t="shared" si="0"/>
        <v>0</v>
      </c>
      <c r="V8" s="1853">
        <f t="shared" si="0"/>
        <v>0</v>
      </c>
      <c r="W8" s="1853">
        <f t="shared" si="0"/>
        <v>0</v>
      </c>
      <c r="X8" s="1853">
        <f t="shared" si="0"/>
        <v>0</v>
      </c>
      <c r="Y8" s="1853"/>
      <c r="Z8" s="1853"/>
      <c r="AA8" s="1853"/>
      <c r="AB8" s="1853"/>
      <c r="AC8" s="1853"/>
      <c r="AD8" s="1853"/>
      <c r="AE8" s="1853"/>
      <c r="AF8" s="1853"/>
      <c r="AG8" s="1853"/>
      <c r="AH8" s="1853"/>
      <c r="AI8" s="1853">
        <f t="shared" si="0"/>
        <v>0</v>
      </c>
      <c r="AJ8" s="2499"/>
      <c r="AK8" s="2499"/>
      <c r="AL8" s="1142"/>
      <c r="AM8" s="1142"/>
      <c r="AN8" s="1070"/>
      <c r="AO8" s="1142"/>
      <c r="AP8" s="1142"/>
      <c r="AQ8" s="3357"/>
      <c r="AR8" s="3357"/>
      <c r="AS8" s="3357"/>
      <c r="AT8" s="3357"/>
      <c r="AU8" s="3357"/>
      <c r="AV8" s="3357"/>
      <c r="AW8" s="3357"/>
      <c r="AX8" s="3357"/>
      <c r="AY8" s="3357"/>
      <c r="AZ8" s="3357"/>
      <c r="BA8" s="3357"/>
      <c r="BB8" s="3357"/>
      <c r="BC8" s="3357"/>
      <c r="BD8" s="3357"/>
      <c r="BE8" s="3357"/>
      <c r="BF8" s="3357"/>
      <c r="BG8" s="3357"/>
      <c r="BH8" s="3357"/>
      <c r="BI8" s="3357"/>
      <c r="BJ8" s="3357"/>
      <c r="BK8" s="3357"/>
      <c r="BL8" s="3357"/>
      <c r="BM8" s="3357"/>
      <c r="BN8" s="3357"/>
      <c r="BO8" s="3357"/>
      <c r="BP8" s="3357"/>
      <c r="BQ8" s="3357"/>
      <c r="BR8" s="3357"/>
      <c r="BS8" s="3357"/>
      <c r="BT8" s="3357"/>
      <c r="BU8" s="1142"/>
      <c r="BV8" s="1142"/>
      <c r="BW8" s="1142"/>
      <c r="BX8" s="1142"/>
      <c r="BY8" s="1142"/>
      <c r="BZ8" s="1142"/>
      <c r="CA8" s="1142"/>
      <c r="CB8" s="1142"/>
      <c r="CC8" s="1142"/>
      <c r="CD8" s="1142"/>
      <c r="CE8" s="1142"/>
      <c r="CF8" s="1142"/>
      <c r="CG8" s="1142"/>
      <c r="CH8" s="1142"/>
      <c r="CI8" s="1142"/>
      <c r="CJ8" s="1142"/>
      <c r="CK8" s="1142"/>
      <c r="CL8" s="1142"/>
      <c r="CM8" s="1142"/>
      <c r="CN8" s="1142"/>
      <c r="CO8" s="1142"/>
      <c r="CP8" s="1142"/>
      <c r="CQ8" s="1142"/>
      <c r="CR8" s="1142"/>
      <c r="CS8" s="1142"/>
      <c r="CT8" s="1142"/>
      <c r="CU8" s="1142"/>
      <c r="CV8" s="1142"/>
      <c r="CW8" s="1142"/>
      <c r="CX8" s="1142"/>
      <c r="CY8" s="1142"/>
      <c r="CZ8" s="1142"/>
      <c r="DA8" s="1142"/>
      <c r="DB8" s="1142"/>
      <c r="DC8" s="1142"/>
      <c r="DD8" s="1142"/>
      <c r="DE8" s="1070"/>
      <c r="DF8" s="1070"/>
      <c r="DG8" s="1070"/>
    </row>
    <row r="9" spans="1:111" ht="18" x14ac:dyDescent="0.3">
      <c r="A9" s="1070"/>
      <c r="B9" s="3363" t="str">
        <f>Input!D32</f>
        <v>A</v>
      </c>
      <c r="C9" s="3364"/>
      <c r="D9" s="3364"/>
      <c r="E9" s="3364"/>
      <c r="F9" s="3364"/>
      <c r="G9" s="1752" t="str">
        <f>+"FY"&amp;ProjStartFY</f>
        <v>FY18</v>
      </c>
      <c r="H9" s="1243" t="str">
        <f>+"FY"&amp;ProjStartFY+1</f>
        <v>FY19</v>
      </c>
      <c r="I9" s="1243" t="str">
        <f>+"FY"&amp;ProjStartFY+2</f>
        <v>FY20</v>
      </c>
      <c r="J9" s="1243" t="str">
        <f>+"FY"&amp;ProjStartFY+3</f>
        <v>FY21</v>
      </c>
      <c r="K9" s="1243" t="str">
        <f>+"FY"&amp;ProjStartFY+4</f>
        <v>FY22</v>
      </c>
      <c r="L9" s="1243" t="str">
        <f>+"FY"&amp;ProjStartFY+5</f>
        <v>FY23</v>
      </c>
      <c r="M9" s="1243" t="str">
        <f>+"FY"&amp;ProjStartFY+6</f>
        <v>FY24</v>
      </c>
      <c r="N9" s="1243" t="str">
        <f>+"FY"&amp;ProjStartFY+7</f>
        <v>FY25</v>
      </c>
      <c r="O9" s="1243" t="str">
        <f>+"FY"&amp;ProjStartFY+8</f>
        <v>FY26</v>
      </c>
      <c r="P9" s="1243" t="str">
        <f>+"FY"&amp;ProjStartFY+9</f>
        <v>FY27</v>
      </c>
      <c r="Q9" s="1243" t="str">
        <f>+"FY"&amp;ProjStartFY+10</f>
        <v>FY28</v>
      </c>
      <c r="R9" s="1243" t="str">
        <f>+"FY"&amp;ProjStartFY+11</f>
        <v>FY29</v>
      </c>
      <c r="S9" s="1243" t="str">
        <f>+"FY"&amp;ProjStartFY+12</f>
        <v>FY30</v>
      </c>
      <c r="T9" s="1243" t="str">
        <f>+"FY"&amp;ProjStartFY+13</f>
        <v>FY31</v>
      </c>
      <c r="U9" s="1243" t="str">
        <f>+"FY"&amp;ProjStartFY+14</f>
        <v>FY32</v>
      </c>
      <c r="V9" s="1243" t="str">
        <f>+"FY"&amp;ProjStartFY+15</f>
        <v>FY33</v>
      </c>
      <c r="W9" s="1243" t="str">
        <f>+"FY"&amp;ProjStartFY+16</f>
        <v>FY34</v>
      </c>
      <c r="X9" s="1243" t="str">
        <f>+"FY"&amp;ProjStartFY+17</f>
        <v>FY35</v>
      </c>
      <c r="Y9" s="1243" t="str">
        <f>+"FY"&amp;ProjStartFY+18</f>
        <v>FY36</v>
      </c>
      <c r="Z9" s="1243" t="str">
        <f>+"FY"&amp;ProjStartFY+19</f>
        <v>FY37</v>
      </c>
      <c r="AA9" s="1243" t="str">
        <f>+"FY"&amp;ProjStartFY+20</f>
        <v>FY38</v>
      </c>
      <c r="AB9" s="1243" t="str">
        <f>+"FY"&amp;ProjStartFY+21</f>
        <v>FY39</v>
      </c>
      <c r="AC9" s="1243" t="str">
        <f>+"FY"&amp;ProjStartFY+22</f>
        <v>FY40</v>
      </c>
      <c r="AD9" s="1243" t="str">
        <f>+"FY"&amp;ProjStartFY+23</f>
        <v>FY41</v>
      </c>
      <c r="AE9" s="1243" t="str">
        <f>+"FY"&amp;ProjStartFY+24</f>
        <v>FY42</v>
      </c>
      <c r="AF9" s="1243" t="str">
        <f>+"FY"&amp;ProjStartFY+25</f>
        <v>FY43</v>
      </c>
      <c r="AG9" s="1243" t="str">
        <f>+"FY"&amp;ProjStartFY+26</f>
        <v>FY44</v>
      </c>
      <c r="AH9" s="1243" t="str">
        <f>+"FY"&amp;ProjStartFY+27</f>
        <v>FY45</v>
      </c>
      <c r="AI9" s="1243" t="str">
        <f>+"FY"&amp;ProjStartFY+28</f>
        <v>FY46</v>
      </c>
      <c r="AJ9" s="1857" t="str">
        <f>"FY"&amp;CurrentFY&amp;"-"&amp;CurrentFY+9</f>
        <v>FY18-27</v>
      </c>
      <c r="AK9" s="1070"/>
      <c r="AL9" s="1070"/>
      <c r="AM9" s="1857" t="str">
        <f>"FY"&amp;CurrentFY&amp;"-"&amp;CurrentFY+14</f>
        <v>FY18-32</v>
      </c>
      <c r="AN9" s="1070"/>
      <c r="AO9" s="1070"/>
      <c r="AP9" s="1070"/>
      <c r="AQ9" s="1752" t="str">
        <f>+"FY"&amp;ProjStartFY</f>
        <v>FY18</v>
      </c>
      <c r="AR9" s="1243" t="str">
        <f>+"FY"&amp;ProjStartFY+1</f>
        <v>FY19</v>
      </c>
      <c r="AS9" s="1243" t="str">
        <f>+"FY"&amp;ProjStartFY+2</f>
        <v>FY20</v>
      </c>
      <c r="AT9" s="1243" t="str">
        <f>+"FY"&amp;ProjStartFY+3</f>
        <v>FY21</v>
      </c>
      <c r="AU9" s="1243" t="str">
        <f>+"FY"&amp;ProjStartFY+4</f>
        <v>FY22</v>
      </c>
      <c r="AV9" s="1243" t="str">
        <f>+"FY"&amp;ProjStartFY+5</f>
        <v>FY23</v>
      </c>
      <c r="AW9" s="1243" t="str">
        <f>+"FY"&amp;ProjStartFY+6</f>
        <v>FY24</v>
      </c>
      <c r="AX9" s="1243" t="str">
        <f>+"FY"&amp;ProjStartFY+7</f>
        <v>FY25</v>
      </c>
      <c r="AY9" s="1243" t="str">
        <f>+"FY"&amp;ProjStartFY+8</f>
        <v>FY26</v>
      </c>
      <c r="AZ9" s="1243" t="str">
        <f>+"FY"&amp;ProjStartFY+9</f>
        <v>FY27</v>
      </c>
      <c r="BA9" s="1243" t="str">
        <f>+"FY"&amp;ProjStartFY+10</f>
        <v>FY28</v>
      </c>
      <c r="BB9" s="1243" t="str">
        <f>+"FY"&amp;ProjStartFY+11</f>
        <v>FY29</v>
      </c>
      <c r="BC9" s="1243" t="str">
        <f>+"FY"&amp;ProjStartFY+12</f>
        <v>FY30</v>
      </c>
      <c r="BD9" s="1243" t="str">
        <f>+"FY"&amp;ProjStartFY+13</f>
        <v>FY31</v>
      </c>
      <c r="BE9" s="1243" t="str">
        <f>+"FY"&amp;ProjStartFY+14</f>
        <v>FY32</v>
      </c>
      <c r="BF9" s="1243" t="str">
        <f>+"FY"&amp;ProjStartFY+15</f>
        <v>FY33</v>
      </c>
      <c r="BG9" s="1243" t="str">
        <f>+"FY"&amp;ProjStartFY+16</f>
        <v>FY34</v>
      </c>
      <c r="BH9" s="2500" t="str">
        <f>+"FY"&amp;ProjStartFY+17</f>
        <v>FY35</v>
      </c>
      <c r="BI9" s="2500" t="str">
        <f>+"FY"&amp;ProjStartFY+18</f>
        <v>FY36</v>
      </c>
      <c r="BJ9" s="2500" t="str">
        <f>+"FY"&amp;ProjStartFY+19</f>
        <v>FY37</v>
      </c>
      <c r="BK9" s="2500" t="str">
        <f>+"FY"&amp;ProjStartFY+20</f>
        <v>FY38</v>
      </c>
      <c r="BL9" s="2500" t="str">
        <f>+"FY"&amp;ProjStartFY+21</f>
        <v>FY39</v>
      </c>
      <c r="BM9" s="2500" t="str">
        <f>+"FY"&amp;ProjStartFY+22</f>
        <v>FY40</v>
      </c>
      <c r="BN9" s="2500" t="str">
        <f>+"FY"&amp;ProjStartFY+23</f>
        <v>FY41</v>
      </c>
      <c r="BO9" s="2500" t="str">
        <f>+"FY"&amp;ProjStartFY+24</f>
        <v>FY42</v>
      </c>
      <c r="BP9" s="2500" t="str">
        <f>+"FY"&amp;ProjStartFY+25</f>
        <v>FY43</v>
      </c>
      <c r="BQ9" s="2500" t="str">
        <f>+"FY"&amp;ProjStartFY+26</f>
        <v>FY44</v>
      </c>
      <c r="BR9" s="2500" t="str">
        <f>+"FY"&amp;ProjStartFY+27</f>
        <v>FY45</v>
      </c>
      <c r="BS9" s="2500" t="str">
        <f>+"FY"&amp;ProjStartFY+28</f>
        <v>FY46</v>
      </c>
      <c r="BT9" s="1857" t="str">
        <f>"FY"&amp;CurrentFY&amp;"-"&amp;CurrentFY+9</f>
        <v>FY18-27</v>
      </c>
      <c r="BU9" s="1070"/>
      <c r="BV9" s="1070"/>
      <c r="BW9" s="1857" t="str">
        <f>"FY"&amp;CurrentFY&amp;"-"&amp;CurrentFY+14</f>
        <v>FY18-32</v>
      </c>
      <c r="BX9" s="1070"/>
      <c r="BY9" s="1070"/>
      <c r="BZ9" s="1070"/>
      <c r="CA9" s="1752" t="str">
        <f>+"FY"&amp;ProjStartFY</f>
        <v>FY18</v>
      </c>
      <c r="CB9" s="1243" t="str">
        <f>+"FY"&amp;ProjStartFY+1</f>
        <v>FY19</v>
      </c>
      <c r="CC9" s="1243" t="str">
        <f>+"FY"&amp;ProjStartFY+2</f>
        <v>FY20</v>
      </c>
      <c r="CD9" s="1243" t="str">
        <f>+"FY"&amp;ProjStartFY+3</f>
        <v>FY21</v>
      </c>
      <c r="CE9" s="1243" t="str">
        <f>+"FY"&amp;ProjStartFY+4</f>
        <v>FY22</v>
      </c>
      <c r="CF9" s="1243" t="str">
        <f>+"FY"&amp;ProjStartFY+5</f>
        <v>FY23</v>
      </c>
      <c r="CG9" s="1243" t="str">
        <f>+"FY"&amp;ProjStartFY+6</f>
        <v>FY24</v>
      </c>
      <c r="CH9" s="1243" t="str">
        <f>+"FY"&amp;ProjStartFY+7</f>
        <v>FY25</v>
      </c>
      <c r="CI9" s="1243" t="str">
        <f>+"FY"&amp;ProjStartFY+8</f>
        <v>FY26</v>
      </c>
      <c r="CJ9" s="1243" t="str">
        <f>+"FY"&amp;ProjStartFY+9</f>
        <v>FY27</v>
      </c>
      <c r="CK9" s="1243" t="str">
        <f>+"FY"&amp;ProjStartFY+10</f>
        <v>FY28</v>
      </c>
      <c r="CL9" s="1243" t="str">
        <f>+"FY"&amp;ProjStartFY+11</f>
        <v>FY29</v>
      </c>
      <c r="CM9" s="1243" t="str">
        <f>+"FY"&amp;ProjStartFY+12</f>
        <v>FY30</v>
      </c>
      <c r="CN9" s="1243" t="str">
        <f>+"FY"&amp;ProjStartFY+13</f>
        <v>FY31</v>
      </c>
      <c r="CO9" s="1243" t="str">
        <f>+"FY"&amp;ProjStartFY+14</f>
        <v>FY32</v>
      </c>
      <c r="CP9" s="1243" t="str">
        <f>+"FY"&amp;ProjStartFY+15</f>
        <v>FY33</v>
      </c>
      <c r="CQ9" s="1243" t="str">
        <f>+"FY"&amp;ProjStartFY+16</f>
        <v>FY34</v>
      </c>
      <c r="CR9" s="1243" t="str">
        <f>+"FY"&amp;ProjStartFY+17</f>
        <v>FY35</v>
      </c>
      <c r="CS9" s="1243" t="str">
        <f>+"FY"&amp;ProjStartFY+18</f>
        <v>FY36</v>
      </c>
      <c r="CT9" s="1243" t="str">
        <f>+"FY"&amp;ProjStartFY+19</f>
        <v>FY37</v>
      </c>
      <c r="CU9" s="1243" t="str">
        <f>+"FY"&amp;ProjStartFY+20</f>
        <v>FY38</v>
      </c>
      <c r="CV9" s="1243" t="str">
        <f>+"FY"&amp;ProjStartFY+21</f>
        <v>FY39</v>
      </c>
      <c r="CW9" s="1243" t="str">
        <f>+"FY"&amp;ProjStartFY+22</f>
        <v>FY40</v>
      </c>
      <c r="CX9" s="1243" t="str">
        <f>+"FY"&amp;ProjStartFY+23</f>
        <v>FY41</v>
      </c>
      <c r="CY9" s="1243" t="str">
        <f>+"FY"&amp;ProjStartFY+24</f>
        <v>FY42</v>
      </c>
      <c r="CZ9" s="1243" t="str">
        <f>+"FY"&amp;ProjStartFY+25</f>
        <v>FY43</v>
      </c>
      <c r="DA9" s="1243" t="str">
        <f>+"FY"&amp;ProjStartFY+26</f>
        <v>FY44</v>
      </c>
      <c r="DB9" s="1243" t="str">
        <f>+"FY"&amp;ProjStartFY+27</f>
        <v>FY45</v>
      </c>
      <c r="DC9" s="1243" t="str">
        <f>+"FY"&amp;ProjStartFY+28</f>
        <v>FY46</v>
      </c>
      <c r="DD9" s="1857" t="str">
        <f>"FY"&amp;CurrentFY&amp;"-"&amp;CurrentFY+9</f>
        <v>FY18-27</v>
      </c>
      <c r="DE9" s="1070"/>
      <c r="DF9" s="1857" t="str">
        <f>"FY"&amp;CurrentFY&amp;"-"&amp;CurrentFY+14</f>
        <v>FY18-32</v>
      </c>
      <c r="DG9" s="1070"/>
    </row>
    <row r="10" spans="1:111" ht="15.6" x14ac:dyDescent="0.3">
      <c r="A10" s="1070"/>
      <c r="B10" s="2501" t="s">
        <v>1645</v>
      </c>
      <c r="C10" s="2502"/>
      <c r="D10" s="2502"/>
      <c r="E10" s="2502"/>
      <c r="F10" s="2503"/>
      <c r="G10" s="2504">
        <f>Assumptions!K59/1000</f>
        <v>0</v>
      </c>
      <c r="H10" s="2505">
        <f>Assumptions!L59/1000</f>
        <v>0</v>
      </c>
      <c r="I10" s="2505">
        <f>Assumptions!M59/1000</f>
        <v>0</v>
      </c>
      <c r="J10" s="2505">
        <f>Assumptions!N59/1000</f>
        <v>0</v>
      </c>
      <c r="K10" s="2505">
        <f>Assumptions!O59/1000</f>
        <v>0</v>
      </c>
      <c r="L10" s="2505">
        <f>Assumptions!P59/1000</f>
        <v>216.22318449868803</v>
      </c>
      <c r="M10" s="2505">
        <f>Assumptions!Q59/1000</f>
        <v>522.80130791721695</v>
      </c>
      <c r="N10" s="2505">
        <f>Assumptions!R59/1000</f>
        <v>1001.0657751283359</v>
      </c>
      <c r="O10" s="2505">
        <f>Assumptions!S59/1000</f>
        <v>1508.5055947435123</v>
      </c>
      <c r="P10" s="2505">
        <f>Assumptions!T59/1000</f>
        <v>2032.9169942252568</v>
      </c>
      <c r="Q10" s="2505">
        <f>Assumptions!U59/1000</f>
        <v>2274.442453630918</v>
      </c>
      <c r="R10" s="2505">
        <f>Assumptions!V59/1000</f>
        <v>2603.2235453221501</v>
      </c>
      <c r="S10" s="2505">
        <f>Assumptions!W59/1000</f>
        <v>3146.8227287695045</v>
      </c>
      <c r="T10" s="2505">
        <f>Assumptions!X59/1000</f>
        <v>3462.8716218029494</v>
      </c>
      <c r="U10" s="2505">
        <f>Assumptions!Y59/1000</f>
        <v>4167.9122840020291</v>
      </c>
      <c r="V10" s="2505">
        <f>Assumptions!Z59/1000</f>
        <v>4933.101892376053</v>
      </c>
      <c r="W10" s="2505">
        <f>Assumptions!AA59/1000</f>
        <v>5692.2432412767876</v>
      </c>
      <c r="X10" s="2505">
        <f>Assumptions!AD59/1000</f>
        <v>5436.5886590299724</v>
      </c>
      <c r="Y10" s="2505">
        <f>Assumptions!AE59/1000</f>
        <v>0</v>
      </c>
      <c r="Z10" s="2505">
        <f>Assumptions!AF59/1000</f>
        <v>0</v>
      </c>
      <c r="AA10" s="2505">
        <f>Assumptions!AG59/1000</f>
        <v>0</v>
      </c>
      <c r="AB10" s="2505">
        <f>Assumptions!AH59/1000</f>
        <v>0</v>
      </c>
      <c r="AC10" s="2505">
        <f>Assumptions!AI59/1000</f>
        <v>0</v>
      </c>
      <c r="AD10" s="2505">
        <f>Assumptions!AJ59/1000</f>
        <v>0</v>
      </c>
      <c r="AE10" s="2505">
        <f>Assumptions!AK59/1000</f>
        <v>0</v>
      </c>
      <c r="AF10" s="2505">
        <f>Assumptions!AL59/1000</f>
        <v>0</v>
      </c>
      <c r="AG10" s="2505">
        <f>Assumptions!AM59/1000</f>
        <v>0</v>
      </c>
      <c r="AH10" s="2505">
        <f>Assumptions!AN59/1000</f>
        <v>0</v>
      </c>
      <c r="AI10" s="2505">
        <f>Assumptions!AO59/1000</f>
        <v>0</v>
      </c>
      <c r="AJ10" s="2506">
        <f>SUMIF($G$115:$AI$115,"1",$G10:$AI10)</f>
        <v>5281.5128565130099</v>
      </c>
      <c r="AK10" s="2507"/>
      <c r="AL10" s="1082"/>
      <c r="AM10" s="2506">
        <f>SUMIF($G$115:$AI$115,"1",$G10:$AI10)+SUMIF($G$115:$AI$115,"2",$G10:$AI10)</f>
        <v>20936.785490040562</v>
      </c>
      <c r="AN10" s="2508"/>
      <c r="AO10" s="1070"/>
      <c r="AP10" s="1070"/>
      <c r="AQ10" s="2504"/>
      <c r="AR10" s="2505"/>
      <c r="AS10" s="2505"/>
      <c r="AT10" s="2505"/>
      <c r="AU10" s="2505"/>
      <c r="AV10" s="2505"/>
      <c r="AW10" s="2505"/>
      <c r="AX10" s="2505"/>
      <c r="AY10" s="2505"/>
      <c r="AZ10" s="2505"/>
      <c r="BA10" s="2505"/>
      <c r="BB10" s="2505"/>
      <c r="BC10" s="2505"/>
      <c r="BD10" s="2505"/>
      <c r="BE10" s="2505"/>
      <c r="BF10" s="2505"/>
      <c r="BG10" s="2505"/>
      <c r="BH10" s="2509"/>
      <c r="BI10" s="2509"/>
      <c r="BJ10" s="2509"/>
      <c r="BK10" s="2509"/>
      <c r="BL10" s="2509"/>
      <c r="BM10" s="2509"/>
      <c r="BN10" s="2509"/>
      <c r="BO10" s="2509"/>
      <c r="BP10" s="2509"/>
      <c r="BQ10" s="2509"/>
      <c r="BR10" s="2509"/>
      <c r="BS10" s="2509"/>
      <c r="BT10" s="2506">
        <f>SUMIF($AQ$115:$BS$115,"1",$AQ10:$BS10)</f>
        <v>0</v>
      </c>
      <c r="BU10" s="1082"/>
      <c r="BV10" s="1082"/>
      <c r="BW10" s="2506">
        <f>SUMIF($AQ$115:$BS$115,"1",$AQ10:$BS10)+SUMIF($AQ$115:$BS$115,"2",$AQ10:$BS10)</f>
        <v>0</v>
      </c>
      <c r="BX10" s="1070"/>
      <c r="BY10" s="1070"/>
      <c r="BZ10" s="1070"/>
      <c r="CA10" s="2510">
        <f t="shared" ref="CA10:CP25" si="1">G10-AQ10</f>
        <v>0</v>
      </c>
      <c r="CB10" s="2511">
        <f t="shared" si="1"/>
        <v>0</v>
      </c>
      <c r="CC10" s="2511">
        <f t="shared" si="1"/>
        <v>0</v>
      </c>
      <c r="CD10" s="2511">
        <f t="shared" si="1"/>
        <v>0</v>
      </c>
      <c r="CE10" s="2511">
        <f t="shared" si="1"/>
        <v>0</v>
      </c>
      <c r="CF10" s="2511">
        <f t="shared" si="1"/>
        <v>216.22318449868803</v>
      </c>
      <c r="CG10" s="2511">
        <f t="shared" si="1"/>
        <v>522.80130791721695</v>
      </c>
      <c r="CH10" s="2511">
        <f t="shared" si="1"/>
        <v>1001.0657751283359</v>
      </c>
      <c r="CI10" s="2511">
        <f t="shared" si="1"/>
        <v>1508.5055947435123</v>
      </c>
      <c r="CJ10" s="2511">
        <f t="shared" si="1"/>
        <v>2032.9169942252568</v>
      </c>
      <c r="CK10" s="2511">
        <f t="shared" si="1"/>
        <v>2274.442453630918</v>
      </c>
      <c r="CL10" s="2511">
        <f t="shared" si="1"/>
        <v>2603.2235453221501</v>
      </c>
      <c r="CM10" s="2511">
        <f t="shared" si="1"/>
        <v>3146.8227287695045</v>
      </c>
      <c r="CN10" s="2511">
        <f t="shared" si="1"/>
        <v>3462.8716218029494</v>
      </c>
      <c r="CO10" s="2511">
        <f t="shared" si="1"/>
        <v>4167.9122840020291</v>
      </c>
      <c r="CP10" s="2511">
        <f t="shared" si="1"/>
        <v>4933.101892376053</v>
      </c>
      <c r="CQ10" s="2511">
        <f t="shared" ref="CQ10:DD27" si="2">W10-BG10</f>
        <v>5692.2432412767876</v>
      </c>
      <c r="CR10" s="2511">
        <f t="shared" si="2"/>
        <v>5436.5886590299724</v>
      </c>
      <c r="CS10" s="2511">
        <f t="shared" si="2"/>
        <v>0</v>
      </c>
      <c r="CT10" s="2511">
        <f t="shared" si="2"/>
        <v>0</v>
      </c>
      <c r="CU10" s="2511">
        <f t="shared" si="2"/>
        <v>0</v>
      </c>
      <c r="CV10" s="2511">
        <f t="shared" si="2"/>
        <v>0</v>
      </c>
      <c r="CW10" s="2511">
        <f t="shared" si="2"/>
        <v>0</v>
      </c>
      <c r="CX10" s="2511">
        <f t="shared" si="2"/>
        <v>0</v>
      </c>
      <c r="CY10" s="2511">
        <f t="shared" si="2"/>
        <v>0</v>
      </c>
      <c r="CZ10" s="2511">
        <f t="shared" si="2"/>
        <v>0</v>
      </c>
      <c r="DA10" s="2511">
        <f t="shared" si="2"/>
        <v>0</v>
      </c>
      <c r="DB10" s="2511">
        <f t="shared" si="2"/>
        <v>0</v>
      </c>
      <c r="DC10" s="2511">
        <f t="shared" si="2"/>
        <v>0</v>
      </c>
      <c r="DD10" s="2512">
        <f t="shared" si="2"/>
        <v>5281.5128565130099</v>
      </c>
      <c r="DE10" s="1070"/>
      <c r="DF10" s="2512">
        <f>AM10-BW10</f>
        <v>20936.785490040562</v>
      </c>
      <c r="DG10" s="1070"/>
    </row>
    <row r="11" spans="1:111" ht="15.6" x14ac:dyDescent="0.3">
      <c r="A11" s="1070"/>
      <c r="B11" s="2513" t="s">
        <v>1572</v>
      </c>
      <c r="C11" s="2514"/>
      <c r="D11" s="2514"/>
      <c r="E11" s="2514"/>
      <c r="F11" s="2515"/>
      <c r="G11" s="3066">
        <f>IF(Assumptions!K80=0,0,Assumptions!K78/Assumptions!K59)</f>
        <v>0</v>
      </c>
      <c r="H11" s="2517">
        <f>IF(Assumptions!L80=0,0,Assumptions!L78/Assumptions!L59)</f>
        <v>0</v>
      </c>
      <c r="I11" s="2517">
        <f>IF(Assumptions!M80=0,0,Assumptions!M78/Assumptions!M59)</f>
        <v>0</v>
      </c>
      <c r="J11" s="2517">
        <f>IF(Assumptions!N80=0,0,Assumptions!N78/Assumptions!N59)</f>
        <v>0</v>
      </c>
      <c r="K11" s="2517">
        <f>IF(Assumptions!O80=0,0,Assumptions!O78/Assumptions!O59)</f>
        <v>0</v>
      </c>
      <c r="L11" s="2517">
        <f>IF(Assumptions!P80=0,0,Assumptions!P78/Assumptions!P59)</f>
        <v>77.083333333333329</v>
      </c>
      <c r="M11" s="2517">
        <f>IF(Assumptions!Q80=0,0,Assumptions!Q78/Assumptions!Q59)</f>
        <v>73.773207654955726</v>
      </c>
      <c r="N11" s="2517">
        <f>IF(Assumptions!R80=0,0,Assumptions!R78/Assumptions!R59)</f>
        <v>73.445692883895134</v>
      </c>
      <c r="O11" s="2517">
        <f>IF(Assumptions!S80=0,0,Assumptions!S78/Assumptions!S59)</f>
        <v>73.131313131313121</v>
      </c>
      <c r="P11" s="2517">
        <f>IF(Assumptions!T80=0,0,Assumptions!T78/Assumptions!T59)</f>
        <v>67.55861365953109</v>
      </c>
      <c r="Q11" s="2517">
        <f>IF(Assumptions!U80=0,0,Assumptions!U78/Assumptions!U59)</f>
        <v>67.209922099220989</v>
      </c>
      <c r="R11" s="2517">
        <f>IF(Assumptions!V80=0,0,Assumptions!V78/Assumptions!V59)</f>
        <v>63.668972008512043</v>
      </c>
      <c r="S11" s="2517">
        <f>IF(Assumptions!W80=0,0,Assumptions!W78/Assumptions!W59)</f>
        <v>60.438699261865203</v>
      </c>
      <c r="T11" s="2517">
        <f>IF(Assumptions!X80=0,0,Assumptions!X78/Assumptions!X59)</f>
        <v>57.41676429877193</v>
      </c>
      <c r="U11" s="2517">
        <f>IF(Assumptions!Y80=0,0,Assumptions!Y78/Assumptions!Y59)</f>
        <v>57.41676429877193</v>
      </c>
      <c r="V11" s="2517">
        <f>IF(Assumptions!Z80=0,0,Assumptions!Z78/Assumptions!Z59)</f>
        <v>54.435328548988963</v>
      </c>
      <c r="W11" s="2517">
        <f>IF(Assumptions!AA80=0,0,Assumptions!AA78/Assumptions!AA59)</f>
        <v>54.232247286580005</v>
      </c>
      <c r="X11" s="2517">
        <f>IF(Assumptions!AD80=0,0,Assumptions!AD78/Assumptions!AD59)</f>
        <v>46.497373017331519</v>
      </c>
      <c r="Y11" s="2517">
        <f>IF(Assumptions!AE80=0,0,Assumptions!AE78/Assumptions!AE59)</f>
        <v>0</v>
      </c>
      <c r="Z11" s="2517">
        <f>IF(Assumptions!AF80=0,0,Assumptions!AF78/Assumptions!AF59)</f>
        <v>0</v>
      </c>
      <c r="AA11" s="2517">
        <f>IF(Assumptions!AG80=0,0,Assumptions!AG78/Assumptions!AG59)</f>
        <v>0</v>
      </c>
      <c r="AB11" s="2517">
        <f>IF(Assumptions!AH80=0,0,Assumptions!AH78/Assumptions!AH59)</f>
        <v>0</v>
      </c>
      <c r="AC11" s="2517">
        <f>IF(Assumptions!AI80=0,0,Assumptions!AI78/Assumptions!AI59)</f>
        <v>0</v>
      </c>
      <c r="AD11" s="2517">
        <f>IF(Assumptions!AJ80=0,0,Assumptions!AJ78/Assumptions!AJ59)</f>
        <v>0</v>
      </c>
      <c r="AE11" s="2517">
        <f>IF(Assumptions!AK80=0,0,Assumptions!AK78/Assumptions!AK59)</f>
        <v>0</v>
      </c>
      <c r="AF11" s="2517">
        <f>IF(Assumptions!AL80=0,0,Assumptions!AL78/Assumptions!AL59)</f>
        <v>0</v>
      </c>
      <c r="AG11" s="2517">
        <f>IF(Assumptions!AM80=0,0,Assumptions!AM78/Assumptions!AM59)</f>
        <v>0</v>
      </c>
      <c r="AH11" s="2517">
        <f>IF(Assumptions!AN80=0,0,Assumptions!AN78/Assumptions!AN59)</f>
        <v>0</v>
      </c>
      <c r="AI11" s="2517">
        <f>IF(Assumptions!AO80=0,0,Assumptions!AO78/Assumptions!AO59)</f>
        <v>0</v>
      </c>
      <c r="AJ11" s="2518">
        <f>+AJ12/AJ10</f>
        <v>71.271236439974814</v>
      </c>
      <c r="AK11" s="2519"/>
      <c r="AL11" s="1082"/>
      <c r="AM11" s="2518">
        <f>+AM12/AM10</f>
        <v>63.207143848442854</v>
      </c>
      <c r="AN11" s="2520"/>
      <c r="AO11" s="1070"/>
      <c r="AP11" s="1070"/>
      <c r="AQ11" s="2516"/>
      <c r="AR11" s="2517"/>
      <c r="AS11" s="2517"/>
      <c r="AT11" s="2517"/>
      <c r="AU11" s="2517"/>
      <c r="AV11" s="2517"/>
      <c r="AW11" s="2517"/>
      <c r="AX11" s="2517"/>
      <c r="AY11" s="2517"/>
      <c r="AZ11" s="2517"/>
      <c r="BA11" s="2517"/>
      <c r="BB11" s="2517"/>
      <c r="BC11" s="2517"/>
      <c r="BD11" s="2517"/>
      <c r="BE11" s="2517"/>
      <c r="BF11" s="2517"/>
      <c r="BG11" s="2517"/>
      <c r="BH11" s="2517"/>
      <c r="BI11" s="2517"/>
      <c r="BJ11" s="2517"/>
      <c r="BK11" s="2517"/>
      <c r="BL11" s="2517"/>
      <c r="BM11" s="2517"/>
      <c r="BN11" s="2517"/>
      <c r="BO11" s="2517"/>
      <c r="BP11" s="2517"/>
      <c r="BQ11" s="2517"/>
      <c r="BR11" s="2517"/>
      <c r="BS11" s="2517"/>
      <c r="BT11" s="2518" t="e">
        <f>+BT12/BT10</f>
        <v>#DIV/0!</v>
      </c>
      <c r="BU11" s="1082"/>
      <c r="BV11" s="1082"/>
      <c r="BW11" s="2518" t="e">
        <f>+BW12/BW10</f>
        <v>#DIV/0!</v>
      </c>
      <c r="BX11" s="1070"/>
      <c r="BY11" s="1070"/>
      <c r="BZ11" s="1070"/>
      <c r="CA11" s="2521">
        <f t="shared" si="1"/>
        <v>0</v>
      </c>
      <c r="CB11" s="2522">
        <f t="shared" si="1"/>
        <v>0</v>
      </c>
      <c r="CC11" s="2522">
        <f t="shared" si="1"/>
        <v>0</v>
      </c>
      <c r="CD11" s="2522">
        <f t="shared" si="1"/>
        <v>0</v>
      </c>
      <c r="CE11" s="2522">
        <f t="shared" si="1"/>
        <v>0</v>
      </c>
      <c r="CF11" s="2522">
        <f t="shared" si="1"/>
        <v>77.083333333333329</v>
      </c>
      <c r="CG11" s="2522">
        <f t="shared" si="1"/>
        <v>73.773207654955726</v>
      </c>
      <c r="CH11" s="2522">
        <f t="shared" si="1"/>
        <v>73.445692883895134</v>
      </c>
      <c r="CI11" s="2522">
        <f t="shared" si="1"/>
        <v>73.131313131313121</v>
      </c>
      <c r="CJ11" s="2522">
        <f t="shared" si="1"/>
        <v>67.55861365953109</v>
      </c>
      <c r="CK11" s="2522">
        <f t="shared" si="1"/>
        <v>67.209922099220989</v>
      </c>
      <c r="CL11" s="2522">
        <f t="shared" si="1"/>
        <v>63.668972008512043</v>
      </c>
      <c r="CM11" s="2522">
        <f t="shared" si="1"/>
        <v>60.438699261865203</v>
      </c>
      <c r="CN11" s="2522">
        <f t="shared" si="1"/>
        <v>57.41676429877193</v>
      </c>
      <c r="CO11" s="2522">
        <f t="shared" si="1"/>
        <v>57.41676429877193</v>
      </c>
      <c r="CP11" s="2522">
        <f t="shared" si="1"/>
        <v>54.435328548988963</v>
      </c>
      <c r="CQ11" s="2522">
        <f t="shared" si="2"/>
        <v>54.232247286580005</v>
      </c>
      <c r="CR11" s="2522">
        <f t="shared" si="2"/>
        <v>46.497373017331519</v>
      </c>
      <c r="CS11" s="2522">
        <f t="shared" si="2"/>
        <v>0</v>
      </c>
      <c r="CT11" s="2522">
        <f t="shared" si="2"/>
        <v>0</v>
      </c>
      <c r="CU11" s="2522">
        <f t="shared" si="2"/>
        <v>0</v>
      </c>
      <c r="CV11" s="2522">
        <f t="shared" si="2"/>
        <v>0</v>
      </c>
      <c r="CW11" s="2522">
        <f t="shared" si="2"/>
        <v>0</v>
      </c>
      <c r="CX11" s="2522">
        <f t="shared" si="2"/>
        <v>0</v>
      </c>
      <c r="CY11" s="2522">
        <f t="shared" si="2"/>
        <v>0</v>
      </c>
      <c r="CZ11" s="2522">
        <f t="shared" si="2"/>
        <v>0</v>
      </c>
      <c r="DA11" s="2522">
        <f t="shared" si="2"/>
        <v>0</v>
      </c>
      <c r="DB11" s="2522">
        <f t="shared" si="2"/>
        <v>0</v>
      </c>
      <c r="DC11" s="2522">
        <f t="shared" si="2"/>
        <v>0</v>
      </c>
      <c r="DD11" s="2518" t="e">
        <f t="shared" si="2"/>
        <v>#DIV/0!</v>
      </c>
      <c r="DE11" s="1070"/>
      <c r="DF11" s="2518" t="e">
        <f t="shared" ref="DF11:DF16" si="3">AM11-BW11</f>
        <v>#DIV/0!</v>
      </c>
      <c r="DG11" s="1070"/>
    </row>
    <row r="12" spans="1:111" s="2530" customFormat="1" ht="18" x14ac:dyDescent="0.35">
      <c r="A12" s="1887"/>
      <c r="B12" s="2523" t="s">
        <v>1646</v>
      </c>
      <c r="C12" s="2524"/>
      <c r="D12" s="2524"/>
      <c r="E12" s="2524"/>
      <c r="F12" s="2524"/>
      <c r="G12" s="2525">
        <f>+G10*G11</f>
        <v>0</v>
      </c>
      <c r="H12" s="2526">
        <f>+H10*H11</f>
        <v>0</v>
      </c>
      <c r="I12" s="2526">
        <f>+I10*I11</f>
        <v>0</v>
      </c>
      <c r="J12" s="2526">
        <f>+J10*J11</f>
        <v>0</v>
      </c>
      <c r="K12" s="2526">
        <f t="shared" ref="K12:U12" si="4">+K10*K11</f>
        <v>0</v>
      </c>
      <c r="L12" s="2526">
        <f t="shared" si="4"/>
        <v>16667.203805107201</v>
      </c>
      <c r="M12" s="2526">
        <f t="shared" si="4"/>
        <v>38568.729451259293</v>
      </c>
      <c r="N12" s="2526">
        <f t="shared" si="4"/>
        <v>73523.96947665418</v>
      </c>
      <c r="O12" s="2526">
        <f t="shared" si="4"/>
        <v>110318.99500952553</v>
      </c>
      <c r="P12" s="2526">
        <f t="shared" si="4"/>
        <v>137341.05381475933</v>
      </c>
      <c r="Q12" s="2526">
        <f>+Q10*Q11</f>
        <v>152865.10012769504</v>
      </c>
      <c r="R12" s="2526">
        <f t="shared" si="4"/>
        <v>165744.56703901547</v>
      </c>
      <c r="S12" s="2526">
        <f t="shared" si="4"/>
        <v>190189.87253450209</v>
      </c>
      <c r="T12" s="2526">
        <f t="shared" si="4"/>
        <v>198826.88370596603</v>
      </c>
      <c r="U12" s="2526">
        <f t="shared" si="4"/>
        <v>239308.03722850067</v>
      </c>
      <c r="V12" s="2526">
        <f>+V10*V11</f>
        <v>268535.02227712964</v>
      </c>
      <c r="W12" s="2526">
        <f>+W10*W11</f>
        <v>308703.14307628642</v>
      </c>
      <c r="X12" s="2526">
        <f>+X10*X11</f>
        <v>252787.09082071079</v>
      </c>
      <c r="Y12" s="2526">
        <f t="shared" ref="Y12:AI12" si="5">+Y10*Y11</f>
        <v>0</v>
      </c>
      <c r="Z12" s="2526">
        <f t="shared" si="5"/>
        <v>0</v>
      </c>
      <c r="AA12" s="2526">
        <f t="shared" si="5"/>
        <v>0</v>
      </c>
      <c r="AB12" s="2526">
        <f t="shared" si="5"/>
        <v>0</v>
      </c>
      <c r="AC12" s="2526">
        <f t="shared" si="5"/>
        <v>0</v>
      </c>
      <c r="AD12" s="2526">
        <f t="shared" si="5"/>
        <v>0</v>
      </c>
      <c r="AE12" s="2526">
        <f t="shared" si="5"/>
        <v>0</v>
      </c>
      <c r="AF12" s="2526">
        <f t="shared" si="5"/>
        <v>0</v>
      </c>
      <c r="AG12" s="2526">
        <f t="shared" si="5"/>
        <v>0</v>
      </c>
      <c r="AH12" s="2526">
        <f t="shared" si="5"/>
        <v>0</v>
      </c>
      <c r="AI12" s="2526">
        <f t="shared" si="5"/>
        <v>0</v>
      </c>
      <c r="AJ12" s="2527">
        <f>SUMIF($G$115:$AI$115,"1",$G12:$AI12)</f>
        <v>376419.95155730553</v>
      </c>
      <c r="AK12" s="2528"/>
      <c r="AL12" s="2287"/>
      <c r="AM12" s="2527">
        <f>SUMIF($G$115:$AI$115,"1",$G12:$AI12)+SUMIF($G$115:$AI$115,"2",$G12:$AI12)</f>
        <v>1323354.4121929849</v>
      </c>
      <c r="AN12" s="2529"/>
      <c r="AO12" s="1887"/>
      <c r="AP12" s="1887"/>
      <c r="AQ12" s="2525">
        <f t="shared" ref="AQ12:BG12" si="6">+AQ10*AQ11</f>
        <v>0</v>
      </c>
      <c r="AR12" s="2526">
        <f t="shared" si="6"/>
        <v>0</v>
      </c>
      <c r="AS12" s="2526">
        <f t="shared" si="6"/>
        <v>0</v>
      </c>
      <c r="AT12" s="2526">
        <f t="shared" si="6"/>
        <v>0</v>
      </c>
      <c r="AU12" s="2526">
        <f t="shared" si="6"/>
        <v>0</v>
      </c>
      <c r="AV12" s="2526">
        <f t="shared" si="6"/>
        <v>0</v>
      </c>
      <c r="AW12" s="2526">
        <f t="shared" si="6"/>
        <v>0</v>
      </c>
      <c r="AX12" s="2526">
        <f t="shared" si="6"/>
        <v>0</v>
      </c>
      <c r="AY12" s="2526">
        <f t="shared" si="6"/>
        <v>0</v>
      </c>
      <c r="AZ12" s="2526">
        <f t="shared" si="6"/>
        <v>0</v>
      </c>
      <c r="BA12" s="2526">
        <f t="shared" si="6"/>
        <v>0</v>
      </c>
      <c r="BB12" s="2526">
        <f t="shared" si="6"/>
        <v>0</v>
      </c>
      <c r="BC12" s="2526">
        <f t="shared" si="6"/>
        <v>0</v>
      </c>
      <c r="BD12" s="2526">
        <f t="shared" si="6"/>
        <v>0</v>
      </c>
      <c r="BE12" s="2526">
        <f t="shared" si="6"/>
        <v>0</v>
      </c>
      <c r="BF12" s="2526">
        <f t="shared" si="6"/>
        <v>0</v>
      </c>
      <c r="BG12" s="2526">
        <f t="shared" si="6"/>
        <v>0</v>
      </c>
      <c r="BH12" s="2526">
        <f>+BH10*BH11</f>
        <v>0</v>
      </c>
      <c r="BI12" s="2526">
        <f t="shared" ref="BI12:BR12" si="7">+BI10*BI11</f>
        <v>0</v>
      </c>
      <c r="BJ12" s="2526">
        <f t="shared" si="7"/>
        <v>0</v>
      </c>
      <c r="BK12" s="2526">
        <f t="shared" si="7"/>
        <v>0</v>
      </c>
      <c r="BL12" s="2526">
        <f t="shared" si="7"/>
        <v>0</v>
      </c>
      <c r="BM12" s="2526">
        <f t="shared" si="7"/>
        <v>0</v>
      </c>
      <c r="BN12" s="2526">
        <f t="shared" si="7"/>
        <v>0</v>
      </c>
      <c r="BO12" s="2526">
        <f t="shared" si="7"/>
        <v>0</v>
      </c>
      <c r="BP12" s="2526">
        <f t="shared" si="7"/>
        <v>0</v>
      </c>
      <c r="BQ12" s="2526">
        <f t="shared" si="7"/>
        <v>0</v>
      </c>
      <c r="BR12" s="2526">
        <f t="shared" si="7"/>
        <v>0</v>
      </c>
      <c r="BS12" s="2526">
        <f>+BS10*BS11</f>
        <v>0</v>
      </c>
      <c r="BT12" s="2527">
        <f>SUMIF($AQ$115:$BS$115,"1",$AQ12:$BS12)</f>
        <v>0</v>
      </c>
      <c r="BU12" s="2287"/>
      <c r="BV12" s="2287"/>
      <c r="BW12" s="2527">
        <f>SUMIF($AQ$115:$BS$115,"1",$AQ12:$BS12)+SUMIF($AQ$115:$BS$115,"2",$AQ12:$BS12)</f>
        <v>0</v>
      </c>
      <c r="BX12" s="1887"/>
      <c r="BY12" s="1887"/>
      <c r="BZ12" s="1887"/>
      <c r="CA12" s="2525">
        <f t="shared" si="1"/>
        <v>0</v>
      </c>
      <c r="CB12" s="2526">
        <f t="shared" si="1"/>
        <v>0</v>
      </c>
      <c r="CC12" s="2526">
        <f t="shared" si="1"/>
        <v>0</v>
      </c>
      <c r="CD12" s="2526">
        <f t="shared" si="1"/>
        <v>0</v>
      </c>
      <c r="CE12" s="2526">
        <f t="shared" si="1"/>
        <v>0</v>
      </c>
      <c r="CF12" s="2526">
        <f t="shared" si="1"/>
        <v>16667.203805107201</v>
      </c>
      <c r="CG12" s="2526">
        <f t="shared" si="1"/>
        <v>38568.729451259293</v>
      </c>
      <c r="CH12" s="2526">
        <f t="shared" si="1"/>
        <v>73523.96947665418</v>
      </c>
      <c r="CI12" s="2526">
        <f t="shared" si="1"/>
        <v>110318.99500952553</v>
      </c>
      <c r="CJ12" s="2526">
        <f t="shared" si="1"/>
        <v>137341.05381475933</v>
      </c>
      <c r="CK12" s="2526">
        <f t="shared" si="1"/>
        <v>152865.10012769504</v>
      </c>
      <c r="CL12" s="2526">
        <f t="shared" si="1"/>
        <v>165744.56703901547</v>
      </c>
      <c r="CM12" s="2526">
        <f t="shared" si="1"/>
        <v>190189.87253450209</v>
      </c>
      <c r="CN12" s="2526">
        <f t="shared" si="1"/>
        <v>198826.88370596603</v>
      </c>
      <c r="CO12" s="2526">
        <f t="shared" si="1"/>
        <v>239308.03722850067</v>
      </c>
      <c r="CP12" s="2526">
        <f t="shared" si="1"/>
        <v>268535.02227712964</v>
      </c>
      <c r="CQ12" s="2526">
        <f t="shared" si="2"/>
        <v>308703.14307628642</v>
      </c>
      <c r="CR12" s="2526">
        <f t="shared" si="2"/>
        <v>252787.09082071079</v>
      </c>
      <c r="CS12" s="2526">
        <f t="shared" si="2"/>
        <v>0</v>
      </c>
      <c r="CT12" s="2526">
        <f t="shared" si="2"/>
        <v>0</v>
      </c>
      <c r="CU12" s="2526">
        <f t="shared" si="2"/>
        <v>0</v>
      </c>
      <c r="CV12" s="2526">
        <f t="shared" si="2"/>
        <v>0</v>
      </c>
      <c r="CW12" s="2526">
        <f t="shared" si="2"/>
        <v>0</v>
      </c>
      <c r="CX12" s="2526">
        <f t="shared" si="2"/>
        <v>0</v>
      </c>
      <c r="CY12" s="2526">
        <f t="shared" si="2"/>
        <v>0</v>
      </c>
      <c r="CZ12" s="2526">
        <f t="shared" si="2"/>
        <v>0</v>
      </c>
      <c r="DA12" s="2526">
        <f t="shared" si="2"/>
        <v>0</v>
      </c>
      <c r="DB12" s="2526">
        <f t="shared" si="2"/>
        <v>0</v>
      </c>
      <c r="DC12" s="2526">
        <f t="shared" si="2"/>
        <v>0</v>
      </c>
      <c r="DD12" s="2527">
        <f t="shared" si="2"/>
        <v>376419.95155730553</v>
      </c>
      <c r="DE12" s="1887"/>
      <c r="DF12" s="2527">
        <f t="shared" si="3"/>
        <v>1323354.4121929849</v>
      </c>
      <c r="DG12" s="1887"/>
    </row>
    <row r="13" spans="1:111" s="2196" customFormat="1" ht="13.8" x14ac:dyDescent="0.3">
      <c r="A13" s="2189"/>
      <c r="B13" s="2531"/>
      <c r="C13" s="2532" t="s">
        <v>1647</v>
      </c>
      <c r="D13" s="2532"/>
      <c r="E13" s="2532"/>
      <c r="F13" s="2532"/>
      <c r="G13" s="2533"/>
      <c r="H13" s="2534"/>
      <c r="I13" s="2534"/>
      <c r="J13" s="2534"/>
      <c r="K13" s="2535"/>
      <c r="L13" s="2534"/>
      <c r="M13" s="2534"/>
      <c r="N13" s="2534"/>
      <c r="O13" s="2534"/>
      <c r="P13" s="2534"/>
      <c r="Q13" s="2534"/>
      <c r="R13" s="2534"/>
      <c r="S13" s="2534"/>
      <c r="T13" s="2534"/>
      <c r="U13" s="2534"/>
      <c r="V13" s="2534"/>
      <c r="W13" s="2534"/>
      <c r="X13" s="2534"/>
      <c r="Y13" s="2534"/>
      <c r="Z13" s="2534"/>
      <c r="AA13" s="2534"/>
      <c r="AB13" s="2534"/>
      <c r="AC13" s="2534"/>
      <c r="AD13" s="2534"/>
      <c r="AE13" s="2534"/>
      <c r="AF13" s="2534"/>
      <c r="AG13" s="2534"/>
      <c r="AH13" s="2534"/>
      <c r="AI13" s="2534"/>
      <c r="AJ13" s="2536">
        <f>SUMIF($G$115:$AI$115,"1",$G13:$AI13)</f>
        <v>0</v>
      </c>
      <c r="AK13" s="2537"/>
      <c r="AL13" s="2198"/>
      <c r="AM13" s="2536">
        <f>SUMIF($G$115:$AI$115,"1",$G13:$AI13)+SUMIF($G$115:$AI$115,"2",$G13:$AI13)</f>
        <v>0</v>
      </c>
      <c r="AN13" s="2538"/>
      <c r="AO13" s="2189"/>
      <c r="AP13" s="2189"/>
      <c r="AQ13" s="2533"/>
      <c r="AR13" s="2534"/>
      <c r="AS13" s="2534"/>
      <c r="AT13" s="2534"/>
      <c r="AU13" s="2534"/>
      <c r="AV13" s="2534"/>
      <c r="AW13" s="2534"/>
      <c r="AX13" s="2534"/>
      <c r="AY13" s="2534"/>
      <c r="AZ13" s="2534"/>
      <c r="BA13" s="2534"/>
      <c r="BB13" s="2534"/>
      <c r="BC13" s="2534"/>
      <c r="BD13" s="2534"/>
      <c r="BE13" s="2534"/>
      <c r="BF13" s="2534"/>
      <c r="BG13" s="2534"/>
      <c r="BH13" s="2534"/>
      <c r="BI13" s="2534"/>
      <c r="BJ13" s="2534"/>
      <c r="BK13" s="2534"/>
      <c r="BL13" s="2534"/>
      <c r="BM13" s="2534"/>
      <c r="BN13" s="2534"/>
      <c r="BO13" s="2534"/>
      <c r="BP13" s="2534"/>
      <c r="BQ13" s="2534"/>
      <c r="BR13" s="2534"/>
      <c r="BS13" s="2534"/>
      <c r="BT13" s="2536">
        <f>SUMIF($AQ$115:$BS$115,"1",$AQ13:$BS13)</f>
        <v>0</v>
      </c>
      <c r="BU13" s="2198"/>
      <c r="BV13" s="2198"/>
      <c r="BW13" s="2536">
        <f>SUMIF($AQ$115:$BS$115,"1",$AQ13:$BS13)+SUMIF($AQ$115:$BS$115,"2",$AQ13:$BS13)</f>
        <v>0</v>
      </c>
      <c r="BX13" s="2189"/>
      <c r="BY13" s="2189"/>
      <c r="BZ13" s="2189"/>
      <c r="CA13" s="2539">
        <f t="shared" si="1"/>
        <v>0</v>
      </c>
      <c r="CB13" s="2540">
        <f t="shared" si="1"/>
        <v>0</v>
      </c>
      <c r="CC13" s="2540">
        <f t="shared" si="1"/>
        <v>0</v>
      </c>
      <c r="CD13" s="2540">
        <f t="shared" si="1"/>
        <v>0</v>
      </c>
      <c r="CE13" s="2541">
        <f t="shared" si="1"/>
        <v>0</v>
      </c>
      <c r="CF13" s="2540">
        <f t="shared" si="1"/>
        <v>0</v>
      </c>
      <c r="CG13" s="2540">
        <f t="shared" si="1"/>
        <v>0</v>
      </c>
      <c r="CH13" s="2540">
        <f t="shared" si="1"/>
        <v>0</v>
      </c>
      <c r="CI13" s="2540">
        <f t="shared" si="1"/>
        <v>0</v>
      </c>
      <c r="CJ13" s="2540">
        <f t="shared" si="1"/>
        <v>0</v>
      </c>
      <c r="CK13" s="2540">
        <f t="shared" si="1"/>
        <v>0</v>
      </c>
      <c r="CL13" s="2540">
        <f t="shared" si="1"/>
        <v>0</v>
      </c>
      <c r="CM13" s="2540">
        <f t="shared" si="1"/>
        <v>0</v>
      </c>
      <c r="CN13" s="2540">
        <f t="shared" si="1"/>
        <v>0</v>
      </c>
      <c r="CO13" s="2540">
        <f t="shared" si="1"/>
        <v>0</v>
      </c>
      <c r="CP13" s="2540">
        <f t="shared" si="1"/>
        <v>0</v>
      </c>
      <c r="CQ13" s="2540">
        <f t="shared" si="2"/>
        <v>0</v>
      </c>
      <c r="CR13" s="2540">
        <f t="shared" si="2"/>
        <v>0</v>
      </c>
      <c r="CS13" s="2540">
        <f t="shared" si="2"/>
        <v>0</v>
      </c>
      <c r="CT13" s="2540">
        <f t="shared" si="2"/>
        <v>0</v>
      </c>
      <c r="CU13" s="2540">
        <f t="shared" si="2"/>
        <v>0</v>
      </c>
      <c r="CV13" s="2540">
        <f t="shared" si="2"/>
        <v>0</v>
      </c>
      <c r="CW13" s="2540">
        <f t="shared" si="2"/>
        <v>0</v>
      </c>
      <c r="CX13" s="2540">
        <f t="shared" si="2"/>
        <v>0</v>
      </c>
      <c r="CY13" s="2540">
        <f t="shared" si="2"/>
        <v>0</v>
      </c>
      <c r="CZ13" s="2540">
        <f t="shared" si="2"/>
        <v>0</v>
      </c>
      <c r="DA13" s="2540">
        <f t="shared" si="2"/>
        <v>0</v>
      </c>
      <c r="DB13" s="2540">
        <f t="shared" si="2"/>
        <v>0</v>
      </c>
      <c r="DC13" s="2540">
        <f t="shared" si="2"/>
        <v>0</v>
      </c>
      <c r="DD13" s="2536">
        <f t="shared" si="2"/>
        <v>0</v>
      </c>
      <c r="DE13" s="2189"/>
      <c r="DF13" s="2536">
        <f t="shared" si="3"/>
        <v>0</v>
      </c>
      <c r="DG13" s="2189"/>
    </row>
    <row r="14" spans="1:111" s="2196" customFormat="1" ht="13.8" x14ac:dyDescent="0.3">
      <c r="A14" s="2189"/>
      <c r="B14" s="2531"/>
      <c r="C14" s="2532" t="s">
        <v>1648</v>
      </c>
      <c r="D14" s="2532"/>
      <c r="E14" s="2532"/>
      <c r="F14" s="2532"/>
      <c r="G14" s="2533"/>
      <c r="H14" s="2534"/>
      <c r="I14" s="2534"/>
      <c r="J14" s="2534"/>
      <c r="K14" s="2534"/>
      <c r="L14" s="2534"/>
      <c r="M14" s="2534"/>
      <c r="N14" s="2534"/>
      <c r="O14" s="2534"/>
      <c r="P14" s="2534"/>
      <c r="Q14" s="2534"/>
      <c r="R14" s="2534"/>
      <c r="S14" s="2534"/>
      <c r="T14" s="2534"/>
      <c r="U14" s="2534"/>
      <c r="V14" s="2534"/>
      <c r="W14" s="2534"/>
      <c r="X14" s="2534"/>
      <c r="Y14" s="2534"/>
      <c r="Z14" s="2534"/>
      <c r="AA14" s="2534"/>
      <c r="AB14" s="2534"/>
      <c r="AC14" s="2534"/>
      <c r="AD14" s="2534"/>
      <c r="AE14" s="2534"/>
      <c r="AF14" s="2534"/>
      <c r="AG14" s="2534"/>
      <c r="AH14" s="2534"/>
      <c r="AI14" s="2534"/>
      <c r="AJ14" s="2536">
        <f>SUMIF($G$115:$AI$115,"1",$G14:$AI14)</f>
        <v>0</v>
      </c>
      <c r="AK14" s="2537"/>
      <c r="AL14" s="2198"/>
      <c r="AM14" s="2536">
        <f>SUMIF($G$115:$AI$115,"1",$G14:$AI14)+SUMIF($G$115:$AI$115,"2",$G14:$AI14)</f>
        <v>0</v>
      </c>
      <c r="AN14" s="2538"/>
      <c r="AO14" s="2189"/>
      <c r="AP14" s="2189"/>
      <c r="AQ14" s="2533"/>
      <c r="AR14" s="2534"/>
      <c r="AS14" s="2534"/>
      <c r="AT14" s="2534"/>
      <c r="AU14" s="2534"/>
      <c r="AV14" s="2534"/>
      <c r="AW14" s="2534"/>
      <c r="AX14" s="2534"/>
      <c r="AY14" s="2534"/>
      <c r="AZ14" s="2534"/>
      <c r="BA14" s="2534"/>
      <c r="BB14" s="2534"/>
      <c r="BC14" s="2534"/>
      <c r="BD14" s="2534"/>
      <c r="BE14" s="2534"/>
      <c r="BF14" s="2534"/>
      <c r="BG14" s="2534"/>
      <c r="BH14" s="2534"/>
      <c r="BI14" s="2534"/>
      <c r="BJ14" s="2534"/>
      <c r="BK14" s="2534"/>
      <c r="BL14" s="2534"/>
      <c r="BM14" s="2534"/>
      <c r="BN14" s="2534"/>
      <c r="BO14" s="2534"/>
      <c r="BP14" s="2534"/>
      <c r="BQ14" s="2534"/>
      <c r="BR14" s="2534"/>
      <c r="BS14" s="2534"/>
      <c r="BT14" s="2536">
        <f>SUMIF($AQ$115:$BS$115,"1",$AQ14:$BS14)</f>
        <v>0</v>
      </c>
      <c r="BU14" s="2198"/>
      <c r="BV14" s="2198"/>
      <c r="BW14" s="2536">
        <f>SUMIF($AQ$115:$BS$115,"1",$AQ14:$BS14)+SUMIF($AQ$115:$BS$115,"2",$AQ14:$BS14)</f>
        <v>0</v>
      </c>
      <c r="BX14" s="2189"/>
      <c r="BY14" s="2189"/>
      <c r="BZ14" s="2189"/>
      <c r="CA14" s="2539">
        <f t="shared" si="1"/>
        <v>0</v>
      </c>
      <c r="CB14" s="2540">
        <f t="shared" si="1"/>
        <v>0</v>
      </c>
      <c r="CC14" s="2540">
        <f t="shared" si="1"/>
        <v>0</v>
      </c>
      <c r="CD14" s="2540">
        <f t="shared" si="1"/>
        <v>0</v>
      </c>
      <c r="CE14" s="2540">
        <f t="shared" si="1"/>
        <v>0</v>
      </c>
      <c r="CF14" s="2540">
        <f t="shared" si="1"/>
        <v>0</v>
      </c>
      <c r="CG14" s="2540">
        <f t="shared" si="1"/>
        <v>0</v>
      </c>
      <c r="CH14" s="2540">
        <f t="shared" si="1"/>
        <v>0</v>
      </c>
      <c r="CI14" s="2540">
        <f t="shared" si="1"/>
        <v>0</v>
      </c>
      <c r="CJ14" s="2540">
        <f t="shared" si="1"/>
        <v>0</v>
      </c>
      <c r="CK14" s="2540">
        <f t="shared" si="1"/>
        <v>0</v>
      </c>
      <c r="CL14" s="2540">
        <f t="shared" si="1"/>
        <v>0</v>
      </c>
      <c r="CM14" s="2540">
        <f t="shared" si="1"/>
        <v>0</v>
      </c>
      <c r="CN14" s="2540">
        <f t="shared" si="1"/>
        <v>0</v>
      </c>
      <c r="CO14" s="2540">
        <f t="shared" si="1"/>
        <v>0</v>
      </c>
      <c r="CP14" s="2540">
        <f t="shared" si="1"/>
        <v>0</v>
      </c>
      <c r="CQ14" s="2540">
        <f t="shared" si="2"/>
        <v>0</v>
      </c>
      <c r="CR14" s="2540">
        <f t="shared" si="2"/>
        <v>0</v>
      </c>
      <c r="CS14" s="2540">
        <f t="shared" si="2"/>
        <v>0</v>
      </c>
      <c r="CT14" s="2540">
        <f t="shared" si="2"/>
        <v>0</v>
      </c>
      <c r="CU14" s="2540">
        <f t="shared" si="2"/>
        <v>0</v>
      </c>
      <c r="CV14" s="2540">
        <f t="shared" si="2"/>
        <v>0</v>
      </c>
      <c r="CW14" s="2540">
        <f t="shared" si="2"/>
        <v>0</v>
      </c>
      <c r="CX14" s="2540">
        <f t="shared" si="2"/>
        <v>0</v>
      </c>
      <c r="CY14" s="2540">
        <f t="shared" si="2"/>
        <v>0</v>
      </c>
      <c r="CZ14" s="2540">
        <f t="shared" si="2"/>
        <v>0</v>
      </c>
      <c r="DA14" s="2540">
        <f t="shared" si="2"/>
        <v>0</v>
      </c>
      <c r="DB14" s="2540">
        <f t="shared" si="2"/>
        <v>0</v>
      </c>
      <c r="DC14" s="2540">
        <f t="shared" si="2"/>
        <v>0</v>
      </c>
      <c r="DD14" s="2536">
        <f t="shared" si="2"/>
        <v>0</v>
      </c>
      <c r="DE14" s="2189"/>
      <c r="DF14" s="2536">
        <f t="shared" si="3"/>
        <v>0</v>
      </c>
      <c r="DG14" s="2189"/>
    </row>
    <row r="15" spans="1:111" s="2196" customFormat="1" ht="13.8" x14ac:dyDescent="0.3">
      <c r="A15" s="2189"/>
      <c r="B15" s="2531"/>
      <c r="C15" s="2532" t="s">
        <v>1649</v>
      </c>
      <c r="D15" s="2532"/>
      <c r="E15" s="2532"/>
      <c r="F15" s="2532"/>
      <c r="G15" s="2533"/>
      <c r="H15" s="2534"/>
      <c r="I15" s="2534"/>
      <c r="J15" s="2534"/>
      <c r="K15" s="2534"/>
      <c r="L15" s="2534"/>
      <c r="M15" s="2534"/>
      <c r="N15" s="2534"/>
      <c r="O15" s="2534"/>
      <c r="P15" s="2534"/>
      <c r="Q15" s="2534"/>
      <c r="R15" s="2534"/>
      <c r="S15" s="2534"/>
      <c r="T15" s="2534"/>
      <c r="U15" s="2534"/>
      <c r="V15" s="2534"/>
      <c r="W15" s="2534"/>
      <c r="X15" s="2534"/>
      <c r="Y15" s="2534"/>
      <c r="Z15" s="2534"/>
      <c r="AA15" s="2534"/>
      <c r="AB15" s="2534"/>
      <c r="AC15" s="2534"/>
      <c r="AD15" s="2534"/>
      <c r="AE15" s="2534"/>
      <c r="AF15" s="2534"/>
      <c r="AG15" s="2534"/>
      <c r="AH15" s="2534"/>
      <c r="AI15" s="2534"/>
      <c r="AJ15" s="2536">
        <f>SUMIF($G$115:$AI$115,"1",$G15:$AI15)</f>
        <v>0</v>
      </c>
      <c r="AK15" s="2537"/>
      <c r="AL15" s="2198"/>
      <c r="AM15" s="2536">
        <f>SUMIF($G$115:$AI$115,"1",$G15:$AI15)+SUMIF($G$115:$AI$115,"2",$G15:$AI15)</f>
        <v>0</v>
      </c>
      <c r="AN15" s="2538"/>
      <c r="AO15" s="2189"/>
      <c r="AP15" s="2189"/>
      <c r="AQ15" s="2533"/>
      <c r="AR15" s="2534"/>
      <c r="AS15" s="2534"/>
      <c r="AT15" s="2534"/>
      <c r="AU15" s="2534"/>
      <c r="AV15" s="2534"/>
      <c r="AW15" s="2534"/>
      <c r="AX15" s="2534"/>
      <c r="AY15" s="2534"/>
      <c r="AZ15" s="2534"/>
      <c r="BA15" s="2534"/>
      <c r="BB15" s="2534"/>
      <c r="BC15" s="2534"/>
      <c r="BD15" s="2534"/>
      <c r="BE15" s="2534"/>
      <c r="BF15" s="2534"/>
      <c r="BG15" s="2534"/>
      <c r="BH15" s="2534"/>
      <c r="BI15" s="2534"/>
      <c r="BJ15" s="2534"/>
      <c r="BK15" s="2534"/>
      <c r="BL15" s="2534"/>
      <c r="BM15" s="2534"/>
      <c r="BN15" s="2534"/>
      <c r="BO15" s="2534"/>
      <c r="BP15" s="2534"/>
      <c r="BQ15" s="2534"/>
      <c r="BR15" s="2534"/>
      <c r="BS15" s="2534"/>
      <c r="BT15" s="2536">
        <f>SUMIF($AQ$115:$BS$115,"1",$AQ15:$BS15)</f>
        <v>0</v>
      </c>
      <c r="BU15" s="2198"/>
      <c r="BV15" s="2198"/>
      <c r="BW15" s="2536">
        <f>SUMIF($AQ$115:$BS$115,"1",$AQ15:$BS15)+SUMIF($AQ$115:$BS$115,"2",$AQ15:$BS15)</f>
        <v>0</v>
      </c>
      <c r="BX15" s="2189"/>
      <c r="BY15" s="2189"/>
      <c r="BZ15" s="2189"/>
      <c r="CA15" s="2539">
        <f t="shared" si="1"/>
        <v>0</v>
      </c>
      <c r="CB15" s="2540">
        <f t="shared" si="1"/>
        <v>0</v>
      </c>
      <c r="CC15" s="2540">
        <f t="shared" si="1"/>
        <v>0</v>
      </c>
      <c r="CD15" s="2540">
        <f t="shared" si="1"/>
        <v>0</v>
      </c>
      <c r="CE15" s="2540">
        <f t="shared" si="1"/>
        <v>0</v>
      </c>
      <c r="CF15" s="2540">
        <f t="shared" si="1"/>
        <v>0</v>
      </c>
      <c r="CG15" s="2540">
        <f t="shared" si="1"/>
        <v>0</v>
      </c>
      <c r="CH15" s="2540">
        <f t="shared" si="1"/>
        <v>0</v>
      </c>
      <c r="CI15" s="2540">
        <f t="shared" si="1"/>
        <v>0</v>
      </c>
      <c r="CJ15" s="2540">
        <f t="shared" si="1"/>
        <v>0</v>
      </c>
      <c r="CK15" s="2540">
        <f t="shared" si="1"/>
        <v>0</v>
      </c>
      <c r="CL15" s="2540">
        <f t="shared" si="1"/>
        <v>0</v>
      </c>
      <c r="CM15" s="2540">
        <f t="shared" si="1"/>
        <v>0</v>
      </c>
      <c r="CN15" s="2540">
        <f t="shared" si="1"/>
        <v>0</v>
      </c>
      <c r="CO15" s="2540">
        <f t="shared" si="1"/>
        <v>0</v>
      </c>
      <c r="CP15" s="2540">
        <f t="shared" si="1"/>
        <v>0</v>
      </c>
      <c r="CQ15" s="2540">
        <f t="shared" si="2"/>
        <v>0</v>
      </c>
      <c r="CR15" s="2540">
        <f t="shared" si="2"/>
        <v>0</v>
      </c>
      <c r="CS15" s="2540">
        <f t="shared" si="2"/>
        <v>0</v>
      </c>
      <c r="CT15" s="2540">
        <f t="shared" si="2"/>
        <v>0</v>
      </c>
      <c r="CU15" s="2540">
        <f t="shared" si="2"/>
        <v>0</v>
      </c>
      <c r="CV15" s="2540">
        <f t="shared" si="2"/>
        <v>0</v>
      </c>
      <c r="CW15" s="2540">
        <f t="shared" si="2"/>
        <v>0</v>
      </c>
      <c r="CX15" s="2540">
        <f t="shared" si="2"/>
        <v>0</v>
      </c>
      <c r="CY15" s="2540">
        <f t="shared" si="2"/>
        <v>0</v>
      </c>
      <c r="CZ15" s="2540">
        <f t="shared" si="2"/>
        <v>0</v>
      </c>
      <c r="DA15" s="2540">
        <f t="shared" si="2"/>
        <v>0</v>
      </c>
      <c r="DB15" s="2540">
        <f t="shared" si="2"/>
        <v>0</v>
      </c>
      <c r="DC15" s="2540">
        <f t="shared" si="2"/>
        <v>0</v>
      </c>
      <c r="DD15" s="2536">
        <f t="shared" si="2"/>
        <v>0</v>
      </c>
      <c r="DE15" s="2189"/>
      <c r="DF15" s="2536">
        <f t="shared" si="3"/>
        <v>0</v>
      </c>
      <c r="DG15" s="2189"/>
    </row>
    <row r="16" spans="1:111" s="2530" customFormat="1" ht="18" x14ac:dyDescent="0.35">
      <c r="A16" s="1887"/>
      <c r="B16" s="2523" t="s">
        <v>1650</v>
      </c>
      <c r="C16" s="2524"/>
      <c r="D16" s="2524"/>
      <c r="E16" s="2524"/>
      <c r="F16" s="2524"/>
      <c r="G16" s="2525">
        <f t="shared" ref="G16:W16" si="8">SUM(G12:G15)</f>
        <v>0</v>
      </c>
      <c r="H16" s="2526">
        <f t="shared" si="8"/>
        <v>0</v>
      </c>
      <c r="I16" s="2526">
        <f t="shared" si="8"/>
        <v>0</v>
      </c>
      <c r="J16" s="2526">
        <f t="shared" si="8"/>
        <v>0</v>
      </c>
      <c r="K16" s="2526">
        <f t="shared" si="8"/>
        <v>0</v>
      </c>
      <c r="L16" s="2526">
        <f t="shared" si="8"/>
        <v>16667.203805107201</v>
      </c>
      <c r="M16" s="2526">
        <f t="shared" si="8"/>
        <v>38568.729451259293</v>
      </c>
      <c r="N16" s="2526">
        <f t="shared" si="8"/>
        <v>73523.96947665418</v>
      </c>
      <c r="O16" s="2526">
        <f t="shared" si="8"/>
        <v>110318.99500952553</v>
      </c>
      <c r="P16" s="2526">
        <f t="shared" si="8"/>
        <v>137341.05381475933</v>
      </c>
      <c r="Q16" s="2526">
        <f t="shared" si="8"/>
        <v>152865.10012769504</v>
      </c>
      <c r="R16" s="2526">
        <f t="shared" si="8"/>
        <v>165744.56703901547</v>
      </c>
      <c r="S16" s="2526">
        <f t="shared" si="8"/>
        <v>190189.87253450209</v>
      </c>
      <c r="T16" s="2526">
        <f t="shared" si="8"/>
        <v>198826.88370596603</v>
      </c>
      <c r="U16" s="2526">
        <f t="shared" si="8"/>
        <v>239308.03722850067</v>
      </c>
      <c r="V16" s="2526">
        <f t="shared" si="8"/>
        <v>268535.02227712964</v>
      </c>
      <c r="W16" s="2526">
        <f t="shared" si="8"/>
        <v>308703.14307628642</v>
      </c>
      <c r="X16" s="2526">
        <f>SUM(X12:X15)</f>
        <v>252787.09082071079</v>
      </c>
      <c r="Y16" s="2526">
        <f t="shared" ref="Y16:AI16" si="9">SUM(Y12:Y15)</f>
        <v>0</v>
      </c>
      <c r="Z16" s="2526">
        <f t="shared" si="9"/>
        <v>0</v>
      </c>
      <c r="AA16" s="2526">
        <f t="shared" si="9"/>
        <v>0</v>
      </c>
      <c r="AB16" s="2526">
        <f t="shared" si="9"/>
        <v>0</v>
      </c>
      <c r="AC16" s="2526">
        <f t="shared" si="9"/>
        <v>0</v>
      </c>
      <c r="AD16" s="2526">
        <f t="shared" si="9"/>
        <v>0</v>
      </c>
      <c r="AE16" s="2526">
        <f t="shared" si="9"/>
        <v>0</v>
      </c>
      <c r="AF16" s="2526">
        <f t="shared" si="9"/>
        <v>0</v>
      </c>
      <c r="AG16" s="2526">
        <f t="shared" si="9"/>
        <v>0</v>
      </c>
      <c r="AH16" s="2526">
        <f t="shared" si="9"/>
        <v>0</v>
      </c>
      <c r="AI16" s="2526">
        <f t="shared" si="9"/>
        <v>0</v>
      </c>
      <c r="AJ16" s="2527">
        <f>SUMIF($G$115:$AI$115,"1",$G16:$AI16)</f>
        <v>376419.95155730553</v>
      </c>
      <c r="AK16" s="2542"/>
      <c r="AL16" s="2287"/>
      <c r="AM16" s="2527">
        <f>SUMIF($G$115:$AI$115,"1",$G16:$AI16)+SUMIF($G$115:$AI$115,"2",$G16:$AI16)</f>
        <v>1323354.4121929849</v>
      </c>
      <c r="AN16" s="2529"/>
      <c r="AO16" s="1887"/>
      <c r="AP16" s="1887"/>
      <c r="AQ16" s="2525">
        <f t="shared" ref="AQ16:BG16" si="10">SUM(AQ12:AQ15)</f>
        <v>0</v>
      </c>
      <c r="AR16" s="2526">
        <f t="shared" si="10"/>
        <v>0</v>
      </c>
      <c r="AS16" s="2526">
        <f t="shared" si="10"/>
        <v>0</v>
      </c>
      <c r="AT16" s="2526">
        <f t="shared" si="10"/>
        <v>0</v>
      </c>
      <c r="AU16" s="2526">
        <f t="shared" si="10"/>
        <v>0</v>
      </c>
      <c r="AV16" s="2526">
        <f t="shared" si="10"/>
        <v>0</v>
      </c>
      <c r="AW16" s="2526">
        <f t="shared" si="10"/>
        <v>0</v>
      </c>
      <c r="AX16" s="2526">
        <f t="shared" si="10"/>
        <v>0</v>
      </c>
      <c r="AY16" s="2526">
        <f t="shared" si="10"/>
        <v>0</v>
      </c>
      <c r="AZ16" s="2526">
        <f t="shared" si="10"/>
        <v>0</v>
      </c>
      <c r="BA16" s="2526">
        <f t="shared" si="10"/>
        <v>0</v>
      </c>
      <c r="BB16" s="2526">
        <f t="shared" si="10"/>
        <v>0</v>
      </c>
      <c r="BC16" s="2526">
        <f t="shared" si="10"/>
        <v>0</v>
      </c>
      <c r="BD16" s="2526">
        <f t="shared" si="10"/>
        <v>0</v>
      </c>
      <c r="BE16" s="2526">
        <f t="shared" si="10"/>
        <v>0</v>
      </c>
      <c r="BF16" s="2526">
        <f t="shared" si="10"/>
        <v>0</v>
      </c>
      <c r="BG16" s="2526">
        <f t="shared" si="10"/>
        <v>0</v>
      </c>
      <c r="BH16" s="2526">
        <f>SUM(BH12:BH15)</f>
        <v>0</v>
      </c>
      <c r="BI16" s="2526">
        <f t="shared" ref="BI16:BR16" si="11">SUM(BI12:BI15)</f>
        <v>0</v>
      </c>
      <c r="BJ16" s="2526">
        <f t="shared" si="11"/>
        <v>0</v>
      </c>
      <c r="BK16" s="2526">
        <f t="shared" si="11"/>
        <v>0</v>
      </c>
      <c r="BL16" s="2526">
        <f t="shared" si="11"/>
        <v>0</v>
      </c>
      <c r="BM16" s="2526">
        <f t="shared" si="11"/>
        <v>0</v>
      </c>
      <c r="BN16" s="2526">
        <f t="shared" si="11"/>
        <v>0</v>
      </c>
      <c r="BO16" s="2526">
        <f t="shared" si="11"/>
        <v>0</v>
      </c>
      <c r="BP16" s="2526">
        <f t="shared" si="11"/>
        <v>0</v>
      </c>
      <c r="BQ16" s="2526">
        <f t="shared" si="11"/>
        <v>0</v>
      </c>
      <c r="BR16" s="2526">
        <f t="shared" si="11"/>
        <v>0</v>
      </c>
      <c r="BS16" s="2526">
        <f>SUM(BS12:BS15)</f>
        <v>0</v>
      </c>
      <c r="BT16" s="2527">
        <f>SUMIF($AQ$115:$BS$115,"1",$AQ16:$BS16)</f>
        <v>0</v>
      </c>
      <c r="BU16" s="2287"/>
      <c r="BV16" s="2287"/>
      <c r="BW16" s="2527">
        <f>SUMIF($AQ$115:$BS$115,"1",$AQ16:$BS16)+SUMIF($AQ$115:$BS$115,"2",$AQ16:$BS16)</f>
        <v>0</v>
      </c>
      <c r="BX16" s="1887"/>
      <c r="BY16" s="1887"/>
      <c r="BZ16" s="1887"/>
      <c r="CA16" s="2525">
        <f t="shared" si="1"/>
        <v>0</v>
      </c>
      <c r="CB16" s="2526">
        <f t="shared" si="1"/>
        <v>0</v>
      </c>
      <c r="CC16" s="2526">
        <f t="shared" si="1"/>
        <v>0</v>
      </c>
      <c r="CD16" s="2526">
        <f t="shared" si="1"/>
        <v>0</v>
      </c>
      <c r="CE16" s="2526">
        <f t="shared" si="1"/>
        <v>0</v>
      </c>
      <c r="CF16" s="2526">
        <f t="shared" si="1"/>
        <v>16667.203805107201</v>
      </c>
      <c r="CG16" s="2526">
        <f t="shared" si="1"/>
        <v>38568.729451259293</v>
      </c>
      <c r="CH16" s="2526">
        <f t="shared" si="1"/>
        <v>73523.96947665418</v>
      </c>
      <c r="CI16" s="2526">
        <f t="shared" si="1"/>
        <v>110318.99500952553</v>
      </c>
      <c r="CJ16" s="2526">
        <f t="shared" si="1"/>
        <v>137341.05381475933</v>
      </c>
      <c r="CK16" s="2526">
        <f t="shared" si="1"/>
        <v>152865.10012769504</v>
      </c>
      <c r="CL16" s="2526">
        <f t="shared" si="1"/>
        <v>165744.56703901547</v>
      </c>
      <c r="CM16" s="2526">
        <f t="shared" si="1"/>
        <v>190189.87253450209</v>
      </c>
      <c r="CN16" s="2526">
        <f t="shared" si="1"/>
        <v>198826.88370596603</v>
      </c>
      <c r="CO16" s="2526">
        <f t="shared" si="1"/>
        <v>239308.03722850067</v>
      </c>
      <c r="CP16" s="2526">
        <f t="shared" si="1"/>
        <v>268535.02227712964</v>
      </c>
      <c r="CQ16" s="2526">
        <f t="shared" si="2"/>
        <v>308703.14307628642</v>
      </c>
      <c r="CR16" s="2526">
        <f t="shared" si="2"/>
        <v>252787.09082071079</v>
      </c>
      <c r="CS16" s="2526">
        <f t="shared" si="2"/>
        <v>0</v>
      </c>
      <c r="CT16" s="2526">
        <f t="shared" si="2"/>
        <v>0</v>
      </c>
      <c r="CU16" s="2526">
        <f t="shared" si="2"/>
        <v>0</v>
      </c>
      <c r="CV16" s="2526">
        <f t="shared" si="2"/>
        <v>0</v>
      </c>
      <c r="CW16" s="2526">
        <f t="shared" si="2"/>
        <v>0</v>
      </c>
      <c r="CX16" s="2526">
        <f t="shared" si="2"/>
        <v>0</v>
      </c>
      <c r="CY16" s="2526">
        <f t="shared" si="2"/>
        <v>0</v>
      </c>
      <c r="CZ16" s="2526">
        <f t="shared" si="2"/>
        <v>0</v>
      </c>
      <c r="DA16" s="2526">
        <f t="shared" si="2"/>
        <v>0</v>
      </c>
      <c r="DB16" s="2526">
        <f t="shared" si="2"/>
        <v>0</v>
      </c>
      <c r="DC16" s="2526">
        <f t="shared" si="2"/>
        <v>0</v>
      </c>
      <c r="DD16" s="2527">
        <f t="shared" si="2"/>
        <v>376419.95155730553</v>
      </c>
      <c r="DE16" s="1887"/>
      <c r="DF16" s="2527">
        <f t="shared" si="3"/>
        <v>1323354.4121929849</v>
      </c>
      <c r="DG16" s="1887"/>
    </row>
    <row r="17" spans="1:111" s="2206" customFormat="1" ht="12.75" customHeight="1" x14ac:dyDescent="0.3">
      <c r="A17" s="2198"/>
      <c r="B17" s="2543" t="s">
        <v>1651</v>
      </c>
      <c r="C17" s="2544"/>
      <c r="D17" s="2544"/>
      <c r="E17" s="2544"/>
      <c r="F17" s="2545" t="s">
        <v>1449</v>
      </c>
      <c r="G17" s="2546"/>
      <c r="H17" s="2547"/>
      <c r="I17" s="2547"/>
      <c r="J17" s="2547"/>
      <c r="K17" s="2547"/>
      <c r="L17" s="2547"/>
      <c r="M17" s="2547"/>
      <c r="N17" s="2547"/>
      <c r="O17" s="2547"/>
      <c r="P17" s="2547"/>
      <c r="Q17" s="2547"/>
      <c r="R17" s="2547"/>
      <c r="S17" s="2547"/>
      <c r="T17" s="2547"/>
      <c r="U17" s="2547"/>
      <c r="V17" s="2547"/>
      <c r="W17" s="2547"/>
      <c r="X17" s="2547"/>
      <c r="Y17" s="2547"/>
      <c r="Z17" s="2547"/>
      <c r="AA17" s="2547"/>
      <c r="AB17" s="2547"/>
      <c r="AC17" s="2547"/>
      <c r="AD17" s="2547"/>
      <c r="AE17" s="2547"/>
      <c r="AF17" s="2547"/>
      <c r="AG17" s="2547"/>
      <c r="AH17" s="2547"/>
      <c r="AI17" s="2547"/>
      <c r="AJ17" s="2548"/>
      <c r="AK17" s="2549"/>
      <c r="AL17" s="2198"/>
      <c r="AM17" s="2548"/>
      <c r="AN17" s="2550"/>
      <c r="AO17" s="2198"/>
      <c r="AP17" s="2198"/>
      <c r="AQ17" s="2546"/>
      <c r="AR17" s="2547"/>
      <c r="AS17" s="2547"/>
      <c r="AT17" s="2547"/>
      <c r="AU17" s="2547"/>
      <c r="AV17" s="2547"/>
      <c r="AW17" s="2547"/>
      <c r="AX17" s="2547"/>
      <c r="AY17" s="2547"/>
      <c r="AZ17" s="2547"/>
      <c r="BA17" s="2547"/>
      <c r="BB17" s="2547"/>
      <c r="BC17" s="2547"/>
      <c r="BD17" s="2547"/>
      <c r="BE17" s="2547"/>
      <c r="BF17" s="2547"/>
      <c r="BG17" s="2547"/>
      <c r="BH17" s="2547"/>
      <c r="BI17" s="2547"/>
      <c r="BJ17" s="2547"/>
      <c r="BK17" s="2547"/>
      <c r="BL17" s="2547"/>
      <c r="BM17" s="2547"/>
      <c r="BN17" s="2547"/>
      <c r="BO17" s="2547"/>
      <c r="BP17" s="2547"/>
      <c r="BQ17" s="2547"/>
      <c r="BR17" s="2547"/>
      <c r="BS17" s="2547"/>
      <c r="BT17" s="2548"/>
      <c r="BU17" s="2198"/>
      <c r="BV17" s="2198"/>
      <c r="BW17" s="2548"/>
      <c r="BX17" s="2198"/>
      <c r="BY17" s="2198"/>
      <c r="BZ17" s="2198"/>
      <c r="CA17" s="2551">
        <f t="shared" si="1"/>
        <v>0</v>
      </c>
      <c r="CB17" s="2552">
        <f t="shared" si="1"/>
        <v>0</v>
      </c>
      <c r="CC17" s="2552">
        <f t="shared" si="1"/>
        <v>0</v>
      </c>
      <c r="CD17" s="2552">
        <f t="shared" si="1"/>
        <v>0</v>
      </c>
      <c r="CE17" s="2552">
        <f t="shared" si="1"/>
        <v>0</v>
      </c>
      <c r="CF17" s="2552">
        <f t="shared" si="1"/>
        <v>0</v>
      </c>
      <c r="CG17" s="2552">
        <f t="shared" si="1"/>
        <v>0</v>
      </c>
      <c r="CH17" s="2552">
        <f t="shared" si="1"/>
        <v>0</v>
      </c>
      <c r="CI17" s="2552">
        <f t="shared" si="1"/>
        <v>0</v>
      </c>
      <c r="CJ17" s="2552">
        <f t="shared" si="1"/>
        <v>0</v>
      </c>
      <c r="CK17" s="2552">
        <f t="shared" si="1"/>
        <v>0</v>
      </c>
      <c r="CL17" s="2552">
        <f t="shared" si="1"/>
        <v>0</v>
      </c>
      <c r="CM17" s="2552">
        <f t="shared" si="1"/>
        <v>0</v>
      </c>
      <c r="CN17" s="2552">
        <f t="shared" si="1"/>
        <v>0</v>
      </c>
      <c r="CO17" s="2552">
        <f t="shared" si="1"/>
        <v>0</v>
      </c>
      <c r="CP17" s="2552">
        <f t="shared" si="1"/>
        <v>0</v>
      </c>
      <c r="CQ17" s="2552">
        <f t="shared" si="2"/>
        <v>0</v>
      </c>
      <c r="CR17" s="2552">
        <f t="shared" si="2"/>
        <v>0</v>
      </c>
      <c r="CS17" s="2552">
        <f t="shared" si="2"/>
        <v>0</v>
      </c>
      <c r="CT17" s="2552">
        <f t="shared" si="2"/>
        <v>0</v>
      </c>
      <c r="CU17" s="2552">
        <f t="shared" si="2"/>
        <v>0</v>
      </c>
      <c r="CV17" s="2552">
        <f t="shared" si="2"/>
        <v>0</v>
      </c>
      <c r="CW17" s="2552">
        <f t="shared" si="2"/>
        <v>0</v>
      </c>
      <c r="CX17" s="2552">
        <f t="shared" si="2"/>
        <v>0</v>
      </c>
      <c r="CY17" s="2552">
        <f t="shared" si="2"/>
        <v>0</v>
      </c>
      <c r="CZ17" s="2552">
        <f t="shared" si="2"/>
        <v>0</v>
      </c>
      <c r="DA17" s="2552">
        <f t="shared" si="2"/>
        <v>0</v>
      </c>
      <c r="DB17" s="2552">
        <f t="shared" si="2"/>
        <v>0</v>
      </c>
      <c r="DC17" s="2552">
        <f t="shared" si="2"/>
        <v>0</v>
      </c>
      <c r="DD17" s="2548"/>
      <c r="DE17" s="2198"/>
      <c r="DF17" s="2548"/>
      <c r="DG17" s="2198"/>
    </row>
    <row r="18" spans="1:111" s="2206" customFormat="1" ht="12.75" customHeight="1" x14ac:dyDescent="0.3">
      <c r="A18" s="2198"/>
      <c r="B18" s="2553" t="s">
        <v>1652</v>
      </c>
      <c r="C18" s="2554"/>
      <c r="D18" s="2554"/>
      <c r="E18" s="2554"/>
      <c r="F18" s="2555" t="s">
        <v>1653</v>
      </c>
      <c r="G18" s="2556"/>
      <c r="H18" s="2557"/>
      <c r="I18" s="2557"/>
      <c r="J18" s="2557"/>
      <c r="K18" s="2557"/>
      <c r="L18" s="2557"/>
      <c r="M18" s="2557"/>
      <c r="N18" s="2557"/>
      <c r="O18" s="2557"/>
      <c r="P18" s="2557"/>
      <c r="Q18" s="2557"/>
      <c r="R18" s="2557"/>
      <c r="S18" s="2557"/>
      <c r="T18" s="2557"/>
      <c r="U18" s="2557"/>
      <c r="V18" s="2557"/>
      <c r="W18" s="2557"/>
      <c r="X18" s="2557"/>
      <c r="Y18" s="2557"/>
      <c r="Z18" s="2557"/>
      <c r="AA18" s="2557"/>
      <c r="AB18" s="2557"/>
      <c r="AC18" s="2557"/>
      <c r="AD18" s="2557"/>
      <c r="AE18" s="2557"/>
      <c r="AF18" s="2557"/>
      <c r="AG18" s="2557"/>
      <c r="AH18" s="2557"/>
      <c r="AI18" s="2557"/>
      <c r="AJ18" s="2558"/>
      <c r="AK18" s="2549"/>
      <c r="AL18" s="2198"/>
      <c r="AM18" s="2558"/>
      <c r="AN18" s="2550"/>
      <c r="AO18" s="2198"/>
      <c r="AP18" s="2198"/>
      <c r="AQ18" s="2556"/>
      <c r="AR18" s="2557"/>
      <c r="AS18" s="2557"/>
      <c r="AT18" s="2557"/>
      <c r="AU18" s="2557"/>
      <c r="AV18" s="2557"/>
      <c r="AW18" s="2557"/>
      <c r="AX18" s="2557"/>
      <c r="AY18" s="2557"/>
      <c r="AZ18" s="2557"/>
      <c r="BA18" s="2557"/>
      <c r="BB18" s="2557"/>
      <c r="BC18" s="2557"/>
      <c r="BD18" s="2557"/>
      <c r="BE18" s="2557"/>
      <c r="BF18" s="2557"/>
      <c r="BG18" s="2557"/>
      <c r="BH18" s="2557"/>
      <c r="BI18" s="2557"/>
      <c r="BJ18" s="2557"/>
      <c r="BK18" s="2557"/>
      <c r="BL18" s="2557"/>
      <c r="BM18" s="2557"/>
      <c r="BN18" s="2557"/>
      <c r="BO18" s="2557"/>
      <c r="BP18" s="2557"/>
      <c r="BQ18" s="2557"/>
      <c r="BR18" s="2557"/>
      <c r="BS18" s="2557"/>
      <c r="BT18" s="2558"/>
      <c r="BU18" s="2198"/>
      <c r="BV18" s="2198"/>
      <c r="BW18" s="2558"/>
      <c r="BX18" s="2198"/>
      <c r="BY18" s="2198"/>
      <c r="BZ18" s="2198"/>
      <c r="CA18" s="2559">
        <f t="shared" si="1"/>
        <v>0</v>
      </c>
      <c r="CB18" s="2560">
        <f t="shared" si="1"/>
        <v>0</v>
      </c>
      <c r="CC18" s="2560">
        <f t="shared" si="1"/>
        <v>0</v>
      </c>
      <c r="CD18" s="2560">
        <f t="shared" si="1"/>
        <v>0</v>
      </c>
      <c r="CE18" s="2560">
        <f t="shared" si="1"/>
        <v>0</v>
      </c>
      <c r="CF18" s="2560">
        <f t="shared" si="1"/>
        <v>0</v>
      </c>
      <c r="CG18" s="2560">
        <f t="shared" si="1"/>
        <v>0</v>
      </c>
      <c r="CH18" s="2560">
        <f t="shared" si="1"/>
        <v>0</v>
      </c>
      <c r="CI18" s="2560">
        <f t="shared" si="1"/>
        <v>0</v>
      </c>
      <c r="CJ18" s="2560">
        <f t="shared" si="1"/>
        <v>0</v>
      </c>
      <c r="CK18" s="2560">
        <f t="shared" si="1"/>
        <v>0</v>
      </c>
      <c r="CL18" s="2560">
        <f t="shared" si="1"/>
        <v>0</v>
      </c>
      <c r="CM18" s="2560">
        <f t="shared" si="1"/>
        <v>0</v>
      </c>
      <c r="CN18" s="2560">
        <f t="shared" si="1"/>
        <v>0</v>
      </c>
      <c r="CO18" s="2560">
        <f t="shared" si="1"/>
        <v>0</v>
      </c>
      <c r="CP18" s="2560">
        <f t="shared" si="1"/>
        <v>0</v>
      </c>
      <c r="CQ18" s="2560">
        <f t="shared" si="2"/>
        <v>0</v>
      </c>
      <c r="CR18" s="2560">
        <f t="shared" si="2"/>
        <v>0</v>
      </c>
      <c r="CS18" s="2560">
        <f t="shared" si="2"/>
        <v>0</v>
      </c>
      <c r="CT18" s="2560">
        <f t="shared" si="2"/>
        <v>0</v>
      </c>
      <c r="CU18" s="2560">
        <f t="shared" si="2"/>
        <v>0</v>
      </c>
      <c r="CV18" s="2560">
        <f t="shared" si="2"/>
        <v>0</v>
      </c>
      <c r="CW18" s="2560">
        <f t="shared" si="2"/>
        <v>0</v>
      </c>
      <c r="CX18" s="2560">
        <f t="shared" si="2"/>
        <v>0</v>
      </c>
      <c r="CY18" s="2560">
        <f t="shared" si="2"/>
        <v>0</v>
      </c>
      <c r="CZ18" s="2560">
        <f t="shared" si="2"/>
        <v>0</v>
      </c>
      <c r="DA18" s="2560">
        <f t="shared" si="2"/>
        <v>0</v>
      </c>
      <c r="DB18" s="2560">
        <f t="shared" si="2"/>
        <v>0</v>
      </c>
      <c r="DC18" s="2560">
        <f t="shared" si="2"/>
        <v>0</v>
      </c>
      <c r="DD18" s="2558"/>
      <c r="DE18" s="2198"/>
      <c r="DF18" s="2558"/>
      <c r="DG18" s="2198"/>
    </row>
    <row r="19" spans="1:111" s="2530" customFormat="1" ht="18" x14ac:dyDescent="0.35">
      <c r="A19" s="1887"/>
      <c r="B19" s="2523" t="s">
        <v>1654</v>
      </c>
      <c r="C19" s="2524"/>
      <c r="D19" s="2524"/>
      <c r="E19" s="2524"/>
      <c r="F19" s="2524"/>
      <c r="G19" s="2525">
        <f>SUM(G12:G14)</f>
        <v>0</v>
      </c>
      <c r="H19" s="2526">
        <f t="shared" ref="H19:W19" si="12">SUM(H12:H14)</f>
        <v>0</v>
      </c>
      <c r="I19" s="2526">
        <f t="shared" si="12"/>
        <v>0</v>
      </c>
      <c r="J19" s="2526">
        <f t="shared" si="12"/>
        <v>0</v>
      </c>
      <c r="K19" s="2526">
        <f t="shared" si="12"/>
        <v>0</v>
      </c>
      <c r="L19" s="2526">
        <f t="shared" si="12"/>
        <v>16667.203805107201</v>
      </c>
      <c r="M19" s="2526">
        <f t="shared" si="12"/>
        <v>38568.729451259293</v>
      </c>
      <c r="N19" s="2526">
        <f t="shared" si="12"/>
        <v>73523.96947665418</v>
      </c>
      <c r="O19" s="2526">
        <f t="shared" si="12"/>
        <v>110318.99500952553</v>
      </c>
      <c r="P19" s="2526">
        <f t="shared" si="12"/>
        <v>137341.05381475933</v>
      </c>
      <c r="Q19" s="2526">
        <f t="shared" si="12"/>
        <v>152865.10012769504</v>
      </c>
      <c r="R19" s="2526">
        <f t="shared" si="12"/>
        <v>165744.56703901547</v>
      </c>
      <c r="S19" s="2526">
        <f t="shared" si="12"/>
        <v>190189.87253450209</v>
      </c>
      <c r="T19" s="2526">
        <f t="shared" si="12"/>
        <v>198826.88370596603</v>
      </c>
      <c r="U19" s="2526">
        <f t="shared" si="12"/>
        <v>239308.03722850067</v>
      </c>
      <c r="V19" s="2526">
        <f t="shared" si="12"/>
        <v>268535.02227712964</v>
      </c>
      <c r="W19" s="2526">
        <f t="shared" si="12"/>
        <v>308703.14307628642</v>
      </c>
      <c r="X19" s="2526">
        <f>SUM(X12:X14)</f>
        <v>252787.09082071079</v>
      </c>
      <c r="Y19" s="2526">
        <f t="shared" ref="Y19:AI19" si="13">SUM(Y12:Y14)</f>
        <v>0</v>
      </c>
      <c r="Z19" s="2526">
        <f t="shared" si="13"/>
        <v>0</v>
      </c>
      <c r="AA19" s="2526">
        <f t="shared" si="13"/>
        <v>0</v>
      </c>
      <c r="AB19" s="2526">
        <f t="shared" si="13"/>
        <v>0</v>
      </c>
      <c r="AC19" s="2526">
        <f t="shared" si="13"/>
        <v>0</v>
      </c>
      <c r="AD19" s="2526">
        <f t="shared" si="13"/>
        <v>0</v>
      </c>
      <c r="AE19" s="2526">
        <f t="shared" si="13"/>
        <v>0</v>
      </c>
      <c r="AF19" s="2526">
        <f t="shared" si="13"/>
        <v>0</v>
      </c>
      <c r="AG19" s="2526">
        <f t="shared" si="13"/>
        <v>0</v>
      </c>
      <c r="AH19" s="2526">
        <f t="shared" si="13"/>
        <v>0</v>
      </c>
      <c r="AI19" s="2526">
        <f t="shared" si="13"/>
        <v>0</v>
      </c>
      <c r="AJ19" s="2527">
        <f>SUMIF($G$115:$AI$115,"1",$G19:$AI19)</f>
        <v>376419.95155730553</v>
      </c>
      <c r="AK19" s="2542"/>
      <c r="AL19" s="2287"/>
      <c r="AM19" s="2527">
        <f>SUMIF($G$115:$AI$115,"1",$G19:$AI19)+SUMIF($G$115:$AI$115,"2",$G19:$AI19)</f>
        <v>1323354.4121929849</v>
      </c>
      <c r="AN19" s="2529"/>
      <c r="AO19" s="1887"/>
      <c r="AP19" s="1887"/>
      <c r="AQ19" s="2525">
        <f t="shared" ref="AQ19:BG19" si="14">SUM(AQ12:AQ14)</f>
        <v>0</v>
      </c>
      <c r="AR19" s="2526">
        <f t="shared" si="14"/>
        <v>0</v>
      </c>
      <c r="AS19" s="2526">
        <f t="shared" si="14"/>
        <v>0</v>
      </c>
      <c r="AT19" s="2526">
        <f t="shared" si="14"/>
        <v>0</v>
      </c>
      <c r="AU19" s="2526">
        <f t="shared" si="14"/>
        <v>0</v>
      </c>
      <c r="AV19" s="2526">
        <f t="shared" si="14"/>
        <v>0</v>
      </c>
      <c r="AW19" s="2526">
        <f t="shared" si="14"/>
        <v>0</v>
      </c>
      <c r="AX19" s="2526">
        <f t="shared" si="14"/>
        <v>0</v>
      </c>
      <c r="AY19" s="2526">
        <f t="shared" si="14"/>
        <v>0</v>
      </c>
      <c r="AZ19" s="2526">
        <f t="shared" si="14"/>
        <v>0</v>
      </c>
      <c r="BA19" s="2526">
        <f t="shared" si="14"/>
        <v>0</v>
      </c>
      <c r="BB19" s="2526">
        <f t="shared" si="14"/>
        <v>0</v>
      </c>
      <c r="BC19" s="2526">
        <f t="shared" si="14"/>
        <v>0</v>
      </c>
      <c r="BD19" s="2526">
        <f t="shared" si="14"/>
        <v>0</v>
      </c>
      <c r="BE19" s="2526">
        <f t="shared" si="14"/>
        <v>0</v>
      </c>
      <c r="BF19" s="2526">
        <f t="shared" si="14"/>
        <v>0</v>
      </c>
      <c r="BG19" s="2526">
        <f t="shared" si="14"/>
        <v>0</v>
      </c>
      <c r="BH19" s="2526">
        <f>SUM(BH12:BH14)</f>
        <v>0</v>
      </c>
      <c r="BI19" s="2526">
        <f t="shared" ref="BI19:BR19" si="15">SUM(BI12:BI14)</f>
        <v>0</v>
      </c>
      <c r="BJ19" s="2526">
        <f t="shared" si="15"/>
        <v>0</v>
      </c>
      <c r="BK19" s="2526">
        <f t="shared" si="15"/>
        <v>0</v>
      </c>
      <c r="BL19" s="2526">
        <f t="shared" si="15"/>
        <v>0</v>
      </c>
      <c r="BM19" s="2526">
        <f t="shared" si="15"/>
        <v>0</v>
      </c>
      <c r="BN19" s="2526">
        <f t="shared" si="15"/>
        <v>0</v>
      </c>
      <c r="BO19" s="2526">
        <f t="shared" si="15"/>
        <v>0</v>
      </c>
      <c r="BP19" s="2526">
        <f t="shared" si="15"/>
        <v>0</v>
      </c>
      <c r="BQ19" s="2526">
        <f t="shared" si="15"/>
        <v>0</v>
      </c>
      <c r="BR19" s="2526">
        <f t="shared" si="15"/>
        <v>0</v>
      </c>
      <c r="BS19" s="2526">
        <f>SUM(BS12:BS14)</f>
        <v>0</v>
      </c>
      <c r="BT19" s="2527">
        <f>SUMIF($AQ$115:$BS$115,"1",$AQ19:$BS19)</f>
        <v>0</v>
      </c>
      <c r="BU19" s="2287"/>
      <c r="BV19" s="2287"/>
      <c r="BW19" s="2527">
        <f>SUMIF($AQ$115:$BS$115,"1",$AQ19:$BS19)+SUMIF($AQ$115:$BS$115,"2",$AQ19:$BS19)</f>
        <v>0</v>
      </c>
      <c r="BX19" s="1887"/>
      <c r="BY19" s="1887"/>
      <c r="BZ19" s="1887"/>
      <c r="CA19" s="2525">
        <f t="shared" si="1"/>
        <v>0</v>
      </c>
      <c r="CB19" s="2526">
        <f t="shared" si="1"/>
        <v>0</v>
      </c>
      <c r="CC19" s="2526">
        <f t="shared" si="1"/>
        <v>0</v>
      </c>
      <c r="CD19" s="2526">
        <f t="shared" si="1"/>
        <v>0</v>
      </c>
      <c r="CE19" s="2526">
        <f t="shared" si="1"/>
        <v>0</v>
      </c>
      <c r="CF19" s="2526">
        <f t="shared" si="1"/>
        <v>16667.203805107201</v>
      </c>
      <c r="CG19" s="2526">
        <f t="shared" si="1"/>
        <v>38568.729451259293</v>
      </c>
      <c r="CH19" s="2526">
        <f t="shared" si="1"/>
        <v>73523.96947665418</v>
      </c>
      <c r="CI19" s="2526">
        <f t="shared" si="1"/>
        <v>110318.99500952553</v>
      </c>
      <c r="CJ19" s="2526">
        <f t="shared" si="1"/>
        <v>137341.05381475933</v>
      </c>
      <c r="CK19" s="2526">
        <f t="shared" si="1"/>
        <v>152865.10012769504</v>
      </c>
      <c r="CL19" s="2526">
        <f t="shared" si="1"/>
        <v>165744.56703901547</v>
      </c>
      <c r="CM19" s="2526">
        <f t="shared" si="1"/>
        <v>190189.87253450209</v>
      </c>
      <c r="CN19" s="2526">
        <f t="shared" si="1"/>
        <v>198826.88370596603</v>
      </c>
      <c r="CO19" s="2526">
        <f t="shared" si="1"/>
        <v>239308.03722850067</v>
      </c>
      <c r="CP19" s="2526">
        <f t="shared" si="1"/>
        <v>268535.02227712964</v>
      </c>
      <c r="CQ19" s="2526">
        <f t="shared" si="2"/>
        <v>308703.14307628642</v>
      </c>
      <c r="CR19" s="2526">
        <f t="shared" si="2"/>
        <v>252787.09082071079</v>
      </c>
      <c r="CS19" s="2526">
        <f t="shared" si="2"/>
        <v>0</v>
      </c>
      <c r="CT19" s="2526">
        <f t="shared" si="2"/>
        <v>0</v>
      </c>
      <c r="CU19" s="2526">
        <f t="shared" si="2"/>
        <v>0</v>
      </c>
      <c r="CV19" s="2526">
        <f t="shared" si="2"/>
        <v>0</v>
      </c>
      <c r="CW19" s="2526">
        <f t="shared" si="2"/>
        <v>0</v>
      </c>
      <c r="CX19" s="2526">
        <f t="shared" si="2"/>
        <v>0</v>
      </c>
      <c r="CY19" s="2526">
        <f t="shared" si="2"/>
        <v>0</v>
      </c>
      <c r="CZ19" s="2526">
        <f t="shared" si="2"/>
        <v>0</v>
      </c>
      <c r="DA19" s="2526">
        <f t="shared" si="2"/>
        <v>0</v>
      </c>
      <c r="DB19" s="2526">
        <f t="shared" si="2"/>
        <v>0</v>
      </c>
      <c r="DC19" s="2526">
        <f t="shared" si="2"/>
        <v>0</v>
      </c>
      <c r="DD19" s="2527">
        <f>AJ19-BT19</f>
        <v>376419.95155730553</v>
      </c>
      <c r="DE19" s="1887"/>
      <c r="DF19" s="2527">
        <f>AM19-BW19</f>
        <v>1323354.4121929849</v>
      </c>
      <c r="DG19" s="1887"/>
    </row>
    <row r="20" spans="1:111" s="2530" customFormat="1" ht="18" x14ac:dyDescent="0.35">
      <c r="A20" s="1887"/>
      <c r="B20" s="2561" t="s">
        <v>1655</v>
      </c>
      <c r="C20" s="2562"/>
      <c r="D20" s="2562"/>
      <c r="E20" s="2562"/>
      <c r="F20" s="2562"/>
      <c r="G20" s="2563">
        <v>0</v>
      </c>
      <c r="H20" s="2564">
        <v>0</v>
      </c>
      <c r="I20" s="2564">
        <v>0</v>
      </c>
      <c r="J20" s="2564">
        <v>0</v>
      </c>
      <c r="K20" s="2564">
        <v>0</v>
      </c>
      <c r="L20" s="2564">
        <v>0</v>
      </c>
      <c r="M20" s="2564">
        <v>0</v>
      </c>
      <c r="N20" s="2564">
        <v>0</v>
      </c>
      <c r="O20" s="2564">
        <v>0</v>
      </c>
      <c r="P20" s="2564">
        <v>0</v>
      </c>
      <c r="Q20" s="2564">
        <v>0</v>
      </c>
      <c r="R20" s="2564">
        <v>0</v>
      </c>
      <c r="S20" s="2564">
        <v>0</v>
      </c>
      <c r="T20" s="2564">
        <v>0</v>
      </c>
      <c r="U20" s="2564">
        <v>0</v>
      </c>
      <c r="V20" s="2564">
        <v>0</v>
      </c>
      <c r="W20" s="2564">
        <v>0</v>
      </c>
      <c r="X20" s="2564">
        <v>0</v>
      </c>
      <c r="Y20" s="2564">
        <v>0</v>
      </c>
      <c r="Z20" s="2564">
        <v>0</v>
      </c>
      <c r="AA20" s="2564">
        <v>0</v>
      </c>
      <c r="AB20" s="2564">
        <v>0</v>
      </c>
      <c r="AC20" s="2564">
        <v>0</v>
      </c>
      <c r="AD20" s="2564">
        <v>0</v>
      </c>
      <c r="AE20" s="2564">
        <v>0</v>
      </c>
      <c r="AF20" s="2564">
        <v>0</v>
      </c>
      <c r="AG20" s="2564">
        <v>0</v>
      </c>
      <c r="AH20" s="2564">
        <v>0</v>
      </c>
      <c r="AI20" s="2564">
        <v>0</v>
      </c>
      <c r="AJ20" s="2565"/>
      <c r="AK20" s="2542"/>
      <c r="AL20" s="2287"/>
      <c r="AM20" s="2565"/>
      <c r="AN20" s="2566"/>
      <c r="AO20" s="1887"/>
      <c r="AP20" s="1887"/>
      <c r="AQ20" s="2563">
        <v>0</v>
      </c>
      <c r="AR20" s="2564">
        <v>0</v>
      </c>
      <c r="AS20" s="2564">
        <v>0</v>
      </c>
      <c r="AT20" s="2564">
        <v>0</v>
      </c>
      <c r="AU20" s="2564">
        <v>0</v>
      </c>
      <c r="AV20" s="2564">
        <v>0</v>
      </c>
      <c r="AW20" s="2564">
        <v>0</v>
      </c>
      <c r="AX20" s="2564">
        <v>0</v>
      </c>
      <c r="AY20" s="2564">
        <v>0</v>
      </c>
      <c r="AZ20" s="2564">
        <v>0</v>
      </c>
      <c r="BA20" s="2564">
        <v>0</v>
      </c>
      <c r="BB20" s="2564">
        <v>0</v>
      </c>
      <c r="BC20" s="2564">
        <v>0</v>
      </c>
      <c r="BD20" s="2564">
        <v>0</v>
      </c>
      <c r="BE20" s="2564">
        <v>0</v>
      </c>
      <c r="BF20" s="2564">
        <v>0</v>
      </c>
      <c r="BG20" s="2564">
        <v>0</v>
      </c>
      <c r="BH20" s="2564">
        <v>0</v>
      </c>
      <c r="BI20" s="2564">
        <v>0</v>
      </c>
      <c r="BJ20" s="2564">
        <v>0</v>
      </c>
      <c r="BK20" s="2564">
        <v>0</v>
      </c>
      <c r="BL20" s="2564">
        <v>0</v>
      </c>
      <c r="BM20" s="2564">
        <v>0</v>
      </c>
      <c r="BN20" s="2564">
        <v>0</v>
      </c>
      <c r="BO20" s="2564">
        <v>0</v>
      </c>
      <c r="BP20" s="2564">
        <v>0</v>
      </c>
      <c r="BQ20" s="2564">
        <v>0</v>
      </c>
      <c r="BR20" s="2564">
        <v>0</v>
      </c>
      <c r="BS20" s="2564">
        <v>0</v>
      </c>
      <c r="BT20" s="2565"/>
      <c r="BU20" s="2287"/>
      <c r="BV20" s="2287"/>
      <c r="BW20" s="2565"/>
      <c r="BX20" s="1887"/>
      <c r="BY20" s="1887"/>
      <c r="BZ20" s="1887"/>
      <c r="CA20" s="2567">
        <f t="shared" si="1"/>
        <v>0</v>
      </c>
      <c r="CB20" s="2568">
        <f t="shared" si="1"/>
        <v>0</v>
      </c>
      <c r="CC20" s="2568">
        <f t="shared" si="1"/>
        <v>0</v>
      </c>
      <c r="CD20" s="2568">
        <f t="shared" si="1"/>
        <v>0</v>
      </c>
      <c r="CE20" s="2568">
        <f t="shared" si="1"/>
        <v>0</v>
      </c>
      <c r="CF20" s="2568">
        <f t="shared" si="1"/>
        <v>0</v>
      </c>
      <c r="CG20" s="2568">
        <f t="shared" si="1"/>
        <v>0</v>
      </c>
      <c r="CH20" s="2568">
        <f t="shared" si="1"/>
        <v>0</v>
      </c>
      <c r="CI20" s="2568">
        <f t="shared" si="1"/>
        <v>0</v>
      </c>
      <c r="CJ20" s="2568">
        <f t="shared" si="1"/>
        <v>0</v>
      </c>
      <c r="CK20" s="2568">
        <f t="shared" si="1"/>
        <v>0</v>
      </c>
      <c r="CL20" s="2568">
        <f t="shared" si="1"/>
        <v>0</v>
      </c>
      <c r="CM20" s="2568">
        <f t="shared" si="1"/>
        <v>0</v>
      </c>
      <c r="CN20" s="2568">
        <f t="shared" si="1"/>
        <v>0</v>
      </c>
      <c r="CO20" s="2568">
        <f t="shared" si="1"/>
        <v>0</v>
      </c>
      <c r="CP20" s="2568">
        <f t="shared" si="1"/>
        <v>0</v>
      </c>
      <c r="CQ20" s="2568">
        <f t="shared" si="2"/>
        <v>0</v>
      </c>
      <c r="CR20" s="2568">
        <f t="shared" si="2"/>
        <v>0</v>
      </c>
      <c r="CS20" s="2568">
        <f t="shared" si="2"/>
        <v>0</v>
      </c>
      <c r="CT20" s="2568">
        <f t="shared" si="2"/>
        <v>0</v>
      </c>
      <c r="CU20" s="2568">
        <f t="shared" si="2"/>
        <v>0</v>
      </c>
      <c r="CV20" s="2568">
        <f t="shared" si="2"/>
        <v>0</v>
      </c>
      <c r="CW20" s="2568">
        <f t="shared" si="2"/>
        <v>0</v>
      </c>
      <c r="CX20" s="2568">
        <f t="shared" si="2"/>
        <v>0</v>
      </c>
      <c r="CY20" s="2568">
        <f t="shared" si="2"/>
        <v>0</v>
      </c>
      <c r="CZ20" s="2568">
        <f t="shared" si="2"/>
        <v>0</v>
      </c>
      <c r="DA20" s="2568">
        <f t="shared" si="2"/>
        <v>0</v>
      </c>
      <c r="DB20" s="2568">
        <f t="shared" si="2"/>
        <v>0</v>
      </c>
      <c r="DC20" s="2568">
        <f t="shared" si="2"/>
        <v>0</v>
      </c>
      <c r="DD20" s="2565"/>
      <c r="DE20" s="1887"/>
      <c r="DF20" s="2565"/>
      <c r="DG20" s="1887"/>
    </row>
    <row r="21" spans="1:111" s="2530" customFormat="1" ht="18" x14ac:dyDescent="0.35">
      <c r="A21" s="1887"/>
      <c r="B21" s="2569" t="s">
        <v>1656</v>
      </c>
      <c r="C21" s="2570"/>
      <c r="D21" s="2570"/>
      <c r="E21" s="2570"/>
      <c r="F21" s="2570"/>
      <c r="G21" s="2571">
        <f>IF(G20=0,0,G12-G20)</f>
        <v>0</v>
      </c>
      <c r="H21" s="2572">
        <f t="shared" ref="H21:W21" si="16">IF(H20=0,0,H12-H20)</f>
        <v>0</v>
      </c>
      <c r="I21" s="2572">
        <f t="shared" si="16"/>
        <v>0</v>
      </c>
      <c r="J21" s="2572">
        <f t="shared" si="16"/>
        <v>0</v>
      </c>
      <c r="K21" s="2572">
        <f t="shared" si="16"/>
        <v>0</v>
      </c>
      <c r="L21" s="2572">
        <f t="shared" si="16"/>
        <v>0</v>
      </c>
      <c r="M21" s="2572">
        <f t="shared" si="16"/>
        <v>0</v>
      </c>
      <c r="N21" s="2572">
        <f t="shared" si="16"/>
        <v>0</v>
      </c>
      <c r="O21" s="2572">
        <f t="shared" si="16"/>
        <v>0</v>
      </c>
      <c r="P21" s="2572">
        <f t="shared" si="16"/>
        <v>0</v>
      </c>
      <c r="Q21" s="2572">
        <f t="shared" si="16"/>
        <v>0</v>
      </c>
      <c r="R21" s="2572">
        <f t="shared" si="16"/>
        <v>0</v>
      </c>
      <c r="S21" s="2572">
        <f t="shared" si="16"/>
        <v>0</v>
      </c>
      <c r="T21" s="2572">
        <f t="shared" si="16"/>
        <v>0</v>
      </c>
      <c r="U21" s="2572">
        <f t="shared" si="16"/>
        <v>0</v>
      </c>
      <c r="V21" s="2572">
        <f t="shared" si="16"/>
        <v>0</v>
      </c>
      <c r="W21" s="2572">
        <f t="shared" si="16"/>
        <v>0</v>
      </c>
      <c r="X21" s="2572">
        <f>IF(X20=0,0,X12-X20)</f>
        <v>0</v>
      </c>
      <c r="Y21" s="2572">
        <f t="shared" ref="Y21:AI21" si="17">IF(Y20=0,0,Y12-Y20)</f>
        <v>0</v>
      </c>
      <c r="Z21" s="2572">
        <f t="shared" si="17"/>
        <v>0</v>
      </c>
      <c r="AA21" s="2572">
        <f t="shared" si="17"/>
        <v>0</v>
      </c>
      <c r="AB21" s="2572">
        <f t="shared" si="17"/>
        <v>0</v>
      </c>
      <c r="AC21" s="2572">
        <f t="shared" si="17"/>
        <v>0</v>
      </c>
      <c r="AD21" s="2572">
        <f t="shared" si="17"/>
        <v>0</v>
      </c>
      <c r="AE21" s="2572">
        <f t="shared" si="17"/>
        <v>0</v>
      </c>
      <c r="AF21" s="2572">
        <f t="shared" si="17"/>
        <v>0</v>
      </c>
      <c r="AG21" s="2572">
        <f t="shared" si="17"/>
        <v>0</v>
      </c>
      <c r="AH21" s="2572">
        <f t="shared" si="17"/>
        <v>0</v>
      </c>
      <c r="AI21" s="2572">
        <f t="shared" si="17"/>
        <v>0</v>
      </c>
      <c r="AJ21" s="2573">
        <f>SUMIF($G$115:$AI$115,"1",$G21:$AI21)</f>
        <v>0</v>
      </c>
      <c r="AK21" s="2542"/>
      <c r="AL21" s="2287"/>
      <c r="AM21" s="2573">
        <f>SUMIF($G$115:$AI$115,"1",$G21:$AI21)+SUMIF($G$115:$AI$115,"2",$G21:$AI21)</f>
        <v>0</v>
      </c>
      <c r="AN21" s="2529"/>
      <c r="AO21" s="1887"/>
      <c r="AP21" s="1887"/>
      <c r="AQ21" s="2571">
        <f t="shared" ref="AQ21:BG21" si="18">IF(AQ20=0,0,AQ12-AQ20)</f>
        <v>0</v>
      </c>
      <c r="AR21" s="2572">
        <f t="shared" si="18"/>
        <v>0</v>
      </c>
      <c r="AS21" s="2572">
        <f t="shared" si="18"/>
        <v>0</v>
      </c>
      <c r="AT21" s="2572">
        <f t="shared" si="18"/>
        <v>0</v>
      </c>
      <c r="AU21" s="2572">
        <f t="shared" si="18"/>
        <v>0</v>
      </c>
      <c r="AV21" s="2572">
        <f t="shared" si="18"/>
        <v>0</v>
      </c>
      <c r="AW21" s="2572">
        <f t="shared" si="18"/>
        <v>0</v>
      </c>
      <c r="AX21" s="2572">
        <f t="shared" si="18"/>
        <v>0</v>
      </c>
      <c r="AY21" s="2572">
        <f t="shared" si="18"/>
        <v>0</v>
      </c>
      <c r="AZ21" s="2572">
        <f t="shared" si="18"/>
        <v>0</v>
      </c>
      <c r="BA21" s="2572">
        <f t="shared" si="18"/>
        <v>0</v>
      </c>
      <c r="BB21" s="2572">
        <f t="shared" si="18"/>
        <v>0</v>
      </c>
      <c r="BC21" s="2572">
        <f t="shared" si="18"/>
        <v>0</v>
      </c>
      <c r="BD21" s="2572">
        <f t="shared" si="18"/>
        <v>0</v>
      </c>
      <c r="BE21" s="2572">
        <f t="shared" si="18"/>
        <v>0</v>
      </c>
      <c r="BF21" s="2572">
        <f t="shared" si="18"/>
        <v>0</v>
      </c>
      <c r="BG21" s="2572">
        <f t="shared" si="18"/>
        <v>0</v>
      </c>
      <c r="BH21" s="2572">
        <f>IF(BH20=0,0,BH12-BH20)</f>
        <v>0</v>
      </c>
      <c r="BI21" s="2572">
        <f t="shared" ref="BI21:BR21" si="19">IF(BI20=0,0,BI12-BI20)</f>
        <v>0</v>
      </c>
      <c r="BJ21" s="2572">
        <f t="shared" si="19"/>
        <v>0</v>
      </c>
      <c r="BK21" s="2572">
        <f t="shared" si="19"/>
        <v>0</v>
      </c>
      <c r="BL21" s="2572">
        <f t="shared" si="19"/>
        <v>0</v>
      </c>
      <c r="BM21" s="2572">
        <f t="shared" si="19"/>
        <v>0</v>
      </c>
      <c r="BN21" s="2572">
        <f t="shared" si="19"/>
        <v>0</v>
      </c>
      <c r="BO21" s="2572">
        <f t="shared" si="19"/>
        <v>0</v>
      </c>
      <c r="BP21" s="2572">
        <f t="shared" si="19"/>
        <v>0</v>
      </c>
      <c r="BQ21" s="2572">
        <f t="shared" si="19"/>
        <v>0</v>
      </c>
      <c r="BR21" s="2572">
        <f t="shared" si="19"/>
        <v>0</v>
      </c>
      <c r="BS21" s="2572">
        <f>IF(BS20=0,0,BS12-BS20)</f>
        <v>0</v>
      </c>
      <c r="BT21" s="2574"/>
      <c r="BU21" s="2287"/>
      <c r="BV21" s="2287"/>
      <c r="BW21" s="2574"/>
      <c r="BX21" s="1887"/>
      <c r="BY21" s="1887"/>
      <c r="BZ21" s="1887"/>
      <c r="CA21" s="2571">
        <f t="shared" si="1"/>
        <v>0</v>
      </c>
      <c r="CB21" s="2572">
        <f t="shared" si="1"/>
        <v>0</v>
      </c>
      <c r="CC21" s="2572">
        <f t="shared" si="1"/>
        <v>0</v>
      </c>
      <c r="CD21" s="2572">
        <f t="shared" si="1"/>
        <v>0</v>
      </c>
      <c r="CE21" s="2572">
        <f t="shared" si="1"/>
        <v>0</v>
      </c>
      <c r="CF21" s="2572">
        <f t="shared" si="1"/>
        <v>0</v>
      </c>
      <c r="CG21" s="2572">
        <f t="shared" si="1"/>
        <v>0</v>
      </c>
      <c r="CH21" s="2572">
        <f t="shared" si="1"/>
        <v>0</v>
      </c>
      <c r="CI21" s="2572">
        <f t="shared" si="1"/>
        <v>0</v>
      </c>
      <c r="CJ21" s="2572">
        <f t="shared" si="1"/>
        <v>0</v>
      </c>
      <c r="CK21" s="2572">
        <f t="shared" si="1"/>
        <v>0</v>
      </c>
      <c r="CL21" s="2572">
        <f t="shared" si="1"/>
        <v>0</v>
      </c>
      <c r="CM21" s="2572">
        <f t="shared" si="1"/>
        <v>0</v>
      </c>
      <c r="CN21" s="2572">
        <f t="shared" si="1"/>
        <v>0</v>
      </c>
      <c r="CO21" s="2572">
        <f t="shared" si="1"/>
        <v>0</v>
      </c>
      <c r="CP21" s="2572">
        <f t="shared" si="1"/>
        <v>0</v>
      </c>
      <c r="CQ21" s="2572">
        <f t="shared" si="2"/>
        <v>0</v>
      </c>
      <c r="CR21" s="2572">
        <f t="shared" si="2"/>
        <v>0</v>
      </c>
      <c r="CS21" s="2572">
        <f t="shared" si="2"/>
        <v>0</v>
      </c>
      <c r="CT21" s="2572">
        <f t="shared" si="2"/>
        <v>0</v>
      </c>
      <c r="CU21" s="2572">
        <f t="shared" si="2"/>
        <v>0</v>
      </c>
      <c r="CV21" s="2572">
        <f t="shared" si="2"/>
        <v>0</v>
      </c>
      <c r="CW21" s="2572">
        <f t="shared" si="2"/>
        <v>0</v>
      </c>
      <c r="CX21" s="2572">
        <f t="shared" si="2"/>
        <v>0</v>
      </c>
      <c r="CY21" s="2572">
        <f t="shared" si="2"/>
        <v>0</v>
      </c>
      <c r="CZ21" s="2572">
        <f t="shared" si="2"/>
        <v>0</v>
      </c>
      <c r="DA21" s="2572">
        <f t="shared" si="2"/>
        <v>0</v>
      </c>
      <c r="DB21" s="2572">
        <f t="shared" si="2"/>
        <v>0</v>
      </c>
      <c r="DC21" s="2572">
        <f t="shared" si="2"/>
        <v>0</v>
      </c>
      <c r="DD21" s="2574"/>
      <c r="DE21" s="1887"/>
      <c r="DF21" s="2574"/>
      <c r="DG21" s="1887"/>
    </row>
    <row r="22" spans="1:111" s="2196" customFormat="1" ht="15.6" x14ac:dyDescent="0.3">
      <c r="A22" s="2189"/>
      <c r="B22" s="2575" t="s">
        <v>1582</v>
      </c>
      <c r="C22" s="1344"/>
      <c r="D22" s="1344"/>
      <c r="E22" s="1344"/>
      <c r="F22" s="2576"/>
      <c r="G22" s="2577">
        <f>IF(Assumptions!K59=0,0,('COGS Worksheet'!N41+'COGS Worksheet'!N42)/Assumptions!K59*1000)</f>
        <v>0</v>
      </c>
      <c r="H22" s="2578">
        <f>IF(Assumptions!L59=0,0,('COGS Worksheet'!O41+'COGS Worksheet'!O42)/Assumptions!L59*1000)</f>
        <v>0</v>
      </c>
      <c r="I22" s="2578">
        <f>IF(Assumptions!M59=0,0,('COGS Worksheet'!P41+'COGS Worksheet'!P42)/Assumptions!M59*1000)</f>
        <v>0</v>
      </c>
      <c r="J22" s="2578">
        <f>IF(Assumptions!N59=0,0,('COGS Worksheet'!Q41+'COGS Worksheet'!Q42)/Assumptions!N59*1000)</f>
        <v>0</v>
      </c>
      <c r="K22" s="2578">
        <f>IF(Assumptions!O59=0,0,('COGS Worksheet'!R41+'COGS Worksheet'!R42)/Assumptions!O59*1000)</f>
        <v>0</v>
      </c>
      <c r="L22" s="2578">
        <f>IF(Assumptions!P59=0,0,('COGS Worksheet'!S41+'COGS Worksheet'!S42)/Assumptions!P59*1000)</f>
        <v>22.708333333333329</v>
      </c>
      <c r="M22" s="2578">
        <f>IF(Assumptions!Q59=0,0,('COGS Worksheet'!T41+'COGS Worksheet'!T42)/Assumptions!Q59*1000)</f>
        <v>22.377320765495572</v>
      </c>
      <c r="N22" s="2578">
        <f>IF(Assumptions!R59=0,0,('COGS Worksheet'!U41+'COGS Worksheet'!U42)/Assumptions!R59*1000)</f>
        <v>22.344569288389515</v>
      </c>
      <c r="O22" s="2578">
        <f>IF(Assumptions!S59=0,0,('COGS Worksheet'!V41+'COGS Worksheet'!V42)/Assumptions!S59*1000)</f>
        <v>22.313131313131311</v>
      </c>
      <c r="P22" s="2578">
        <f>IF(Assumptions!T59=0,0,('COGS Worksheet'!W41+'COGS Worksheet'!W42)/Assumptions!T59*1000)</f>
        <v>20.755861365953109</v>
      </c>
      <c r="Q22" s="2578">
        <f>IF(Assumptions!U59=0,0,('COGS Worksheet'!X41+'COGS Worksheet'!X42)/Assumptions!U59*1000)</f>
        <v>20.720992209922098</v>
      </c>
      <c r="R22" s="2578">
        <f>IF(Assumptions!V59=0,0,('COGS Worksheet'!Y41+'COGS Worksheet'!Y42)/Assumptions!V59*1000)</f>
        <v>20.366897200851206</v>
      </c>
      <c r="S22" s="2578">
        <f>IF(Assumptions!W59=0,0,('COGS Worksheet'!Z41+'COGS Worksheet'!Z42)/Assumptions!W59*1000)</f>
        <v>19.043869926186517</v>
      </c>
      <c r="T22" s="2578">
        <f>IF(Assumptions!X59=0,0,('COGS Worksheet'!AA41+'COGS Worksheet'!AA42)/Assumptions!X59*1000)</f>
        <v>18.741676429877195</v>
      </c>
      <c r="U22" s="2578">
        <f>IF(Assumptions!Y59=0,0,('COGS Worksheet'!AB41+'COGS Worksheet'!AB42)/Assumptions!Y59*1000)</f>
        <v>17.741676429877195</v>
      </c>
      <c r="V22" s="2578">
        <f>IF(Assumptions!Z59=0,0,('COGS Worksheet'!AC41+'COGS Worksheet'!AC42)/Assumptions!Z59*1000)</f>
        <v>17.443532854898894</v>
      </c>
      <c r="W22" s="2578">
        <f>IF(Assumptions!AA59=0,0,('COGS Worksheet'!AD41+'COGS Worksheet'!AD42)/Assumptions!AA59*1000)</f>
        <v>17.423224728657999</v>
      </c>
      <c r="X22" s="2578">
        <f>IF(Assumptions!AD59=0,0,('COGS Worksheet'!AH41+'COGS Worksheet'!AH42)/Assumptions!AD59*1000)</f>
        <v>0</v>
      </c>
      <c r="Y22" s="2578">
        <f>IF(Assumptions!AE59=0,0,('COGS Worksheet'!AI41+'COGS Worksheet'!AI42)/Assumptions!AE59*1000)</f>
        <v>0</v>
      </c>
      <c r="Z22" s="2578">
        <f>IF(Assumptions!AF59=0,0,('COGS Worksheet'!AJ41+'COGS Worksheet'!AJ42)/Assumptions!AF59*1000)</f>
        <v>0</v>
      </c>
      <c r="AA22" s="2578">
        <f>IF(Assumptions!AG59=0,0,('COGS Worksheet'!AK41+'COGS Worksheet'!AK42)/Assumptions!AG59*1000)</f>
        <v>0</v>
      </c>
      <c r="AB22" s="2578">
        <f>IF(Assumptions!AH59=0,0,('COGS Worksheet'!AL41+'COGS Worksheet'!AL42)/Assumptions!AH59*1000)</f>
        <v>0</v>
      </c>
      <c r="AC22" s="2578">
        <f>IF(Assumptions!AI59=0,0,('COGS Worksheet'!AM41+'COGS Worksheet'!AM42)/Assumptions!AI59*1000)</f>
        <v>0</v>
      </c>
      <c r="AD22" s="2578">
        <f>IF(Assumptions!AJ59=0,0,('COGS Worksheet'!AN41+'COGS Worksheet'!AN42)/Assumptions!AJ59*1000)</f>
        <v>0</v>
      </c>
      <c r="AE22" s="2578">
        <f>IF(Assumptions!AK59=0,0,('COGS Worksheet'!AO41+'COGS Worksheet'!AO42)/Assumptions!AK59*1000)</f>
        <v>0</v>
      </c>
      <c r="AF22" s="2578">
        <f>IF(Assumptions!AL59=0,0,('COGS Worksheet'!AP41+'COGS Worksheet'!AP42)/Assumptions!AL59*1000)</f>
        <v>0</v>
      </c>
      <c r="AG22" s="2578">
        <f>IF(Assumptions!AM59=0,0,('COGS Worksheet'!AQ41+'COGS Worksheet'!AQ42)/Assumptions!AM59*1000)</f>
        <v>0</v>
      </c>
      <c r="AH22" s="2578">
        <f>IF(Assumptions!AN59=0,0,('COGS Worksheet'!AR41+'COGS Worksheet'!AR42)/Assumptions!AN59*1000)</f>
        <v>0</v>
      </c>
      <c r="AI22" s="2578">
        <f>IF(Assumptions!AO59=0,0,('COGS Worksheet'!AS41+'COGS Worksheet'!AS42)/Assumptions!AO59*1000)</f>
        <v>0</v>
      </c>
      <c r="AJ22" s="2579"/>
      <c r="AK22" s="2580"/>
      <c r="AL22" s="2198"/>
      <c r="AM22" s="2579"/>
      <c r="AN22" s="2581"/>
      <c r="AO22" s="2189"/>
      <c r="AP22" s="2189"/>
      <c r="AQ22" s="2577"/>
      <c r="AR22" s="2578"/>
      <c r="AS22" s="2578"/>
      <c r="AT22" s="2578"/>
      <c r="AU22" s="2578"/>
      <c r="AV22" s="2578"/>
      <c r="AW22" s="2578"/>
      <c r="AX22" s="2578"/>
      <c r="AY22" s="2578"/>
      <c r="AZ22" s="2578"/>
      <c r="BA22" s="2578"/>
      <c r="BB22" s="2578"/>
      <c r="BC22" s="2578"/>
      <c r="BD22" s="2578"/>
      <c r="BE22" s="2578"/>
      <c r="BF22" s="2578"/>
      <c r="BG22" s="2578"/>
      <c r="BH22" s="2578"/>
      <c r="BI22" s="2578"/>
      <c r="BJ22" s="2578"/>
      <c r="BK22" s="2578"/>
      <c r="BL22" s="2578"/>
      <c r="BM22" s="2578"/>
      <c r="BN22" s="2578"/>
      <c r="BO22" s="2578"/>
      <c r="BP22" s="2578"/>
      <c r="BQ22" s="2578"/>
      <c r="BR22" s="2578"/>
      <c r="BS22" s="2578"/>
      <c r="BT22" s="2579"/>
      <c r="BU22" s="2198"/>
      <c r="BV22" s="2198"/>
      <c r="BW22" s="2579"/>
      <c r="BX22" s="2189"/>
      <c r="BY22" s="2189"/>
      <c r="BZ22" s="2189"/>
      <c r="CA22" s="2582">
        <f t="shared" si="1"/>
        <v>0</v>
      </c>
      <c r="CB22" s="2583">
        <f t="shared" si="1"/>
        <v>0</v>
      </c>
      <c r="CC22" s="2583">
        <f t="shared" si="1"/>
        <v>0</v>
      </c>
      <c r="CD22" s="2583">
        <f t="shared" si="1"/>
        <v>0</v>
      </c>
      <c r="CE22" s="2583">
        <f t="shared" si="1"/>
        <v>0</v>
      </c>
      <c r="CF22" s="2583">
        <f t="shared" si="1"/>
        <v>22.708333333333329</v>
      </c>
      <c r="CG22" s="2583">
        <f t="shared" si="1"/>
        <v>22.377320765495572</v>
      </c>
      <c r="CH22" s="2583">
        <f t="shared" si="1"/>
        <v>22.344569288389515</v>
      </c>
      <c r="CI22" s="2583">
        <f t="shared" si="1"/>
        <v>22.313131313131311</v>
      </c>
      <c r="CJ22" s="2583">
        <f t="shared" si="1"/>
        <v>20.755861365953109</v>
      </c>
      <c r="CK22" s="2583">
        <f t="shared" si="1"/>
        <v>20.720992209922098</v>
      </c>
      <c r="CL22" s="2583">
        <f t="shared" si="1"/>
        <v>20.366897200851206</v>
      </c>
      <c r="CM22" s="2583">
        <f t="shared" si="1"/>
        <v>19.043869926186517</v>
      </c>
      <c r="CN22" s="2583">
        <f t="shared" si="1"/>
        <v>18.741676429877195</v>
      </c>
      <c r="CO22" s="2583">
        <f t="shared" si="1"/>
        <v>17.741676429877195</v>
      </c>
      <c r="CP22" s="2583">
        <f t="shared" si="1"/>
        <v>17.443532854898894</v>
      </c>
      <c r="CQ22" s="2583">
        <f t="shared" si="2"/>
        <v>17.423224728657999</v>
      </c>
      <c r="CR22" s="2583">
        <f t="shared" si="2"/>
        <v>0</v>
      </c>
      <c r="CS22" s="2583">
        <f t="shared" si="2"/>
        <v>0</v>
      </c>
      <c r="CT22" s="2583">
        <f t="shared" si="2"/>
        <v>0</v>
      </c>
      <c r="CU22" s="2583">
        <f t="shared" si="2"/>
        <v>0</v>
      </c>
      <c r="CV22" s="2583">
        <f t="shared" si="2"/>
        <v>0</v>
      </c>
      <c r="CW22" s="2583">
        <f t="shared" si="2"/>
        <v>0</v>
      </c>
      <c r="CX22" s="2583">
        <f t="shared" si="2"/>
        <v>0</v>
      </c>
      <c r="CY22" s="2583">
        <f t="shared" si="2"/>
        <v>0</v>
      </c>
      <c r="CZ22" s="2583">
        <f t="shared" si="2"/>
        <v>0</v>
      </c>
      <c r="DA22" s="2583">
        <f t="shared" si="2"/>
        <v>0</v>
      </c>
      <c r="DB22" s="2583">
        <f t="shared" si="2"/>
        <v>0</v>
      </c>
      <c r="DC22" s="2583">
        <f t="shared" si="2"/>
        <v>0</v>
      </c>
      <c r="DD22" s="2579"/>
      <c r="DE22" s="2189"/>
      <c r="DF22" s="2579"/>
      <c r="DG22" s="2189"/>
    </row>
    <row r="23" spans="1:111" s="2196" customFormat="1" ht="15.6" x14ac:dyDescent="0.3">
      <c r="A23" s="2189"/>
      <c r="B23" s="2575" t="s">
        <v>1583</v>
      </c>
      <c r="C23" s="1344"/>
      <c r="D23" s="1344"/>
      <c r="E23" s="1344"/>
      <c r="F23" s="2576"/>
      <c r="G23" s="2577"/>
      <c r="H23" s="2578"/>
      <c r="I23" s="2578"/>
      <c r="J23" s="2578"/>
      <c r="K23" s="2578"/>
      <c r="L23" s="2578"/>
      <c r="M23" s="2578"/>
      <c r="N23" s="2578"/>
      <c r="O23" s="2578"/>
      <c r="P23" s="2578"/>
      <c r="Q23" s="2578"/>
      <c r="R23" s="2578"/>
      <c r="S23" s="2578"/>
      <c r="T23" s="2578"/>
      <c r="U23" s="2578"/>
      <c r="V23" s="2578"/>
      <c r="W23" s="2578"/>
      <c r="X23" s="2578"/>
      <c r="Y23" s="2578"/>
      <c r="Z23" s="2578"/>
      <c r="AA23" s="2578"/>
      <c r="AB23" s="2578"/>
      <c r="AC23" s="2578"/>
      <c r="AD23" s="2578"/>
      <c r="AE23" s="2578"/>
      <c r="AF23" s="2578"/>
      <c r="AG23" s="2578"/>
      <c r="AH23" s="2578"/>
      <c r="AI23" s="2578"/>
      <c r="AJ23" s="2579"/>
      <c r="AK23" s="2580"/>
      <c r="AL23" s="2198"/>
      <c r="AM23" s="2579"/>
      <c r="AN23" s="2581"/>
      <c r="AO23" s="2189"/>
      <c r="AP23" s="2189"/>
      <c r="AQ23" s="2577"/>
      <c r="AR23" s="2578"/>
      <c r="AS23" s="2578"/>
      <c r="AT23" s="2578"/>
      <c r="AU23" s="2578"/>
      <c r="AV23" s="2578"/>
      <c r="AW23" s="2578"/>
      <c r="AX23" s="2578"/>
      <c r="AY23" s="2578"/>
      <c r="AZ23" s="2578"/>
      <c r="BA23" s="2578"/>
      <c r="BB23" s="2578"/>
      <c r="BC23" s="2578"/>
      <c r="BD23" s="2578"/>
      <c r="BE23" s="2578"/>
      <c r="BF23" s="2578"/>
      <c r="BG23" s="2578"/>
      <c r="BH23" s="2578"/>
      <c r="BI23" s="2578"/>
      <c r="BJ23" s="2578"/>
      <c r="BK23" s="2578"/>
      <c r="BL23" s="2578"/>
      <c r="BM23" s="2578"/>
      <c r="BN23" s="2578"/>
      <c r="BO23" s="2578"/>
      <c r="BP23" s="2578"/>
      <c r="BQ23" s="2578"/>
      <c r="BR23" s="2578"/>
      <c r="BS23" s="2578"/>
      <c r="BT23" s="2579"/>
      <c r="BU23" s="2198"/>
      <c r="BV23" s="2198"/>
      <c r="BW23" s="2579"/>
      <c r="BX23" s="2189"/>
      <c r="BY23" s="2189"/>
      <c r="BZ23" s="2189"/>
      <c r="CA23" s="2582">
        <f t="shared" si="1"/>
        <v>0</v>
      </c>
      <c r="CB23" s="2583">
        <f t="shared" si="1"/>
        <v>0</v>
      </c>
      <c r="CC23" s="2583">
        <f t="shared" si="1"/>
        <v>0</v>
      </c>
      <c r="CD23" s="2583">
        <f t="shared" si="1"/>
        <v>0</v>
      </c>
      <c r="CE23" s="2583">
        <f t="shared" si="1"/>
        <v>0</v>
      </c>
      <c r="CF23" s="2583">
        <f t="shared" si="1"/>
        <v>0</v>
      </c>
      <c r="CG23" s="2583">
        <f t="shared" si="1"/>
        <v>0</v>
      </c>
      <c r="CH23" s="2583">
        <f t="shared" si="1"/>
        <v>0</v>
      </c>
      <c r="CI23" s="2583">
        <f t="shared" si="1"/>
        <v>0</v>
      </c>
      <c r="CJ23" s="2583">
        <f t="shared" si="1"/>
        <v>0</v>
      </c>
      <c r="CK23" s="2583">
        <f t="shared" si="1"/>
        <v>0</v>
      </c>
      <c r="CL23" s="2583">
        <f t="shared" si="1"/>
        <v>0</v>
      </c>
      <c r="CM23" s="2583">
        <f t="shared" si="1"/>
        <v>0</v>
      </c>
      <c r="CN23" s="2583">
        <f t="shared" si="1"/>
        <v>0</v>
      </c>
      <c r="CO23" s="2583">
        <f t="shared" si="1"/>
        <v>0</v>
      </c>
      <c r="CP23" s="2583">
        <f t="shared" si="1"/>
        <v>0</v>
      </c>
      <c r="CQ23" s="2583">
        <f t="shared" si="2"/>
        <v>0</v>
      </c>
      <c r="CR23" s="2583">
        <f t="shared" si="2"/>
        <v>0</v>
      </c>
      <c r="CS23" s="2583">
        <f t="shared" si="2"/>
        <v>0</v>
      </c>
      <c r="CT23" s="2583">
        <f t="shared" si="2"/>
        <v>0</v>
      </c>
      <c r="CU23" s="2583">
        <f t="shared" si="2"/>
        <v>0</v>
      </c>
      <c r="CV23" s="2583">
        <f t="shared" si="2"/>
        <v>0</v>
      </c>
      <c r="CW23" s="2583">
        <f t="shared" si="2"/>
        <v>0</v>
      </c>
      <c r="CX23" s="2583">
        <f t="shared" si="2"/>
        <v>0</v>
      </c>
      <c r="CY23" s="2583">
        <f t="shared" si="2"/>
        <v>0</v>
      </c>
      <c r="CZ23" s="2583">
        <f t="shared" si="2"/>
        <v>0</v>
      </c>
      <c r="DA23" s="2583">
        <f t="shared" si="2"/>
        <v>0</v>
      </c>
      <c r="DB23" s="2583">
        <f t="shared" si="2"/>
        <v>0</v>
      </c>
      <c r="DC23" s="2583">
        <f t="shared" si="2"/>
        <v>0</v>
      </c>
      <c r="DD23" s="2579"/>
      <c r="DE23" s="2189"/>
      <c r="DF23" s="2579"/>
      <c r="DG23" s="2189"/>
    </row>
    <row r="24" spans="1:111" ht="18" x14ac:dyDescent="0.35">
      <c r="A24" s="1070"/>
      <c r="B24" s="2561" t="s">
        <v>1584</v>
      </c>
      <c r="C24" s="2562"/>
      <c r="D24" s="2562"/>
      <c r="E24" s="2562"/>
      <c r="F24" s="2584"/>
      <c r="G24" s="2567">
        <f>G10*(G11-G22)</f>
        <v>0</v>
      </c>
      <c r="H24" s="2568">
        <f t="shared" ref="H24:W24" si="20">H10*(H11-H22)</f>
        <v>0</v>
      </c>
      <c r="I24" s="2568">
        <f t="shared" si="20"/>
        <v>0</v>
      </c>
      <c r="J24" s="2568">
        <f t="shared" si="20"/>
        <v>0</v>
      </c>
      <c r="K24" s="2568">
        <f t="shared" si="20"/>
        <v>0</v>
      </c>
      <c r="L24" s="2568">
        <f t="shared" si="20"/>
        <v>11757.135657116161</v>
      </c>
      <c r="M24" s="2568">
        <f t="shared" si="20"/>
        <v>26869.836887375113</v>
      </c>
      <c r="N24" s="2568">
        <f t="shared" si="20"/>
        <v>51155.585902063729</v>
      </c>
      <c r="O24" s="2568">
        <f t="shared" si="20"/>
        <v>76659.511587420304</v>
      </c>
      <c r="P24" s="2568">
        <f t="shared" si="20"/>
        <v>95146.110514129788</v>
      </c>
      <c r="Q24" s="2568">
        <f t="shared" si="20"/>
        <v>105736.39576409268</v>
      </c>
      <c r="R24" s="2568">
        <f t="shared" si="20"/>
        <v>112724.9807006038</v>
      </c>
      <c r="S24" s="2568">
        <f t="shared" si="20"/>
        <v>130262.18980704834</v>
      </c>
      <c r="T24" s="2568">
        <f t="shared" si="20"/>
        <v>133926.86425193108</v>
      </c>
      <c r="U24" s="2568">
        <f t="shared" si="20"/>
        <v>165362.28609762626</v>
      </c>
      <c r="V24" s="2568">
        <f t="shared" si="20"/>
        <v>182484.29734090407</v>
      </c>
      <c r="W24" s="2568">
        <f t="shared" si="20"/>
        <v>209525.90987333635</v>
      </c>
      <c r="X24" s="2568">
        <f>X10*(X11-X22)</f>
        <v>252787.09082071079</v>
      </c>
      <c r="Y24" s="2568">
        <f t="shared" ref="Y24:AI24" si="21">Y10*(Y11-Y22)</f>
        <v>0</v>
      </c>
      <c r="Z24" s="2568">
        <f t="shared" si="21"/>
        <v>0</v>
      </c>
      <c r="AA24" s="2568">
        <f t="shared" si="21"/>
        <v>0</v>
      </c>
      <c r="AB24" s="2568">
        <f t="shared" si="21"/>
        <v>0</v>
      </c>
      <c r="AC24" s="2568">
        <f t="shared" si="21"/>
        <v>0</v>
      </c>
      <c r="AD24" s="2568">
        <f t="shared" si="21"/>
        <v>0</v>
      </c>
      <c r="AE24" s="2568">
        <f t="shared" si="21"/>
        <v>0</v>
      </c>
      <c r="AF24" s="2568">
        <f t="shared" si="21"/>
        <v>0</v>
      </c>
      <c r="AG24" s="2568">
        <f t="shared" si="21"/>
        <v>0</v>
      </c>
      <c r="AH24" s="2568">
        <f t="shared" si="21"/>
        <v>0</v>
      </c>
      <c r="AI24" s="2568">
        <f t="shared" si="21"/>
        <v>0</v>
      </c>
      <c r="AJ24" s="2585">
        <f>SUMIF($G$115:$AI$115,"1",$G24:$AI24)</f>
        <v>261588.1805481051</v>
      </c>
      <c r="AK24" s="2542"/>
      <c r="AL24" s="1082"/>
      <c r="AM24" s="2585">
        <f>SUMIF($G$115:$AI$115,"1",$G24:$AI24)+SUMIF($G$115:$AI$115,"2",$G24:$AI24)</f>
        <v>909600.89716940722</v>
      </c>
      <c r="AN24" s="2529"/>
      <c r="AO24" s="1070"/>
      <c r="AP24" s="1070"/>
      <c r="AQ24" s="2567">
        <f t="shared" ref="AQ24:BG24" si="22">AQ10*(AQ11-AQ22)</f>
        <v>0</v>
      </c>
      <c r="AR24" s="2568">
        <f t="shared" si="22"/>
        <v>0</v>
      </c>
      <c r="AS24" s="2568">
        <f t="shared" si="22"/>
        <v>0</v>
      </c>
      <c r="AT24" s="2568">
        <f t="shared" si="22"/>
        <v>0</v>
      </c>
      <c r="AU24" s="2568">
        <f t="shared" si="22"/>
        <v>0</v>
      </c>
      <c r="AV24" s="2568">
        <f t="shared" si="22"/>
        <v>0</v>
      </c>
      <c r="AW24" s="2568">
        <f t="shared" si="22"/>
        <v>0</v>
      </c>
      <c r="AX24" s="2568">
        <f t="shared" si="22"/>
        <v>0</v>
      </c>
      <c r="AY24" s="2568">
        <f t="shared" si="22"/>
        <v>0</v>
      </c>
      <c r="AZ24" s="2568">
        <f t="shared" si="22"/>
        <v>0</v>
      </c>
      <c r="BA24" s="2568">
        <f t="shared" si="22"/>
        <v>0</v>
      </c>
      <c r="BB24" s="2568">
        <f t="shared" si="22"/>
        <v>0</v>
      </c>
      <c r="BC24" s="2568">
        <f t="shared" si="22"/>
        <v>0</v>
      </c>
      <c r="BD24" s="2568">
        <f t="shared" si="22"/>
        <v>0</v>
      </c>
      <c r="BE24" s="2568">
        <f t="shared" si="22"/>
        <v>0</v>
      </c>
      <c r="BF24" s="2568">
        <f t="shared" si="22"/>
        <v>0</v>
      </c>
      <c r="BG24" s="2568">
        <f t="shared" si="22"/>
        <v>0</v>
      </c>
      <c r="BH24" s="2568">
        <f>BH10*(BH11-BH22)</f>
        <v>0</v>
      </c>
      <c r="BI24" s="2568">
        <f t="shared" ref="BI24:BR24" si="23">BI10*(BI11-BI22)</f>
        <v>0</v>
      </c>
      <c r="BJ24" s="2568">
        <f t="shared" si="23"/>
        <v>0</v>
      </c>
      <c r="BK24" s="2568">
        <f t="shared" si="23"/>
        <v>0</v>
      </c>
      <c r="BL24" s="2568">
        <f t="shared" si="23"/>
        <v>0</v>
      </c>
      <c r="BM24" s="2568">
        <f t="shared" si="23"/>
        <v>0</v>
      </c>
      <c r="BN24" s="2568">
        <f t="shared" si="23"/>
        <v>0</v>
      </c>
      <c r="BO24" s="2568">
        <f t="shared" si="23"/>
        <v>0</v>
      </c>
      <c r="BP24" s="2568">
        <f t="shared" si="23"/>
        <v>0</v>
      </c>
      <c r="BQ24" s="2568">
        <f t="shared" si="23"/>
        <v>0</v>
      </c>
      <c r="BR24" s="2568">
        <f t="shared" si="23"/>
        <v>0</v>
      </c>
      <c r="BS24" s="2568">
        <f>BS10*(BS11-BS22)</f>
        <v>0</v>
      </c>
      <c r="BT24" s="2585">
        <f>SUMIF($AQ$115:$BS$115,"1",$AQ24:$BS24)</f>
        <v>0</v>
      </c>
      <c r="BU24" s="1082"/>
      <c r="BV24" s="1082"/>
      <c r="BW24" s="2585">
        <f>SUMIF($AQ$115:$BS$115,"1",$AQ24:$BS24)+SUMIF($AQ$115:$BS$115,"2",$AQ24:$BS24)</f>
        <v>0</v>
      </c>
      <c r="BX24" s="1070"/>
      <c r="BY24" s="1070"/>
      <c r="BZ24" s="1070"/>
      <c r="CA24" s="2567">
        <f t="shared" si="1"/>
        <v>0</v>
      </c>
      <c r="CB24" s="2568">
        <f t="shared" si="1"/>
        <v>0</v>
      </c>
      <c r="CC24" s="2568">
        <f t="shared" si="1"/>
        <v>0</v>
      </c>
      <c r="CD24" s="2568">
        <f t="shared" si="1"/>
        <v>0</v>
      </c>
      <c r="CE24" s="2568">
        <f t="shared" si="1"/>
        <v>0</v>
      </c>
      <c r="CF24" s="2568">
        <f t="shared" si="1"/>
        <v>11757.135657116161</v>
      </c>
      <c r="CG24" s="2568">
        <f t="shared" si="1"/>
        <v>26869.836887375113</v>
      </c>
      <c r="CH24" s="2568">
        <f t="shared" si="1"/>
        <v>51155.585902063729</v>
      </c>
      <c r="CI24" s="2568">
        <f t="shared" si="1"/>
        <v>76659.511587420304</v>
      </c>
      <c r="CJ24" s="2568">
        <f t="shared" si="1"/>
        <v>95146.110514129788</v>
      </c>
      <c r="CK24" s="2568">
        <f t="shared" si="1"/>
        <v>105736.39576409268</v>
      </c>
      <c r="CL24" s="2568">
        <f t="shared" si="1"/>
        <v>112724.9807006038</v>
      </c>
      <c r="CM24" s="2568">
        <f t="shared" si="1"/>
        <v>130262.18980704834</v>
      </c>
      <c r="CN24" s="2568">
        <f t="shared" si="1"/>
        <v>133926.86425193108</v>
      </c>
      <c r="CO24" s="2568">
        <f t="shared" si="1"/>
        <v>165362.28609762626</v>
      </c>
      <c r="CP24" s="2568">
        <f t="shared" si="1"/>
        <v>182484.29734090407</v>
      </c>
      <c r="CQ24" s="2568">
        <f t="shared" si="2"/>
        <v>209525.90987333635</v>
      </c>
      <c r="CR24" s="2568">
        <f t="shared" si="2"/>
        <v>252787.09082071079</v>
      </c>
      <c r="CS24" s="2568">
        <f t="shared" si="2"/>
        <v>0</v>
      </c>
      <c r="CT24" s="2568">
        <f t="shared" si="2"/>
        <v>0</v>
      </c>
      <c r="CU24" s="2568">
        <f t="shared" si="2"/>
        <v>0</v>
      </c>
      <c r="CV24" s="2568">
        <f t="shared" si="2"/>
        <v>0</v>
      </c>
      <c r="CW24" s="2568">
        <f t="shared" si="2"/>
        <v>0</v>
      </c>
      <c r="CX24" s="2568">
        <f t="shared" si="2"/>
        <v>0</v>
      </c>
      <c r="CY24" s="2568">
        <f t="shared" si="2"/>
        <v>0</v>
      </c>
      <c r="CZ24" s="2568">
        <f t="shared" si="2"/>
        <v>0</v>
      </c>
      <c r="DA24" s="2568">
        <f t="shared" si="2"/>
        <v>0</v>
      </c>
      <c r="DB24" s="2568">
        <f t="shared" si="2"/>
        <v>0</v>
      </c>
      <c r="DC24" s="2568">
        <f t="shared" si="2"/>
        <v>0</v>
      </c>
      <c r="DD24" s="2585">
        <f>AJ24-BT24</f>
        <v>261588.1805481051</v>
      </c>
      <c r="DE24" s="1070"/>
      <c r="DF24" s="2585">
        <f>AM24-BW24</f>
        <v>909600.89716940722</v>
      </c>
      <c r="DG24" s="1070"/>
    </row>
    <row r="25" spans="1:111" s="2196" customFormat="1" ht="13.8" x14ac:dyDescent="0.3">
      <c r="A25" s="2189"/>
      <c r="B25" s="2586" t="s">
        <v>1585</v>
      </c>
      <c r="C25" s="2587"/>
      <c r="D25" s="2587"/>
      <c r="E25" s="2587"/>
      <c r="F25" s="2588"/>
      <c r="G25" s="2589">
        <f>IFERROR(G24/G12,0)</f>
        <v>0</v>
      </c>
      <c r="H25" s="2590">
        <f t="shared" ref="H25:AJ25" si="24">IFERROR(H24/H12,0)</f>
        <v>0</v>
      </c>
      <c r="I25" s="2590">
        <f t="shared" si="24"/>
        <v>0</v>
      </c>
      <c r="J25" s="2590">
        <f t="shared" si="24"/>
        <v>0</v>
      </c>
      <c r="K25" s="2590">
        <f t="shared" si="24"/>
        <v>0</v>
      </c>
      <c r="L25" s="2590">
        <f t="shared" si="24"/>
        <v>0.70540540540540542</v>
      </c>
      <c r="M25" s="2590">
        <f t="shared" si="24"/>
        <v>0.69667415208301076</v>
      </c>
      <c r="N25" s="2590">
        <f t="shared" si="24"/>
        <v>0.69576746557878644</v>
      </c>
      <c r="O25" s="2590">
        <f t="shared" si="24"/>
        <v>0.694889502762431</v>
      </c>
      <c r="P25" s="2590">
        <f t="shared" si="24"/>
        <v>0.69277253866465471</v>
      </c>
      <c r="Q25" s="2590">
        <f t="shared" si="24"/>
        <v>0.69169742260179956</v>
      </c>
      <c r="R25" s="2590">
        <f t="shared" si="24"/>
        <v>0.68011267406471843</v>
      </c>
      <c r="S25" s="2590">
        <f t="shared" si="24"/>
        <v>0.68490602612616847</v>
      </c>
      <c r="T25" s="2590">
        <f t="shared" si="24"/>
        <v>0.67358529065912454</v>
      </c>
      <c r="U25" s="2590">
        <f t="shared" si="24"/>
        <v>0.69100180676226886</v>
      </c>
      <c r="V25" s="2590">
        <f t="shared" si="24"/>
        <v>0.67955492655471683</v>
      </c>
      <c r="W25" s="2590">
        <f t="shared" si="24"/>
        <v>0.6787294349690457</v>
      </c>
      <c r="X25" s="2590">
        <f>IFERROR(X24/X12,0)</f>
        <v>1</v>
      </c>
      <c r="Y25" s="2590">
        <f t="shared" ref="Y25:AI25" si="25">IFERROR(Y24/Y12,0)</f>
        <v>0</v>
      </c>
      <c r="Z25" s="2590">
        <f t="shared" si="25"/>
        <v>0</v>
      </c>
      <c r="AA25" s="2590">
        <f t="shared" si="25"/>
        <v>0</v>
      </c>
      <c r="AB25" s="2590">
        <f t="shared" si="25"/>
        <v>0</v>
      </c>
      <c r="AC25" s="2590">
        <f t="shared" si="25"/>
        <v>0</v>
      </c>
      <c r="AD25" s="2590">
        <f t="shared" si="25"/>
        <v>0</v>
      </c>
      <c r="AE25" s="2590">
        <f t="shared" si="25"/>
        <v>0</v>
      </c>
      <c r="AF25" s="2590">
        <f t="shared" si="25"/>
        <v>0</v>
      </c>
      <c r="AG25" s="2590">
        <f t="shared" si="25"/>
        <v>0</v>
      </c>
      <c r="AH25" s="2590">
        <f t="shared" si="25"/>
        <v>0</v>
      </c>
      <c r="AI25" s="2590">
        <f t="shared" si="25"/>
        <v>0</v>
      </c>
      <c r="AJ25" s="2591">
        <f t="shared" si="24"/>
        <v>0.69493707617217348</v>
      </c>
      <c r="AK25" s="2592"/>
      <c r="AL25" s="2198"/>
      <c r="AM25" s="2591">
        <f>IFERROR(AM24/AM12,0)</f>
        <v>0.68734489324146375</v>
      </c>
      <c r="AN25" s="2590"/>
      <c r="AO25" s="2189"/>
      <c r="AP25" s="2189"/>
      <c r="AQ25" s="2589">
        <f>IFERROR(AQ24/AQ12,0)</f>
        <v>0</v>
      </c>
      <c r="AR25" s="2590">
        <f t="shared" ref="AR25:BG25" si="26">IFERROR(AR24/AR12,0)</f>
        <v>0</v>
      </c>
      <c r="AS25" s="2590">
        <f t="shared" si="26"/>
        <v>0</v>
      </c>
      <c r="AT25" s="2590">
        <f t="shared" si="26"/>
        <v>0</v>
      </c>
      <c r="AU25" s="2590">
        <f t="shared" si="26"/>
        <v>0</v>
      </c>
      <c r="AV25" s="2590">
        <f t="shared" si="26"/>
        <v>0</v>
      </c>
      <c r="AW25" s="2590">
        <f t="shared" si="26"/>
        <v>0</v>
      </c>
      <c r="AX25" s="2590">
        <f t="shared" si="26"/>
        <v>0</v>
      </c>
      <c r="AY25" s="2590">
        <f t="shared" si="26"/>
        <v>0</v>
      </c>
      <c r="AZ25" s="2590">
        <f t="shared" si="26"/>
        <v>0</v>
      </c>
      <c r="BA25" s="2590">
        <f t="shared" si="26"/>
        <v>0</v>
      </c>
      <c r="BB25" s="2590">
        <f t="shared" si="26"/>
        <v>0</v>
      </c>
      <c r="BC25" s="2590">
        <f t="shared" si="26"/>
        <v>0</v>
      </c>
      <c r="BD25" s="2590">
        <f t="shared" si="26"/>
        <v>0</v>
      </c>
      <c r="BE25" s="2590">
        <f t="shared" si="26"/>
        <v>0</v>
      </c>
      <c r="BF25" s="2590">
        <f t="shared" si="26"/>
        <v>0</v>
      </c>
      <c r="BG25" s="2590">
        <f t="shared" si="26"/>
        <v>0</v>
      </c>
      <c r="BH25" s="2590">
        <f>IFERROR(BH24/BH12,0)</f>
        <v>0</v>
      </c>
      <c r="BI25" s="2590">
        <f t="shared" ref="BI25:BR25" si="27">IFERROR(BI24/BI12,0)</f>
        <v>0</v>
      </c>
      <c r="BJ25" s="2590">
        <f t="shared" si="27"/>
        <v>0</v>
      </c>
      <c r="BK25" s="2590">
        <f t="shared" si="27"/>
        <v>0</v>
      </c>
      <c r="BL25" s="2590">
        <f t="shared" si="27"/>
        <v>0</v>
      </c>
      <c r="BM25" s="2590">
        <f t="shared" si="27"/>
        <v>0</v>
      </c>
      <c r="BN25" s="2590">
        <f t="shared" si="27"/>
        <v>0</v>
      </c>
      <c r="BO25" s="2590">
        <f t="shared" si="27"/>
        <v>0</v>
      </c>
      <c r="BP25" s="2590">
        <f t="shared" si="27"/>
        <v>0</v>
      </c>
      <c r="BQ25" s="2590">
        <f t="shared" si="27"/>
        <v>0</v>
      </c>
      <c r="BR25" s="2590">
        <f t="shared" si="27"/>
        <v>0</v>
      </c>
      <c r="BS25" s="2590">
        <f>IFERROR(BS24/BS12,0)</f>
        <v>0</v>
      </c>
      <c r="BT25" s="2591">
        <f>IFERROR(BT24/BT12,0)</f>
        <v>0</v>
      </c>
      <c r="BU25" s="2198"/>
      <c r="BV25" s="2198"/>
      <c r="BW25" s="2591">
        <f>IFERROR(BW24/BW12,0)</f>
        <v>0</v>
      </c>
      <c r="BX25" s="2189"/>
      <c r="BY25" s="2189"/>
      <c r="BZ25" s="2189"/>
      <c r="CA25" s="2589">
        <f t="shared" si="1"/>
        <v>0</v>
      </c>
      <c r="CB25" s="2590">
        <f t="shared" si="1"/>
        <v>0</v>
      </c>
      <c r="CC25" s="2590">
        <f t="shared" si="1"/>
        <v>0</v>
      </c>
      <c r="CD25" s="2590">
        <f t="shared" si="1"/>
        <v>0</v>
      </c>
      <c r="CE25" s="2590">
        <f t="shared" si="1"/>
        <v>0</v>
      </c>
      <c r="CF25" s="2590">
        <f t="shared" si="1"/>
        <v>0.70540540540540542</v>
      </c>
      <c r="CG25" s="2590">
        <f t="shared" si="1"/>
        <v>0.69667415208301076</v>
      </c>
      <c r="CH25" s="2590">
        <f t="shared" si="1"/>
        <v>0.69576746557878644</v>
      </c>
      <c r="CI25" s="2590">
        <f t="shared" si="1"/>
        <v>0.694889502762431</v>
      </c>
      <c r="CJ25" s="2590">
        <f t="shared" si="1"/>
        <v>0.69277253866465471</v>
      </c>
      <c r="CK25" s="2590">
        <f t="shared" si="1"/>
        <v>0.69169742260179956</v>
      </c>
      <c r="CL25" s="2590">
        <f t="shared" si="1"/>
        <v>0.68011267406471843</v>
      </c>
      <c r="CM25" s="2590">
        <f t="shared" si="1"/>
        <v>0.68490602612616847</v>
      </c>
      <c r="CN25" s="2590">
        <f t="shared" si="1"/>
        <v>0.67358529065912454</v>
      </c>
      <c r="CO25" s="2590">
        <f t="shared" si="1"/>
        <v>0.69100180676226886</v>
      </c>
      <c r="CP25" s="2590">
        <f t="shared" ref="CP25:CP27" si="28">V25-BF25</f>
        <v>0.67955492655471683</v>
      </c>
      <c r="CQ25" s="2590">
        <f t="shared" si="2"/>
        <v>0.6787294349690457</v>
      </c>
      <c r="CR25" s="2590">
        <f t="shared" si="2"/>
        <v>1</v>
      </c>
      <c r="CS25" s="2590">
        <f t="shared" si="2"/>
        <v>0</v>
      </c>
      <c r="CT25" s="2590">
        <f t="shared" si="2"/>
        <v>0</v>
      </c>
      <c r="CU25" s="2590">
        <f t="shared" si="2"/>
        <v>0</v>
      </c>
      <c r="CV25" s="2590">
        <f t="shared" si="2"/>
        <v>0</v>
      </c>
      <c r="CW25" s="2590">
        <f t="shared" si="2"/>
        <v>0</v>
      </c>
      <c r="CX25" s="2590">
        <f t="shared" si="2"/>
        <v>0</v>
      </c>
      <c r="CY25" s="2590">
        <f t="shared" si="2"/>
        <v>0</v>
      </c>
      <c r="CZ25" s="2590">
        <f t="shared" si="2"/>
        <v>0</v>
      </c>
      <c r="DA25" s="2590">
        <f t="shared" si="2"/>
        <v>0</v>
      </c>
      <c r="DB25" s="2590">
        <f t="shared" si="2"/>
        <v>0</v>
      </c>
      <c r="DC25" s="2590">
        <f t="shared" si="2"/>
        <v>0</v>
      </c>
      <c r="DD25" s="2591">
        <f>AJ25-BT25</f>
        <v>0.69493707617217348</v>
      </c>
      <c r="DE25" s="2189"/>
      <c r="DF25" s="2591">
        <f t="shared" ref="DF25:DF27" si="29">AM25-BW25</f>
        <v>0.68734489324146375</v>
      </c>
      <c r="DG25" s="2189"/>
    </row>
    <row r="26" spans="1:111" s="2196" customFormat="1" ht="12.75" customHeight="1" x14ac:dyDescent="0.3">
      <c r="A26" s="2189"/>
      <c r="B26" s="2586" t="s">
        <v>1586</v>
      </c>
      <c r="C26" s="2587"/>
      <c r="D26" s="2587"/>
      <c r="E26" s="2587"/>
      <c r="F26" s="2593"/>
      <c r="G26" s="2594">
        <v>0</v>
      </c>
      <c r="H26" s="2595">
        <v>0</v>
      </c>
      <c r="I26" s="2595">
        <v>0</v>
      </c>
      <c r="J26" s="2595">
        <v>0</v>
      </c>
      <c r="K26" s="2595">
        <v>0</v>
      </c>
      <c r="L26" s="2595">
        <v>0</v>
      </c>
      <c r="M26" s="2595">
        <v>0</v>
      </c>
      <c r="N26" s="2595">
        <v>0</v>
      </c>
      <c r="O26" s="2595">
        <v>0</v>
      </c>
      <c r="P26" s="2595">
        <v>0</v>
      </c>
      <c r="Q26" s="2595">
        <v>0</v>
      </c>
      <c r="R26" s="2595">
        <v>0</v>
      </c>
      <c r="S26" s="2595">
        <v>0</v>
      </c>
      <c r="T26" s="2595">
        <v>0</v>
      </c>
      <c r="U26" s="2595">
        <v>0</v>
      </c>
      <c r="V26" s="2595">
        <v>0</v>
      </c>
      <c r="W26" s="2595">
        <v>0</v>
      </c>
      <c r="X26" s="2595">
        <v>0</v>
      </c>
      <c r="Y26" s="2595">
        <v>0</v>
      </c>
      <c r="Z26" s="2595">
        <v>0</v>
      </c>
      <c r="AA26" s="2595">
        <v>0</v>
      </c>
      <c r="AB26" s="2595">
        <v>0</v>
      </c>
      <c r="AC26" s="2595">
        <v>0</v>
      </c>
      <c r="AD26" s="2595">
        <v>0</v>
      </c>
      <c r="AE26" s="2595">
        <v>0</v>
      </c>
      <c r="AF26" s="2595">
        <v>0</v>
      </c>
      <c r="AG26" s="2595">
        <v>0</v>
      </c>
      <c r="AH26" s="2595">
        <v>0</v>
      </c>
      <c r="AI26" s="2595">
        <v>0</v>
      </c>
      <c r="AJ26" s="2596"/>
      <c r="AK26" s="2593"/>
      <c r="AL26" s="2198"/>
      <c r="AM26" s="2596"/>
      <c r="AN26" s="2597"/>
      <c r="AO26" s="2189"/>
      <c r="AP26" s="2189"/>
      <c r="AQ26" s="2598"/>
      <c r="AR26" s="2599"/>
      <c r="AS26" s="2599"/>
      <c r="AT26" s="2599"/>
      <c r="AU26" s="2599"/>
      <c r="AV26" s="2599"/>
      <c r="AW26" s="2599"/>
      <c r="AX26" s="2599"/>
      <c r="AY26" s="2599"/>
      <c r="AZ26" s="2599"/>
      <c r="BA26" s="2599"/>
      <c r="BB26" s="2599"/>
      <c r="BC26" s="2599"/>
      <c r="BD26" s="2599"/>
      <c r="BE26" s="2599"/>
      <c r="BF26" s="2599"/>
      <c r="BG26" s="2599"/>
      <c r="BH26" s="2599"/>
      <c r="BI26" s="2599"/>
      <c r="BJ26" s="2599"/>
      <c r="BK26" s="2599"/>
      <c r="BL26" s="2599"/>
      <c r="BM26" s="2599"/>
      <c r="BN26" s="2599"/>
      <c r="BO26" s="2599"/>
      <c r="BP26" s="2599"/>
      <c r="BQ26" s="2599"/>
      <c r="BR26" s="2599"/>
      <c r="BS26" s="2599"/>
      <c r="BT26" s="2596"/>
      <c r="BU26" s="2198"/>
      <c r="BV26" s="2198"/>
      <c r="BW26" s="2596"/>
      <c r="BX26" s="2189"/>
      <c r="BY26" s="2189"/>
      <c r="BZ26" s="2189"/>
      <c r="CA26" s="2600">
        <f t="shared" ref="CA26:CO27" si="30">G26-AQ26</f>
        <v>0</v>
      </c>
      <c r="CB26" s="2601">
        <f t="shared" si="30"/>
        <v>0</v>
      </c>
      <c r="CC26" s="2601">
        <f t="shared" si="30"/>
        <v>0</v>
      </c>
      <c r="CD26" s="2601">
        <f t="shared" si="30"/>
        <v>0</v>
      </c>
      <c r="CE26" s="2601">
        <f t="shared" si="30"/>
        <v>0</v>
      </c>
      <c r="CF26" s="2601">
        <f t="shared" si="30"/>
        <v>0</v>
      </c>
      <c r="CG26" s="2601">
        <f t="shared" si="30"/>
        <v>0</v>
      </c>
      <c r="CH26" s="2601">
        <f t="shared" si="30"/>
        <v>0</v>
      </c>
      <c r="CI26" s="2601">
        <f t="shared" si="30"/>
        <v>0</v>
      </c>
      <c r="CJ26" s="2601">
        <f t="shared" si="30"/>
        <v>0</v>
      </c>
      <c r="CK26" s="2601">
        <f t="shared" si="30"/>
        <v>0</v>
      </c>
      <c r="CL26" s="2601">
        <f t="shared" si="30"/>
        <v>0</v>
      </c>
      <c r="CM26" s="2601">
        <f t="shared" si="30"/>
        <v>0</v>
      </c>
      <c r="CN26" s="2601">
        <f t="shared" si="30"/>
        <v>0</v>
      </c>
      <c r="CO26" s="2601">
        <f t="shared" si="30"/>
        <v>0</v>
      </c>
      <c r="CP26" s="2601">
        <f t="shared" si="28"/>
        <v>0</v>
      </c>
      <c r="CQ26" s="2601">
        <f t="shared" si="2"/>
        <v>0</v>
      </c>
      <c r="CR26" s="2601">
        <f t="shared" si="2"/>
        <v>0</v>
      </c>
      <c r="CS26" s="2601">
        <f t="shared" si="2"/>
        <v>0</v>
      </c>
      <c r="CT26" s="2601">
        <f t="shared" si="2"/>
        <v>0</v>
      </c>
      <c r="CU26" s="2601">
        <f t="shared" si="2"/>
        <v>0</v>
      </c>
      <c r="CV26" s="2601">
        <f t="shared" si="2"/>
        <v>0</v>
      </c>
      <c r="CW26" s="2601">
        <f t="shared" si="2"/>
        <v>0</v>
      </c>
      <c r="CX26" s="2601">
        <f t="shared" si="2"/>
        <v>0</v>
      </c>
      <c r="CY26" s="2601">
        <f t="shared" si="2"/>
        <v>0</v>
      </c>
      <c r="CZ26" s="2601">
        <f t="shared" si="2"/>
        <v>0</v>
      </c>
      <c r="DA26" s="2601">
        <f t="shared" si="2"/>
        <v>0</v>
      </c>
      <c r="DB26" s="2601">
        <f t="shared" si="2"/>
        <v>0</v>
      </c>
      <c r="DC26" s="2601">
        <f>AI26-BS26</f>
        <v>0</v>
      </c>
      <c r="DD26" s="2602">
        <f>AJ26-BT26</f>
        <v>0</v>
      </c>
      <c r="DE26" s="2189"/>
      <c r="DF26" s="2602">
        <f t="shared" si="29"/>
        <v>0</v>
      </c>
      <c r="DG26" s="2189"/>
    </row>
    <row r="27" spans="1:111" s="2196" customFormat="1" ht="13.8" x14ac:dyDescent="0.3">
      <c r="A27" s="2189"/>
      <c r="B27" s="2553" t="s">
        <v>1587</v>
      </c>
      <c r="C27" s="2603"/>
      <c r="D27" s="2603"/>
      <c r="E27" s="2603"/>
      <c r="F27" s="2604"/>
      <c r="G27" s="2556">
        <v>0</v>
      </c>
      <c r="H27" s="2557">
        <v>0</v>
      </c>
      <c r="I27" s="2557">
        <v>0</v>
      </c>
      <c r="J27" s="2557">
        <v>0</v>
      </c>
      <c r="K27" s="2557">
        <v>0</v>
      </c>
      <c r="L27" s="2557">
        <v>0</v>
      </c>
      <c r="M27" s="2557">
        <v>0</v>
      </c>
      <c r="N27" s="2557">
        <v>0</v>
      </c>
      <c r="O27" s="2557">
        <v>0</v>
      </c>
      <c r="P27" s="2557">
        <v>0</v>
      </c>
      <c r="Q27" s="2557">
        <v>0</v>
      </c>
      <c r="R27" s="2557">
        <v>0</v>
      </c>
      <c r="S27" s="2557">
        <v>0</v>
      </c>
      <c r="T27" s="2557">
        <v>0</v>
      </c>
      <c r="U27" s="2557">
        <v>0</v>
      </c>
      <c r="V27" s="2557">
        <v>0</v>
      </c>
      <c r="W27" s="2557">
        <v>0</v>
      </c>
      <c r="X27" s="2557">
        <v>0</v>
      </c>
      <c r="Y27" s="2557">
        <v>0</v>
      </c>
      <c r="Z27" s="2557">
        <v>0</v>
      </c>
      <c r="AA27" s="2557">
        <v>0</v>
      </c>
      <c r="AB27" s="2557">
        <v>0</v>
      </c>
      <c r="AC27" s="2557">
        <v>0</v>
      </c>
      <c r="AD27" s="2557">
        <v>0</v>
      </c>
      <c r="AE27" s="2557">
        <v>0</v>
      </c>
      <c r="AF27" s="2557">
        <v>0</v>
      </c>
      <c r="AG27" s="2557">
        <v>0</v>
      </c>
      <c r="AH27" s="2557">
        <v>0</v>
      </c>
      <c r="AI27" s="2557">
        <v>0</v>
      </c>
      <c r="AJ27" s="2605"/>
      <c r="AK27" s="2593"/>
      <c r="AL27" s="2198"/>
      <c r="AM27" s="2605"/>
      <c r="AN27" s="2597"/>
      <c r="AO27" s="2189"/>
      <c r="AP27" s="2189"/>
      <c r="AQ27" s="2606"/>
      <c r="AR27" s="2607"/>
      <c r="AS27" s="2607"/>
      <c r="AT27" s="2607"/>
      <c r="AU27" s="2607"/>
      <c r="AV27" s="2607"/>
      <c r="AW27" s="2607"/>
      <c r="AX27" s="2607"/>
      <c r="AY27" s="2607"/>
      <c r="AZ27" s="2607"/>
      <c r="BA27" s="2607"/>
      <c r="BB27" s="2607"/>
      <c r="BC27" s="2607"/>
      <c r="BD27" s="2607"/>
      <c r="BE27" s="2607"/>
      <c r="BF27" s="2607"/>
      <c r="BG27" s="2607"/>
      <c r="BH27" s="2607"/>
      <c r="BI27" s="2607"/>
      <c r="BJ27" s="2607"/>
      <c r="BK27" s="2607"/>
      <c r="BL27" s="2607"/>
      <c r="BM27" s="2607"/>
      <c r="BN27" s="2607"/>
      <c r="BO27" s="2607"/>
      <c r="BP27" s="2607"/>
      <c r="BQ27" s="2607"/>
      <c r="BR27" s="2607"/>
      <c r="BS27" s="2607"/>
      <c r="BT27" s="2605"/>
      <c r="BU27" s="2198"/>
      <c r="BV27" s="2198"/>
      <c r="BW27" s="2605"/>
      <c r="BX27" s="2189"/>
      <c r="BY27" s="2189"/>
      <c r="BZ27" s="2189"/>
      <c r="CA27" s="2559">
        <f t="shared" si="30"/>
        <v>0</v>
      </c>
      <c r="CB27" s="2560">
        <f t="shared" si="30"/>
        <v>0</v>
      </c>
      <c r="CC27" s="2560">
        <f t="shared" si="30"/>
        <v>0</v>
      </c>
      <c r="CD27" s="2560">
        <f t="shared" si="30"/>
        <v>0</v>
      </c>
      <c r="CE27" s="2560">
        <f t="shared" si="30"/>
        <v>0</v>
      </c>
      <c r="CF27" s="2560">
        <f t="shared" si="30"/>
        <v>0</v>
      </c>
      <c r="CG27" s="2560">
        <f t="shared" si="30"/>
        <v>0</v>
      </c>
      <c r="CH27" s="2560">
        <f t="shared" si="30"/>
        <v>0</v>
      </c>
      <c r="CI27" s="2560">
        <f t="shared" si="30"/>
        <v>0</v>
      </c>
      <c r="CJ27" s="2560">
        <f t="shared" si="30"/>
        <v>0</v>
      </c>
      <c r="CK27" s="2560">
        <f t="shared" si="30"/>
        <v>0</v>
      </c>
      <c r="CL27" s="2560">
        <f t="shared" si="30"/>
        <v>0</v>
      </c>
      <c r="CM27" s="2560">
        <f t="shared" si="30"/>
        <v>0</v>
      </c>
      <c r="CN27" s="2560">
        <f t="shared" si="30"/>
        <v>0</v>
      </c>
      <c r="CO27" s="2560">
        <f t="shared" si="30"/>
        <v>0</v>
      </c>
      <c r="CP27" s="2560">
        <f t="shared" si="28"/>
        <v>0</v>
      </c>
      <c r="CQ27" s="2560">
        <f t="shared" si="2"/>
        <v>0</v>
      </c>
      <c r="CR27" s="2560">
        <f t="shared" si="2"/>
        <v>0</v>
      </c>
      <c r="CS27" s="2560">
        <f t="shared" si="2"/>
        <v>0</v>
      </c>
      <c r="CT27" s="2560">
        <f t="shared" si="2"/>
        <v>0</v>
      </c>
      <c r="CU27" s="2560">
        <f t="shared" si="2"/>
        <v>0</v>
      </c>
      <c r="CV27" s="2560">
        <f t="shared" si="2"/>
        <v>0</v>
      </c>
      <c r="CW27" s="2560">
        <f t="shared" si="2"/>
        <v>0</v>
      </c>
      <c r="CX27" s="2560">
        <f t="shared" si="2"/>
        <v>0</v>
      </c>
      <c r="CY27" s="2560">
        <f t="shared" si="2"/>
        <v>0</v>
      </c>
      <c r="CZ27" s="2560">
        <f t="shared" si="2"/>
        <v>0</v>
      </c>
      <c r="DA27" s="2560">
        <f t="shared" si="2"/>
        <v>0</v>
      </c>
      <c r="DB27" s="2560">
        <f t="shared" si="2"/>
        <v>0</v>
      </c>
      <c r="DC27" s="2560">
        <f>AI27-BS27</f>
        <v>0</v>
      </c>
      <c r="DD27" s="2608">
        <f>AJ27-BT27</f>
        <v>0</v>
      </c>
      <c r="DE27" s="2189"/>
      <c r="DF27" s="2608">
        <f t="shared" si="29"/>
        <v>0</v>
      </c>
      <c r="DG27" s="2189"/>
    </row>
    <row r="28" spans="1:111" s="2196" customFormat="1" ht="8.25" customHeight="1" x14ac:dyDescent="0.3">
      <c r="A28" s="2189"/>
      <c r="B28" s="2587"/>
      <c r="C28" s="2587"/>
      <c r="D28" s="2587"/>
      <c r="E28" s="2587"/>
      <c r="F28" s="2593"/>
      <c r="G28" s="2587"/>
      <c r="H28" s="2587"/>
      <c r="I28" s="2587"/>
      <c r="J28" s="2587"/>
      <c r="K28" s="2587"/>
      <c r="L28" s="2587"/>
      <c r="M28" s="2587"/>
      <c r="N28" s="2587"/>
      <c r="O28" s="2587"/>
      <c r="P28" s="2587"/>
      <c r="Q28" s="2587"/>
      <c r="R28" s="2587"/>
      <c r="S28" s="2587"/>
      <c r="T28" s="2587"/>
      <c r="U28" s="2587"/>
      <c r="V28" s="2587"/>
      <c r="W28" s="2587"/>
      <c r="X28" s="2587"/>
      <c r="Y28" s="2587"/>
      <c r="Z28" s="2587"/>
      <c r="AA28" s="2587"/>
      <c r="AB28" s="2587"/>
      <c r="AC28" s="2587"/>
      <c r="AD28" s="2587"/>
      <c r="AE28" s="2587"/>
      <c r="AF28" s="2587"/>
      <c r="AG28" s="2587"/>
      <c r="AH28" s="2587"/>
      <c r="AI28" s="2587"/>
      <c r="AJ28" s="2587"/>
      <c r="AK28" s="1070"/>
      <c r="AL28" s="2189"/>
      <c r="AM28" s="2189"/>
      <c r="AN28" s="2189"/>
      <c r="AO28" s="2189"/>
      <c r="AP28" s="2189"/>
      <c r="AQ28" s="2587"/>
      <c r="AR28" s="2587"/>
      <c r="AS28" s="2587"/>
      <c r="AT28" s="2587"/>
      <c r="AU28" s="2587"/>
      <c r="AV28" s="2587"/>
      <c r="AW28" s="2587"/>
      <c r="AX28" s="2587"/>
      <c r="AY28" s="2587"/>
      <c r="AZ28" s="2587"/>
      <c r="BA28" s="2587"/>
      <c r="BB28" s="2587"/>
      <c r="BC28" s="2587"/>
      <c r="BD28" s="2587"/>
      <c r="BE28" s="2587"/>
      <c r="BF28" s="2587"/>
      <c r="BG28" s="2587"/>
      <c r="BH28" s="2587"/>
      <c r="BI28" s="2587"/>
      <c r="BJ28" s="2587"/>
      <c r="BK28" s="2587"/>
      <c r="BL28" s="2587"/>
      <c r="BM28" s="2587"/>
      <c r="BN28" s="2587"/>
      <c r="BO28" s="2587"/>
      <c r="BP28" s="2587"/>
      <c r="BQ28" s="2587"/>
      <c r="BR28" s="2587"/>
      <c r="BS28" s="2587"/>
      <c r="BT28" s="2593"/>
      <c r="BU28" s="2189"/>
      <c r="BV28" s="2189"/>
      <c r="BW28" s="2593"/>
      <c r="BX28" s="2189"/>
      <c r="BY28" s="2189"/>
      <c r="BZ28" s="2189"/>
      <c r="CA28" s="2189"/>
      <c r="CB28" s="2189"/>
      <c r="CC28" s="2189"/>
      <c r="CD28" s="2189"/>
      <c r="CE28" s="2189"/>
      <c r="CF28" s="2189"/>
      <c r="CG28" s="2189"/>
      <c r="CH28" s="2189"/>
      <c r="CI28" s="2189"/>
      <c r="CJ28" s="2189"/>
      <c r="CK28" s="2189"/>
      <c r="CL28" s="2189"/>
      <c r="CM28" s="2189"/>
      <c r="CN28" s="2189"/>
      <c r="CO28" s="2189"/>
      <c r="CP28" s="2189"/>
      <c r="CQ28" s="2189"/>
      <c r="CR28" s="2189"/>
      <c r="CS28" s="2189"/>
      <c r="CT28" s="2189"/>
      <c r="CU28" s="2189"/>
      <c r="CV28" s="2189"/>
      <c r="CW28" s="2189"/>
      <c r="CX28" s="2189"/>
      <c r="CY28" s="2189"/>
      <c r="CZ28" s="2189"/>
      <c r="DA28" s="2189"/>
      <c r="DB28" s="2189"/>
      <c r="DC28" s="2189"/>
      <c r="DD28" s="2189"/>
      <c r="DE28" s="2189"/>
      <c r="DF28" s="2189"/>
      <c r="DG28" s="2189"/>
    </row>
    <row r="29" spans="1:111" s="2196" customFormat="1" ht="18" outlineLevel="2" x14ac:dyDescent="0.3">
      <c r="A29" s="2189"/>
      <c r="B29" s="2498" t="s">
        <v>1644</v>
      </c>
      <c r="C29" s="2587"/>
      <c r="D29" s="2587"/>
      <c r="E29" s="2587"/>
      <c r="F29" s="2593"/>
      <c r="G29" s="1853">
        <f>G8</f>
        <v>0</v>
      </c>
      <c r="H29" s="1853">
        <f t="shared" ref="H29:AI30" si="31">H8</f>
        <v>0</v>
      </c>
      <c r="I29" s="1853">
        <f t="shared" si="31"/>
        <v>0</v>
      </c>
      <c r="J29" s="1853">
        <f t="shared" si="31"/>
        <v>0</v>
      </c>
      <c r="K29" s="1853">
        <f t="shared" si="31"/>
        <v>0</v>
      </c>
      <c r="L29" s="1853">
        <f t="shared" si="31"/>
        <v>0</v>
      </c>
      <c r="M29" s="1853">
        <f t="shared" si="31"/>
        <v>0</v>
      </c>
      <c r="N29" s="1853">
        <f t="shared" si="31"/>
        <v>0</v>
      </c>
      <c r="O29" s="1853">
        <f t="shared" si="31"/>
        <v>0</v>
      </c>
      <c r="P29" s="1853">
        <f t="shared" si="31"/>
        <v>0</v>
      </c>
      <c r="Q29" s="1853">
        <f t="shared" si="31"/>
        <v>0</v>
      </c>
      <c r="R29" s="1853">
        <f t="shared" si="31"/>
        <v>0</v>
      </c>
      <c r="S29" s="1853">
        <f t="shared" si="31"/>
        <v>0</v>
      </c>
      <c r="T29" s="1853">
        <f t="shared" si="31"/>
        <v>0</v>
      </c>
      <c r="U29" s="1853">
        <f t="shared" si="31"/>
        <v>0</v>
      </c>
      <c r="V29" s="1853">
        <f t="shared" si="31"/>
        <v>0</v>
      </c>
      <c r="W29" s="1853">
        <f t="shared" si="31"/>
        <v>0</v>
      </c>
      <c r="X29" s="1853">
        <f t="shared" si="31"/>
        <v>0</v>
      </c>
      <c r="Y29" s="1853">
        <f t="shared" si="31"/>
        <v>0</v>
      </c>
      <c r="Z29" s="1853">
        <f t="shared" si="31"/>
        <v>0</v>
      </c>
      <c r="AA29" s="1853">
        <f t="shared" si="31"/>
        <v>0</v>
      </c>
      <c r="AB29" s="1853">
        <f t="shared" si="31"/>
        <v>0</v>
      </c>
      <c r="AC29" s="1853">
        <f t="shared" si="31"/>
        <v>0</v>
      </c>
      <c r="AD29" s="1853">
        <f t="shared" si="31"/>
        <v>0</v>
      </c>
      <c r="AE29" s="1853">
        <f t="shared" si="31"/>
        <v>0</v>
      </c>
      <c r="AF29" s="1853">
        <f t="shared" si="31"/>
        <v>0</v>
      </c>
      <c r="AG29" s="1853">
        <f t="shared" si="31"/>
        <v>0</v>
      </c>
      <c r="AH29" s="1853">
        <f t="shared" si="31"/>
        <v>0</v>
      </c>
      <c r="AI29" s="1853">
        <f t="shared" si="31"/>
        <v>0</v>
      </c>
      <c r="AJ29" s="2587"/>
      <c r="AK29" s="1070"/>
      <c r="AL29" s="2189"/>
      <c r="AM29" s="2189"/>
      <c r="AN29" s="2189"/>
      <c r="AO29" s="2189"/>
      <c r="AP29" s="2189"/>
      <c r="AQ29" s="2587"/>
      <c r="AR29" s="2587"/>
      <c r="AS29" s="2587"/>
      <c r="AT29" s="2587"/>
      <c r="AU29" s="2587"/>
      <c r="AV29" s="2587"/>
      <c r="AW29" s="2587"/>
      <c r="AX29" s="2587"/>
      <c r="AY29" s="2587"/>
      <c r="AZ29" s="2587"/>
      <c r="BA29" s="2587"/>
      <c r="BB29" s="2587"/>
      <c r="BC29" s="2587"/>
      <c r="BD29" s="2587"/>
      <c r="BE29" s="2587"/>
      <c r="BF29" s="2587"/>
      <c r="BG29" s="2587"/>
      <c r="BH29" s="2587"/>
      <c r="BI29" s="2587"/>
      <c r="BJ29" s="2587"/>
      <c r="BK29" s="2587"/>
      <c r="BL29" s="2587"/>
      <c r="BM29" s="2587"/>
      <c r="BN29" s="2587"/>
      <c r="BO29" s="2587"/>
      <c r="BP29" s="2587"/>
      <c r="BQ29" s="2587"/>
      <c r="BR29" s="2587"/>
      <c r="BS29" s="2587"/>
      <c r="BT29" s="2593"/>
      <c r="BU29" s="2189"/>
      <c r="BV29" s="2189"/>
      <c r="BW29" s="2593"/>
      <c r="BX29" s="2189"/>
      <c r="BY29" s="2189"/>
      <c r="BZ29" s="2189"/>
      <c r="CA29" s="2189"/>
      <c r="CB29" s="2189"/>
      <c r="CC29" s="2189"/>
      <c r="CD29" s="2189"/>
      <c r="CE29" s="2189"/>
      <c r="CF29" s="2189"/>
      <c r="CG29" s="2189"/>
      <c r="CH29" s="2189"/>
      <c r="CI29" s="2189"/>
      <c r="CJ29" s="2189"/>
      <c r="CK29" s="2189"/>
      <c r="CL29" s="2189"/>
      <c r="CM29" s="2189"/>
      <c r="CN29" s="2189"/>
      <c r="CO29" s="2189"/>
      <c r="CP29" s="2189"/>
      <c r="CQ29" s="2189"/>
      <c r="CR29" s="2189"/>
      <c r="CS29" s="2189"/>
      <c r="CT29" s="2189"/>
      <c r="CU29" s="2189"/>
      <c r="CV29" s="2189"/>
      <c r="CW29" s="2189"/>
      <c r="CX29" s="2189"/>
      <c r="CY29" s="2189"/>
      <c r="CZ29" s="2189"/>
      <c r="DA29" s="2189"/>
      <c r="DB29" s="2189"/>
      <c r="DC29" s="2189"/>
      <c r="DD29" s="2189"/>
      <c r="DE29" s="2189"/>
      <c r="DF29" s="2189"/>
      <c r="DG29" s="2189"/>
    </row>
    <row r="30" spans="1:111" s="2196" customFormat="1" ht="18" outlineLevel="2" x14ac:dyDescent="0.3">
      <c r="A30" s="2189"/>
      <c r="B30" s="3363" t="str">
        <f>Input!D33</f>
        <v>B</v>
      </c>
      <c r="C30" s="3364"/>
      <c r="D30" s="3364"/>
      <c r="E30" s="3364"/>
      <c r="F30" s="3365"/>
      <c r="G30" s="1752" t="str">
        <f>G9</f>
        <v>FY18</v>
      </c>
      <c r="H30" s="1243" t="str">
        <f t="shared" si="31"/>
        <v>FY19</v>
      </c>
      <c r="I30" s="1243" t="str">
        <f t="shared" si="31"/>
        <v>FY20</v>
      </c>
      <c r="J30" s="1243" t="str">
        <f t="shared" si="31"/>
        <v>FY21</v>
      </c>
      <c r="K30" s="1243" t="str">
        <f t="shared" si="31"/>
        <v>FY22</v>
      </c>
      <c r="L30" s="1243" t="str">
        <f t="shared" si="31"/>
        <v>FY23</v>
      </c>
      <c r="M30" s="1243" t="str">
        <f t="shared" si="31"/>
        <v>FY24</v>
      </c>
      <c r="N30" s="1243" t="str">
        <f t="shared" si="31"/>
        <v>FY25</v>
      </c>
      <c r="O30" s="1243" t="str">
        <f t="shared" si="31"/>
        <v>FY26</v>
      </c>
      <c r="P30" s="1243" t="str">
        <f t="shared" si="31"/>
        <v>FY27</v>
      </c>
      <c r="Q30" s="1243" t="str">
        <f t="shared" si="31"/>
        <v>FY28</v>
      </c>
      <c r="R30" s="1243" t="str">
        <f t="shared" si="31"/>
        <v>FY29</v>
      </c>
      <c r="S30" s="1243" t="str">
        <f t="shared" si="31"/>
        <v>FY30</v>
      </c>
      <c r="T30" s="1243" t="str">
        <f t="shared" si="31"/>
        <v>FY31</v>
      </c>
      <c r="U30" s="1243" t="str">
        <f t="shared" si="31"/>
        <v>FY32</v>
      </c>
      <c r="V30" s="1243" t="str">
        <f t="shared" si="31"/>
        <v>FY33</v>
      </c>
      <c r="W30" s="1243" t="str">
        <f t="shared" si="31"/>
        <v>FY34</v>
      </c>
      <c r="X30" s="1243" t="str">
        <f t="shared" si="31"/>
        <v>FY35</v>
      </c>
      <c r="Y30" s="1243" t="str">
        <f t="shared" si="31"/>
        <v>FY36</v>
      </c>
      <c r="Z30" s="1243" t="str">
        <f t="shared" si="31"/>
        <v>FY37</v>
      </c>
      <c r="AA30" s="1243" t="str">
        <f t="shared" si="31"/>
        <v>FY38</v>
      </c>
      <c r="AB30" s="1243" t="str">
        <f t="shared" si="31"/>
        <v>FY39</v>
      </c>
      <c r="AC30" s="1243" t="str">
        <f t="shared" si="31"/>
        <v>FY40</v>
      </c>
      <c r="AD30" s="1243" t="str">
        <f t="shared" si="31"/>
        <v>FY41</v>
      </c>
      <c r="AE30" s="1243" t="str">
        <f t="shared" si="31"/>
        <v>FY42</v>
      </c>
      <c r="AF30" s="1243" t="str">
        <f t="shared" si="31"/>
        <v>FY43</v>
      </c>
      <c r="AG30" s="1243" t="str">
        <f t="shared" si="31"/>
        <v>FY44</v>
      </c>
      <c r="AH30" s="1243" t="str">
        <f t="shared" si="31"/>
        <v>FY45</v>
      </c>
      <c r="AI30" s="1243" t="str">
        <f t="shared" si="31"/>
        <v>FY46</v>
      </c>
      <c r="AJ30" s="1857" t="str">
        <f>"FY"&amp;CurrentFY&amp;"-"&amp;CurrentFY+9</f>
        <v>FY18-27</v>
      </c>
      <c r="AK30" s="2609"/>
      <c r="AL30" s="1070"/>
      <c r="AM30" s="1857" t="str">
        <f>"FY"&amp;CurrentFY&amp;"-"&amp;CurrentFY+14</f>
        <v>FY18-32</v>
      </c>
      <c r="AN30" s="1070"/>
      <c r="AO30" s="1070"/>
      <c r="AP30" s="1070"/>
      <c r="AQ30" s="1752" t="str">
        <f>AQ9</f>
        <v>FY18</v>
      </c>
      <c r="AR30" s="1243" t="str">
        <f t="shared" ref="AR30:BS30" si="32">AR9</f>
        <v>FY19</v>
      </c>
      <c r="AS30" s="1243" t="str">
        <f t="shared" si="32"/>
        <v>FY20</v>
      </c>
      <c r="AT30" s="1243" t="str">
        <f t="shared" si="32"/>
        <v>FY21</v>
      </c>
      <c r="AU30" s="1243" t="str">
        <f t="shared" si="32"/>
        <v>FY22</v>
      </c>
      <c r="AV30" s="1243" t="str">
        <f t="shared" si="32"/>
        <v>FY23</v>
      </c>
      <c r="AW30" s="1243" t="str">
        <f t="shared" si="32"/>
        <v>FY24</v>
      </c>
      <c r="AX30" s="1243" t="str">
        <f t="shared" si="32"/>
        <v>FY25</v>
      </c>
      <c r="AY30" s="1243" t="str">
        <f t="shared" si="32"/>
        <v>FY26</v>
      </c>
      <c r="AZ30" s="1243" t="str">
        <f t="shared" si="32"/>
        <v>FY27</v>
      </c>
      <c r="BA30" s="1243" t="str">
        <f t="shared" si="32"/>
        <v>FY28</v>
      </c>
      <c r="BB30" s="1243" t="str">
        <f t="shared" si="32"/>
        <v>FY29</v>
      </c>
      <c r="BC30" s="1243" t="str">
        <f t="shared" si="32"/>
        <v>FY30</v>
      </c>
      <c r="BD30" s="1243" t="str">
        <f t="shared" si="32"/>
        <v>FY31</v>
      </c>
      <c r="BE30" s="1243" t="str">
        <f t="shared" si="32"/>
        <v>FY32</v>
      </c>
      <c r="BF30" s="1243" t="str">
        <f t="shared" si="32"/>
        <v>FY33</v>
      </c>
      <c r="BG30" s="1243" t="str">
        <f t="shared" si="32"/>
        <v>FY34</v>
      </c>
      <c r="BH30" s="2500" t="str">
        <f t="shared" si="32"/>
        <v>FY35</v>
      </c>
      <c r="BI30" s="2500" t="str">
        <f t="shared" si="32"/>
        <v>FY36</v>
      </c>
      <c r="BJ30" s="2500" t="str">
        <f t="shared" si="32"/>
        <v>FY37</v>
      </c>
      <c r="BK30" s="2500" t="str">
        <f t="shared" si="32"/>
        <v>FY38</v>
      </c>
      <c r="BL30" s="2500" t="str">
        <f t="shared" si="32"/>
        <v>FY39</v>
      </c>
      <c r="BM30" s="2500" t="str">
        <f t="shared" si="32"/>
        <v>FY40</v>
      </c>
      <c r="BN30" s="2500" t="str">
        <f t="shared" si="32"/>
        <v>FY41</v>
      </c>
      <c r="BO30" s="2500" t="str">
        <f t="shared" si="32"/>
        <v>FY42</v>
      </c>
      <c r="BP30" s="2500" t="str">
        <f t="shared" si="32"/>
        <v>FY43</v>
      </c>
      <c r="BQ30" s="2500" t="str">
        <f t="shared" si="32"/>
        <v>FY44</v>
      </c>
      <c r="BR30" s="2500" t="str">
        <f t="shared" si="32"/>
        <v>FY45</v>
      </c>
      <c r="BS30" s="2500" t="str">
        <f t="shared" si="32"/>
        <v>FY46</v>
      </c>
      <c r="BT30" s="1857" t="str">
        <f>"FY"&amp;CurrentFY&amp;"-"&amp;CurrentFY+9</f>
        <v>FY18-27</v>
      </c>
      <c r="BU30" s="2189"/>
      <c r="BV30" s="2189"/>
      <c r="BW30" s="1857" t="str">
        <f>"FY"&amp;CurrentFY&amp;"-"&amp;CurrentFY+9</f>
        <v>FY18-27</v>
      </c>
      <c r="BX30" s="2189"/>
      <c r="BY30" s="2189"/>
      <c r="BZ30" s="2189"/>
      <c r="CA30" s="1752" t="str">
        <f>CA9</f>
        <v>FY18</v>
      </c>
      <c r="CB30" s="1243" t="str">
        <f t="shared" ref="CB30:DC30" si="33">CB9</f>
        <v>FY19</v>
      </c>
      <c r="CC30" s="1243" t="str">
        <f t="shared" si="33"/>
        <v>FY20</v>
      </c>
      <c r="CD30" s="1243" t="str">
        <f t="shared" si="33"/>
        <v>FY21</v>
      </c>
      <c r="CE30" s="1243" t="str">
        <f t="shared" si="33"/>
        <v>FY22</v>
      </c>
      <c r="CF30" s="1243" t="str">
        <f t="shared" si="33"/>
        <v>FY23</v>
      </c>
      <c r="CG30" s="1243" t="str">
        <f t="shared" si="33"/>
        <v>FY24</v>
      </c>
      <c r="CH30" s="1243" t="str">
        <f t="shared" si="33"/>
        <v>FY25</v>
      </c>
      <c r="CI30" s="1243" t="str">
        <f t="shared" si="33"/>
        <v>FY26</v>
      </c>
      <c r="CJ30" s="1243" t="str">
        <f t="shared" si="33"/>
        <v>FY27</v>
      </c>
      <c r="CK30" s="1243" t="str">
        <f t="shared" si="33"/>
        <v>FY28</v>
      </c>
      <c r="CL30" s="1243" t="str">
        <f t="shared" si="33"/>
        <v>FY29</v>
      </c>
      <c r="CM30" s="1243" t="str">
        <f t="shared" si="33"/>
        <v>FY30</v>
      </c>
      <c r="CN30" s="1243" t="str">
        <f t="shared" si="33"/>
        <v>FY31</v>
      </c>
      <c r="CO30" s="1243" t="str">
        <f t="shared" si="33"/>
        <v>FY32</v>
      </c>
      <c r="CP30" s="1243" t="str">
        <f t="shared" si="33"/>
        <v>FY33</v>
      </c>
      <c r="CQ30" s="1243" t="str">
        <f t="shared" si="33"/>
        <v>FY34</v>
      </c>
      <c r="CR30" s="1243" t="str">
        <f t="shared" si="33"/>
        <v>FY35</v>
      </c>
      <c r="CS30" s="1243" t="str">
        <f t="shared" si="33"/>
        <v>FY36</v>
      </c>
      <c r="CT30" s="1243" t="str">
        <f t="shared" si="33"/>
        <v>FY37</v>
      </c>
      <c r="CU30" s="1243" t="str">
        <f t="shared" si="33"/>
        <v>FY38</v>
      </c>
      <c r="CV30" s="1243" t="str">
        <f t="shared" si="33"/>
        <v>FY39</v>
      </c>
      <c r="CW30" s="1243" t="str">
        <f t="shared" si="33"/>
        <v>FY40</v>
      </c>
      <c r="CX30" s="1243" t="str">
        <f t="shared" si="33"/>
        <v>FY41</v>
      </c>
      <c r="CY30" s="1243" t="str">
        <f t="shared" si="33"/>
        <v>FY42</v>
      </c>
      <c r="CZ30" s="1243" t="str">
        <f t="shared" si="33"/>
        <v>FY43</v>
      </c>
      <c r="DA30" s="1243" t="str">
        <f t="shared" si="33"/>
        <v>FY44</v>
      </c>
      <c r="DB30" s="1243" t="str">
        <f t="shared" si="33"/>
        <v>FY45</v>
      </c>
      <c r="DC30" s="2500" t="str">
        <f t="shared" si="33"/>
        <v>FY46</v>
      </c>
      <c r="DD30" s="1857" t="str">
        <f>"FY"&amp;CurrentFY&amp;"-"&amp;CurrentFY+9</f>
        <v>FY18-27</v>
      </c>
      <c r="DE30" s="2189"/>
      <c r="DF30" s="1857" t="str">
        <f>"FY"&amp;CurrentFY&amp;"-"&amp;CurrentFY+14</f>
        <v>FY18-32</v>
      </c>
      <c r="DG30" s="2189"/>
    </row>
    <row r="31" spans="1:111" s="2196" customFormat="1" ht="15.6" outlineLevel="2" x14ac:dyDescent="0.3">
      <c r="A31" s="2189"/>
      <c r="B31" s="2501" t="s">
        <v>1645</v>
      </c>
      <c r="C31" s="2502"/>
      <c r="D31" s="2502"/>
      <c r="E31" s="2502"/>
      <c r="F31" s="2610"/>
      <c r="G31" s="2505">
        <v>0</v>
      </c>
      <c r="H31" s="2505">
        <v>0</v>
      </c>
      <c r="I31" s="2505">
        <v>0</v>
      </c>
      <c r="J31" s="2505"/>
      <c r="K31" s="2505"/>
      <c r="L31" s="2505">
        <v>0</v>
      </c>
      <c r="M31" s="2505">
        <v>0</v>
      </c>
      <c r="N31" s="2505">
        <v>0</v>
      </c>
      <c r="O31" s="2505">
        <v>0</v>
      </c>
      <c r="P31" s="2505">
        <v>0</v>
      </c>
      <c r="Q31" s="2505">
        <v>0</v>
      </c>
      <c r="R31" s="2505">
        <v>0</v>
      </c>
      <c r="S31" s="2505">
        <v>0</v>
      </c>
      <c r="T31" s="2505">
        <v>0</v>
      </c>
      <c r="U31" s="2505">
        <v>0</v>
      </c>
      <c r="V31" s="2505">
        <v>0</v>
      </c>
      <c r="W31" s="2505">
        <v>0</v>
      </c>
      <c r="X31" s="2505">
        <v>0</v>
      </c>
      <c r="Y31" s="2505">
        <v>0</v>
      </c>
      <c r="Z31" s="2505">
        <v>0</v>
      </c>
      <c r="AA31" s="2505">
        <v>0</v>
      </c>
      <c r="AB31" s="2505">
        <v>0</v>
      </c>
      <c r="AC31" s="2505">
        <v>0</v>
      </c>
      <c r="AD31" s="2505">
        <v>0</v>
      </c>
      <c r="AE31" s="2505">
        <v>0</v>
      </c>
      <c r="AF31" s="2505">
        <v>0</v>
      </c>
      <c r="AG31" s="2505">
        <v>0</v>
      </c>
      <c r="AH31" s="2505">
        <v>0</v>
      </c>
      <c r="AI31" s="2505">
        <v>0</v>
      </c>
      <c r="AJ31" s="2506">
        <f>SUMIF($G$115:$AI$115,"1",$G31:$AI31)</f>
        <v>0</v>
      </c>
      <c r="AK31" s="2507"/>
      <c r="AL31" s="1082"/>
      <c r="AM31" s="2506">
        <f>SUMIF($G$115:$AI$115,"1",$G31:$AI31)+SUMIF($G$115:$AI$115,"2",$G31:$AI31)</f>
        <v>0</v>
      </c>
      <c r="AN31" s="2508"/>
      <c r="AO31" s="1070"/>
      <c r="AP31" s="1070"/>
      <c r="AQ31" s="2504">
        <v>0</v>
      </c>
      <c r="AR31" s="2505">
        <v>0</v>
      </c>
      <c r="AS31" s="2505">
        <v>0</v>
      </c>
      <c r="AT31" s="2505">
        <v>0</v>
      </c>
      <c r="AU31" s="2505">
        <v>0</v>
      </c>
      <c r="AV31" s="2505">
        <v>0</v>
      </c>
      <c r="AW31" s="2505">
        <v>0</v>
      </c>
      <c r="AX31" s="2505">
        <v>0</v>
      </c>
      <c r="AY31" s="2505">
        <v>0</v>
      </c>
      <c r="AZ31" s="2505">
        <v>0</v>
      </c>
      <c r="BA31" s="2505">
        <v>0</v>
      </c>
      <c r="BB31" s="2505">
        <v>0</v>
      </c>
      <c r="BC31" s="2505">
        <v>0</v>
      </c>
      <c r="BD31" s="2505">
        <v>0</v>
      </c>
      <c r="BE31" s="2505">
        <v>0</v>
      </c>
      <c r="BF31" s="2505">
        <v>0</v>
      </c>
      <c r="BG31" s="2505">
        <v>0</v>
      </c>
      <c r="BH31" s="2509">
        <v>0</v>
      </c>
      <c r="BI31" s="2509">
        <v>0</v>
      </c>
      <c r="BJ31" s="2509">
        <v>0</v>
      </c>
      <c r="BK31" s="2509">
        <v>0</v>
      </c>
      <c r="BL31" s="2509">
        <v>0</v>
      </c>
      <c r="BM31" s="2509">
        <v>0</v>
      </c>
      <c r="BN31" s="2509">
        <v>0</v>
      </c>
      <c r="BO31" s="2509">
        <v>0</v>
      </c>
      <c r="BP31" s="2509">
        <v>0</v>
      </c>
      <c r="BQ31" s="2509">
        <v>0</v>
      </c>
      <c r="BR31" s="2509">
        <v>0</v>
      </c>
      <c r="BS31" s="2509">
        <v>0</v>
      </c>
      <c r="BT31" s="2506">
        <f>SUMIF($AQ$115:$BS$115,"1",$AQ31:$BS31)</f>
        <v>0</v>
      </c>
      <c r="BU31" s="2198"/>
      <c r="BV31" s="2198"/>
      <c r="BW31" s="2506">
        <f>SUMIF($AQ$115:$BS$115,"1",$AQ31:$BS31)+SUMIF($AQ$115:$BS$115,"2",$AQ31:$BS31)</f>
        <v>0</v>
      </c>
      <c r="BX31" s="2189"/>
      <c r="BY31" s="2189"/>
      <c r="BZ31" s="2189"/>
      <c r="CA31" s="2510">
        <f t="shared" ref="CA31:CP46" si="34">G31-AQ31</f>
        <v>0</v>
      </c>
      <c r="CB31" s="2511">
        <f t="shared" si="34"/>
        <v>0</v>
      </c>
      <c r="CC31" s="2511">
        <f t="shared" si="34"/>
        <v>0</v>
      </c>
      <c r="CD31" s="2511">
        <f t="shared" si="34"/>
        <v>0</v>
      </c>
      <c r="CE31" s="2511">
        <f t="shared" si="34"/>
        <v>0</v>
      </c>
      <c r="CF31" s="2511">
        <f t="shared" si="34"/>
        <v>0</v>
      </c>
      <c r="CG31" s="2511">
        <f t="shared" si="34"/>
        <v>0</v>
      </c>
      <c r="CH31" s="2511">
        <f t="shared" si="34"/>
        <v>0</v>
      </c>
      <c r="CI31" s="2511">
        <f t="shared" si="34"/>
        <v>0</v>
      </c>
      <c r="CJ31" s="2511">
        <f t="shared" si="34"/>
        <v>0</v>
      </c>
      <c r="CK31" s="2511">
        <f t="shared" si="34"/>
        <v>0</v>
      </c>
      <c r="CL31" s="2511">
        <f t="shared" si="34"/>
        <v>0</v>
      </c>
      <c r="CM31" s="2511">
        <f t="shared" si="34"/>
        <v>0</v>
      </c>
      <c r="CN31" s="2511">
        <f t="shared" si="34"/>
        <v>0</v>
      </c>
      <c r="CO31" s="2511">
        <f t="shared" si="34"/>
        <v>0</v>
      </c>
      <c r="CP31" s="2511">
        <f t="shared" si="34"/>
        <v>0</v>
      </c>
      <c r="CQ31" s="2511">
        <f t="shared" ref="CQ31:DD48" si="35">W31-BG31</f>
        <v>0</v>
      </c>
      <c r="CR31" s="2511">
        <f t="shared" si="35"/>
        <v>0</v>
      </c>
      <c r="CS31" s="2511">
        <f t="shared" si="35"/>
        <v>0</v>
      </c>
      <c r="CT31" s="2511">
        <f t="shared" si="35"/>
        <v>0</v>
      </c>
      <c r="CU31" s="2511">
        <f t="shared" si="35"/>
        <v>0</v>
      </c>
      <c r="CV31" s="2511">
        <f t="shared" si="35"/>
        <v>0</v>
      </c>
      <c r="CW31" s="2511">
        <f t="shared" si="35"/>
        <v>0</v>
      </c>
      <c r="CX31" s="2511">
        <f t="shared" si="35"/>
        <v>0</v>
      </c>
      <c r="CY31" s="2511">
        <f t="shared" si="35"/>
        <v>0</v>
      </c>
      <c r="CZ31" s="2511">
        <f t="shared" si="35"/>
        <v>0</v>
      </c>
      <c r="DA31" s="2511">
        <f t="shared" si="35"/>
        <v>0</v>
      </c>
      <c r="DB31" s="2511">
        <f t="shared" si="35"/>
        <v>0</v>
      </c>
      <c r="DC31" s="2511">
        <f t="shared" si="35"/>
        <v>0</v>
      </c>
      <c r="DD31" s="2512">
        <f t="shared" si="35"/>
        <v>0</v>
      </c>
      <c r="DE31" s="2189"/>
      <c r="DF31" s="2512">
        <f>AM31-BW31</f>
        <v>0</v>
      </c>
      <c r="DG31" s="2189"/>
    </row>
    <row r="32" spans="1:111" s="2196" customFormat="1" ht="15.6" outlineLevel="2" x14ac:dyDescent="0.3">
      <c r="A32" s="2189"/>
      <c r="B32" s="2513" t="s">
        <v>1572</v>
      </c>
      <c r="C32" s="2514"/>
      <c r="D32" s="2514"/>
      <c r="E32" s="2514"/>
      <c r="F32" s="2611"/>
      <c r="G32" s="2517">
        <v>0</v>
      </c>
      <c r="H32" s="2517">
        <v>0</v>
      </c>
      <c r="I32" s="2517">
        <v>0</v>
      </c>
      <c r="J32" s="2517"/>
      <c r="K32" s="2517"/>
      <c r="L32" s="2517">
        <v>0</v>
      </c>
      <c r="M32" s="2517">
        <v>0</v>
      </c>
      <c r="N32" s="2517">
        <v>0</v>
      </c>
      <c r="O32" s="2517">
        <v>0</v>
      </c>
      <c r="P32" s="2517">
        <v>0</v>
      </c>
      <c r="Q32" s="2517">
        <v>0</v>
      </c>
      <c r="R32" s="2517">
        <v>0</v>
      </c>
      <c r="S32" s="2517">
        <v>0</v>
      </c>
      <c r="T32" s="2517">
        <v>0</v>
      </c>
      <c r="U32" s="2517">
        <v>0</v>
      </c>
      <c r="V32" s="2517">
        <v>0</v>
      </c>
      <c r="W32" s="2517">
        <v>0</v>
      </c>
      <c r="X32" s="2517">
        <v>0</v>
      </c>
      <c r="Y32" s="2517">
        <v>0</v>
      </c>
      <c r="Z32" s="2517">
        <v>0</v>
      </c>
      <c r="AA32" s="2517">
        <v>0</v>
      </c>
      <c r="AB32" s="2517">
        <v>0</v>
      </c>
      <c r="AC32" s="2517">
        <v>0</v>
      </c>
      <c r="AD32" s="2517">
        <v>0</v>
      </c>
      <c r="AE32" s="2517">
        <v>0</v>
      </c>
      <c r="AF32" s="2517">
        <v>0</v>
      </c>
      <c r="AG32" s="2517">
        <v>0</v>
      </c>
      <c r="AH32" s="2517">
        <v>0</v>
      </c>
      <c r="AI32" s="2517">
        <v>0</v>
      </c>
      <c r="AJ32" s="2518" t="e">
        <f>+AJ33/AJ31</f>
        <v>#DIV/0!</v>
      </c>
      <c r="AK32" s="2519"/>
      <c r="AL32" s="1082"/>
      <c r="AM32" s="2518" t="e">
        <f>+AM33/AM31</f>
        <v>#DIV/0!</v>
      </c>
      <c r="AN32" s="2520"/>
      <c r="AO32" s="1070"/>
      <c r="AP32" s="1070"/>
      <c r="AQ32" s="2516">
        <v>0</v>
      </c>
      <c r="AR32" s="2517">
        <v>0</v>
      </c>
      <c r="AS32" s="2517">
        <v>0</v>
      </c>
      <c r="AT32" s="2517">
        <v>0</v>
      </c>
      <c r="AU32" s="2517">
        <v>0</v>
      </c>
      <c r="AV32" s="2517">
        <v>0</v>
      </c>
      <c r="AW32" s="2517">
        <v>0</v>
      </c>
      <c r="AX32" s="2517">
        <v>0</v>
      </c>
      <c r="AY32" s="2517">
        <v>0</v>
      </c>
      <c r="AZ32" s="2517">
        <v>0</v>
      </c>
      <c r="BA32" s="2517">
        <v>0</v>
      </c>
      <c r="BB32" s="2517">
        <v>0</v>
      </c>
      <c r="BC32" s="2517">
        <v>0</v>
      </c>
      <c r="BD32" s="2517">
        <v>0</v>
      </c>
      <c r="BE32" s="2517">
        <v>0</v>
      </c>
      <c r="BF32" s="2517">
        <v>0</v>
      </c>
      <c r="BG32" s="2517">
        <v>0</v>
      </c>
      <c r="BH32" s="2517">
        <v>0</v>
      </c>
      <c r="BI32" s="2517">
        <v>0</v>
      </c>
      <c r="BJ32" s="2517">
        <v>0</v>
      </c>
      <c r="BK32" s="2517">
        <v>0</v>
      </c>
      <c r="BL32" s="2517">
        <v>0</v>
      </c>
      <c r="BM32" s="2517">
        <v>0</v>
      </c>
      <c r="BN32" s="2517">
        <v>0</v>
      </c>
      <c r="BO32" s="2517">
        <v>0</v>
      </c>
      <c r="BP32" s="2517">
        <v>0</v>
      </c>
      <c r="BQ32" s="2517">
        <v>0</v>
      </c>
      <c r="BR32" s="2517">
        <v>0</v>
      </c>
      <c r="BS32" s="2517">
        <v>0</v>
      </c>
      <c r="BT32" s="2518" t="e">
        <f>+BT33/BT31</f>
        <v>#DIV/0!</v>
      </c>
      <c r="BU32" s="2198"/>
      <c r="BV32" s="2198"/>
      <c r="BW32" s="2518" t="e">
        <f>+BW33/BW31</f>
        <v>#DIV/0!</v>
      </c>
      <c r="BX32" s="2189"/>
      <c r="BY32" s="2189"/>
      <c r="BZ32" s="2189"/>
      <c r="CA32" s="2521">
        <f t="shared" si="34"/>
        <v>0</v>
      </c>
      <c r="CB32" s="2522">
        <f t="shared" si="34"/>
        <v>0</v>
      </c>
      <c r="CC32" s="2522">
        <f t="shared" si="34"/>
        <v>0</v>
      </c>
      <c r="CD32" s="2522">
        <f t="shared" si="34"/>
        <v>0</v>
      </c>
      <c r="CE32" s="2522">
        <f t="shared" si="34"/>
        <v>0</v>
      </c>
      <c r="CF32" s="2522">
        <f t="shared" si="34"/>
        <v>0</v>
      </c>
      <c r="CG32" s="2522">
        <f t="shared" si="34"/>
        <v>0</v>
      </c>
      <c r="CH32" s="2522">
        <f t="shared" si="34"/>
        <v>0</v>
      </c>
      <c r="CI32" s="2522">
        <f t="shared" si="34"/>
        <v>0</v>
      </c>
      <c r="CJ32" s="2522">
        <f t="shared" si="34"/>
        <v>0</v>
      </c>
      <c r="CK32" s="2522">
        <f t="shared" si="34"/>
        <v>0</v>
      </c>
      <c r="CL32" s="2522">
        <f t="shared" si="34"/>
        <v>0</v>
      </c>
      <c r="CM32" s="2522">
        <f t="shared" si="34"/>
        <v>0</v>
      </c>
      <c r="CN32" s="2522">
        <f t="shared" si="34"/>
        <v>0</v>
      </c>
      <c r="CO32" s="2522">
        <f t="shared" si="34"/>
        <v>0</v>
      </c>
      <c r="CP32" s="2522">
        <f t="shared" si="34"/>
        <v>0</v>
      </c>
      <c r="CQ32" s="2522">
        <f t="shared" si="35"/>
        <v>0</v>
      </c>
      <c r="CR32" s="2522">
        <f t="shared" si="35"/>
        <v>0</v>
      </c>
      <c r="CS32" s="2522">
        <f t="shared" si="35"/>
        <v>0</v>
      </c>
      <c r="CT32" s="2522">
        <f t="shared" si="35"/>
        <v>0</v>
      </c>
      <c r="CU32" s="2522">
        <f t="shared" si="35"/>
        <v>0</v>
      </c>
      <c r="CV32" s="2522">
        <f t="shared" si="35"/>
        <v>0</v>
      </c>
      <c r="CW32" s="2522">
        <f t="shared" si="35"/>
        <v>0</v>
      </c>
      <c r="CX32" s="2522">
        <f t="shared" si="35"/>
        <v>0</v>
      </c>
      <c r="CY32" s="2522">
        <f t="shared" si="35"/>
        <v>0</v>
      </c>
      <c r="CZ32" s="2522">
        <f t="shared" si="35"/>
        <v>0</v>
      </c>
      <c r="DA32" s="2522">
        <f t="shared" si="35"/>
        <v>0</v>
      </c>
      <c r="DB32" s="2522">
        <f t="shared" si="35"/>
        <v>0</v>
      </c>
      <c r="DC32" s="2522">
        <f t="shared" si="35"/>
        <v>0</v>
      </c>
      <c r="DD32" s="2518" t="e">
        <f t="shared" si="35"/>
        <v>#DIV/0!</v>
      </c>
      <c r="DE32" s="2189"/>
      <c r="DF32" s="2518" t="e">
        <f t="shared" ref="DF32:DF37" si="36">AM32-BW32</f>
        <v>#DIV/0!</v>
      </c>
      <c r="DG32" s="2189"/>
    </row>
    <row r="33" spans="1:111" s="2196" customFormat="1" ht="18" outlineLevel="2" x14ac:dyDescent="0.35">
      <c r="A33" s="2189"/>
      <c r="B33" s="2523" t="s">
        <v>1646</v>
      </c>
      <c r="C33" s="2524"/>
      <c r="D33" s="2524"/>
      <c r="E33" s="2524"/>
      <c r="F33" s="2612"/>
      <c r="G33" s="2526">
        <f t="shared" ref="G33:P33" si="37">+G31*G32</f>
        <v>0</v>
      </c>
      <c r="H33" s="2526">
        <f t="shared" si="37"/>
        <v>0</v>
      </c>
      <c r="I33" s="2526">
        <f t="shared" si="37"/>
        <v>0</v>
      </c>
      <c r="J33" s="2526">
        <f t="shared" si="37"/>
        <v>0</v>
      </c>
      <c r="K33" s="2526">
        <f t="shared" si="37"/>
        <v>0</v>
      </c>
      <c r="L33" s="2526">
        <f t="shared" si="37"/>
        <v>0</v>
      </c>
      <c r="M33" s="2526">
        <f t="shared" si="37"/>
        <v>0</v>
      </c>
      <c r="N33" s="2526">
        <f t="shared" si="37"/>
        <v>0</v>
      </c>
      <c r="O33" s="2526">
        <f t="shared" si="37"/>
        <v>0</v>
      </c>
      <c r="P33" s="2526">
        <f t="shared" si="37"/>
        <v>0</v>
      </c>
      <c r="Q33" s="2526">
        <f>+Q31*Q32</f>
        <v>0</v>
      </c>
      <c r="R33" s="2526">
        <f t="shared" ref="R33:W33" si="38">+R31*R32</f>
        <v>0</v>
      </c>
      <c r="S33" s="2526">
        <f t="shared" si="38"/>
        <v>0</v>
      </c>
      <c r="T33" s="2526">
        <f t="shared" si="38"/>
        <v>0</v>
      </c>
      <c r="U33" s="2526">
        <f t="shared" si="38"/>
        <v>0</v>
      </c>
      <c r="V33" s="2526">
        <f t="shared" si="38"/>
        <v>0</v>
      </c>
      <c r="W33" s="2526">
        <f t="shared" si="38"/>
        <v>0</v>
      </c>
      <c r="X33" s="2526">
        <f>+X31*X32</f>
        <v>0</v>
      </c>
      <c r="Y33" s="2526">
        <f t="shared" ref="Y33:AI33" si="39">+Y31*Y32</f>
        <v>0</v>
      </c>
      <c r="Z33" s="2526">
        <f t="shared" si="39"/>
        <v>0</v>
      </c>
      <c r="AA33" s="2526">
        <f t="shared" si="39"/>
        <v>0</v>
      </c>
      <c r="AB33" s="2526">
        <f t="shared" si="39"/>
        <v>0</v>
      </c>
      <c r="AC33" s="2526">
        <f t="shared" si="39"/>
        <v>0</v>
      </c>
      <c r="AD33" s="2526">
        <f t="shared" si="39"/>
        <v>0</v>
      </c>
      <c r="AE33" s="2526">
        <f t="shared" si="39"/>
        <v>0</v>
      </c>
      <c r="AF33" s="2526">
        <f t="shared" si="39"/>
        <v>0</v>
      </c>
      <c r="AG33" s="2526">
        <f t="shared" si="39"/>
        <v>0</v>
      </c>
      <c r="AH33" s="2526">
        <f t="shared" si="39"/>
        <v>0</v>
      </c>
      <c r="AI33" s="2526">
        <f t="shared" si="39"/>
        <v>0</v>
      </c>
      <c r="AJ33" s="2527">
        <f>SUMIF($G$115:$AI$115,"1",$G33:$AI33)</f>
        <v>0</v>
      </c>
      <c r="AK33" s="2528"/>
      <c r="AL33" s="2287"/>
      <c r="AM33" s="2527">
        <f>SUMIF($G$115:$AI$115,"1",$G33:$AI33)+SUMIF($G$115:$AI$115,"2",$G33:$AI33)</f>
        <v>0</v>
      </c>
      <c r="AN33" s="2529"/>
      <c r="AO33" s="1887"/>
      <c r="AP33" s="1887"/>
      <c r="AQ33" s="2525">
        <f t="shared" ref="AQ33:BG33" si="40">+AQ31*AQ32</f>
        <v>0</v>
      </c>
      <c r="AR33" s="2526">
        <f t="shared" si="40"/>
        <v>0</v>
      </c>
      <c r="AS33" s="2526">
        <f t="shared" si="40"/>
        <v>0</v>
      </c>
      <c r="AT33" s="2526">
        <f t="shared" si="40"/>
        <v>0</v>
      </c>
      <c r="AU33" s="2526">
        <f t="shared" si="40"/>
        <v>0</v>
      </c>
      <c r="AV33" s="2526">
        <f t="shared" si="40"/>
        <v>0</v>
      </c>
      <c r="AW33" s="2526">
        <f t="shared" si="40"/>
        <v>0</v>
      </c>
      <c r="AX33" s="2526">
        <f t="shared" si="40"/>
        <v>0</v>
      </c>
      <c r="AY33" s="2526">
        <f t="shared" si="40"/>
        <v>0</v>
      </c>
      <c r="AZ33" s="2526">
        <f t="shared" si="40"/>
        <v>0</v>
      </c>
      <c r="BA33" s="2526">
        <f t="shared" si="40"/>
        <v>0</v>
      </c>
      <c r="BB33" s="2526">
        <f t="shared" si="40"/>
        <v>0</v>
      </c>
      <c r="BC33" s="2526">
        <f t="shared" si="40"/>
        <v>0</v>
      </c>
      <c r="BD33" s="2526">
        <f t="shared" si="40"/>
        <v>0</v>
      </c>
      <c r="BE33" s="2526">
        <f t="shared" si="40"/>
        <v>0</v>
      </c>
      <c r="BF33" s="2526">
        <f t="shared" si="40"/>
        <v>0</v>
      </c>
      <c r="BG33" s="2526">
        <f t="shared" si="40"/>
        <v>0</v>
      </c>
      <c r="BH33" s="2526">
        <f>+BH31*BH32</f>
        <v>0</v>
      </c>
      <c r="BI33" s="2526">
        <f t="shared" ref="BI33:BR33" si="41">+BI31*BI32</f>
        <v>0</v>
      </c>
      <c r="BJ33" s="2526">
        <f t="shared" si="41"/>
        <v>0</v>
      </c>
      <c r="BK33" s="2526">
        <f t="shared" si="41"/>
        <v>0</v>
      </c>
      <c r="BL33" s="2526">
        <f t="shared" si="41"/>
        <v>0</v>
      </c>
      <c r="BM33" s="2526">
        <f t="shared" si="41"/>
        <v>0</v>
      </c>
      <c r="BN33" s="2526">
        <f t="shared" si="41"/>
        <v>0</v>
      </c>
      <c r="BO33" s="2526">
        <f t="shared" si="41"/>
        <v>0</v>
      </c>
      <c r="BP33" s="2526">
        <f t="shared" si="41"/>
        <v>0</v>
      </c>
      <c r="BQ33" s="2526">
        <f t="shared" si="41"/>
        <v>0</v>
      </c>
      <c r="BR33" s="2526">
        <f t="shared" si="41"/>
        <v>0</v>
      </c>
      <c r="BS33" s="2526">
        <f>+BS31*BS32</f>
        <v>0</v>
      </c>
      <c r="BT33" s="2527">
        <f>SUMIF($AQ$115:$BS$115,"1",$AQ33:$BS33)</f>
        <v>0</v>
      </c>
      <c r="BU33" s="2198"/>
      <c r="BV33" s="2198"/>
      <c r="BW33" s="2527">
        <f>SUMIF($AQ$115:$BS$115,"1",$AQ33:$BS33)+SUMIF($AQ$115:$BS$115,"2",$AQ33:$BS33)</f>
        <v>0</v>
      </c>
      <c r="BX33" s="2189"/>
      <c r="BY33" s="2189"/>
      <c r="BZ33" s="2189"/>
      <c r="CA33" s="2525">
        <f t="shared" si="34"/>
        <v>0</v>
      </c>
      <c r="CB33" s="2526">
        <f t="shared" si="34"/>
        <v>0</v>
      </c>
      <c r="CC33" s="2526">
        <f t="shared" si="34"/>
        <v>0</v>
      </c>
      <c r="CD33" s="2526">
        <f t="shared" si="34"/>
        <v>0</v>
      </c>
      <c r="CE33" s="2526">
        <f t="shared" si="34"/>
        <v>0</v>
      </c>
      <c r="CF33" s="2526">
        <f t="shared" si="34"/>
        <v>0</v>
      </c>
      <c r="CG33" s="2526">
        <f t="shared" si="34"/>
        <v>0</v>
      </c>
      <c r="CH33" s="2526">
        <f t="shared" si="34"/>
        <v>0</v>
      </c>
      <c r="CI33" s="2526">
        <f t="shared" si="34"/>
        <v>0</v>
      </c>
      <c r="CJ33" s="2526">
        <f t="shared" si="34"/>
        <v>0</v>
      </c>
      <c r="CK33" s="2526">
        <f t="shared" si="34"/>
        <v>0</v>
      </c>
      <c r="CL33" s="2526">
        <f t="shared" si="34"/>
        <v>0</v>
      </c>
      <c r="CM33" s="2526">
        <f t="shared" si="34"/>
        <v>0</v>
      </c>
      <c r="CN33" s="2526">
        <f t="shared" si="34"/>
        <v>0</v>
      </c>
      <c r="CO33" s="2526">
        <f t="shared" si="34"/>
        <v>0</v>
      </c>
      <c r="CP33" s="2526">
        <f t="shared" si="34"/>
        <v>0</v>
      </c>
      <c r="CQ33" s="2526">
        <f t="shared" si="35"/>
        <v>0</v>
      </c>
      <c r="CR33" s="2526">
        <f t="shared" si="35"/>
        <v>0</v>
      </c>
      <c r="CS33" s="2526">
        <f t="shared" si="35"/>
        <v>0</v>
      </c>
      <c r="CT33" s="2526">
        <f t="shared" si="35"/>
        <v>0</v>
      </c>
      <c r="CU33" s="2526">
        <f t="shared" si="35"/>
        <v>0</v>
      </c>
      <c r="CV33" s="2526">
        <f t="shared" si="35"/>
        <v>0</v>
      </c>
      <c r="CW33" s="2526">
        <f t="shared" si="35"/>
        <v>0</v>
      </c>
      <c r="CX33" s="2526">
        <f t="shared" si="35"/>
        <v>0</v>
      </c>
      <c r="CY33" s="2526">
        <f t="shared" si="35"/>
        <v>0</v>
      </c>
      <c r="CZ33" s="2526">
        <f t="shared" si="35"/>
        <v>0</v>
      </c>
      <c r="DA33" s="2526">
        <f t="shared" si="35"/>
        <v>0</v>
      </c>
      <c r="DB33" s="2526">
        <f t="shared" si="35"/>
        <v>0</v>
      </c>
      <c r="DC33" s="2526">
        <f t="shared" si="35"/>
        <v>0</v>
      </c>
      <c r="DD33" s="2527">
        <f t="shared" si="35"/>
        <v>0</v>
      </c>
      <c r="DE33" s="2189"/>
      <c r="DF33" s="2527">
        <f t="shared" si="36"/>
        <v>0</v>
      </c>
      <c r="DG33" s="2189"/>
    </row>
    <row r="34" spans="1:111" s="2196" customFormat="1" ht="13.8" outlineLevel="2" x14ac:dyDescent="0.3">
      <c r="A34" s="2189"/>
      <c r="B34" s="2531"/>
      <c r="C34" s="2532" t="s">
        <v>1647</v>
      </c>
      <c r="D34" s="2532"/>
      <c r="E34" s="2532"/>
      <c r="F34" s="2613"/>
      <c r="G34" s="2534">
        <v>0</v>
      </c>
      <c r="H34" s="2534">
        <v>0</v>
      </c>
      <c r="I34" s="2534">
        <v>0</v>
      </c>
      <c r="J34" s="2534">
        <v>0</v>
      </c>
      <c r="K34" s="2534">
        <v>0</v>
      </c>
      <c r="L34" s="2534">
        <v>0</v>
      </c>
      <c r="M34" s="2534">
        <v>0</v>
      </c>
      <c r="N34" s="2534">
        <v>0</v>
      </c>
      <c r="O34" s="2534">
        <v>0</v>
      </c>
      <c r="P34" s="2534">
        <v>0</v>
      </c>
      <c r="Q34" s="2534">
        <v>0</v>
      </c>
      <c r="R34" s="2534">
        <v>0</v>
      </c>
      <c r="S34" s="2534">
        <v>0</v>
      </c>
      <c r="T34" s="2534">
        <v>0</v>
      </c>
      <c r="U34" s="2534">
        <v>0</v>
      </c>
      <c r="V34" s="2534">
        <v>0</v>
      </c>
      <c r="W34" s="2534">
        <v>0</v>
      </c>
      <c r="X34" s="2534">
        <v>0</v>
      </c>
      <c r="Y34" s="2534">
        <v>0</v>
      </c>
      <c r="Z34" s="2534">
        <v>0</v>
      </c>
      <c r="AA34" s="2534">
        <v>0</v>
      </c>
      <c r="AB34" s="2534">
        <v>0</v>
      </c>
      <c r="AC34" s="2534">
        <v>0</v>
      </c>
      <c r="AD34" s="2534">
        <v>0</v>
      </c>
      <c r="AE34" s="2534">
        <v>0</v>
      </c>
      <c r="AF34" s="2534">
        <v>0</v>
      </c>
      <c r="AG34" s="2534">
        <v>0</v>
      </c>
      <c r="AH34" s="2534">
        <v>0</v>
      </c>
      <c r="AI34" s="2534">
        <v>0</v>
      </c>
      <c r="AJ34" s="2536">
        <f>SUMIF($G$115:$AI$115,"1",$G34:$AI34)</f>
        <v>0</v>
      </c>
      <c r="AK34" s="2537"/>
      <c r="AL34" s="2198"/>
      <c r="AM34" s="2536">
        <f>SUMIF($G$115:$AI$115,"1",$G34:$AI34)+SUMIF($G$115:$AI$115,"2",$G34:$AI34)</f>
        <v>0</v>
      </c>
      <c r="AN34" s="2538"/>
      <c r="AO34" s="2189"/>
      <c r="AP34" s="2189"/>
      <c r="AQ34" s="2533">
        <v>0</v>
      </c>
      <c r="AR34" s="2534">
        <v>0</v>
      </c>
      <c r="AS34" s="2534">
        <v>0</v>
      </c>
      <c r="AT34" s="2534">
        <v>0</v>
      </c>
      <c r="AU34" s="2534">
        <v>0</v>
      </c>
      <c r="AV34" s="2534">
        <v>0</v>
      </c>
      <c r="AW34" s="2534">
        <v>0</v>
      </c>
      <c r="AX34" s="2534">
        <v>0</v>
      </c>
      <c r="AY34" s="2534">
        <v>0</v>
      </c>
      <c r="AZ34" s="2534">
        <v>0</v>
      </c>
      <c r="BA34" s="2534">
        <v>0</v>
      </c>
      <c r="BB34" s="2534">
        <v>0</v>
      </c>
      <c r="BC34" s="2534">
        <v>0</v>
      </c>
      <c r="BD34" s="2534">
        <v>0</v>
      </c>
      <c r="BE34" s="2534">
        <v>0</v>
      </c>
      <c r="BF34" s="2534">
        <v>0</v>
      </c>
      <c r="BG34" s="2534">
        <v>0</v>
      </c>
      <c r="BH34" s="2534">
        <v>0</v>
      </c>
      <c r="BI34" s="2534">
        <v>0</v>
      </c>
      <c r="BJ34" s="2534">
        <v>0</v>
      </c>
      <c r="BK34" s="2534">
        <v>0</v>
      </c>
      <c r="BL34" s="2534">
        <v>0</v>
      </c>
      <c r="BM34" s="2534">
        <v>0</v>
      </c>
      <c r="BN34" s="2534">
        <v>0</v>
      </c>
      <c r="BO34" s="2534">
        <v>0</v>
      </c>
      <c r="BP34" s="2534">
        <v>0</v>
      </c>
      <c r="BQ34" s="2534">
        <v>0</v>
      </c>
      <c r="BR34" s="2534">
        <v>0</v>
      </c>
      <c r="BS34" s="2534">
        <v>0</v>
      </c>
      <c r="BT34" s="2536">
        <f>SUMIF($AQ$115:$BS$115,"1",$AQ34:$BS34)</f>
        <v>0</v>
      </c>
      <c r="BU34" s="2198"/>
      <c r="BV34" s="2198"/>
      <c r="BW34" s="2536">
        <f>SUMIF($AQ$115:$BS$115,"1",$AQ34:$BS34)+SUMIF($AQ$115:$BS$115,"2",$AQ34:$BS34)</f>
        <v>0</v>
      </c>
      <c r="BX34" s="2189"/>
      <c r="BY34" s="2189"/>
      <c r="BZ34" s="2189"/>
      <c r="CA34" s="2539">
        <f t="shared" si="34"/>
        <v>0</v>
      </c>
      <c r="CB34" s="2540">
        <f t="shared" si="34"/>
        <v>0</v>
      </c>
      <c r="CC34" s="2540">
        <f t="shared" si="34"/>
        <v>0</v>
      </c>
      <c r="CD34" s="2540">
        <f t="shared" si="34"/>
        <v>0</v>
      </c>
      <c r="CE34" s="2541">
        <f t="shared" si="34"/>
        <v>0</v>
      </c>
      <c r="CF34" s="2540">
        <f t="shared" si="34"/>
        <v>0</v>
      </c>
      <c r="CG34" s="2540">
        <f t="shared" si="34"/>
        <v>0</v>
      </c>
      <c r="CH34" s="2540">
        <f t="shared" si="34"/>
        <v>0</v>
      </c>
      <c r="CI34" s="2540">
        <f t="shared" si="34"/>
        <v>0</v>
      </c>
      <c r="CJ34" s="2540">
        <f t="shared" si="34"/>
        <v>0</v>
      </c>
      <c r="CK34" s="2540">
        <f t="shared" si="34"/>
        <v>0</v>
      </c>
      <c r="CL34" s="2540">
        <f t="shared" si="34"/>
        <v>0</v>
      </c>
      <c r="CM34" s="2540">
        <f t="shared" si="34"/>
        <v>0</v>
      </c>
      <c r="CN34" s="2540">
        <f t="shared" si="34"/>
        <v>0</v>
      </c>
      <c r="CO34" s="2540">
        <f t="shared" si="34"/>
        <v>0</v>
      </c>
      <c r="CP34" s="2540">
        <f t="shared" si="34"/>
        <v>0</v>
      </c>
      <c r="CQ34" s="2540">
        <f t="shared" si="35"/>
        <v>0</v>
      </c>
      <c r="CR34" s="2540">
        <f t="shared" si="35"/>
        <v>0</v>
      </c>
      <c r="CS34" s="2540">
        <f t="shared" si="35"/>
        <v>0</v>
      </c>
      <c r="CT34" s="2540">
        <f t="shared" si="35"/>
        <v>0</v>
      </c>
      <c r="CU34" s="2540">
        <f t="shared" si="35"/>
        <v>0</v>
      </c>
      <c r="CV34" s="2540">
        <f t="shared" si="35"/>
        <v>0</v>
      </c>
      <c r="CW34" s="2540">
        <f t="shared" si="35"/>
        <v>0</v>
      </c>
      <c r="CX34" s="2540">
        <f t="shared" si="35"/>
        <v>0</v>
      </c>
      <c r="CY34" s="2540">
        <f t="shared" si="35"/>
        <v>0</v>
      </c>
      <c r="CZ34" s="2540">
        <f t="shared" si="35"/>
        <v>0</v>
      </c>
      <c r="DA34" s="2540">
        <f t="shared" si="35"/>
        <v>0</v>
      </c>
      <c r="DB34" s="2540">
        <f t="shared" si="35"/>
        <v>0</v>
      </c>
      <c r="DC34" s="2540">
        <f t="shared" si="35"/>
        <v>0</v>
      </c>
      <c r="DD34" s="2536">
        <f t="shared" si="35"/>
        <v>0</v>
      </c>
      <c r="DE34" s="2189"/>
      <c r="DF34" s="2536">
        <f t="shared" si="36"/>
        <v>0</v>
      </c>
      <c r="DG34" s="2189"/>
    </row>
    <row r="35" spans="1:111" s="2196" customFormat="1" ht="13.8" outlineLevel="2" x14ac:dyDescent="0.3">
      <c r="A35" s="2189"/>
      <c r="B35" s="2531"/>
      <c r="C35" s="2532" t="s">
        <v>1648</v>
      </c>
      <c r="D35" s="2532"/>
      <c r="E35" s="2532"/>
      <c r="F35" s="2613"/>
      <c r="G35" s="2534">
        <v>0</v>
      </c>
      <c r="H35" s="2534">
        <v>0</v>
      </c>
      <c r="I35" s="2534">
        <v>0</v>
      </c>
      <c r="J35" s="2534">
        <v>0</v>
      </c>
      <c r="K35" s="2534">
        <v>0</v>
      </c>
      <c r="L35" s="2534">
        <v>0</v>
      </c>
      <c r="M35" s="2534">
        <v>0</v>
      </c>
      <c r="N35" s="2534">
        <v>0</v>
      </c>
      <c r="O35" s="2534">
        <v>0</v>
      </c>
      <c r="P35" s="2534">
        <v>0</v>
      </c>
      <c r="Q35" s="2534">
        <v>0</v>
      </c>
      <c r="R35" s="2534">
        <v>0</v>
      </c>
      <c r="S35" s="2534">
        <v>0</v>
      </c>
      <c r="T35" s="2534">
        <v>0</v>
      </c>
      <c r="U35" s="2534">
        <v>0</v>
      </c>
      <c r="V35" s="2534">
        <v>0</v>
      </c>
      <c r="W35" s="2534">
        <v>0</v>
      </c>
      <c r="X35" s="2534">
        <v>0</v>
      </c>
      <c r="Y35" s="2534">
        <v>0</v>
      </c>
      <c r="Z35" s="2534">
        <v>0</v>
      </c>
      <c r="AA35" s="2534">
        <v>0</v>
      </c>
      <c r="AB35" s="2534">
        <v>0</v>
      </c>
      <c r="AC35" s="2534">
        <v>0</v>
      </c>
      <c r="AD35" s="2534">
        <v>0</v>
      </c>
      <c r="AE35" s="2534">
        <v>0</v>
      </c>
      <c r="AF35" s="2534">
        <v>0</v>
      </c>
      <c r="AG35" s="2534">
        <v>0</v>
      </c>
      <c r="AH35" s="2534">
        <v>0</v>
      </c>
      <c r="AI35" s="2534">
        <v>0</v>
      </c>
      <c r="AJ35" s="2536">
        <f>SUMIF($G$115:$AI$115,"1",$G35:$AI35)</f>
        <v>0</v>
      </c>
      <c r="AK35" s="2537"/>
      <c r="AL35" s="2198"/>
      <c r="AM35" s="2536">
        <f>SUMIF($G$115:$AI$115,"1",$G35:$AI35)+SUMIF($G$115:$AI$115,"2",$G35:$AI35)</f>
        <v>0</v>
      </c>
      <c r="AN35" s="2538"/>
      <c r="AO35" s="2189"/>
      <c r="AP35" s="2189"/>
      <c r="AQ35" s="2533">
        <v>0</v>
      </c>
      <c r="AR35" s="2534">
        <v>0</v>
      </c>
      <c r="AS35" s="2534">
        <v>0</v>
      </c>
      <c r="AT35" s="2534">
        <v>0</v>
      </c>
      <c r="AU35" s="2534">
        <v>0</v>
      </c>
      <c r="AV35" s="2534">
        <v>0</v>
      </c>
      <c r="AW35" s="2534">
        <v>0</v>
      </c>
      <c r="AX35" s="2534">
        <v>0</v>
      </c>
      <c r="AY35" s="2534">
        <v>0</v>
      </c>
      <c r="AZ35" s="2534">
        <v>0</v>
      </c>
      <c r="BA35" s="2534">
        <v>0</v>
      </c>
      <c r="BB35" s="2534">
        <v>0</v>
      </c>
      <c r="BC35" s="2534">
        <v>0</v>
      </c>
      <c r="BD35" s="2534">
        <v>0</v>
      </c>
      <c r="BE35" s="2534">
        <v>0</v>
      </c>
      <c r="BF35" s="2534">
        <v>0</v>
      </c>
      <c r="BG35" s="2534">
        <v>0</v>
      </c>
      <c r="BH35" s="2534">
        <v>0</v>
      </c>
      <c r="BI35" s="2534">
        <v>0</v>
      </c>
      <c r="BJ35" s="2534">
        <v>0</v>
      </c>
      <c r="BK35" s="2534">
        <v>0</v>
      </c>
      <c r="BL35" s="2534">
        <v>0</v>
      </c>
      <c r="BM35" s="2534">
        <v>0</v>
      </c>
      <c r="BN35" s="2534">
        <v>0</v>
      </c>
      <c r="BO35" s="2534">
        <v>0</v>
      </c>
      <c r="BP35" s="2534">
        <v>0</v>
      </c>
      <c r="BQ35" s="2534">
        <v>0</v>
      </c>
      <c r="BR35" s="2534">
        <v>0</v>
      </c>
      <c r="BS35" s="2534">
        <v>0</v>
      </c>
      <c r="BT35" s="2536">
        <f>SUMIF($AQ$115:$BS$115,"1",$AQ35:$BS35)</f>
        <v>0</v>
      </c>
      <c r="BU35" s="2198"/>
      <c r="BV35" s="2198"/>
      <c r="BW35" s="2536">
        <f>SUMIF($AQ$115:$BS$115,"1",$AQ35:$BS35)+SUMIF($AQ$115:$BS$115,"2",$AQ35:$BS35)</f>
        <v>0</v>
      </c>
      <c r="BX35" s="2189"/>
      <c r="BY35" s="2189"/>
      <c r="BZ35" s="2189"/>
      <c r="CA35" s="2539">
        <f t="shared" si="34"/>
        <v>0</v>
      </c>
      <c r="CB35" s="2540">
        <f t="shared" si="34"/>
        <v>0</v>
      </c>
      <c r="CC35" s="2540">
        <f t="shared" si="34"/>
        <v>0</v>
      </c>
      <c r="CD35" s="2540">
        <f t="shared" si="34"/>
        <v>0</v>
      </c>
      <c r="CE35" s="2540">
        <f t="shared" si="34"/>
        <v>0</v>
      </c>
      <c r="CF35" s="2540">
        <f t="shared" si="34"/>
        <v>0</v>
      </c>
      <c r="CG35" s="2540">
        <f t="shared" si="34"/>
        <v>0</v>
      </c>
      <c r="CH35" s="2540">
        <f t="shared" si="34"/>
        <v>0</v>
      </c>
      <c r="CI35" s="2540">
        <f t="shared" si="34"/>
        <v>0</v>
      </c>
      <c r="CJ35" s="2540">
        <f t="shared" si="34"/>
        <v>0</v>
      </c>
      <c r="CK35" s="2540">
        <f t="shared" si="34"/>
        <v>0</v>
      </c>
      <c r="CL35" s="2540">
        <f t="shared" si="34"/>
        <v>0</v>
      </c>
      <c r="CM35" s="2540">
        <f t="shared" si="34"/>
        <v>0</v>
      </c>
      <c r="CN35" s="2540">
        <f t="shared" si="34"/>
        <v>0</v>
      </c>
      <c r="CO35" s="2540">
        <f t="shared" si="34"/>
        <v>0</v>
      </c>
      <c r="CP35" s="2540">
        <f t="shared" si="34"/>
        <v>0</v>
      </c>
      <c r="CQ35" s="2540">
        <f t="shared" si="35"/>
        <v>0</v>
      </c>
      <c r="CR35" s="2540">
        <f t="shared" si="35"/>
        <v>0</v>
      </c>
      <c r="CS35" s="2540">
        <f t="shared" si="35"/>
        <v>0</v>
      </c>
      <c r="CT35" s="2540">
        <f t="shared" si="35"/>
        <v>0</v>
      </c>
      <c r="CU35" s="2540">
        <f t="shared" si="35"/>
        <v>0</v>
      </c>
      <c r="CV35" s="2540">
        <f t="shared" si="35"/>
        <v>0</v>
      </c>
      <c r="CW35" s="2540">
        <f t="shared" si="35"/>
        <v>0</v>
      </c>
      <c r="CX35" s="2540">
        <f t="shared" si="35"/>
        <v>0</v>
      </c>
      <c r="CY35" s="2540">
        <f t="shared" si="35"/>
        <v>0</v>
      </c>
      <c r="CZ35" s="2540">
        <f t="shared" si="35"/>
        <v>0</v>
      </c>
      <c r="DA35" s="2540">
        <f t="shared" si="35"/>
        <v>0</v>
      </c>
      <c r="DB35" s="2540">
        <f t="shared" si="35"/>
        <v>0</v>
      </c>
      <c r="DC35" s="2540">
        <f t="shared" si="35"/>
        <v>0</v>
      </c>
      <c r="DD35" s="2536">
        <f t="shared" si="35"/>
        <v>0</v>
      </c>
      <c r="DE35" s="2189"/>
      <c r="DF35" s="2536">
        <f t="shared" si="36"/>
        <v>0</v>
      </c>
      <c r="DG35" s="2189"/>
    </row>
    <row r="36" spans="1:111" s="2196" customFormat="1" ht="13.8" outlineLevel="2" x14ac:dyDescent="0.3">
      <c r="A36" s="2189"/>
      <c r="B36" s="2531"/>
      <c r="C36" s="2532" t="s">
        <v>1649</v>
      </c>
      <c r="D36" s="2532"/>
      <c r="E36" s="2532"/>
      <c r="F36" s="2613"/>
      <c r="G36" s="2534">
        <v>0</v>
      </c>
      <c r="H36" s="2534">
        <v>0</v>
      </c>
      <c r="I36" s="2534">
        <v>0</v>
      </c>
      <c r="J36" s="2534">
        <v>0</v>
      </c>
      <c r="K36" s="2534">
        <v>0</v>
      </c>
      <c r="L36" s="2534">
        <v>0</v>
      </c>
      <c r="M36" s="2534">
        <v>0</v>
      </c>
      <c r="N36" s="2534">
        <v>0</v>
      </c>
      <c r="O36" s="2534">
        <v>0</v>
      </c>
      <c r="P36" s="2534">
        <v>0</v>
      </c>
      <c r="Q36" s="2534">
        <v>0</v>
      </c>
      <c r="R36" s="2534">
        <v>0</v>
      </c>
      <c r="S36" s="2534">
        <v>0</v>
      </c>
      <c r="T36" s="2534">
        <v>0</v>
      </c>
      <c r="U36" s="2534">
        <v>0</v>
      </c>
      <c r="V36" s="2534">
        <v>0</v>
      </c>
      <c r="W36" s="2534">
        <v>0</v>
      </c>
      <c r="X36" s="2534">
        <v>0</v>
      </c>
      <c r="Y36" s="2534">
        <v>0</v>
      </c>
      <c r="Z36" s="2534">
        <v>0</v>
      </c>
      <c r="AA36" s="2534">
        <v>0</v>
      </c>
      <c r="AB36" s="2534">
        <v>0</v>
      </c>
      <c r="AC36" s="2534">
        <v>0</v>
      </c>
      <c r="AD36" s="2534">
        <v>0</v>
      </c>
      <c r="AE36" s="2534">
        <v>0</v>
      </c>
      <c r="AF36" s="2534">
        <v>0</v>
      </c>
      <c r="AG36" s="2534">
        <v>0</v>
      </c>
      <c r="AH36" s="2534">
        <v>0</v>
      </c>
      <c r="AI36" s="2534">
        <v>0</v>
      </c>
      <c r="AJ36" s="2536">
        <f>SUMIF($G$115:$AI$115,"1",$G36:$AI36)</f>
        <v>0</v>
      </c>
      <c r="AK36" s="2537"/>
      <c r="AL36" s="2198"/>
      <c r="AM36" s="2536">
        <f>SUMIF($G$115:$AI$115,"1",$G36:$AI36)+SUMIF($G$115:$AI$115,"2",$G36:$AI36)</f>
        <v>0</v>
      </c>
      <c r="AN36" s="2538"/>
      <c r="AO36" s="2189"/>
      <c r="AP36" s="2189"/>
      <c r="AQ36" s="2533">
        <v>0</v>
      </c>
      <c r="AR36" s="2534">
        <v>0</v>
      </c>
      <c r="AS36" s="2534">
        <v>0</v>
      </c>
      <c r="AT36" s="2534">
        <v>0</v>
      </c>
      <c r="AU36" s="2534">
        <v>0</v>
      </c>
      <c r="AV36" s="2534">
        <v>0</v>
      </c>
      <c r="AW36" s="2534">
        <v>0</v>
      </c>
      <c r="AX36" s="2534">
        <v>0</v>
      </c>
      <c r="AY36" s="2534">
        <v>0</v>
      </c>
      <c r="AZ36" s="2534">
        <v>0</v>
      </c>
      <c r="BA36" s="2534">
        <v>0</v>
      </c>
      <c r="BB36" s="2534">
        <v>0</v>
      </c>
      <c r="BC36" s="2534">
        <v>0</v>
      </c>
      <c r="BD36" s="2534">
        <v>0</v>
      </c>
      <c r="BE36" s="2534">
        <v>0</v>
      </c>
      <c r="BF36" s="2534">
        <v>0</v>
      </c>
      <c r="BG36" s="2534">
        <v>0</v>
      </c>
      <c r="BH36" s="2534">
        <v>0</v>
      </c>
      <c r="BI36" s="2534">
        <v>0</v>
      </c>
      <c r="BJ36" s="2534">
        <v>0</v>
      </c>
      <c r="BK36" s="2534">
        <v>0</v>
      </c>
      <c r="BL36" s="2534">
        <v>0</v>
      </c>
      <c r="BM36" s="2534">
        <v>0</v>
      </c>
      <c r="BN36" s="2534">
        <v>0</v>
      </c>
      <c r="BO36" s="2534">
        <v>0</v>
      </c>
      <c r="BP36" s="2534">
        <v>0</v>
      </c>
      <c r="BQ36" s="2534">
        <v>0</v>
      </c>
      <c r="BR36" s="2534">
        <v>0</v>
      </c>
      <c r="BS36" s="2534">
        <v>0</v>
      </c>
      <c r="BT36" s="2536">
        <f>SUMIF($AQ$115:$BS$115,"1",$AQ36:$BS36)</f>
        <v>0</v>
      </c>
      <c r="BU36" s="2198"/>
      <c r="BV36" s="2198"/>
      <c r="BW36" s="2536">
        <f>SUMIF($AQ$115:$BS$115,"1",$AQ36:$BS36)+SUMIF($AQ$115:$BS$115,"2",$AQ36:$BS36)</f>
        <v>0</v>
      </c>
      <c r="BX36" s="2189"/>
      <c r="BY36" s="2189"/>
      <c r="BZ36" s="2189"/>
      <c r="CA36" s="2539">
        <f t="shared" si="34"/>
        <v>0</v>
      </c>
      <c r="CB36" s="2540">
        <f t="shared" si="34"/>
        <v>0</v>
      </c>
      <c r="CC36" s="2540">
        <f t="shared" si="34"/>
        <v>0</v>
      </c>
      <c r="CD36" s="2540">
        <f t="shared" si="34"/>
        <v>0</v>
      </c>
      <c r="CE36" s="2540">
        <f t="shared" si="34"/>
        <v>0</v>
      </c>
      <c r="CF36" s="2540">
        <f t="shared" si="34"/>
        <v>0</v>
      </c>
      <c r="CG36" s="2540">
        <f t="shared" si="34"/>
        <v>0</v>
      </c>
      <c r="CH36" s="2540">
        <f t="shared" si="34"/>
        <v>0</v>
      </c>
      <c r="CI36" s="2540">
        <f t="shared" si="34"/>
        <v>0</v>
      </c>
      <c r="CJ36" s="2540">
        <f t="shared" si="34"/>
        <v>0</v>
      </c>
      <c r="CK36" s="2540">
        <f t="shared" si="34"/>
        <v>0</v>
      </c>
      <c r="CL36" s="2540">
        <f t="shared" si="34"/>
        <v>0</v>
      </c>
      <c r="CM36" s="2540">
        <f t="shared" si="34"/>
        <v>0</v>
      </c>
      <c r="CN36" s="2540">
        <f t="shared" si="34"/>
        <v>0</v>
      </c>
      <c r="CO36" s="2540">
        <f t="shared" si="34"/>
        <v>0</v>
      </c>
      <c r="CP36" s="2540">
        <f t="shared" si="34"/>
        <v>0</v>
      </c>
      <c r="CQ36" s="2540">
        <f t="shared" si="35"/>
        <v>0</v>
      </c>
      <c r="CR36" s="2540">
        <f t="shared" si="35"/>
        <v>0</v>
      </c>
      <c r="CS36" s="2540">
        <f t="shared" si="35"/>
        <v>0</v>
      </c>
      <c r="CT36" s="2540">
        <f t="shared" si="35"/>
        <v>0</v>
      </c>
      <c r="CU36" s="2540">
        <f t="shared" si="35"/>
        <v>0</v>
      </c>
      <c r="CV36" s="2540">
        <f t="shared" si="35"/>
        <v>0</v>
      </c>
      <c r="CW36" s="2540">
        <f t="shared" si="35"/>
        <v>0</v>
      </c>
      <c r="CX36" s="2540">
        <f t="shared" si="35"/>
        <v>0</v>
      </c>
      <c r="CY36" s="2540">
        <f t="shared" si="35"/>
        <v>0</v>
      </c>
      <c r="CZ36" s="2540">
        <f t="shared" si="35"/>
        <v>0</v>
      </c>
      <c r="DA36" s="2540">
        <f t="shared" si="35"/>
        <v>0</v>
      </c>
      <c r="DB36" s="2540">
        <f t="shared" si="35"/>
        <v>0</v>
      </c>
      <c r="DC36" s="2540">
        <f t="shared" si="35"/>
        <v>0</v>
      </c>
      <c r="DD36" s="2536">
        <f t="shared" si="35"/>
        <v>0</v>
      </c>
      <c r="DE36" s="2189"/>
      <c r="DF36" s="2536">
        <f t="shared" si="36"/>
        <v>0</v>
      </c>
      <c r="DG36" s="2189"/>
    </row>
    <row r="37" spans="1:111" s="2196" customFormat="1" ht="18" outlineLevel="2" x14ac:dyDescent="0.35">
      <c r="A37" s="2189"/>
      <c r="B37" s="2523" t="s">
        <v>1650</v>
      </c>
      <c r="C37" s="2524"/>
      <c r="D37" s="2524"/>
      <c r="E37" s="2524"/>
      <c r="F37" s="2612"/>
      <c r="G37" s="2526">
        <f t="shared" ref="G37:W37" si="42">SUM(G33:G36)</f>
        <v>0</v>
      </c>
      <c r="H37" s="2526">
        <f t="shared" si="42"/>
        <v>0</v>
      </c>
      <c r="I37" s="2526">
        <f t="shared" si="42"/>
        <v>0</v>
      </c>
      <c r="J37" s="2526">
        <f t="shared" si="42"/>
        <v>0</v>
      </c>
      <c r="K37" s="2526">
        <f t="shared" si="42"/>
        <v>0</v>
      </c>
      <c r="L37" s="2526">
        <f t="shared" si="42"/>
        <v>0</v>
      </c>
      <c r="M37" s="2526">
        <f t="shared" si="42"/>
        <v>0</v>
      </c>
      <c r="N37" s="2526">
        <f t="shared" si="42"/>
        <v>0</v>
      </c>
      <c r="O37" s="2526">
        <f t="shared" si="42"/>
        <v>0</v>
      </c>
      <c r="P37" s="2526">
        <f t="shared" si="42"/>
        <v>0</v>
      </c>
      <c r="Q37" s="2526">
        <f t="shared" si="42"/>
        <v>0</v>
      </c>
      <c r="R37" s="2526">
        <f t="shared" si="42"/>
        <v>0</v>
      </c>
      <c r="S37" s="2526">
        <f t="shared" si="42"/>
        <v>0</v>
      </c>
      <c r="T37" s="2526">
        <f t="shared" si="42"/>
        <v>0</v>
      </c>
      <c r="U37" s="2526">
        <f t="shared" si="42"/>
        <v>0</v>
      </c>
      <c r="V37" s="2526">
        <f t="shared" si="42"/>
        <v>0</v>
      </c>
      <c r="W37" s="2526">
        <f t="shared" si="42"/>
        <v>0</v>
      </c>
      <c r="X37" s="2526">
        <f>SUM(X33:X36)</f>
        <v>0</v>
      </c>
      <c r="Y37" s="2526">
        <f t="shared" ref="Y37:AI37" si="43">SUM(Y33:Y36)</f>
        <v>0</v>
      </c>
      <c r="Z37" s="2526">
        <f t="shared" si="43"/>
        <v>0</v>
      </c>
      <c r="AA37" s="2526">
        <f t="shared" si="43"/>
        <v>0</v>
      </c>
      <c r="AB37" s="2526">
        <f t="shared" si="43"/>
        <v>0</v>
      </c>
      <c r="AC37" s="2526">
        <f t="shared" si="43"/>
        <v>0</v>
      </c>
      <c r="AD37" s="2526">
        <f t="shared" si="43"/>
        <v>0</v>
      </c>
      <c r="AE37" s="2526">
        <f t="shared" si="43"/>
        <v>0</v>
      </c>
      <c r="AF37" s="2526">
        <f t="shared" si="43"/>
        <v>0</v>
      </c>
      <c r="AG37" s="2526">
        <f t="shared" si="43"/>
        <v>0</v>
      </c>
      <c r="AH37" s="2526">
        <f t="shared" si="43"/>
        <v>0</v>
      </c>
      <c r="AI37" s="2526">
        <f t="shared" si="43"/>
        <v>0</v>
      </c>
      <c r="AJ37" s="2527">
        <f>SUMIF($G$115:$AI$115,"1",$G37:$AI37)</f>
        <v>0</v>
      </c>
      <c r="AK37" s="2542"/>
      <c r="AL37" s="2287"/>
      <c r="AM37" s="2527">
        <f>SUMIF($G$115:$AI$115,"1",$G37:$AI37)+SUMIF($G$115:$AI$115,"2",$G37:$AI37)</f>
        <v>0</v>
      </c>
      <c r="AN37" s="2529"/>
      <c r="AO37" s="1887"/>
      <c r="AP37" s="1887"/>
      <c r="AQ37" s="2525">
        <f t="shared" ref="AQ37:BS37" si="44">SUM(AQ33:AQ36)</f>
        <v>0</v>
      </c>
      <c r="AR37" s="2526">
        <f t="shared" si="44"/>
        <v>0</v>
      </c>
      <c r="AS37" s="2526">
        <f t="shared" si="44"/>
        <v>0</v>
      </c>
      <c r="AT37" s="2526">
        <f t="shared" si="44"/>
        <v>0</v>
      </c>
      <c r="AU37" s="2526">
        <f t="shared" si="44"/>
        <v>0</v>
      </c>
      <c r="AV37" s="2526">
        <f t="shared" si="44"/>
        <v>0</v>
      </c>
      <c r="AW37" s="2526">
        <f t="shared" si="44"/>
        <v>0</v>
      </c>
      <c r="AX37" s="2526">
        <f t="shared" si="44"/>
        <v>0</v>
      </c>
      <c r="AY37" s="2526">
        <f t="shared" si="44"/>
        <v>0</v>
      </c>
      <c r="AZ37" s="2526">
        <f t="shared" si="44"/>
        <v>0</v>
      </c>
      <c r="BA37" s="2526">
        <f t="shared" si="44"/>
        <v>0</v>
      </c>
      <c r="BB37" s="2526">
        <f t="shared" si="44"/>
        <v>0</v>
      </c>
      <c r="BC37" s="2526">
        <f t="shared" si="44"/>
        <v>0</v>
      </c>
      <c r="BD37" s="2526">
        <f t="shared" si="44"/>
        <v>0</v>
      </c>
      <c r="BE37" s="2526">
        <f t="shared" si="44"/>
        <v>0</v>
      </c>
      <c r="BF37" s="2526">
        <f t="shared" si="44"/>
        <v>0</v>
      </c>
      <c r="BG37" s="2526">
        <f t="shared" si="44"/>
        <v>0</v>
      </c>
      <c r="BH37" s="2526">
        <f t="shared" si="44"/>
        <v>0</v>
      </c>
      <c r="BI37" s="2526">
        <f t="shared" ref="BI37:BR37" si="45">SUM(BI33:BI36)</f>
        <v>0</v>
      </c>
      <c r="BJ37" s="2526">
        <f t="shared" si="45"/>
        <v>0</v>
      </c>
      <c r="BK37" s="2526">
        <f t="shared" si="45"/>
        <v>0</v>
      </c>
      <c r="BL37" s="2526">
        <f t="shared" si="45"/>
        <v>0</v>
      </c>
      <c r="BM37" s="2526">
        <f t="shared" si="45"/>
        <v>0</v>
      </c>
      <c r="BN37" s="2526">
        <f t="shared" si="45"/>
        <v>0</v>
      </c>
      <c r="BO37" s="2526">
        <f t="shared" si="45"/>
        <v>0</v>
      </c>
      <c r="BP37" s="2526">
        <f t="shared" si="45"/>
        <v>0</v>
      </c>
      <c r="BQ37" s="2526">
        <f t="shared" si="45"/>
        <v>0</v>
      </c>
      <c r="BR37" s="2526">
        <f t="shared" si="45"/>
        <v>0</v>
      </c>
      <c r="BS37" s="2526">
        <f t="shared" si="44"/>
        <v>0</v>
      </c>
      <c r="BT37" s="2527">
        <f>SUMIF($AQ$115:$BS$115,"1",$AQ37:$BS37)</f>
        <v>0</v>
      </c>
      <c r="BU37" s="2198"/>
      <c r="BV37" s="2198"/>
      <c r="BW37" s="2527">
        <f>SUMIF($AQ$115:$BS$115,"1",$AQ37:$BS37)+SUMIF($AQ$115:$BS$115,"2",$AQ37:$BS37)</f>
        <v>0</v>
      </c>
      <c r="BX37" s="2189"/>
      <c r="BY37" s="2189"/>
      <c r="BZ37" s="2189"/>
      <c r="CA37" s="2525">
        <f t="shared" si="34"/>
        <v>0</v>
      </c>
      <c r="CB37" s="2526">
        <f t="shared" si="34"/>
        <v>0</v>
      </c>
      <c r="CC37" s="2526">
        <f t="shared" si="34"/>
        <v>0</v>
      </c>
      <c r="CD37" s="2526">
        <f t="shared" si="34"/>
        <v>0</v>
      </c>
      <c r="CE37" s="2526">
        <f t="shared" si="34"/>
        <v>0</v>
      </c>
      <c r="CF37" s="2526">
        <f t="shared" si="34"/>
        <v>0</v>
      </c>
      <c r="CG37" s="2526">
        <f t="shared" si="34"/>
        <v>0</v>
      </c>
      <c r="CH37" s="2526">
        <f t="shared" si="34"/>
        <v>0</v>
      </c>
      <c r="CI37" s="2526">
        <f t="shared" si="34"/>
        <v>0</v>
      </c>
      <c r="CJ37" s="2526">
        <f t="shared" si="34"/>
        <v>0</v>
      </c>
      <c r="CK37" s="2526">
        <f t="shared" si="34"/>
        <v>0</v>
      </c>
      <c r="CL37" s="2526">
        <f t="shared" si="34"/>
        <v>0</v>
      </c>
      <c r="CM37" s="2526">
        <f t="shared" si="34"/>
        <v>0</v>
      </c>
      <c r="CN37" s="2526">
        <f t="shared" si="34"/>
        <v>0</v>
      </c>
      <c r="CO37" s="2526">
        <f t="shared" si="34"/>
        <v>0</v>
      </c>
      <c r="CP37" s="2526">
        <f t="shared" si="34"/>
        <v>0</v>
      </c>
      <c r="CQ37" s="2526">
        <f t="shared" si="35"/>
        <v>0</v>
      </c>
      <c r="CR37" s="2526">
        <f t="shared" si="35"/>
        <v>0</v>
      </c>
      <c r="CS37" s="2526">
        <f t="shared" si="35"/>
        <v>0</v>
      </c>
      <c r="CT37" s="2526">
        <f t="shared" si="35"/>
        <v>0</v>
      </c>
      <c r="CU37" s="2526">
        <f t="shared" si="35"/>
        <v>0</v>
      </c>
      <c r="CV37" s="2526">
        <f t="shared" si="35"/>
        <v>0</v>
      </c>
      <c r="CW37" s="2526">
        <f t="shared" si="35"/>
        <v>0</v>
      </c>
      <c r="CX37" s="2526">
        <f t="shared" si="35"/>
        <v>0</v>
      </c>
      <c r="CY37" s="2526">
        <f t="shared" si="35"/>
        <v>0</v>
      </c>
      <c r="CZ37" s="2526">
        <f t="shared" si="35"/>
        <v>0</v>
      </c>
      <c r="DA37" s="2526">
        <f t="shared" si="35"/>
        <v>0</v>
      </c>
      <c r="DB37" s="2526">
        <f t="shared" si="35"/>
        <v>0</v>
      </c>
      <c r="DC37" s="2526">
        <f t="shared" si="35"/>
        <v>0</v>
      </c>
      <c r="DD37" s="2527">
        <f t="shared" si="35"/>
        <v>0</v>
      </c>
      <c r="DE37" s="2189"/>
      <c r="DF37" s="2527">
        <f t="shared" si="36"/>
        <v>0</v>
      </c>
      <c r="DG37" s="2189"/>
    </row>
    <row r="38" spans="1:111" s="2196" customFormat="1" ht="13.8" outlineLevel="2" x14ac:dyDescent="0.3">
      <c r="A38" s="2189"/>
      <c r="B38" s="2543" t="s">
        <v>1651</v>
      </c>
      <c r="C38" s="2544"/>
      <c r="D38" s="2544"/>
      <c r="E38" s="2544"/>
      <c r="F38" s="2614"/>
      <c r="G38" s="2547">
        <v>0</v>
      </c>
      <c r="H38" s="2547">
        <v>0</v>
      </c>
      <c r="I38" s="2547">
        <v>0</v>
      </c>
      <c r="J38" s="2547">
        <v>0</v>
      </c>
      <c r="K38" s="2547">
        <v>0</v>
      </c>
      <c r="L38" s="2547">
        <v>0</v>
      </c>
      <c r="M38" s="2547">
        <v>0</v>
      </c>
      <c r="N38" s="2547">
        <v>0</v>
      </c>
      <c r="O38" s="2547">
        <v>0</v>
      </c>
      <c r="P38" s="2547">
        <v>0</v>
      </c>
      <c r="Q38" s="2547">
        <v>0</v>
      </c>
      <c r="R38" s="2547">
        <v>0</v>
      </c>
      <c r="S38" s="2547">
        <v>0</v>
      </c>
      <c r="T38" s="2547">
        <v>0</v>
      </c>
      <c r="U38" s="2547">
        <v>0</v>
      </c>
      <c r="V38" s="2547">
        <v>0</v>
      </c>
      <c r="W38" s="2547">
        <v>0</v>
      </c>
      <c r="X38" s="2547">
        <v>0</v>
      </c>
      <c r="Y38" s="2547">
        <v>0</v>
      </c>
      <c r="Z38" s="2547">
        <v>0</v>
      </c>
      <c r="AA38" s="2547">
        <v>0</v>
      </c>
      <c r="AB38" s="2547">
        <v>0</v>
      </c>
      <c r="AC38" s="2547">
        <v>0</v>
      </c>
      <c r="AD38" s="2547">
        <v>0</v>
      </c>
      <c r="AE38" s="2547">
        <v>0</v>
      </c>
      <c r="AF38" s="2547">
        <v>0</v>
      </c>
      <c r="AG38" s="2547">
        <v>0</v>
      </c>
      <c r="AH38" s="2547">
        <v>0</v>
      </c>
      <c r="AI38" s="2547">
        <v>0</v>
      </c>
      <c r="AJ38" s="2548"/>
      <c r="AK38" s="2549"/>
      <c r="AL38" s="2198"/>
      <c r="AM38" s="2548"/>
      <c r="AN38" s="2550"/>
      <c r="AO38" s="2198"/>
      <c r="AP38" s="2198"/>
      <c r="AQ38" s="2546">
        <v>0</v>
      </c>
      <c r="AR38" s="2547">
        <v>0</v>
      </c>
      <c r="AS38" s="2547">
        <v>0</v>
      </c>
      <c r="AT38" s="2547">
        <v>0</v>
      </c>
      <c r="AU38" s="2547">
        <v>0</v>
      </c>
      <c r="AV38" s="2547">
        <v>0</v>
      </c>
      <c r="AW38" s="2547">
        <v>0</v>
      </c>
      <c r="AX38" s="2547">
        <v>0</v>
      </c>
      <c r="AY38" s="2547">
        <v>0</v>
      </c>
      <c r="AZ38" s="2547">
        <v>0</v>
      </c>
      <c r="BA38" s="2547">
        <v>0</v>
      </c>
      <c r="BB38" s="2547">
        <v>0</v>
      </c>
      <c r="BC38" s="2547">
        <v>0</v>
      </c>
      <c r="BD38" s="2547">
        <v>0</v>
      </c>
      <c r="BE38" s="2547">
        <v>0</v>
      </c>
      <c r="BF38" s="2547">
        <v>0</v>
      </c>
      <c r="BG38" s="2547">
        <v>0</v>
      </c>
      <c r="BH38" s="2547">
        <v>0</v>
      </c>
      <c r="BI38" s="2547">
        <v>0</v>
      </c>
      <c r="BJ38" s="2547">
        <v>0</v>
      </c>
      <c r="BK38" s="2547">
        <v>0</v>
      </c>
      <c r="BL38" s="2547">
        <v>0</v>
      </c>
      <c r="BM38" s="2547">
        <v>0</v>
      </c>
      <c r="BN38" s="2547">
        <v>0</v>
      </c>
      <c r="BO38" s="2547">
        <v>0</v>
      </c>
      <c r="BP38" s="2547">
        <v>0</v>
      </c>
      <c r="BQ38" s="2547">
        <v>0</v>
      </c>
      <c r="BR38" s="2547">
        <v>0</v>
      </c>
      <c r="BS38" s="2547">
        <v>0</v>
      </c>
      <c r="BT38" s="2548"/>
      <c r="BU38" s="2198"/>
      <c r="BV38" s="2198"/>
      <c r="BW38" s="2548"/>
      <c r="BX38" s="2189"/>
      <c r="BY38" s="2189"/>
      <c r="BZ38" s="2189"/>
      <c r="CA38" s="2551">
        <f t="shared" si="34"/>
        <v>0</v>
      </c>
      <c r="CB38" s="2552">
        <f t="shared" si="34"/>
        <v>0</v>
      </c>
      <c r="CC38" s="2552">
        <f t="shared" si="34"/>
        <v>0</v>
      </c>
      <c r="CD38" s="2552">
        <f t="shared" si="34"/>
        <v>0</v>
      </c>
      <c r="CE38" s="2552">
        <f t="shared" si="34"/>
        <v>0</v>
      </c>
      <c r="CF38" s="2552">
        <f t="shared" si="34"/>
        <v>0</v>
      </c>
      <c r="CG38" s="2552">
        <f t="shared" si="34"/>
        <v>0</v>
      </c>
      <c r="CH38" s="2552">
        <f t="shared" si="34"/>
        <v>0</v>
      </c>
      <c r="CI38" s="2552">
        <f t="shared" si="34"/>
        <v>0</v>
      </c>
      <c r="CJ38" s="2552">
        <f t="shared" si="34"/>
        <v>0</v>
      </c>
      <c r="CK38" s="2552">
        <f t="shared" si="34"/>
        <v>0</v>
      </c>
      <c r="CL38" s="2552">
        <f t="shared" si="34"/>
        <v>0</v>
      </c>
      <c r="CM38" s="2552">
        <f t="shared" si="34"/>
        <v>0</v>
      </c>
      <c r="CN38" s="2552">
        <f t="shared" si="34"/>
        <v>0</v>
      </c>
      <c r="CO38" s="2552">
        <f t="shared" si="34"/>
        <v>0</v>
      </c>
      <c r="CP38" s="2552">
        <f t="shared" si="34"/>
        <v>0</v>
      </c>
      <c r="CQ38" s="2552">
        <f t="shared" si="35"/>
        <v>0</v>
      </c>
      <c r="CR38" s="2552">
        <f t="shared" si="35"/>
        <v>0</v>
      </c>
      <c r="CS38" s="2552">
        <f t="shared" si="35"/>
        <v>0</v>
      </c>
      <c r="CT38" s="2552">
        <f t="shared" si="35"/>
        <v>0</v>
      </c>
      <c r="CU38" s="2552">
        <f t="shared" si="35"/>
        <v>0</v>
      </c>
      <c r="CV38" s="2552">
        <f t="shared" si="35"/>
        <v>0</v>
      </c>
      <c r="CW38" s="2552">
        <f t="shared" si="35"/>
        <v>0</v>
      </c>
      <c r="CX38" s="2552">
        <f t="shared" si="35"/>
        <v>0</v>
      </c>
      <c r="CY38" s="2552">
        <f t="shared" si="35"/>
        <v>0</v>
      </c>
      <c r="CZ38" s="2552">
        <f t="shared" si="35"/>
        <v>0</v>
      </c>
      <c r="DA38" s="2552">
        <f t="shared" si="35"/>
        <v>0</v>
      </c>
      <c r="DB38" s="2552">
        <f t="shared" si="35"/>
        <v>0</v>
      </c>
      <c r="DC38" s="2552">
        <f t="shared" si="35"/>
        <v>0</v>
      </c>
      <c r="DD38" s="2548"/>
      <c r="DE38" s="2189"/>
      <c r="DF38" s="2548"/>
      <c r="DG38" s="2189"/>
    </row>
    <row r="39" spans="1:111" s="2196" customFormat="1" ht="13.8" outlineLevel="2" x14ac:dyDescent="0.3">
      <c r="A39" s="2189"/>
      <c r="B39" s="2553" t="s">
        <v>1652</v>
      </c>
      <c r="C39" s="2554"/>
      <c r="D39" s="2554"/>
      <c r="E39" s="2554"/>
      <c r="F39" s="2615"/>
      <c r="G39" s="2557">
        <v>0</v>
      </c>
      <c r="H39" s="2557">
        <v>0</v>
      </c>
      <c r="I39" s="2557">
        <v>0</v>
      </c>
      <c r="J39" s="2557">
        <v>0</v>
      </c>
      <c r="K39" s="2557">
        <v>0</v>
      </c>
      <c r="L39" s="2557">
        <v>0</v>
      </c>
      <c r="M39" s="2557">
        <v>0</v>
      </c>
      <c r="N39" s="2557">
        <v>0</v>
      </c>
      <c r="O39" s="2557">
        <v>0</v>
      </c>
      <c r="P39" s="2557">
        <v>0</v>
      </c>
      <c r="Q39" s="2557">
        <v>0</v>
      </c>
      <c r="R39" s="2557">
        <v>0</v>
      </c>
      <c r="S39" s="2557">
        <v>0</v>
      </c>
      <c r="T39" s="2557">
        <v>0</v>
      </c>
      <c r="U39" s="2557">
        <v>0</v>
      </c>
      <c r="V39" s="2557">
        <v>0</v>
      </c>
      <c r="W39" s="2557">
        <v>0</v>
      </c>
      <c r="X39" s="2557">
        <v>0</v>
      </c>
      <c r="Y39" s="2557">
        <v>0</v>
      </c>
      <c r="Z39" s="2557">
        <v>0</v>
      </c>
      <c r="AA39" s="2557">
        <v>0</v>
      </c>
      <c r="AB39" s="2557">
        <v>0</v>
      </c>
      <c r="AC39" s="2557">
        <v>0</v>
      </c>
      <c r="AD39" s="2557">
        <v>0</v>
      </c>
      <c r="AE39" s="2557">
        <v>0</v>
      </c>
      <c r="AF39" s="2557">
        <v>0</v>
      </c>
      <c r="AG39" s="2557">
        <v>0</v>
      </c>
      <c r="AH39" s="2557">
        <v>0</v>
      </c>
      <c r="AI39" s="2557">
        <v>0</v>
      </c>
      <c r="AJ39" s="2558"/>
      <c r="AK39" s="2549"/>
      <c r="AL39" s="2198"/>
      <c r="AM39" s="2558"/>
      <c r="AN39" s="2550"/>
      <c r="AO39" s="2198"/>
      <c r="AP39" s="2198"/>
      <c r="AQ39" s="2556">
        <v>0</v>
      </c>
      <c r="AR39" s="2557">
        <v>0</v>
      </c>
      <c r="AS39" s="2557">
        <v>0</v>
      </c>
      <c r="AT39" s="2557">
        <v>0</v>
      </c>
      <c r="AU39" s="2557">
        <v>0</v>
      </c>
      <c r="AV39" s="2557">
        <v>0</v>
      </c>
      <c r="AW39" s="2557">
        <v>0</v>
      </c>
      <c r="AX39" s="2557">
        <v>0</v>
      </c>
      <c r="AY39" s="2557">
        <v>0</v>
      </c>
      <c r="AZ39" s="2557">
        <v>0</v>
      </c>
      <c r="BA39" s="2557">
        <v>0</v>
      </c>
      <c r="BB39" s="2557">
        <v>0</v>
      </c>
      <c r="BC39" s="2557">
        <v>0</v>
      </c>
      <c r="BD39" s="2557">
        <v>0</v>
      </c>
      <c r="BE39" s="2557">
        <v>0</v>
      </c>
      <c r="BF39" s="2557">
        <v>0</v>
      </c>
      <c r="BG39" s="2557">
        <v>0</v>
      </c>
      <c r="BH39" s="2557">
        <v>0</v>
      </c>
      <c r="BI39" s="2557">
        <v>0</v>
      </c>
      <c r="BJ39" s="2557">
        <v>0</v>
      </c>
      <c r="BK39" s="2557">
        <v>0</v>
      </c>
      <c r="BL39" s="2557">
        <v>0</v>
      </c>
      <c r="BM39" s="2557">
        <v>0</v>
      </c>
      <c r="BN39" s="2557">
        <v>0</v>
      </c>
      <c r="BO39" s="2557">
        <v>0</v>
      </c>
      <c r="BP39" s="2557">
        <v>0</v>
      </c>
      <c r="BQ39" s="2557">
        <v>0</v>
      </c>
      <c r="BR39" s="2557">
        <v>0</v>
      </c>
      <c r="BS39" s="2557">
        <v>0</v>
      </c>
      <c r="BT39" s="2558"/>
      <c r="BU39" s="2198"/>
      <c r="BV39" s="2198"/>
      <c r="BW39" s="2558"/>
      <c r="BX39" s="2189"/>
      <c r="BY39" s="2189"/>
      <c r="BZ39" s="2189"/>
      <c r="CA39" s="2559">
        <f t="shared" si="34"/>
        <v>0</v>
      </c>
      <c r="CB39" s="2560">
        <f t="shared" si="34"/>
        <v>0</v>
      </c>
      <c r="CC39" s="2560">
        <f t="shared" si="34"/>
        <v>0</v>
      </c>
      <c r="CD39" s="2560">
        <f t="shared" si="34"/>
        <v>0</v>
      </c>
      <c r="CE39" s="2560">
        <f t="shared" si="34"/>
        <v>0</v>
      </c>
      <c r="CF39" s="2560">
        <f t="shared" si="34"/>
        <v>0</v>
      </c>
      <c r="CG39" s="2560">
        <f t="shared" si="34"/>
        <v>0</v>
      </c>
      <c r="CH39" s="2560">
        <f t="shared" si="34"/>
        <v>0</v>
      </c>
      <c r="CI39" s="2560">
        <f t="shared" si="34"/>
        <v>0</v>
      </c>
      <c r="CJ39" s="2560">
        <f t="shared" si="34"/>
        <v>0</v>
      </c>
      <c r="CK39" s="2560">
        <f t="shared" si="34"/>
        <v>0</v>
      </c>
      <c r="CL39" s="2560">
        <f t="shared" si="34"/>
        <v>0</v>
      </c>
      <c r="CM39" s="2560">
        <f t="shared" si="34"/>
        <v>0</v>
      </c>
      <c r="CN39" s="2560">
        <f t="shared" si="34"/>
        <v>0</v>
      </c>
      <c r="CO39" s="2560">
        <f t="shared" si="34"/>
        <v>0</v>
      </c>
      <c r="CP39" s="2560">
        <f t="shared" si="34"/>
        <v>0</v>
      </c>
      <c r="CQ39" s="2560">
        <f t="shared" si="35"/>
        <v>0</v>
      </c>
      <c r="CR39" s="2560">
        <f t="shared" si="35"/>
        <v>0</v>
      </c>
      <c r="CS39" s="2560">
        <f t="shared" si="35"/>
        <v>0</v>
      </c>
      <c r="CT39" s="2560">
        <f t="shared" si="35"/>
        <v>0</v>
      </c>
      <c r="CU39" s="2560">
        <f t="shared" si="35"/>
        <v>0</v>
      </c>
      <c r="CV39" s="2560">
        <f t="shared" si="35"/>
        <v>0</v>
      </c>
      <c r="CW39" s="2560">
        <f t="shared" si="35"/>
        <v>0</v>
      </c>
      <c r="CX39" s="2560">
        <f t="shared" si="35"/>
        <v>0</v>
      </c>
      <c r="CY39" s="2560">
        <f t="shared" si="35"/>
        <v>0</v>
      </c>
      <c r="CZ39" s="2560">
        <f t="shared" si="35"/>
        <v>0</v>
      </c>
      <c r="DA39" s="2560">
        <f t="shared" si="35"/>
        <v>0</v>
      </c>
      <c r="DB39" s="2560">
        <f t="shared" si="35"/>
        <v>0</v>
      </c>
      <c r="DC39" s="2560">
        <f t="shared" si="35"/>
        <v>0</v>
      </c>
      <c r="DD39" s="2558"/>
      <c r="DE39" s="2189"/>
      <c r="DF39" s="2558"/>
      <c r="DG39" s="2189"/>
    </row>
    <row r="40" spans="1:111" s="2196" customFormat="1" ht="18" outlineLevel="2" x14ac:dyDescent="0.35">
      <c r="A40" s="2189"/>
      <c r="B40" s="2523" t="s">
        <v>1654</v>
      </c>
      <c r="C40" s="2524"/>
      <c r="D40" s="2524"/>
      <c r="E40" s="2524"/>
      <c r="F40" s="2612"/>
      <c r="G40" s="2526">
        <f>SUM(G33:G35)</f>
        <v>0</v>
      </c>
      <c r="H40" s="2526">
        <f t="shared" ref="H40:W40" si="46">SUM(H33:H35)</f>
        <v>0</v>
      </c>
      <c r="I40" s="2526">
        <f t="shared" si="46"/>
        <v>0</v>
      </c>
      <c r="J40" s="2526">
        <f t="shared" si="46"/>
        <v>0</v>
      </c>
      <c r="K40" s="2526">
        <f t="shared" si="46"/>
        <v>0</v>
      </c>
      <c r="L40" s="2526">
        <f t="shared" si="46"/>
        <v>0</v>
      </c>
      <c r="M40" s="2526">
        <f t="shared" si="46"/>
        <v>0</v>
      </c>
      <c r="N40" s="2526">
        <f t="shared" si="46"/>
        <v>0</v>
      </c>
      <c r="O40" s="2526">
        <f t="shared" si="46"/>
        <v>0</v>
      </c>
      <c r="P40" s="2526">
        <f t="shared" si="46"/>
        <v>0</v>
      </c>
      <c r="Q40" s="2526">
        <f t="shared" si="46"/>
        <v>0</v>
      </c>
      <c r="R40" s="2526">
        <f t="shared" si="46"/>
        <v>0</v>
      </c>
      <c r="S40" s="2526">
        <f t="shared" si="46"/>
        <v>0</v>
      </c>
      <c r="T40" s="2526">
        <f t="shared" si="46"/>
        <v>0</v>
      </c>
      <c r="U40" s="2526">
        <f t="shared" si="46"/>
        <v>0</v>
      </c>
      <c r="V40" s="2526">
        <f t="shared" si="46"/>
        <v>0</v>
      </c>
      <c r="W40" s="2526">
        <f t="shared" si="46"/>
        <v>0</v>
      </c>
      <c r="X40" s="2526">
        <f>SUM(X33:X35)</f>
        <v>0</v>
      </c>
      <c r="Y40" s="2526">
        <f t="shared" ref="Y40:AI40" si="47">SUM(Y33:Y35)</f>
        <v>0</v>
      </c>
      <c r="Z40" s="2526">
        <f t="shared" si="47"/>
        <v>0</v>
      </c>
      <c r="AA40" s="2526">
        <f t="shared" si="47"/>
        <v>0</v>
      </c>
      <c r="AB40" s="2526">
        <f t="shared" si="47"/>
        <v>0</v>
      </c>
      <c r="AC40" s="2526">
        <f t="shared" si="47"/>
        <v>0</v>
      </c>
      <c r="AD40" s="2526">
        <f t="shared" si="47"/>
        <v>0</v>
      </c>
      <c r="AE40" s="2526">
        <f t="shared" si="47"/>
        <v>0</v>
      </c>
      <c r="AF40" s="2526">
        <f t="shared" si="47"/>
        <v>0</v>
      </c>
      <c r="AG40" s="2526">
        <f t="shared" si="47"/>
        <v>0</v>
      </c>
      <c r="AH40" s="2526">
        <f t="shared" si="47"/>
        <v>0</v>
      </c>
      <c r="AI40" s="2526">
        <f t="shared" si="47"/>
        <v>0</v>
      </c>
      <c r="AJ40" s="2527">
        <f>SUMIF($G$115:$AI$115,"1",$G40:$AI40)</f>
        <v>0</v>
      </c>
      <c r="AK40" s="2542"/>
      <c r="AL40" s="2287"/>
      <c r="AM40" s="2527">
        <f>SUMIF($G$115:$AI$115,"1",$G40:$AI40)+SUMIF($G$115:$AI$115,"2",$G40:$AI40)</f>
        <v>0</v>
      </c>
      <c r="AN40" s="2529"/>
      <c r="AO40" s="1887"/>
      <c r="AP40" s="1887"/>
      <c r="AQ40" s="2525">
        <f t="shared" ref="AQ40:BG40" si="48">SUM(AQ33:AQ35)</f>
        <v>0</v>
      </c>
      <c r="AR40" s="2526">
        <f t="shared" si="48"/>
        <v>0</v>
      </c>
      <c r="AS40" s="2526">
        <f t="shared" si="48"/>
        <v>0</v>
      </c>
      <c r="AT40" s="2526">
        <f t="shared" si="48"/>
        <v>0</v>
      </c>
      <c r="AU40" s="2526">
        <f t="shared" si="48"/>
        <v>0</v>
      </c>
      <c r="AV40" s="2526">
        <f t="shared" si="48"/>
        <v>0</v>
      </c>
      <c r="AW40" s="2526">
        <f t="shared" si="48"/>
        <v>0</v>
      </c>
      <c r="AX40" s="2526">
        <f t="shared" si="48"/>
        <v>0</v>
      </c>
      <c r="AY40" s="2526">
        <f t="shared" si="48"/>
        <v>0</v>
      </c>
      <c r="AZ40" s="2526">
        <f t="shared" si="48"/>
        <v>0</v>
      </c>
      <c r="BA40" s="2526">
        <f t="shared" si="48"/>
        <v>0</v>
      </c>
      <c r="BB40" s="2526">
        <f t="shared" si="48"/>
        <v>0</v>
      </c>
      <c r="BC40" s="2526">
        <f t="shared" si="48"/>
        <v>0</v>
      </c>
      <c r="BD40" s="2526">
        <f t="shared" si="48"/>
        <v>0</v>
      </c>
      <c r="BE40" s="2526">
        <f t="shared" si="48"/>
        <v>0</v>
      </c>
      <c r="BF40" s="2526">
        <f t="shared" si="48"/>
        <v>0</v>
      </c>
      <c r="BG40" s="2526">
        <f t="shared" si="48"/>
        <v>0</v>
      </c>
      <c r="BH40" s="2526">
        <f>SUM(BH33:BH35)</f>
        <v>0</v>
      </c>
      <c r="BI40" s="2526">
        <f t="shared" ref="BI40:BR40" si="49">SUM(BI33:BI35)</f>
        <v>0</v>
      </c>
      <c r="BJ40" s="2526">
        <f t="shared" si="49"/>
        <v>0</v>
      </c>
      <c r="BK40" s="2526">
        <f t="shared" si="49"/>
        <v>0</v>
      </c>
      <c r="BL40" s="2526">
        <f t="shared" si="49"/>
        <v>0</v>
      </c>
      <c r="BM40" s="2526">
        <f t="shared" si="49"/>
        <v>0</v>
      </c>
      <c r="BN40" s="2526">
        <f t="shared" si="49"/>
        <v>0</v>
      </c>
      <c r="BO40" s="2526">
        <f t="shared" si="49"/>
        <v>0</v>
      </c>
      <c r="BP40" s="2526">
        <f t="shared" si="49"/>
        <v>0</v>
      </c>
      <c r="BQ40" s="2526">
        <f t="shared" si="49"/>
        <v>0</v>
      </c>
      <c r="BR40" s="2526">
        <f t="shared" si="49"/>
        <v>0</v>
      </c>
      <c r="BS40" s="2526">
        <f>SUM(BS33:BS35)</f>
        <v>0</v>
      </c>
      <c r="BT40" s="2527">
        <f>SUMIF($AQ$115:$BS$115,"1",$AQ40:$BS40)</f>
        <v>0</v>
      </c>
      <c r="BU40" s="2198"/>
      <c r="BV40" s="2198"/>
      <c r="BW40" s="2527">
        <f>SUMIF($AQ$115:$BS$115,"1",$AQ40:$BS40)+SUMIF($AQ$115:$BS$115,"2",$AQ40:$BS40)</f>
        <v>0</v>
      </c>
      <c r="BX40" s="2189"/>
      <c r="BY40" s="2189"/>
      <c r="BZ40" s="2189"/>
      <c r="CA40" s="2525">
        <f t="shared" si="34"/>
        <v>0</v>
      </c>
      <c r="CB40" s="2526">
        <f t="shared" si="34"/>
        <v>0</v>
      </c>
      <c r="CC40" s="2526">
        <f t="shared" si="34"/>
        <v>0</v>
      </c>
      <c r="CD40" s="2526">
        <f t="shared" si="34"/>
        <v>0</v>
      </c>
      <c r="CE40" s="2526">
        <f t="shared" si="34"/>
        <v>0</v>
      </c>
      <c r="CF40" s="2526">
        <f t="shared" si="34"/>
        <v>0</v>
      </c>
      <c r="CG40" s="2526">
        <f t="shared" si="34"/>
        <v>0</v>
      </c>
      <c r="CH40" s="2526">
        <f t="shared" si="34"/>
        <v>0</v>
      </c>
      <c r="CI40" s="2526">
        <f t="shared" si="34"/>
        <v>0</v>
      </c>
      <c r="CJ40" s="2526">
        <f t="shared" si="34"/>
        <v>0</v>
      </c>
      <c r="CK40" s="2526">
        <f t="shared" si="34"/>
        <v>0</v>
      </c>
      <c r="CL40" s="2526">
        <f t="shared" si="34"/>
        <v>0</v>
      </c>
      <c r="CM40" s="2526">
        <f t="shared" si="34"/>
        <v>0</v>
      </c>
      <c r="CN40" s="2526">
        <f t="shared" si="34"/>
        <v>0</v>
      </c>
      <c r="CO40" s="2526">
        <f t="shared" si="34"/>
        <v>0</v>
      </c>
      <c r="CP40" s="2526">
        <f t="shared" si="34"/>
        <v>0</v>
      </c>
      <c r="CQ40" s="2526">
        <f t="shared" si="35"/>
        <v>0</v>
      </c>
      <c r="CR40" s="2526">
        <f t="shared" si="35"/>
        <v>0</v>
      </c>
      <c r="CS40" s="2526">
        <f t="shared" si="35"/>
        <v>0</v>
      </c>
      <c r="CT40" s="2526">
        <f t="shared" si="35"/>
        <v>0</v>
      </c>
      <c r="CU40" s="2526">
        <f t="shared" si="35"/>
        <v>0</v>
      </c>
      <c r="CV40" s="2526">
        <f t="shared" si="35"/>
        <v>0</v>
      </c>
      <c r="CW40" s="2526">
        <f t="shared" si="35"/>
        <v>0</v>
      </c>
      <c r="CX40" s="2526">
        <f t="shared" si="35"/>
        <v>0</v>
      </c>
      <c r="CY40" s="2526">
        <f t="shared" si="35"/>
        <v>0</v>
      </c>
      <c r="CZ40" s="2526">
        <f t="shared" si="35"/>
        <v>0</v>
      </c>
      <c r="DA40" s="2526">
        <f t="shared" si="35"/>
        <v>0</v>
      </c>
      <c r="DB40" s="2526">
        <f t="shared" si="35"/>
        <v>0</v>
      </c>
      <c r="DC40" s="2526">
        <f t="shared" si="35"/>
        <v>0</v>
      </c>
      <c r="DD40" s="2527">
        <f>AJ40-BT40</f>
        <v>0</v>
      </c>
      <c r="DE40" s="2189"/>
      <c r="DF40" s="2527">
        <f>AM40-BW40</f>
        <v>0</v>
      </c>
      <c r="DG40" s="2189"/>
    </row>
    <row r="41" spans="1:111" s="2196" customFormat="1" ht="18" outlineLevel="2" x14ac:dyDescent="0.35">
      <c r="A41" s="2189"/>
      <c r="B41" s="2561" t="s">
        <v>1655</v>
      </c>
      <c r="C41" s="2562"/>
      <c r="D41" s="2562"/>
      <c r="E41" s="2562"/>
      <c r="F41" s="2616"/>
      <c r="G41" s="2564">
        <v>0</v>
      </c>
      <c r="H41" s="2564">
        <v>0</v>
      </c>
      <c r="I41" s="2564">
        <v>0</v>
      </c>
      <c r="J41" s="2564">
        <v>0</v>
      </c>
      <c r="K41" s="2564">
        <v>0</v>
      </c>
      <c r="L41" s="2564">
        <v>0</v>
      </c>
      <c r="M41" s="2564">
        <v>0</v>
      </c>
      <c r="N41" s="2564">
        <v>0</v>
      </c>
      <c r="O41" s="2564">
        <v>0</v>
      </c>
      <c r="P41" s="2564">
        <v>0</v>
      </c>
      <c r="Q41" s="2564">
        <v>0</v>
      </c>
      <c r="R41" s="2564">
        <v>0</v>
      </c>
      <c r="S41" s="2564">
        <v>0</v>
      </c>
      <c r="T41" s="2564">
        <v>0</v>
      </c>
      <c r="U41" s="2564">
        <v>0</v>
      </c>
      <c r="V41" s="2564">
        <v>0</v>
      </c>
      <c r="W41" s="2564">
        <v>0</v>
      </c>
      <c r="X41" s="2564">
        <v>0</v>
      </c>
      <c r="Y41" s="2564">
        <v>0</v>
      </c>
      <c r="Z41" s="2564">
        <v>0</v>
      </c>
      <c r="AA41" s="2564">
        <v>0</v>
      </c>
      <c r="AB41" s="2564">
        <v>0</v>
      </c>
      <c r="AC41" s="2564">
        <v>0</v>
      </c>
      <c r="AD41" s="2564">
        <v>0</v>
      </c>
      <c r="AE41" s="2564">
        <v>0</v>
      </c>
      <c r="AF41" s="2564">
        <v>0</v>
      </c>
      <c r="AG41" s="2564">
        <v>0</v>
      </c>
      <c r="AH41" s="2564">
        <v>0</v>
      </c>
      <c r="AI41" s="2564">
        <v>0</v>
      </c>
      <c r="AJ41" s="2565"/>
      <c r="AK41" s="2542"/>
      <c r="AL41" s="2287"/>
      <c r="AM41" s="2565"/>
      <c r="AN41" s="2566"/>
      <c r="AO41" s="1887"/>
      <c r="AP41" s="1887"/>
      <c r="AQ41" s="2563">
        <v>0</v>
      </c>
      <c r="AR41" s="2564">
        <v>0</v>
      </c>
      <c r="AS41" s="2564">
        <v>0</v>
      </c>
      <c r="AT41" s="2564">
        <v>0</v>
      </c>
      <c r="AU41" s="2564">
        <v>0</v>
      </c>
      <c r="AV41" s="2564">
        <v>0</v>
      </c>
      <c r="AW41" s="2564">
        <v>0</v>
      </c>
      <c r="AX41" s="2564">
        <v>0</v>
      </c>
      <c r="AY41" s="2564">
        <v>0</v>
      </c>
      <c r="AZ41" s="2564">
        <v>0</v>
      </c>
      <c r="BA41" s="2564">
        <v>0</v>
      </c>
      <c r="BB41" s="2564">
        <v>0</v>
      </c>
      <c r="BC41" s="2564">
        <v>0</v>
      </c>
      <c r="BD41" s="2564">
        <v>0</v>
      </c>
      <c r="BE41" s="2564">
        <v>0</v>
      </c>
      <c r="BF41" s="2564">
        <v>0</v>
      </c>
      <c r="BG41" s="2564">
        <v>0</v>
      </c>
      <c r="BH41" s="2564">
        <v>0</v>
      </c>
      <c r="BI41" s="2564">
        <v>0</v>
      </c>
      <c r="BJ41" s="2564">
        <v>0</v>
      </c>
      <c r="BK41" s="2564">
        <v>0</v>
      </c>
      <c r="BL41" s="2564">
        <v>0</v>
      </c>
      <c r="BM41" s="2564">
        <v>0</v>
      </c>
      <c r="BN41" s="2564">
        <v>0</v>
      </c>
      <c r="BO41" s="2564">
        <v>0</v>
      </c>
      <c r="BP41" s="2564">
        <v>0</v>
      </c>
      <c r="BQ41" s="2564">
        <v>0</v>
      </c>
      <c r="BR41" s="2564">
        <v>0</v>
      </c>
      <c r="BS41" s="2564">
        <v>0</v>
      </c>
      <c r="BT41" s="2565"/>
      <c r="BU41" s="2198"/>
      <c r="BV41" s="2198"/>
      <c r="BW41" s="2565"/>
      <c r="BX41" s="2189"/>
      <c r="BY41" s="2189"/>
      <c r="BZ41" s="2189"/>
      <c r="CA41" s="2567">
        <f t="shared" si="34"/>
        <v>0</v>
      </c>
      <c r="CB41" s="2568">
        <f t="shared" si="34"/>
        <v>0</v>
      </c>
      <c r="CC41" s="2568">
        <f t="shared" si="34"/>
        <v>0</v>
      </c>
      <c r="CD41" s="2568">
        <f t="shared" si="34"/>
        <v>0</v>
      </c>
      <c r="CE41" s="2568">
        <f t="shared" si="34"/>
        <v>0</v>
      </c>
      <c r="CF41" s="2568">
        <f t="shared" si="34"/>
        <v>0</v>
      </c>
      <c r="CG41" s="2568">
        <f t="shared" si="34"/>
        <v>0</v>
      </c>
      <c r="CH41" s="2568">
        <f t="shared" si="34"/>
        <v>0</v>
      </c>
      <c r="CI41" s="2568">
        <f t="shared" si="34"/>
        <v>0</v>
      </c>
      <c r="CJ41" s="2568">
        <f t="shared" si="34"/>
        <v>0</v>
      </c>
      <c r="CK41" s="2568">
        <f t="shared" si="34"/>
        <v>0</v>
      </c>
      <c r="CL41" s="2568">
        <f t="shared" si="34"/>
        <v>0</v>
      </c>
      <c r="CM41" s="2568">
        <f t="shared" si="34"/>
        <v>0</v>
      </c>
      <c r="CN41" s="2568">
        <f t="shared" si="34"/>
        <v>0</v>
      </c>
      <c r="CO41" s="2568">
        <f t="shared" si="34"/>
        <v>0</v>
      </c>
      <c r="CP41" s="2568">
        <f t="shared" si="34"/>
        <v>0</v>
      </c>
      <c r="CQ41" s="2568">
        <f t="shared" si="35"/>
        <v>0</v>
      </c>
      <c r="CR41" s="2568">
        <f t="shared" si="35"/>
        <v>0</v>
      </c>
      <c r="CS41" s="2568">
        <f t="shared" si="35"/>
        <v>0</v>
      </c>
      <c r="CT41" s="2568">
        <f t="shared" si="35"/>
        <v>0</v>
      </c>
      <c r="CU41" s="2568">
        <f t="shared" si="35"/>
        <v>0</v>
      </c>
      <c r="CV41" s="2568">
        <f t="shared" si="35"/>
        <v>0</v>
      </c>
      <c r="CW41" s="2568">
        <f t="shared" si="35"/>
        <v>0</v>
      </c>
      <c r="CX41" s="2568">
        <f t="shared" si="35"/>
        <v>0</v>
      </c>
      <c r="CY41" s="2568">
        <f t="shared" si="35"/>
        <v>0</v>
      </c>
      <c r="CZ41" s="2568">
        <f t="shared" si="35"/>
        <v>0</v>
      </c>
      <c r="DA41" s="2568">
        <f t="shared" si="35"/>
        <v>0</v>
      </c>
      <c r="DB41" s="2568">
        <f t="shared" si="35"/>
        <v>0</v>
      </c>
      <c r="DC41" s="2568">
        <f t="shared" si="35"/>
        <v>0</v>
      </c>
      <c r="DD41" s="2565"/>
      <c r="DE41" s="2189"/>
      <c r="DF41" s="2565"/>
      <c r="DG41" s="2189"/>
    </row>
    <row r="42" spans="1:111" s="2196" customFormat="1" ht="18" outlineLevel="2" x14ac:dyDescent="0.35">
      <c r="A42" s="2189"/>
      <c r="B42" s="2569" t="s">
        <v>1656</v>
      </c>
      <c r="C42" s="2570"/>
      <c r="D42" s="2570"/>
      <c r="E42" s="2570"/>
      <c r="F42" s="2617"/>
      <c r="G42" s="2572">
        <f>IF(G41=0,0,G33-G41)</f>
        <v>0</v>
      </c>
      <c r="H42" s="2572">
        <f t="shared" ref="H42:W42" si="50">IF(H41=0,0,H33-H41)</f>
        <v>0</v>
      </c>
      <c r="I42" s="2572">
        <f t="shared" si="50"/>
        <v>0</v>
      </c>
      <c r="J42" s="2572">
        <f t="shared" si="50"/>
        <v>0</v>
      </c>
      <c r="K42" s="2572">
        <f t="shared" si="50"/>
        <v>0</v>
      </c>
      <c r="L42" s="2572">
        <f t="shared" si="50"/>
        <v>0</v>
      </c>
      <c r="M42" s="2572">
        <f t="shared" si="50"/>
        <v>0</v>
      </c>
      <c r="N42" s="2572">
        <f t="shared" si="50"/>
        <v>0</v>
      </c>
      <c r="O42" s="2572">
        <f t="shared" si="50"/>
        <v>0</v>
      </c>
      <c r="P42" s="2572">
        <f t="shared" si="50"/>
        <v>0</v>
      </c>
      <c r="Q42" s="2572">
        <f t="shared" si="50"/>
        <v>0</v>
      </c>
      <c r="R42" s="2572">
        <f t="shared" si="50"/>
        <v>0</v>
      </c>
      <c r="S42" s="2572">
        <f t="shared" si="50"/>
        <v>0</v>
      </c>
      <c r="T42" s="2572">
        <f t="shared" si="50"/>
        <v>0</v>
      </c>
      <c r="U42" s="2572">
        <f t="shared" si="50"/>
        <v>0</v>
      </c>
      <c r="V42" s="2572">
        <f t="shared" si="50"/>
        <v>0</v>
      </c>
      <c r="W42" s="2572">
        <f t="shared" si="50"/>
        <v>0</v>
      </c>
      <c r="X42" s="2572">
        <f>IF(X41=0,0,X33-X41)</f>
        <v>0</v>
      </c>
      <c r="Y42" s="2572">
        <f t="shared" ref="Y42:AI42" si="51">IF(Y41=0,0,Y33-Y41)</f>
        <v>0</v>
      </c>
      <c r="Z42" s="2572">
        <f t="shared" si="51"/>
        <v>0</v>
      </c>
      <c r="AA42" s="2572">
        <f t="shared" si="51"/>
        <v>0</v>
      </c>
      <c r="AB42" s="2572">
        <f t="shared" si="51"/>
        <v>0</v>
      </c>
      <c r="AC42" s="2572">
        <f t="shared" si="51"/>
        <v>0</v>
      </c>
      <c r="AD42" s="2572">
        <f t="shared" si="51"/>
        <v>0</v>
      </c>
      <c r="AE42" s="2572">
        <f t="shared" si="51"/>
        <v>0</v>
      </c>
      <c r="AF42" s="2572">
        <f t="shared" si="51"/>
        <v>0</v>
      </c>
      <c r="AG42" s="2572">
        <f t="shared" si="51"/>
        <v>0</v>
      </c>
      <c r="AH42" s="2572">
        <f t="shared" si="51"/>
        <v>0</v>
      </c>
      <c r="AI42" s="2572">
        <f t="shared" si="51"/>
        <v>0</v>
      </c>
      <c r="AJ42" s="2573"/>
      <c r="AK42" s="2542"/>
      <c r="AL42" s="2287"/>
      <c r="AM42" s="2573"/>
      <c r="AN42" s="2529"/>
      <c r="AO42" s="1887"/>
      <c r="AP42" s="1887"/>
      <c r="AQ42" s="2571">
        <f t="shared" ref="AQ42:BG42" si="52">IF(AQ41=0,0,AQ33-AQ41)</f>
        <v>0</v>
      </c>
      <c r="AR42" s="2572">
        <f t="shared" si="52"/>
        <v>0</v>
      </c>
      <c r="AS42" s="2572">
        <f t="shared" si="52"/>
        <v>0</v>
      </c>
      <c r="AT42" s="2572">
        <f t="shared" si="52"/>
        <v>0</v>
      </c>
      <c r="AU42" s="2572">
        <f t="shared" si="52"/>
        <v>0</v>
      </c>
      <c r="AV42" s="2572">
        <f t="shared" si="52"/>
        <v>0</v>
      </c>
      <c r="AW42" s="2572">
        <f t="shared" si="52"/>
        <v>0</v>
      </c>
      <c r="AX42" s="2572">
        <f t="shared" si="52"/>
        <v>0</v>
      </c>
      <c r="AY42" s="2572">
        <f t="shared" si="52"/>
        <v>0</v>
      </c>
      <c r="AZ42" s="2572">
        <f t="shared" si="52"/>
        <v>0</v>
      </c>
      <c r="BA42" s="2572">
        <f t="shared" si="52"/>
        <v>0</v>
      </c>
      <c r="BB42" s="2572">
        <f t="shared" si="52"/>
        <v>0</v>
      </c>
      <c r="BC42" s="2572">
        <f t="shared" si="52"/>
        <v>0</v>
      </c>
      <c r="BD42" s="2572">
        <f t="shared" si="52"/>
        <v>0</v>
      </c>
      <c r="BE42" s="2572">
        <f t="shared" si="52"/>
        <v>0</v>
      </c>
      <c r="BF42" s="2572">
        <f t="shared" si="52"/>
        <v>0</v>
      </c>
      <c r="BG42" s="2572">
        <f t="shared" si="52"/>
        <v>0</v>
      </c>
      <c r="BH42" s="2572">
        <f>IF(BH41=0,0,BH33-BH41)</f>
        <v>0</v>
      </c>
      <c r="BI42" s="2572">
        <f t="shared" ref="BI42:BR42" si="53">IF(BI41=0,0,BI33-BI41)</f>
        <v>0</v>
      </c>
      <c r="BJ42" s="2572">
        <f t="shared" si="53"/>
        <v>0</v>
      </c>
      <c r="BK42" s="2572">
        <f t="shared" si="53"/>
        <v>0</v>
      </c>
      <c r="BL42" s="2572">
        <f t="shared" si="53"/>
        <v>0</v>
      </c>
      <c r="BM42" s="2572">
        <f t="shared" si="53"/>
        <v>0</v>
      </c>
      <c r="BN42" s="2572">
        <f t="shared" si="53"/>
        <v>0</v>
      </c>
      <c r="BO42" s="2572">
        <f t="shared" si="53"/>
        <v>0</v>
      </c>
      <c r="BP42" s="2572">
        <f t="shared" si="53"/>
        <v>0</v>
      </c>
      <c r="BQ42" s="2572">
        <f t="shared" si="53"/>
        <v>0</v>
      </c>
      <c r="BR42" s="2572">
        <f t="shared" si="53"/>
        <v>0</v>
      </c>
      <c r="BS42" s="2572">
        <f>IF(BS41=0,0,BS33-BS41)</f>
        <v>0</v>
      </c>
      <c r="BT42" s="2574"/>
      <c r="BU42" s="2198"/>
      <c r="BV42" s="2198"/>
      <c r="BW42" s="2574"/>
      <c r="BX42" s="2189"/>
      <c r="BY42" s="2189"/>
      <c r="BZ42" s="2189"/>
      <c r="CA42" s="2571">
        <f t="shared" si="34"/>
        <v>0</v>
      </c>
      <c r="CB42" s="2572">
        <f t="shared" si="34"/>
        <v>0</v>
      </c>
      <c r="CC42" s="2572">
        <f t="shared" si="34"/>
        <v>0</v>
      </c>
      <c r="CD42" s="2572">
        <f t="shared" si="34"/>
        <v>0</v>
      </c>
      <c r="CE42" s="2572">
        <f t="shared" si="34"/>
        <v>0</v>
      </c>
      <c r="CF42" s="2572">
        <f t="shared" si="34"/>
        <v>0</v>
      </c>
      <c r="CG42" s="2572">
        <f t="shared" si="34"/>
        <v>0</v>
      </c>
      <c r="CH42" s="2572">
        <f t="shared" si="34"/>
        <v>0</v>
      </c>
      <c r="CI42" s="2572">
        <f t="shared" si="34"/>
        <v>0</v>
      </c>
      <c r="CJ42" s="2572">
        <f t="shared" si="34"/>
        <v>0</v>
      </c>
      <c r="CK42" s="2572">
        <f t="shared" si="34"/>
        <v>0</v>
      </c>
      <c r="CL42" s="2572">
        <f t="shared" si="34"/>
        <v>0</v>
      </c>
      <c r="CM42" s="2572">
        <f t="shared" si="34"/>
        <v>0</v>
      </c>
      <c r="CN42" s="2572">
        <f t="shared" si="34"/>
        <v>0</v>
      </c>
      <c r="CO42" s="2572">
        <f t="shared" si="34"/>
        <v>0</v>
      </c>
      <c r="CP42" s="2572">
        <f t="shared" si="34"/>
        <v>0</v>
      </c>
      <c r="CQ42" s="2572">
        <f t="shared" si="35"/>
        <v>0</v>
      </c>
      <c r="CR42" s="2572">
        <f t="shared" si="35"/>
        <v>0</v>
      </c>
      <c r="CS42" s="2572">
        <f t="shared" si="35"/>
        <v>0</v>
      </c>
      <c r="CT42" s="2572">
        <f t="shared" si="35"/>
        <v>0</v>
      </c>
      <c r="CU42" s="2572">
        <f t="shared" si="35"/>
        <v>0</v>
      </c>
      <c r="CV42" s="2572">
        <f t="shared" si="35"/>
        <v>0</v>
      </c>
      <c r="CW42" s="2572">
        <f t="shared" si="35"/>
        <v>0</v>
      </c>
      <c r="CX42" s="2572">
        <f t="shared" si="35"/>
        <v>0</v>
      </c>
      <c r="CY42" s="2572">
        <f t="shared" si="35"/>
        <v>0</v>
      </c>
      <c r="CZ42" s="2572">
        <f t="shared" si="35"/>
        <v>0</v>
      </c>
      <c r="DA42" s="2572">
        <f t="shared" si="35"/>
        <v>0</v>
      </c>
      <c r="DB42" s="2572">
        <f t="shared" si="35"/>
        <v>0</v>
      </c>
      <c r="DC42" s="2572">
        <f t="shared" si="35"/>
        <v>0</v>
      </c>
      <c r="DD42" s="2574"/>
      <c r="DE42" s="2189"/>
      <c r="DF42" s="2574"/>
      <c r="DG42" s="2189"/>
    </row>
    <row r="43" spans="1:111" s="2196" customFormat="1" ht="15.6" outlineLevel="2" x14ac:dyDescent="0.3">
      <c r="A43" s="2189"/>
      <c r="B43" s="2575" t="s">
        <v>1582</v>
      </c>
      <c r="C43" s="1344"/>
      <c r="D43" s="1344"/>
      <c r="E43" s="1344"/>
      <c r="F43" s="2618"/>
      <c r="G43" s="2578">
        <v>0</v>
      </c>
      <c r="H43" s="2578">
        <v>0</v>
      </c>
      <c r="I43" s="2578">
        <v>0</v>
      </c>
      <c r="J43" s="2578">
        <v>0</v>
      </c>
      <c r="K43" s="2578">
        <v>0</v>
      </c>
      <c r="L43" s="2578">
        <v>0</v>
      </c>
      <c r="M43" s="2578">
        <v>0</v>
      </c>
      <c r="N43" s="2578">
        <v>0</v>
      </c>
      <c r="O43" s="2578">
        <v>0</v>
      </c>
      <c r="P43" s="2578">
        <v>0</v>
      </c>
      <c r="Q43" s="2578">
        <v>0</v>
      </c>
      <c r="R43" s="2578">
        <v>0</v>
      </c>
      <c r="S43" s="2578">
        <v>0</v>
      </c>
      <c r="T43" s="2578">
        <v>0</v>
      </c>
      <c r="U43" s="2578">
        <v>0</v>
      </c>
      <c r="V43" s="2578">
        <v>0</v>
      </c>
      <c r="W43" s="2578">
        <v>0</v>
      </c>
      <c r="X43" s="2578">
        <v>0</v>
      </c>
      <c r="Y43" s="2578">
        <v>0</v>
      </c>
      <c r="Z43" s="2578">
        <v>0</v>
      </c>
      <c r="AA43" s="2578">
        <v>0</v>
      </c>
      <c r="AB43" s="2578">
        <v>0</v>
      </c>
      <c r="AC43" s="2578">
        <v>0</v>
      </c>
      <c r="AD43" s="2578">
        <v>0</v>
      </c>
      <c r="AE43" s="2578">
        <v>0</v>
      </c>
      <c r="AF43" s="2578">
        <v>0</v>
      </c>
      <c r="AG43" s="2578">
        <v>0</v>
      </c>
      <c r="AH43" s="2578">
        <v>0</v>
      </c>
      <c r="AI43" s="2578">
        <v>0</v>
      </c>
      <c r="AJ43" s="2579"/>
      <c r="AK43" s="2580"/>
      <c r="AL43" s="2198"/>
      <c r="AM43" s="2579"/>
      <c r="AN43" s="2581"/>
      <c r="AO43" s="2189"/>
      <c r="AP43" s="2189"/>
      <c r="AQ43" s="2577">
        <v>0</v>
      </c>
      <c r="AR43" s="2578">
        <v>0</v>
      </c>
      <c r="AS43" s="2578">
        <v>0</v>
      </c>
      <c r="AT43" s="2578">
        <v>0</v>
      </c>
      <c r="AU43" s="2578">
        <v>0</v>
      </c>
      <c r="AV43" s="2578">
        <v>0</v>
      </c>
      <c r="AW43" s="2578">
        <v>0</v>
      </c>
      <c r="AX43" s="2578">
        <v>0</v>
      </c>
      <c r="AY43" s="2578">
        <v>0</v>
      </c>
      <c r="AZ43" s="2578">
        <v>0</v>
      </c>
      <c r="BA43" s="2578">
        <v>0</v>
      </c>
      <c r="BB43" s="2578">
        <v>0</v>
      </c>
      <c r="BC43" s="2578">
        <v>0</v>
      </c>
      <c r="BD43" s="2578">
        <v>0</v>
      </c>
      <c r="BE43" s="2578">
        <v>0</v>
      </c>
      <c r="BF43" s="2578">
        <v>0</v>
      </c>
      <c r="BG43" s="2578">
        <v>0</v>
      </c>
      <c r="BH43" s="2578">
        <v>0</v>
      </c>
      <c r="BI43" s="2578">
        <v>0</v>
      </c>
      <c r="BJ43" s="2578">
        <v>0</v>
      </c>
      <c r="BK43" s="2578">
        <v>0</v>
      </c>
      <c r="BL43" s="2578">
        <v>0</v>
      </c>
      <c r="BM43" s="2578">
        <v>0</v>
      </c>
      <c r="BN43" s="2578">
        <v>0</v>
      </c>
      <c r="BO43" s="2578">
        <v>0</v>
      </c>
      <c r="BP43" s="2578">
        <v>0</v>
      </c>
      <c r="BQ43" s="2578">
        <v>0</v>
      </c>
      <c r="BR43" s="2578">
        <v>0</v>
      </c>
      <c r="BS43" s="2578">
        <v>0</v>
      </c>
      <c r="BT43" s="2579"/>
      <c r="BU43" s="2198"/>
      <c r="BV43" s="2198"/>
      <c r="BW43" s="2579"/>
      <c r="BX43" s="2189"/>
      <c r="BY43" s="2189"/>
      <c r="BZ43" s="2189"/>
      <c r="CA43" s="2582">
        <f t="shared" si="34"/>
        <v>0</v>
      </c>
      <c r="CB43" s="2583">
        <f t="shared" si="34"/>
        <v>0</v>
      </c>
      <c r="CC43" s="2583">
        <f t="shared" si="34"/>
        <v>0</v>
      </c>
      <c r="CD43" s="2583">
        <f t="shared" si="34"/>
        <v>0</v>
      </c>
      <c r="CE43" s="2583">
        <f t="shared" si="34"/>
        <v>0</v>
      </c>
      <c r="CF43" s="2583">
        <f t="shared" si="34"/>
        <v>0</v>
      </c>
      <c r="CG43" s="2583">
        <f t="shared" si="34"/>
        <v>0</v>
      </c>
      <c r="CH43" s="2583">
        <f t="shared" si="34"/>
        <v>0</v>
      </c>
      <c r="CI43" s="2583">
        <f t="shared" si="34"/>
        <v>0</v>
      </c>
      <c r="CJ43" s="2583">
        <f t="shared" si="34"/>
        <v>0</v>
      </c>
      <c r="CK43" s="2583">
        <f t="shared" si="34"/>
        <v>0</v>
      </c>
      <c r="CL43" s="2583">
        <f t="shared" si="34"/>
        <v>0</v>
      </c>
      <c r="CM43" s="2583">
        <f t="shared" si="34"/>
        <v>0</v>
      </c>
      <c r="CN43" s="2583">
        <f t="shared" si="34"/>
        <v>0</v>
      </c>
      <c r="CO43" s="2583">
        <f t="shared" si="34"/>
        <v>0</v>
      </c>
      <c r="CP43" s="2583">
        <f t="shared" si="34"/>
        <v>0</v>
      </c>
      <c r="CQ43" s="2583">
        <f t="shared" si="35"/>
        <v>0</v>
      </c>
      <c r="CR43" s="2583">
        <f t="shared" si="35"/>
        <v>0</v>
      </c>
      <c r="CS43" s="2583">
        <f t="shared" si="35"/>
        <v>0</v>
      </c>
      <c r="CT43" s="2583">
        <f t="shared" si="35"/>
        <v>0</v>
      </c>
      <c r="CU43" s="2583">
        <f t="shared" si="35"/>
        <v>0</v>
      </c>
      <c r="CV43" s="2583">
        <f t="shared" si="35"/>
        <v>0</v>
      </c>
      <c r="CW43" s="2583">
        <f t="shared" si="35"/>
        <v>0</v>
      </c>
      <c r="CX43" s="2583">
        <f t="shared" si="35"/>
        <v>0</v>
      </c>
      <c r="CY43" s="2583">
        <f t="shared" si="35"/>
        <v>0</v>
      </c>
      <c r="CZ43" s="2583">
        <f t="shared" si="35"/>
        <v>0</v>
      </c>
      <c r="DA43" s="2583">
        <f t="shared" si="35"/>
        <v>0</v>
      </c>
      <c r="DB43" s="2583">
        <f t="shared" si="35"/>
        <v>0</v>
      </c>
      <c r="DC43" s="2583">
        <f t="shared" si="35"/>
        <v>0</v>
      </c>
      <c r="DD43" s="2579"/>
      <c r="DE43" s="2189"/>
      <c r="DF43" s="2579"/>
      <c r="DG43" s="2189"/>
    </row>
    <row r="44" spans="1:111" s="2196" customFormat="1" ht="15.6" outlineLevel="2" x14ac:dyDescent="0.3">
      <c r="A44" s="2189"/>
      <c r="B44" s="2575" t="s">
        <v>1583</v>
      </c>
      <c r="C44" s="1344"/>
      <c r="D44" s="1344"/>
      <c r="E44" s="1344"/>
      <c r="F44" s="2618"/>
      <c r="G44" s="2578">
        <v>0</v>
      </c>
      <c r="H44" s="2578">
        <v>0</v>
      </c>
      <c r="I44" s="2578">
        <v>0</v>
      </c>
      <c r="J44" s="2578">
        <v>0</v>
      </c>
      <c r="K44" s="2578">
        <v>0</v>
      </c>
      <c r="L44" s="2578">
        <v>0</v>
      </c>
      <c r="M44" s="2578">
        <v>0</v>
      </c>
      <c r="N44" s="2578">
        <v>0</v>
      </c>
      <c r="O44" s="2578">
        <v>0</v>
      </c>
      <c r="P44" s="2578">
        <v>0</v>
      </c>
      <c r="Q44" s="2578">
        <v>0</v>
      </c>
      <c r="R44" s="2578">
        <v>0</v>
      </c>
      <c r="S44" s="2578">
        <v>0</v>
      </c>
      <c r="T44" s="2578">
        <v>0</v>
      </c>
      <c r="U44" s="2578">
        <v>0</v>
      </c>
      <c r="V44" s="2578">
        <v>0</v>
      </c>
      <c r="W44" s="2578">
        <v>0</v>
      </c>
      <c r="X44" s="2578">
        <v>0</v>
      </c>
      <c r="Y44" s="2578">
        <v>0</v>
      </c>
      <c r="Z44" s="2578">
        <v>0</v>
      </c>
      <c r="AA44" s="2578">
        <v>0</v>
      </c>
      <c r="AB44" s="2578">
        <v>0</v>
      </c>
      <c r="AC44" s="2578">
        <v>0</v>
      </c>
      <c r="AD44" s="2578">
        <v>0</v>
      </c>
      <c r="AE44" s="2578">
        <v>0</v>
      </c>
      <c r="AF44" s="2578">
        <v>0</v>
      </c>
      <c r="AG44" s="2578">
        <v>0</v>
      </c>
      <c r="AH44" s="2578">
        <v>0</v>
      </c>
      <c r="AI44" s="2578">
        <v>0</v>
      </c>
      <c r="AJ44" s="2579"/>
      <c r="AK44" s="2580"/>
      <c r="AL44" s="2198"/>
      <c r="AM44" s="2579"/>
      <c r="AN44" s="2581"/>
      <c r="AO44" s="2189"/>
      <c r="AP44" s="2189"/>
      <c r="AQ44" s="2577">
        <v>0</v>
      </c>
      <c r="AR44" s="2578">
        <v>0</v>
      </c>
      <c r="AS44" s="2578">
        <v>0</v>
      </c>
      <c r="AT44" s="2578">
        <v>0</v>
      </c>
      <c r="AU44" s="2578">
        <v>0</v>
      </c>
      <c r="AV44" s="2578">
        <v>0</v>
      </c>
      <c r="AW44" s="2578">
        <v>0</v>
      </c>
      <c r="AX44" s="2578">
        <v>0</v>
      </c>
      <c r="AY44" s="2578">
        <v>0</v>
      </c>
      <c r="AZ44" s="2578">
        <v>0</v>
      </c>
      <c r="BA44" s="2578">
        <v>0</v>
      </c>
      <c r="BB44" s="2578">
        <v>0</v>
      </c>
      <c r="BC44" s="2578">
        <v>0</v>
      </c>
      <c r="BD44" s="2578">
        <v>0</v>
      </c>
      <c r="BE44" s="2578">
        <v>0</v>
      </c>
      <c r="BF44" s="2578">
        <v>0</v>
      </c>
      <c r="BG44" s="2578">
        <v>0</v>
      </c>
      <c r="BH44" s="2578">
        <v>0</v>
      </c>
      <c r="BI44" s="2578">
        <v>0</v>
      </c>
      <c r="BJ44" s="2578">
        <v>0</v>
      </c>
      <c r="BK44" s="2578">
        <v>0</v>
      </c>
      <c r="BL44" s="2578">
        <v>0</v>
      </c>
      <c r="BM44" s="2578">
        <v>0</v>
      </c>
      <c r="BN44" s="2578">
        <v>0</v>
      </c>
      <c r="BO44" s="2578">
        <v>0</v>
      </c>
      <c r="BP44" s="2578">
        <v>0</v>
      </c>
      <c r="BQ44" s="2578">
        <v>0</v>
      </c>
      <c r="BR44" s="2578">
        <v>0</v>
      </c>
      <c r="BS44" s="2578">
        <v>0</v>
      </c>
      <c r="BT44" s="2579"/>
      <c r="BU44" s="2198"/>
      <c r="BV44" s="2198"/>
      <c r="BW44" s="2579"/>
      <c r="BX44" s="2189"/>
      <c r="BY44" s="2189"/>
      <c r="BZ44" s="2189"/>
      <c r="CA44" s="2582">
        <f t="shared" si="34"/>
        <v>0</v>
      </c>
      <c r="CB44" s="2583">
        <f t="shared" si="34"/>
        <v>0</v>
      </c>
      <c r="CC44" s="2583">
        <f t="shared" si="34"/>
        <v>0</v>
      </c>
      <c r="CD44" s="2583">
        <f t="shared" si="34"/>
        <v>0</v>
      </c>
      <c r="CE44" s="2583">
        <f t="shared" si="34"/>
        <v>0</v>
      </c>
      <c r="CF44" s="2583">
        <f t="shared" si="34"/>
        <v>0</v>
      </c>
      <c r="CG44" s="2583">
        <f t="shared" si="34"/>
        <v>0</v>
      </c>
      <c r="CH44" s="2583">
        <f t="shared" si="34"/>
        <v>0</v>
      </c>
      <c r="CI44" s="2583">
        <f t="shared" si="34"/>
        <v>0</v>
      </c>
      <c r="CJ44" s="2583">
        <f t="shared" si="34"/>
        <v>0</v>
      </c>
      <c r="CK44" s="2583">
        <f t="shared" si="34"/>
        <v>0</v>
      </c>
      <c r="CL44" s="2583">
        <f t="shared" si="34"/>
        <v>0</v>
      </c>
      <c r="CM44" s="2583">
        <f t="shared" si="34"/>
        <v>0</v>
      </c>
      <c r="CN44" s="2583">
        <f t="shared" si="34"/>
        <v>0</v>
      </c>
      <c r="CO44" s="2583">
        <f t="shared" si="34"/>
        <v>0</v>
      </c>
      <c r="CP44" s="2583">
        <f t="shared" si="34"/>
        <v>0</v>
      </c>
      <c r="CQ44" s="2583">
        <f t="shared" si="35"/>
        <v>0</v>
      </c>
      <c r="CR44" s="2583">
        <f t="shared" si="35"/>
        <v>0</v>
      </c>
      <c r="CS44" s="2583">
        <f t="shared" si="35"/>
        <v>0</v>
      </c>
      <c r="CT44" s="2583">
        <f t="shared" si="35"/>
        <v>0</v>
      </c>
      <c r="CU44" s="2583">
        <f t="shared" si="35"/>
        <v>0</v>
      </c>
      <c r="CV44" s="2583">
        <f t="shared" si="35"/>
        <v>0</v>
      </c>
      <c r="CW44" s="2583">
        <f t="shared" si="35"/>
        <v>0</v>
      </c>
      <c r="CX44" s="2583">
        <f t="shared" si="35"/>
        <v>0</v>
      </c>
      <c r="CY44" s="2583">
        <f t="shared" si="35"/>
        <v>0</v>
      </c>
      <c r="CZ44" s="2583">
        <f t="shared" si="35"/>
        <v>0</v>
      </c>
      <c r="DA44" s="2583">
        <f t="shared" si="35"/>
        <v>0</v>
      </c>
      <c r="DB44" s="2583">
        <f t="shared" si="35"/>
        <v>0</v>
      </c>
      <c r="DC44" s="2583">
        <f t="shared" si="35"/>
        <v>0</v>
      </c>
      <c r="DD44" s="2579"/>
      <c r="DE44" s="2189"/>
      <c r="DF44" s="2579"/>
      <c r="DG44" s="2189"/>
    </row>
    <row r="45" spans="1:111" s="2196" customFormat="1" ht="18" outlineLevel="2" x14ac:dyDescent="0.35">
      <c r="A45" s="2189"/>
      <c r="B45" s="2561" t="s">
        <v>1584</v>
      </c>
      <c r="C45" s="2562"/>
      <c r="D45" s="2562"/>
      <c r="E45" s="2562"/>
      <c r="F45" s="2619"/>
      <c r="G45" s="2568">
        <f>G31*(G32-G43)</f>
        <v>0</v>
      </c>
      <c r="H45" s="2568">
        <f t="shared" ref="H45:W45" si="54">H31*(H32-H43)</f>
        <v>0</v>
      </c>
      <c r="I45" s="2568">
        <f t="shared" si="54"/>
        <v>0</v>
      </c>
      <c r="J45" s="2568">
        <f t="shared" si="54"/>
        <v>0</v>
      </c>
      <c r="K45" s="2568">
        <f t="shared" si="54"/>
        <v>0</v>
      </c>
      <c r="L45" s="2568">
        <f t="shared" si="54"/>
        <v>0</v>
      </c>
      <c r="M45" s="2568">
        <f t="shared" si="54"/>
        <v>0</v>
      </c>
      <c r="N45" s="2568">
        <f t="shared" si="54"/>
        <v>0</v>
      </c>
      <c r="O45" s="2568">
        <f t="shared" si="54"/>
        <v>0</v>
      </c>
      <c r="P45" s="2568">
        <f t="shared" si="54"/>
        <v>0</v>
      </c>
      <c r="Q45" s="2568">
        <f t="shared" si="54"/>
        <v>0</v>
      </c>
      <c r="R45" s="2568">
        <f t="shared" si="54"/>
        <v>0</v>
      </c>
      <c r="S45" s="2568">
        <f t="shared" si="54"/>
        <v>0</v>
      </c>
      <c r="T45" s="2568">
        <f t="shared" si="54"/>
        <v>0</v>
      </c>
      <c r="U45" s="2568">
        <f t="shared" si="54"/>
        <v>0</v>
      </c>
      <c r="V45" s="2568">
        <f t="shared" si="54"/>
        <v>0</v>
      </c>
      <c r="W45" s="2568">
        <f t="shared" si="54"/>
        <v>0</v>
      </c>
      <c r="X45" s="2568">
        <f>X31*(X32-X43)</f>
        <v>0</v>
      </c>
      <c r="Y45" s="2568">
        <f t="shared" ref="Y45:AI45" si="55">Y31*(Y32-Y43)</f>
        <v>0</v>
      </c>
      <c r="Z45" s="2568">
        <f t="shared" si="55"/>
        <v>0</v>
      </c>
      <c r="AA45" s="2568">
        <f t="shared" si="55"/>
        <v>0</v>
      </c>
      <c r="AB45" s="2568">
        <f t="shared" si="55"/>
        <v>0</v>
      </c>
      <c r="AC45" s="2568">
        <f t="shared" si="55"/>
        <v>0</v>
      </c>
      <c r="AD45" s="2568">
        <f t="shared" si="55"/>
        <v>0</v>
      </c>
      <c r="AE45" s="2568">
        <f t="shared" si="55"/>
        <v>0</v>
      </c>
      <c r="AF45" s="2568">
        <f t="shared" si="55"/>
        <v>0</v>
      </c>
      <c r="AG45" s="2568">
        <f t="shared" si="55"/>
        <v>0</v>
      </c>
      <c r="AH45" s="2568">
        <f t="shared" si="55"/>
        <v>0</v>
      </c>
      <c r="AI45" s="2568">
        <f t="shared" si="55"/>
        <v>0</v>
      </c>
      <c r="AJ45" s="2585">
        <f>SUMIF($G$115:$AI$115,"1",$G45:$AI45)</f>
        <v>0</v>
      </c>
      <c r="AK45" s="2542"/>
      <c r="AL45" s="1082"/>
      <c r="AM45" s="2585">
        <f>SUMIF($G$115:$AI$115,"1",$G45:$AI45)+SUMIF($G$115:$AI$115,"2",$G45:$AI45)</f>
        <v>0</v>
      </c>
      <c r="AN45" s="2529"/>
      <c r="AO45" s="1070"/>
      <c r="AP45" s="1070"/>
      <c r="AQ45" s="2567">
        <f t="shared" ref="AQ45:BG45" si="56">AQ31*(AQ32-AQ43)</f>
        <v>0</v>
      </c>
      <c r="AR45" s="2568">
        <f t="shared" si="56"/>
        <v>0</v>
      </c>
      <c r="AS45" s="2568">
        <f t="shared" si="56"/>
        <v>0</v>
      </c>
      <c r="AT45" s="2568">
        <f t="shared" si="56"/>
        <v>0</v>
      </c>
      <c r="AU45" s="2568">
        <f t="shared" si="56"/>
        <v>0</v>
      </c>
      <c r="AV45" s="2568">
        <f t="shared" si="56"/>
        <v>0</v>
      </c>
      <c r="AW45" s="2568">
        <f t="shared" si="56"/>
        <v>0</v>
      </c>
      <c r="AX45" s="2568">
        <f t="shared" si="56"/>
        <v>0</v>
      </c>
      <c r="AY45" s="2568">
        <f t="shared" si="56"/>
        <v>0</v>
      </c>
      <c r="AZ45" s="2568">
        <f t="shared" si="56"/>
        <v>0</v>
      </c>
      <c r="BA45" s="2568">
        <f t="shared" si="56"/>
        <v>0</v>
      </c>
      <c r="BB45" s="2568">
        <f t="shared" si="56"/>
        <v>0</v>
      </c>
      <c r="BC45" s="2568">
        <f t="shared" si="56"/>
        <v>0</v>
      </c>
      <c r="BD45" s="2568">
        <f t="shared" si="56"/>
        <v>0</v>
      </c>
      <c r="BE45" s="2568">
        <f t="shared" si="56"/>
        <v>0</v>
      </c>
      <c r="BF45" s="2568">
        <f t="shared" si="56"/>
        <v>0</v>
      </c>
      <c r="BG45" s="2568">
        <f t="shared" si="56"/>
        <v>0</v>
      </c>
      <c r="BH45" s="2568">
        <f>BH31*(BH32-BH43)</f>
        <v>0</v>
      </c>
      <c r="BI45" s="2568">
        <f t="shared" ref="BI45:BR45" si="57">BI31*(BI32-BI43)</f>
        <v>0</v>
      </c>
      <c r="BJ45" s="2568">
        <f t="shared" si="57"/>
        <v>0</v>
      </c>
      <c r="BK45" s="2568">
        <f t="shared" si="57"/>
        <v>0</v>
      </c>
      <c r="BL45" s="2568">
        <f t="shared" si="57"/>
        <v>0</v>
      </c>
      <c r="BM45" s="2568">
        <f t="shared" si="57"/>
        <v>0</v>
      </c>
      <c r="BN45" s="2568">
        <f t="shared" si="57"/>
        <v>0</v>
      </c>
      <c r="BO45" s="2568">
        <f t="shared" si="57"/>
        <v>0</v>
      </c>
      <c r="BP45" s="2568">
        <f t="shared" si="57"/>
        <v>0</v>
      </c>
      <c r="BQ45" s="2568">
        <f t="shared" si="57"/>
        <v>0</v>
      </c>
      <c r="BR45" s="2568">
        <f t="shared" si="57"/>
        <v>0</v>
      </c>
      <c r="BS45" s="2568">
        <f>BS31*(BS32-BS43)</f>
        <v>0</v>
      </c>
      <c r="BT45" s="2585">
        <f>SUMIF($AQ$115:$BS$115,"1",$AQ45:$BS45)</f>
        <v>0</v>
      </c>
      <c r="BU45" s="2198"/>
      <c r="BV45" s="2198"/>
      <c r="BW45" s="2585">
        <f>SUMIF($AQ$115:$BS$115,"1",$AQ45:$BS45)+SUMIF($AQ$115:$BS$115,"2",$AQ45:$BS45)</f>
        <v>0</v>
      </c>
      <c r="BX45" s="2189"/>
      <c r="BY45" s="2189"/>
      <c r="BZ45" s="2189"/>
      <c r="CA45" s="2567">
        <f t="shared" si="34"/>
        <v>0</v>
      </c>
      <c r="CB45" s="2568">
        <f t="shared" si="34"/>
        <v>0</v>
      </c>
      <c r="CC45" s="2568">
        <f t="shared" si="34"/>
        <v>0</v>
      </c>
      <c r="CD45" s="2568">
        <f t="shared" si="34"/>
        <v>0</v>
      </c>
      <c r="CE45" s="2568">
        <f t="shared" si="34"/>
        <v>0</v>
      </c>
      <c r="CF45" s="2568">
        <f t="shared" si="34"/>
        <v>0</v>
      </c>
      <c r="CG45" s="2568">
        <f t="shared" si="34"/>
        <v>0</v>
      </c>
      <c r="CH45" s="2568">
        <f t="shared" si="34"/>
        <v>0</v>
      </c>
      <c r="CI45" s="2568">
        <f t="shared" si="34"/>
        <v>0</v>
      </c>
      <c r="CJ45" s="2568">
        <f t="shared" si="34"/>
        <v>0</v>
      </c>
      <c r="CK45" s="2568">
        <f t="shared" si="34"/>
        <v>0</v>
      </c>
      <c r="CL45" s="2568">
        <f t="shared" si="34"/>
        <v>0</v>
      </c>
      <c r="CM45" s="2568">
        <f t="shared" si="34"/>
        <v>0</v>
      </c>
      <c r="CN45" s="2568">
        <f t="shared" si="34"/>
        <v>0</v>
      </c>
      <c r="CO45" s="2568">
        <f t="shared" si="34"/>
        <v>0</v>
      </c>
      <c r="CP45" s="2568">
        <f t="shared" si="34"/>
        <v>0</v>
      </c>
      <c r="CQ45" s="2568">
        <f t="shared" si="35"/>
        <v>0</v>
      </c>
      <c r="CR45" s="2568">
        <f t="shared" si="35"/>
        <v>0</v>
      </c>
      <c r="CS45" s="2568">
        <f t="shared" si="35"/>
        <v>0</v>
      </c>
      <c r="CT45" s="2568">
        <f t="shared" si="35"/>
        <v>0</v>
      </c>
      <c r="CU45" s="2568">
        <f t="shared" si="35"/>
        <v>0</v>
      </c>
      <c r="CV45" s="2568">
        <f t="shared" si="35"/>
        <v>0</v>
      </c>
      <c r="CW45" s="2568">
        <f t="shared" si="35"/>
        <v>0</v>
      </c>
      <c r="CX45" s="2568">
        <f t="shared" si="35"/>
        <v>0</v>
      </c>
      <c r="CY45" s="2568">
        <f t="shared" si="35"/>
        <v>0</v>
      </c>
      <c r="CZ45" s="2568">
        <f t="shared" si="35"/>
        <v>0</v>
      </c>
      <c r="DA45" s="2568">
        <f t="shared" si="35"/>
        <v>0</v>
      </c>
      <c r="DB45" s="2568">
        <f t="shared" si="35"/>
        <v>0</v>
      </c>
      <c r="DC45" s="2568">
        <f t="shared" si="35"/>
        <v>0</v>
      </c>
      <c r="DD45" s="2585">
        <f>AJ45-BT45</f>
        <v>0</v>
      </c>
      <c r="DE45" s="2189"/>
      <c r="DF45" s="2585">
        <f>AM45-BW45</f>
        <v>0</v>
      </c>
      <c r="DG45" s="2189"/>
    </row>
    <row r="46" spans="1:111" s="2196" customFormat="1" ht="13.8" outlineLevel="2" x14ac:dyDescent="0.3">
      <c r="A46" s="2189"/>
      <c r="B46" s="2586" t="s">
        <v>1585</v>
      </c>
      <c r="C46" s="2587"/>
      <c r="D46" s="2587"/>
      <c r="E46" s="2587"/>
      <c r="F46" s="2620"/>
      <c r="G46" s="2590">
        <f t="shared" ref="G46:AJ46" si="58">IFERROR(G45/G33,0)</f>
        <v>0</v>
      </c>
      <c r="H46" s="2590">
        <f t="shared" si="58"/>
        <v>0</v>
      </c>
      <c r="I46" s="2590">
        <f t="shared" si="58"/>
        <v>0</v>
      </c>
      <c r="J46" s="2590">
        <f t="shared" si="58"/>
        <v>0</v>
      </c>
      <c r="K46" s="2590">
        <f t="shared" si="58"/>
        <v>0</v>
      </c>
      <c r="L46" s="2590">
        <f t="shared" si="58"/>
        <v>0</v>
      </c>
      <c r="M46" s="2590">
        <f t="shared" si="58"/>
        <v>0</v>
      </c>
      <c r="N46" s="2590">
        <f t="shared" si="58"/>
        <v>0</v>
      </c>
      <c r="O46" s="2590">
        <f t="shared" si="58"/>
        <v>0</v>
      </c>
      <c r="P46" s="2590">
        <f t="shared" si="58"/>
        <v>0</v>
      </c>
      <c r="Q46" s="2590">
        <f t="shared" si="58"/>
        <v>0</v>
      </c>
      <c r="R46" s="2590">
        <f t="shared" si="58"/>
        <v>0</v>
      </c>
      <c r="S46" s="2590">
        <f t="shared" si="58"/>
        <v>0</v>
      </c>
      <c r="T46" s="2590">
        <f t="shared" si="58"/>
        <v>0</v>
      </c>
      <c r="U46" s="2590">
        <f t="shared" si="58"/>
        <v>0</v>
      </c>
      <c r="V46" s="2590">
        <f t="shared" si="58"/>
        <v>0</v>
      </c>
      <c r="W46" s="2590">
        <f t="shared" si="58"/>
        <v>0</v>
      </c>
      <c r="X46" s="2590">
        <f t="shared" si="58"/>
        <v>0</v>
      </c>
      <c r="Y46" s="2590">
        <f t="shared" si="58"/>
        <v>0</v>
      </c>
      <c r="Z46" s="2590">
        <f t="shared" si="58"/>
        <v>0</v>
      </c>
      <c r="AA46" s="2590">
        <f t="shared" si="58"/>
        <v>0</v>
      </c>
      <c r="AB46" s="2590">
        <f t="shared" si="58"/>
        <v>0</v>
      </c>
      <c r="AC46" s="2590">
        <f t="shared" si="58"/>
        <v>0</v>
      </c>
      <c r="AD46" s="2590">
        <f t="shared" si="58"/>
        <v>0</v>
      </c>
      <c r="AE46" s="2590">
        <f t="shared" si="58"/>
        <v>0</v>
      </c>
      <c r="AF46" s="2590">
        <f t="shared" si="58"/>
        <v>0</v>
      </c>
      <c r="AG46" s="2590">
        <f t="shared" si="58"/>
        <v>0</v>
      </c>
      <c r="AH46" s="2590">
        <f t="shared" si="58"/>
        <v>0</v>
      </c>
      <c r="AI46" s="2590">
        <f t="shared" si="58"/>
        <v>0</v>
      </c>
      <c r="AJ46" s="2591">
        <f t="shared" si="58"/>
        <v>0</v>
      </c>
      <c r="AK46" s="2592"/>
      <c r="AL46" s="2198"/>
      <c r="AM46" s="2591">
        <f>IFERROR(AM45/AM33,0)</f>
        <v>0</v>
      </c>
      <c r="AN46" s="2590"/>
      <c r="AO46" s="2189"/>
      <c r="AP46" s="2189"/>
      <c r="AQ46" s="2589">
        <f t="shared" ref="AQ46:BT46" si="59">IFERROR(AQ45/AQ33,0)</f>
        <v>0</v>
      </c>
      <c r="AR46" s="2590">
        <f t="shared" si="59"/>
        <v>0</v>
      </c>
      <c r="AS46" s="2590">
        <f t="shared" si="59"/>
        <v>0</v>
      </c>
      <c r="AT46" s="2590">
        <f t="shared" si="59"/>
        <v>0</v>
      </c>
      <c r="AU46" s="2590">
        <f t="shared" si="59"/>
        <v>0</v>
      </c>
      <c r="AV46" s="2590">
        <f t="shared" si="59"/>
        <v>0</v>
      </c>
      <c r="AW46" s="2590">
        <f t="shared" si="59"/>
        <v>0</v>
      </c>
      <c r="AX46" s="2590">
        <f t="shared" si="59"/>
        <v>0</v>
      </c>
      <c r="AY46" s="2590">
        <f t="shared" si="59"/>
        <v>0</v>
      </c>
      <c r="AZ46" s="2590">
        <f t="shared" si="59"/>
        <v>0</v>
      </c>
      <c r="BA46" s="2590">
        <f t="shared" si="59"/>
        <v>0</v>
      </c>
      <c r="BB46" s="2590">
        <f t="shared" si="59"/>
        <v>0</v>
      </c>
      <c r="BC46" s="2590">
        <f t="shared" si="59"/>
        <v>0</v>
      </c>
      <c r="BD46" s="2590">
        <f t="shared" si="59"/>
        <v>0</v>
      </c>
      <c r="BE46" s="2590">
        <f t="shared" si="59"/>
        <v>0</v>
      </c>
      <c r="BF46" s="2590">
        <f t="shared" si="59"/>
        <v>0</v>
      </c>
      <c r="BG46" s="2590">
        <f t="shared" si="59"/>
        <v>0</v>
      </c>
      <c r="BH46" s="2590">
        <f t="shared" si="59"/>
        <v>0</v>
      </c>
      <c r="BI46" s="2590">
        <f t="shared" si="59"/>
        <v>0</v>
      </c>
      <c r="BJ46" s="2590">
        <f t="shared" si="59"/>
        <v>0</v>
      </c>
      <c r="BK46" s="2590">
        <f t="shared" si="59"/>
        <v>0</v>
      </c>
      <c r="BL46" s="2590">
        <f t="shared" si="59"/>
        <v>0</v>
      </c>
      <c r="BM46" s="2590">
        <f t="shared" si="59"/>
        <v>0</v>
      </c>
      <c r="BN46" s="2590">
        <f t="shared" si="59"/>
        <v>0</v>
      </c>
      <c r="BO46" s="2590">
        <f t="shared" si="59"/>
        <v>0</v>
      </c>
      <c r="BP46" s="2590">
        <f t="shared" si="59"/>
        <v>0</v>
      </c>
      <c r="BQ46" s="2590">
        <f t="shared" si="59"/>
        <v>0</v>
      </c>
      <c r="BR46" s="2590">
        <f t="shared" si="59"/>
        <v>0</v>
      </c>
      <c r="BS46" s="2590">
        <f t="shared" si="59"/>
        <v>0</v>
      </c>
      <c r="BT46" s="2591">
        <f t="shared" si="59"/>
        <v>0</v>
      </c>
      <c r="BU46" s="2198"/>
      <c r="BV46" s="2198"/>
      <c r="BW46" s="2591">
        <f t="shared" ref="BW46" si="60">IFERROR(BW45/BW33,0)</f>
        <v>0</v>
      </c>
      <c r="BX46" s="2189"/>
      <c r="BY46" s="2189"/>
      <c r="BZ46" s="2189"/>
      <c r="CA46" s="2589">
        <f t="shared" si="34"/>
        <v>0</v>
      </c>
      <c r="CB46" s="2590">
        <f t="shared" si="34"/>
        <v>0</v>
      </c>
      <c r="CC46" s="2590">
        <f t="shared" si="34"/>
        <v>0</v>
      </c>
      <c r="CD46" s="2590">
        <f t="shared" si="34"/>
        <v>0</v>
      </c>
      <c r="CE46" s="2590">
        <f t="shared" si="34"/>
        <v>0</v>
      </c>
      <c r="CF46" s="2590">
        <f t="shared" si="34"/>
        <v>0</v>
      </c>
      <c r="CG46" s="2590">
        <f t="shared" si="34"/>
        <v>0</v>
      </c>
      <c r="CH46" s="2590">
        <f t="shared" si="34"/>
        <v>0</v>
      </c>
      <c r="CI46" s="2590">
        <f t="shared" si="34"/>
        <v>0</v>
      </c>
      <c r="CJ46" s="2590">
        <f t="shared" si="34"/>
        <v>0</v>
      </c>
      <c r="CK46" s="2590">
        <f t="shared" si="34"/>
        <v>0</v>
      </c>
      <c r="CL46" s="2590">
        <f t="shared" si="34"/>
        <v>0</v>
      </c>
      <c r="CM46" s="2590">
        <f t="shared" si="34"/>
        <v>0</v>
      </c>
      <c r="CN46" s="2590">
        <f t="shared" si="34"/>
        <v>0</v>
      </c>
      <c r="CO46" s="2590">
        <f t="shared" si="34"/>
        <v>0</v>
      </c>
      <c r="CP46" s="2590">
        <f t="shared" ref="CP46:CP48" si="61">V46-BF46</f>
        <v>0</v>
      </c>
      <c r="CQ46" s="2590">
        <f t="shared" si="35"/>
        <v>0</v>
      </c>
      <c r="CR46" s="2590">
        <f t="shared" si="35"/>
        <v>0</v>
      </c>
      <c r="CS46" s="2590">
        <f t="shared" si="35"/>
        <v>0</v>
      </c>
      <c r="CT46" s="2590">
        <f t="shared" si="35"/>
        <v>0</v>
      </c>
      <c r="CU46" s="2590">
        <f t="shared" si="35"/>
        <v>0</v>
      </c>
      <c r="CV46" s="2590">
        <f t="shared" si="35"/>
        <v>0</v>
      </c>
      <c r="CW46" s="2590">
        <f t="shared" si="35"/>
        <v>0</v>
      </c>
      <c r="CX46" s="2590">
        <f t="shared" si="35"/>
        <v>0</v>
      </c>
      <c r="CY46" s="2590">
        <f t="shared" si="35"/>
        <v>0</v>
      </c>
      <c r="CZ46" s="2590">
        <f t="shared" si="35"/>
        <v>0</v>
      </c>
      <c r="DA46" s="2590">
        <f t="shared" si="35"/>
        <v>0</v>
      </c>
      <c r="DB46" s="2590">
        <f t="shared" si="35"/>
        <v>0</v>
      </c>
      <c r="DC46" s="2590">
        <f t="shared" si="35"/>
        <v>0</v>
      </c>
      <c r="DD46" s="2591">
        <f>AJ46-BT46</f>
        <v>0</v>
      </c>
      <c r="DE46" s="2189"/>
      <c r="DF46" s="2591">
        <f t="shared" ref="DF46:DF48" si="62">AM46-BW46</f>
        <v>0</v>
      </c>
      <c r="DG46" s="2189"/>
    </row>
    <row r="47" spans="1:111" s="2196" customFormat="1" ht="13.8" outlineLevel="2" x14ac:dyDescent="0.3">
      <c r="A47" s="2189"/>
      <c r="B47" s="2586" t="s">
        <v>1586</v>
      </c>
      <c r="C47" s="2587"/>
      <c r="D47" s="2587"/>
      <c r="E47" s="2587"/>
      <c r="F47" s="2621"/>
      <c r="G47" s="2599">
        <v>0</v>
      </c>
      <c r="H47" s="2599">
        <v>0</v>
      </c>
      <c r="I47" s="2599">
        <v>0</v>
      </c>
      <c r="J47" s="2599">
        <v>0</v>
      </c>
      <c r="K47" s="2599">
        <v>0</v>
      </c>
      <c r="L47" s="2599">
        <v>0</v>
      </c>
      <c r="M47" s="2599">
        <v>0</v>
      </c>
      <c r="N47" s="2599">
        <v>0</v>
      </c>
      <c r="O47" s="2599">
        <v>0</v>
      </c>
      <c r="P47" s="2599">
        <v>0</v>
      </c>
      <c r="Q47" s="2599">
        <v>0</v>
      </c>
      <c r="R47" s="2599">
        <v>0</v>
      </c>
      <c r="S47" s="2599">
        <v>0</v>
      </c>
      <c r="T47" s="2599">
        <v>0</v>
      </c>
      <c r="U47" s="2599">
        <v>0</v>
      </c>
      <c r="V47" s="2599">
        <v>0</v>
      </c>
      <c r="W47" s="2599">
        <v>0</v>
      </c>
      <c r="X47" s="2599">
        <v>0</v>
      </c>
      <c r="Y47" s="2599">
        <v>0</v>
      </c>
      <c r="Z47" s="2599">
        <v>0</v>
      </c>
      <c r="AA47" s="2599">
        <v>0</v>
      </c>
      <c r="AB47" s="2599">
        <v>0</v>
      </c>
      <c r="AC47" s="2599">
        <v>0</v>
      </c>
      <c r="AD47" s="2599">
        <v>0</v>
      </c>
      <c r="AE47" s="2599">
        <v>0</v>
      </c>
      <c r="AF47" s="2599">
        <v>0</v>
      </c>
      <c r="AG47" s="2599">
        <v>0</v>
      </c>
      <c r="AH47" s="2599">
        <v>0</v>
      </c>
      <c r="AI47" s="2599">
        <v>0</v>
      </c>
      <c r="AJ47" s="2596"/>
      <c r="AK47" s="2593"/>
      <c r="AL47" s="2198"/>
      <c r="AM47" s="2596"/>
      <c r="AN47" s="2597"/>
      <c r="AO47" s="2189"/>
      <c r="AP47" s="2189"/>
      <c r="AQ47" s="2598">
        <v>0</v>
      </c>
      <c r="AR47" s="2599">
        <v>0</v>
      </c>
      <c r="AS47" s="2599">
        <v>0</v>
      </c>
      <c r="AT47" s="2599">
        <v>0</v>
      </c>
      <c r="AU47" s="2599">
        <v>0</v>
      </c>
      <c r="AV47" s="2599">
        <v>0</v>
      </c>
      <c r="AW47" s="2599">
        <v>0</v>
      </c>
      <c r="AX47" s="2599">
        <v>0</v>
      </c>
      <c r="AY47" s="2599">
        <v>0</v>
      </c>
      <c r="AZ47" s="2599">
        <v>0</v>
      </c>
      <c r="BA47" s="2599">
        <v>0</v>
      </c>
      <c r="BB47" s="2599">
        <v>0</v>
      </c>
      <c r="BC47" s="2599">
        <v>0</v>
      </c>
      <c r="BD47" s="2599">
        <v>0</v>
      </c>
      <c r="BE47" s="2599">
        <v>0</v>
      </c>
      <c r="BF47" s="2599">
        <v>0</v>
      </c>
      <c r="BG47" s="2599">
        <v>0</v>
      </c>
      <c r="BH47" s="2599">
        <v>0</v>
      </c>
      <c r="BI47" s="2599">
        <v>0</v>
      </c>
      <c r="BJ47" s="2599">
        <v>0</v>
      </c>
      <c r="BK47" s="2599">
        <v>0</v>
      </c>
      <c r="BL47" s="2599">
        <v>0</v>
      </c>
      <c r="BM47" s="2599">
        <v>0</v>
      </c>
      <c r="BN47" s="2599">
        <v>0</v>
      </c>
      <c r="BO47" s="2599">
        <v>0</v>
      </c>
      <c r="BP47" s="2599">
        <v>0</v>
      </c>
      <c r="BQ47" s="2599">
        <v>0</v>
      </c>
      <c r="BR47" s="2599">
        <v>0</v>
      </c>
      <c r="BS47" s="2599">
        <v>0</v>
      </c>
      <c r="BT47" s="2596"/>
      <c r="BU47" s="2198"/>
      <c r="BV47" s="2198"/>
      <c r="BW47" s="2596"/>
      <c r="BX47" s="2189"/>
      <c r="BY47" s="2189"/>
      <c r="BZ47" s="2189"/>
      <c r="CA47" s="2600">
        <f t="shared" ref="CA47:CO48" si="63">G47-AQ47</f>
        <v>0</v>
      </c>
      <c r="CB47" s="2601">
        <f t="shared" si="63"/>
        <v>0</v>
      </c>
      <c r="CC47" s="2601">
        <f t="shared" si="63"/>
        <v>0</v>
      </c>
      <c r="CD47" s="2601">
        <f t="shared" si="63"/>
        <v>0</v>
      </c>
      <c r="CE47" s="2601">
        <f t="shared" si="63"/>
        <v>0</v>
      </c>
      <c r="CF47" s="2601">
        <f t="shared" si="63"/>
        <v>0</v>
      </c>
      <c r="CG47" s="2601">
        <f t="shared" si="63"/>
        <v>0</v>
      </c>
      <c r="CH47" s="2601">
        <f t="shared" si="63"/>
        <v>0</v>
      </c>
      <c r="CI47" s="2601">
        <f t="shared" si="63"/>
        <v>0</v>
      </c>
      <c r="CJ47" s="2601">
        <f t="shared" si="63"/>
        <v>0</v>
      </c>
      <c r="CK47" s="2601">
        <f t="shared" si="63"/>
        <v>0</v>
      </c>
      <c r="CL47" s="2601">
        <f t="shared" si="63"/>
        <v>0</v>
      </c>
      <c r="CM47" s="2601">
        <f t="shared" si="63"/>
        <v>0</v>
      </c>
      <c r="CN47" s="2601">
        <f t="shared" si="63"/>
        <v>0</v>
      </c>
      <c r="CO47" s="2601">
        <f t="shared" si="63"/>
        <v>0</v>
      </c>
      <c r="CP47" s="2601">
        <f t="shared" si="61"/>
        <v>0</v>
      </c>
      <c r="CQ47" s="2601">
        <f t="shared" si="35"/>
        <v>0</v>
      </c>
      <c r="CR47" s="2601">
        <f t="shared" si="35"/>
        <v>0</v>
      </c>
      <c r="CS47" s="2601">
        <f t="shared" si="35"/>
        <v>0</v>
      </c>
      <c r="CT47" s="2601">
        <f t="shared" si="35"/>
        <v>0</v>
      </c>
      <c r="CU47" s="2601">
        <f t="shared" si="35"/>
        <v>0</v>
      </c>
      <c r="CV47" s="2601">
        <f t="shared" si="35"/>
        <v>0</v>
      </c>
      <c r="CW47" s="2601">
        <f t="shared" si="35"/>
        <v>0</v>
      </c>
      <c r="CX47" s="2601">
        <f t="shared" si="35"/>
        <v>0</v>
      </c>
      <c r="CY47" s="2601">
        <f t="shared" si="35"/>
        <v>0</v>
      </c>
      <c r="CZ47" s="2601">
        <f t="shared" si="35"/>
        <v>0</v>
      </c>
      <c r="DA47" s="2601">
        <f t="shared" si="35"/>
        <v>0</v>
      </c>
      <c r="DB47" s="2601">
        <f t="shared" si="35"/>
        <v>0</v>
      </c>
      <c r="DC47" s="2601">
        <f>AI47-BS47</f>
        <v>0</v>
      </c>
      <c r="DD47" s="2602">
        <f>AJ47-BT47</f>
        <v>0</v>
      </c>
      <c r="DE47" s="2189"/>
      <c r="DF47" s="2602">
        <f t="shared" si="62"/>
        <v>0</v>
      </c>
      <c r="DG47" s="2189"/>
    </row>
    <row r="48" spans="1:111" s="2196" customFormat="1" ht="13.8" outlineLevel="2" x14ac:dyDescent="0.3">
      <c r="A48" s="2189"/>
      <c r="B48" s="2553" t="s">
        <v>1587</v>
      </c>
      <c r="C48" s="2603"/>
      <c r="D48" s="2603"/>
      <c r="E48" s="2603"/>
      <c r="F48" s="2622"/>
      <c r="G48" s="2607">
        <v>0</v>
      </c>
      <c r="H48" s="2607">
        <v>0</v>
      </c>
      <c r="I48" s="2607">
        <v>0</v>
      </c>
      <c r="J48" s="2607">
        <v>0</v>
      </c>
      <c r="K48" s="2607">
        <v>0</v>
      </c>
      <c r="L48" s="2607">
        <v>0</v>
      </c>
      <c r="M48" s="2607">
        <v>0</v>
      </c>
      <c r="N48" s="2607">
        <v>0</v>
      </c>
      <c r="O48" s="2607">
        <v>0</v>
      </c>
      <c r="P48" s="2607">
        <v>0</v>
      </c>
      <c r="Q48" s="2607">
        <v>0</v>
      </c>
      <c r="R48" s="2607">
        <v>0</v>
      </c>
      <c r="S48" s="2607">
        <v>0</v>
      </c>
      <c r="T48" s="2607">
        <v>0</v>
      </c>
      <c r="U48" s="2607">
        <v>0</v>
      </c>
      <c r="V48" s="2607">
        <v>0</v>
      </c>
      <c r="W48" s="2607">
        <v>0</v>
      </c>
      <c r="X48" s="2607">
        <v>0</v>
      </c>
      <c r="Y48" s="2607">
        <v>0</v>
      </c>
      <c r="Z48" s="2607">
        <v>0</v>
      </c>
      <c r="AA48" s="2607">
        <v>0</v>
      </c>
      <c r="AB48" s="2607">
        <v>0</v>
      </c>
      <c r="AC48" s="2607">
        <v>0</v>
      </c>
      <c r="AD48" s="2607">
        <v>0</v>
      </c>
      <c r="AE48" s="2607">
        <v>0</v>
      </c>
      <c r="AF48" s="2607">
        <v>0</v>
      </c>
      <c r="AG48" s="2607">
        <v>0</v>
      </c>
      <c r="AH48" s="2607">
        <v>0</v>
      </c>
      <c r="AI48" s="2607">
        <v>0</v>
      </c>
      <c r="AJ48" s="2605"/>
      <c r="AK48" s="2593"/>
      <c r="AL48" s="2198"/>
      <c r="AM48" s="2605"/>
      <c r="AN48" s="2597"/>
      <c r="AO48" s="2189"/>
      <c r="AP48" s="2189"/>
      <c r="AQ48" s="2606">
        <v>0</v>
      </c>
      <c r="AR48" s="2607">
        <v>0</v>
      </c>
      <c r="AS48" s="2607">
        <v>0</v>
      </c>
      <c r="AT48" s="2607">
        <v>0</v>
      </c>
      <c r="AU48" s="2607">
        <v>0</v>
      </c>
      <c r="AV48" s="2607">
        <v>0</v>
      </c>
      <c r="AW48" s="2607">
        <v>0</v>
      </c>
      <c r="AX48" s="2607">
        <v>0</v>
      </c>
      <c r="AY48" s="2607">
        <v>0</v>
      </c>
      <c r="AZ48" s="2607">
        <v>0</v>
      </c>
      <c r="BA48" s="2607">
        <v>0</v>
      </c>
      <c r="BB48" s="2607">
        <v>0</v>
      </c>
      <c r="BC48" s="2607">
        <v>0</v>
      </c>
      <c r="BD48" s="2607">
        <v>0</v>
      </c>
      <c r="BE48" s="2607">
        <v>0</v>
      </c>
      <c r="BF48" s="2607">
        <v>0</v>
      </c>
      <c r="BG48" s="2607">
        <v>0</v>
      </c>
      <c r="BH48" s="2607">
        <v>0</v>
      </c>
      <c r="BI48" s="2607">
        <v>0</v>
      </c>
      <c r="BJ48" s="2607">
        <v>0</v>
      </c>
      <c r="BK48" s="2607">
        <v>0</v>
      </c>
      <c r="BL48" s="2607">
        <v>0</v>
      </c>
      <c r="BM48" s="2607">
        <v>0</v>
      </c>
      <c r="BN48" s="2607">
        <v>0</v>
      </c>
      <c r="BO48" s="2607">
        <v>0</v>
      </c>
      <c r="BP48" s="2607">
        <v>0</v>
      </c>
      <c r="BQ48" s="2607">
        <v>0</v>
      </c>
      <c r="BR48" s="2607">
        <v>0</v>
      </c>
      <c r="BS48" s="2607">
        <v>0</v>
      </c>
      <c r="BT48" s="2605"/>
      <c r="BU48" s="2198"/>
      <c r="BV48" s="2198"/>
      <c r="BW48" s="2605"/>
      <c r="BX48" s="2189"/>
      <c r="BY48" s="2189"/>
      <c r="BZ48" s="2189"/>
      <c r="CA48" s="2559">
        <f t="shared" si="63"/>
        <v>0</v>
      </c>
      <c r="CB48" s="2560">
        <f t="shared" si="63"/>
        <v>0</v>
      </c>
      <c r="CC48" s="2560">
        <f t="shared" si="63"/>
        <v>0</v>
      </c>
      <c r="CD48" s="2560">
        <f t="shared" si="63"/>
        <v>0</v>
      </c>
      <c r="CE48" s="2560">
        <f t="shared" si="63"/>
        <v>0</v>
      </c>
      <c r="CF48" s="2560">
        <f t="shared" si="63"/>
        <v>0</v>
      </c>
      <c r="CG48" s="2560">
        <f t="shared" si="63"/>
        <v>0</v>
      </c>
      <c r="CH48" s="2560">
        <f t="shared" si="63"/>
        <v>0</v>
      </c>
      <c r="CI48" s="2560">
        <f t="shared" si="63"/>
        <v>0</v>
      </c>
      <c r="CJ48" s="2560">
        <f t="shared" si="63"/>
        <v>0</v>
      </c>
      <c r="CK48" s="2560">
        <f t="shared" si="63"/>
        <v>0</v>
      </c>
      <c r="CL48" s="2560">
        <f t="shared" si="63"/>
        <v>0</v>
      </c>
      <c r="CM48" s="2560">
        <f t="shared" si="63"/>
        <v>0</v>
      </c>
      <c r="CN48" s="2560">
        <f t="shared" si="63"/>
        <v>0</v>
      </c>
      <c r="CO48" s="2560">
        <f t="shared" si="63"/>
        <v>0</v>
      </c>
      <c r="CP48" s="2560">
        <f t="shared" si="61"/>
        <v>0</v>
      </c>
      <c r="CQ48" s="2560">
        <f t="shared" si="35"/>
        <v>0</v>
      </c>
      <c r="CR48" s="2560">
        <f t="shared" si="35"/>
        <v>0</v>
      </c>
      <c r="CS48" s="2560">
        <f t="shared" si="35"/>
        <v>0</v>
      </c>
      <c r="CT48" s="2560">
        <f t="shared" si="35"/>
        <v>0</v>
      </c>
      <c r="CU48" s="2560">
        <f t="shared" si="35"/>
        <v>0</v>
      </c>
      <c r="CV48" s="2560">
        <f t="shared" si="35"/>
        <v>0</v>
      </c>
      <c r="CW48" s="2560">
        <f t="shared" si="35"/>
        <v>0</v>
      </c>
      <c r="CX48" s="2560">
        <f t="shared" si="35"/>
        <v>0</v>
      </c>
      <c r="CY48" s="2560">
        <f t="shared" si="35"/>
        <v>0</v>
      </c>
      <c r="CZ48" s="2560">
        <f t="shared" si="35"/>
        <v>0</v>
      </c>
      <c r="DA48" s="2560">
        <f t="shared" si="35"/>
        <v>0</v>
      </c>
      <c r="DB48" s="2560">
        <f t="shared" si="35"/>
        <v>0</v>
      </c>
      <c r="DC48" s="2560">
        <f>AI48-BS48</f>
        <v>0</v>
      </c>
      <c r="DD48" s="2608">
        <f>AJ48-BT48</f>
        <v>0</v>
      </c>
      <c r="DE48" s="2189"/>
      <c r="DF48" s="2608">
        <f t="shared" si="62"/>
        <v>0</v>
      </c>
      <c r="DG48" s="2189"/>
    </row>
    <row r="49" spans="1:111" s="2196" customFormat="1" ht="15" customHeight="1" outlineLevel="1" x14ac:dyDescent="0.3">
      <c r="A49" s="2189"/>
      <c r="B49" s="2587"/>
      <c r="C49" s="2587"/>
      <c r="D49" s="2587"/>
      <c r="E49" s="2587"/>
      <c r="F49" s="2593"/>
      <c r="G49" s="2587"/>
      <c r="H49" s="2587"/>
      <c r="I49" s="2587"/>
      <c r="J49" s="2587"/>
      <c r="K49" s="2587"/>
      <c r="L49" s="2587"/>
      <c r="M49" s="2587"/>
      <c r="N49" s="2587"/>
      <c r="O49" s="2587"/>
      <c r="P49" s="2587"/>
      <c r="Q49" s="2587"/>
      <c r="R49" s="2587"/>
      <c r="S49" s="2587"/>
      <c r="T49" s="2587"/>
      <c r="U49" s="2587"/>
      <c r="V49" s="2587"/>
      <c r="W49" s="2587"/>
      <c r="X49" s="2587"/>
      <c r="Y49" s="2587"/>
      <c r="Z49" s="2587"/>
      <c r="AA49" s="2587"/>
      <c r="AB49" s="2587"/>
      <c r="AC49" s="2587"/>
      <c r="AD49" s="2587"/>
      <c r="AE49" s="2587"/>
      <c r="AF49" s="2587"/>
      <c r="AG49" s="2587"/>
      <c r="AH49" s="2587"/>
      <c r="AI49" s="2587"/>
      <c r="AJ49" s="2587"/>
      <c r="AK49" s="1070"/>
      <c r="AL49" s="2189"/>
      <c r="AM49" s="2189"/>
      <c r="AN49" s="2189"/>
      <c r="AO49" s="2189"/>
      <c r="AP49" s="2189"/>
      <c r="AQ49" s="2587"/>
      <c r="AR49" s="2587"/>
      <c r="AS49" s="2587"/>
      <c r="AT49" s="2587"/>
      <c r="AU49" s="2587"/>
      <c r="AV49" s="2587"/>
      <c r="AW49" s="2587"/>
      <c r="AX49" s="2587"/>
      <c r="AY49" s="2587"/>
      <c r="AZ49" s="2587"/>
      <c r="BA49" s="2587"/>
      <c r="BB49" s="2587"/>
      <c r="BC49" s="2587"/>
      <c r="BD49" s="2587"/>
      <c r="BE49" s="2587"/>
      <c r="BF49" s="2587"/>
      <c r="BG49" s="2587"/>
      <c r="BH49" s="2587"/>
      <c r="BI49" s="2587"/>
      <c r="BJ49" s="2587"/>
      <c r="BK49" s="2587"/>
      <c r="BL49" s="2587"/>
      <c r="BM49" s="2587"/>
      <c r="BN49" s="2587"/>
      <c r="BO49" s="2587"/>
      <c r="BP49" s="2587"/>
      <c r="BQ49" s="2587"/>
      <c r="BR49" s="2587"/>
      <c r="BS49" s="2587"/>
      <c r="BT49" s="2593"/>
      <c r="BU49" s="2189"/>
      <c r="BV49" s="2189"/>
      <c r="BW49" s="2593"/>
      <c r="BX49" s="2189"/>
      <c r="BY49" s="2189"/>
      <c r="BZ49" s="2189"/>
      <c r="CA49" s="2189"/>
      <c r="CB49" s="2189"/>
      <c r="CC49" s="2189"/>
      <c r="CD49" s="2189"/>
      <c r="CE49" s="2189"/>
      <c r="CF49" s="2189"/>
      <c r="CG49" s="2189"/>
      <c r="CH49" s="2189"/>
      <c r="CI49" s="2189"/>
      <c r="CJ49" s="2189"/>
      <c r="CK49" s="2189"/>
      <c r="CL49" s="2189"/>
      <c r="CM49" s="2189"/>
      <c r="CN49" s="2189"/>
      <c r="CO49" s="2189"/>
      <c r="CP49" s="2189"/>
      <c r="CQ49" s="2189"/>
      <c r="CR49" s="2189"/>
      <c r="CS49" s="2189"/>
      <c r="CT49" s="2189"/>
      <c r="CU49" s="2189"/>
      <c r="CV49" s="2189"/>
      <c r="CW49" s="2189"/>
      <c r="CX49" s="2189"/>
      <c r="CY49" s="2189"/>
      <c r="CZ49" s="2189"/>
      <c r="DA49" s="2189"/>
      <c r="DB49" s="2189"/>
      <c r="DC49" s="2189"/>
      <c r="DD49" s="2189"/>
      <c r="DE49" s="2189"/>
      <c r="DF49" s="2189"/>
      <c r="DG49" s="2189"/>
    </row>
    <row r="50" spans="1:111" s="2196" customFormat="1" ht="18" outlineLevel="2" x14ac:dyDescent="0.3">
      <c r="A50" s="2189"/>
      <c r="B50" s="2498" t="s">
        <v>1644</v>
      </c>
      <c r="C50" s="2587"/>
      <c r="D50" s="2587"/>
      <c r="E50" s="2587"/>
      <c r="F50" s="2593"/>
      <c r="G50" s="1853">
        <f>G8</f>
        <v>0</v>
      </c>
      <c r="H50" s="1853">
        <f t="shared" ref="H50:AI51" si="64">H8</f>
        <v>0</v>
      </c>
      <c r="I50" s="1853">
        <f t="shared" si="64"/>
        <v>0</v>
      </c>
      <c r="J50" s="1853">
        <f t="shared" si="64"/>
        <v>0</v>
      </c>
      <c r="K50" s="1853">
        <f t="shared" si="64"/>
        <v>0</v>
      </c>
      <c r="L50" s="1853">
        <f t="shared" si="64"/>
        <v>0</v>
      </c>
      <c r="M50" s="1853">
        <f t="shared" si="64"/>
        <v>0</v>
      </c>
      <c r="N50" s="1853">
        <f t="shared" si="64"/>
        <v>0</v>
      </c>
      <c r="O50" s="1853">
        <f t="shared" si="64"/>
        <v>0</v>
      </c>
      <c r="P50" s="1853">
        <f t="shared" si="64"/>
        <v>0</v>
      </c>
      <c r="Q50" s="1853">
        <f t="shared" si="64"/>
        <v>0</v>
      </c>
      <c r="R50" s="1853">
        <f t="shared" si="64"/>
        <v>0</v>
      </c>
      <c r="S50" s="1853">
        <f t="shared" si="64"/>
        <v>0</v>
      </c>
      <c r="T50" s="1853">
        <f t="shared" si="64"/>
        <v>0</v>
      </c>
      <c r="U50" s="1853">
        <f t="shared" si="64"/>
        <v>0</v>
      </c>
      <c r="V50" s="1853">
        <f t="shared" si="64"/>
        <v>0</v>
      </c>
      <c r="W50" s="1853">
        <f t="shared" si="64"/>
        <v>0</v>
      </c>
      <c r="X50" s="1853">
        <f t="shared" si="64"/>
        <v>0</v>
      </c>
      <c r="Y50" s="1853">
        <f t="shared" si="64"/>
        <v>0</v>
      </c>
      <c r="Z50" s="1853">
        <f t="shared" si="64"/>
        <v>0</v>
      </c>
      <c r="AA50" s="1853">
        <f t="shared" si="64"/>
        <v>0</v>
      </c>
      <c r="AB50" s="1853">
        <f t="shared" si="64"/>
        <v>0</v>
      </c>
      <c r="AC50" s="1853">
        <f t="shared" si="64"/>
        <v>0</v>
      </c>
      <c r="AD50" s="1853">
        <f t="shared" si="64"/>
        <v>0</v>
      </c>
      <c r="AE50" s="1853">
        <f t="shared" si="64"/>
        <v>0</v>
      </c>
      <c r="AF50" s="1853">
        <f t="shared" si="64"/>
        <v>0</v>
      </c>
      <c r="AG50" s="1853">
        <f t="shared" si="64"/>
        <v>0</v>
      </c>
      <c r="AH50" s="1853">
        <f t="shared" si="64"/>
        <v>0</v>
      </c>
      <c r="AI50" s="1853">
        <f t="shared" si="64"/>
        <v>0</v>
      </c>
      <c r="AJ50" s="2587"/>
      <c r="AK50" s="1070"/>
      <c r="AL50" s="2189"/>
      <c r="AM50" s="2189"/>
      <c r="AN50" s="2189"/>
      <c r="AO50" s="2189"/>
      <c r="AP50" s="2189"/>
      <c r="AQ50" s="2587"/>
      <c r="AR50" s="2587"/>
      <c r="AS50" s="2587"/>
      <c r="AT50" s="2587"/>
      <c r="AU50" s="2587"/>
      <c r="AV50" s="2587"/>
      <c r="AW50" s="2587"/>
      <c r="AX50" s="2587"/>
      <c r="AY50" s="2587"/>
      <c r="AZ50" s="2587"/>
      <c r="BA50" s="2587"/>
      <c r="BB50" s="2587"/>
      <c r="BC50" s="2587"/>
      <c r="BD50" s="2587"/>
      <c r="BE50" s="2587"/>
      <c r="BF50" s="2587"/>
      <c r="BG50" s="2587"/>
      <c r="BH50" s="2587"/>
      <c r="BI50" s="2587"/>
      <c r="BJ50" s="2587"/>
      <c r="BK50" s="2587"/>
      <c r="BL50" s="2587"/>
      <c r="BM50" s="2587"/>
      <c r="BN50" s="2587"/>
      <c r="BO50" s="2587"/>
      <c r="BP50" s="2587"/>
      <c r="BQ50" s="2587"/>
      <c r="BR50" s="2587"/>
      <c r="BS50" s="2587"/>
      <c r="BT50" s="2593"/>
      <c r="BU50" s="2189"/>
      <c r="BV50" s="2189"/>
      <c r="BW50" s="2593"/>
      <c r="BX50" s="2189"/>
      <c r="BY50" s="2189"/>
      <c r="BZ50" s="2189"/>
      <c r="CA50" s="2189"/>
      <c r="CB50" s="2189"/>
      <c r="CC50" s="2189"/>
      <c r="CD50" s="2189"/>
      <c r="CE50" s="2189"/>
      <c r="CF50" s="2189"/>
      <c r="CG50" s="2189"/>
      <c r="CH50" s="2189"/>
      <c r="CI50" s="2189"/>
      <c r="CJ50" s="2189"/>
      <c r="CK50" s="2189"/>
      <c r="CL50" s="2189"/>
      <c r="CM50" s="2189"/>
      <c r="CN50" s="2189"/>
      <c r="CO50" s="2189"/>
      <c r="CP50" s="2189"/>
      <c r="CQ50" s="2189"/>
      <c r="CR50" s="2189"/>
      <c r="CS50" s="2189"/>
      <c r="CT50" s="2189"/>
      <c r="CU50" s="2189"/>
      <c r="CV50" s="2189"/>
      <c r="CW50" s="2189"/>
      <c r="CX50" s="2189"/>
      <c r="CY50" s="2189"/>
      <c r="CZ50" s="2189"/>
      <c r="DA50" s="2189"/>
      <c r="DB50" s="2189"/>
      <c r="DC50" s="2189"/>
      <c r="DD50" s="2189"/>
      <c r="DE50" s="2189"/>
      <c r="DF50" s="2189"/>
      <c r="DG50" s="2189"/>
    </row>
    <row r="51" spans="1:111" s="2196" customFormat="1" ht="18" outlineLevel="2" x14ac:dyDescent="0.3">
      <c r="A51" s="2189"/>
      <c r="B51" s="3363" t="str">
        <f>Input!D34</f>
        <v>C</v>
      </c>
      <c r="C51" s="3364"/>
      <c r="D51" s="3364"/>
      <c r="E51" s="3364"/>
      <c r="F51" s="3365"/>
      <c r="G51" s="1752" t="str">
        <f>G9</f>
        <v>FY18</v>
      </c>
      <c r="H51" s="1243" t="str">
        <f t="shared" si="64"/>
        <v>FY19</v>
      </c>
      <c r="I51" s="1243" t="str">
        <f t="shared" si="64"/>
        <v>FY20</v>
      </c>
      <c r="J51" s="1243" t="str">
        <f t="shared" si="64"/>
        <v>FY21</v>
      </c>
      <c r="K51" s="1243" t="str">
        <f t="shared" si="64"/>
        <v>FY22</v>
      </c>
      <c r="L51" s="1243" t="str">
        <f t="shared" si="64"/>
        <v>FY23</v>
      </c>
      <c r="M51" s="1243" t="str">
        <f t="shared" si="64"/>
        <v>FY24</v>
      </c>
      <c r="N51" s="1243" t="str">
        <f t="shared" si="64"/>
        <v>FY25</v>
      </c>
      <c r="O51" s="1243" t="str">
        <f t="shared" si="64"/>
        <v>FY26</v>
      </c>
      <c r="P51" s="1243" t="str">
        <f t="shared" si="64"/>
        <v>FY27</v>
      </c>
      <c r="Q51" s="1243" t="str">
        <f t="shared" si="64"/>
        <v>FY28</v>
      </c>
      <c r="R51" s="1243" t="str">
        <f t="shared" si="64"/>
        <v>FY29</v>
      </c>
      <c r="S51" s="1243" t="str">
        <f t="shared" si="64"/>
        <v>FY30</v>
      </c>
      <c r="T51" s="1243" t="str">
        <f t="shared" si="64"/>
        <v>FY31</v>
      </c>
      <c r="U51" s="1243" t="str">
        <f t="shared" si="64"/>
        <v>FY32</v>
      </c>
      <c r="V51" s="1243" t="str">
        <f t="shared" si="64"/>
        <v>FY33</v>
      </c>
      <c r="W51" s="1243" t="str">
        <f t="shared" si="64"/>
        <v>FY34</v>
      </c>
      <c r="X51" s="1243" t="str">
        <f t="shared" si="64"/>
        <v>FY35</v>
      </c>
      <c r="Y51" s="1243" t="str">
        <f t="shared" si="64"/>
        <v>FY36</v>
      </c>
      <c r="Z51" s="1243" t="str">
        <f t="shared" si="64"/>
        <v>FY37</v>
      </c>
      <c r="AA51" s="1243" t="str">
        <f t="shared" si="64"/>
        <v>FY38</v>
      </c>
      <c r="AB51" s="1243" t="str">
        <f t="shared" si="64"/>
        <v>FY39</v>
      </c>
      <c r="AC51" s="1243" t="str">
        <f t="shared" si="64"/>
        <v>FY40</v>
      </c>
      <c r="AD51" s="1243" t="str">
        <f t="shared" si="64"/>
        <v>FY41</v>
      </c>
      <c r="AE51" s="1243" t="str">
        <f t="shared" si="64"/>
        <v>FY42</v>
      </c>
      <c r="AF51" s="1243" t="str">
        <f t="shared" si="64"/>
        <v>FY43</v>
      </c>
      <c r="AG51" s="1243" t="str">
        <f t="shared" si="64"/>
        <v>FY44</v>
      </c>
      <c r="AH51" s="1243" t="str">
        <f t="shared" si="64"/>
        <v>FY45</v>
      </c>
      <c r="AI51" s="1243" t="str">
        <f t="shared" si="64"/>
        <v>FY46</v>
      </c>
      <c r="AJ51" s="1857" t="str">
        <f>"FY"&amp;CurrentFY&amp;"-"&amp;CurrentFY+9</f>
        <v>FY18-27</v>
      </c>
      <c r="AK51" s="2609"/>
      <c r="AL51" s="1070"/>
      <c r="AM51" s="1857" t="str">
        <f>"FY"&amp;CurrentFY&amp;"-"&amp;CurrentFY+14</f>
        <v>FY18-32</v>
      </c>
      <c r="AN51" s="1070"/>
      <c r="AO51" s="1070"/>
      <c r="AP51" s="1070"/>
      <c r="AQ51" s="1752" t="str">
        <f>AQ9</f>
        <v>FY18</v>
      </c>
      <c r="AR51" s="1243" t="str">
        <f t="shared" ref="AR51:BS51" si="65">AR9</f>
        <v>FY19</v>
      </c>
      <c r="AS51" s="1243" t="str">
        <f t="shared" si="65"/>
        <v>FY20</v>
      </c>
      <c r="AT51" s="1243" t="str">
        <f t="shared" si="65"/>
        <v>FY21</v>
      </c>
      <c r="AU51" s="1243" t="str">
        <f t="shared" si="65"/>
        <v>FY22</v>
      </c>
      <c r="AV51" s="1243" t="str">
        <f t="shared" si="65"/>
        <v>FY23</v>
      </c>
      <c r="AW51" s="1243" t="str">
        <f t="shared" si="65"/>
        <v>FY24</v>
      </c>
      <c r="AX51" s="1243" t="str">
        <f t="shared" si="65"/>
        <v>FY25</v>
      </c>
      <c r="AY51" s="1243" t="str">
        <f t="shared" si="65"/>
        <v>FY26</v>
      </c>
      <c r="AZ51" s="1243" t="str">
        <f t="shared" si="65"/>
        <v>FY27</v>
      </c>
      <c r="BA51" s="1243" t="str">
        <f t="shared" si="65"/>
        <v>FY28</v>
      </c>
      <c r="BB51" s="1243" t="str">
        <f t="shared" si="65"/>
        <v>FY29</v>
      </c>
      <c r="BC51" s="1243" t="str">
        <f t="shared" si="65"/>
        <v>FY30</v>
      </c>
      <c r="BD51" s="1243" t="str">
        <f t="shared" si="65"/>
        <v>FY31</v>
      </c>
      <c r="BE51" s="1243" t="str">
        <f t="shared" si="65"/>
        <v>FY32</v>
      </c>
      <c r="BF51" s="1243" t="str">
        <f t="shared" si="65"/>
        <v>FY33</v>
      </c>
      <c r="BG51" s="1243" t="str">
        <f t="shared" si="65"/>
        <v>FY34</v>
      </c>
      <c r="BH51" s="2500" t="str">
        <f t="shared" si="65"/>
        <v>FY35</v>
      </c>
      <c r="BI51" s="2500" t="str">
        <f t="shared" si="65"/>
        <v>FY36</v>
      </c>
      <c r="BJ51" s="2500" t="str">
        <f t="shared" si="65"/>
        <v>FY37</v>
      </c>
      <c r="BK51" s="2500" t="str">
        <f t="shared" si="65"/>
        <v>FY38</v>
      </c>
      <c r="BL51" s="2500" t="str">
        <f t="shared" si="65"/>
        <v>FY39</v>
      </c>
      <c r="BM51" s="2500" t="str">
        <f t="shared" si="65"/>
        <v>FY40</v>
      </c>
      <c r="BN51" s="2500" t="str">
        <f t="shared" si="65"/>
        <v>FY41</v>
      </c>
      <c r="BO51" s="2500" t="str">
        <f t="shared" si="65"/>
        <v>FY42</v>
      </c>
      <c r="BP51" s="2500" t="str">
        <f t="shared" si="65"/>
        <v>FY43</v>
      </c>
      <c r="BQ51" s="2500" t="str">
        <f t="shared" si="65"/>
        <v>FY44</v>
      </c>
      <c r="BR51" s="2500" t="str">
        <f t="shared" si="65"/>
        <v>FY45</v>
      </c>
      <c r="BS51" s="2500" t="str">
        <f t="shared" si="65"/>
        <v>FY46</v>
      </c>
      <c r="BT51" s="1857" t="str">
        <f>"FY"&amp;CurrentFY&amp;"-"&amp;CurrentFY+9</f>
        <v>FY18-27</v>
      </c>
      <c r="BU51" s="2189"/>
      <c r="BV51" s="2189"/>
      <c r="BW51" s="1857" t="str">
        <f>"FY"&amp;CurrentFY&amp;"-"&amp;CurrentFY+9</f>
        <v>FY18-27</v>
      </c>
      <c r="BX51" s="2189"/>
      <c r="BY51" s="2189"/>
      <c r="BZ51" s="2189"/>
      <c r="CA51" s="1752" t="str">
        <f>CA9</f>
        <v>FY18</v>
      </c>
      <c r="CB51" s="1243" t="str">
        <f t="shared" ref="CB51:DC51" si="66">CB9</f>
        <v>FY19</v>
      </c>
      <c r="CC51" s="1243" t="str">
        <f t="shared" si="66"/>
        <v>FY20</v>
      </c>
      <c r="CD51" s="1243" t="str">
        <f t="shared" si="66"/>
        <v>FY21</v>
      </c>
      <c r="CE51" s="1243" t="str">
        <f t="shared" si="66"/>
        <v>FY22</v>
      </c>
      <c r="CF51" s="1243" t="str">
        <f t="shared" si="66"/>
        <v>FY23</v>
      </c>
      <c r="CG51" s="1243" t="str">
        <f t="shared" si="66"/>
        <v>FY24</v>
      </c>
      <c r="CH51" s="1243" t="str">
        <f t="shared" si="66"/>
        <v>FY25</v>
      </c>
      <c r="CI51" s="1243" t="str">
        <f t="shared" si="66"/>
        <v>FY26</v>
      </c>
      <c r="CJ51" s="1243" t="str">
        <f t="shared" si="66"/>
        <v>FY27</v>
      </c>
      <c r="CK51" s="1243" t="str">
        <f t="shared" si="66"/>
        <v>FY28</v>
      </c>
      <c r="CL51" s="1243" t="str">
        <f t="shared" si="66"/>
        <v>FY29</v>
      </c>
      <c r="CM51" s="1243" t="str">
        <f t="shared" si="66"/>
        <v>FY30</v>
      </c>
      <c r="CN51" s="1243" t="str">
        <f t="shared" si="66"/>
        <v>FY31</v>
      </c>
      <c r="CO51" s="1243" t="str">
        <f t="shared" si="66"/>
        <v>FY32</v>
      </c>
      <c r="CP51" s="1243" t="str">
        <f t="shared" si="66"/>
        <v>FY33</v>
      </c>
      <c r="CQ51" s="1243" t="str">
        <f t="shared" si="66"/>
        <v>FY34</v>
      </c>
      <c r="CR51" s="1243" t="str">
        <f t="shared" si="66"/>
        <v>FY35</v>
      </c>
      <c r="CS51" s="1243" t="str">
        <f t="shared" si="66"/>
        <v>FY36</v>
      </c>
      <c r="CT51" s="1243" t="str">
        <f t="shared" si="66"/>
        <v>FY37</v>
      </c>
      <c r="CU51" s="1243" t="str">
        <f t="shared" si="66"/>
        <v>FY38</v>
      </c>
      <c r="CV51" s="1243" t="str">
        <f t="shared" si="66"/>
        <v>FY39</v>
      </c>
      <c r="CW51" s="1243" t="str">
        <f t="shared" si="66"/>
        <v>FY40</v>
      </c>
      <c r="CX51" s="1243" t="str">
        <f t="shared" si="66"/>
        <v>FY41</v>
      </c>
      <c r="CY51" s="1243" t="str">
        <f t="shared" si="66"/>
        <v>FY42</v>
      </c>
      <c r="CZ51" s="1243" t="str">
        <f t="shared" si="66"/>
        <v>FY43</v>
      </c>
      <c r="DA51" s="1243" t="str">
        <f t="shared" si="66"/>
        <v>FY44</v>
      </c>
      <c r="DB51" s="1243" t="str">
        <f t="shared" si="66"/>
        <v>FY45</v>
      </c>
      <c r="DC51" s="2500" t="str">
        <f t="shared" si="66"/>
        <v>FY46</v>
      </c>
      <c r="DD51" s="1857" t="str">
        <f>"FY"&amp;CurrentFY&amp;"-"&amp;CurrentFY+9</f>
        <v>FY18-27</v>
      </c>
      <c r="DE51" s="2189"/>
      <c r="DF51" s="1857" t="str">
        <f>"FY"&amp;CurrentFY&amp;"-"&amp;CurrentFY+14</f>
        <v>FY18-32</v>
      </c>
      <c r="DG51" s="2189"/>
    </row>
    <row r="52" spans="1:111" s="2196" customFormat="1" ht="15.6" outlineLevel="2" x14ac:dyDescent="0.3">
      <c r="A52" s="2189"/>
      <c r="B52" s="2501" t="s">
        <v>1645</v>
      </c>
      <c r="C52" s="2502"/>
      <c r="D52" s="2502"/>
      <c r="E52" s="2502"/>
      <c r="F52" s="2610"/>
      <c r="G52" s="2505">
        <v>0</v>
      </c>
      <c r="H52" s="2505">
        <v>0</v>
      </c>
      <c r="I52" s="2505">
        <v>0</v>
      </c>
      <c r="J52" s="2505"/>
      <c r="K52" s="2505"/>
      <c r="L52" s="2505"/>
      <c r="M52" s="2505">
        <v>0</v>
      </c>
      <c r="N52" s="2505">
        <v>0</v>
      </c>
      <c r="O52" s="2505">
        <v>0</v>
      </c>
      <c r="P52" s="2505">
        <v>0</v>
      </c>
      <c r="Q52" s="2505">
        <v>0</v>
      </c>
      <c r="R52" s="2505">
        <v>0</v>
      </c>
      <c r="S52" s="2505">
        <v>0</v>
      </c>
      <c r="T52" s="2505">
        <v>0</v>
      </c>
      <c r="U52" s="2505">
        <v>0</v>
      </c>
      <c r="V52" s="2505">
        <v>0</v>
      </c>
      <c r="W52" s="2505">
        <v>0</v>
      </c>
      <c r="X52" s="2505">
        <v>0</v>
      </c>
      <c r="Y52" s="2505">
        <v>0</v>
      </c>
      <c r="Z52" s="2505">
        <v>0</v>
      </c>
      <c r="AA52" s="2505">
        <v>0</v>
      </c>
      <c r="AB52" s="2505">
        <v>0</v>
      </c>
      <c r="AC52" s="2505">
        <v>0</v>
      </c>
      <c r="AD52" s="2505">
        <v>0</v>
      </c>
      <c r="AE52" s="2505">
        <v>0</v>
      </c>
      <c r="AF52" s="2505">
        <v>0</v>
      </c>
      <c r="AG52" s="2505">
        <v>0</v>
      </c>
      <c r="AH52" s="2505">
        <v>0</v>
      </c>
      <c r="AI52" s="2505">
        <v>0</v>
      </c>
      <c r="AJ52" s="2506">
        <f>SUMIF($G$115:$AI$115,"1",$G52:$AI52)</f>
        <v>0</v>
      </c>
      <c r="AK52" s="2507"/>
      <c r="AL52" s="1082"/>
      <c r="AM52" s="2506">
        <f>SUMIF($G$115:$AI$115,"1",$G52:$AI52)+SUMIF($G$115:$AI$115,"2",$G52:$AI52)</f>
        <v>0</v>
      </c>
      <c r="AN52" s="2508"/>
      <c r="AO52" s="1070"/>
      <c r="AP52" s="1070"/>
      <c r="AQ52" s="2504">
        <v>0</v>
      </c>
      <c r="AR52" s="2505">
        <v>0</v>
      </c>
      <c r="AS52" s="2505">
        <v>0</v>
      </c>
      <c r="AT52" s="2505">
        <v>0</v>
      </c>
      <c r="AU52" s="2505">
        <v>0</v>
      </c>
      <c r="AV52" s="2505">
        <v>0</v>
      </c>
      <c r="AW52" s="2505">
        <v>0</v>
      </c>
      <c r="AX52" s="2505">
        <v>0</v>
      </c>
      <c r="AY52" s="2505">
        <v>0</v>
      </c>
      <c r="AZ52" s="2505">
        <v>0</v>
      </c>
      <c r="BA52" s="2505">
        <v>0</v>
      </c>
      <c r="BB52" s="2505">
        <v>0</v>
      </c>
      <c r="BC52" s="2505">
        <v>0</v>
      </c>
      <c r="BD52" s="2505">
        <v>0</v>
      </c>
      <c r="BE52" s="2505">
        <v>0</v>
      </c>
      <c r="BF52" s="2505">
        <v>0</v>
      </c>
      <c r="BG52" s="2505">
        <v>0</v>
      </c>
      <c r="BH52" s="2509">
        <v>0</v>
      </c>
      <c r="BI52" s="2509">
        <v>0</v>
      </c>
      <c r="BJ52" s="2509">
        <v>0</v>
      </c>
      <c r="BK52" s="2509">
        <v>0</v>
      </c>
      <c r="BL52" s="2509">
        <v>0</v>
      </c>
      <c r="BM52" s="2509">
        <v>0</v>
      </c>
      <c r="BN52" s="2509">
        <v>0</v>
      </c>
      <c r="BO52" s="2509">
        <v>0</v>
      </c>
      <c r="BP52" s="2509">
        <v>0</v>
      </c>
      <c r="BQ52" s="2509">
        <v>0</v>
      </c>
      <c r="BR52" s="2509">
        <v>0</v>
      </c>
      <c r="BS52" s="2509">
        <v>0</v>
      </c>
      <c r="BT52" s="2506">
        <f>SUMIF($AQ$115:$BS$115,"1",$AQ52:$BS52)</f>
        <v>0</v>
      </c>
      <c r="BU52" s="2198"/>
      <c r="BV52" s="2198"/>
      <c r="BW52" s="2506">
        <f>SUMIF($AQ$115:$BS$115,"1",$AQ52:$BS52)+SUMIF($AQ$115:$BS$115,"2",$AQ52:$BS52)</f>
        <v>0</v>
      </c>
      <c r="BX52" s="2189"/>
      <c r="BY52" s="2189"/>
      <c r="BZ52" s="2189"/>
      <c r="CA52" s="2510">
        <f t="shared" ref="CA52:CP67" si="67">G52-AQ52</f>
        <v>0</v>
      </c>
      <c r="CB52" s="2511">
        <f t="shared" si="67"/>
        <v>0</v>
      </c>
      <c r="CC52" s="2511">
        <f t="shared" si="67"/>
        <v>0</v>
      </c>
      <c r="CD52" s="2511">
        <f t="shared" si="67"/>
        <v>0</v>
      </c>
      <c r="CE52" s="2511">
        <f t="shared" si="67"/>
        <v>0</v>
      </c>
      <c r="CF52" s="2511">
        <f t="shared" si="67"/>
        <v>0</v>
      </c>
      <c r="CG52" s="2511">
        <f t="shared" si="67"/>
        <v>0</v>
      </c>
      <c r="CH52" s="2511">
        <f t="shared" si="67"/>
        <v>0</v>
      </c>
      <c r="CI52" s="2511">
        <f t="shared" si="67"/>
        <v>0</v>
      </c>
      <c r="CJ52" s="2511">
        <f t="shared" si="67"/>
        <v>0</v>
      </c>
      <c r="CK52" s="2511">
        <f t="shared" si="67"/>
        <v>0</v>
      </c>
      <c r="CL52" s="2511">
        <f t="shared" si="67"/>
        <v>0</v>
      </c>
      <c r="CM52" s="2511">
        <f t="shared" si="67"/>
        <v>0</v>
      </c>
      <c r="CN52" s="2511">
        <f t="shared" si="67"/>
        <v>0</v>
      </c>
      <c r="CO52" s="2511">
        <f t="shared" si="67"/>
        <v>0</v>
      </c>
      <c r="CP52" s="2511">
        <f t="shared" si="67"/>
        <v>0</v>
      </c>
      <c r="CQ52" s="2511">
        <f t="shared" ref="CQ52:DD69" si="68">W52-BG52</f>
        <v>0</v>
      </c>
      <c r="CR52" s="2511">
        <f t="shared" si="68"/>
        <v>0</v>
      </c>
      <c r="CS52" s="2511">
        <f t="shared" si="68"/>
        <v>0</v>
      </c>
      <c r="CT52" s="2511">
        <f t="shared" si="68"/>
        <v>0</v>
      </c>
      <c r="CU52" s="2511">
        <f t="shared" si="68"/>
        <v>0</v>
      </c>
      <c r="CV52" s="2511">
        <f t="shared" si="68"/>
        <v>0</v>
      </c>
      <c r="CW52" s="2511">
        <f t="shared" si="68"/>
        <v>0</v>
      </c>
      <c r="CX52" s="2511">
        <f t="shared" si="68"/>
        <v>0</v>
      </c>
      <c r="CY52" s="2511">
        <f t="shared" si="68"/>
        <v>0</v>
      </c>
      <c r="CZ52" s="2511">
        <f t="shared" si="68"/>
        <v>0</v>
      </c>
      <c r="DA52" s="2511">
        <f t="shared" si="68"/>
        <v>0</v>
      </c>
      <c r="DB52" s="2511">
        <f t="shared" si="68"/>
        <v>0</v>
      </c>
      <c r="DC52" s="2511">
        <f t="shared" si="68"/>
        <v>0</v>
      </c>
      <c r="DD52" s="2512">
        <f t="shared" si="68"/>
        <v>0</v>
      </c>
      <c r="DE52" s="2189"/>
      <c r="DF52" s="2512">
        <f>AM52-BW52</f>
        <v>0</v>
      </c>
      <c r="DG52" s="2189"/>
    </row>
    <row r="53" spans="1:111" s="2196" customFormat="1" ht="15.6" outlineLevel="2" x14ac:dyDescent="0.3">
      <c r="A53" s="2189"/>
      <c r="B53" s="2513" t="s">
        <v>1572</v>
      </c>
      <c r="C53" s="2514"/>
      <c r="D53" s="2514"/>
      <c r="E53" s="2514"/>
      <c r="F53" s="2611"/>
      <c r="G53" s="2517">
        <v>0</v>
      </c>
      <c r="H53" s="2517">
        <v>0</v>
      </c>
      <c r="I53" s="2517">
        <v>0</v>
      </c>
      <c r="J53" s="2517"/>
      <c r="K53" s="2517"/>
      <c r="L53" s="2517"/>
      <c r="M53" s="2517">
        <v>0</v>
      </c>
      <c r="N53" s="2517">
        <v>0</v>
      </c>
      <c r="O53" s="2517">
        <v>0</v>
      </c>
      <c r="P53" s="2517">
        <v>0</v>
      </c>
      <c r="Q53" s="2517">
        <v>0</v>
      </c>
      <c r="R53" s="2517">
        <v>0</v>
      </c>
      <c r="S53" s="2517">
        <v>0</v>
      </c>
      <c r="T53" s="2517">
        <v>0</v>
      </c>
      <c r="U53" s="2517">
        <v>0</v>
      </c>
      <c r="V53" s="2517">
        <v>0</v>
      </c>
      <c r="W53" s="2517">
        <v>0</v>
      </c>
      <c r="X53" s="2517">
        <v>0</v>
      </c>
      <c r="Y53" s="2517">
        <v>0</v>
      </c>
      <c r="Z53" s="2517">
        <v>0</v>
      </c>
      <c r="AA53" s="2517">
        <v>0</v>
      </c>
      <c r="AB53" s="2517">
        <v>0</v>
      </c>
      <c r="AC53" s="2517">
        <v>0</v>
      </c>
      <c r="AD53" s="2517">
        <v>0</v>
      </c>
      <c r="AE53" s="2517">
        <v>0</v>
      </c>
      <c r="AF53" s="2517">
        <v>0</v>
      </c>
      <c r="AG53" s="2517">
        <v>0</v>
      </c>
      <c r="AH53" s="2517">
        <v>0</v>
      </c>
      <c r="AI53" s="2517">
        <v>0</v>
      </c>
      <c r="AJ53" s="2518" t="e">
        <f>+AJ54/AJ52</f>
        <v>#DIV/0!</v>
      </c>
      <c r="AK53" s="2519"/>
      <c r="AL53" s="1082"/>
      <c r="AM53" s="2518" t="e">
        <f>+AM54/AM52</f>
        <v>#DIV/0!</v>
      </c>
      <c r="AN53" s="2520"/>
      <c r="AO53" s="1070"/>
      <c r="AP53" s="1070"/>
      <c r="AQ53" s="2516">
        <v>0</v>
      </c>
      <c r="AR53" s="2517">
        <v>0</v>
      </c>
      <c r="AS53" s="2517">
        <v>0</v>
      </c>
      <c r="AT53" s="2517">
        <v>0</v>
      </c>
      <c r="AU53" s="2517">
        <v>0</v>
      </c>
      <c r="AV53" s="2517">
        <v>0</v>
      </c>
      <c r="AW53" s="2517">
        <v>0</v>
      </c>
      <c r="AX53" s="2517">
        <v>0</v>
      </c>
      <c r="AY53" s="2517">
        <v>0</v>
      </c>
      <c r="AZ53" s="2517">
        <v>0</v>
      </c>
      <c r="BA53" s="2517">
        <v>0</v>
      </c>
      <c r="BB53" s="2517">
        <v>0</v>
      </c>
      <c r="BC53" s="2517">
        <v>0</v>
      </c>
      <c r="BD53" s="2517">
        <v>0</v>
      </c>
      <c r="BE53" s="2517">
        <v>0</v>
      </c>
      <c r="BF53" s="2517">
        <v>0</v>
      </c>
      <c r="BG53" s="2517">
        <v>0</v>
      </c>
      <c r="BH53" s="2517">
        <v>0</v>
      </c>
      <c r="BI53" s="2517">
        <v>0</v>
      </c>
      <c r="BJ53" s="2517">
        <v>0</v>
      </c>
      <c r="BK53" s="2517">
        <v>0</v>
      </c>
      <c r="BL53" s="2517">
        <v>0</v>
      </c>
      <c r="BM53" s="2517">
        <v>0</v>
      </c>
      <c r="BN53" s="2517">
        <v>0</v>
      </c>
      <c r="BO53" s="2517">
        <v>0</v>
      </c>
      <c r="BP53" s="2517">
        <v>0</v>
      </c>
      <c r="BQ53" s="2517">
        <v>0</v>
      </c>
      <c r="BR53" s="2517">
        <v>0</v>
      </c>
      <c r="BS53" s="2517">
        <v>0</v>
      </c>
      <c r="BT53" s="2518" t="e">
        <f>+BT54/BT52</f>
        <v>#DIV/0!</v>
      </c>
      <c r="BU53" s="2198"/>
      <c r="BV53" s="2198"/>
      <c r="BW53" s="2518" t="e">
        <f>+BW54/BW52</f>
        <v>#DIV/0!</v>
      </c>
      <c r="BX53" s="2189"/>
      <c r="BY53" s="2189"/>
      <c r="BZ53" s="2189"/>
      <c r="CA53" s="2521">
        <f t="shared" si="67"/>
        <v>0</v>
      </c>
      <c r="CB53" s="2522">
        <f t="shared" si="67"/>
        <v>0</v>
      </c>
      <c r="CC53" s="2522">
        <f t="shared" si="67"/>
        <v>0</v>
      </c>
      <c r="CD53" s="2522">
        <f t="shared" si="67"/>
        <v>0</v>
      </c>
      <c r="CE53" s="2522">
        <f t="shared" si="67"/>
        <v>0</v>
      </c>
      <c r="CF53" s="2522">
        <f t="shared" si="67"/>
        <v>0</v>
      </c>
      <c r="CG53" s="2522">
        <f t="shared" si="67"/>
        <v>0</v>
      </c>
      <c r="CH53" s="2522">
        <f t="shared" si="67"/>
        <v>0</v>
      </c>
      <c r="CI53" s="2522">
        <f t="shared" si="67"/>
        <v>0</v>
      </c>
      <c r="CJ53" s="2522">
        <f t="shared" si="67"/>
        <v>0</v>
      </c>
      <c r="CK53" s="2522">
        <f t="shared" si="67"/>
        <v>0</v>
      </c>
      <c r="CL53" s="2522">
        <f t="shared" si="67"/>
        <v>0</v>
      </c>
      <c r="CM53" s="2522">
        <f t="shared" si="67"/>
        <v>0</v>
      </c>
      <c r="CN53" s="2522">
        <f t="shared" si="67"/>
        <v>0</v>
      </c>
      <c r="CO53" s="2522">
        <f t="shared" si="67"/>
        <v>0</v>
      </c>
      <c r="CP53" s="2522">
        <f t="shared" si="67"/>
        <v>0</v>
      </c>
      <c r="CQ53" s="2522">
        <f t="shared" si="68"/>
        <v>0</v>
      </c>
      <c r="CR53" s="2522">
        <f t="shared" si="68"/>
        <v>0</v>
      </c>
      <c r="CS53" s="2522">
        <f t="shared" si="68"/>
        <v>0</v>
      </c>
      <c r="CT53" s="2522">
        <f t="shared" si="68"/>
        <v>0</v>
      </c>
      <c r="CU53" s="2522">
        <f t="shared" si="68"/>
        <v>0</v>
      </c>
      <c r="CV53" s="2522">
        <f t="shared" si="68"/>
        <v>0</v>
      </c>
      <c r="CW53" s="2522">
        <f t="shared" si="68"/>
        <v>0</v>
      </c>
      <c r="CX53" s="2522">
        <f t="shared" si="68"/>
        <v>0</v>
      </c>
      <c r="CY53" s="2522">
        <f t="shared" si="68"/>
        <v>0</v>
      </c>
      <c r="CZ53" s="2522">
        <f t="shared" si="68"/>
        <v>0</v>
      </c>
      <c r="DA53" s="2522">
        <f t="shared" si="68"/>
        <v>0</v>
      </c>
      <c r="DB53" s="2522">
        <f t="shared" si="68"/>
        <v>0</v>
      </c>
      <c r="DC53" s="2522">
        <f t="shared" si="68"/>
        <v>0</v>
      </c>
      <c r="DD53" s="2518" t="e">
        <f t="shared" si="68"/>
        <v>#DIV/0!</v>
      </c>
      <c r="DE53" s="2189"/>
      <c r="DF53" s="2518" t="e">
        <f t="shared" ref="DF53:DF58" si="69">AM53-BW53</f>
        <v>#DIV/0!</v>
      </c>
      <c r="DG53" s="2189"/>
    </row>
    <row r="54" spans="1:111" s="2196" customFormat="1" ht="18" outlineLevel="2" x14ac:dyDescent="0.35">
      <c r="A54" s="2189"/>
      <c r="B54" s="2523" t="s">
        <v>1646</v>
      </c>
      <c r="C54" s="2524"/>
      <c r="D54" s="2524"/>
      <c r="E54" s="2524"/>
      <c r="F54" s="2612"/>
      <c r="G54" s="2526">
        <f t="shared" ref="G54:P54" si="70">+G52*G53</f>
        <v>0</v>
      </c>
      <c r="H54" s="2526">
        <f t="shared" si="70"/>
        <v>0</v>
      </c>
      <c r="I54" s="2526">
        <f t="shared" si="70"/>
        <v>0</v>
      </c>
      <c r="J54" s="2526">
        <f t="shared" si="70"/>
        <v>0</v>
      </c>
      <c r="K54" s="2526">
        <f t="shared" si="70"/>
        <v>0</v>
      </c>
      <c r="L54" s="2526">
        <f t="shared" si="70"/>
        <v>0</v>
      </c>
      <c r="M54" s="2526">
        <f t="shared" si="70"/>
        <v>0</v>
      </c>
      <c r="N54" s="2526">
        <f t="shared" si="70"/>
        <v>0</v>
      </c>
      <c r="O54" s="2526">
        <f t="shared" si="70"/>
        <v>0</v>
      </c>
      <c r="P54" s="2526">
        <f t="shared" si="70"/>
        <v>0</v>
      </c>
      <c r="Q54" s="2526">
        <f>+Q52*Q53</f>
        <v>0</v>
      </c>
      <c r="R54" s="2526">
        <f t="shared" ref="R54:W54" si="71">+R52*R53</f>
        <v>0</v>
      </c>
      <c r="S54" s="2526">
        <f t="shared" si="71"/>
        <v>0</v>
      </c>
      <c r="T54" s="2526">
        <f t="shared" si="71"/>
        <v>0</v>
      </c>
      <c r="U54" s="2526">
        <f t="shared" si="71"/>
        <v>0</v>
      </c>
      <c r="V54" s="2526">
        <f t="shared" si="71"/>
        <v>0</v>
      </c>
      <c r="W54" s="2526">
        <f t="shared" si="71"/>
        <v>0</v>
      </c>
      <c r="X54" s="2526">
        <f>+X52*X53</f>
        <v>0</v>
      </c>
      <c r="Y54" s="2526">
        <f t="shared" ref="Y54:AI54" si="72">+Y52*Y53</f>
        <v>0</v>
      </c>
      <c r="Z54" s="2526">
        <f t="shared" si="72"/>
        <v>0</v>
      </c>
      <c r="AA54" s="2526">
        <f t="shared" si="72"/>
        <v>0</v>
      </c>
      <c r="AB54" s="2526">
        <f t="shared" si="72"/>
        <v>0</v>
      </c>
      <c r="AC54" s="2526">
        <f t="shared" si="72"/>
        <v>0</v>
      </c>
      <c r="AD54" s="2526">
        <f t="shared" si="72"/>
        <v>0</v>
      </c>
      <c r="AE54" s="2526">
        <f t="shared" si="72"/>
        <v>0</v>
      </c>
      <c r="AF54" s="2526">
        <f t="shared" si="72"/>
        <v>0</v>
      </c>
      <c r="AG54" s="2526">
        <f t="shared" si="72"/>
        <v>0</v>
      </c>
      <c r="AH54" s="2526">
        <f t="shared" si="72"/>
        <v>0</v>
      </c>
      <c r="AI54" s="2526">
        <f t="shared" si="72"/>
        <v>0</v>
      </c>
      <c r="AJ54" s="2527">
        <f>SUMIF($G$115:$AI$115,"1",$G54:$AI54)</f>
        <v>0</v>
      </c>
      <c r="AK54" s="2528"/>
      <c r="AL54" s="2287"/>
      <c r="AM54" s="2527">
        <f>SUMIF($G$115:$AI$115,"1",$G54:$AI54)+SUMIF($G$115:$AI$115,"2",$G54:$AI54)</f>
        <v>0</v>
      </c>
      <c r="AN54" s="2529"/>
      <c r="AO54" s="1887"/>
      <c r="AP54" s="1887"/>
      <c r="AQ54" s="2525">
        <f t="shared" ref="AQ54:BG54" si="73">+AQ52*AQ53</f>
        <v>0</v>
      </c>
      <c r="AR54" s="2526">
        <f t="shared" si="73"/>
        <v>0</v>
      </c>
      <c r="AS54" s="2526">
        <f t="shared" si="73"/>
        <v>0</v>
      </c>
      <c r="AT54" s="2526">
        <f t="shared" si="73"/>
        <v>0</v>
      </c>
      <c r="AU54" s="2526">
        <f t="shared" si="73"/>
        <v>0</v>
      </c>
      <c r="AV54" s="2526">
        <f t="shared" si="73"/>
        <v>0</v>
      </c>
      <c r="AW54" s="2526">
        <f t="shared" si="73"/>
        <v>0</v>
      </c>
      <c r="AX54" s="2526">
        <f t="shared" si="73"/>
        <v>0</v>
      </c>
      <c r="AY54" s="2526">
        <f t="shared" si="73"/>
        <v>0</v>
      </c>
      <c r="AZ54" s="2526">
        <f t="shared" si="73"/>
        <v>0</v>
      </c>
      <c r="BA54" s="2526">
        <f t="shared" si="73"/>
        <v>0</v>
      </c>
      <c r="BB54" s="2526">
        <f t="shared" si="73"/>
        <v>0</v>
      </c>
      <c r="BC54" s="2526">
        <f t="shared" si="73"/>
        <v>0</v>
      </c>
      <c r="BD54" s="2526">
        <f t="shared" si="73"/>
        <v>0</v>
      </c>
      <c r="BE54" s="2526">
        <f t="shared" si="73"/>
        <v>0</v>
      </c>
      <c r="BF54" s="2526">
        <f t="shared" si="73"/>
        <v>0</v>
      </c>
      <c r="BG54" s="2526">
        <f t="shared" si="73"/>
        <v>0</v>
      </c>
      <c r="BH54" s="2526">
        <f>+BH52*BH53</f>
        <v>0</v>
      </c>
      <c r="BI54" s="2526">
        <f t="shared" ref="BI54:BR54" si="74">+BI52*BI53</f>
        <v>0</v>
      </c>
      <c r="BJ54" s="2526">
        <f t="shared" si="74"/>
        <v>0</v>
      </c>
      <c r="BK54" s="2526">
        <f t="shared" si="74"/>
        <v>0</v>
      </c>
      <c r="BL54" s="2526">
        <f t="shared" si="74"/>
        <v>0</v>
      </c>
      <c r="BM54" s="2526">
        <f t="shared" si="74"/>
        <v>0</v>
      </c>
      <c r="BN54" s="2526">
        <f t="shared" si="74"/>
        <v>0</v>
      </c>
      <c r="BO54" s="2526">
        <f t="shared" si="74"/>
        <v>0</v>
      </c>
      <c r="BP54" s="2526">
        <f t="shared" si="74"/>
        <v>0</v>
      </c>
      <c r="BQ54" s="2526">
        <f t="shared" si="74"/>
        <v>0</v>
      </c>
      <c r="BR54" s="2526">
        <f t="shared" si="74"/>
        <v>0</v>
      </c>
      <c r="BS54" s="2526">
        <f>+BS52*BS53</f>
        <v>0</v>
      </c>
      <c r="BT54" s="2527">
        <f>SUMIF($AQ$115:$BS$115,"1",$AQ54:$BS54)</f>
        <v>0</v>
      </c>
      <c r="BU54" s="2198"/>
      <c r="BV54" s="2198"/>
      <c r="BW54" s="2527">
        <f>SUMIF($AQ$115:$BS$115,"1",$AQ54:$BS54)+SUMIF($AQ$115:$BS$115,"2",$AQ54:$BS54)</f>
        <v>0</v>
      </c>
      <c r="BX54" s="2189"/>
      <c r="BY54" s="2189"/>
      <c r="BZ54" s="2189"/>
      <c r="CA54" s="2525">
        <f t="shared" si="67"/>
        <v>0</v>
      </c>
      <c r="CB54" s="2526">
        <f t="shared" si="67"/>
        <v>0</v>
      </c>
      <c r="CC54" s="2526">
        <f t="shared" si="67"/>
        <v>0</v>
      </c>
      <c r="CD54" s="2526">
        <f t="shared" si="67"/>
        <v>0</v>
      </c>
      <c r="CE54" s="2526">
        <f t="shared" si="67"/>
        <v>0</v>
      </c>
      <c r="CF54" s="2526">
        <f t="shared" si="67"/>
        <v>0</v>
      </c>
      <c r="CG54" s="2526">
        <f t="shared" si="67"/>
        <v>0</v>
      </c>
      <c r="CH54" s="2526">
        <f t="shared" si="67"/>
        <v>0</v>
      </c>
      <c r="CI54" s="2526">
        <f t="shared" si="67"/>
        <v>0</v>
      </c>
      <c r="CJ54" s="2526">
        <f t="shared" si="67"/>
        <v>0</v>
      </c>
      <c r="CK54" s="2526">
        <f t="shared" si="67"/>
        <v>0</v>
      </c>
      <c r="CL54" s="2526">
        <f t="shared" si="67"/>
        <v>0</v>
      </c>
      <c r="CM54" s="2526">
        <f t="shared" si="67"/>
        <v>0</v>
      </c>
      <c r="CN54" s="2526">
        <f t="shared" si="67"/>
        <v>0</v>
      </c>
      <c r="CO54" s="2526">
        <f t="shared" si="67"/>
        <v>0</v>
      </c>
      <c r="CP54" s="2526">
        <f t="shared" si="67"/>
        <v>0</v>
      </c>
      <c r="CQ54" s="2526">
        <f t="shared" si="68"/>
        <v>0</v>
      </c>
      <c r="CR54" s="2526">
        <f t="shared" si="68"/>
        <v>0</v>
      </c>
      <c r="CS54" s="2526">
        <f t="shared" si="68"/>
        <v>0</v>
      </c>
      <c r="CT54" s="2526">
        <f t="shared" si="68"/>
        <v>0</v>
      </c>
      <c r="CU54" s="2526">
        <f t="shared" si="68"/>
        <v>0</v>
      </c>
      <c r="CV54" s="2526">
        <f t="shared" si="68"/>
        <v>0</v>
      </c>
      <c r="CW54" s="2526">
        <f t="shared" si="68"/>
        <v>0</v>
      </c>
      <c r="CX54" s="2526">
        <f t="shared" si="68"/>
        <v>0</v>
      </c>
      <c r="CY54" s="2526">
        <f t="shared" si="68"/>
        <v>0</v>
      </c>
      <c r="CZ54" s="2526">
        <f t="shared" si="68"/>
        <v>0</v>
      </c>
      <c r="DA54" s="2526">
        <f t="shared" si="68"/>
        <v>0</v>
      </c>
      <c r="DB54" s="2526">
        <f t="shared" si="68"/>
        <v>0</v>
      </c>
      <c r="DC54" s="2526">
        <f t="shared" si="68"/>
        <v>0</v>
      </c>
      <c r="DD54" s="2527">
        <f t="shared" si="68"/>
        <v>0</v>
      </c>
      <c r="DE54" s="2189"/>
      <c r="DF54" s="2527">
        <f t="shared" si="69"/>
        <v>0</v>
      </c>
      <c r="DG54" s="2189"/>
    </row>
    <row r="55" spans="1:111" s="2196" customFormat="1" ht="13.8" outlineLevel="2" x14ac:dyDescent="0.3">
      <c r="A55" s="2189"/>
      <c r="B55" s="2531"/>
      <c r="C55" s="2532" t="s">
        <v>1647</v>
      </c>
      <c r="D55" s="2532"/>
      <c r="E55" s="2532"/>
      <c r="F55" s="2613"/>
      <c r="G55" s="2534">
        <v>0</v>
      </c>
      <c r="H55" s="2534">
        <v>0</v>
      </c>
      <c r="I55" s="2534">
        <v>0</v>
      </c>
      <c r="J55" s="2534">
        <v>0</v>
      </c>
      <c r="K55" s="2534">
        <v>0</v>
      </c>
      <c r="L55" s="2534">
        <v>0</v>
      </c>
      <c r="M55" s="2534">
        <v>0</v>
      </c>
      <c r="N55" s="2534">
        <v>0</v>
      </c>
      <c r="O55" s="2534">
        <v>0</v>
      </c>
      <c r="P55" s="2534">
        <v>0</v>
      </c>
      <c r="Q55" s="2534">
        <v>0</v>
      </c>
      <c r="R55" s="2534">
        <v>0</v>
      </c>
      <c r="S55" s="2534">
        <v>0</v>
      </c>
      <c r="T55" s="2534">
        <v>0</v>
      </c>
      <c r="U55" s="2534">
        <v>0</v>
      </c>
      <c r="V55" s="2534">
        <v>0</v>
      </c>
      <c r="W55" s="2534">
        <v>0</v>
      </c>
      <c r="X55" s="2534">
        <v>0</v>
      </c>
      <c r="Y55" s="2534">
        <v>0</v>
      </c>
      <c r="Z55" s="2534">
        <v>0</v>
      </c>
      <c r="AA55" s="2534">
        <v>0</v>
      </c>
      <c r="AB55" s="2534">
        <v>0</v>
      </c>
      <c r="AC55" s="2534">
        <v>0</v>
      </c>
      <c r="AD55" s="2534">
        <v>0</v>
      </c>
      <c r="AE55" s="2534">
        <v>0</v>
      </c>
      <c r="AF55" s="2534">
        <v>0</v>
      </c>
      <c r="AG55" s="2534">
        <v>0</v>
      </c>
      <c r="AH55" s="2534">
        <v>0</v>
      </c>
      <c r="AI55" s="2534">
        <v>0</v>
      </c>
      <c r="AJ55" s="2536">
        <f>SUMIF($G$115:$AI$115,"1",$G55:$AI55)</f>
        <v>0</v>
      </c>
      <c r="AK55" s="2537"/>
      <c r="AL55" s="2198"/>
      <c r="AM55" s="2536">
        <f>SUMIF($G$115:$AI$115,"1",$G55:$AI55)+SUMIF($G$115:$AI$115,"2",$G55:$AI55)</f>
        <v>0</v>
      </c>
      <c r="AN55" s="2538"/>
      <c r="AO55" s="2189"/>
      <c r="AP55" s="2189"/>
      <c r="AQ55" s="2533">
        <v>0</v>
      </c>
      <c r="AR55" s="2534">
        <v>0</v>
      </c>
      <c r="AS55" s="2534">
        <v>0</v>
      </c>
      <c r="AT55" s="2534">
        <v>0</v>
      </c>
      <c r="AU55" s="2534">
        <v>0</v>
      </c>
      <c r="AV55" s="2534">
        <v>0</v>
      </c>
      <c r="AW55" s="2534">
        <v>0</v>
      </c>
      <c r="AX55" s="2534">
        <v>0</v>
      </c>
      <c r="AY55" s="2534">
        <v>0</v>
      </c>
      <c r="AZ55" s="2534">
        <v>0</v>
      </c>
      <c r="BA55" s="2534">
        <v>0</v>
      </c>
      <c r="BB55" s="2534">
        <v>0</v>
      </c>
      <c r="BC55" s="2534">
        <v>0</v>
      </c>
      <c r="BD55" s="2534">
        <v>0</v>
      </c>
      <c r="BE55" s="2534">
        <v>0</v>
      </c>
      <c r="BF55" s="2534">
        <v>0</v>
      </c>
      <c r="BG55" s="2534">
        <v>0</v>
      </c>
      <c r="BH55" s="2534">
        <v>0</v>
      </c>
      <c r="BI55" s="2534">
        <v>0</v>
      </c>
      <c r="BJ55" s="2534">
        <v>0</v>
      </c>
      <c r="BK55" s="2534">
        <v>0</v>
      </c>
      <c r="BL55" s="2534">
        <v>0</v>
      </c>
      <c r="BM55" s="2534">
        <v>0</v>
      </c>
      <c r="BN55" s="2534">
        <v>0</v>
      </c>
      <c r="BO55" s="2534">
        <v>0</v>
      </c>
      <c r="BP55" s="2534">
        <v>0</v>
      </c>
      <c r="BQ55" s="2534">
        <v>0</v>
      </c>
      <c r="BR55" s="2534">
        <v>0</v>
      </c>
      <c r="BS55" s="2534">
        <v>0</v>
      </c>
      <c r="BT55" s="2536">
        <f>SUMIF($AQ$115:$BS$115,"1",$AQ55:$BS55)</f>
        <v>0</v>
      </c>
      <c r="BU55" s="2198"/>
      <c r="BV55" s="2198"/>
      <c r="BW55" s="2536">
        <f>SUMIF($AQ$115:$BS$115,"1",$AQ55:$BS55)+SUMIF($AQ$115:$BS$115,"2",$AQ55:$BS55)</f>
        <v>0</v>
      </c>
      <c r="BX55" s="2189"/>
      <c r="BY55" s="2189"/>
      <c r="BZ55" s="2189"/>
      <c r="CA55" s="2539">
        <f t="shared" si="67"/>
        <v>0</v>
      </c>
      <c r="CB55" s="2540">
        <f t="shared" si="67"/>
        <v>0</v>
      </c>
      <c r="CC55" s="2540">
        <f t="shared" si="67"/>
        <v>0</v>
      </c>
      <c r="CD55" s="2540">
        <f t="shared" si="67"/>
        <v>0</v>
      </c>
      <c r="CE55" s="2541">
        <f t="shared" si="67"/>
        <v>0</v>
      </c>
      <c r="CF55" s="2540">
        <f t="shared" si="67"/>
        <v>0</v>
      </c>
      <c r="CG55" s="2540">
        <f t="shared" si="67"/>
        <v>0</v>
      </c>
      <c r="CH55" s="2540">
        <f t="shared" si="67"/>
        <v>0</v>
      </c>
      <c r="CI55" s="2540">
        <f t="shared" si="67"/>
        <v>0</v>
      </c>
      <c r="CJ55" s="2540">
        <f t="shared" si="67"/>
        <v>0</v>
      </c>
      <c r="CK55" s="2540">
        <f t="shared" si="67"/>
        <v>0</v>
      </c>
      <c r="CL55" s="2540">
        <f t="shared" si="67"/>
        <v>0</v>
      </c>
      <c r="CM55" s="2540">
        <f t="shared" si="67"/>
        <v>0</v>
      </c>
      <c r="CN55" s="2540">
        <f t="shared" si="67"/>
        <v>0</v>
      </c>
      <c r="CO55" s="2540">
        <f t="shared" si="67"/>
        <v>0</v>
      </c>
      <c r="CP55" s="2540">
        <f t="shared" si="67"/>
        <v>0</v>
      </c>
      <c r="CQ55" s="2540">
        <f t="shared" si="68"/>
        <v>0</v>
      </c>
      <c r="CR55" s="2540">
        <f t="shared" si="68"/>
        <v>0</v>
      </c>
      <c r="CS55" s="2540">
        <f t="shared" si="68"/>
        <v>0</v>
      </c>
      <c r="CT55" s="2540">
        <f t="shared" si="68"/>
        <v>0</v>
      </c>
      <c r="CU55" s="2540">
        <f t="shared" si="68"/>
        <v>0</v>
      </c>
      <c r="CV55" s="2540">
        <f t="shared" si="68"/>
        <v>0</v>
      </c>
      <c r="CW55" s="2540">
        <f t="shared" si="68"/>
        <v>0</v>
      </c>
      <c r="CX55" s="2540">
        <f t="shared" si="68"/>
        <v>0</v>
      </c>
      <c r="CY55" s="2540">
        <f t="shared" si="68"/>
        <v>0</v>
      </c>
      <c r="CZ55" s="2540">
        <f t="shared" si="68"/>
        <v>0</v>
      </c>
      <c r="DA55" s="2540">
        <f t="shared" si="68"/>
        <v>0</v>
      </c>
      <c r="DB55" s="2540">
        <f t="shared" si="68"/>
        <v>0</v>
      </c>
      <c r="DC55" s="2540">
        <f t="shared" si="68"/>
        <v>0</v>
      </c>
      <c r="DD55" s="2536">
        <f t="shared" si="68"/>
        <v>0</v>
      </c>
      <c r="DE55" s="2189"/>
      <c r="DF55" s="2536">
        <f t="shared" si="69"/>
        <v>0</v>
      </c>
      <c r="DG55" s="2189"/>
    </row>
    <row r="56" spans="1:111" s="2196" customFormat="1" ht="13.8" outlineLevel="2" x14ac:dyDescent="0.3">
      <c r="A56" s="2189"/>
      <c r="B56" s="2531"/>
      <c r="C56" s="2532" t="s">
        <v>1648</v>
      </c>
      <c r="D56" s="2532"/>
      <c r="E56" s="2532"/>
      <c r="F56" s="2613"/>
      <c r="G56" s="2534">
        <v>0</v>
      </c>
      <c r="H56" s="2534">
        <v>0</v>
      </c>
      <c r="I56" s="2534">
        <v>0</v>
      </c>
      <c r="J56" s="2534">
        <v>0</v>
      </c>
      <c r="K56" s="2534">
        <v>0</v>
      </c>
      <c r="L56" s="2534">
        <v>0</v>
      </c>
      <c r="M56" s="2534">
        <v>0</v>
      </c>
      <c r="N56" s="2534">
        <v>0</v>
      </c>
      <c r="O56" s="2534">
        <v>0</v>
      </c>
      <c r="P56" s="2534">
        <v>0</v>
      </c>
      <c r="Q56" s="2534">
        <v>0</v>
      </c>
      <c r="R56" s="2534">
        <v>0</v>
      </c>
      <c r="S56" s="2534">
        <v>0</v>
      </c>
      <c r="T56" s="2534">
        <v>0</v>
      </c>
      <c r="U56" s="2534">
        <v>0</v>
      </c>
      <c r="V56" s="2534">
        <v>0</v>
      </c>
      <c r="W56" s="2534">
        <v>0</v>
      </c>
      <c r="X56" s="2534">
        <v>0</v>
      </c>
      <c r="Y56" s="2534">
        <v>0</v>
      </c>
      <c r="Z56" s="2534">
        <v>0</v>
      </c>
      <c r="AA56" s="2534">
        <v>0</v>
      </c>
      <c r="AB56" s="2534">
        <v>0</v>
      </c>
      <c r="AC56" s="2534">
        <v>0</v>
      </c>
      <c r="AD56" s="2534">
        <v>0</v>
      </c>
      <c r="AE56" s="2534">
        <v>0</v>
      </c>
      <c r="AF56" s="2534">
        <v>0</v>
      </c>
      <c r="AG56" s="2534">
        <v>0</v>
      </c>
      <c r="AH56" s="2534">
        <v>0</v>
      </c>
      <c r="AI56" s="2534">
        <v>0</v>
      </c>
      <c r="AJ56" s="2536">
        <f>SUMIF($G$115:$AI$115,"1",$G56:$AI56)</f>
        <v>0</v>
      </c>
      <c r="AK56" s="2537"/>
      <c r="AL56" s="2198"/>
      <c r="AM56" s="2536">
        <f>SUMIF($G$115:$AI$115,"1",$G56:$AI56)+SUMIF($G$115:$AI$115,"2",$G56:$AI56)</f>
        <v>0</v>
      </c>
      <c r="AN56" s="2538"/>
      <c r="AO56" s="2189"/>
      <c r="AP56" s="2189"/>
      <c r="AQ56" s="2533">
        <v>0</v>
      </c>
      <c r="AR56" s="2534">
        <v>0</v>
      </c>
      <c r="AS56" s="2534">
        <v>0</v>
      </c>
      <c r="AT56" s="2534">
        <v>0</v>
      </c>
      <c r="AU56" s="2534">
        <v>0</v>
      </c>
      <c r="AV56" s="2534">
        <v>0</v>
      </c>
      <c r="AW56" s="2534">
        <v>0</v>
      </c>
      <c r="AX56" s="2534">
        <v>0</v>
      </c>
      <c r="AY56" s="2534">
        <v>0</v>
      </c>
      <c r="AZ56" s="2534">
        <v>0</v>
      </c>
      <c r="BA56" s="2534">
        <v>0</v>
      </c>
      <c r="BB56" s="2534">
        <v>0</v>
      </c>
      <c r="BC56" s="2534">
        <v>0</v>
      </c>
      <c r="BD56" s="2534">
        <v>0</v>
      </c>
      <c r="BE56" s="2534">
        <v>0</v>
      </c>
      <c r="BF56" s="2534">
        <v>0</v>
      </c>
      <c r="BG56" s="2534">
        <v>0</v>
      </c>
      <c r="BH56" s="2534">
        <v>0</v>
      </c>
      <c r="BI56" s="2534">
        <v>0</v>
      </c>
      <c r="BJ56" s="2534">
        <v>0</v>
      </c>
      <c r="BK56" s="2534">
        <v>0</v>
      </c>
      <c r="BL56" s="2534">
        <v>0</v>
      </c>
      <c r="BM56" s="2534">
        <v>0</v>
      </c>
      <c r="BN56" s="2534">
        <v>0</v>
      </c>
      <c r="BO56" s="2534">
        <v>0</v>
      </c>
      <c r="BP56" s="2534">
        <v>0</v>
      </c>
      <c r="BQ56" s="2534">
        <v>0</v>
      </c>
      <c r="BR56" s="2534">
        <v>0</v>
      </c>
      <c r="BS56" s="2534">
        <v>0</v>
      </c>
      <c r="BT56" s="2536">
        <f>SUMIF($AQ$115:$BS$115,"1",$AQ56:$BS56)</f>
        <v>0</v>
      </c>
      <c r="BU56" s="2198"/>
      <c r="BV56" s="2198"/>
      <c r="BW56" s="2536">
        <f>SUMIF($AQ$115:$BS$115,"1",$AQ56:$BS56)+SUMIF($AQ$115:$BS$115,"2",$AQ56:$BS56)</f>
        <v>0</v>
      </c>
      <c r="BX56" s="2189"/>
      <c r="BY56" s="2189"/>
      <c r="BZ56" s="2189"/>
      <c r="CA56" s="2539">
        <f t="shared" si="67"/>
        <v>0</v>
      </c>
      <c r="CB56" s="2540">
        <f t="shared" si="67"/>
        <v>0</v>
      </c>
      <c r="CC56" s="2540">
        <f t="shared" si="67"/>
        <v>0</v>
      </c>
      <c r="CD56" s="2540">
        <f t="shared" si="67"/>
        <v>0</v>
      </c>
      <c r="CE56" s="2540">
        <f t="shared" si="67"/>
        <v>0</v>
      </c>
      <c r="CF56" s="2540">
        <f t="shared" si="67"/>
        <v>0</v>
      </c>
      <c r="CG56" s="2540">
        <f t="shared" si="67"/>
        <v>0</v>
      </c>
      <c r="CH56" s="2540">
        <f t="shared" si="67"/>
        <v>0</v>
      </c>
      <c r="CI56" s="2540">
        <f t="shared" si="67"/>
        <v>0</v>
      </c>
      <c r="CJ56" s="2540">
        <f t="shared" si="67"/>
        <v>0</v>
      </c>
      <c r="CK56" s="2540">
        <f t="shared" si="67"/>
        <v>0</v>
      </c>
      <c r="CL56" s="2540">
        <f t="shared" si="67"/>
        <v>0</v>
      </c>
      <c r="CM56" s="2540">
        <f t="shared" si="67"/>
        <v>0</v>
      </c>
      <c r="CN56" s="2540">
        <f t="shared" si="67"/>
        <v>0</v>
      </c>
      <c r="CO56" s="2540">
        <f t="shared" si="67"/>
        <v>0</v>
      </c>
      <c r="CP56" s="2540">
        <f t="shared" si="67"/>
        <v>0</v>
      </c>
      <c r="CQ56" s="2540">
        <f t="shared" si="68"/>
        <v>0</v>
      </c>
      <c r="CR56" s="2540">
        <f t="shared" si="68"/>
        <v>0</v>
      </c>
      <c r="CS56" s="2540">
        <f t="shared" si="68"/>
        <v>0</v>
      </c>
      <c r="CT56" s="2540">
        <f t="shared" si="68"/>
        <v>0</v>
      </c>
      <c r="CU56" s="2540">
        <f t="shared" si="68"/>
        <v>0</v>
      </c>
      <c r="CV56" s="2540">
        <f t="shared" si="68"/>
        <v>0</v>
      </c>
      <c r="CW56" s="2540">
        <f t="shared" si="68"/>
        <v>0</v>
      </c>
      <c r="CX56" s="2540">
        <f t="shared" si="68"/>
        <v>0</v>
      </c>
      <c r="CY56" s="2540">
        <f t="shared" si="68"/>
        <v>0</v>
      </c>
      <c r="CZ56" s="2540">
        <f t="shared" si="68"/>
        <v>0</v>
      </c>
      <c r="DA56" s="2540">
        <f t="shared" si="68"/>
        <v>0</v>
      </c>
      <c r="DB56" s="2540">
        <f t="shared" si="68"/>
        <v>0</v>
      </c>
      <c r="DC56" s="2540">
        <f t="shared" si="68"/>
        <v>0</v>
      </c>
      <c r="DD56" s="2536">
        <f t="shared" si="68"/>
        <v>0</v>
      </c>
      <c r="DE56" s="2189"/>
      <c r="DF56" s="2536">
        <f t="shared" si="69"/>
        <v>0</v>
      </c>
      <c r="DG56" s="2189"/>
    </row>
    <row r="57" spans="1:111" s="2196" customFormat="1" ht="13.8" outlineLevel="2" x14ac:dyDescent="0.3">
      <c r="A57" s="2189"/>
      <c r="B57" s="2531"/>
      <c r="C57" s="2532" t="s">
        <v>1649</v>
      </c>
      <c r="D57" s="2532"/>
      <c r="E57" s="2532"/>
      <c r="F57" s="2613"/>
      <c r="G57" s="2534">
        <v>0</v>
      </c>
      <c r="H57" s="2534">
        <v>0</v>
      </c>
      <c r="I57" s="2534">
        <v>0</v>
      </c>
      <c r="J57" s="2534">
        <v>0</v>
      </c>
      <c r="K57" s="2534">
        <v>0</v>
      </c>
      <c r="L57" s="2534">
        <v>0</v>
      </c>
      <c r="M57" s="2534">
        <v>0</v>
      </c>
      <c r="N57" s="2534">
        <v>0</v>
      </c>
      <c r="O57" s="2534">
        <v>0</v>
      </c>
      <c r="P57" s="2534">
        <v>0</v>
      </c>
      <c r="Q57" s="2534">
        <v>0</v>
      </c>
      <c r="R57" s="2534">
        <v>0</v>
      </c>
      <c r="S57" s="2534">
        <v>0</v>
      </c>
      <c r="T57" s="2534">
        <v>0</v>
      </c>
      <c r="U57" s="2534">
        <v>0</v>
      </c>
      <c r="V57" s="2534">
        <v>0</v>
      </c>
      <c r="W57" s="2534">
        <v>0</v>
      </c>
      <c r="X57" s="2534">
        <v>0</v>
      </c>
      <c r="Y57" s="2534">
        <v>0</v>
      </c>
      <c r="Z57" s="2534">
        <v>0</v>
      </c>
      <c r="AA57" s="2534">
        <v>0</v>
      </c>
      <c r="AB57" s="2534">
        <v>0</v>
      </c>
      <c r="AC57" s="2534">
        <v>0</v>
      </c>
      <c r="AD57" s="2534">
        <v>0</v>
      </c>
      <c r="AE57" s="2534">
        <v>0</v>
      </c>
      <c r="AF57" s="2534">
        <v>0</v>
      </c>
      <c r="AG57" s="2534">
        <v>0</v>
      </c>
      <c r="AH57" s="2534">
        <v>0</v>
      </c>
      <c r="AI57" s="2534">
        <v>0</v>
      </c>
      <c r="AJ57" s="2536">
        <f>SUMIF($G$115:$AI$115,"1",$G57:$AI57)</f>
        <v>0</v>
      </c>
      <c r="AK57" s="2537"/>
      <c r="AL57" s="2198"/>
      <c r="AM57" s="2536">
        <f>SUMIF($G$115:$AI$115,"1",$G57:$AI57)+SUMIF($G$115:$AI$115,"2",$G57:$AI57)</f>
        <v>0</v>
      </c>
      <c r="AN57" s="2538"/>
      <c r="AO57" s="2189"/>
      <c r="AP57" s="2189"/>
      <c r="AQ57" s="2533">
        <v>0</v>
      </c>
      <c r="AR57" s="2534">
        <v>0</v>
      </c>
      <c r="AS57" s="2534">
        <v>0</v>
      </c>
      <c r="AT57" s="2534">
        <v>0</v>
      </c>
      <c r="AU57" s="2534">
        <v>0</v>
      </c>
      <c r="AV57" s="2534">
        <v>0</v>
      </c>
      <c r="AW57" s="2534">
        <v>0</v>
      </c>
      <c r="AX57" s="2534">
        <v>0</v>
      </c>
      <c r="AY57" s="2534">
        <v>0</v>
      </c>
      <c r="AZ57" s="2534">
        <v>0</v>
      </c>
      <c r="BA57" s="2534">
        <v>0</v>
      </c>
      <c r="BB57" s="2534">
        <v>0</v>
      </c>
      <c r="BC57" s="2534">
        <v>0</v>
      </c>
      <c r="BD57" s="2534">
        <v>0</v>
      </c>
      <c r="BE57" s="2534">
        <v>0</v>
      </c>
      <c r="BF57" s="2534">
        <v>0</v>
      </c>
      <c r="BG57" s="2534">
        <v>0</v>
      </c>
      <c r="BH57" s="2534">
        <v>0</v>
      </c>
      <c r="BI57" s="2534">
        <v>0</v>
      </c>
      <c r="BJ57" s="2534">
        <v>0</v>
      </c>
      <c r="BK57" s="2534">
        <v>0</v>
      </c>
      <c r="BL57" s="2534">
        <v>0</v>
      </c>
      <c r="BM57" s="2534">
        <v>0</v>
      </c>
      <c r="BN57" s="2534">
        <v>0</v>
      </c>
      <c r="BO57" s="2534">
        <v>0</v>
      </c>
      <c r="BP57" s="2534">
        <v>0</v>
      </c>
      <c r="BQ57" s="2534">
        <v>0</v>
      </c>
      <c r="BR57" s="2534">
        <v>0</v>
      </c>
      <c r="BS57" s="2534">
        <v>0</v>
      </c>
      <c r="BT57" s="2536">
        <f>SUMIF($AQ$115:$BS$115,"1",$AQ57:$BS57)</f>
        <v>0</v>
      </c>
      <c r="BU57" s="2198"/>
      <c r="BV57" s="2198"/>
      <c r="BW57" s="2536">
        <f>SUMIF($AQ$115:$BS$115,"1",$AQ57:$BS57)+SUMIF($AQ$115:$BS$115,"2",$AQ57:$BS57)</f>
        <v>0</v>
      </c>
      <c r="BX57" s="2189"/>
      <c r="BY57" s="2189"/>
      <c r="BZ57" s="2189"/>
      <c r="CA57" s="2539">
        <f t="shared" si="67"/>
        <v>0</v>
      </c>
      <c r="CB57" s="2540">
        <f t="shared" si="67"/>
        <v>0</v>
      </c>
      <c r="CC57" s="2540">
        <f t="shared" si="67"/>
        <v>0</v>
      </c>
      <c r="CD57" s="2540">
        <f t="shared" si="67"/>
        <v>0</v>
      </c>
      <c r="CE57" s="2540">
        <f t="shared" si="67"/>
        <v>0</v>
      </c>
      <c r="CF57" s="2540">
        <f t="shared" si="67"/>
        <v>0</v>
      </c>
      <c r="CG57" s="2540">
        <f t="shared" si="67"/>
        <v>0</v>
      </c>
      <c r="CH57" s="2540">
        <f t="shared" si="67"/>
        <v>0</v>
      </c>
      <c r="CI57" s="2540">
        <f t="shared" si="67"/>
        <v>0</v>
      </c>
      <c r="CJ57" s="2540">
        <f t="shared" si="67"/>
        <v>0</v>
      </c>
      <c r="CK57" s="2540">
        <f t="shared" si="67"/>
        <v>0</v>
      </c>
      <c r="CL57" s="2540">
        <f t="shared" si="67"/>
        <v>0</v>
      </c>
      <c r="CM57" s="2540">
        <f t="shared" si="67"/>
        <v>0</v>
      </c>
      <c r="CN57" s="2540">
        <f t="shared" si="67"/>
        <v>0</v>
      </c>
      <c r="CO57" s="2540">
        <f t="shared" si="67"/>
        <v>0</v>
      </c>
      <c r="CP57" s="2540">
        <f t="shared" si="67"/>
        <v>0</v>
      </c>
      <c r="CQ57" s="2540">
        <f t="shared" si="68"/>
        <v>0</v>
      </c>
      <c r="CR57" s="2540">
        <f t="shared" si="68"/>
        <v>0</v>
      </c>
      <c r="CS57" s="2540">
        <f t="shared" si="68"/>
        <v>0</v>
      </c>
      <c r="CT57" s="2540">
        <f t="shared" si="68"/>
        <v>0</v>
      </c>
      <c r="CU57" s="2540">
        <f t="shared" si="68"/>
        <v>0</v>
      </c>
      <c r="CV57" s="2540">
        <f t="shared" si="68"/>
        <v>0</v>
      </c>
      <c r="CW57" s="2540">
        <f t="shared" si="68"/>
        <v>0</v>
      </c>
      <c r="CX57" s="2540">
        <f t="shared" si="68"/>
        <v>0</v>
      </c>
      <c r="CY57" s="2540">
        <f t="shared" si="68"/>
        <v>0</v>
      </c>
      <c r="CZ57" s="2540">
        <f t="shared" si="68"/>
        <v>0</v>
      </c>
      <c r="DA57" s="2540">
        <f t="shared" si="68"/>
        <v>0</v>
      </c>
      <c r="DB57" s="2540">
        <f t="shared" si="68"/>
        <v>0</v>
      </c>
      <c r="DC57" s="2540">
        <f t="shared" si="68"/>
        <v>0</v>
      </c>
      <c r="DD57" s="2536">
        <f t="shared" si="68"/>
        <v>0</v>
      </c>
      <c r="DE57" s="2189"/>
      <c r="DF57" s="2536">
        <f t="shared" si="69"/>
        <v>0</v>
      </c>
      <c r="DG57" s="2189"/>
    </row>
    <row r="58" spans="1:111" s="2196" customFormat="1" ht="18" outlineLevel="2" x14ac:dyDescent="0.35">
      <c r="A58" s="2189"/>
      <c r="B58" s="2523" t="s">
        <v>1650</v>
      </c>
      <c r="C58" s="2524"/>
      <c r="D58" s="2524"/>
      <c r="E58" s="2524"/>
      <c r="F58" s="2612"/>
      <c r="G58" s="2526">
        <f t="shared" ref="G58:W58" si="75">SUM(G54:G57)</f>
        <v>0</v>
      </c>
      <c r="H58" s="2526">
        <f t="shared" si="75"/>
        <v>0</v>
      </c>
      <c r="I58" s="2526">
        <f t="shared" si="75"/>
        <v>0</v>
      </c>
      <c r="J58" s="2526">
        <f t="shared" si="75"/>
        <v>0</v>
      </c>
      <c r="K58" s="2526">
        <f t="shared" si="75"/>
        <v>0</v>
      </c>
      <c r="L58" s="2526">
        <f t="shared" si="75"/>
        <v>0</v>
      </c>
      <c r="M58" s="2526">
        <f t="shared" si="75"/>
        <v>0</v>
      </c>
      <c r="N58" s="2526">
        <f t="shared" si="75"/>
        <v>0</v>
      </c>
      <c r="O58" s="2526">
        <f t="shared" si="75"/>
        <v>0</v>
      </c>
      <c r="P58" s="2526">
        <f t="shared" si="75"/>
        <v>0</v>
      </c>
      <c r="Q58" s="2526">
        <f t="shared" si="75"/>
        <v>0</v>
      </c>
      <c r="R58" s="2526">
        <f t="shared" si="75"/>
        <v>0</v>
      </c>
      <c r="S58" s="2526">
        <f t="shared" si="75"/>
        <v>0</v>
      </c>
      <c r="T58" s="2526">
        <f t="shared" si="75"/>
        <v>0</v>
      </c>
      <c r="U58" s="2526">
        <f t="shared" si="75"/>
        <v>0</v>
      </c>
      <c r="V58" s="2526">
        <f t="shared" si="75"/>
        <v>0</v>
      </c>
      <c r="W58" s="2526">
        <f t="shared" si="75"/>
        <v>0</v>
      </c>
      <c r="X58" s="2526">
        <f>SUM(X54:X57)</f>
        <v>0</v>
      </c>
      <c r="Y58" s="2526">
        <f t="shared" ref="Y58:AI58" si="76">SUM(Y54:Y57)</f>
        <v>0</v>
      </c>
      <c r="Z58" s="2526">
        <f t="shared" si="76"/>
        <v>0</v>
      </c>
      <c r="AA58" s="2526">
        <f t="shared" si="76"/>
        <v>0</v>
      </c>
      <c r="AB58" s="2526">
        <f t="shared" si="76"/>
        <v>0</v>
      </c>
      <c r="AC58" s="2526">
        <f t="shared" si="76"/>
        <v>0</v>
      </c>
      <c r="AD58" s="2526">
        <f t="shared" si="76"/>
        <v>0</v>
      </c>
      <c r="AE58" s="2526">
        <f t="shared" si="76"/>
        <v>0</v>
      </c>
      <c r="AF58" s="2526">
        <f t="shared" si="76"/>
        <v>0</v>
      </c>
      <c r="AG58" s="2526">
        <f t="shared" si="76"/>
        <v>0</v>
      </c>
      <c r="AH58" s="2526">
        <f t="shared" si="76"/>
        <v>0</v>
      </c>
      <c r="AI58" s="2526">
        <f t="shared" si="76"/>
        <v>0</v>
      </c>
      <c r="AJ58" s="2527">
        <f>SUMIF($G$115:$AI$115,"1",$G58:$AI58)</f>
        <v>0</v>
      </c>
      <c r="AK58" s="2542"/>
      <c r="AL58" s="2287"/>
      <c r="AM58" s="2527">
        <f>SUMIF($G$115:$AI$115,"1",$G58:$AI58)+SUMIF($G$115:$AI$115,"2",$G58:$AI58)</f>
        <v>0</v>
      </c>
      <c r="AN58" s="2529"/>
      <c r="AO58" s="1887"/>
      <c r="AP58" s="1887"/>
      <c r="AQ58" s="2525">
        <f t="shared" ref="AQ58:BS58" si="77">SUM(AQ54:AQ57)</f>
        <v>0</v>
      </c>
      <c r="AR58" s="2526">
        <f t="shared" si="77"/>
        <v>0</v>
      </c>
      <c r="AS58" s="2526">
        <f t="shared" si="77"/>
        <v>0</v>
      </c>
      <c r="AT58" s="2526">
        <f t="shared" si="77"/>
        <v>0</v>
      </c>
      <c r="AU58" s="2526">
        <f t="shared" si="77"/>
        <v>0</v>
      </c>
      <c r="AV58" s="2526">
        <f t="shared" si="77"/>
        <v>0</v>
      </c>
      <c r="AW58" s="2526">
        <f t="shared" si="77"/>
        <v>0</v>
      </c>
      <c r="AX58" s="2526">
        <f t="shared" si="77"/>
        <v>0</v>
      </c>
      <c r="AY58" s="2526">
        <f t="shared" si="77"/>
        <v>0</v>
      </c>
      <c r="AZ58" s="2526">
        <f t="shared" si="77"/>
        <v>0</v>
      </c>
      <c r="BA58" s="2526">
        <f t="shared" si="77"/>
        <v>0</v>
      </c>
      <c r="BB58" s="2526">
        <f t="shared" si="77"/>
        <v>0</v>
      </c>
      <c r="BC58" s="2526">
        <f t="shared" si="77"/>
        <v>0</v>
      </c>
      <c r="BD58" s="2526">
        <f t="shared" si="77"/>
        <v>0</v>
      </c>
      <c r="BE58" s="2526">
        <f t="shared" si="77"/>
        <v>0</v>
      </c>
      <c r="BF58" s="2526">
        <f t="shared" si="77"/>
        <v>0</v>
      </c>
      <c r="BG58" s="2526">
        <f t="shared" si="77"/>
        <v>0</v>
      </c>
      <c r="BH58" s="2526">
        <f t="shared" si="77"/>
        <v>0</v>
      </c>
      <c r="BI58" s="2526">
        <f t="shared" ref="BI58:BR58" si="78">SUM(BI54:BI57)</f>
        <v>0</v>
      </c>
      <c r="BJ58" s="2526">
        <f t="shared" si="78"/>
        <v>0</v>
      </c>
      <c r="BK58" s="2526">
        <f t="shared" si="78"/>
        <v>0</v>
      </c>
      <c r="BL58" s="2526">
        <f t="shared" si="78"/>
        <v>0</v>
      </c>
      <c r="BM58" s="2526">
        <f t="shared" si="78"/>
        <v>0</v>
      </c>
      <c r="BN58" s="2526">
        <f t="shared" si="78"/>
        <v>0</v>
      </c>
      <c r="BO58" s="2526">
        <f t="shared" si="78"/>
        <v>0</v>
      </c>
      <c r="BP58" s="2526">
        <f t="shared" si="78"/>
        <v>0</v>
      </c>
      <c r="BQ58" s="2526">
        <f t="shared" si="78"/>
        <v>0</v>
      </c>
      <c r="BR58" s="2526">
        <f t="shared" si="78"/>
        <v>0</v>
      </c>
      <c r="BS58" s="2526">
        <f t="shared" si="77"/>
        <v>0</v>
      </c>
      <c r="BT58" s="2527">
        <f>SUMIF($AQ$115:$BS$115,"1",$AQ58:$BS58)</f>
        <v>0</v>
      </c>
      <c r="BU58" s="2198"/>
      <c r="BV58" s="2198"/>
      <c r="BW58" s="2527">
        <f>SUMIF($AQ$115:$BS$115,"1",$AQ58:$BS58)+SUMIF($AQ$115:$BS$115,"2",$AQ58:$BS58)</f>
        <v>0</v>
      </c>
      <c r="BX58" s="2189"/>
      <c r="BY58" s="2189"/>
      <c r="BZ58" s="2189"/>
      <c r="CA58" s="2525">
        <f t="shared" si="67"/>
        <v>0</v>
      </c>
      <c r="CB58" s="2526">
        <f t="shared" si="67"/>
        <v>0</v>
      </c>
      <c r="CC58" s="2526">
        <f t="shared" si="67"/>
        <v>0</v>
      </c>
      <c r="CD58" s="2526">
        <f t="shared" si="67"/>
        <v>0</v>
      </c>
      <c r="CE58" s="2526">
        <f t="shared" si="67"/>
        <v>0</v>
      </c>
      <c r="CF58" s="2526">
        <f t="shared" si="67"/>
        <v>0</v>
      </c>
      <c r="CG58" s="2526">
        <f t="shared" si="67"/>
        <v>0</v>
      </c>
      <c r="CH58" s="2526">
        <f t="shared" si="67"/>
        <v>0</v>
      </c>
      <c r="CI58" s="2526">
        <f t="shared" si="67"/>
        <v>0</v>
      </c>
      <c r="CJ58" s="2526">
        <f t="shared" si="67"/>
        <v>0</v>
      </c>
      <c r="CK58" s="2526">
        <f t="shared" si="67"/>
        <v>0</v>
      </c>
      <c r="CL58" s="2526">
        <f t="shared" si="67"/>
        <v>0</v>
      </c>
      <c r="CM58" s="2526">
        <f t="shared" si="67"/>
        <v>0</v>
      </c>
      <c r="CN58" s="2526">
        <f t="shared" si="67"/>
        <v>0</v>
      </c>
      <c r="CO58" s="2526">
        <f t="shared" si="67"/>
        <v>0</v>
      </c>
      <c r="CP58" s="2526">
        <f t="shared" si="67"/>
        <v>0</v>
      </c>
      <c r="CQ58" s="2526">
        <f t="shared" si="68"/>
        <v>0</v>
      </c>
      <c r="CR58" s="2526">
        <f t="shared" si="68"/>
        <v>0</v>
      </c>
      <c r="CS58" s="2526">
        <f t="shared" si="68"/>
        <v>0</v>
      </c>
      <c r="CT58" s="2526">
        <f t="shared" si="68"/>
        <v>0</v>
      </c>
      <c r="CU58" s="2526">
        <f t="shared" si="68"/>
        <v>0</v>
      </c>
      <c r="CV58" s="2526">
        <f t="shared" si="68"/>
        <v>0</v>
      </c>
      <c r="CW58" s="2526">
        <f t="shared" si="68"/>
        <v>0</v>
      </c>
      <c r="CX58" s="2526">
        <f t="shared" si="68"/>
        <v>0</v>
      </c>
      <c r="CY58" s="2526">
        <f t="shared" si="68"/>
        <v>0</v>
      </c>
      <c r="CZ58" s="2526">
        <f t="shared" si="68"/>
        <v>0</v>
      </c>
      <c r="DA58" s="2526">
        <f t="shared" si="68"/>
        <v>0</v>
      </c>
      <c r="DB58" s="2526">
        <f t="shared" si="68"/>
        <v>0</v>
      </c>
      <c r="DC58" s="2526">
        <f t="shared" si="68"/>
        <v>0</v>
      </c>
      <c r="DD58" s="2527">
        <f t="shared" si="68"/>
        <v>0</v>
      </c>
      <c r="DE58" s="2189"/>
      <c r="DF58" s="2527">
        <f t="shared" si="69"/>
        <v>0</v>
      </c>
      <c r="DG58" s="2189"/>
    </row>
    <row r="59" spans="1:111" s="2196" customFormat="1" ht="13.8" outlineLevel="2" x14ac:dyDescent="0.3">
      <c r="A59" s="2189"/>
      <c r="B59" s="2543" t="s">
        <v>1651</v>
      </c>
      <c r="C59" s="2544"/>
      <c r="D59" s="2544"/>
      <c r="E59" s="2544"/>
      <c r="F59" s="2614"/>
      <c r="G59" s="2547">
        <v>0</v>
      </c>
      <c r="H59" s="2547">
        <v>0</v>
      </c>
      <c r="I59" s="2547">
        <v>0</v>
      </c>
      <c r="J59" s="2547">
        <v>0</v>
      </c>
      <c r="K59" s="2547">
        <v>0</v>
      </c>
      <c r="L59" s="2547">
        <v>0</v>
      </c>
      <c r="M59" s="2547">
        <v>0</v>
      </c>
      <c r="N59" s="2547">
        <v>0</v>
      </c>
      <c r="O59" s="2547">
        <v>0</v>
      </c>
      <c r="P59" s="2547">
        <v>0</v>
      </c>
      <c r="Q59" s="2547">
        <v>0</v>
      </c>
      <c r="R59" s="2547">
        <v>0</v>
      </c>
      <c r="S59" s="2547">
        <v>0</v>
      </c>
      <c r="T59" s="2547">
        <v>0</v>
      </c>
      <c r="U59" s="2547">
        <v>0</v>
      </c>
      <c r="V59" s="2547">
        <v>0</v>
      </c>
      <c r="W59" s="2547">
        <v>0</v>
      </c>
      <c r="X59" s="2547">
        <v>0</v>
      </c>
      <c r="Y59" s="2547">
        <v>0</v>
      </c>
      <c r="Z59" s="2547">
        <v>0</v>
      </c>
      <c r="AA59" s="2547">
        <v>0</v>
      </c>
      <c r="AB59" s="2547">
        <v>0</v>
      </c>
      <c r="AC59" s="2547">
        <v>0</v>
      </c>
      <c r="AD59" s="2547">
        <v>0</v>
      </c>
      <c r="AE59" s="2547">
        <v>0</v>
      </c>
      <c r="AF59" s="2547">
        <v>0</v>
      </c>
      <c r="AG59" s="2547">
        <v>0</v>
      </c>
      <c r="AH59" s="2547">
        <v>0</v>
      </c>
      <c r="AI59" s="2547">
        <v>0</v>
      </c>
      <c r="AJ59" s="2548"/>
      <c r="AK59" s="2549"/>
      <c r="AL59" s="2198"/>
      <c r="AM59" s="2548"/>
      <c r="AN59" s="2550"/>
      <c r="AO59" s="2198"/>
      <c r="AP59" s="2198"/>
      <c r="AQ59" s="2546">
        <v>0</v>
      </c>
      <c r="AR59" s="2547">
        <v>0</v>
      </c>
      <c r="AS59" s="2547">
        <v>0</v>
      </c>
      <c r="AT59" s="2547">
        <v>0</v>
      </c>
      <c r="AU59" s="2547">
        <v>0</v>
      </c>
      <c r="AV59" s="2547">
        <v>0</v>
      </c>
      <c r="AW59" s="2547">
        <v>0</v>
      </c>
      <c r="AX59" s="2547">
        <v>0</v>
      </c>
      <c r="AY59" s="2547">
        <v>0</v>
      </c>
      <c r="AZ59" s="2547">
        <v>0</v>
      </c>
      <c r="BA59" s="2547">
        <v>0</v>
      </c>
      <c r="BB59" s="2547">
        <v>0</v>
      </c>
      <c r="BC59" s="2547">
        <v>0</v>
      </c>
      <c r="BD59" s="2547">
        <v>0</v>
      </c>
      <c r="BE59" s="2547">
        <v>0</v>
      </c>
      <c r="BF59" s="2547">
        <v>0</v>
      </c>
      <c r="BG59" s="2547">
        <v>0</v>
      </c>
      <c r="BH59" s="2547">
        <v>0</v>
      </c>
      <c r="BI59" s="2547">
        <v>0</v>
      </c>
      <c r="BJ59" s="2547">
        <v>0</v>
      </c>
      <c r="BK59" s="2547">
        <v>0</v>
      </c>
      <c r="BL59" s="2547">
        <v>0</v>
      </c>
      <c r="BM59" s="2547">
        <v>0</v>
      </c>
      <c r="BN59" s="2547">
        <v>0</v>
      </c>
      <c r="BO59" s="2547">
        <v>0</v>
      </c>
      <c r="BP59" s="2547">
        <v>0</v>
      </c>
      <c r="BQ59" s="2547">
        <v>0</v>
      </c>
      <c r="BR59" s="2547">
        <v>0</v>
      </c>
      <c r="BS59" s="2547">
        <v>0</v>
      </c>
      <c r="BT59" s="2548"/>
      <c r="BU59" s="2198"/>
      <c r="BV59" s="2198"/>
      <c r="BW59" s="2548"/>
      <c r="BX59" s="2189"/>
      <c r="BY59" s="2189"/>
      <c r="BZ59" s="2189"/>
      <c r="CA59" s="2551">
        <f t="shared" si="67"/>
        <v>0</v>
      </c>
      <c r="CB59" s="2552">
        <f t="shared" si="67"/>
        <v>0</v>
      </c>
      <c r="CC59" s="2552">
        <f t="shared" si="67"/>
        <v>0</v>
      </c>
      <c r="CD59" s="2552">
        <f t="shared" si="67"/>
        <v>0</v>
      </c>
      <c r="CE59" s="2552">
        <f t="shared" si="67"/>
        <v>0</v>
      </c>
      <c r="CF59" s="2552">
        <f t="shared" si="67"/>
        <v>0</v>
      </c>
      <c r="CG59" s="2552">
        <f t="shared" si="67"/>
        <v>0</v>
      </c>
      <c r="CH59" s="2552">
        <f t="shared" si="67"/>
        <v>0</v>
      </c>
      <c r="CI59" s="2552">
        <f t="shared" si="67"/>
        <v>0</v>
      </c>
      <c r="CJ59" s="2552">
        <f t="shared" si="67"/>
        <v>0</v>
      </c>
      <c r="CK59" s="2552">
        <f t="shared" si="67"/>
        <v>0</v>
      </c>
      <c r="CL59" s="2552">
        <f t="shared" si="67"/>
        <v>0</v>
      </c>
      <c r="CM59" s="2552">
        <f t="shared" si="67"/>
        <v>0</v>
      </c>
      <c r="CN59" s="2552">
        <f t="shared" si="67"/>
        <v>0</v>
      </c>
      <c r="CO59" s="2552">
        <f t="shared" si="67"/>
        <v>0</v>
      </c>
      <c r="CP59" s="2552">
        <f t="shared" si="67"/>
        <v>0</v>
      </c>
      <c r="CQ59" s="2552">
        <f t="shared" si="68"/>
        <v>0</v>
      </c>
      <c r="CR59" s="2552">
        <f t="shared" si="68"/>
        <v>0</v>
      </c>
      <c r="CS59" s="2552">
        <f t="shared" si="68"/>
        <v>0</v>
      </c>
      <c r="CT59" s="2552">
        <f t="shared" si="68"/>
        <v>0</v>
      </c>
      <c r="CU59" s="2552">
        <f t="shared" si="68"/>
        <v>0</v>
      </c>
      <c r="CV59" s="2552">
        <f t="shared" si="68"/>
        <v>0</v>
      </c>
      <c r="CW59" s="2552">
        <f t="shared" si="68"/>
        <v>0</v>
      </c>
      <c r="CX59" s="2552">
        <f t="shared" si="68"/>
        <v>0</v>
      </c>
      <c r="CY59" s="2552">
        <f t="shared" si="68"/>
        <v>0</v>
      </c>
      <c r="CZ59" s="2552">
        <f t="shared" si="68"/>
        <v>0</v>
      </c>
      <c r="DA59" s="2552">
        <f t="shared" si="68"/>
        <v>0</v>
      </c>
      <c r="DB59" s="2552">
        <f t="shared" si="68"/>
        <v>0</v>
      </c>
      <c r="DC59" s="2552">
        <f t="shared" si="68"/>
        <v>0</v>
      </c>
      <c r="DD59" s="2548"/>
      <c r="DE59" s="2189"/>
      <c r="DF59" s="2548"/>
      <c r="DG59" s="2189"/>
    </row>
    <row r="60" spans="1:111" s="2196" customFormat="1" ht="13.8" outlineLevel="2" x14ac:dyDescent="0.3">
      <c r="A60" s="2189"/>
      <c r="B60" s="2553" t="s">
        <v>1652</v>
      </c>
      <c r="C60" s="2554"/>
      <c r="D60" s="2554"/>
      <c r="E60" s="2554"/>
      <c r="F60" s="2615"/>
      <c r="G60" s="2557">
        <v>0</v>
      </c>
      <c r="H60" s="2557">
        <v>0</v>
      </c>
      <c r="I60" s="2557">
        <v>0</v>
      </c>
      <c r="J60" s="2557">
        <v>0</v>
      </c>
      <c r="K60" s="2557">
        <v>0</v>
      </c>
      <c r="L60" s="2557">
        <v>0</v>
      </c>
      <c r="M60" s="2557">
        <v>0</v>
      </c>
      <c r="N60" s="2557">
        <v>0</v>
      </c>
      <c r="O60" s="2557">
        <v>0</v>
      </c>
      <c r="P60" s="2557">
        <v>0</v>
      </c>
      <c r="Q60" s="2557">
        <v>0</v>
      </c>
      <c r="R60" s="2557">
        <v>0</v>
      </c>
      <c r="S60" s="2557">
        <v>0</v>
      </c>
      <c r="T60" s="2557">
        <v>0</v>
      </c>
      <c r="U60" s="2557">
        <v>0</v>
      </c>
      <c r="V60" s="2557">
        <v>0</v>
      </c>
      <c r="W60" s="2557">
        <v>0</v>
      </c>
      <c r="X60" s="2557">
        <v>0</v>
      </c>
      <c r="Y60" s="2557">
        <v>0</v>
      </c>
      <c r="Z60" s="2557">
        <v>0</v>
      </c>
      <c r="AA60" s="2557">
        <v>0</v>
      </c>
      <c r="AB60" s="2557">
        <v>0</v>
      </c>
      <c r="AC60" s="2557">
        <v>0</v>
      </c>
      <c r="AD60" s="2557">
        <v>0</v>
      </c>
      <c r="AE60" s="2557">
        <v>0</v>
      </c>
      <c r="AF60" s="2557">
        <v>0</v>
      </c>
      <c r="AG60" s="2557">
        <v>0</v>
      </c>
      <c r="AH60" s="2557">
        <v>0</v>
      </c>
      <c r="AI60" s="2557">
        <v>0</v>
      </c>
      <c r="AJ60" s="2558"/>
      <c r="AK60" s="2549"/>
      <c r="AL60" s="2198"/>
      <c r="AM60" s="2558"/>
      <c r="AN60" s="2550"/>
      <c r="AO60" s="2198"/>
      <c r="AP60" s="2198"/>
      <c r="AQ60" s="2556">
        <v>0</v>
      </c>
      <c r="AR60" s="2557">
        <v>0</v>
      </c>
      <c r="AS60" s="2557">
        <v>0</v>
      </c>
      <c r="AT60" s="2557">
        <v>0</v>
      </c>
      <c r="AU60" s="2557">
        <v>0</v>
      </c>
      <c r="AV60" s="2557">
        <v>0</v>
      </c>
      <c r="AW60" s="2557">
        <v>0</v>
      </c>
      <c r="AX60" s="2557">
        <v>0</v>
      </c>
      <c r="AY60" s="2557">
        <v>0</v>
      </c>
      <c r="AZ60" s="2557">
        <v>0</v>
      </c>
      <c r="BA60" s="2557">
        <v>0</v>
      </c>
      <c r="BB60" s="2557">
        <v>0</v>
      </c>
      <c r="BC60" s="2557">
        <v>0</v>
      </c>
      <c r="BD60" s="2557">
        <v>0</v>
      </c>
      <c r="BE60" s="2557">
        <v>0</v>
      </c>
      <c r="BF60" s="2557">
        <v>0</v>
      </c>
      <c r="BG60" s="2557">
        <v>0</v>
      </c>
      <c r="BH60" s="2557">
        <v>0</v>
      </c>
      <c r="BI60" s="2557">
        <v>0</v>
      </c>
      <c r="BJ60" s="2557">
        <v>0</v>
      </c>
      <c r="BK60" s="2557">
        <v>0</v>
      </c>
      <c r="BL60" s="2557">
        <v>0</v>
      </c>
      <c r="BM60" s="2557">
        <v>0</v>
      </c>
      <c r="BN60" s="2557">
        <v>0</v>
      </c>
      <c r="BO60" s="2557">
        <v>0</v>
      </c>
      <c r="BP60" s="2557">
        <v>0</v>
      </c>
      <c r="BQ60" s="2557">
        <v>0</v>
      </c>
      <c r="BR60" s="2557">
        <v>0</v>
      </c>
      <c r="BS60" s="2557">
        <v>0</v>
      </c>
      <c r="BT60" s="2558"/>
      <c r="BU60" s="2198"/>
      <c r="BV60" s="2198"/>
      <c r="BW60" s="2558"/>
      <c r="BX60" s="2189"/>
      <c r="BY60" s="2189"/>
      <c r="BZ60" s="2189"/>
      <c r="CA60" s="2559">
        <f t="shared" si="67"/>
        <v>0</v>
      </c>
      <c r="CB60" s="2560">
        <f t="shared" si="67"/>
        <v>0</v>
      </c>
      <c r="CC60" s="2560">
        <f t="shared" si="67"/>
        <v>0</v>
      </c>
      <c r="CD60" s="2560">
        <f t="shared" si="67"/>
        <v>0</v>
      </c>
      <c r="CE60" s="2560">
        <f t="shared" si="67"/>
        <v>0</v>
      </c>
      <c r="CF60" s="2560">
        <f t="shared" si="67"/>
        <v>0</v>
      </c>
      <c r="CG60" s="2560">
        <f t="shared" si="67"/>
        <v>0</v>
      </c>
      <c r="CH60" s="2560">
        <f t="shared" si="67"/>
        <v>0</v>
      </c>
      <c r="CI60" s="2560">
        <f t="shared" si="67"/>
        <v>0</v>
      </c>
      <c r="CJ60" s="2560">
        <f t="shared" si="67"/>
        <v>0</v>
      </c>
      <c r="CK60" s="2560">
        <f t="shared" si="67"/>
        <v>0</v>
      </c>
      <c r="CL60" s="2560">
        <f t="shared" si="67"/>
        <v>0</v>
      </c>
      <c r="CM60" s="2560">
        <f t="shared" si="67"/>
        <v>0</v>
      </c>
      <c r="CN60" s="2560">
        <f t="shared" si="67"/>
        <v>0</v>
      </c>
      <c r="CO60" s="2560">
        <f t="shared" si="67"/>
        <v>0</v>
      </c>
      <c r="CP60" s="2560">
        <f t="shared" si="67"/>
        <v>0</v>
      </c>
      <c r="CQ60" s="2560">
        <f t="shared" si="68"/>
        <v>0</v>
      </c>
      <c r="CR60" s="2560">
        <f t="shared" si="68"/>
        <v>0</v>
      </c>
      <c r="CS60" s="2560">
        <f t="shared" si="68"/>
        <v>0</v>
      </c>
      <c r="CT60" s="2560">
        <f t="shared" si="68"/>
        <v>0</v>
      </c>
      <c r="CU60" s="2560">
        <f t="shared" si="68"/>
        <v>0</v>
      </c>
      <c r="CV60" s="2560">
        <f t="shared" si="68"/>
        <v>0</v>
      </c>
      <c r="CW60" s="2560">
        <f t="shared" si="68"/>
        <v>0</v>
      </c>
      <c r="CX60" s="2560">
        <f t="shared" si="68"/>
        <v>0</v>
      </c>
      <c r="CY60" s="2560">
        <f t="shared" si="68"/>
        <v>0</v>
      </c>
      <c r="CZ60" s="2560">
        <f t="shared" si="68"/>
        <v>0</v>
      </c>
      <c r="DA60" s="2560">
        <f t="shared" si="68"/>
        <v>0</v>
      </c>
      <c r="DB60" s="2560">
        <f t="shared" si="68"/>
        <v>0</v>
      </c>
      <c r="DC60" s="2560">
        <f t="shared" si="68"/>
        <v>0</v>
      </c>
      <c r="DD60" s="2558"/>
      <c r="DE60" s="2189"/>
      <c r="DF60" s="2558"/>
      <c r="DG60" s="2189"/>
    </row>
    <row r="61" spans="1:111" s="2196" customFormat="1" ht="18" outlineLevel="2" x14ac:dyDescent="0.35">
      <c r="A61" s="2189"/>
      <c r="B61" s="2523" t="s">
        <v>1654</v>
      </c>
      <c r="C61" s="2524"/>
      <c r="D61" s="2524"/>
      <c r="E61" s="2524"/>
      <c r="F61" s="2612"/>
      <c r="G61" s="2526">
        <f>SUM(G54:G56)</f>
        <v>0</v>
      </c>
      <c r="H61" s="2526">
        <f t="shared" ref="H61:W61" si="79">SUM(H54:H56)</f>
        <v>0</v>
      </c>
      <c r="I61" s="2526">
        <f t="shared" si="79"/>
        <v>0</v>
      </c>
      <c r="J61" s="2526">
        <f t="shared" si="79"/>
        <v>0</v>
      </c>
      <c r="K61" s="2526">
        <f t="shared" si="79"/>
        <v>0</v>
      </c>
      <c r="L61" s="2526">
        <f t="shared" si="79"/>
        <v>0</v>
      </c>
      <c r="M61" s="2526">
        <f t="shared" si="79"/>
        <v>0</v>
      </c>
      <c r="N61" s="2526">
        <f t="shared" si="79"/>
        <v>0</v>
      </c>
      <c r="O61" s="2526">
        <f t="shared" si="79"/>
        <v>0</v>
      </c>
      <c r="P61" s="2526">
        <f t="shared" si="79"/>
        <v>0</v>
      </c>
      <c r="Q61" s="2526">
        <f t="shared" si="79"/>
        <v>0</v>
      </c>
      <c r="R61" s="2526">
        <f t="shared" si="79"/>
        <v>0</v>
      </c>
      <c r="S61" s="2526">
        <f t="shared" si="79"/>
        <v>0</v>
      </c>
      <c r="T61" s="2526">
        <f t="shared" si="79"/>
        <v>0</v>
      </c>
      <c r="U61" s="2526">
        <f t="shared" si="79"/>
        <v>0</v>
      </c>
      <c r="V61" s="2526">
        <f t="shared" si="79"/>
        <v>0</v>
      </c>
      <c r="W61" s="2526">
        <f t="shared" si="79"/>
        <v>0</v>
      </c>
      <c r="X61" s="2526">
        <f>SUM(X54:X56)</f>
        <v>0</v>
      </c>
      <c r="Y61" s="2526">
        <f t="shared" ref="Y61:AI61" si="80">SUM(Y54:Y56)</f>
        <v>0</v>
      </c>
      <c r="Z61" s="2526">
        <f t="shared" si="80"/>
        <v>0</v>
      </c>
      <c r="AA61" s="2526">
        <f t="shared" si="80"/>
        <v>0</v>
      </c>
      <c r="AB61" s="2526">
        <f t="shared" si="80"/>
        <v>0</v>
      </c>
      <c r="AC61" s="2526">
        <f t="shared" si="80"/>
        <v>0</v>
      </c>
      <c r="AD61" s="2526">
        <f t="shared" si="80"/>
        <v>0</v>
      </c>
      <c r="AE61" s="2526">
        <f t="shared" si="80"/>
        <v>0</v>
      </c>
      <c r="AF61" s="2526">
        <f t="shared" si="80"/>
        <v>0</v>
      </c>
      <c r="AG61" s="2526">
        <f t="shared" si="80"/>
        <v>0</v>
      </c>
      <c r="AH61" s="2526">
        <f t="shared" si="80"/>
        <v>0</v>
      </c>
      <c r="AI61" s="2526">
        <f t="shared" si="80"/>
        <v>0</v>
      </c>
      <c r="AJ61" s="2527">
        <f>SUMIF($G$115:$AI$115,"1",$G61:$AI61)</f>
        <v>0</v>
      </c>
      <c r="AK61" s="2542"/>
      <c r="AL61" s="2287"/>
      <c r="AM61" s="2527">
        <f>SUMIF($G$115:$AI$115,"1",$G61:$AI61)+SUMIF($G$115:$AI$115,"2",$G61:$AI61)</f>
        <v>0</v>
      </c>
      <c r="AN61" s="2529"/>
      <c r="AO61" s="1887"/>
      <c r="AP61" s="1887"/>
      <c r="AQ61" s="2525">
        <f t="shared" ref="AQ61:BG61" si="81">SUM(AQ54:AQ56)</f>
        <v>0</v>
      </c>
      <c r="AR61" s="2526">
        <f t="shared" si="81"/>
        <v>0</v>
      </c>
      <c r="AS61" s="2526">
        <f t="shared" si="81"/>
        <v>0</v>
      </c>
      <c r="AT61" s="2526">
        <f t="shared" si="81"/>
        <v>0</v>
      </c>
      <c r="AU61" s="2526">
        <f t="shared" si="81"/>
        <v>0</v>
      </c>
      <c r="AV61" s="2526">
        <f t="shared" si="81"/>
        <v>0</v>
      </c>
      <c r="AW61" s="2526">
        <f t="shared" si="81"/>
        <v>0</v>
      </c>
      <c r="AX61" s="2526">
        <f t="shared" si="81"/>
        <v>0</v>
      </c>
      <c r="AY61" s="2526">
        <f t="shared" si="81"/>
        <v>0</v>
      </c>
      <c r="AZ61" s="2526">
        <f t="shared" si="81"/>
        <v>0</v>
      </c>
      <c r="BA61" s="2526">
        <f t="shared" si="81"/>
        <v>0</v>
      </c>
      <c r="BB61" s="2526">
        <f t="shared" si="81"/>
        <v>0</v>
      </c>
      <c r="BC61" s="2526">
        <f t="shared" si="81"/>
        <v>0</v>
      </c>
      <c r="BD61" s="2526">
        <f t="shared" si="81"/>
        <v>0</v>
      </c>
      <c r="BE61" s="2526">
        <f t="shared" si="81"/>
        <v>0</v>
      </c>
      <c r="BF61" s="2526">
        <f t="shared" si="81"/>
        <v>0</v>
      </c>
      <c r="BG61" s="2526">
        <f t="shared" si="81"/>
        <v>0</v>
      </c>
      <c r="BH61" s="2526">
        <f>SUM(BH54:BH56)</f>
        <v>0</v>
      </c>
      <c r="BI61" s="2526">
        <f t="shared" ref="BI61:BR61" si="82">SUM(BI54:BI56)</f>
        <v>0</v>
      </c>
      <c r="BJ61" s="2526">
        <f t="shared" si="82"/>
        <v>0</v>
      </c>
      <c r="BK61" s="2526">
        <f t="shared" si="82"/>
        <v>0</v>
      </c>
      <c r="BL61" s="2526">
        <f t="shared" si="82"/>
        <v>0</v>
      </c>
      <c r="BM61" s="2526">
        <f t="shared" si="82"/>
        <v>0</v>
      </c>
      <c r="BN61" s="2526">
        <f t="shared" si="82"/>
        <v>0</v>
      </c>
      <c r="BO61" s="2526">
        <f t="shared" si="82"/>
        <v>0</v>
      </c>
      <c r="BP61" s="2526">
        <f t="shared" si="82"/>
        <v>0</v>
      </c>
      <c r="BQ61" s="2526">
        <f t="shared" si="82"/>
        <v>0</v>
      </c>
      <c r="BR61" s="2526">
        <f t="shared" si="82"/>
        <v>0</v>
      </c>
      <c r="BS61" s="2526">
        <f>SUM(BS54:BS56)</f>
        <v>0</v>
      </c>
      <c r="BT61" s="2527">
        <f>SUMIF($AQ$115:$BS$115,"1",$AQ61:$BS61)</f>
        <v>0</v>
      </c>
      <c r="BU61" s="2198"/>
      <c r="BV61" s="2198"/>
      <c r="BW61" s="2527">
        <f>SUMIF($AQ$115:$BS$115,"1",$AQ61:$BS61)+SUMIF($AQ$115:$BS$115,"2",$AQ61:$BS61)</f>
        <v>0</v>
      </c>
      <c r="BX61" s="2189"/>
      <c r="BY61" s="2189"/>
      <c r="BZ61" s="2189"/>
      <c r="CA61" s="2525">
        <f t="shared" si="67"/>
        <v>0</v>
      </c>
      <c r="CB61" s="2526">
        <f t="shared" si="67"/>
        <v>0</v>
      </c>
      <c r="CC61" s="2526">
        <f t="shared" si="67"/>
        <v>0</v>
      </c>
      <c r="CD61" s="2526">
        <f t="shared" si="67"/>
        <v>0</v>
      </c>
      <c r="CE61" s="2526">
        <f t="shared" si="67"/>
        <v>0</v>
      </c>
      <c r="CF61" s="2526">
        <f t="shared" si="67"/>
        <v>0</v>
      </c>
      <c r="CG61" s="2526">
        <f t="shared" si="67"/>
        <v>0</v>
      </c>
      <c r="CH61" s="2526">
        <f t="shared" si="67"/>
        <v>0</v>
      </c>
      <c r="CI61" s="2526">
        <f t="shared" si="67"/>
        <v>0</v>
      </c>
      <c r="CJ61" s="2526">
        <f t="shared" si="67"/>
        <v>0</v>
      </c>
      <c r="CK61" s="2526">
        <f t="shared" si="67"/>
        <v>0</v>
      </c>
      <c r="CL61" s="2526">
        <f t="shared" si="67"/>
        <v>0</v>
      </c>
      <c r="CM61" s="2526">
        <f t="shared" si="67"/>
        <v>0</v>
      </c>
      <c r="CN61" s="2526">
        <f t="shared" si="67"/>
        <v>0</v>
      </c>
      <c r="CO61" s="2526">
        <f t="shared" si="67"/>
        <v>0</v>
      </c>
      <c r="CP61" s="2526">
        <f t="shared" si="67"/>
        <v>0</v>
      </c>
      <c r="CQ61" s="2526">
        <f t="shared" si="68"/>
        <v>0</v>
      </c>
      <c r="CR61" s="2526">
        <f t="shared" si="68"/>
        <v>0</v>
      </c>
      <c r="CS61" s="2526">
        <f t="shared" si="68"/>
        <v>0</v>
      </c>
      <c r="CT61" s="2526">
        <f t="shared" si="68"/>
        <v>0</v>
      </c>
      <c r="CU61" s="2526">
        <f t="shared" si="68"/>
        <v>0</v>
      </c>
      <c r="CV61" s="2526">
        <f t="shared" si="68"/>
        <v>0</v>
      </c>
      <c r="CW61" s="2526">
        <f t="shared" si="68"/>
        <v>0</v>
      </c>
      <c r="CX61" s="2526">
        <f t="shared" si="68"/>
        <v>0</v>
      </c>
      <c r="CY61" s="2526">
        <f t="shared" si="68"/>
        <v>0</v>
      </c>
      <c r="CZ61" s="2526">
        <f t="shared" si="68"/>
        <v>0</v>
      </c>
      <c r="DA61" s="2526">
        <f t="shared" si="68"/>
        <v>0</v>
      </c>
      <c r="DB61" s="2526">
        <f t="shared" si="68"/>
        <v>0</v>
      </c>
      <c r="DC61" s="2526">
        <f t="shared" si="68"/>
        <v>0</v>
      </c>
      <c r="DD61" s="2527">
        <f>AJ61-BT61</f>
        <v>0</v>
      </c>
      <c r="DE61" s="2189"/>
      <c r="DF61" s="2527">
        <f>AM61-BW61</f>
        <v>0</v>
      </c>
      <c r="DG61" s="2189"/>
    </row>
    <row r="62" spans="1:111" s="2196" customFormat="1" ht="18" outlineLevel="2" x14ac:dyDescent="0.35">
      <c r="A62" s="2189"/>
      <c r="B62" s="2561" t="s">
        <v>1655</v>
      </c>
      <c r="C62" s="2562"/>
      <c r="D62" s="2562"/>
      <c r="E62" s="2562"/>
      <c r="F62" s="2616"/>
      <c r="G62" s="2564">
        <v>0</v>
      </c>
      <c r="H62" s="2564">
        <v>0</v>
      </c>
      <c r="I62" s="2564">
        <v>0</v>
      </c>
      <c r="J62" s="2564">
        <v>0</v>
      </c>
      <c r="K62" s="2564">
        <v>0</v>
      </c>
      <c r="L62" s="2564">
        <v>0</v>
      </c>
      <c r="M62" s="2564">
        <v>0</v>
      </c>
      <c r="N62" s="2564">
        <v>0</v>
      </c>
      <c r="O62" s="2564">
        <v>0</v>
      </c>
      <c r="P62" s="2564">
        <v>0</v>
      </c>
      <c r="Q62" s="2564">
        <v>0</v>
      </c>
      <c r="R62" s="2564">
        <v>0</v>
      </c>
      <c r="S62" s="2564">
        <v>0</v>
      </c>
      <c r="T62" s="2564">
        <v>0</v>
      </c>
      <c r="U62" s="2564">
        <v>0</v>
      </c>
      <c r="V62" s="2564">
        <v>0</v>
      </c>
      <c r="W62" s="2564">
        <v>0</v>
      </c>
      <c r="X62" s="2564">
        <v>0</v>
      </c>
      <c r="Y62" s="2564">
        <v>0</v>
      </c>
      <c r="Z62" s="2564">
        <v>0</v>
      </c>
      <c r="AA62" s="2564">
        <v>0</v>
      </c>
      <c r="AB62" s="2564">
        <v>0</v>
      </c>
      <c r="AC62" s="2564">
        <v>0</v>
      </c>
      <c r="AD62" s="2564">
        <v>0</v>
      </c>
      <c r="AE62" s="2564">
        <v>0</v>
      </c>
      <c r="AF62" s="2564">
        <v>0</v>
      </c>
      <c r="AG62" s="2564">
        <v>0</v>
      </c>
      <c r="AH62" s="2564">
        <v>0</v>
      </c>
      <c r="AI62" s="2564">
        <v>0</v>
      </c>
      <c r="AJ62" s="2565"/>
      <c r="AK62" s="2542"/>
      <c r="AL62" s="2287"/>
      <c r="AM62" s="2565"/>
      <c r="AN62" s="2566"/>
      <c r="AO62" s="1887"/>
      <c r="AP62" s="1887"/>
      <c r="AQ62" s="2563">
        <v>0</v>
      </c>
      <c r="AR62" s="2564">
        <v>0</v>
      </c>
      <c r="AS62" s="2564">
        <v>0</v>
      </c>
      <c r="AT62" s="2564">
        <v>0</v>
      </c>
      <c r="AU62" s="2564">
        <v>0</v>
      </c>
      <c r="AV62" s="2564">
        <v>0</v>
      </c>
      <c r="AW62" s="2564">
        <v>0</v>
      </c>
      <c r="AX62" s="2564">
        <v>0</v>
      </c>
      <c r="AY62" s="2564">
        <v>0</v>
      </c>
      <c r="AZ62" s="2564">
        <v>0</v>
      </c>
      <c r="BA62" s="2564">
        <v>0</v>
      </c>
      <c r="BB62" s="2564">
        <v>0</v>
      </c>
      <c r="BC62" s="2564">
        <v>0</v>
      </c>
      <c r="BD62" s="2564">
        <v>0</v>
      </c>
      <c r="BE62" s="2564">
        <v>0</v>
      </c>
      <c r="BF62" s="2564">
        <v>0</v>
      </c>
      <c r="BG62" s="2564">
        <v>0</v>
      </c>
      <c r="BH62" s="2564">
        <v>0</v>
      </c>
      <c r="BI62" s="2564">
        <v>0</v>
      </c>
      <c r="BJ62" s="2564">
        <v>0</v>
      </c>
      <c r="BK62" s="2564">
        <v>0</v>
      </c>
      <c r="BL62" s="2564">
        <v>0</v>
      </c>
      <c r="BM62" s="2564">
        <v>0</v>
      </c>
      <c r="BN62" s="2564">
        <v>0</v>
      </c>
      <c r="BO62" s="2564">
        <v>0</v>
      </c>
      <c r="BP62" s="2564">
        <v>0</v>
      </c>
      <c r="BQ62" s="2564">
        <v>0</v>
      </c>
      <c r="BR62" s="2564">
        <v>0</v>
      </c>
      <c r="BS62" s="2564">
        <v>0</v>
      </c>
      <c r="BT62" s="2565"/>
      <c r="BU62" s="2198"/>
      <c r="BV62" s="2198"/>
      <c r="BW62" s="2565"/>
      <c r="BX62" s="2189"/>
      <c r="BY62" s="2189"/>
      <c r="BZ62" s="2189"/>
      <c r="CA62" s="2567">
        <f t="shared" si="67"/>
        <v>0</v>
      </c>
      <c r="CB62" s="2568">
        <f t="shared" si="67"/>
        <v>0</v>
      </c>
      <c r="CC62" s="2568">
        <f t="shared" si="67"/>
        <v>0</v>
      </c>
      <c r="CD62" s="2568">
        <f t="shared" si="67"/>
        <v>0</v>
      </c>
      <c r="CE62" s="2568">
        <f t="shared" si="67"/>
        <v>0</v>
      </c>
      <c r="CF62" s="2568">
        <f t="shared" si="67"/>
        <v>0</v>
      </c>
      <c r="CG62" s="2568">
        <f t="shared" si="67"/>
        <v>0</v>
      </c>
      <c r="CH62" s="2568">
        <f t="shared" si="67"/>
        <v>0</v>
      </c>
      <c r="CI62" s="2568">
        <f t="shared" si="67"/>
        <v>0</v>
      </c>
      <c r="CJ62" s="2568">
        <f t="shared" si="67"/>
        <v>0</v>
      </c>
      <c r="CK62" s="2568">
        <f t="shared" si="67"/>
        <v>0</v>
      </c>
      <c r="CL62" s="2568">
        <f t="shared" si="67"/>
        <v>0</v>
      </c>
      <c r="CM62" s="2568">
        <f t="shared" si="67"/>
        <v>0</v>
      </c>
      <c r="CN62" s="2568">
        <f t="shared" si="67"/>
        <v>0</v>
      </c>
      <c r="CO62" s="2568">
        <f t="shared" si="67"/>
        <v>0</v>
      </c>
      <c r="CP62" s="2568">
        <f t="shared" si="67"/>
        <v>0</v>
      </c>
      <c r="CQ62" s="2568">
        <f t="shared" si="68"/>
        <v>0</v>
      </c>
      <c r="CR62" s="2568">
        <f t="shared" si="68"/>
        <v>0</v>
      </c>
      <c r="CS62" s="2568">
        <f t="shared" si="68"/>
        <v>0</v>
      </c>
      <c r="CT62" s="2568">
        <f t="shared" si="68"/>
        <v>0</v>
      </c>
      <c r="CU62" s="2568">
        <f t="shared" si="68"/>
        <v>0</v>
      </c>
      <c r="CV62" s="2568">
        <f t="shared" si="68"/>
        <v>0</v>
      </c>
      <c r="CW62" s="2568">
        <f t="shared" si="68"/>
        <v>0</v>
      </c>
      <c r="CX62" s="2568">
        <f t="shared" si="68"/>
        <v>0</v>
      </c>
      <c r="CY62" s="2568">
        <f t="shared" si="68"/>
        <v>0</v>
      </c>
      <c r="CZ62" s="2568">
        <f t="shared" si="68"/>
        <v>0</v>
      </c>
      <c r="DA62" s="2568">
        <f t="shared" si="68"/>
        <v>0</v>
      </c>
      <c r="DB62" s="2568">
        <f t="shared" si="68"/>
        <v>0</v>
      </c>
      <c r="DC62" s="2568">
        <f t="shared" si="68"/>
        <v>0</v>
      </c>
      <c r="DD62" s="2565"/>
      <c r="DE62" s="2189"/>
      <c r="DF62" s="2565"/>
      <c r="DG62" s="2189"/>
    </row>
    <row r="63" spans="1:111" s="2196" customFormat="1" ht="18" outlineLevel="2" x14ac:dyDescent="0.35">
      <c r="A63" s="2189"/>
      <c r="B63" s="2569" t="s">
        <v>1656</v>
      </c>
      <c r="C63" s="2570"/>
      <c r="D63" s="2570"/>
      <c r="E63" s="2570"/>
      <c r="F63" s="2617"/>
      <c r="G63" s="2572">
        <f t="shared" ref="G63:W63" si="83">IF(G62=0,0,G54-G62)</f>
        <v>0</v>
      </c>
      <c r="H63" s="2572">
        <f t="shared" si="83"/>
        <v>0</v>
      </c>
      <c r="I63" s="2572">
        <f t="shared" si="83"/>
        <v>0</v>
      </c>
      <c r="J63" s="2572">
        <f t="shared" si="83"/>
        <v>0</v>
      </c>
      <c r="K63" s="2572">
        <f t="shared" si="83"/>
        <v>0</v>
      </c>
      <c r="L63" s="2572">
        <f t="shared" si="83"/>
        <v>0</v>
      </c>
      <c r="M63" s="2572">
        <f t="shared" si="83"/>
        <v>0</v>
      </c>
      <c r="N63" s="2572">
        <f t="shared" si="83"/>
        <v>0</v>
      </c>
      <c r="O63" s="2572">
        <f t="shared" si="83"/>
        <v>0</v>
      </c>
      <c r="P63" s="2572">
        <f t="shared" si="83"/>
        <v>0</v>
      </c>
      <c r="Q63" s="2572">
        <f t="shared" si="83"/>
        <v>0</v>
      </c>
      <c r="R63" s="2572">
        <f t="shared" si="83"/>
        <v>0</v>
      </c>
      <c r="S63" s="2572">
        <f t="shared" si="83"/>
        <v>0</v>
      </c>
      <c r="T63" s="2572">
        <f t="shared" si="83"/>
        <v>0</v>
      </c>
      <c r="U63" s="2572">
        <f t="shared" si="83"/>
        <v>0</v>
      </c>
      <c r="V63" s="2572">
        <f t="shared" si="83"/>
        <v>0</v>
      </c>
      <c r="W63" s="2572">
        <f t="shared" si="83"/>
        <v>0</v>
      </c>
      <c r="X63" s="2572">
        <f>IF(X62=0,0,X54-X62)</f>
        <v>0</v>
      </c>
      <c r="Y63" s="2572">
        <f t="shared" ref="Y63:AI63" si="84">IF(Y62=0,0,Y54-Y62)</f>
        <v>0</v>
      </c>
      <c r="Z63" s="2572">
        <f t="shared" si="84"/>
        <v>0</v>
      </c>
      <c r="AA63" s="2572">
        <f t="shared" si="84"/>
        <v>0</v>
      </c>
      <c r="AB63" s="2572">
        <f t="shared" si="84"/>
        <v>0</v>
      </c>
      <c r="AC63" s="2572">
        <f t="shared" si="84"/>
        <v>0</v>
      </c>
      <c r="AD63" s="2572">
        <f t="shared" si="84"/>
        <v>0</v>
      </c>
      <c r="AE63" s="2572">
        <f t="shared" si="84"/>
        <v>0</v>
      </c>
      <c r="AF63" s="2572">
        <f t="shared" si="84"/>
        <v>0</v>
      </c>
      <c r="AG63" s="2572">
        <f t="shared" si="84"/>
        <v>0</v>
      </c>
      <c r="AH63" s="2572">
        <f t="shared" si="84"/>
        <v>0</v>
      </c>
      <c r="AI63" s="2572">
        <f t="shared" si="84"/>
        <v>0</v>
      </c>
      <c r="AJ63" s="2573"/>
      <c r="AK63" s="2542"/>
      <c r="AL63" s="2287"/>
      <c r="AM63" s="2573"/>
      <c r="AN63" s="2529"/>
      <c r="AO63" s="1887"/>
      <c r="AP63" s="1887"/>
      <c r="AQ63" s="2571">
        <f t="shared" ref="AQ63:BS63" si="85">IF(AQ62=0,0,AQ54-AQ62)</f>
        <v>0</v>
      </c>
      <c r="AR63" s="2572">
        <f t="shared" si="85"/>
        <v>0</v>
      </c>
      <c r="AS63" s="2572">
        <f t="shared" si="85"/>
        <v>0</v>
      </c>
      <c r="AT63" s="2572">
        <f t="shared" si="85"/>
        <v>0</v>
      </c>
      <c r="AU63" s="2572">
        <f t="shared" si="85"/>
        <v>0</v>
      </c>
      <c r="AV63" s="2572">
        <f t="shared" si="85"/>
        <v>0</v>
      </c>
      <c r="AW63" s="2572">
        <f t="shared" si="85"/>
        <v>0</v>
      </c>
      <c r="AX63" s="2572">
        <f t="shared" si="85"/>
        <v>0</v>
      </c>
      <c r="AY63" s="2572">
        <f t="shared" si="85"/>
        <v>0</v>
      </c>
      <c r="AZ63" s="2572">
        <f t="shared" si="85"/>
        <v>0</v>
      </c>
      <c r="BA63" s="2572">
        <f t="shared" si="85"/>
        <v>0</v>
      </c>
      <c r="BB63" s="2572">
        <f t="shared" si="85"/>
        <v>0</v>
      </c>
      <c r="BC63" s="2572">
        <f t="shared" si="85"/>
        <v>0</v>
      </c>
      <c r="BD63" s="2572">
        <f t="shared" si="85"/>
        <v>0</v>
      </c>
      <c r="BE63" s="2572">
        <f t="shared" si="85"/>
        <v>0</v>
      </c>
      <c r="BF63" s="2572">
        <f t="shared" si="85"/>
        <v>0</v>
      </c>
      <c r="BG63" s="2572">
        <f t="shared" si="85"/>
        <v>0</v>
      </c>
      <c r="BH63" s="2572">
        <f t="shared" si="85"/>
        <v>0</v>
      </c>
      <c r="BI63" s="2572">
        <f t="shared" si="85"/>
        <v>0</v>
      </c>
      <c r="BJ63" s="2572">
        <f t="shared" si="85"/>
        <v>0</v>
      </c>
      <c r="BK63" s="2572">
        <f t="shared" si="85"/>
        <v>0</v>
      </c>
      <c r="BL63" s="2572">
        <f t="shared" si="85"/>
        <v>0</v>
      </c>
      <c r="BM63" s="2572">
        <f t="shared" si="85"/>
        <v>0</v>
      </c>
      <c r="BN63" s="2572">
        <f t="shared" si="85"/>
        <v>0</v>
      </c>
      <c r="BO63" s="2572">
        <f t="shared" si="85"/>
        <v>0</v>
      </c>
      <c r="BP63" s="2572">
        <f t="shared" si="85"/>
        <v>0</v>
      </c>
      <c r="BQ63" s="2572">
        <f t="shared" si="85"/>
        <v>0</v>
      </c>
      <c r="BR63" s="2572">
        <f t="shared" si="85"/>
        <v>0</v>
      </c>
      <c r="BS63" s="2572">
        <f t="shared" si="85"/>
        <v>0</v>
      </c>
      <c r="BT63" s="2574"/>
      <c r="BU63" s="2198"/>
      <c r="BV63" s="2198"/>
      <c r="BW63" s="2574"/>
      <c r="BX63" s="2189"/>
      <c r="BY63" s="2189"/>
      <c r="BZ63" s="2189"/>
      <c r="CA63" s="2571">
        <f t="shared" si="67"/>
        <v>0</v>
      </c>
      <c r="CB63" s="2572">
        <f t="shared" si="67"/>
        <v>0</v>
      </c>
      <c r="CC63" s="2572">
        <f t="shared" si="67"/>
        <v>0</v>
      </c>
      <c r="CD63" s="2572">
        <f t="shared" si="67"/>
        <v>0</v>
      </c>
      <c r="CE63" s="2572">
        <f t="shared" si="67"/>
        <v>0</v>
      </c>
      <c r="CF63" s="2572">
        <f t="shared" si="67"/>
        <v>0</v>
      </c>
      <c r="CG63" s="2572">
        <f t="shared" si="67"/>
        <v>0</v>
      </c>
      <c r="CH63" s="2572">
        <f t="shared" si="67"/>
        <v>0</v>
      </c>
      <c r="CI63" s="2572">
        <f t="shared" si="67"/>
        <v>0</v>
      </c>
      <c r="CJ63" s="2572">
        <f t="shared" si="67"/>
        <v>0</v>
      </c>
      <c r="CK63" s="2572">
        <f t="shared" si="67"/>
        <v>0</v>
      </c>
      <c r="CL63" s="2572">
        <f t="shared" si="67"/>
        <v>0</v>
      </c>
      <c r="CM63" s="2572">
        <f t="shared" si="67"/>
        <v>0</v>
      </c>
      <c r="CN63" s="2572">
        <f t="shared" si="67"/>
        <v>0</v>
      </c>
      <c r="CO63" s="2572">
        <f t="shared" si="67"/>
        <v>0</v>
      </c>
      <c r="CP63" s="2572">
        <f t="shared" si="67"/>
        <v>0</v>
      </c>
      <c r="CQ63" s="2572">
        <f t="shared" si="68"/>
        <v>0</v>
      </c>
      <c r="CR63" s="2572">
        <f t="shared" si="68"/>
        <v>0</v>
      </c>
      <c r="CS63" s="2572">
        <f t="shared" si="68"/>
        <v>0</v>
      </c>
      <c r="CT63" s="2572">
        <f t="shared" si="68"/>
        <v>0</v>
      </c>
      <c r="CU63" s="2572">
        <f t="shared" si="68"/>
        <v>0</v>
      </c>
      <c r="CV63" s="2572">
        <f t="shared" si="68"/>
        <v>0</v>
      </c>
      <c r="CW63" s="2572">
        <f t="shared" si="68"/>
        <v>0</v>
      </c>
      <c r="CX63" s="2572">
        <f t="shared" si="68"/>
        <v>0</v>
      </c>
      <c r="CY63" s="2572">
        <f t="shared" si="68"/>
        <v>0</v>
      </c>
      <c r="CZ63" s="2572">
        <f t="shared" si="68"/>
        <v>0</v>
      </c>
      <c r="DA63" s="2572">
        <f t="shared" si="68"/>
        <v>0</v>
      </c>
      <c r="DB63" s="2572">
        <f t="shared" si="68"/>
        <v>0</v>
      </c>
      <c r="DC63" s="2572">
        <f t="shared" si="68"/>
        <v>0</v>
      </c>
      <c r="DD63" s="2574"/>
      <c r="DE63" s="2189"/>
      <c r="DF63" s="2574"/>
      <c r="DG63" s="2189"/>
    </row>
    <row r="64" spans="1:111" s="2196" customFormat="1" ht="15.6" outlineLevel="2" x14ac:dyDescent="0.3">
      <c r="A64" s="2189"/>
      <c r="B64" s="2575" t="s">
        <v>1582</v>
      </c>
      <c r="C64" s="1344"/>
      <c r="D64" s="1344"/>
      <c r="E64" s="1344"/>
      <c r="F64" s="2618"/>
      <c r="G64" s="2578">
        <v>0</v>
      </c>
      <c r="H64" s="2578">
        <v>0</v>
      </c>
      <c r="I64" s="2578">
        <v>0</v>
      </c>
      <c r="J64" s="2578">
        <v>0</v>
      </c>
      <c r="K64" s="2578">
        <v>0</v>
      </c>
      <c r="L64" s="2578">
        <v>0</v>
      </c>
      <c r="M64" s="2578">
        <v>0</v>
      </c>
      <c r="N64" s="2578">
        <v>0</v>
      </c>
      <c r="O64" s="2578">
        <v>0</v>
      </c>
      <c r="P64" s="2578">
        <v>0</v>
      </c>
      <c r="Q64" s="2578">
        <v>0</v>
      </c>
      <c r="R64" s="2578">
        <v>0</v>
      </c>
      <c r="S64" s="2578">
        <v>0</v>
      </c>
      <c r="T64" s="2578">
        <v>0</v>
      </c>
      <c r="U64" s="2578">
        <v>0</v>
      </c>
      <c r="V64" s="2578">
        <v>0</v>
      </c>
      <c r="W64" s="2578">
        <v>0</v>
      </c>
      <c r="X64" s="2578">
        <v>0</v>
      </c>
      <c r="Y64" s="2578">
        <v>0</v>
      </c>
      <c r="Z64" s="2578">
        <v>0</v>
      </c>
      <c r="AA64" s="2578">
        <v>0</v>
      </c>
      <c r="AB64" s="2578">
        <v>0</v>
      </c>
      <c r="AC64" s="2578">
        <v>0</v>
      </c>
      <c r="AD64" s="2578">
        <v>0</v>
      </c>
      <c r="AE64" s="2578">
        <v>0</v>
      </c>
      <c r="AF64" s="2578">
        <v>0</v>
      </c>
      <c r="AG64" s="2578">
        <v>0</v>
      </c>
      <c r="AH64" s="2578">
        <v>0</v>
      </c>
      <c r="AI64" s="2578">
        <v>0</v>
      </c>
      <c r="AJ64" s="2579"/>
      <c r="AK64" s="2580"/>
      <c r="AL64" s="2198"/>
      <c r="AM64" s="2579"/>
      <c r="AN64" s="2581"/>
      <c r="AO64" s="2189"/>
      <c r="AP64" s="2189"/>
      <c r="AQ64" s="2577">
        <v>0</v>
      </c>
      <c r="AR64" s="2578">
        <v>0</v>
      </c>
      <c r="AS64" s="2578">
        <v>0</v>
      </c>
      <c r="AT64" s="2578">
        <v>0</v>
      </c>
      <c r="AU64" s="2578">
        <v>0</v>
      </c>
      <c r="AV64" s="2578">
        <v>0</v>
      </c>
      <c r="AW64" s="2578">
        <v>0</v>
      </c>
      <c r="AX64" s="2578">
        <v>0</v>
      </c>
      <c r="AY64" s="2578">
        <v>0</v>
      </c>
      <c r="AZ64" s="2578">
        <v>0</v>
      </c>
      <c r="BA64" s="2578">
        <v>0</v>
      </c>
      <c r="BB64" s="2578">
        <v>0</v>
      </c>
      <c r="BC64" s="2578">
        <v>0</v>
      </c>
      <c r="BD64" s="2578">
        <v>0</v>
      </c>
      <c r="BE64" s="2578">
        <v>0</v>
      </c>
      <c r="BF64" s="2578">
        <v>0</v>
      </c>
      <c r="BG64" s="2578">
        <v>0</v>
      </c>
      <c r="BH64" s="2578">
        <v>0</v>
      </c>
      <c r="BI64" s="2578">
        <v>0</v>
      </c>
      <c r="BJ64" s="2578">
        <v>0</v>
      </c>
      <c r="BK64" s="2578">
        <v>0</v>
      </c>
      <c r="BL64" s="2578">
        <v>0</v>
      </c>
      <c r="BM64" s="2578">
        <v>0</v>
      </c>
      <c r="BN64" s="2578">
        <v>0</v>
      </c>
      <c r="BO64" s="2578">
        <v>0</v>
      </c>
      <c r="BP64" s="2578">
        <v>0</v>
      </c>
      <c r="BQ64" s="2578">
        <v>0</v>
      </c>
      <c r="BR64" s="2578">
        <v>0</v>
      </c>
      <c r="BS64" s="2578">
        <v>0</v>
      </c>
      <c r="BT64" s="2579"/>
      <c r="BU64" s="2198"/>
      <c r="BV64" s="2198"/>
      <c r="BW64" s="2579"/>
      <c r="BX64" s="2189"/>
      <c r="BY64" s="2189"/>
      <c r="BZ64" s="2189"/>
      <c r="CA64" s="2582">
        <f t="shared" si="67"/>
        <v>0</v>
      </c>
      <c r="CB64" s="2583">
        <f t="shared" si="67"/>
        <v>0</v>
      </c>
      <c r="CC64" s="2583">
        <f t="shared" si="67"/>
        <v>0</v>
      </c>
      <c r="CD64" s="2583">
        <f t="shared" si="67"/>
        <v>0</v>
      </c>
      <c r="CE64" s="2583">
        <f t="shared" si="67"/>
        <v>0</v>
      </c>
      <c r="CF64" s="2583">
        <f t="shared" si="67"/>
        <v>0</v>
      </c>
      <c r="CG64" s="2583">
        <f t="shared" si="67"/>
        <v>0</v>
      </c>
      <c r="CH64" s="2583">
        <f t="shared" si="67"/>
        <v>0</v>
      </c>
      <c r="CI64" s="2583">
        <f t="shared" si="67"/>
        <v>0</v>
      </c>
      <c r="CJ64" s="2583">
        <f t="shared" si="67"/>
        <v>0</v>
      </c>
      <c r="CK64" s="2583">
        <f t="shared" si="67"/>
        <v>0</v>
      </c>
      <c r="CL64" s="2583">
        <f t="shared" si="67"/>
        <v>0</v>
      </c>
      <c r="CM64" s="2583">
        <f t="shared" si="67"/>
        <v>0</v>
      </c>
      <c r="CN64" s="2583">
        <f t="shared" si="67"/>
        <v>0</v>
      </c>
      <c r="CO64" s="2583">
        <f t="shared" si="67"/>
        <v>0</v>
      </c>
      <c r="CP64" s="2583">
        <f t="shared" si="67"/>
        <v>0</v>
      </c>
      <c r="CQ64" s="2583">
        <f t="shared" si="68"/>
        <v>0</v>
      </c>
      <c r="CR64" s="2583">
        <f t="shared" si="68"/>
        <v>0</v>
      </c>
      <c r="CS64" s="2583">
        <f t="shared" si="68"/>
        <v>0</v>
      </c>
      <c r="CT64" s="2583">
        <f t="shared" si="68"/>
        <v>0</v>
      </c>
      <c r="CU64" s="2583">
        <f t="shared" si="68"/>
        <v>0</v>
      </c>
      <c r="CV64" s="2583">
        <f t="shared" si="68"/>
        <v>0</v>
      </c>
      <c r="CW64" s="2583">
        <f t="shared" si="68"/>
        <v>0</v>
      </c>
      <c r="CX64" s="2583">
        <f t="shared" si="68"/>
        <v>0</v>
      </c>
      <c r="CY64" s="2583">
        <f t="shared" si="68"/>
        <v>0</v>
      </c>
      <c r="CZ64" s="2583">
        <f t="shared" si="68"/>
        <v>0</v>
      </c>
      <c r="DA64" s="2583">
        <f t="shared" si="68"/>
        <v>0</v>
      </c>
      <c r="DB64" s="2583">
        <f t="shared" si="68"/>
        <v>0</v>
      </c>
      <c r="DC64" s="2583">
        <f t="shared" si="68"/>
        <v>0</v>
      </c>
      <c r="DD64" s="2579"/>
      <c r="DE64" s="2189"/>
      <c r="DF64" s="2579"/>
      <c r="DG64" s="2189"/>
    </row>
    <row r="65" spans="1:111" s="2196" customFormat="1" ht="15.6" outlineLevel="2" x14ac:dyDescent="0.3">
      <c r="A65" s="2189"/>
      <c r="B65" s="2575" t="s">
        <v>1583</v>
      </c>
      <c r="C65" s="1344"/>
      <c r="D65" s="1344"/>
      <c r="E65" s="1344"/>
      <c r="F65" s="2618"/>
      <c r="G65" s="2578">
        <v>0</v>
      </c>
      <c r="H65" s="2578">
        <v>0</v>
      </c>
      <c r="I65" s="2578">
        <v>0</v>
      </c>
      <c r="J65" s="2578">
        <v>0</v>
      </c>
      <c r="K65" s="2578">
        <v>0</v>
      </c>
      <c r="L65" s="2578">
        <v>0</v>
      </c>
      <c r="M65" s="2578">
        <v>0</v>
      </c>
      <c r="N65" s="2578">
        <v>0</v>
      </c>
      <c r="O65" s="2578">
        <v>0</v>
      </c>
      <c r="P65" s="2578">
        <v>0</v>
      </c>
      <c r="Q65" s="2578">
        <v>0</v>
      </c>
      <c r="R65" s="2578">
        <v>0</v>
      </c>
      <c r="S65" s="2578">
        <v>0</v>
      </c>
      <c r="T65" s="2578">
        <v>0</v>
      </c>
      <c r="U65" s="2578">
        <v>0</v>
      </c>
      <c r="V65" s="2578">
        <v>0</v>
      </c>
      <c r="W65" s="2578">
        <v>0</v>
      </c>
      <c r="X65" s="2578">
        <v>0</v>
      </c>
      <c r="Y65" s="2578">
        <v>0</v>
      </c>
      <c r="Z65" s="2578">
        <v>0</v>
      </c>
      <c r="AA65" s="2578">
        <v>0</v>
      </c>
      <c r="AB65" s="2578">
        <v>0</v>
      </c>
      <c r="AC65" s="2578">
        <v>0</v>
      </c>
      <c r="AD65" s="2578">
        <v>0</v>
      </c>
      <c r="AE65" s="2578">
        <v>0</v>
      </c>
      <c r="AF65" s="2578">
        <v>0</v>
      </c>
      <c r="AG65" s="2578">
        <v>0</v>
      </c>
      <c r="AH65" s="2578">
        <v>0</v>
      </c>
      <c r="AI65" s="2578">
        <v>0</v>
      </c>
      <c r="AJ65" s="2579"/>
      <c r="AK65" s="2580"/>
      <c r="AL65" s="2198"/>
      <c r="AM65" s="2579"/>
      <c r="AN65" s="2581"/>
      <c r="AO65" s="2189"/>
      <c r="AP65" s="2189"/>
      <c r="AQ65" s="2577">
        <v>0</v>
      </c>
      <c r="AR65" s="2578">
        <v>0</v>
      </c>
      <c r="AS65" s="2578">
        <v>0</v>
      </c>
      <c r="AT65" s="2578">
        <v>0</v>
      </c>
      <c r="AU65" s="2578">
        <v>0</v>
      </c>
      <c r="AV65" s="2578">
        <v>0</v>
      </c>
      <c r="AW65" s="2578">
        <v>0</v>
      </c>
      <c r="AX65" s="2578">
        <v>0</v>
      </c>
      <c r="AY65" s="2578">
        <v>0</v>
      </c>
      <c r="AZ65" s="2578">
        <v>0</v>
      </c>
      <c r="BA65" s="2578">
        <v>0</v>
      </c>
      <c r="BB65" s="2578">
        <v>0</v>
      </c>
      <c r="BC65" s="2578">
        <v>0</v>
      </c>
      <c r="BD65" s="2578">
        <v>0</v>
      </c>
      <c r="BE65" s="2578">
        <v>0</v>
      </c>
      <c r="BF65" s="2578">
        <v>0</v>
      </c>
      <c r="BG65" s="2578">
        <v>0</v>
      </c>
      <c r="BH65" s="2578">
        <v>0</v>
      </c>
      <c r="BI65" s="2578">
        <v>0</v>
      </c>
      <c r="BJ65" s="2578">
        <v>0</v>
      </c>
      <c r="BK65" s="2578">
        <v>0</v>
      </c>
      <c r="BL65" s="2578">
        <v>0</v>
      </c>
      <c r="BM65" s="2578">
        <v>0</v>
      </c>
      <c r="BN65" s="2578">
        <v>0</v>
      </c>
      <c r="BO65" s="2578">
        <v>0</v>
      </c>
      <c r="BP65" s="2578">
        <v>0</v>
      </c>
      <c r="BQ65" s="2578">
        <v>0</v>
      </c>
      <c r="BR65" s="2578">
        <v>0</v>
      </c>
      <c r="BS65" s="2578">
        <v>0</v>
      </c>
      <c r="BT65" s="2579"/>
      <c r="BU65" s="2198"/>
      <c r="BV65" s="2198"/>
      <c r="BW65" s="2579"/>
      <c r="BX65" s="2189"/>
      <c r="BY65" s="2189"/>
      <c r="BZ65" s="2189"/>
      <c r="CA65" s="2582">
        <f t="shared" si="67"/>
        <v>0</v>
      </c>
      <c r="CB65" s="2583">
        <f t="shared" si="67"/>
        <v>0</v>
      </c>
      <c r="CC65" s="2583">
        <f t="shared" si="67"/>
        <v>0</v>
      </c>
      <c r="CD65" s="2583">
        <f t="shared" si="67"/>
        <v>0</v>
      </c>
      <c r="CE65" s="2583">
        <f t="shared" si="67"/>
        <v>0</v>
      </c>
      <c r="CF65" s="2583">
        <f t="shared" si="67"/>
        <v>0</v>
      </c>
      <c r="CG65" s="2583">
        <f t="shared" si="67"/>
        <v>0</v>
      </c>
      <c r="CH65" s="2583">
        <f t="shared" si="67"/>
        <v>0</v>
      </c>
      <c r="CI65" s="2583">
        <f t="shared" si="67"/>
        <v>0</v>
      </c>
      <c r="CJ65" s="2583">
        <f t="shared" si="67"/>
        <v>0</v>
      </c>
      <c r="CK65" s="2583">
        <f t="shared" si="67"/>
        <v>0</v>
      </c>
      <c r="CL65" s="2583">
        <f t="shared" si="67"/>
        <v>0</v>
      </c>
      <c r="CM65" s="2583">
        <f t="shared" si="67"/>
        <v>0</v>
      </c>
      <c r="CN65" s="2583">
        <f t="shared" si="67"/>
        <v>0</v>
      </c>
      <c r="CO65" s="2583">
        <f t="shared" si="67"/>
        <v>0</v>
      </c>
      <c r="CP65" s="2583">
        <f t="shared" si="67"/>
        <v>0</v>
      </c>
      <c r="CQ65" s="2583">
        <f t="shared" si="68"/>
        <v>0</v>
      </c>
      <c r="CR65" s="2583">
        <f t="shared" si="68"/>
        <v>0</v>
      </c>
      <c r="CS65" s="2583">
        <f t="shared" si="68"/>
        <v>0</v>
      </c>
      <c r="CT65" s="2583">
        <f t="shared" si="68"/>
        <v>0</v>
      </c>
      <c r="CU65" s="2583">
        <f t="shared" si="68"/>
        <v>0</v>
      </c>
      <c r="CV65" s="2583">
        <f t="shared" si="68"/>
        <v>0</v>
      </c>
      <c r="CW65" s="2583">
        <f t="shared" si="68"/>
        <v>0</v>
      </c>
      <c r="CX65" s="2583">
        <f t="shared" si="68"/>
        <v>0</v>
      </c>
      <c r="CY65" s="2583">
        <f t="shared" si="68"/>
        <v>0</v>
      </c>
      <c r="CZ65" s="2583">
        <f t="shared" si="68"/>
        <v>0</v>
      </c>
      <c r="DA65" s="2583">
        <f t="shared" si="68"/>
        <v>0</v>
      </c>
      <c r="DB65" s="2583">
        <f t="shared" si="68"/>
        <v>0</v>
      </c>
      <c r="DC65" s="2583">
        <f t="shared" si="68"/>
        <v>0</v>
      </c>
      <c r="DD65" s="2579"/>
      <c r="DE65" s="2189"/>
      <c r="DF65" s="2579"/>
      <c r="DG65" s="2189"/>
    </row>
    <row r="66" spans="1:111" s="2196" customFormat="1" ht="18" outlineLevel="2" x14ac:dyDescent="0.35">
      <c r="A66" s="2189"/>
      <c r="B66" s="2561" t="s">
        <v>1584</v>
      </c>
      <c r="C66" s="2562"/>
      <c r="D66" s="2562"/>
      <c r="E66" s="2562"/>
      <c r="F66" s="2619"/>
      <c r="G66" s="2568">
        <f>G52*(G53-G64)</f>
        <v>0</v>
      </c>
      <c r="H66" s="2568">
        <f t="shared" ref="H66:W66" si="86">H52*(H53-H64)</f>
        <v>0</v>
      </c>
      <c r="I66" s="2568">
        <f t="shared" si="86"/>
        <v>0</v>
      </c>
      <c r="J66" s="2568">
        <f t="shared" si="86"/>
        <v>0</v>
      </c>
      <c r="K66" s="2568">
        <f t="shared" si="86"/>
        <v>0</v>
      </c>
      <c r="L66" s="2568">
        <f t="shared" si="86"/>
        <v>0</v>
      </c>
      <c r="M66" s="2568">
        <f t="shared" si="86"/>
        <v>0</v>
      </c>
      <c r="N66" s="2568">
        <f t="shared" si="86"/>
        <v>0</v>
      </c>
      <c r="O66" s="2568">
        <f t="shared" si="86"/>
        <v>0</v>
      </c>
      <c r="P66" s="2568">
        <f t="shared" si="86"/>
        <v>0</v>
      </c>
      <c r="Q66" s="2568">
        <f t="shared" si="86"/>
        <v>0</v>
      </c>
      <c r="R66" s="2568">
        <f t="shared" si="86"/>
        <v>0</v>
      </c>
      <c r="S66" s="2568">
        <f t="shared" si="86"/>
        <v>0</v>
      </c>
      <c r="T66" s="2568">
        <f t="shared" si="86"/>
        <v>0</v>
      </c>
      <c r="U66" s="2568">
        <f t="shared" si="86"/>
        <v>0</v>
      </c>
      <c r="V66" s="2568">
        <f t="shared" si="86"/>
        <v>0</v>
      </c>
      <c r="W66" s="2568">
        <f t="shared" si="86"/>
        <v>0</v>
      </c>
      <c r="X66" s="2568">
        <f>X52*(X53-X64)</f>
        <v>0</v>
      </c>
      <c r="Y66" s="2568">
        <f t="shared" ref="Y66:AI66" si="87">Y52*(Y53-Y64)</f>
        <v>0</v>
      </c>
      <c r="Z66" s="2568">
        <f t="shared" si="87"/>
        <v>0</v>
      </c>
      <c r="AA66" s="2568">
        <f t="shared" si="87"/>
        <v>0</v>
      </c>
      <c r="AB66" s="2568">
        <f t="shared" si="87"/>
        <v>0</v>
      </c>
      <c r="AC66" s="2568">
        <f t="shared" si="87"/>
        <v>0</v>
      </c>
      <c r="AD66" s="2568">
        <f t="shared" si="87"/>
        <v>0</v>
      </c>
      <c r="AE66" s="2568">
        <f t="shared" si="87"/>
        <v>0</v>
      </c>
      <c r="AF66" s="2568">
        <f t="shared" si="87"/>
        <v>0</v>
      </c>
      <c r="AG66" s="2568">
        <f t="shared" si="87"/>
        <v>0</v>
      </c>
      <c r="AH66" s="2568">
        <f t="shared" si="87"/>
        <v>0</v>
      </c>
      <c r="AI66" s="2568">
        <f t="shared" si="87"/>
        <v>0</v>
      </c>
      <c r="AJ66" s="2585">
        <f>SUMIF($G$115:$AI$115,"1",$G66:$AI66)</f>
        <v>0</v>
      </c>
      <c r="AK66" s="2542"/>
      <c r="AL66" s="1082"/>
      <c r="AM66" s="2585">
        <f>SUMIF($G$115:$AI$115,"1",$G66:$AI66)+SUMIF($G$115:$AI$115,"2",$G66:$AI66)</f>
        <v>0</v>
      </c>
      <c r="AN66" s="2529"/>
      <c r="AO66" s="1070"/>
      <c r="AP66" s="1070"/>
      <c r="AQ66" s="2567">
        <f t="shared" ref="AQ66:BG66" si="88">AQ52*(AQ53-AQ64)</f>
        <v>0</v>
      </c>
      <c r="AR66" s="2568">
        <f t="shared" si="88"/>
        <v>0</v>
      </c>
      <c r="AS66" s="2568">
        <f t="shared" si="88"/>
        <v>0</v>
      </c>
      <c r="AT66" s="2568">
        <f t="shared" si="88"/>
        <v>0</v>
      </c>
      <c r="AU66" s="2568">
        <f t="shared" si="88"/>
        <v>0</v>
      </c>
      <c r="AV66" s="2568">
        <f t="shared" si="88"/>
        <v>0</v>
      </c>
      <c r="AW66" s="2568">
        <f t="shared" si="88"/>
        <v>0</v>
      </c>
      <c r="AX66" s="2568">
        <f t="shared" si="88"/>
        <v>0</v>
      </c>
      <c r="AY66" s="2568">
        <f t="shared" si="88"/>
        <v>0</v>
      </c>
      <c r="AZ66" s="2568">
        <f t="shared" si="88"/>
        <v>0</v>
      </c>
      <c r="BA66" s="2568">
        <f t="shared" si="88"/>
        <v>0</v>
      </c>
      <c r="BB66" s="2568">
        <f t="shared" si="88"/>
        <v>0</v>
      </c>
      <c r="BC66" s="2568">
        <f t="shared" si="88"/>
        <v>0</v>
      </c>
      <c r="BD66" s="2568">
        <f t="shared" si="88"/>
        <v>0</v>
      </c>
      <c r="BE66" s="2568">
        <f t="shared" si="88"/>
        <v>0</v>
      </c>
      <c r="BF66" s="2568">
        <f t="shared" si="88"/>
        <v>0</v>
      </c>
      <c r="BG66" s="2568">
        <f t="shared" si="88"/>
        <v>0</v>
      </c>
      <c r="BH66" s="2568">
        <f>BH52*(BH53-BH64)</f>
        <v>0</v>
      </c>
      <c r="BI66" s="2568">
        <f t="shared" ref="BI66:BR66" si="89">BI52*(BI53-BI64)</f>
        <v>0</v>
      </c>
      <c r="BJ66" s="2568">
        <f t="shared" si="89"/>
        <v>0</v>
      </c>
      <c r="BK66" s="2568">
        <f t="shared" si="89"/>
        <v>0</v>
      </c>
      <c r="BL66" s="2568">
        <f t="shared" si="89"/>
        <v>0</v>
      </c>
      <c r="BM66" s="2568">
        <f t="shared" si="89"/>
        <v>0</v>
      </c>
      <c r="BN66" s="2568">
        <f t="shared" si="89"/>
        <v>0</v>
      </c>
      <c r="BO66" s="2568">
        <f t="shared" si="89"/>
        <v>0</v>
      </c>
      <c r="BP66" s="2568">
        <f t="shared" si="89"/>
        <v>0</v>
      </c>
      <c r="BQ66" s="2568">
        <f t="shared" si="89"/>
        <v>0</v>
      </c>
      <c r="BR66" s="2568">
        <f t="shared" si="89"/>
        <v>0</v>
      </c>
      <c r="BS66" s="2568">
        <f>BS52*(BS53-BS64)</f>
        <v>0</v>
      </c>
      <c r="BT66" s="2585">
        <f>SUMIF($AQ$115:$BS$115,"1",$AQ66:$BS66)</f>
        <v>0</v>
      </c>
      <c r="BU66" s="2198"/>
      <c r="BV66" s="2198"/>
      <c r="BW66" s="2585">
        <f>SUMIF($AQ$115:$BS$115,"1",$AQ66:$BS66)+SUMIF($AQ$115:$BS$115,"2",$AQ66:$BS66)</f>
        <v>0</v>
      </c>
      <c r="BX66" s="2189"/>
      <c r="BY66" s="2189"/>
      <c r="BZ66" s="2189"/>
      <c r="CA66" s="2567">
        <f t="shared" si="67"/>
        <v>0</v>
      </c>
      <c r="CB66" s="2568">
        <f t="shared" si="67"/>
        <v>0</v>
      </c>
      <c r="CC66" s="2568">
        <f t="shared" si="67"/>
        <v>0</v>
      </c>
      <c r="CD66" s="2568">
        <f t="shared" si="67"/>
        <v>0</v>
      </c>
      <c r="CE66" s="2568">
        <f t="shared" si="67"/>
        <v>0</v>
      </c>
      <c r="CF66" s="2568">
        <f t="shared" si="67"/>
        <v>0</v>
      </c>
      <c r="CG66" s="2568">
        <f t="shared" si="67"/>
        <v>0</v>
      </c>
      <c r="CH66" s="2568">
        <f t="shared" si="67"/>
        <v>0</v>
      </c>
      <c r="CI66" s="2568">
        <f t="shared" si="67"/>
        <v>0</v>
      </c>
      <c r="CJ66" s="2568">
        <f t="shared" si="67"/>
        <v>0</v>
      </c>
      <c r="CK66" s="2568">
        <f t="shared" si="67"/>
        <v>0</v>
      </c>
      <c r="CL66" s="2568">
        <f t="shared" si="67"/>
        <v>0</v>
      </c>
      <c r="CM66" s="2568">
        <f t="shared" si="67"/>
        <v>0</v>
      </c>
      <c r="CN66" s="2568">
        <f t="shared" si="67"/>
        <v>0</v>
      </c>
      <c r="CO66" s="2568">
        <f t="shared" si="67"/>
        <v>0</v>
      </c>
      <c r="CP66" s="2568">
        <f t="shared" si="67"/>
        <v>0</v>
      </c>
      <c r="CQ66" s="2568">
        <f t="shared" si="68"/>
        <v>0</v>
      </c>
      <c r="CR66" s="2568">
        <f t="shared" si="68"/>
        <v>0</v>
      </c>
      <c r="CS66" s="2568">
        <f t="shared" si="68"/>
        <v>0</v>
      </c>
      <c r="CT66" s="2568">
        <f t="shared" si="68"/>
        <v>0</v>
      </c>
      <c r="CU66" s="2568">
        <f t="shared" si="68"/>
        <v>0</v>
      </c>
      <c r="CV66" s="2568">
        <f t="shared" si="68"/>
        <v>0</v>
      </c>
      <c r="CW66" s="2568">
        <f t="shared" si="68"/>
        <v>0</v>
      </c>
      <c r="CX66" s="2568">
        <f t="shared" si="68"/>
        <v>0</v>
      </c>
      <c r="CY66" s="2568">
        <f t="shared" si="68"/>
        <v>0</v>
      </c>
      <c r="CZ66" s="2568">
        <f t="shared" si="68"/>
        <v>0</v>
      </c>
      <c r="DA66" s="2568">
        <f t="shared" si="68"/>
        <v>0</v>
      </c>
      <c r="DB66" s="2568">
        <f t="shared" si="68"/>
        <v>0</v>
      </c>
      <c r="DC66" s="2568">
        <f t="shared" si="68"/>
        <v>0</v>
      </c>
      <c r="DD66" s="2585">
        <f>AJ66-BT66</f>
        <v>0</v>
      </c>
      <c r="DE66" s="2189"/>
      <c r="DF66" s="2585">
        <f>AM66-BW66</f>
        <v>0</v>
      </c>
      <c r="DG66" s="2189"/>
    </row>
    <row r="67" spans="1:111" s="2196" customFormat="1" ht="13.8" outlineLevel="2" x14ac:dyDescent="0.3">
      <c r="A67" s="2189"/>
      <c r="B67" s="2586" t="s">
        <v>1585</v>
      </c>
      <c r="C67" s="2587"/>
      <c r="D67" s="2587"/>
      <c r="E67" s="2587"/>
      <c r="F67" s="2620"/>
      <c r="G67" s="2590">
        <f>IFERROR(G66/G54,0)</f>
        <v>0</v>
      </c>
      <c r="H67" s="2590">
        <f t="shared" ref="H67:W67" si="90">IFERROR(H66/H54,0)</f>
        <v>0</v>
      </c>
      <c r="I67" s="2590">
        <f t="shared" si="90"/>
        <v>0</v>
      </c>
      <c r="J67" s="2590">
        <f t="shared" si="90"/>
        <v>0</v>
      </c>
      <c r="K67" s="2590">
        <f t="shared" si="90"/>
        <v>0</v>
      </c>
      <c r="L67" s="2590">
        <f t="shared" si="90"/>
        <v>0</v>
      </c>
      <c r="M67" s="2590">
        <f t="shared" si="90"/>
        <v>0</v>
      </c>
      <c r="N67" s="2590">
        <f t="shared" si="90"/>
        <v>0</v>
      </c>
      <c r="O67" s="2590">
        <f t="shared" si="90"/>
        <v>0</v>
      </c>
      <c r="P67" s="2590">
        <f t="shared" si="90"/>
        <v>0</v>
      </c>
      <c r="Q67" s="2590">
        <f t="shared" si="90"/>
        <v>0</v>
      </c>
      <c r="R67" s="2590">
        <f t="shared" si="90"/>
        <v>0</v>
      </c>
      <c r="S67" s="2590">
        <f t="shared" si="90"/>
        <v>0</v>
      </c>
      <c r="T67" s="2590">
        <f t="shared" si="90"/>
        <v>0</v>
      </c>
      <c r="U67" s="2590">
        <f t="shared" si="90"/>
        <v>0</v>
      </c>
      <c r="V67" s="2590">
        <f t="shared" si="90"/>
        <v>0</v>
      </c>
      <c r="W67" s="2590">
        <f t="shared" si="90"/>
        <v>0</v>
      </c>
      <c r="X67" s="2590">
        <f>IFERROR(X66/X54,0)</f>
        <v>0</v>
      </c>
      <c r="Y67" s="2590">
        <f t="shared" ref="Y67:AI67" si="91">IFERROR(Y66/Y54,0)</f>
        <v>0</v>
      </c>
      <c r="Z67" s="2590">
        <f t="shared" si="91"/>
        <v>0</v>
      </c>
      <c r="AA67" s="2590">
        <f t="shared" si="91"/>
        <v>0</v>
      </c>
      <c r="AB67" s="2590">
        <f t="shared" si="91"/>
        <v>0</v>
      </c>
      <c r="AC67" s="2590">
        <f t="shared" si="91"/>
        <v>0</v>
      </c>
      <c r="AD67" s="2590">
        <f t="shared" si="91"/>
        <v>0</v>
      </c>
      <c r="AE67" s="2590">
        <f t="shared" si="91"/>
        <v>0</v>
      </c>
      <c r="AF67" s="2590">
        <f t="shared" si="91"/>
        <v>0</v>
      </c>
      <c r="AG67" s="2590">
        <f t="shared" si="91"/>
        <v>0</v>
      </c>
      <c r="AH67" s="2590">
        <f t="shared" si="91"/>
        <v>0</v>
      </c>
      <c r="AI67" s="2590">
        <f t="shared" si="91"/>
        <v>0</v>
      </c>
      <c r="AJ67" s="2591">
        <f>IFERROR(AJ66/AJ54,0)</f>
        <v>0</v>
      </c>
      <c r="AK67" s="2592"/>
      <c r="AL67" s="2198"/>
      <c r="AM67" s="2591">
        <f>IFERROR(AM66/AM54,0)</f>
        <v>0</v>
      </c>
      <c r="AN67" s="2590"/>
      <c r="AO67" s="2189"/>
      <c r="AP67" s="2189"/>
      <c r="AQ67" s="2589">
        <f t="shared" ref="AQ67:BT67" si="92">IFERROR(AQ66/AQ54,0)</f>
        <v>0</v>
      </c>
      <c r="AR67" s="2590">
        <f t="shared" si="92"/>
        <v>0</v>
      </c>
      <c r="AS67" s="2590">
        <f t="shared" si="92"/>
        <v>0</v>
      </c>
      <c r="AT67" s="2590">
        <f t="shared" si="92"/>
        <v>0</v>
      </c>
      <c r="AU67" s="2590">
        <f t="shared" si="92"/>
        <v>0</v>
      </c>
      <c r="AV67" s="2590">
        <f t="shared" si="92"/>
        <v>0</v>
      </c>
      <c r="AW67" s="2590">
        <f t="shared" si="92"/>
        <v>0</v>
      </c>
      <c r="AX67" s="2590">
        <f t="shared" si="92"/>
        <v>0</v>
      </c>
      <c r="AY67" s="2590">
        <f t="shared" si="92"/>
        <v>0</v>
      </c>
      <c r="AZ67" s="2590">
        <f t="shared" si="92"/>
        <v>0</v>
      </c>
      <c r="BA67" s="2590">
        <f t="shared" si="92"/>
        <v>0</v>
      </c>
      <c r="BB67" s="2590">
        <f t="shared" si="92"/>
        <v>0</v>
      </c>
      <c r="BC67" s="2590">
        <f t="shared" si="92"/>
        <v>0</v>
      </c>
      <c r="BD67" s="2590">
        <f t="shared" si="92"/>
        <v>0</v>
      </c>
      <c r="BE67" s="2590">
        <f t="shared" si="92"/>
        <v>0</v>
      </c>
      <c r="BF67" s="2590">
        <f t="shared" si="92"/>
        <v>0</v>
      </c>
      <c r="BG67" s="2590">
        <f t="shared" si="92"/>
        <v>0</v>
      </c>
      <c r="BH67" s="2590">
        <f t="shared" si="92"/>
        <v>0</v>
      </c>
      <c r="BI67" s="2590">
        <f t="shared" si="92"/>
        <v>0</v>
      </c>
      <c r="BJ67" s="2590">
        <f t="shared" si="92"/>
        <v>0</v>
      </c>
      <c r="BK67" s="2590">
        <f t="shared" si="92"/>
        <v>0</v>
      </c>
      <c r="BL67" s="2590">
        <f t="shared" si="92"/>
        <v>0</v>
      </c>
      <c r="BM67" s="2590">
        <f t="shared" si="92"/>
        <v>0</v>
      </c>
      <c r="BN67" s="2590">
        <f t="shared" si="92"/>
        <v>0</v>
      </c>
      <c r="BO67" s="2590">
        <f t="shared" si="92"/>
        <v>0</v>
      </c>
      <c r="BP67" s="2590">
        <f t="shared" si="92"/>
        <v>0</v>
      </c>
      <c r="BQ67" s="2590">
        <f t="shared" si="92"/>
        <v>0</v>
      </c>
      <c r="BR67" s="2590">
        <f t="shared" si="92"/>
        <v>0</v>
      </c>
      <c r="BS67" s="2590">
        <f t="shared" si="92"/>
        <v>0</v>
      </c>
      <c r="BT67" s="2591">
        <f t="shared" si="92"/>
        <v>0</v>
      </c>
      <c r="BU67" s="2198"/>
      <c r="BV67" s="2198"/>
      <c r="BW67" s="2591">
        <f t="shared" ref="BW67" si="93">IFERROR(BW66/BW54,0)</f>
        <v>0</v>
      </c>
      <c r="BX67" s="2189"/>
      <c r="BY67" s="2189"/>
      <c r="BZ67" s="2189"/>
      <c r="CA67" s="2589">
        <f t="shared" si="67"/>
        <v>0</v>
      </c>
      <c r="CB67" s="2590">
        <f t="shared" si="67"/>
        <v>0</v>
      </c>
      <c r="CC67" s="2590">
        <f t="shared" si="67"/>
        <v>0</v>
      </c>
      <c r="CD67" s="2590">
        <f t="shared" si="67"/>
        <v>0</v>
      </c>
      <c r="CE67" s="2590">
        <f t="shared" si="67"/>
        <v>0</v>
      </c>
      <c r="CF67" s="2590">
        <f t="shared" si="67"/>
        <v>0</v>
      </c>
      <c r="CG67" s="2590">
        <f t="shared" si="67"/>
        <v>0</v>
      </c>
      <c r="CH67" s="2590">
        <f t="shared" si="67"/>
        <v>0</v>
      </c>
      <c r="CI67" s="2590">
        <f t="shared" si="67"/>
        <v>0</v>
      </c>
      <c r="CJ67" s="2590">
        <f t="shared" si="67"/>
        <v>0</v>
      </c>
      <c r="CK67" s="2590">
        <f t="shared" si="67"/>
        <v>0</v>
      </c>
      <c r="CL67" s="2590">
        <f t="shared" si="67"/>
        <v>0</v>
      </c>
      <c r="CM67" s="2590">
        <f t="shared" si="67"/>
        <v>0</v>
      </c>
      <c r="CN67" s="2590">
        <f t="shared" si="67"/>
        <v>0</v>
      </c>
      <c r="CO67" s="2590">
        <f t="shared" si="67"/>
        <v>0</v>
      </c>
      <c r="CP67" s="2590">
        <f t="shared" ref="CP67:CP69" si="94">V67-BF67</f>
        <v>0</v>
      </c>
      <c r="CQ67" s="2590">
        <f t="shared" si="68"/>
        <v>0</v>
      </c>
      <c r="CR67" s="2590">
        <f t="shared" si="68"/>
        <v>0</v>
      </c>
      <c r="CS67" s="2590">
        <f t="shared" si="68"/>
        <v>0</v>
      </c>
      <c r="CT67" s="2590">
        <f t="shared" si="68"/>
        <v>0</v>
      </c>
      <c r="CU67" s="2590">
        <f t="shared" si="68"/>
        <v>0</v>
      </c>
      <c r="CV67" s="2590">
        <f t="shared" si="68"/>
        <v>0</v>
      </c>
      <c r="CW67" s="2590">
        <f t="shared" si="68"/>
        <v>0</v>
      </c>
      <c r="CX67" s="2590">
        <f t="shared" si="68"/>
        <v>0</v>
      </c>
      <c r="CY67" s="2590">
        <f t="shared" si="68"/>
        <v>0</v>
      </c>
      <c r="CZ67" s="2590">
        <f t="shared" si="68"/>
        <v>0</v>
      </c>
      <c r="DA67" s="2590">
        <f t="shared" si="68"/>
        <v>0</v>
      </c>
      <c r="DB67" s="2590">
        <f t="shared" si="68"/>
        <v>0</v>
      </c>
      <c r="DC67" s="2590">
        <f t="shared" si="68"/>
        <v>0</v>
      </c>
      <c r="DD67" s="2591">
        <f>AJ67-BT67</f>
        <v>0</v>
      </c>
      <c r="DE67" s="2189"/>
      <c r="DF67" s="2591">
        <f t="shared" ref="DF67:DF69" si="95">AM67-BW67</f>
        <v>0</v>
      </c>
      <c r="DG67" s="2189"/>
    </row>
    <row r="68" spans="1:111" s="2196" customFormat="1" ht="13.8" outlineLevel="2" x14ac:dyDescent="0.3">
      <c r="A68" s="2189"/>
      <c r="B68" s="2586" t="s">
        <v>1586</v>
      </c>
      <c r="C68" s="2587"/>
      <c r="D68" s="2587"/>
      <c r="E68" s="2587"/>
      <c r="F68" s="2621"/>
      <c r="G68" s="2599">
        <v>0</v>
      </c>
      <c r="H68" s="2599">
        <v>0</v>
      </c>
      <c r="I68" s="2599">
        <v>0</v>
      </c>
      <c r="J68" s="2599">
        <v>0</v>
      </c>
      <c r="K68" s="2599">
        <v>0</v>
      </c>
      <c r="L68" s="2599">
        <v>0</v>
      </c>
      <c r="M68" s="2599">
        <v>0</v>
      </c>
      <c r="N68" s="2599">
        <v>0</v>
      </c>
      <c r="O68" s="2599">
        <v>0</v>
      </c>
      <c r="P68" s="2599">
        <v>0</v>
      </c>
      <c r="Q68" s="2599">
        <v>0</v>
      </c>
      <c r="R68" s="2599">
        <v>0</v>
      </c>
      <c r="S68" s="2599">
        <v>0</v>
      </c>
      <c r="T68" s="2599">
        <v>0</v>
      </c>
      <c r="U68" s="2599">
        <v>0</v>
      </c>
      <c r="V68" s="2599">
        <v>0</v>
      </c>
      <c r="W68" s="2599">
        <v>0</v>
      </c>
      <c r="X68" s="2599">
        <v>0</v>
      </c>
      <c r="Y68" s="2599">
        <v>0</v>
      </c>
      <c r="Z68" s="2599">
        <v>0</v>
      </c>
      <c r="AA68" s="2599">
        <v>0</v>
      </c>
      <c r="AB68" s="2599">
        <v>0</v>
      </c>
      <c r="AC68" s="2599">
        <v>0</v>
      </c>
      <c r="AD68" s="2599">
        <v>0</v>
      </c>
      <c r="AE68" s="2599">
        <v>0</v>
      </c>
      <c r="AF68" s="2599">
        <v>0</v>
      </c>
      <c r="AG68" s="2599">
        <v>0</v>
      </c>
      <c r="AH68" s="2599">
        <v>0</v>
      </c>
      <c r="AI68" s="2599">
        <v>0</v>
      </c>
      <c r="AJ68" s="2596"/>
      <c r="AK68" s="2593"/>
      <c r="AL68" s="2198"/>
      <c r="AM68" s="2596"/>
      <c r="AN68" s="2597"/>
      <c r="AO68" s="2189"/>
      <c r="AP68" s="2189"/>
      <c r="AQ68" s="2598">
        <v>0</v>
      </c>
      <c r="AR68" s="2599">
        <v>0</v>
      </c>
      <c r="AS68" s="2599">
        <v>0</v>
      </c>
      <c r="AT68" s="2599">
        <v>0</v>
      </c>
      <c r="AU68" s="2599">
        <v>0</v>
      </c>
      <c r="AV68" s="2599">
        <v>0</v>
      </c>
      <c r="AW68" s="2599">
        <v>0</v>
      </c>
      <c r="AX68" s="2599">
        <v>0</v>
      </c>
      <c r="AY68" s="2599">
        <v>0</v>
      </c>
      <c r="AZ68" s="2599">
        <v>0</v>
      </c>
      <c r="BA68" s="2599">
        <v>0</v>
      </c>
      <c r="BB68" s="2599">
        <v>0</v>
      </c>
      <c r="BC68" s="2599">
        <v>0</v>
      </c>
      <c r="BD68" s="2599">
        <v>0</v>
      </c>
      <c r="BE68" s="2599">
        <v>0</v>
      </c>
      <c r="BF68" s="2599">
        <v>0</v>
      </c>
      <c r="BG68" s="2599">
        <v>0</v>
      </c>
      <c r="BH68" s="2599">
        <v>0</v>
      </c>
      <c r="BI68" s="2599">
        <v>0</v>
      </c>
      <c r="BJ68" s="2599">
        <v>0</v>
      </c>
      <c r="BK68" s="2599">
        <v>0</v>
      </c>
      <c r="BL68" s="2599">
        <v>0</v>
      </c>
      <c r="BM68" s="2599">
        <v>0</v>
      </c>
      <c r="BN68" s="2599">
        <v>0</v>
      </c>
      <c r="BO68" s="2599">
        <v>0</v>
      </c>
      <c r="BP68" s="2599">
        <v>0</v>
      </c>
      <c r="BQ68" s="2599">
        <v>0</v>
      </c>
      <c r="BR68" s="2599">
        <v>0</v>
      </c>
      <c r="BS68" s="2599">
        <v>0</v>
      </c>
      <c r="BT68" s="2596"/>
      <c r="BU68" s="2198"/>
      <c r="BV68" s="2198"/>
      <c r="BW68" s="2596"/>
      <c r="BX68" s="2189"/>
      <c r="BY68" s="2189"/>
      <c r="BZ68" s="2189"/>
      <c r="CA68" s="2600">
        <f t="shared" ref="CA68:CO69" si="96">G68-AQ68</f>
        <v>0</v>
      </c>
      <c r="CB68" s="2601">
        <f t="shared" si="96"/>
        <v>0</v>
      </c>
      <c r="CC68" s="2601">
        <f t="shared" si="96"/>
        <v>0</v>
      </c>
      <c r="CD68" s="2601">
        <f t="shared" si="96"/>
        <v>0</v>
      </c>
      <c r="CE68" s="2601">
        <f t="shared" si="96"/>
        <v>0</v>
      </c>
      <c r="CF68" s="2601">
        <f t="shared" si="96"/>
        <v>0</v>
      </c>
      <c r="CG68" s="2601">
        <f t="shared" si="96"/>
        <v>0</v>
      </c>
      <c r="CH68" s="2601">
        <f t="shared" si="96"/>
        <v>0</v>
      </c>
      <c r="CI68" s="2601">
        <f t="shared" si="96"/>
        <v>0</v>
      </c>
      <c r="CJ68" s="2601">
        <f t="shared" si="96"/>
        <v>0</v>
      </c>
      <c r="CK68" s="2601">
        <f t="shared" si="96"/>
        <v>0</v>
      </c>
      <c r="CL68" s="2601">
        <f t="shared" si="96"/>
        <v>0</v>
      </c>
      <c r="CM68" s="2601">
        <f t="shared" si="96"/>
        <v>0</v>
      </c>
      <c r="CN68" s="2601">
        <f t="shared" si="96"/>
        <v>0</v>
      </c>
      <c r="CO68" s="2601">
        <f t="shared" si="96"/>
        <v>0</v>
      </c>
      <c r="CP68" s="2601">
        <f t="shared" si="94"/>
        <v>0</v>
      </c>
      <c r="CQ68" s="2601">
        <f t="shared" si="68"/>
        <v>0</v>
      </c>
      <c r="CR68" s="2601">
        <f t="shared" si="68"/>
        <v>0</v>
      </c>
      <c r="CS68" s="2601">
        <f t="shared" si="68"/>
        <v>0</v>
      </c>
      <c r="CT68" s="2601">
        <f t="shared" si="68"/>
        <v>0</v>
      </c>
      <c r="CU68" s="2601">
        <f t="shared" si="68"/>
        <v>0</v>
      </c>
      <c r="CV68" s="2601">
        <f t="shared" si="68"/>
        <v>0</v>
      </c>
      <c r="CW68" s="2601">
        <f t="shared" si="68"/>
        <v>0</v>
      </c>
      <c r="CX68" s="2601">
        <f t="shared" si="68"/>
        <v>0</v>
      </c>
      <c r="CY68" s="2601">
        <f t="shared" si="68"/>
        <v>0</v>
      </c>
      <c r="CZ68" s="2601">
        <f t="shared" si="68"/>
        <v>0</v>
      </c>
      <c r="DA68" s="2601">
        <f t="shared" si="68"/>
        <v>0</v>
      </c>
      <c r="DB68" s="2601">
        <f t="shared" si="68"/>
        <v>0</v>
      </c>
      <c r="DC68" s="2601">
        <f>AI68-BS68</f>
        <v>0</v>
      </c>
      <c r="DD68" s="2602">
        <f>AJ68-BT68</f>
        <v>0</v>
      </c>
      <c r="DE68" s="2189"/>
      <c r="DF68" s="2602">
        <f t="shared" si="95"/>
        <v>0</v>
      </c>
      <c r="DG68" s="2189"/>
    </row>
    <row r="69" spans="1:111" s="2196" customFormat="1" ht="13.8" outlineLevel="2" x14ac:dyDescent="0.3">
      <c r="A69" s="2189"/>
      <c r="B69" s="2553" t="s">
        <v>1587</v>
      </c>
      <c r="C69" s="2603"/>
      <c r="D69" s="2603"/>
      <c r="E69" s="2603"/>
      <c r="F69" s="2622"/>
      <c r="G69" s="2607">
        <v>0</v>
      </c>
      <c r="H69" s="2607">
        <v>0</v>
      </c>
      <c r="I69" s="2607">
        <v>0</v>
      </c>
      <c r="J69" s="2607">
        <v>0</v>
      </c>
      <c r="K69" s="2607">
        <v>0</v>
      </c>
      <c r="L69" s="2607">
        <v>0</v>
      </c>
      <c r="M69" s="2607">
        <v>0</v>
      </c>
      <c r="N69" s="2607">
        <v>0</v>
      </c>
      <c r="O69" s="2607">
        <v>0</v>
      </c>
      <c r="P69" s="2607">
        <v>0</v>
      </c>
      <c r="Q69" s="2607">
        <v>0</v>
      </c>
      <c r="R69" s="2607">
        <v>0</v>
      </c>
      <c r="S69" s="2607">
        <v>0</v>
      </c>
      <c r="T69" s="2607">
        <v>0</v>
      </c>
      <c r="U69" s="2607">
        <v>0</v>
      </c>
      <c r="V69" s="2607">
        <v>0</v>
      </c>
      <c r="W69" s="2607">
        <v>0</v>
      </c>
      <c r="X69" s="2607">
        <v>0</v>
      </c>
      <c r="Y69" s="2607">
        <v>0</v>
      </c>
      <c r="Z69" s="2607">
        <v>0</v>
      </c>
      <c r="AA69" s="2607">
        <v>0</v>
      </c>
      <c r="AB69" s="2607">
        <v>0</v>
      </c>
      <c r="AC69" s="2607">
        <v>0</v>
      </c>
      <c r="AD69" s="2607">
        <v>0</v>
      </c>
      <c r="AE69" s="2607">
        <v>0</v>
      </c>
      <c r="AF69" s="2607">
        <v>0</v>
      </c>
      <c r="AG69" s="2607">
        <v>0</v>
      </c>
      <c r="AH69" s="2607">
        <v>0</v>
      </c>
      <c r="AI69" s="2607">
        <v>0</v>
      </c>
      <c r="AJ69" s="2605"/>
      <c r="AK69" s="2593"/>
      <c r="AL69" s="2198"/>
      <c r="AM69" s="2605"/>
      <c r="AN69" s="2597"/>
      <c r="AO69" s="2189"/>
      <c r="AP69" s="2189"/>
      <c r="AQ69" s="2606">
        <v>0</v>
      </c>
      <c r="AR69" s="2607">
        <v>0</v>
      </c>
      <c r="AS69" s="2607">
        <v>0</v>
      </c>
      <c r="AT69" s="2607">
        <v>0</v>
      </c>
      <c r="AU69" s="2607">
        <v>0</v>
      </c>
      <c r="AV69" s="2607">
        <v>0</v>
      </c>
      <c r="AW69" s="2607">
        <v>0</v>
      </c>
      <c r="AX69" s="2607">
        <v>0</v>
      </c>
      <c r="AY69" s="2607">
        <v>0</v>
      </c>
      <c r="AZ69" s="2607">
        <v>0</v>
      </c>
      <c r="BA69" s="2607">
        <v>0</v>
      </c>
      <c r="BB69" s="2607">
        <v>0</v>
      </c>
      <c r="BC69" s="2607">
        <v>0</v>
      </c>
      <c r="BD69" s="2607">
        <v>0</v>
      </c>
      <c r="BE69" s="2607">
        <v>0</v>
      </c>
      <c r="BF69" s="2607">
        <v>0</v>
      </c>
      <c r="BG69" s="2607">
        <v>0</v>
      </c>
      <c r="BH69" s="2607">
        <v>0</v>
      </c>
      <c r="BI69" s="2607">
        <v>0</v>
      </c>
      <c r="BJ69" s="2607">
        <v>0</v>
      </c>
      <c r="BK69" s="2607">
        <v>0</v>
      </c>
      <c r="BL69" s="2607">
        <v>0</v>
      </c>
      <c r="BM69" s="2607">
        <v>0</v>
      </c>
      <c r="BN69" s="2607">
        <v>0</v>
      </c>
      <c r="BO69" s="2607">
        <v>0</v>
      </c>
      <c r="BP69" s="2607">
        <v>0</v>
      </c>
      <c r="BQ69" s="2607">
        <v>0</v>
      </c>
      <c r="BR69" s="2607">
        <v>0</v>
      </c>
      <c r="BS69" s="2607">
        <v>0</v>
      </c>
      <c r="BT69" s="2605"/>
      <c r="BU69" s="2198"/>
      <c r="BV69" s="2198"/>
      <c r="BW69" s="2605"/>
      <c r="BX69" s="2189"/>
      <c r="BY69" s="2189"/>
      <c r="BZ69" s="2189"/>
      <c r="CA69" s="2559">
        <f t="shared" si="96"/>
        <v>0</v>
      </c>
      <c r="CB69" s="2560">
        <f t="shared" si="96"/>
        <v>0</v>
      </c>
      <c r="CC69" s="2560">
        <f t="shared" si="96"/>
        <v>0</v>
      </c>
      <c r="CD69" s="2560">
        <f t="shared" si="96"/>
        <v>0</v>
      </c>
      <c r="CE69" s="2560">
        <f t="shared" si="96"/>
        <v>0</v>
      </c>
      <c r="CF69" s="2560">
        <f t="shared" si="96"/>
        <v>0</v>
      </c>
      <c r="CG69" s="2560">
        <f t="shared" si="96"/>
        <v>0</v>
      </c>
      <c r="CH69" s="2560">
        <f t="shared" si="96"/>
        <v>0</v>
      </c>
      <c r="CI69" s="2560">
        <f t="shared" si="96"/>
        <v>0</v>
      </c>
      <c r="CJ69" s="2560">
        <f t="shared" si="96"/>
        <v>0</v>
      </c>
      <c r="CK69" s="2560">
        <f t="shared" si="96"/>
        <v>0</v>
      </c>
      <c r="CL69" s="2560">
        <f t="shared" si="96"/>
        <v>0</v>
      </c>
      <c r="CM69" s="2560">
        <f t="shared" si="96"/>
        <v>0</v>
      </c>
      <c r="CN69" s="2560">
        <f t="shared" si="96"/>
        <v>0</v>
      </c>
      <c r="CO69" s="2560">
        <f t="shared" si="96"/>
        <v>0</v>
      </c>
      <c r="CP69" s="2560">
        <f t="shared" si="94"/>
        <v>0</v>
      </c>
      <c r="CQ69" s="2560">
        <f t="shared" si="68"/>
        <v>0</v>
      </c>
      <c r="CR69" s="2560">
        <f t="shared" si="68"/>
        <v>0</v>
      </c>
      <c r="CS69" s="2560">
        <f t="shared" si="68"/>
        <v>0</v>
      </c>
      <c r="CT69" s="2560">
        <f t="shared" si="68"/>
        <v>0</v>
      </c>
      <c r="CU69" s="2560">
        <f t="shared" si="68"/>
        <v>0</v>
      </c>
      <c r="CV69" s="2560">
        <f t="shared" si="68"/>
        <v>0</v>
      </c>
      <c r="CW69" s="2560">
        <f t="shared" si="68"/>
        <v>0</v>
      </c>
      <c r="CX69" s="2560">
        <f t="shared" si="68"/>
        <v>0</v>
      </c>
      <c r="CY69" s="2560">
        <f t="shared" si="68"/>
        <v>0</v>
      </c>
      <c r="CZ69" s="2560">
        <f t="shared" si="68"/>
        <v>0</v>
      </c>
      <c r="DA69" s="2560">
        <f t="shared" si="68"/>
        <v>0</v>
      </c>
      <c r="DB69" s="2560">
        <f t="shared" si="68"/>
        <v>0</v>
      </c>
      <c r="DC69" s="2560">
        <f>AI69-BS69</f>
        <v>0</v>
      </c>
      <c r="DD69" s="2608">
        <f>AJ69-BT69</f>
        <v>0</v>
      </c>
      <c r="DE69" s="2189"/>
      <c r="DF69" s="2608">
        <f t="shared" si="95"/>
        <v>0</v>
      </c>
      <c r="DG69" s="2189"/>
    </row>
    <row r="70" spans="1:111" s="2196" customFormat="1" ht="16.5" customHeight="1" outlineLevel="1" x14ac:dyDescent="0.3">
      <c r="A70" s="2189"/>
      <c r="B70" s="2587"/>
      <c r="C70" s="2587"/>
      <c r="D70" s="2587"/>
      <c r="E70" s="2587"/>
      <c r="F70" s="2593"/>
      <c r="G70" s="2587"/>
      <c r="H70" s="2587"/>
      <c r="I70" s="2587"/>
      <c r="J70" s="2587"/>
      <c r="K70" s="2587"/>
      <c r="L70" s="2587"/>
      <c r="M70" s="2587"/>
      <c r="N70" s="2587"/>
      <c r="O70" s="2587"/>
      <c r="P70" s="2587"/>
      <c r="Q70" s="2587"/>
      <c r="R70" s="2587"/>
      <c r="S70" s="2587"/>
      <c r="T70" s="2587"/>
      <c r="U70" s="2587"/>
      <c r="V70" s="2587"/>
      <c r="W70" s="2587"/>
      <c r="X70" s="2587"/>
      <c r="Y70" s="2587"/>
      <c r="Z70" s="2587"/>
      <c r="AA70" s="2587"/>
      <c r="AB70" s="2587"/>
      <c r="AC70" s="2587"/>
      <c r="AD70" s="2587"/>
      <c r="AE70" s="2587"/>
      <c r="AF70" s="2587"/>
      <c r="AG70" s="2587"/>
      <c r="AH70" s="2587"/>
      <c r="AI70" s="2587"/>
      <c r="AJ70" s="2587"/>
      <c r="AK70" s="1070"/>
      <c r="AL70" s="2189"/>
      <c r="AM70" s="2189"/>
      <c r="AN70" s="2189"/>
      <c r="AO70" s="2189"/>
      <c r="AP70" s="2189"/>
      <c r="AQ70" s="2587"/>
      <c r="AR70" s="2587"/>
      <c r="AS70" s="2587"/>
      <c r="AT70" s="2587"/>
      <c r="AU70" s="2587"/>
      <c r="AV70" s="2587"/>
      <c r="AW70" s="2587"/>
      <c r="AX70" s="2587"/>
      <c r="AY70" s="2587"/>
      <c r="AZ70" s="2587"/>
      <c r="BA70" s="2587"/>
      <c r="BB70" s="2587"/>
      <c r="BC70" s="2587"/>
      <c r="BD70" s="2587"/>
      <c r="BE70" s="2587"/>
      <c r="BF70" s="2587"/>
      <c r="BG70" s="2587"/>
      <c r="BH70" s="2587"/>
      <c r="BI70" s="2587"/>
      <c r="BJ70" s="2587"/>
      <c r="BK70" s="2587"/>
      <c r="BL70" s="2587"/>
      <c r="BM70" s="2587"/>
      <c r="BN70" s="2587"/>
      <c r="BO70" s="2587"/>
      <c r="BP70" s="2587"/>
      <c r="BQ70" s="2587"/>
      <c r="BR70" s="2587"/>
      <c r="BS70" s="2587"/>
      <c r="BT70" s="2593"/>
      <c r="BU70" s="2189"/>
      <c r="BV70" s="2189"/>
      <c r="BW70" s="2593"/>
      <c r="BX70" s="2189"/>
      <c r="BY70" s="2189"/>
      <c r="BZ70" s="2189"/>
      <c r="CA70" s="2189"/>
      <c r="CB70" s="2189"/>
      <c r="CC70" s="2189"/>
      <c r="CD70" s="2189"/>
      <c r="CE70" s="2189"/>
      <c r="CF70" s="2189"/>
      <c r="CG70" s="2189"/>
      <c r="CH70" s="2189"/>
      <c r="CI70" s="2189"/>
      <c r="CJ70" s="2189"/>
      <c r="CK70" s="2189"/>
      <c r="CL70" s="2189"/>
      <c r="CM70" s="2189"/>
      <c r="CN70" s="2189"/>
      <c r="CO70" s="2189"/>
      <c r="CP70" s="2189"/>
      <c r="CQ70" s="2189"/>
      <c r="CR70" s="2189"/>
      <c r="CS70" s="2189"/>
      <c r="CT70" s="2189"/>
      <c r="CU70" s="2189"/>
      <c r="CV70" s="2189"/>
      <c r="CW70" s="2189"/>
      <c r="CX70" s="2189"/>
      <c r="CY70" s="2189"/>
      <c r="CZ70" s="2189"/>
      <c r="DA70" s="2189"/>
      <c r="DB70" s="2189"/>
      <c r="DC70" s="2189"/>
      <c r="DD70" s="2189"/>
      <c r="DE70" s="2189"/>
      <c r="DF70" s="2189"/>
      <c r="DG70" s="2189"/>
    </row>
    <row r="71" spans="1:111" s="2196" customFormat="1" ht="18" outlineLevel="2" x14ac:dyDescent="0.3">
      <c r="A71" s="2189"/>
      <c r="B71" s="2498" t="s">
        <v>1644</v>
      </c>
      <c r="C71" s="2587"/>
      <c r="D71" s="2587"/>
      <c r="E71" s="2587"/>
      <c r="F71" s="2593"/>
      <c r="G71" s="1853">
        <f>G8</f>
        <v>0</v>
      </c>
      <c r="H71" s="1853">
        <f t="shared" ref="H71:AI72" si="97">H8</f>
        <v>0</v>
      </c>
      <c r="I71" s="1853">
        <f t="shared" si="97"/>
        <v>0</v>
      </c>
      <c r="J71" s="1853">
        <f t="shared" si="97"/>
        <v>0</v>
      </c>
      <c r="K71" s="1853">
        <f t="shared" si="97"/>
        <v>0</v>
      </c>
      <c r="L71" s="1853">
        <f t="shared" si="97"/>
        <v>0</v>
      </c>
      <c r="M71" s="1853">
        <f t="shared" si="97"/>
        <v>0</v>
      </c>
      <c r="N71" s="1853">
        <f t="shared" si="97"/>
        <v>0</v>
      </c>
      <c r="O71" s="1853">
        <f t="shared" si="97"/>
        <v>0</v>
      </c>
      <c r="P71" s="1853">
        <f t="shared" si="97"/>
        <v>0</v>
      </c>
      <c r="Q71" s="1853">
        <f t="shared" si="97"/>
        <v>0</v>
      </c>
      <c r="R71" s="1853">
        <f t="shared" si="97"/>
        <v>0</v>
      </c>
      <c r="S71" s="1853">
        <f t="shared" si="97"/>
        <v>0</v>
      </c>
      <c r="T71" s="1853">
        <f t="shared" si="97"/>
        <v>0</v>
      </c>
      <c r="U71" s="1853">
        <f t="shared" si="97"/>
        <v>0</v>
      </c>
      <c r="V71" s="1853">
        <f t="shared" si="97"/>
        <v>0</v>
      </c>
      <c r="W71" s="1853">
        <f t="shared" si="97"/>
        <v>0</v>
      </c>
      <c r="X71" s="1853">
        <f t="shared" si="97"/>
        <v>0</v>
      </c>
      <c r="Y71" s="1853">
        <f t="shared" si="97"/>
        <v>0</v>
      </c>
      <c r="Z71" s="1853">
        <f t="shared" si="97"/>
        <v>0</v>
      </c>
      <c r="AA71" s="1853">
        <f t="shared" si="97"/>
        <v>0</v>
      </c>
      <c r="AB71" s="1853">
        <f t="shared" si="97"/>
        <v>0</v>
      </c>
      <c r="AC71" s="1853">
        <f t="shared" si="97"/>
        <v>0</v>
      </c>
      <c r="AD71" s="1853">
        <f t="shared" si="97"/>
        <v>0</v>
      </c>
      <c r="AE71" s="1853">
        <f t="shared" si="97"/>
        <v>0</v>
      </c>
      <c r="AF71" s="1853">
        <f t="shared" si="97"/>
        <v>0</v>
      </c>
      <c r="AG71" s="1853">
        <f t="shared" si="97"/>
        <v>0</v>
      </c>
      <c r="AH71" s="1853">
        <f t="shared" si="97"/>
        <v>0</v>
      </c>
      <c r="AI71" s="1853">
        <f t="shared" si="97"/>
        <v>0</v>
      </c>
      <c r="AJ71" s="2587"/>
      <c r="AK71" s="1070"/>
      <c r="AL71" s="2189"/>
      <c r="AM71" s="2189"/>
      <c r="AN71" s="2189"/>
      <c r="AO71" s="2189"/>
      <c r="AP71" s="2189"/>
      <c r="AQ71" s="2587"/>
      <c r="AR71" s="2587"/>
      <c r="AS71" s="2587"/>
      <c r="AT71" s="2587"/>
      <c r="AU71" s="2587"/>
      <c r="AV71" s="2587"/>
      <c r="AW71" s="2587"/>
      <c r="AX71" s="2587"/>
      <c r="AY71" s="2587"/>
      <c r="AZ71" s="2587"/>
      <c r="BA71" s="2587"/>
      <c r="BB71" s="2587"/>
      <c r="BC71" s="2587"/>
      <c r="BD71" s="2587"/>
      <c r="BE71" s="2587"/>
      <c r="BF71" s="2587"/>
      <c r="BG71" s="2587"/>
      <c r="BH71" s="2587"/>
      <c r="BI71" s="2587"/>
      <c r="BJ71" s="2587"/>
      <c r="BK71" s="2587"/>
      <c r="BL71" s="2587"/>
      <c r="BM71" s="2587"/>
      <c r="BN71" s="2587"/>
      <c r="BO71" s="2587"/>
      <c r="BP71" s="2587"/>
      <c r="BQ71" s="2587"/>
      <c r="BR71" s="2587"/>
      <c r="BS71" s="2587"/>
      <c r="BT71" s="2593"/>
      <c r="BU71" s="2189"/>
      <c r="BV71" s="2189"/>
      <c r="BW71" s="2593"/>
      <c r="BX71" s="2189"/>
      <c r="BY71" s="2189"/>
      <c r="BZ71" s="2189"/>
      <c r="CA71" s="2189"/>
      <c r="CB71" s="2189"/>
      <c r="CC71" s="2189"/>
      <c r="CD71" s="2189"/>
      <c r="CE71" s="2189"/>
      <c r="CF71" s="2189"/>
      <c r="CG71" s="2189"/>
      <c r="CH71" s="2189"/>
      <c r="CI71" s="2189"/>
      <c r="CJ71" s="2189"/>
      <c r="CK71" s="2189"/>
      <c r="CL71" s="2189"/>
      <c r="CM71" s="2189"/>
      <c r="CN71" s="2189"/>
      <c r="CO71" s="2189"/>
      <c r="CP71" s="2189"/>
      <c r="CQ71" s="2189"/>
      <c r="CR71" s="2189"/>
      <c r="CS71" s="2189"/>
      <c r="CT71" s="2189"/>
      <c r="CU71" s="2189"/>
      <c r="CV71" s="2189"/>
      <c r="CW71" s="2189"/>
      <c r="CX71" s="2189"/>
      <c r="CY71" s="2189"/>
      <c r="CZ71" s="2189"/>
      <c r="DA71" s="2189"/>
      <c r="DB71" s="2189"/>
      <c r="DC71" s="2189"/>
      <c r="DD71" s="2189"/>
      <c r="DE71" s="2189"/>
      <c r="DF71" s="2189"/>
      <c r="DG71" s="2189"/>
    </row>
    <row r="72" spans="1:111" s="2196" customFormat="1" ht="18" outlineLevel="2" x14ac:dyDescent="0.3">
      <c r="A72" s="2189"/>
      <c r="B72" s="3363" t="str">
        <f>Input!D35</f>
        <v>D</v>
      </c>
      <c r="C72" s="3364"/>
      <c r="D72" s="3364"/>
      <c r="E72" s="3364"/>
      <c r="F72" s="3365"/>
      <c r="G72" s="1752" t="str">
        <f>G9</f>
        <v>FY18</v>
      </c>
      <c r="H72" s="1243" t="str">
        <f t="shared" si="97"/>
        <v>FY19</v>
      </c>
      <c r="I72" s="1243" t="str">
        <f t="shared" si="97"/>
        <v>FY20</v>
      </c>
      <c r="J72" s="1243" t="str">
        <f t="shared" si="97"/>
        <v>FY21</v>
      </c>
      <c r="K72" s="1243" t="str">
        <f t="shared" si="97"/>
        <v>FY22</v>
      </c>
      <c r="L72" s="1243" t="str">
        <f t="shared" si="97"/>
        <v>FY23</v>
      </c>
      <c r="M72" s="1243" t="str">
        <f t="shared" si="97"/>
        <v>FY24</v>
      </c>
      <c r="N72" s="1243" t="str">
        <f t="shared" si="97"/>
        <v>FY25</v>
      </c>
      <c r="O72" s="1243" t="str">
        <f t="shared" si="97"/>
        <v>FY26</v>
      </c>
      <c r="P72" s="1243" t="str">
        <f t="shared" si="97"/>
        <v>FY27</v>
      </c>
      <c r="Q72" s="1243" t="str">
        <f t="shared" si="97"/>
        <v>FY28</v>
      </c>
      <c r="R72" s="1243" t="str">
        <f t="shared" si="97"/>
        <v>FY29</v>
      </c>
      <c r="S72" s="1243" t="str">
        <f t="shared" si="97"/>
        <v>FY30</v>
      </c>
      <c r="T72" s="1243" t="str">
        <f t="shared" si="97"/>
        <v>FY31</v>
      </c>
      <c r="U72" s="1243" t="str">
        <f t="shared" si="97"/>
        <v>FY32</v>
      </c>
      <c r="V72" s="1243" t="str">
        <f t="shared" si="97"/>
        <v>FY33</v>
      </c>
      <c r="W72" s="1243" t="str">
        <f t="shared" si="97"/>
        <v>FY34</v>
      </c>
      <c r="X72" s="1243" t="str">
        <f t="shared" si="97"/>
        <v>FY35</v>
      </c>
      <c r="Y72" s="1243" t="str">
        <f t="shared" si="97"/>
        <v>FY36</v>
      </c>
      <c r="Z72" s="1243" t="str">
        <f t="shared" si="97"/>
        <v>FY37</v>
      </c>
      <c r="AA72" s="1243" t="str">
        <f t="shared" si="97"/>
        <v>FY38</v>
      </c>
      <c r="AB72" s="1243" t="str">
        <f t="shared" si="97"/>
        <v>FY39</v>
      </c>
      <c r="AC72" s="1243" t="str">
        <f t="shared" si="97"/>
        <v>FY40</v>
      </c>
      <c r="AD72" s="1243" t="str">
        <f t="shared" si="97"/>
        <v>FY41</v>
      </c>
      <c r="AE72" s="1243" t="str">
        <f t="shared" si="97"/>
        <v>FY42</v>
      </c>
      <c r="AF72" s="1243" t="str">
        <f t="shared" si="97"/>
        <v>FY43</v>
      </c>
      <c r="AG72" s="1243" t="str">
        <f t="shared" si="97"/>
        <v>FY44</v>
      </c>
      <c r="AH72" s="1243" t="str">
        <f t="shared" si="97"/>
        <v>FY45</v>
      </c>
      <c r="AI72" s="1243" t="str">
        <f t="shared" si="97"/>
        <v>FY46</v>
      </c>
      <c r="AJ72" s="1857" t="str">
        <f>"FY"&amp;CurrentFY&amp;"-"&amp;CurrentFY+9</f>
        <v>FY18-27</v>
      </c>
      <c r="AK72" s="2609"/>
      <c r="AL72" s="1070"/>
      <c r="AM72" s="1857" t="str">
        <f>"FY"&amp;CurrentFY&amp;"-"&amp;CurrentFY+14</f>
        <v>FY18-32</v>
      </c>
      <c r="AN72" s="1070"/>
      <c r="AO72" s="1070"/>
      <c r="AP72" s="1070"/>
      <c r="AQ72" s="1752" t="str">
        <f>AQ9</f>
        <v>FY18</v>
      </c>
      <c r="AR72" s="1243" t="str">
        <f t="shared" ref="AR72:BS72" si="98">AR9</f>
        <v>FY19</v>
      </c>
      <c r="AS72" s="1243" t="str">
        <f t="shared" si="98"/>
        <v>FY20</v>
      </c>
      <c r="AT72" s="1243" t="str">
        <f t="shared" si="98"/>
        <v>FY21</v>
      </c>
      <c r="AU72" s="1243" t="str">
        <f t="shared" si="98"/>
        <v>FY22</v>
      </c>
      <c r="AV72" s="1243" t="str">
        <f t="shared" si="98"/>
        <v>FY23</v>
      </c>
      <c r="AW72" s="1243" t="str">
        <f t="shared" si="98"/>
        <v>FY24</v>
      </c>
      <c r="AX72" s="1243" t="str">
        <f t="shared" si="98"/>
        <v>FY25</v>
      </c>
      <c r="AY72" s="1243" t="str">
        <f t="shared" si="98"/>
        <v>FY26</v>
      </c>
      <c r="AZ72" s="1243" t="str">
        <f t="shared" si="98"/>
        <v>FY27</v>
      </c>
      <c r="BA72" s="1243" t="str">
        <f t="shared" si="98"/>
        <v>FY28</v>
      </c>
      <c r="BB72" s="1243" t="str">
        <f t="shared" si="98"/>
        <v>FY29</v>
      </c>
      <c r="BC72" s="1243" t="str">
        <f t="shared" si="98"/>
        <v>FY30</v>
      </c>
      <c r="BD72" s="1243" t="str">
        <f t="shared" si="98"/>
        <v>FY31</v>
      </c>
      <c r="BE72" s="1243" t="str">
        <f t="shared" si="98"/>
        <v>FY32</v>
      </c>
      <c r="BF72" s="1243" t="str">
        <f t="shared" si="98"/>
        <v>FY33</v>
      </c>
      <c r="BG72" s="1243" t="str">
        <f t="shared" si="98"/>
        <v>FY34</v>
      </c>
      <c r="BH72" s="2500" t="str">
        <f t="shared" si="98"/>
        <v>FY35</v>
      </c>
      <c r="BI72" s="2500" t="str">
        <f t="shared" si="98"/>
        <v>FY36</v>
      </c>
      <c r="BJ72" s="2500" t="str">
        <f t="shared" si="98"/>
        <v>FY37</v>
      </c>
      <c r="BK72" s="2500" t="str">
        <f t="shared" si="98"/>
        <v>FY38</v>
      </c>
      <c r="BL72" s="2500" t="str">
        <f t="shared" si="98"/>
        <v>FY39</v>
      </c>
      <c r="BM72" s="2500" t="str">
        <f t="shared" si="98"/>
        <v>FY40</v>
      </c>
      <c r="BN72" s="2500" t="str">
        <f t="shared" si="98"/>
        <v>FY41</v>
      </c>
      <c r="BO72" s="2500" t="str">
        <f t="shared" si="98"/>
        <v>FY42</v>
      </c>
      <c r="BP72" s="2500" t="str">
        <f t="shared" si="98"/>
        <v>FY43</v>
      </c>
      <c r="BQ72" s="2500" t="str">
        <f t="shared" si="98"/>
        <v>FY44</v>
      </c>
      <c r="BR72" s="2500" t="str">
        <f t="shared" si="98"/>
        <v>FY45</v>
      </c>
      <c r="BS72" s="2500" t="str">
        <f t="shared" si="98"/>
        <v>FY46</v>
      </c>
      <c r="BT72" s="1857" t="str">
        <f>"FY"&amp;CurrentFY&amp;"-"&amp;CurrentFY+9</f>
        <v>FY18-27</v>
      </c>
      <c r="BU72" s="2189"/>
      <c r="BV72" s="2189"/>
      <c r="BW72" s="1857" t="str">
        <f>"FY"&amp;CurrentFY&amp;"-"&amp;CurrentFY+9</f>
        <v>FY18-27</v>
      </c>
      <c r="BX72" s="2189"/>
      <c r="BY72" s="2189"/>
      <c r="BZ72" s="2189"/>
      <c r="CA72" s="1752" t="str">
        <f>CA9</f>
        <v>FY18</v>
      </c>
      <c r="CB72" s="1243" t="str">
        <f t="shared" ref="CB72:DC72" si="99">CB9</f>
        <v>FY19</v>
      </c>
      <c r="CC72" s="1243" t="str">
        <f t="shared" si="99"/>
        <v>FY20</v>
      </c>
      <c r="CD72" s="1243" t="str">
        <f t="shared" si="99"/>
        <v>FY21</v>
      </c>
      <c r="CE72" s="1243" t="str">
        <f t="shared" si="99"/>
        <v>FY22</v>
      </c>
      <c r="CF72" s="1243" t="str">
        <f t="shared" si="99"/>
        <v>FY23</v>
      </c>
      <c r="CG72" s="1243" t="str">
        <f t="shared" si="99"/>
        <v>FY24</v>
      </c>
      <c r="CH72" s="1243" t="str">
        <f t="shared" si="99"/>
        <v>FY25</v>
      </c>
      <c r="CI72" s="1243" t="str">
        <f t="shared" si="99"/>
        <v>FY26</v>
      </c>
      <c r="CJ72" s="1243" t="str">
        <f t="shared" si="99"/>
        <v>FY27</v>
      </c>
      <c r="CK72" s="1243" t="str">
        <f t="shared" si="99"/>
        <v>FY28</v>
      </c>
      <c r="CL72" s="1243" t="str">
        <f t="shared" si="99"/>
        <v>FY29</v>
      </c>
      <c r="CM72" s="1243" t="str">
        <f t="shared" si="99"/>
        <v>FY30</v>
      </c>
      <c r="CN72" s="1243" t="str">
        <f t="shared" si="99"/>
        <v>FY31</v>
      </c>
      <c r="CO72" s="1243" t="str">
        <f t="shared" si="99"/>
        <v>FY32</v>
      </c>
      <c r="CP72" s="1243" t="str">
        <f t="shared" si="99"/>
        <v>FY33</v>
      </c>
      <c r="CQ72" s="1243" t="str">
        <f t="shared" si="99"/>
        <v>FY34</v>
      </c>
      <c r="CR72" s="1243" t="str">
        <f t="shared" si="99"/>
        <v>FY35</v>
      </c>
      <c r="CS72" s="1243" t="str">
        <f t="shared" si="99"/>
        <v>FY36</v>
      </c>
      <c r="CT72" s="1243" t="str">
        <f t="shared" si="99"/>
        <v>FY37</v>
      </c>
      <c r="CU72" s="1243" t="str">
        <f t="shared" si="99"/>
        <v>FY38</v>
      </c>
      <c r="CV72" s="1243" t="str">
        <f t="shared" si="99"/>
        <v>FY39</v>
      </c>
      <c r="CW72" s="1243" t="str">
        <f t="shared" si="99"/>
        <v>FY40</v>
      </c>
      <c r="CX72" s="1243" t="str">
        <f t="shared" si="99"/>
        <v>FY41</v>
      </c>
      <c r="CY72" s="1243" t="str">
        <f t="shared" si="99"/>
        <v>FY42</v>
      </c>
      <c r="CZ72" s="1243" t="str">
        <f t="shared" si="99"/>
        <v>FY43</v>
      </c>
      <c r="DA72" s="1243" t="str">
        <f t="shared" si="99"/>
        <v>FY44</v>
      </c>
      <c r="DB72" s="1243" t="str">
        <f t="shared" si="99"/>
        <v>FY45</v>
      </c>
      <c r="DC72" s="2500" t="str">
        <f t="shared" si="99"/>
        <v>FY46</v>
      </c>
      <c r="DD72" s="1857" t="str">
        <f>"FY"&amp;CurrentFY&amp;"-"&amp;CurrentFY+9</f>
        <v>FY18-27</v>
      </c>
      <c r="DE72" s="2189"/>
      <c r="DF72" s="1857" t="str">
        <f>"FY"&amp;CurrentFY&amp;"-"&amp;CurrentFY+14</f>
        <v>FY18-32</v>
      </c>
      <c r="DG72" s="2189"/>
    </row>
    <row r="73" spans="1:111" s="2196" customFormat="1" ht="15.6" outlineLevel="2" x14ac:dyDescent="0.3">
      <c r="A73" s="2189"/>
      <c r="B73" s="2501" t="s">
        <v>1645</v>
      </c>
      <c r="C73" s="2502"/>
      <c r="D73" s="2502"/>
      <c r="E73" s="2502"/>
      <c r="F73" s="2610"/>
      <c r="G73" s="2505">
        <v>0</v>
      </c>
      <c r="H73" s="2505">
        <v>0</v>
      </c>
      <c r="I73" s="2505">
        <v>0</v>
      </c>
      <c r="J73" s="2505"/>
      <c r="K73" s="2505"/>
      <c r="L73" s="2505"/>
      <c r="M73" s="2505"/>
      <c r="N73" s="2505">
        <v>0</v>
      </c>
      <c r="O73" s="2505">
        <v>0</v>
      </c>
      <c r="P73" s="2505">
        <v>0</v>
      </c>
      <c r="Q73" s="2505">
        <v>0</v>
      </c>
      <c r="R73" s="2505">
        <v>0</v>
      </c>
      <c r="S73" s="2505">
        <v>0</v>
      </c>
      <c r="T73" s="2505">
        <v>0</v>
      </c>
      <c r="U73" s="2505">
        <v>0</v>
      </c>
      <c r="V73" s="2505">
        <v>0</v>
      </c>
      <c r="W73" s="2505">
        <v>0</v>
      </c>
      <c r="X73" s="2505">
        <v>0</v>
      </c>
      <c r="Y73" s="2505">
        <v>0</v>
      </c>
      <c r="Z73" s="2505">
        <v>0</v>
      </c>
      <c r="AA73" s="2505">
        <v>0</v>
      </c>
      <c r="AB73" s="2505">
        <v>0</v>
      </c>
      <c r="AC73" s="2505">
        <v>0</v>
      </c>
      <c r="AD73" s="2505">
        <v>0</v>
      </c>
      <c r="AE73" s="2505">
        <v>0</v>
      </c>
      <c r="AF73" s="2505">
        <v>0</v>
      </c>
      <c r="AG73" s="2505">
        <v>0</v>
      </c>
      <c r="AH73" s="2505">
        <v>0</v>
      </c>
      <c r="AI73" s="2505">
        <v>0</v>
      </c>
      <c r="AJ73" s="2506">
        <f>SUMIF($G$115:$AI$115,"1",$G73:$AI73)</f>
        <v>0</v>
      </c>
      <c r="AK73" s="2507"/>
      <c r="AL73" s="1082"/>
      <c r="AM73" s="2506">
        <f>SUMIF($G$115:$AI$115,"1",$G73:$AI73)+SUMIF($G$115:$AI$115,"2",$G73:$AI73)</f>
        <v>0</v>
      </c>
      <c r="AN73" s="2508"/>
      <c r="AO73" s="1070"/>
      <c r="AP73" s="1070"/>
      <c r="AQ73" s="2504">
        <v>0</v>
      </c>
      <c r="AR73" s="2505">
        <v>0</v>
      </c>
      <c r="AS73" s="2505">
        <v>0</v>
      </c>
      <c r="AT73" s="2505">
        <v>0</v>
      </c>
      <c r="AU73" s="2505">
        <v>0</v>
      </c>
      <c r="AV73" s="2505">
        <v>0</v>
      </c>
      <c r="AW73" s="2505">
        <v>0</v>
      </c>
      <c r="AX73" s="2505">
        <v>0</v>
      </c>
      <c r="AY73" s="2505">
        <v>0</v>
      </c>
      <c r="AZ73" s="2505">
        <v>0</v>
      </c>
      <c r="BA73" s="2505">
        <v>0</v>
      </c>
      <c r="BB73" s="2505">
        <v>0</v>
      </c>
      <c r="BC73" s="2505">
        <v>0</v>
      </c>
      <c r="BD73" s="2505">
        <v>0</v>
      </c>
      <c r="BE73" s="2505">
        <v>0</v>
      </c>
      <c r="BF73" s="2505">
        <v>0</v>
      </c>
      <c r="BG73" s="2505">
        <v>0</v>
      </c>
      <c r="BH73" s="2509">
        <v>0</v>
      </c>
      <c r="BI73" s="2509">
        <v>0</v>
      </c>
      <c r="BJ73" s="2509">
        <v>0</v>
      </c>
      <c r="BK73" s="2509">
        <v>0</v>
      </c>
      <c r="BL73" s="2509">
        <v>0</v>
      </c>
      <c r="BM73" s="2509">
        <v>0</v>
      </c>
      <c r="BN73" s="2509">
        <v>0</v>
      </c>
      <c r="BO73" s="2509">
        <v>0</v>
      </c>
      <c r="BP73" s="2509">
        <v>0</v>
      </c>
      <c r="BQ73" s="2509">
        <v>0</v>
      </c>
      <c r="BR73" s="2509">
        <v>0</v>
      </c>
      <c r="BS73" s="2509">
        <v>0</v>
      </c>
      <c r="BT73" s="2506">
        <f>SUMIF($AQ$115:$BS$115,"1",$AQ73:$BS73)</f>
        <v>0</v>
      </c>
      <c r="BU73" s="2198"/>
      <c r="BV73" s="2198"/>
      <c r="BW73" s="2506">
        <f>SUMIF($AQ$115:$BS$115,"1",$AQ73:$BS73)+SUMIF($AQ$115:$BS$115,"2",$AQ73:$BS73)</f>
        <v>0</v>
      </c>
      <c r="BX73" s="2189"/>
      <c r="BY73" s="2189"/>
      <c r="BZ73" s="2189"/>
      <c r="CA73" s="2510">
        <f t="shared" ref="CA73:CP88" si="100">G73-AQ73</f>
        <v>0</v>
      </c>
      <c r="CB73" s="2511">
        <f t="shared" si="100"/>
        <v>0</v>
      </c>
      <c r="CC73" s="2511">
        <f t="shared" si="100"/>
        <v>0</v>
      </c>
      <c r="CD73" s="2511">
        <f t="shared" si="100"/>
        <v>0</v>
      </c>
      <c r="CE73" s="2511">
        <f t="shared" si="100"/>
        <v>0</v>
      </c>
      <c r="CF73" s="2511">
        <f t="shared" si="100"/>
        <v>0</v>
      </c>
      <c r="CG73" s="2511">
        <f t="shared" si="100"/>
        <v>0</v>
      </c>
      <c r="CH73" s="2511">
        <f t="shared" si="100"/>
        <v>0</v>
      </c>
      <c r="CI73" s="2511">
        <f t="shared" si="100"/>
        <v>0</v>
      </c>
      <c r="CJ73" s="2511">
        <f t="shared" si="100"/>
        <v>0</v>
      </c>
      <c r="CK73" s="2511">
        <f t="shared" si="100"/>
        <v>0</v>
      </c>
      <c r="CL73" s="2511">
        <f t="shared" si="100"/>
        <v>0</v>
      </c>
      <c r="CM73" s="2511">
        <f t="shared" si="100"/>
        <v>0</v>
      </c>
      <c r="CN73" s="2511">
        <f t="shared" si="100"/>
        <v>0</v>
      </c>
      <c r="CO73" s="2511">
        <f t="shared" si="100"/>
        <v>0</v>
      </c>
      <c r="CP73" s="2511">
        <f t="shared" si="100"/>
        <v>0</v>
      </c>
      <c r="CQ73" s="2511">
        <f t="shared" ref="CQ73:DD90" si="101">W73-BG73</f>
        <v>0</v>
      </c>
      <c r="CR73" s="2511">
        <f t="shared" si="101"/>
        <v>0</v>
      </c>
      <c r="CS73" s="2511">
        <f t="shared" si="101"/>
        <v>0</v>
      </c>
      <c r="CT73" s="2511">
        <f t="shared" si="101"/>
        <v>0</v>
      </c>
      <c r="CU73" s="2511">
        <f t="shared" si="101"/>
        <v>0</v>
      </c>
      <c r="CV73" s="2511">
        <f t="shared" si="101"/>
        <v>0</v>
      </c>
      <c r="CW73" s="2511">
        <f t="shared" si="101"/>
        <v>0</v>
      </c>
      <c r="CX73" s="2511">
        <f t="shared" si="101"/>
        <v>0</v>
      </c>
      <c r="CY73" s="2511">
        <f t="shared" si="101"/>
        <v>0</v>
      </c>
      <c r="CZ73" s="2511">
        <f t="shared" si="101"/>
        <v>0</v>
      </c>
      <c r="DA73" s="2511">
        <f t="shared" si="101"/>
        <v>0</v>
      </c>
      <c r="DB73" s="2511">
        <f t="shared" si="101"/>
        <v>0</v>
      </c>
      <c r="DC73" s="2511">
        <f t="shared" si="101"/>
        <v>0</v>
      </c>
      <c r="DD73" s="2512">
        <f t="shared" si="101"/>
        <v>0</v>
      </c>
      <c r="DE73" s="2189"/>
      <c r="DF73" s="2512">
        <f>AM73-BW73</f>
        <v>0</v>
      </c>
      <c r="DG73" s="2189"/>
    </row>
    <row r="74" spans="1:111" s="2196" customFormat="1" ht="15.6" outlineLevel="2" x14ac:dyDescent="0.3">
      <c r="A74" s="2189"/>
      <c r="B74" s="2513" t="s">
        <v>1572</v>
      </c>
      <c r="C74" s="2514"/>
      <c r="D74" s="2514"/>
      <c r="E74" s="2514"/>
      <c r="F74" s="2611"/>
      <c r="G74" s="2517">
        <v>0</v>
      </c>
      <c r="H74" s="2517">
        <v>0</v>
      </c>
      <c r="I74" s="2517">
        <v>0</v>
      </c>
      <c r="J74" s="2517"/>
      <c r="K74" s="2517"/>
      <c r="L74" s="2517"/>
      <c r="M74" s="2517"/>
      <c r="N74" s="2517">
        <v>0</v>
      </c>
      <c r="O74" s="2517">
        <v>0</v>
      </c>
      <c r="P74" s="2517">
        <v>0</v>
      </c>
      <c r="Q74" s="2517">
        <v>0</v>
      </c>
      <c r="R74" s="2517">
        <v>0</v>
      </c>
      <c r="S74" s="2517">
        <v>0</v>
      </c>
      <c r="T74" s="2517">
        <v>0</v>
      </c>
      <c r="U74" s="2517">
        <v>0</v>
      </c>
      <c r="V74" s="2517">
        <v>0</v>
      </c>
      <c r="W74" s="2517">
        <v>0</v>
      </c>
      <c r="X74" s="2517">
        <v>0</v>
      </c>
      <c r="Y74" s="2517">
        <v>0</v>
      </c>
      <c r="Z74" s="2517">
        <v>0</v>
      </c>
      <c r="AA74" s="2517">
        <v>0</v>
      </c>
      <c r="AB74" s="2517">
        <v>0</v>
      </c>
      <c r="AC74" s="2517">
        <v>0</v>
      </c>
      <c r="AD74" s="2517">
        <v>0</v>
      </c>
      <c r="AE74" s="2517">
        <v>0</v>
      </c>
      <c r="AF74" s="2517">
        <v>0</v>
      </c>
      <c r="AG74" s="2517">
        <v>0</v>
      </c>
      <c r="AH74" s="2517">
        <v>0</v>
      </c>
      <c r="AI74" s="2517">
        <v>0</v>
      </c>
      <c r="AJ74" s="2518" t="e">
        <f>+AJ75/AJ73</f>
        <v>#DIV/0!</v>
      </c>
      <c r="AK74" s="2519"/>
      <c r="AL74" s="1082"/>
      <c r="AM74" s="2518" t="e">
        <f>+AM75/AM73</f>
        <v>#DIV/0!</v>
      </c>
      <c r="AN74" s="2520"/>
      <c r="AO74" s="1070"/>
      <c r="AP74" s="1070"/>
      <c r="AQ74" s="2516">
        <v>0</v>
      </c>
      <c r="AR74" s="2517">
        <v>0</v>
      </c>
      <c r="AS74" s="2517">
        <v>0</v>
      </c>
      <c r="AT74" s="2517">
        <v>0</v>
      </c>
      <c r="AU74" s="2517">
        <v>0</v>
      </c>
      <c r="AV74" s="2517">
        <v>0</v>
      </c>
      <c r="AW74" s="2517">
        <v>0</v>
      </c>
      <c r="AX74" s="2517">
        <v>0</v>
      </c>
      <c r="AY74" s="2517">
        <v>0</v>
      </c>
      <c r="AZ74" s="2517">
        <v>0</v>
      </c>
      <c r="BA74" s="2517">
        <v>0</v>
      </c>
      <c r="BB74" s="2517">
        <v>0</v>
      </c>
      <c r="BC74" s="2517">
        <v>0</v>
      </c>
      <c r="BD74" s="2517">
        <v>0</v>
      </c>
      <c r="BE74" s="2517">
        <v>0</v>
      </c>
      <c r="BF74" s="2517">
        <v>0</v>
      </c>
      <c r="BG74" s="2517">
        <v>0</v>
      </c>
      <c r="BH74" s="2517">
        <v>0</v>
      </c>
      <c r="BI74" s="2517">
        <v>0</v>
      </c>
      <c r="BJ74" s="2517">
        <v>0</v>
      </c>
      <c r="BK74" s="2517">
        <v>0</v>
      </c>
      <c r="BL74" s="2517">
        <v>0</v>
      </c>
      <c r="BM74" s="2517">
        <v>0</v>
      </c>
      <c r="BN74" s="2517">
        <v>0</v>
      </c>
      <c r="BO74" s="2517">
        <v>0</v>
      </c>
      <c r="BP74" s="2517">
        <v>0</v>
      </c>
      <c r="BQ74" s="2517">
        <v>0</v>
      </c>
      <c r="BR74" s="2517">
        <v>0</v>
      </c>
      <c r="BS74" s="2517">
        <v>0</v>
      </c>
      <c r="BT74" s="2518" t="e">
        <f>+BT75/BT73</f>
        <v>#DIV/0!</v>
      </c>
      <c r="BU74" s="2198"/>
      <c r="BV74" s="2198"/>
      <c r="BW74" s="2518" t="e">
        <f>+BW75/BW73</f>
        <v>#DIV/0!</v>
      </c>
      <c r="BX74" s="2189"/>
      <c r="BY74" s="2189"/>
      <c r="BZ74" s="2189"/>
      <c r="CA74" s="2521">
        <f t="shared" si="100"/>
        <v>0</v>
      </c>
      <c r="CB74" s="2522">
        <f t="shared" si="100"/>
        <v>0</v>
      </c>
      <c r="CC74" s="2522">
        <f t="shared" si="100"/>
        <v>0</v>
      </c>
      <c r="CD74" s="2522">
        <f t="shared" si="100"/>
        <v>0</v>
      </c>
      <c r="CE74" s="2522">
        <f t="shared" si="100"/>
        <v>0</v>
      </c>
      <c r="CF74" s="2522">
        <f t="shared" si="100"/>
        <v>0</v>
      </c>
      <c r="CG74" s="2522">
        <f t="shared" si="100"/>
        <v>0</v>
      </c>
      <c r="CH74" s="2522">
        <f t="shared" si="100"/>
        <v>0</v>
      </c>
      <c r="CI74" s="2522">
        <f t="shared" si="100"/>
        <v>0</v>
      </c>
      <c r="CJ74" s="2522">
        <f t="shared" si="100"/>
        <v>0</v>
      </c>
      <c r="CK74" s="2522">
        <f t="shared" si="100"/>
        <v>0</v>
      </c>
      <c r="CL74" s="2522">
        <f t="shared" si="100"/>
        <v>0</v>
      </c>
      <c r="CM74" s="2522">
        <f t="shared" si="100"/>
        <v>0</v>
      </c>
      <c r="CN74" s="2522">
        <f t="shared" si="100"/>
        <v>0</v>
      </c>
      <c r="CO74" s="2522">
        <f t="shared" si="100"/>
        <v>0</v>
      </c>
      <c r="CP74" s="2522">
        <f t="shared" si="100"/>
        <v>0</v>
      </c>
      <c r="CQ74" s="2522">
        <f t="shared" si="101"/>
        <v>0</v>
      </c>
      <c r="CR74" s="2522">
        <f t="shared" si="101"/>
        <v>0</v>
      </c>
      <c r="CS74" s="2522">
        <f t="shared" si="101"/>
        <v>0</v>
      </c>
      <c r="CT74" s="2522">
        <f t="shared" si="101"/>
        <v>0</v>
      </c>
      <c r="CU74" s="2522">
        <f t="shared" si="101"/>
        <v>0</v>
      </c>
      <c r="CV74" s="2522">
        <f t="shared" si="101"/>
        <v>0</v>
      </c>
      <c r="CW74" s="2522">
        <f t="shared" si="101"/>
        <v>0</v>
      </c>
      <c r="CX74" s="2522">
        <f t="shared" si="101"/>
        <v>0</v>
      </c>
      <c r="CY74" s="2522">
        <f t="shared" si="101"/>
        <v>0</v>
      </c>
      <c r="CZ74" s="2522">
        <f t="shared" si="101"/>
        <v>0</v>
      </c>
      <c r="DA74" s="2522">
        <f t="shared" si="101"/>
        <v>0</v>
      </c>
      <c r="DB74" s="2522">
        <f t="shared" si="101"/>
        <v>0</v>
      </c>
      <c r="DC74" s="2522">
        <f t="shared" si="101"/>
        <v>0</v>
      </c>
      <c r="DD74" s="2518" t="e">
        <f t="shared" si="101"/>
        <v>#DIV/0!</v>
      </c>
      <c r="DE74" s="2189"/>
      <c r="DF74" s="2518" t="e">
        <f t="shared" ref="DF74:DF79" si="102">AM74-BW74</f>
        <v>#DIV/0!</v>
      </c>
      <c r="DG74" s="2189"/>
    </row>
    <row r="75" spans="1:111" s="2196" customFormat="1" ht="18" outlineLevel="2" x14ac:dyDescent="0.35">
      <c r="A75" s="2189"/>
      <c r="B75" s="2523" t="s">
        <v>1646</v>
      </c>
      <c r="C75" s="2524"/>
      <c r="D75" s="2524"/>
      <c r="E75" s="2524"/>
      <c r="F75" s="2612"/>
      <c r="G75" s="2526">
        <f t="shared" ref="G75:P75" si="103">+G73*G74</f>
        <v>0</v>
      </c>
      <c r="H75" s="2526">
        <f t="shared" si="103"/>
        <v>0</v>
      </c>
      <c r="I75" s="2526">
        <f t="shared" si="103"/>
        <v>0</v>
      </c>
      <c r="J75" s="2526">
        <f t="shared" si="103"/>
        <v>0</v>
      </c>
      <c r="K75" s="2526">
        <f t="shared" si="103"/>
        <v>0</v>
      </c>
      <c r="L75" s="2526">
        <f t="shared" si="103"/>
        <v>0</v>
      </c>
      <c r="M75" s="2526">
        <f t="shared" si="103"/>
        <v>0</v>
      </c>
      <c r="N75" s="2526">
        <f t="shared" si="103"/>
        <v>0</v>
      </c>
      <c r="O75" s="2526">
        <f t="shared" si="103"/>
        <v>0</v>
      </c>
      <c r="P75" s="2526">
        <f t="shared" si="103"/>
        <v>0</v>
      </c>
      <c r="Q75" s="2526">
        <f>+Q73*Q74</f>
        <v>0</v>
      </c>
      <c r="R75" s="2526">
        <f t="shared" ref="R75:W75" si="104">+R73*R74</f>
        <v>0</v>
      </c>
      <c r="S75" s="2526">
        <f t="shared" si="104"/>
        <v>0</v>
      </c>
      <c r="T75" s="2526">
        <f t="shared" si="104"/>
        <v>0</v>
      </c>
      <c r="U75" s="2526">
        <f t="shared" si="104"/>
        <v>0</v>
      </c>
      <c r="V75" s="2526">
        <f t="shared" si="104"/>
        <v>0</v>
      </c>
      <c r="W75" s="2526">
        <f t="shared" si="104"/>
        <v>0</v>
      </c>
      <c r="X75" s="2526">
        <f>+X73*X74</f>
        <v>0</v>
      </c>
      <c r="Y75" s="2526">
        <f t="shared" ref="Y75:AI75" si="105">+Y73*Y74</f>
        <v>0</v>
      </c>
      <c r="Z75" s="2526">
        <f t="shared" si="105"/>
        <v>0</v>
      </c>
      <c r="AA75" s="2526">
        <f t="shared" si="105"/>
        <v>0</v>
      </c>
      <c r="AB75" s="2526">
        <f t="shared" si="105"/>
        <v>0</v>
      </c>
      <c r="AC75" s="2526">
        <f t="shared" si="105"/>
        <v>0</v>
      </c>
      <c r="AD75" s="2526">
        <f t="shared" si="105"/>
        <v>0</v>
      </c>
      <c r="AE75" s="2526">
        <f t="shared" si="105"/>
        <v>0</v>
      </c>
      <c r="AF75" s="2526">
        <f t="shared" si="105"/>
        <v>0</v>
      </c>
      <c r="AG75" s="2526">
        <f t="shared" si="105"/>
        <v>0</v>
      </c>
      <c r="AH75" s="2526">
        <f t="shared" si="105"/>
        <v>0</v>
      </c>
      <c r="AI75" s="2526">
        <f t="shared" si="105"/>
        <v>0</v>
      </c>
      <c r="AJ75" s="2527">
        <f>SUMIF($G$115:$AI$115,"1",$G75:$AI75)</f>
        <v>0</v>
      </c>
      <c r="AK75" s="2528"/>
      <c r="AL75" s="2287"/>
      <c r="AM75" s="2527">
        <f>SUMIF($G$115:$AI$115,"1",$G75:$AI75)+SUMIF($G$115:$AI$115,"2",$G75:$AI75)</f>
        <v>0</v>
      </c>
      <c r="AN75" s="2529"/>
      <c r="AO75" s="1887"/>
      <c r="AP75" s="1887"/>
      <c r="AQ75" s="2525">
        <f t="shared" ref="AQ75:BG75" si="106">+AQ73*AQ74</f>
        <v>0</v>
      </c>
      <c r="AR75" s="2526">
        <f t="shared" si="106"/>
        <v>0</v>
      </c>
      <c r="AS75" s="2526">
        <f t="shared" si="106"/>
        <v>0</v>
      </c>
      <c r="AT75" s="2526">
        <f t="shared" si="106"/>
        <v>0</v>
      </c>
      <c r="AU75" s="2526">
        <f t="shared" si="106"/>
        <v>0</v>
      </c>
      <c r="AV75" s="2526">
        <f t="shared" si="106"/>
        <v>0</v>
      </c>
      <c r="AW75" s="2526">
        <f t="shared" si="106"/>
        <v>0</v>
      </c>
      <c r="AX75" s="2526">
        <f t="shared" si="106"/>
        <v>0</v>
      </c>
      <c r="AY75" s="2526">
        <f t="shared" si="106"/>
        <v>0</v>
      </c>
      <c r="AZ75" s="2526">
        <f t="shared" si="106"/>
        <v>0</v>
      </c>
      <c r="BA75" s="2526">
        <f t="shared" si="106"/>
        <v>0</v>
      </c>
      <c r="BB75" s="2526">
        <f t="shared" si="106"/>
        <v>0</v>
      </c>
      <c r="BC75" s="2526">
        <f t="shared" si="106"/>
        <v>0</v>
      </c>
      <c r="BD75" s="2526">
        <f t="shared" si="106"/>
        <v>0</v>
      </c>
      <c r="BE75" s="2526">
        <f t="shared" si="106"/>
        <v>0</v>
      </c>
      <c r="BF75" s="2526">
        <f t="shared" si="106"/>
        <v>0</v>
      </c>
      <c r="BG75" s="2526">
        <f t="shared" si="106"/>
        <v>0</v>
      </c>
      <c r="BH75" s="2526">
        <f>+BH73*BH74</f>
        <v>0</v>
      </c>
      <c r="BI75" s="2526">
        <f t="shared" ref="BI75:BR75" si="107">+BI73*BI74</f>
        <v>0</v>
      </c>
      <c r="BJ75" s="2526">
        <f t="shared" si="107"/>
        <v>0</v>
      </c>
      <c r="BK75" s="2526">
        <f t="shared" si="107"/>
        <v>0</v>
      </c>
      <c r="BL75" s="2526">
        <f t="shared" si="107"/>
        <v>0</v>
      </c>
      <c r="BM75" s="2526">
        <f t="shared" si="107"/>
        <v>0</v>
      </c>
      <c r="BN75" s="2526">
        <f t="shared" si="107"/>
        <v>0</v>
      </c>
      <c r="BO75" s="2526">
        <f t="shared" si="107"/>
        <v>0</v>
      </c>
      <c r="BP75" s="2526">
        <f t="shared" si="107"/>
        <v>0</v>
      </c>
      <c r="BQ75" s="2526">
        <f t="shared" si="107"/>
        <v>0</v>
      </c>
      <c r="BR75" s="2526">
        <f t="shared" si="107"/>
        <v>0</v>
      </c>
      <c r="BS75" s="2526">
        <f>+BS73*BS74</f>
        <v>0</v>
      </c>
      <c r="BT75" s="2527">
        <f>SUMIF($AQ$115:$BS$115,"1",$AQ75:$BS75)</f>
        <v>0</v>
      </c>
      <c r="BU75" s="2198"/>
      <c r="BV75" s="2198"/>
      <c r="BW75" s="2527">
        <f>SUMIF($AQ$115:$BS$115,"1",$AQ75:$BS75)+SUMIF($AQ$115:$BS$115,"2",$AQ75:$BS75)</f>
        <v>0</v>
      </c>
      <c r="BX75" s="2189"/>
      <c r="BY75" s="2189"/>
      <c r="BZ75" s="2189"/>
      <c r="CA75" s="2525">
        <f t="shared" si="100"/>
        <v>0</v>
      </c>
      <c r="CB75" s="2526">
        <f t="shared" si="100"/>
        <v>0</v>
      </c>
      <c r="CC75" s="2526">
        <f t="shared" si="100"/>
        <v>0</v>
      </c>
      <c r="CD75" s="2526">
        <f t="shared" si="100"/>
        <v>0</v>
      </c>
      <c r="CE75" s="2526">
        <f t="shared" si="100"/>
        <v>0</v>
      </c>
      <c r="CF75" s="2526">
        <f t="shared" si="100"/>
        <v>0</v>
      </c>
      <c r="CG75" s="2526">
        <f t="shared" si="100"/>
        <v>0</v>
      </c>
      <c r="CH75" s="2526">
        <f t="shared" si="100"/>
        <v>0</v>
      </c>
      <c r="CI75" s="2526">
        <f t="shared" si="100"/>
        <v>0</v>
      </c>
      <c r="CJ75" s="2526">
        <f t="shared" si="100"/>
        <v>0</v>
      </c>
      <c r="CK75" s="2526">
        <f t="shared" si="100"/>
        <v>0</v>
      </c>
      <c r="CL75" s="2526">
        <f t="shared" si="100"/>
        <v>0</v>
      </c>
      <c r="CM75" s="2526">
        <f t="shared" si="100"/>
        <v>0</v>
      </c>
      <c r="CN75" s="2526">
        <f t="shared" si="100"/>
        <v>0</v>
      </c>
      <c r="CO75" s="2526">
        <f t="shared" si="100"/>
        <v>0</v>
      </c>
      <c r="CP75" s="2526">
        <f t="shared" si="100"/>
        <v>0</v>
      </c>
      <c r="CQ75" s="2526">
        <f t="shared" si="101"/>
        <v>0</v>
      </c>
      <c r="CR75" s="2526">
        <f t="shared" si="101"/>
        <v>0</v>
      </c>
      <c r="CS75" s="2526">
        <f t="shared" si="101"/>
        <v>0</v>
      </c>
      <c r="CT75" s="2526">
        <f t="shared" si="101"/>
        <v>0</v>
      </c>
      <c r="CU75" s="2526">
        <f t="shared" si="101"/>
        <v>0</v>
      </c>
      <c r="CV75" s="2526">
        <f t="shared" si="101"/>
        <v>0</v>
      </c>
      <c r="CW75" s="2526">
        <f t="shared" si="101"/>
        <v>0</v>
      </c>
      <c r="CX75" s="2526">
        <f t="shared" si="101"/>
        <v>0</v>
      </c>
      <c r="CY75" s="2526">
        <f t="shared" si="101"/>
        <v>0</v>
      </c>
      <c r="CZ75" s="2526">
        <f t="shared" si="101"/>
        <v>0</v>
      </c>
      <c r="DA75" s="2526">
        <f t="shared" si="101"/>
        <v>0</v>
      </c>
      <c r="DB75" s="2526">
        <f t="shared" si="101"/>
        <v>0</v>
      </c>
      <c r="DC75" s="2526">
        <f t="shared" si="101"/>
        <v>0</v>
      </c>
      <c r="DD75" s="2527">
        <f t="shared" si="101"/>
        <v>0</v>
      </c>
      <c r="DE75" s="2189"/>
      <c r="DF75" s="2527">
        <f t="shared" si="102"/>
        <v>0</v>
      </c>
      <c r="DG75" s="2189"/>
    </row>
    <row r="76" spans="1:111" s="2196" customFormat="1" ht="13.8" outlineLevel="2" x14ac:dyDescent="0.3">
      <c r="A76" s="2189"/>
      <c r="B76" s="2531"/>
      <c r="C76" s="2532" t="s">
        <v>1647</v>
      </c>
      <c r="D76" s="2532"/>
      <c r="E76" s="2532"/>
      <c r="F76" s="2613"/>
      <c r="G76" s="2534">
        <v>0</v>
      </c>
      <c r="H76" s="2534">
        <v>0</v>
      </c>
      <c r="I76" s="2534">
        <v>0</v>
      </c>
      <c r="J76" s="2534">
        <v>0</v>
      </c>
      <c r="K76" s="2534">
        <v>0</v>
      </c>
      <c r="L76" s="2534">
        <v>0</v>
      </c>
      <c r="M76" s="2534">
        <v>0</v>
      </c>
      <c r="N76" s="2534">
        <v>0</v>
      </c>
      <c r="O76" s="2534">
        <v>0</v>
      </c>
      <c r="P76" s="2534">
        <v>0</v>
      </c>
      <c r="Q76" s="2534">
        <v>0</v>
      </c>
      <c r="R76" s="2534">
        <v>0</v>
      </c>
      <c r="S76" s="2534">
        <v>0</v>
      </c>
      <c r="T76" s="2534">
        <v>0</v>
      </c>
      <c r="U76" s="2534">
        <v>0</v>
      </c>
      <c r="V76" s="2534">
        <v>0</v>
      </c>
      <c r="W76" s="2534">
        <v>0</v>
      </c>
      <c r="X76" s="2534">
        <v>0</v>
      </c>
      <c r="Y76" s="2534">
        <v>0</v>
      </c>
      <c r="Z76" s="2534">
        <v>0</v>
      </c>
      <c r="AA76" s="2534">
        <v>0</v>
      </c>
      <c r="AB76" s="2534">
        <v>0</v>
      </c>
      <c r="AC76" s="2534">
        <v>0</v>
      </c>
      <c r="AD76" s="2534">
        <v>0</v>
      </c>
      <c r="AE76" s="2534">
        <v>0</v>
      </c>
      <c r="AF76" s="2534">
        <v>0</v>
      </c>
      <c r="AG76" s="2534">
        <v>0</v>
      </c>
      <c r="AH76" s="2534">
        <v>0</v>
      </c>
      <c r="AI76" s="2534">
        <v>0</v>
      </c>
      <c r="AJ76" s="2536">
        <f>SUMIF($G$115:$AI$115,"1",$G76:$AI76)</f>
        <v>0</v>
      </c>
      <c r="AK76" s="2537"/>
      <c r="AL76" s="2198"/>
      <c r="AM76" s="2536">
        <f>SUMIF($G$115:$AI$115,"1",$G76:$AI76)+SUMIF($G$115:$AI$115,"2",$G76:$AI76)</f>
        <v>0</v>
      </c>
      <c r="AN76" s="2538"/>
      <c r="AO76" s="2189"/>
      <c r="AP76" s="2189"/>
      <c r="AQ76" s="2533">
        <v>0</v>
      </c>
      <c r="AR76" s="2534">
        <v>0</v>
      </c>
      <c r="AS76" s="2534">
        <v>0</v>
      </c>
      <c r="AT76" s="2534">
        <v>0</v>
      </c>
      <c r="AU76" s="2534">
        <v>0</v>
      </c>
      <c r="AV76" s="2534">
        <v>0</v>
      </c>
      <c r="AW76" s="2534">
        <v>0</v>
      </c>
      <c r="AX76" s="2534">
        <v>0</v>
      </c>
      <c r="AY76" s="2534">
        <v>0</v>
      </c>
      <c r="AZ76" s="2534">
        <v>0</v>
      </c>
      <c r="BA76" s="2534">
        <v>0</v>
      </c>
      <c r="BB76" s="2534">
        <v>0</v>
      </c>
      <c r="BC76" s="2534">
        <v>0</v>
      </c>
      <c r="BD76" s="2534">
        <v>0</v>
      </c>
      <c r="BE76" s="2534">
        <v>0</v>
      </c>
      <c r="BF76" s="2534">
        <v>0</v>
      </c>
      <c r="BG76" s="2534">
        <v>0</v>
      </c>
      <c r="BH76" s="2534">
        <v>0</v>
      </c>
      <c r="BI76" s="2534">
        <v>0</v>
      </c>
      <c r="BJ76" s="2534">
        <v>0</v>
      </c>
      <c r="BK76" s="2534">
        <v>0</v>
      </c>
      <c r="BL76" s="2534">
        <v>0</v>
      </c>
      <c r="BM76" s="2534">
        <v>0</v>
      </c>
      <c r="BN76" s="2534">
        <v>0</v>
      </c>
      <c r="BO76" s="2534">
        <v>0</v>
      </c>
      <c r="BP76" s="2534">
        <v>0</v>
      </c>
      <c r="BQ76" s="2534">
        <v>0</v>
      </c>
      <c r="BR76" s="2534">
        <v>0</v>
      </c>
      <c r="BS76" s="2534">
        <v>0</v>
      </c>
      <c r="BT76" s="2536">
        <f>SUMIF($AQ$115:$BS$115,"1",$AQ76:$BS76)</f>
        <v>0</v>
      </c>
      <c r="BU76" s="2198"/>
      <c r="BV76" s="2198"/>
      <c r="BW76" s="2536">
        <f>SUMIF($AQ$115:$BS$115,"1",$AQ76:$BS76)+SUMIF($AQ$115:$BS$115,"2",$AQ76:$BS76)</f>
        <v>0</v>
      </c>
      <c r="BX76" s="2189"/>
      <c r="BY76" s="2189"/>
      <c r="BZ76" s="2189"/>
      <c r="CA76" s="2539">
        <f t="shared" si="100"/>
        <v>0</v>
      </c>
      <c r="CB76" s="2540">
        <f t="shared" si="100"/>
        <v>0</v>
      </c>
      <c r="CC76" s="2540">
        <f t="shared" si="100"/>
        <v>0</v>
      </c>
      <c r="CD76" s="2540">
        <f t="shared" si="100"/>
        <v>0</v>
      </c>
      <c r="CE76" s="2541">
        <f t="shared" si="100"/>
        <v>0</v>
      </c>
      <c r="CF76" s="2540">
        <f t="shared" si="100"/>
        <v>0</v>
      </c>
      <c r="CG76" s="2540">
        <f t="shared" si="100"/>
        <v>0</v>
      </c>
      <c r="CH76" s="2540">
        <f t="shared" si="100"/>
        <v>0</v>
      </c>
      <c r="CI76" s="2540">
        <f t="shared" si="100"/>
        <v>0</v>
      </c>
      <c r="CJ76" s="2540">
        <f t="shared" si="100"/>
        <v>0</v>
      </c>
      <c r="CK76" s="2540">
        <f t="shared" si="100"/>
        <v>0</v>
      </c>
      <c r="CL76" s="2540">
        <f t="shared" si="100"/>
        <v>0</v>
      </c>
      <c r="CM76" s="2540">
        <f t="shared" si="100"/>
        <v>0</v>
      </c>
      <c r="CN76" s="2540">
        <f t="shared" si="100"/>
        <v>0</v>
      </c>
      <c r="CO76" s="2540">
        <f t="shared" si="100"/>
        <v>0</v>
      </c>
      <c r="CP76" s="2540">
        <f t="shared" si="100"/>
        <v>0</v>
      </c>
      <c r="CQ76" s="2540">
        <f t="shared" si="101"/>
        <v>0</v>
      </c>
      <c r="CR76" s="2540">
        <f t="shared" si="101"/>
        <v>0</v>
      </c>
      <c r="CS76" s="2540">
        <f t="shared" si="101"/>
        <v>0</v>
      </c>
      <c r="CT76" s="2540">
        <f t="shared" si="101"/>
        <v>0</v>
      </c>
      <c r="CU76" s="2540">
        <f t="shared" si="101"/>
        <v>0</v>
      </c>
      <c r="CV76" s="2540">
        <f t="shared" si="101"/>
        <v>0</v>
      </c>
      <c r="CW76" s="2540">
        <f t="shared" si="101"/>
        <v>0</v>
      </c>
      <c r="CX76" s="2540">
        <f t="shared" si="101"/>
        <v>0</v>
      </c>
      <c r="CY76" s="2540">
        <f t="shared" si="101"/>
        <v>0</v>
      </c>
      <c r="CZ76" s="2540">
        <f t="shared" si="101"/>
        <v>0</v>
      </c>
      <c r="DA76" s="2540">
        <f t="shared" si="101"/>
        <v>0</v>
      </c>
      <c r="DB76" s="2540">
        <f t="shared" si="101"/>
        <v>0</v>
      </c>
      <c r="DC76" s="2540">
        <f t="shared" si="101"/>
        <v>0</v>
      </c>
      <c r="DD76" s="2536">
        <f t="shared" si="101"/>
        <v>0</v>
      </c>
      <c r="DE76" s="2189"/>
      <c r="DF76" s="2536">
        <f t="shared" si="102"/>
        <v>0</v>
      </c>
      <c r="DG76" s="2189"/>
    </row>
    <row r="77" spans="1:111" s="2196" customFormat="1" ht="13.8" outlineLevel="2" x14ac:dyDescent="0.3">
      <c r="A77" s="2189"/>
      <c r="B77" s="2531"/>
      <c r="C77" s="2532" t="s">
        <v>1648</v>
      </c>
      <c r="D77" s="2532"/>
      <c r="E77" s="2532"/>
      <c r="F77" s="2613"/>
      <c r="G77" s="2534">
        <v>0</v>
      </c>
      <c r="H77" s="2534">
        <v>0</v>
      </c>
      <c r="I77" s="2534">
        <v>0</v>
      </c>
      <c r="J77" s="2534">
        <v>0</v>
      </c>
      <c r="K77" s="2534">
        <v>0</v>
      </c>
      <c r="L77" s="2534">
        <v>0</v>
      </c>
      <c r="M77" s="2534">
        <v>0</v>
      </c>
      <c r="N77" s="2534">
        <v>0</v>
      </c>
      <c r="O77" s="2534">
        <v>0</v>
      </c>
      <c r="P77" s="2534">
        <v>0</v>
      </c>
      <c r="Q77" s="2534">
        <v>0</v>
      </c>
      <c r="R77" s="2534">
        <v>0</v>
      </c>
      <c r="S77" s="2534">
        <v>0</v>
      </c>
      <c r="T77" s="2534">
        <v>0</v>
      </c>
      <c r="U77" s="2534">
        <v>0</v>
      </c>
      <c r="V77" s="2534">
        <v>0</v>
      </c>
      <c r="W77" s="2534">
        <v>0</v>
      </c>
      <c r="X77" s="2534">
        <v>0</v>
      </c>
      <c r="Y77" s="2534">
        <v>0</v>
      </c>
      <c r="Z77" s="2534">
        <v>0</v>
      </c>
      <c r="AA77" s="2534">
        <v>0</v>
      </c>
      <c r="AB77" s="2534">
        <v>0</v>
      </c>
      <c r="AC77" s="2534">
        <v>0</v>
      </c>
      <c r="AD77" s="2534">
        <v>0</v>
      </c>
      <c r="AE77" s="2534">
        <v>0</v>
      </c>
      <c r="AF77" s="2534">
        <v>0</v>
      </c>
      <c r="AG77" s="2534">
        <v>0</v>
      </c>
      <c r="AH77" s="2534">
        <v>0</v>
      </c>
      <c r="AI77" s="2534">
        <v>0</v>
      </c>
      <c r="AJ77" s="2536">
        <f>SUMIF($G$115:$AI$115,"1",$G77:$AI77)</f>
        <v>0</v>
      </c>
      <c r="AK77" s="2537"/>
      <c r="AL77" s="2198"/>
      <c r="AM77" s="2536">
        <f>SUMIF($G$115:$AI$115,"1",$G77:$AI77)+SUMIF($G$115:$AI$115,"2",$G77:$AI77)</f>
        <v>0</v>
      </c>
      <c r="AN77" s="2538"/>
      <c r="AO77" s="2189"/>
      <c r="AP77" s="2189"/>
      <c r="AQ77" s="2533">
        <v>0</v>
      </c>
      <c r="AR77" s="2534">
        <v>0</v>
      </c>
      <c r="AS77" s="2534">
        <v>0</v>
      </c>
      <c r="AT77" s="2534">
        <v>0</v>
      </c>
      <c r="AU77" s="2534">
        <v>0</v>
      </c>
      <c r="AV77" s="2534">
        <v>0</v>
      </c>
      <c r="AW77" s="2534">
        <v>0</v>
      </c>
      <c r="AX77" s="2534">
        <v>0</v>
      </c>
      <c r="AY77" s="2534">
        <v>0</v>
      </c>
      <c r="AZ77" s="2534">
        <v>0</v>
      </c>
      <c r="BA77" s="2534">
        <v>0</v>
      </c>
      <c r="BB77" s="2534">
        <v>0</v>
      </c>
      <c r="BC77" s="2534">
        <v>0</v>
      </c>
      <c r="BD77" s="2534">
        <v>0</v>
      </c>
      <c r="BE77" s="2534">
        <v>0</v>
      </c>
      <c r="BF77" s="2534">
        <v>0</v>
      </c>
      <c r="BG77" s="2534">
        <v>0</v>
      </c>
      <c r="BH77" s="2534">
        <v>0</v>
      </c>
      <c r="BI77" s="2534">
        <v>0</v>
      </c>
      <c r="BJ77" s="2534">
        <v>0</v>
      </c>
      <c r="BK77" s="2534">
        <v>0</v>
      </c>
      <c r="BL77" s="2534">
        <v>0</v>
      </c>
      <c r="BM77" s="2534">
        <v>0</v>
      </c>
      <c r="BN77" s="2534">
        <v>0</v>
      </c>
      <c r="BO77" s="2534">
        <v>0</v>
      </c>
      <c r="BP77" s="2534">
        <v>0</v>
      </c>
      <c r="BQ77" s="2534">
        <v>0</v>
      </c>
      <c r="BR77" s="2534">
        <v>0</v>
      </c>
      <c r="BS77" s="2534">
        <v>0</v>
      </c>
      <c r="BT77" s="2536">
        <f>SUMIF($AQ$115:$BS$115,"1",$AQ77:$BS77)</f>
        <v>0</v>
      </c>
      <c r="BU77" s="2198"/>
      <c r="BV77" s="2198"/>
      <c r="BW77" s="2536">
        <f>SUMIF($AQ$115:$BS$115,"1",$AQ77:$BS77)+SUMIF($AQ$115:$BS$115,"2",$AQ77:$BS77)</f>
        <v>0</v>
      </c>
      <c r="BX77" s="2189"/>
      <c r="BY77" s="2189"/>
      <c r="BZ77" s="2189"/>
      <c r="CA77" s="2539">
        <f t="shared" si="100"/>
        <v>0</v>
      </c>
      <c r="CB77" s="2540">
        <f t="shared" si="100"/>
        <v>0</v>
      </c>
      <c r="CC77" s="2540">
        <f t="shared" si="100"/>
        <v>0</v>
      </c>
      <c r="CD77" s="2540">
        <f t="shared" si="100"/>
        <v>0</v>
      </c>
      <c r="CE77" s="2540">
        <f t="shared" si="100"/>
        <v>0</v>
      </c>
      <c r="CF77" s="2540">
        <f t="shared" si="100"/>
        <v>0</v>
      </c>
      <c r="CG77" s="2540">
        <f t="shared" si="100"/>
        <v>0</v>
      </c>
      <c r="CH77" s="2540">
        <f t="shared" si="100"/>
        <v>0</v>
      </c>
      <c r="CI77" s="2540">
        <f t="shared" si="100"/>
        <v>0</v>
      </c>
      <c r="CJ77" s="2540">
        <f t="shared" si="100"/>
        <v>0</v>
      </c>
      <c r="CK77" s="2540">
        <f t="shared" si="100"/>
        <v>0</v>
      </c>
      <c r="CL77" s="2540">
        <f t="shared" si="100"/>
        <v>0</v>
      </c>
      <c r="CM77" s="2540">
        <f t="shared" si="100"/>
        <v>0</v>
      </c>
      <c r="CN77" s="2540">
        <f t="shared" si="100"/>
        <v>0</v>
      </c>
      <c r="CO77" s="2540">
        <f t="shared" si="100"/>
        <v>0</v>
      </c>
      <c r="CP77" s="2540">
        <f t="shared" si="100"/>
        <v>0</v>
      </c>
      <c r="CQ77" s="2540">
        <f t="shared" si="101"/>
        <v>0</v>
      </c>
      <c r="CR77" s="2540">
        <f t="shared" si="101"/>
        <v>0</v>
      </c>
      <c r="CS77" s="2540">
        <f t="shared" si="101"/>
        <v>0</v>
      </c>
      <c r="CT77" s="2540">
        <f t="shared" si="101"/>
        <v>0</v>
      </c>
      <c r="CU77" s="2540">
        <f t="shared" si="101"/>
        <v>0</v>
      </c>
      <c r="CV77" s="2540">
        <f t="shared" si="101"/>
        <v>0</v>
      </c>
      <c r="CW77" s="2540">
        <f t="shared" si="101"/>
        <v>0</v>
      </c>
      <c r="CX77" s="2540">
        <f t="shared" si="101"/>
        <v>0</v>
      </c>
      <c r="CY77" s="2540">
        <f t="shared" si="101"/>
        <v>0</v>
      </c>
      <c r="CZ77" s="2540">
        <f t="shared" si="101"/>
        <v>0</v>
      </c>
      <c r="DA77" s="2540">
        <f t="shared" si="101"/>
        <v>0</v>
      </c>
      <c r="DB77" s="2540">
        <f t="shared" si="101"/>
        <v>0</v>
      </c>
      <c r="DC77" s="2540">
        <f t="shared" si="101"/>
        <v>0</v>
      </c>
      <c r="DD77" s="2536">
        <f t="shared" si="101"/>
        <v>0</v>
      </c>
      <c r="DE77" s="2189"/>
      <c r="DF77" s="2536">
        <f t="shared" si="102"/>
        <v>0</v>
      </c>
      <c r="DG77" s="2189"/>
    </row>
    <row r="78" spans="1:111" s="2196" customFormat="1" ht="13.8" outlineLevel="2" x14ac:dyDescent="0.3">
      <c r="A78" s="2189"/>
      <c r="B78" s="2531"/>
      <c r="C78" s="2532" t="s">
        <v>1649</v>
      </c>
      <c r="D78" s="2532"/>
      <c r="E78" s="2532"/>
      <c r="F78" s="2613"/>
      <c r="G78" s="2534">
        <v>0</v>
      </c>
      <c r="H78" s="2534">
        <v>0</v>
      </c>
      <c r="I78" s="2534">
        <v>0</v>
      </c>
      <c r="J78" s="2534">
        <v>0</v>
      </c>
      <c r="K78" s="2534">
        <v>0</v>
      </c>
      <c r="L78" s="2534">
        <v>0</v>
      </c>
      <c r="M78" s="2534">
        <v>0</v>
      </c>
      <c r="N78" s="2534">
        <v>0</v>
      </c>
      <c r="O78" s="2534">
        <v>0</v>
      </c>
      <c r="P78" s="2534">
        <v>0</v>
      </c>
      <c r="Q78" s="2534">
        <v>0</v>
      </c>
      <c r="R78" s="2534">
        <v>0</v>
      </c>
      <c r="S78" s="2534">
        <v>0</v>
      </c>
      <c r="T78" s="2534">
        <v>0</v>
      </c>
      <c r="U78" s="2534">
        <v>0</v>
      </c>
      <c r="V78" s="2534">
        <v>0</v>
      </c>
      <c r="W78" s="2534">
        <v>0</v>
      </c>
      <c r="X78" s="2534">
        <v>0</v>
      </c>
      <c r="Y78" s="2534">
        <v>0</v>
      </c>
      <c r="Z78" s="2534">
        <v>0</v>
      </c>
      <c r="AA78" s="2534">
        <v>0</v>
      </c>
      <c r="AB78" s="2534">
        <v>0</v>
      </c>
      <c r="AC78" s="2534">
        <v>0</v>
      </c>
      <c r="AD78" s="2534">
        <v>0</v>
      </c>
      <c r="AE78" s="2534">
        <v>0</v>
      </c>
      <c r="AF78" s="2534">
        <v>0</v>
      </c>
      <c r="AG78" s="2534">
        <v>0</v>
      </c>
      <c r="AH78" s="2534">
        <v>0</v>
      </c>
      <c r="AI78" s="2534">
        <v>0</v>
      </c>
      <c r="AJ78" s="2536">
        <f>SUMIF($G$115:$AI$115,"1",$G78:$AI78)</f>
        <v>0</v>
      </c>
      <c r="AK78" s="2537"/>
      <c r="AL78" s="2198"/>
      <c r="AM78" s="2536">
        <f>SUMIF($G$115:$AI$115,"1",$G78:$AI78)+SUMIF($G$115:$AI$115,"2",$G78:$AI78)</f>
        <v>0</v>
      </c>
      <c r="AN78" s="2538"/>
      <c r="AO78" s="2189"/>
      <c r="AP78" s="2189"/>
      <c r="AQ78" s="2533">
        <v>0</v>
      </c>
      <c r="AR78" s="2534">
        <v>0</v>
      </c>
      <c r="AS78" s="2534">
        <v>0</v>
      </c>
      <c r="AT78" s="2534">
        <v>0</v>
      </c>
      <c r="AU78" s="2534">
        <v>0</v>
      </c>
      <c r="AV78" s="2534">
        <v>0</v>
      </c>
      <c r="AW78" s="2534">
        <v>0</v>
      </c>
      <c r="AX78" s="2534">
        <v>0</v>
      </c>
      <c r="AY78" s="2534">
        <v>0</v>
      </c>
      <c r="AZ78" s="2534">
        <v>0</v>
      </c>
      <c r="BA78" s="2534">
        <v>0</v>
      </c>
      <c r="BB78" s="2534">
        <v>0</v>
      </c>
      <c r="BC78" s="2534">
        <v>0</v>
      </c>
      <c r="BD78" s="2534">
        <v>0</v>
      </c>
      <c r="BE78" s="2534">
        <v>0</v>
      </c>
      <c r="BF78" s="2534">
        <v>0</v>
      </c>
      <c r="BG78" s="2534">
        <v>0</v>
      </c>
      <c r="BH78" s="2534">
        <v>0</v>
      </c>
      <c r="BI78" s="2534">
        <v>0</v>
      </c>
      <c r="BJ78" s="2534">
        <v>0</v>
      </c>
      <c r="BK78" s="2534">
        <v>0</v>
      </c>
      <c r="BL78" s="2534">
        <v>0</v>
      </c>
      <c r="BM78" s="2534">
        <v>0</v>
      </c>
      <c r="BN78" s="2534">
        <v>0</v>
      </c>
      <c r="BO78" s="2534">
        <v>0</v>
      </c>
      <c r="BP78" s="2534">
        <v>0</v>
      </c>
      <c r="BQ78" s="2534">
        <v>0</v>
      </c>
      <c r="BR78" s="2534">
        <v>0</v>
      </c>
      <c r="BS78" s="2534">
        <v>0</v>
      </c>
      <c r="BT78" s="2536">
        <f>SUMIF($AQ$115:$BS$115,"1",$AQ78:$BS78)</f>
        <v>0</v>
      </c>
      <c r="BU78" s="2198"/>
      <c r="BV78" s="2198"/>
      <c r="BW78" s="2536">
        <f>SUMIF($AQ$115:$BS$115,"1",$AQ78:$BS78)+SUMIF($AQ$115:$BS$115,"2",$AQ78:$BS78)</f>
        <v>0</v>
      </c>
      <c r="BX78" s="2189"/>
      <c r="BY78" s="2189"/>
      <c r="BZ78" s="2189"/>
      <c r="CA78" s="2539">
        <f t="shared" si="100"/>
        <v>0</v>
      </c>
      <c r="CB78" s="2540">
        <f t="shared" si="100"/>
        <v>0</v>
      </c>
      <c r="CC78" s="2540">
        <f t="shared" si="100"/>
        <v>0</v>
      </c>
      <c r="CD78" s="2540">
        <f t="shared" si="100"/>
        <v>0</v>
      </c>
      <c r="CE78" s="2540">
        <f t="shared" si="100"/>
        <v>0</v>
      </c>
      <c r="CF78" s="2540">
        <f t="shared" si="100"/>
        <v>0</v>
      </c>
      <c r="CG78" s="2540">
        <f t="shared" si="100"/>
        <v>0</v>
      </c>
      <c r="CH78" s="2540">
        <f t="shared" si="100"/>
        <v>0</v>
      </c>
      <c r="CI78" s="2540">
        <f t="shared" si="100"/>
        <v>0</v>
      </c>
      <c r="CJ78" s="2540">
        <f t="shared" si="100"/>
        <v>0</v>
      </c>
      <c r="CK78" s="2540">
        <f t="shared" si="100"/>
        <v>0</v>
      </c>
      <c r="CL78" s="2540">
        <f t="shared" si="100"/>
        <v>0</v>
      </c>
      <c r="CM78" s="2540">
        <f t="shared" si="100"/>
        <v>0</v>
      </c>
      <c r="CN78" s="2540">
        <f t="shared" si="100"/>
        <v>0</v>
      </c>
      <c r="CO78" s="2540">
        <f t="shared" si="100"/>
        <v>0</v>
      </c>
      <c r="CP78" s="2540">
        <f t="shared" si="100"/>
        <v>0</v>
      </c>
      <c r="CQ78" s="2540">
        <f t="shared" si="101"/>
        <v>0</v>
      </c>
      <c r="CR78" s="2540">
        <f t="shared" si="101"/>
        <v>0</v>
      </c>
      <c r="CS78" s="2540">
        <f t="shared" si="101"/>
        <v>0</v>
      </c>
      <c r="CT78" s="2540">
        <f t="shared" si="101"/>
        <v>0</v>
      </c>
      <c r="CU78" s="2540">
        <f t="shared" si="101"/>
        <v>0</v>
      </c>
      <c r="CV78" s="2540">
        <f t="shared" si="101"/>
        <v>0</v>
      </c>
      <c r="CW78" s="2540">
        <f t="shared" si="101"/>
        <v>0</v>
      </c>
      <c r="CX78" s="2540">
        <f t="shared" si="101"/>
        <v>0</v>
      </c>
      <c r="CY78" s="2540">
        <f t="shared" si="101"/>
        <v>0</v>
      </c>
      <c r="CZ78" s="2540">
        <f t="shared" si="101"/>
        <v>0</v>
      </c>
      <c r="DA78" s="2540">
        <f t="shared" si="101"/>
        <v>0</v>
      </c>
      <c r="DB78" s="2540">
        <f t="shared" si="101"/>
        <v>0</v>
      </c>
      <c r="DC78" s="2540">
        <f t="shared" si="101"/>
        <v>0</v>
      </c>
      <c r="DD78" s="2536">
        <f t="shared" si="101"/>
        <v>0</v>
      </c>
      <c r="DE78" s="2189"/>
      <c r="DF78" s="2536">
        <f t="shared" si="102"/>
        <v>0</v>
      </c>
      <c r="DG78" s="2189"/>
    </row>
    <row r="79" spans="1:111" s="2196" customFormat="1" ht="18" outlineLevel="2" x14ac:dyDescent="0.35">
      <c r="A79" s="2189"/>
      <c r="B79" s="2523" t="s">
        <v>1650</v>
      </c>
      <c r="C79" s="2524"/>
      <c r="D79" s="2524"/>
      <c r="E79" s="2524"/>
      <c r="F79" s="2612"/>
      <c r="G79" s="2526">
        <f t="shared" ref="G79:W79" si="108">SUM(G75:G78)</f>
        <v>0</v>
      </c>
      <c r="H79" s="2526">
        <f t="shared" si="108"/>
        <v>0</v>
      </c>
      <c r="I79" s="2526">
        <f t="shared" si="108"/>
        <v>0</v>
      </c>
      <c r="J79" s="2526">
        <f t="shared" si="108"/>
        <v>0</v>
      </c>
      <c r="K79" s="2526">
        <f t="shared" si="108"/>
        <v>0</v>
      </c>
      <c r="L79" s="2526">
        <f t="shared" si="108"/>
        <v>0</v>
      </c>
      <c r="M79" s="2526">
        <f t="shared" si="108"/>
        <v>0</v>
      </c>
      <c r="N79" s="2526">
        <f t="shared" si="108"/>
        <v>0</v>
      </c>
      <c r="O79" s="2526">
        <f t="shared" si="108"/>
        <v>0</v>
      </c>
      <c r="P79" s="2526">
        <f t="shared" si="108"/>
        <v>0</v>
      </c>
      <c r="Q79" s="2526">
        <f t="shared" si="108"/>
        <v>0</v>
      </c>
      <c r="R79" s="2526">
        <f t="shared" si="108"/>
        <v>0</v>
      </c>
      <c r="S79" s="2526">
        <f t="shared" si="108"/>
        <v>0</v>
      </c>
      <c r="T79" s="2526">
        <f t="shared" si="108"/>
        <v>0</v>
      </c>
      <c r="U79" s="2526">
        <f t="shared" si="108"/>
        <v>0</v>
      </c>
      <c r="V79" s="2526">
        <f t="shared" si="108"/>
        <v>0</v>
      </c>
      <c r="W79" s="2526">
        <f t="shared" si="108"/>
        <v>0</v>
      </c>
      <c r="X79" s="2526">
        <f>SUM(X75:X78)</f>
        <v>0</v>
      </c>
      <c r="Y79" s="2526">
        <f t="shared" ref="Y79:AI79" si="109">SUM(Y75:Y78)</f>
        <v>0</v>
      </c>
      <c r="Z79" s="2526">
        <f t="shared" si="109"/>
        <v>0</v>
      </c>
      <c r="AA79" s="2526">
        <f t="shared" si="109"/>
        <v>0</v>
      </c>
      <c r="AB79" s="2526">
        <f t="shared" si="109"/>
        <v>0</v>
      </c>
      <c r="AC79" s="2526">
        <f t="shared" si="109"/>
        <v>0</v>
      </c>
      <c r="AD79" s="2526">
        <f t="shared" si="109"/>
        <v>0</v>
      </c>
      <c r="AE79" s="2526">
        <f t="shared" si="109"/>
        <v>0</v>
      </c>
      <c r="AF79" s="2526">
        <f t="shared" si="109"/>
        <v>0</v>
      </c>
      <c r="AG79" s="2526">
        <f t="shared" si="109"/>
        <v>0</v>
      </c>
      <c r="AH79" s="2526">
        <f t="shared" si="109"/>
        <v>0</v>
      </c>
      <c r="AI79" s="2526">
        <f t="shared" si="109"/>
        <v>0</v>
      </c>
      <c r="AJ79" s="2527">
        <f>SUMIF($G$115:$AI$115,"1",$G79:$AI79)</f>
        <v>0</v>
      </c>
      <c r="AK79" s="2542"/>
      <c r="AL79" s="2287"/>
      <c r="AM79" s="2527">
        <f>SUMIF($G$115:$AI$115,"1",$G79:$AI79)+SUMIF($G$115:$AI$115,"2",$G79:$AI79)</f>
        <v>0</v>
      </c>
      <c r="AN79" s="2529"/>
      <c r="AO79" s="1887"/>
      <c r="AP79" s="1887"/>
      <c r="AQ79" s="2525">
        <f t="shared" ref="AQ79:BS79" si="110">SUM(AQ75:AQ78)</f>
        <v>0</v>
      </c>
      <c r="AR79" s="2526">
        <f t="shared" si="110"/>
        <v>0</v>
      </c>
      <c r="AS79" s="2526">
        <f t="shared" si="110"/>
        <v>0</v>
      </c>
      <c r="AT79" s="2526">
        <f t="shared" si="110"/>
        <v>0</v>
      </c>
      <c r="AU79" s="2526">
        <f t="shared" si="110"/>
        <v>0</v>
      </c>
      <c r="AV79" s="2526">
        <f t="shared" si="110"/>
        <v>0</v>
      </c>
      <c r="AW79" s="2526">
        <f t="shared" si="110"/>
        <v>0</v>
      </c>
      <c r="AX79" s="2526">
        <f t="shared" si="110"/>
        <v>0</v>
      </c>
      <c r="AY79" s="2526">
        <f t="shared" si="110"/>
        <v>0</v>
      </c>
      <c r="AZ79" s="2526">
        <f t="shared" si="110"/>
        <v>0</v>
      </c>
      <c r="BA79" s="2526">
        <f t="shared" si="110"/>
        <v>0</v>
      </c>
      <c r="BB79" s="2526">
        <f t="shared" si="110"/>
        <v>0</v>
      </c>
      <c r="BC79" s="2526">
        <f t="shared" si="110"/>
        <v>0</v>
      </c>
      <c r="BD79" s="2526">
        <f t="shared" si="110"/>
        <v>0</v>
      </c>
      <c r="BE79" s="2526">
        <f t="shared" si="110"/>
        <v>0</v>
      </c>
      <c r="BF79" s="2526">
        <f t="shared" si="110"/>
        <v>0</v>
      </c>
      <c r="BG79" s="2526">
        <f t="shared" si="110"/>
        <v>0</v>
      </c>
      <c r="BH79" s="2526">
        <f t="shared" si="110"/>
        <v>0</v>
      </c>
      <c r="BI79" s="2526">
        <f t="shared" ref="BI79:BR79" si="111">SUM(BI75:BI78)</f>
        <v>0</v>
      </c>
      <c r="BJ79" s="2526">
        <f t="shared" si="111"/>
        <v>0</v>
      </c>
      <c r="BK79" s="2526">
        <f t="shared" si="111"/>
        <v>0</v>
      </c>
      <c r="BL79" s="2526">
        <f t="shared" si="111"/>
        <v>0</v>
      </c>
      <c r="BM79" s="2526">
        <f t="shared" si="111"/>
        <v>0</v>
      </c>
      <c r="BN79" s="2526">
        <f t="shared" si="111"/>
        <v>0</v>
      </c>
      <c r="BO79" s="2526">
        <f t="shared" si="111"/>
        <v>0</v>
      </c>
      <c r="BP79" s="2526">
        <f t="shared" si="111"/>
        <v>0</v>
      </c>
      <c r="BQ79" s="2526">
        <f t="shared" si="111"/>
        <v>0</v>
      </c>
      <c r="BR79" s="2526">
        <f t="shared" si="111"/>
        <v>0</v>
      </c>
      <c r="BS79" s="2526">
        <f t="shared" si="110"/>
        <v>0</v>
      </c>
      <c r="BT79" s="2527">
        <f>SUMIF($AQ$115:$BS$115,"1",$AQ79:$BS79)</f>
        <v>0</v>
      </c>
      <c r="BU79" s="2198"/>
      <c r="BV79" s="2198"/>
      <c r="BW79" s="2527">
        <f>SUMIF($AQ$115:$BS$115,"1",$AQ79:$BS79)+SUMIF($AQ$115:$BS$115,"2",$AQ79:$BS79)</f>
        <v>0</v>
      </c>
      <c r="BX79" s="2189"/>
      <c r="BY79" s="2189"/>
      <c r="BZ79" s="2189"/>
      <c r="CA79" s="2525">
        <f t="shared" si="100"/>
        <v>0</v>
      </c>
      <c r="CB79" s="2526">
        <f t="shared" si="100"/>
        <v>0</v>
      </c>
      <c r="CC79" s="2526">
        <f t="shared" si="100"/>
        <v>0</v>
      </c>
      <c r="CD79" s="2526">
        <f t="shared" si="100"/>
        <v>0</v>
      </c>
      <c r="CE79" s="2526">
        <f t="shared" si="100"/>
        <v>0</v>
      </c>
      <c r="CF79" s="2526">
        <f t="shared" si="100"/>
        <v>0</v>
      </c>
      <c r="CG79" s="2526">
        <f t="shared" si="100"/>
        <v>0</v>
      </c>
      <c r="CH79" s="2526">
        <f t="shared" si="100"/>
        <v>0</v>
      </c>
      <c r="CI79" s="2526">
        <f t="shared" si="100"/>
        <v>0</v>
      </c>
      <c r="CJ79" s="2526">
        <f t="shared" si="100"/>
        <v>0</v>
      </c>
      <c r="CK79" s="2526">
        <f t="shared" si="100"/>
        <v>0</v>
      </c>
      <c r="CL79" s="2526">
        <f t="shared" si="100"/>
        <v>0</v>
      </c>
      <c r="CM79" s="2526">
        <f t="shared" si="100"/>
        <v>0</v>
      </c>
      <c r="CN79" s="2526">
        <f t="shared" si="100"/>
        <v>0</v>
      </c>
      <c r="CO79" s="2526">
        <f t="shared" si="100"/>
        <v>0</v>
      </c>
      <c r="CP79" s="2526">
        <f t="shared" si="100"/>
        <v>0</v>
      </c>
      <c r="CQ79" s="2526">
        <f t="shared" si="101"/>
        <v>0</v>
      </c>
      <c r="CR79" s="2526">
        <f t="shared" si="101"/>
        <v>0</v>
      </c>
      <c r="CS79" s="2526">
        <f t="shared" si="101"/>
        <v>0</v>
      </c>
      <c r="CT79" s="2526">
        <f t="shared" si="101"/>
        <v>0</v>
      </c>
      <c r="CU79" s="2526">
        <f t="shared" si="101"/>
        <v>0</v>
      </c>
      <c r="CV79" s="2526">
        <f t="shared" si="101"/>
        <v>0</v>
      </c>
      <c r="CW79" s="2526">
        <f t="shared" si="101"/>
        <v>0</v>
      </c>
      <c r="CX79" s="2526">
        <f t="shared" si="101"/>
        <v>0</v>
      </c>
      <c r="CY79" s="2526">
        <f t="shared" si="101"/>
        <v>0</v>
      </c>
      <c r="CZ79" s="2526">
        <f t="shared" si="101"/>
        <v>0</v>
      </c>
      <c r="DA79" s="2526">
        <f t="shared" si="101"/>
        <v>0</v>
      </c>
      <c r="DB79" s="2526">
        <f t="shared" si="101"/>
        <v>0</v>
      </c>
      <c r="DC79" s="2526">
        <f t="shared" si="101"/>
        <v>0</v>
      </c>
      <c r="DD79" s="2527">
        <f t="shared" si="101"/>
        <v>0</v>
      </c>
      <c r="DE79" s="2189"/>
      <c r="DF79" s="2527">
        <f t="shared" si="102"/>
        <v>0</v>
      </c>
      <c r="DG79" s="2189"/>
    </row>
    <row r="80" spans="1:111" s="2196" customFormat="1" ht="13.8" outlineLevel="2" x14ac:dyDescent="0.3">
      <c r="A80" s="2189"/>
      <c r="B80" s="2543" t="s">
        <v>1651</v>
      </c>
      <c r="C80" s="2544"/>
      <c r="D80" s="2544"/>
      <c r="E80" s="2544"/>
      <c r="F80" s="2614"/>
      <c r="G80" s="2547">
        <v>0</v>
      </c>
      <c r="H80" s="2547">
        <v>0</v>
      </c>
      <c r="I80" s="2547">
        <v>0</v>
      </c>
      <c r="J80" s="2547">
        <v>0</v>
      </c>
      <c r="K80" s="2547">
        <v>0</v>
      </c>
      <c r="L80" s="2547">
        <v>0</v>
      </c>
      <c r="M80" s="2547">
        <v>0</v>
      </c>
      <c r="N80" s="2547">
        <v>0</v>
      </c>
      <c r="O80" s="2547">
        <v>0</v>
      </c>
      <c r="P80" s="2547">
        <v>0</v>
      </c>
      <c r="Q80" s="2547">
        <v>0</v>
      </c>
      <c r="R80" s="2547">
        <v>0</v>
      </c>
      <c r="S80" s="2547">
        <v>0</v>
      </c>
      <c r="T80" s="2547">
        <v>0</v>
      </c>
      <c r="U80" s="2547">
        <v>0</v>
      </c>
      <c r="V80" s="2547">
        <v>0</v>
      </c>
      <c r="W80" s="2547">
        <v>0</v>
      </c>
      <c r="X80" s="2547">
        <v>0</v>
      </c>
      <c r="Y80" s="2547">
        <v>0</v>
      </c>
      <c r="Z80" s="2547">
        <v>0</v>
      </c>
      <c r="AA80" s="2547">
        <v>0</v>
      </c>
      <c r="AB80" s="2547">
        <v>0</v>
      </c>
      <c r="AC80" s="2547">
        <v>0</v>
      </c>
      <c r="AD80" s="2547">
        <v>0</v>
      </c>
      <c r="AE80" s="2547">
        <v>0</v>
      </c>
      <c r="AF80" s="2547">
        <v>0</v>
      </c>
      <c r="AG80" s="2547">
        <v>0</v>
      </c>
      <c r="AH80" s="2547">
        <v>0</v>
      </c>
      <c r="AI80" s="2547">
        <v>0</v>
      </c>
      <c r="AJ80" s="2548"/>
      <c r="AK80" s="2549"/>
      <c r="AL80" s="2198"/>
      <c r="AM80" s="2548"/>
      <c r="AN80" s="2550"/>
      <c r="AO80" s="2198"/>
      <c r="AP80" s="2198"/>
      <c r="AQ80" s="2546">
        <v>0</v>
      </c>
      <c r="AR80" s="2547">
        <v>0</v>
      </c>
      <c r="AS80" s="2547">
        <v>0</v>
      </c>
      <c r="AT80" s="2547">
        <v>0</v>
      </c>
      <c r="AU80" s="2547">
        <v>0</v>
      </c>
      <c r="AV80" s="2547">
        <v>0</v>
      </c>
      <c r="AW80" s="2547">
        <v>0</v>
      </c>
      <c r="AX80" s="2547">
        <v>0</v>
      </c>
      <c r="AY80" s="2547">
        <v>0</v>
      </c>
      <c r="AZ80" s="2547">
        <v>0</v>
      </c>
      <c r="BA80" s="2547">
        <v>0</v>
      </c>
      <c r="BB80" s="2547">
        <v>0</v>
      </c>
      <c r="BC80" s="2547">
        <v>0</v>
      </c>
      <c r="BD80" s="2547">
        <v>0</v>
      </c>
      <c r="BE80" s="2547">
        <v>0</v>
      </c>
      <c r="BF80" s="2547">
        <v>0</v>
      </c>
      <c r="BG80" s="2547">
        <v>0</v>
      </c>
      <c r="BH80" s="2547">
        <v>0</v>
      </c>
      <c r="BI80" s="2547">
        <v>0</v>
      </c>
      <c r="BJ80" s="2547">
        <v>0</v>
      </c>
      <c r="BK80" s="2547">
        <v>0</v>
      </c>
      <c r="BL80" s="2547">
        <v>0</v>
      </c>
      <c r="BM80" s="2547">
        <v>0</v>
      </c>
      <c r="BN80" s="2547">
        <v>0</v>
      </c>
      <c r="BO80" s="2547">
        <v>0</v>
      </c>
      <c r="BP80" s="2547">
        <v>0</v>
      </c>
      <c r="BQ80" s="2547">
        <v>0</v>
      </c>
      <c r="BR80" s="2547">
        <v>0</v>
      </c>
      <c r="BS80" s="2547">
        <v>0</v>
      </c>
      <c r="BT80" s="2548"/>
      <c r="BU80" s="2198"/>
      <c r="BV80" s="2198"/>
      <c r="BW80" s="2548"/>
      <c r="BX80" s="2189"/>
      <c r="BY80" s="2189"/>
      <c r="BZ80" s="2189"/>
      <c r="CA80" s="2551">
        <f t="shared" si="100"/>
        <v>0</v>
      </c>
      <c r="CB80" s="2552">
        <f t="shared" si="100"/>
        <v>0</v>
      </c>
      <c r="CC80" s="2552">
        <f t="shared" si="100"/>
        <v>0</v>
      </c>
      <c r="CD80" s="2552">
        <f t="shared" si="100"/>
        <v>0</v>
      </c>
      <c r="CE80" s="2552">
        <f t="shared" si="100"/>
        <v>0</v>
      </c>
      <c r="CF80" s="2552">
        <f t="shared" si="100"/>
        <v>0</v>
      </c>
      <c r="CG80" s="2552">
        <f t="shared" si="100"/>
        <v>0</v>
      </c>
      <c r="CH80" s="2552">
        <f t="shared" si="100"/>
        <v>0</v>
      </c>
      <c r="CI80" s="2552">
        <f t="shared" si="100"/>
        <v>0</v>
      </c>
      <c r="CJ80" s="2552">
        <f t="shared" si="100"/>
        <v>0</v>
      </c>
      <c r="CK80" s="2552">
        <f t="shared" si="100"/>
        <v>0</v>
      </c>
      <c r="CL80" s="2552">
        <f t="shared" si="100"/>
        <v>0</v>
      </c>
      <c r="CM80" s="2552">
        <f t="shared" si="100"/>
        <v>0</v>
      </c>
      <c r="CN80" s="2552">
        <f t="shared" si="100"/>
        <v>0</v>
      </c>
      <c r="CO80" s="2552">
        <f t="shared" si="100"/>
        <v>0</v>
      </c>
      <c r="CP80" s="2552">
        <f t="shared" si="100"/>
        <v>0</v>
      </c>
      <c r="CQ80" s="2552">
        <f t="shared" si="101"/>
        <v>0</v>
      </c>
      <c r="CR80" s="2552">
        <f t="shared" si="101"/>
        <v>0</v>
      </c>
      <c r="CS80" s="2552">
        <f t="shared" si="101"/>
        <v>0</v>
      </c>
      <c r="CT80" s="2552">
        <f t="shared" si="101"/>
        <v>0</v>
      </c>
      <c r="CU80" s="2552">
        <f t="shared" si="101"/>
        <v>0</v>
      </c>
      <c r="CV80" s="2552">
        <f t="shared" si="101"/>
        <v>0</v>
      </c>
      <c r="CW80" s="2552">
        <f t="shared" si="101"/>
        <v>0</v>
      </c>
      <c r="CX80" s="2552">
        <f t="shared" si="101"/>
        <v>0</v>
      </c>
      <c r="CY80" s="2552">
        <f t="shared" si="101"/>
        <v>0</v>
      </c>
      <c r="CZ80" s="2552">
        <f t="shared" si="101"/>
        <v>0</v>
      </c>
      <c r="DA80" s="2552">
        <f t="shared" si="101"/>
        <v>0</v>
      </c>
      <c r="DB80" s="2552">
        <f t="shared" si="101"/>
        <v>0</v>
      </c>
      <c r="DC80" s="2552">
        <f t="shared" si="101"/>
        <v>0</v>
      </c>
      <c r="DD80" s="2548"/>
      <c r="DE80" s="2189"/>
      <c r="DF80" s="2548"/>
      <c r="DG80" s="2189"/>
    </row>
    <row r="81" spans="1:111" s="2196" customFormat="1" ht="13.8" outlineLevel="2" x14ac:dyDescent="0.3">
      <c r="A81" s="2189"/>
      <c r="B81" s="2553" t="s">
        <v>1652</v>
      </c>
      <c r="C81" s="2554"/>
      <c r="D81" s="2554"/>
      <c r="E81" s="2554"/>
      <c r="F81" s="2615"/>
      <c r="G81" s="2557">
        <v>0</v>
      </c>
      <c r="H81" s="2557">
        <v>0</v>
      </c>
      <c r="I81" s="2557">
        <v>0</v>
      </c>
      <c r="J81" s="2557">
        <v>0</v>
      </c>
      <c r="K81" s="2557">
        <v>0</v>
      </c>
      <c r="L81" s="2557">
        <v>0</v>
      </c>
      <c r="M81" s="2557">
        <v>0</v>
      </c>
      <c r="N81" s="2557">
        <v>0</v>
      </c>
      <c r="O81" s="2557">
        <v>0</v>
      </c>
      <c r="P81" s="2557">
        <v>0</v>
      </c>
      <c r="Q81" s="2557">
        <v>0</v>
      </c>
      <c r="R81" s="2557">
        <v>0</v>
      </c>
      <c r="S81" s="2557">
        <v>0</v>
      </c>
      <c r="T81" s="2557">
        <v>0</v>
      </c>
      <c r="U81" s="2557">
        <v>0</v>
      </c>
      <c r="V81" s="2557">
        <v>0</v>
      </c>
      <c r="W81" s="2557">
        <v>0</v>
      </c>
      <c r="X81" s="2557">
        <v>0</v>
      </c>
      <c r="Y81" s="2557">
        <v>0</v>
      </c>
      <c r="Z81" s="2557">
        <v>0</v>
      </c>
      <c r="AA81" s="2557">
        <v>0</v>
      </c>
      <c r="AB81" s="2557">
        <v>0</v>
      </c>
      <c r="AC81" s="2557">
        <v>0</v>
      </c>
      <c r="AD81" s="2557">
        <v>0</v>
      </c>
      <c r="AE81" s="2557">
        <v>0</v>
      </c>
      <c r="AF81" s="2557">
        <v>0</v>
      </c>
      <c r="AG81" s="2557">
        <v>0</v>
      </c>
      <c r="AH81" s="2557">
        <v>0</v>
      </c>
      <c r="AI81" s="2557">
        <v>0</v>
      </c>
      <c r="AJ81" s="2558"/>
      <c r="AK81" s="2549"/>
      <c r="AL81" s="2198"/>
      <c r="AM81" s="2558"/>
      <c r="AN81" s="2550"/>
      <c r="AO81" s="2198"/>
      <c r="AP81" s="2198"/>
      <c r="AQ81" s="2556">
        <v>0</v>
      </c>
      <c r="AR81" s="2557">
        <v>0</v>
      </c>
      <c r="AS81" s="2557">
        <v>0</v>
      </c>
      <c r="AT81" s="2557">
        <v>0</v>
      </c>
      <c r="AU81" s="2557">
        <v>0</v>
      </c>
      <c r="AV81" s="2557">
        <v>0</v>
      </c>
      <c r="AW81" s="2557">
        <v>0</v>
      </c>
      <c r="AX81" s="2557">
        <v>0</v>
      </c>
      <c r="AY81" s="2557">
        <v>0</v>
      </c>
      <c r="AZ81" s="2557">
        <v>0</v>
      </c>
      <c r="BA81" s="2557">
        <v>0</v>
      </c>
      <c r="BB81" s="2557">
        <v>0</v>
      </c>
      <c r="BC81" s="2557">
        <v>0</v>
      </c>
      <c r="BD81" s="2557">
        <v>0</v>
      </c>
      <c r="BE81" s="2557">
        <v>0</v>
      </c>
      <c r="BF81" s="2557">
        <v>0</v>
      </c>
      <c r="BG81" s="2557">
        <v>0</v>
      </c>
      <c r="BH81" s="2557">
        <v>0</v>
      </c>
      <c r="BI81" s="2557">
        <v>0</v>
      </c>
      <c r="BJ81" s="2557">
        <v>0</v>
      </c>
      <c r="BK81" s="2557">
        <v>0</v>
      </c>
      <c r="BL81" s="2557">
        <v>0</v>
      </c>
      <c r="BM81" s="2557">
        <v>0</v>
      </c>
      <c r="BN81" s="2557">
        <v>0</v>
      </c>
      <c r="BO81" s="2557">
        <v>0</v>
      </c>
      <c r="BP81" s="2557">
        <v>0</v>
      </c>
      <c r="BQ81" s="2557">
        <v>0</v>
      </c>
      <c r="BR81" s="2557">
        <v>0</v>
      </c>
      <c r="BS81" s="2557">
        <v>0</v>
      </c>
      <c r="BT81" s="2558"/>
      <c r="BU81" s="2198"/>
      <c r="BV81" s="2198"/>
      <c r="BW81" s="2558"/>
      <c r="BX81" s="2189"/>
      <c r="BY81" s="2189"/>
      <c r="BZ81" s="2189"/>
      <c r="CA81" s="2559">
        <f t="shared" si="100"/>
        <v>0</v>
      </c>
      <c r="CB81" s="2560">
        <f t="shared" si="100"/>
        <v>0</v>
      </c>
      <c r="CC81" s="2560">
        <f t="shared" si="100"/>
        <v>0</v>
      </c>
      <c r="CD81" s="2560">
        <f t="shared" si="100"/>
        <v>0</v>
      </c>
      <c r="CE81" s="2560">
        <f t="shared" si="100"/>
        <v>0</v>
      </c>
      <c r="CF81" s="2560">
        <f t="shared" si="100"/>
        <v>0</v>
      </c>
      <c r="CG81" s="2560">
        <f t="shared" si="100"/>
        <v>0</v>
      </c>
      <c r="CH81" s="2560">
        <f t="shared" si="100"/>
        <v>0</v>
      </c>
      <c r="CI81" s="2560">
        <f t="shared" si="100"/>
        <v>0</v>
      </c>
      <c r="CJ81" s="2560">
        <f t="shared" si="100"/>
        <v>0</v>
      </c>
      <c r="CK81" s="2560">
        <f t="shared" si="100"/>
        <v>0</v>
      </c>
      <c r="CL81" s="2560">
        <f t="shared" si="100"/>
        <v>0</v>
      </c>
      <c r="CM81" s="2560">
        <f t="shared" si="100"/>
        <v>0</v>
      </c>
      <c r="CN81" s="2560">
        <f t="shared" si="100"/>
        <v>0</v>
      </c>
      <c r="CO81" s="2560">
        <f t="shared" si="100"/>
        <v>0</v>
      </c>
      <c r="CP81" s="2560">
        <f t="shared" si="100"/>
        <v>0</v>
      </c>
      <c r="CQ81" s="2560">
        <f t="shared" si="101"/>
        <v>0</v>
      </c>
      <c r="CR81" s="2560">
        <f t="shared" si="101"/>
        <v>0</v>
      </c>
      <c r="CS81" s="2560">
        <f t="shared" si="101"/>
        <v>0</v>
      </c>
      <c r="CT81" s="2560">
        <f t="shared" si="101"/>
        <v>0</v>
      </c>
      <c r="CU81" s="2560">
        <f t="shared" si="101"/>
        <v>0</v>
      </c>
      <c r="CV81" s="2560">
        <f t="shared" si="101"/>
        <v>0</v>
      </c>
      <c r="CW81" s="2560">
        <f t="shared" si="101"/>
        <v>0</v>
      </c>
      <c r="CX81" s="2560">
        <f t="shared" si="101"/>
        <v>0</v>
      </c>
      <c r="CY81" s="2560">
        <f t="shared" si="101"/>
        <v>0</v>
      </c>
      <c r="CZ81" s="2560">
        <f t="shared" si="101"/>
        <v>0</v>
      </c>
      <c r="DA81" s="2560">
        <f t="shared" si="101"/>
        <v>0</v>
      </c>
      <c r="DB81" s="2560">
        <f t="shared" si="101"/>
        <v>0</v>
      </c>
      <c r="DC81" s="2560">
        <f t="shared" si="101"/>
        <v>0</v>
      </c>
      <c r="DD81" s="2558"/>
      <c r="DE81" s="2189"/>
      <c r="DF81" s="2558"/>
      <c r="DG81" s="2189"/>
    </row>
    <row r="82" spans="1:111" s="2196" customFormat="1" ht="18" outlineLevel="2" x14ac:dyDescent="0.35">
      <c r="A82" s="2189"/>
      <c r="B82" s="2523" t="s">
        <v>1654</v>
      </c>
      <c r="C82" s="2524"/>
      <c r="D82" s="2524"/>
      <c r="E82" s="2524"/>
      <c r="F82" s="2612"/>
      <c r="G82" s="2526">
        <f>SUM(G75:G77)</f>
        <v>0</v>
      </c>
      <c r="H82" s="2526">
        <f t="shared" ref="H82:W82" si="112">SUM(H75:H77)</f>
        <v>0</v>
      </c>
      <c r="I82" s="2526">
        <f t="shared" si="112"/>
        <v>0</v>
      </c>
      <c r="J82" s="2526">
        <f t="shared" si="112"/>
        <v>0</v>
      </c>
      <c r="K82" s="2526">
        <f t="shared" si="112"/>
        <v>0</v>
      </c>
      <c r="L82" s="2526">
        <f t="shared" si="112"/>
        <v>0</v>
      </c>
      <c r="M82" s="2526">
        <f t="shared" si="112"/>
        <v>0</v>
      </c>
      <c r="N82" s="2526">
        <f t="shared" si="112"/>
        <v>0</v>
      </c>
      <c r="O82" s="2526">
        <f t="shared" si="112"/>
        <v>0</v>
      </c>
      <c r="P82" s="2526">
        <f t="shared" si="112"/>
        <v>0</v>
      </c>
      <c r="Q82" s="2526">
        <f t="shared" si="112"/>
        <v>0</v>
      </c>
      <c r="R82" s="2526">
        <f t="shared" si="112"/>
        <v>0</v>
      </c>
      <c r="S82" s="2526">
        <f t="shared" si="112"/>
        <v>0</v>
      </c>
      <c r="T82" s="2526">
        <f t="shared" si="112"/>
        <v>0</v>
      </c>
      <c r="U82" s="2526">
        <f t="shared" si="112"/>
        <v>0</v>
      </c>
      <c r="V82" s="2526">
        <f t="shared" si="112"/>
        <v>0</v>
      </c>
      <c r="W82" s="2526">
        <f t="shared" si="112"/>
        <v>0</v>
      </c>
      <c r="X82" s="2526">
        <f>SUM(X75:X77)</f>
        <v>0</v>
      </c>
      <c r="Y82" s="2526">
        <f t="shared" ref="Y82:AI82" si="113">SUM(Y75:Y77)</f>
        <v>0</v>
      </c>
      <c r="Z82" s="2526">
        <f t="shared" si="113"/>
        <v>0</v>
      </c>
      <c r="AA82" s="2526">
        <f t="shared" si="113"/>
        <v>0</v>
      </c>
      <c r="AB82" s="2526">
        <f t="shared" si="113"/>
        <v>0</v>
      </c>
      <c r="AC82" s="2526">
        <f t="shared" si="113"/>
        <v>0</v>
      </c>
      <c r="AD82" s="2526">
        <f t="shared" si="113"/>
        <v>0</v>
      </c>
      <c r="AE82" s="2526">
        <f t="shared" si="113"/>
        <v>0</v>
      </c>
      <c r="AF82" s="2526">
        <f t="shared" si="113"/>
        <v>0</v>
      </c>
      <c r="AG82" s="2526">
        <f t="shared" si="113"/>
        <v>0</v>
      </c>
      <c r="AH82" s="2526">
        <f t="shared" si="113"/>
        <v>0</v>
      </c>
      <c r="AI82" s="2526">
        <f t="shared" si="113"/>
        <v>0</v>
      </c>
      <c r="AJ82" s="2527">
        <f>SUMIF($G$115:$AI$115,"1",$G82:$AI82)</f>
        <v>0</v>
      </c>
      <c r="AK82" s="2542"/>
      <c r="AL82" s="2287"/>
      <c r="AM82" s="2527">
        <f>SUMIF($G$115:$AI$115,"1",$G82:$AI82)+SUMIF($G$115:$AI$115,"2",$G82:$AI82)</f>
        <v>0</v>
      </c>
      <c r="AN82" s="2529"/>
      <c r="AO82" s="1887"/>
      <c r="AP82" s="1887"/>
      <c r="AQ82" s="2525">
        <f t="shared" ref="AQ82:BG82" si="114">SUM(AQ75:AQ77)</f>
        <v>0</v>
      </c>
      <c r="AR82" s="2526">
        <f t="shared" si="114"/>
        <v>0</v>
      </c>
      <c r="AS82" s="2526">
        <f t="shared" si="114"/>
        <v>0</v>
      </c>
      <c r="AT82" s="2526">
        <f t="shared" si="114"/>
        <v>0</v>
      </c>
      <c r="AU82" s="2526">
        <f t="shared" si="114"/>
        <v>0</v>
      </c>
      <c r="AV82" s="2526">
        <f t="shared" si="114"/>
        <v>0</v>
      </c>
      <c r="AW82" s="2526">
        <f t="shared" si="114"/>
        <v>0</v>
      </c>
      <c r="AX82" s="2526">
        <f t="shared" si="114"/>
        <v>0</v>
      </c>
      <c r="AY82" s="2526">
        <f t="shared" si="114"/>
        <v>0</v>
      </c>
      <c r="AZ82" s="2526">
        <f t="shared" si="114"/>
        <v>0</v>
      </c>
      <c r="BA82" s="2526">
        <f t="shared" si="114"/>
        <v>0</v>
      </c>
      <c r="BB82" s="2526">
        <f t="shared" si="114"/>
        <v>0</v>
      </c>
      <c r="BC82" s="2526">
        <f t="shared" si="114"/>
        <v>0</v>
      </c>
      <c r="BD82" s="2526">
        <f t="shared" si="114"/>
        <v>0</v>
      </c>
      <c r="BE82" s="2526">
        <f t="shared" si="114"/>
        <v>0</v>
      </c>
      <c r="BF82" s="2526">
        <f t="shared" si="114"/>
        <v>0</v>
      </c>
      <c r="BG82" s="2526">
        <f t="shared" si="114"/>
        <v>0</v>
      </c>
      <c r="BH82" s="2526">
        <f>SUM(BH75:BH77)</f>
        <v>0</v>
      </c>
      <c r="BI82" s="2526">
        <f t="shared" ref="BI82:BR82" si="115">SUM(BI75:BI77)</f>
        <v>0</v>
      </c>
      <c r="BJ82" s="2526">
        <f t="shared" si="115"/>
        <v>0</v>
      </c>
      <c r="BK82" s="2526">
        <f t="shared" si="115"/>
        <v>0</v>
      </c>
      <c r="BL82" s="2526">
        <f t="shared" si="115"/>
        <v>0</v>
      </c>
      <c r="BM82" s="2526">
        <f t="shared" si="115"/>
        <v>0</v>
      </c>
      <c r="BN82" s="2526">
        <f t="shared" si="115"/>
        <v>0</v>
      </c>
      <c r="BO82" s="2526">
        <f t="shared" si="115"/>
        <v>0</v>
      </c>
      <c r="BP82" s="2526">
        <f t="shared" si="115"/>
        <v>0</v>
      </c>
      <c r="BQ82" s="2526">
        <f t="shared" si="115"/>
        <v>0</v>
      </c>
      <c r="BR82" s="2526">
        <f t="shared" si="115"/>
        <v>0</v>
      </c>
      <c r="BS82" s="2526">
        <f>SUM(BS75:BS77)</f>
        <v>0</v>
      </c>
      <c r="BT82" s="2527">
        <f>SUMIF($AQ$115:$BS$115,"1",$AQ82:$BS82)</f>
        <v>0</v>
      </c>
      <c r="BU82" s="2198"/>
      <c r="BV82" s="2198"/>
      <c r="BW82" s="2527">
        <f>SUMIF($AQ$115:$BS$115,"1",$AQ82:$BS82)+SUMIF($AQ$115:$BS$115,"2",$AQ82:$BS82)</f>
        <v>0</v>
      </c>
      <c r="BX82" s="2189"/>
      <c r="BY82" s="2189"/>
      <c r="BZ82" s="2189"/>
      <c r="CA82" s="2525">
        <f t="shared" si="100"/>
        <v>0</v>
      </c>
      <c r="CB82" s="2526">
        <f t="shared" si="100"/>
        <v>0</v>
      </c>
      <c r="CC82" s="2526">
        <f t="shared" si="100"/>
        <v>0</v>
      </c>
      <c r="CD82" s="2526">
        <f t="shared" si="100"/>
        <v>0</v>
      </c>
      <c r="CE82" s="2526">
        <f t="shared" si="100"/>
        <v>0</v>
      </c>
      <c r="CF82" s="2526">
        <f t="shared" si="100"/>
        <v>0</v>
      </c>
      <c r="CG82" s="2526">
        <f t="shared" si="100"/>
        <v>0</v>
      </c>
      <c r="CH82" s="2526">
        <f t="shared" si="100"/>
        <v>0</v>
      </c>
      <c r="CI82" s="2526">
        <f t="shared" si="100"/>
        <v>0</v>
      </c>
      <c r="CJ82" s="2526">
        <f t="shared" si="100"/>
        <v>0</v>
      </c>
      <c r="CK82" s="2526">
        <f t="shared" si="100"/>
        <v>0</v>
      </c>
      <c r="CL82" s="2526">
        <f t="shared" si="100"/>
        <v>0</v>
      </c>
      <c r="CM82" s="2526">
        <f t="shared" si="100"/>
        <v>0</v>
      </c>
      <c r="CN82" s="2526">
        <f t="shared" si="100"/>
        <v>0</v>
      </c>
      <c r="CO82" s="2526">
        <f t="shared" si="100"/>
        <v>0</v>
      </c>
      <c r="CP82" s="2526">
        <f t="shared" si="100"/>
        <v>0</v>
      </c>
      <c r="CQ82" s="2526">
        <f t="shared" si="101"/>
        <v>0</v>
      </c>
      <c r="CR82" s="2526">
        <f t="shared" si="101"/>
        <v>0</v>
      </c>
      <c r="CS82" s="2526">
        <f t="shared" si="101"/>
        <v>0</v>
      </c>
      <c r="CT82" s="2526">
        <f t="shared" si="101"/>
        <v>0</v>
      </c>
      <c r="CU82" s="2526">
        <f t="shared" si="101"/>
        <v>0</v>
      </c>
      <c r="CV82" s="2526">
        <f t="shared" si="101"/>
        <v>0</v>
      </c>
      <c r="CW82" s="2526">
        <f t="shared" si="101"/>
        <v>0</v>
      </c>
      <c r="CX82" s="2526">
        <f t="shared" si="101"/>
        <v>0</v>
      </c>
      <c r="CY82" s="2526">
        <f t="shared" si="101"/>
        <v>0</v>
      </c>
      <c r="CZ82" s="2526">
        <f t="shared" si="101"/>
        <v>0</v>
      </c>
      <c r="DA82" s="2526">
        <f t="shared" si="101"/>
        <v>0</v>
      </c>
      <c r="DB82" s="2526">
        <f t="shared" si="101"/>
        <v>0</v>
      </c>
      <c r="DC82" s="2526">
        <f t="shared" si="101"/>
        <v>0</v>
      </c>
      <c r="DD82" s="2527">
        <f>AJ82-BT82</f>
        <v>0</v>
      </c>
      <c r="DE82" s="2189"/>
      <c r="DF82" s="2527">
        <f>AM82-BW82</f>
        <v>0</v>
      </c>
      <c r="DG82" s="2189"/>
    </row>
    <row r="83" spans="1:111" s="2196" customFormat="1" ht="18" outlineLevel="2" x14ac:dyDescent="0.35">
      <c r="A83" s="2189"/>
      <c r="B83" s="2561" t="s">
        <v>1655</v>
      </c>
      <c r="C83" s="2562"/>
      <c r="D83" s="2562"/>
      <c r="E83" s="2562"/>
      <c r="F83" s="2616"/>
      <c r="G83" s="2564">
        <v>0</v>
      </c>
      <c r="H83" s="2564">
        <v>0</v>
      </c>
      <c r="I83" s="2564">
        <v>0</v>
      </c>
      <c r="J83" s="2564">
        <v>0</v>
      </c>
      <c r="K83" s="2564">
        <v>0</v>
      </c>
      <c r="L83" s="2564">
        <v>0</v>
      </c>
      <c r="M83" s="2564">
        <v>0</v>
      </c>
      <c r="N83" s="2564">
        <v>0</v>
      </c>
      <c r="O83" s="2564">
        <v>0</v>
      </c>
      <c r="P83" s="2564">
        <v>0</v>
      </c>
      <c r="Q83" s="2564">
        <v>0</v>
      </c>
      <c r="R83" s="2564">
        <v>0</v>
      </c>
      <c r="S83" s="2564">
        <v>0</v>
      </c>
      <c r="T83" s="2564">
        <v>0</v>
      </c>
      <c r="U83" s="2564">
        <v>0</v>
      </c>
      <c r="V83" s="2564">
        <v>0</v>
      </c>
      <c r="W83" s="2564">
        <v>0</v>
      </c>
      <c r="X83" s="2564">
        <v>0</v>
      </c>
      <c r="Y83" s="2564">
        <v>0</v>
      </c>
      <c r="Z83" s="2564">
        <v>0</v>
      </c>
      <c r="AA83" s="2564">
        <v>0</v>
      </c>
      <c r="AB83" s="2564">
        <v>0</v>
      </c>
      <c r="AC83" s="2564">
        <v>0</v>
      </c>
      <c r="AD83" s="2564">
        <v>0</v>
      </c>
      <c r="AE83" s="2564">
        <v>0</v>
      </c>
      <c r="AF83" s="2564">
        <v>0</v>
      </c>
      <c r="AG83" s="2564">
        <v>0</v>
      </c>
      <c r="AH83" s="2564">
        <v>0</v>
      </c>
      <c r="AI83" s="2564">
        <v>0</v>
      </c>
      <c r="AJ83" s="2565"/>
      <c r="AK83" s="2542"/>
      <c r="AL83" s="2287"/>
      <c r="AM83" s="2565"/>
      <c r="AN83" s="2566"/>
      <c r="AO83" s="1887"/>
      <c r="AP83" s="1887"/>
      <c r="AQ83" s="2563">
        <v>0</v>
      </c>
      <c r="AR83" s="2564">
        <v>0</v>
      </c>
      <c r="AS83" s="2564">
        <v>0</v>
      </c>
      <c r="AT83" s="2564">
        <v>0</v>
      </c>
      <c r="AU83" s="2564">
        <v>0</v>
      </c>
      <c r="AV83" s="2564">
        <v>0</v>
      </c>
      <c r="AW83" s="2564">
        <v>0</v>
      </c>
      <c r="AX83" s="2564">
        <v>0</v>
      </c>
      <c r="AY83" s="2564">
        <v>0</v>
      </c>
      <c r="AZ83" s="2564">
        <v>0</v>
      </c>
      <c r="BA83" s="2564">
        <v>0</v>
      </c>
      <c r="BB83" s="2564">
        <v>0</v>
      </c>
      <c r="BC83" s="2564">
        <v>0</v>
      </c>
      <c r="BD83" s="2564">
        <v>0</v>
      </c>
      <c r="BE83" s="2564">
        <v>0</v>
      </c>
      <c r="BF83" s="2564">
        <v>0</v>
      </c>
      <c r="BG83" s="2564">
        <v>0</v>
      </c>
      <c r="BH83" s="2564">
        <v>0</v>
      </c>
      <c r="BI83" s="2564">
        <v>0</v>
      </c>
      <c r="BJ83" s="2564">
        <v>0</v>
      </c>
      <c r="BK83" s="2564">
        <v>0</v>
      </c>
      <c r="BL83" s="2564">
        <v>0</v>
      </c>
      <c r="BM83" s="2564">
        <v>0</v>
      </c>
      <c r="BN83" s="2564">
        <v>0</v>
      </c>
      <c r="BO83" s="2564">
        <v>0</v>
      </c>
      <c r="BP83" s="2564">
        <v>0</v>
      </c>
      <c r="BQ83" s="2564">
        <v>0</v>
      </c>
      <c r="BR83" s="2564">
        <v>0</v>
      </c>
      <c r="BS83" s="2564">
        <v>0</v>
      </c>
      <c r="BT83" s="2565"/>
      <c r="BU83" s="2198"/>
      <c r="BV83" s="2198"/>
      <c r="BW83" s="2565"/>
      <c r="BX83" s="2189"/>
      <c r="BY83" s="2189"/>
      <c r="BZ83" s="2189"/>
      <c r="CA83" s="2567">
        <f t="shared" si="100"/>
        <v>0</v>
      </c>
      <c r="CB83" s="2568">
        <f t="shared" si="100"/>
        <v>0</v>
      </c>
      <c r="CC83" s="2568">
        <f t="shared" si="100"/>
        <v>0</v>
      </c>
      <c r="CD83" s="2568">
        <f t="shared" si="100"/>
        <v>0</v>
      </c>
      <c r="CE83" s="2568">
        <f t="shared" si="100"/>
        <v>0</v>
      </c>
      <c r="CF83" s="2568">
        <f t="shared" si="100"/>
        <v>0</v>
      </c>
      <c r="CG83" s="2568">
        <f t="shared" si="100"/>
        <v>0</v>
      </c>
      <c r="CH83" s="2568">
        <f t="shared" si="100"/>
        <v>0</v>
      </c>
      <c r="CI83" s="2568">
        <f t="shared" si="100"/>
        <v>0</v>
      </c>
      <c r="CJ83" s="2568">
        <f t="shared" si="100"/>
        <v>0</v>
      </c>
      <c r="CK83" s="2568">
        <f t="shared" si="100"/>
        <v>0</v>
      </c>
      <c r="CL83" s="2568">
        <f t="shared" si="100"/>
        <v>0</v>
      </c>
      <c r="CM83" s="2568">
        <f t="shared" si="100"/>
        <v>0</v>
      </c>
      <c r="CN83" s="2568">
        <f t="shared" si="100"/>
        <v>0</v>
      </c>
      <c r="CO83" s="2568">
        <f t="shared" si="100"/>
        <v>0</v>
      </c>
      <c r="CP83" s="2568">
        <f t="shared" si="100"/>
        <v>0</v>
      </c>
      <c r="CQ83" s="2568">
        <f t="shared" si="101"/>
        <v>0</v>
      </c>
      <c r="CR83" s="2568">
        <f t="shared" si="101"/>
        <v>0</v>
      </c>
      <c r="CS83" s="2568">
        <f t="shared" si="101"/>
        <v>0</v>
      </c>
      <c r="CT83" s="2568">
        <f t="shared" si="101"/>
        <v>0</v>
      </c>
      <c r="CU83" s="2568">
        <f t="shared" si="101"/>
        <v>0</v>
      </c>
      <c r="CV83" s="2568">
        <f t="shared" si="101"/>
        <v>0</v>
      </c>
      <c r="CW83" s="2568">
        <f t="shared" si="101"/>
        <v>0</v>
      </c>
      <c r="CX83" s="2568">
        <f t="shared" si="101"/>
        <v>0</v>
      </c>
      <c r="CY83" s="2568">
        <f t="shared" si="101"/>
        <v>0</v>
      </c>
      <c r="CZ83" s="2568">
        <f t="shared" si="101"/>
        <v>0</v>
      </c>
      <c r="DA83" s="2568">
        <f t="shared" si="101"/>
        <v>0</v>
      </c>
      <c r="DB83" s="2568">
        <f t="shared" si="101"/>
        <v>0</v>
      </c>
      <c r="DC83" s="2568">
        <f t="shared" si="101"/>
        <v>0</v>
      </c>
      <c r="DD83" s="2565"/>
      <c r="DE83" s="2189"/>
      <c r="DF83" s="2565"/>
      <c r="DG83" s="2189"/>
    </row>
    <row r="84" spans="1:111" s="2196" customFormat="1" ht="18" outlineLevel="2" x14ac:dyDescent="0.35">
      <c r="A84" s="2189"/>
      <c r="B84" s="2569" t="s">
        <v>1656</v>
      </c>
      <c r="C84" s="2570"/>
      <c r="D84" s="2570"/>
      <c r="E84" s="2570"/>
      <c r="F84" s="2617"/>
      <c r="G84" s="2572">
        <f t="shared" ref="G84:AI84" si="116">IF(G83=0,0,G75-G83)</f>
        <v>0</v>
      </c>
      <c r="H84" s="2572">
        <f t="shared" si="116"/>
        <v>0</v>
      </c>
      <c r="I84" s="2572">
        <f t="shared" si="116"/>
        <v>0</v>
      </c>
      <c r="J84" s="2572">
        <f t="shared" si="116"/>
        <v>0</v>
      </c>
      <c r="K84" s="2572">
        <f t="shared" si="116"/>
        <v>0</v>
      </c>
      <c r="L84" s="2572">
        <f t="shared" si="116"/>
        <v>0</v>
      </c>
      <c r="M84" s="2572">
        <f t="shared" si="116"/>
        <v>0</v>
      </c>
      <c r="N84" s="2572">
        <f t="shared" si="116"/>
        <v>0</v>
      </c>
      <c r="O84" s="2572">
        <f t="shared" si="116"/>
        <v>0</v>
      </c>
      <c r="P84" s="2572">
        <f t="shared" si="116"/>
        <v>0</v>
      </c>
      <c r="Q84" s="2572">
        <f t="shared" si="116"/>
        <v>0</v>
      </c>
      <c r="R84" s="2572">
        <f t="shared" si="116"/>
        <v>0</v>
      </c>
      <c r="S84" s="2572">
        <f t="shared" si="116"/>
        <v>0</v>
      </c>
      <c r="T84" s="2572">
        <f t="shared" si="116"/>
        <v>0</v>
      </c>
      <c r="U84" s="2572">
        <f t="shared" si="116"/>
        <v>0</v>
      </c>
      <c r="V84" s="2572">
        <f t="shared" si="116"/>
        <v>0</v>
      </c>
      <c r="W84" s="2572">
        <f t="shared" si="116"/>
        <v>0</v>
      </c>
      <c r="X84" s="2572">
        <f t="shared" si="116"/>
        <v>0</v>
      </c>
      <c r="Y84" s="2572">
        <f t="shared" si="116"/>
        <v>0</v>
      </c>
      <c r="Z84" s="2572">
        <f t="shared" si="116"/>
        <v>0</v>
      </c>
      <c r="AA84" s="2572">
        <f t="shared" si="116"/>
        <v>0</v>
      </c>
      <c r="AB84" s="2572">
        <f t="shared" si="116"/>
        <v>0</v>
      </c>
      <c r="AC84" s="2572">
        <f t="shared" si="116"/>
        <v>0</v>
      </c>
      <c r="AD84" s="2572">
        <f t="shared" si="116"/>
        <v>0</v>
      </c>
      <c r="AE84" s="2572">
        <f t="shared" si="116"/>
        <v>0</v>
      </c>
      <c r="AF84" s="2572">
        <f t="shared" si="116"/>
        <v>0</v>
      </c>
      <c r="AG84" s="2572">
        <f t="shared" si="116"/>
        <v>0</v>
      </c>
      <c r="AH84" s="2572">
        <f t="shared" si="116"/>
        <v>0</v>
      </c>
      <c r="AI84" s="2572">
        <f t="shared" si="116"/>
        <v>0</v>
      </c>
      <c r="AJ84" s="2573"/>
      <c r="AK84" s="2542"/>
      <c r="AL84" s="2287"/>
      <c r="AM84" s="2573"/>
      <c r="AN84" s="2529"/>
      <c r="AO84" s="1887"/>
      <c r="AP84" s="1887"/>
      <c r="AQ84" s="2571">
        <f t="shared" ref="AQ84:BS84" si="117">IF(AQ83=0,0,AQ75-AQ83)</f>
        <v>0</v>
      </c>
      <c r="AR84" s="2572">
        <f t="shared" si="117"/>
        <v>0</v>
      </c>
      <c r="AS84" s="2572">
        <f t="shared" si="117"/>
        <v>0</v>
      </c>
      <c r="AT84" s="2572">
        <f t="shared" si="117"/>
        <v>0</v>
      </c>
      <c r="AU84" s="2572">
        <f t="shared" si="117"/>
        <v>0</v>
      </c>
      <c r="AV84" s="2572">
        <f t="shared" si="117"/>
        <v>0</v>
      </c>
      <c r="AW84" s="2572">
        <f t="shared" si="117"/>
        <v>0</v>
      </c>
      <c r="AX84" s="2572">
        <f t="shared" si="117"/>
        <v>0</v>
      </c>
      <c r="AY84" s="2572">
        <f t="shared" si="117"/>
        <v>0</v>
      </c>
      <c r="AZ84" s="2572">
        <f t="shared" si="117"/>
        <v>0</v>
      </c>
      <c r="BA84" s="2572">
        <f t="shared" si="117"/>
        <v>0</v>
      </c>
      <c r="BB84" s="2572">
        <f t="shared" si="117"/>
        <v>0</v>
      </c>
      <c r="BC84" s="2572">
        <f t="shared" si="117"/>
        <v>0</v>
      </c>
      <c r="BD84" s="2572">
        <f t="shared" si="117"/>
        <v>0</v>
      </c>
      <c r="BE84" s="2572">
        <f t="shared" si="117"/>
        <v>0</v>
      </c>
      <c r="BF84" s="2572">
        <f t="shared" si="117"/>
        <v>0</v>
      </c>
      <c r="BG84" s="2572">
        <f t="shared" si="117"/>
        <v>0</v>
      </c>
      <c r="BH84" s="2572">
        <f t="shared" si="117"/>
        <v>0</v>
      </c>
      <c r="BI84" s="2572">
        <f t="shared" si="117"/>
        <v>0</v>
      </c>
      <c r="BJ84" s="2572">
        <f t="shared" si="117"/>
        <v>0</v>
      </c>
      <c r="BK84" s="2572">
        <f t="shared" si="117"/>
        <v>0</v>
      </c>
      <c r="BL84" s="2572">
        <f t="shared" si="117"/>
        <v>0</v>
      </c>
      <c r="BM84" s="2572">
        <f t="shared" si="117"/>
        <v>0</v>
      </c>
      <c r="BN84" s="2572">
        <f t="shared" si="117"/>
        <v>0</v>
      </c>
      <c r="BO84" s="2572">
        <f t="shared" si="117"/>
        <v>0</v>
      </c>
      <c r="BP84" s="2572">
        <f t="shared" si="117"/>
        <v>0</v>
      </c>
      <c r="BQ84" s="2572">
        <f t="shared" si="117"/>
        <v>0</v>
      </c>
      <c r="BR84" s="2572">
        <f t="shared" si="117"/>
        <v>0</v>
      </c>
      <c r="BS84" s="2572">
        <f t="shared" si="117"/>
        <v>0</v>
      </c>
      <c r="BT84" s="2574"/>
      <c r="BU84" s="2198"/>
      <c r="BV84" s="2198"/>
      <c r="BW84" s="2574"/>
      <c r="BX84" s="2189"/>
      <c r="BY84" s="2189"/>
      <c r="BZ84" s="2189"/>
      <c r="CA84" s="2571">
        <f t="shared" si="100"/>
        <v>0</v>
      </c>
      <c r="CB84" s="2572">
        <f t="shared" si="100"/>
        <v>0</v>
      </c>
      <c r="CC84" s="2572">
        <f t="shared" si="100"/>
        <v>0</v>
      </c>
      <c r="CD84" s="2572">
        <f t="shared" si="100"/>
        <v>0</v>
      </c>
      <c r="CE84" s="2572">
        <f t="shared" si="100"/>
        <v>0</v>
      </c>
      <c r="CF84" s="2572">
        <f t="shared" si="100"/>
        <v>0</v>
      </c>
      <c r="CG84" s="2572">
        <f t="shared" si="100"/>
        <v>0</v>
      </c>
      <c r="CH84" s="2572">
        <f t="shared" si="100"/>
        <v>0</v>
      </c>
      <c r="CI84" s="2572">
        <f t="shared" si="100"/>
        <v>0</v>
      </c>
      <c r="CJ84" s="2572">
        <f t="shared" si="100"/>
        <v>0</v>
      </c>
      <c r="CK84" s="2572">
        <f t="shared" si="100"/>
        <v>0</v>
      </c>
      <c r="CL84" s="2572">
        <f t="shared" si="100"/>
        <v>0</v>
      </c>
      <c r="CM84" s="2572">
        <f t="shared" si="100"/>
        <v>0</v>
      </c>
      <c r="CN84" s="2572">
        <f t="shared" si="100"/>
        <v>0</v>
      </c>
      <c r="CO84" s="2572">
        <f t="shared" si="100"/>
        <v>0</v>
      </c>
      <c r="CP84" s="2572">
        <f t="shared" si="100"/>
        <v>0</v>
      </c>
      <c r="CQ84" s="2572">
        <f t="shared" si="101"/>
        <v>0</v>
      </c>
      <c r="CR84" s="2572">
        <f t="shared" si="101"/>
        <v>0</v>
      </c>
      <c r="CS84" s="2572">
        <f t="shared" si="101"/>
        <v>0</v>
      </c>
      <c r="CT84" s="2572">
        <f t="shared" si="101"/>
        <v>0</v>
      </c>
      <c r="CU84" s="2572">
        <f t="shared" si="101"/>
        <v>0</v>
      </c>
      <c r="CV84" s="2572">
        <f t="shared" si="101"/>
        <v>0</v>
      </c>
      <c r="CW84" s="2572">
        <f t="shared" si="101"/>
        <v>0</v>
      </c>
      <c r="CX84" s="2572">
        <f t="shared" si="101"/>
        <v>0</v>
      </c>
      <c r="CY84" s="2572">
        <f t="shared" si="101"/>
        <v>0</v>
      </c>
      <c r="CZ84" s="2572">
        <f t="shared" si="101"/>
        <v>0</v>
      </c>
      <c r="DA84" s="2572">
        <f t="shared" si="101"/>
        <v>0</v>
      </c>
      <c r="DB84" s="2572">
        <f t="shared" si="101"/>
        <v>0</v>
      </c>
      <c r="DC84" s="2572">
        <f t="shared" si="101"/>
        <v>0</v>
      </c>
      <c r="DD84" s="2574"/>
      <c r="DE84" s="2189"/>
      <c r="DF84" s="2574"/>
      <c r="DG84" s="2189"/>
    </row>
    <row r="85" spans="1:111" s="2196" customFormat="1" ht="15.6" outlineLevel="2" x14ac:dyDescent="0.3">
      <c r="A85" s="2189"/>
      <c r="B85" s="2575" t="s">
        <v>1582</v>
      </c>
      <c r="C85" s="1344"/>
      <c r="D85" s="1344"/>
      <c r="E85" s="1344"/>
      <c r="F85" s="2618"/>
      <c r="G85" s="2578">
        <v>0</v>
      </c>
      <c r="H85" s="2578">
        <v>0</v>
      </c>
      <c r="I85" s="2578">
        <v>0</v>
      </c>
      <c r="J85" s="2578">
        <v>0</v>
      </c>
      <c r="K85" s="2578">
        <v>0</v>
      </c>
      <c r="L85" s="2578">
        <v>0</v>
      </c>
      <c r="M85" s="2578">
        <v>0</v>
      </c>
      <c r="N85" s="2578">
        <v>0</v>
      </c>
      <c r="O85" s="2578">
        <v>0</v>
      </c>
      <c r="P85" s="2578">
        <v>0</v>
      </c>
      <c r="Q85" s="2578">
        <v>0</v>
      </c>
      <c r="R85" s="2578">
        <v>0</v>
      </c>
      <c r="S85" s="2578">
        <v>0</v>
      </c>
      <c r="T85" s="2578">
        <v>0</v>
      </c>
      <c r="U85" s="2578">
        <v>0</v>
      </c>
      <c r="V85" s="2578">
        <v>0</v>
      </c>
      <c r="W85" s="2578">
        <v>0</v>
      </c>
      <c r="X85" s="2578">
        <v>0</v>
      </c>
      <c r="Y85" s="2578">
        <v>0</v>
      </c>
      <c r="Z85" s="2578">
        <v>0</v>
      </c>
      <c r="AA85" s="2578">
        <v>0</v>
      </c>
      <c r="AB85" s="2578">
        <v>0</v>
      </c>
      <c r="AC85" s="2578">
        <v>0</v>
      </c>
      <c r="AD85" s="2578">
        <v>0</v>
      </c>
      <c r="AE85" s="2578">
        <v>0</v>
      </c>
      <c r="AF85" s="2578">
        <v>0</v>
      </c>
      <c r="AG85" s="2578">
        <v>0</v>
      </c>
      <c r="AH85" s="2578">
        <v>0</v>
      </c>
      <c r="AI85" s="2578">
        <v>0</v>
      </c>
      <c r="AJ85" s="2579"/>
      <c r="AK85" s="2580"/>
      <c r="AL85" s="2198"/>
      <c r="AM85" s="2579"/>
      <c r="AN85" s="2581"/>
      <c r="AO85" s="2189"/>
      <c r="AP85" s="2189"/>
      <c r="AQ85" s="2577">
        <v>0</v>
      </c>
      <c r="AR85" s="2578">
        <v>0</v>
      </c>
      <c r="AS85" s="2578">
        <v>0</v>
      </c>
      <c r="AT85" s="2578">
        <v>0</v>
      </c>
      <c r="AU85" s="2578">
        <v>0</v>
      </c>
      <c r="AV85" s="2578">
        <v>0</v>
      </c>
      <c r="AW85" s="2578">
        <v>0</v>
      </c>
      <c r="AX85" s="2578">
        <v>0</v>
      </c>
      <c r="AY85" s="2578">
        <v>0</v>
      </c>
      <c r="AZ85" s="2578">
        <v>0</v>
      </c>
      <c r="BA85" s="2578">
        <v>0</v>
      </c>
      <c r="BB85" s="2578">
        <v>0</v>
      </c>
      <c r="BC85" s="2578">
        <v>0</v>
      </c>
      <c r="BD85" s="2578">
        <v>0</v>
      </c>
      <c r="BE85" s="2578">
        <v>0</v>
      </c>
      <c r="BF85" s="2578">
        <v>0</v>
      </c>
      <c r="BG85" s="2578">
        <v>0</v>
      </c>
      <c r="BH85" s="2578">
        <v>0</v>
      </c>
      <c r="BI85" s="2578">
        <v>0</v>
      </c>
      <c r="BJ85" s="2578">
        <v>0</v>
      </c>
      <c r="BK85" s="2578">
        <v>0</v>
      </c>
      <c r="BL85" s="2578">
        <v>0</v>
      </c>
      <c r="BM85" s="2578">
        <v>0</v>
      </c>
      <c r="BN85" s="2578">
        <v>0</v>
      </c>
      <c r="BO85" s="2578">
        <v>0</v>
      </c>
      <c r="BP85" s="2578">
        <v>0</v>
      </c>
      <c r="BQ85" s="2578">
        <v>0</v>
      </c>
      <c r="BR85" s="2578">
        <v>0</v>
      </c>
      <c r="BS85" s="2578">
        <v>0</v>
      </c>
      <c r="BT85" s="2579"/>
      <c r="BU85" s="2198"/>
      <c r="BV85" s="2198"/>
      <c r="BW85" s="2579"/>
      <c r="BX85" s="2189"/>
      <c r="BY85" s="2189"/>
      <c r="BZ85" s="2189"/>
      <c r="CA85" s="2582">
        <f t="shared" si="100"/>
        <v>0</v>
      </c>
      <c r="CB85" s="2583">
        <f t="shared" si="100"/>
        <v>0</v>
      </c>
      <c r="CC85" s="2583">
        <f t="shared" si="100"/>
        <v>0</v>
      </c>
      <c r="CD85" s="2583">
        <f t="shared" si="100"/>
        <v>0</v>
      </c>
      <c r="CE85" s="2583">
        <f t="shared" si="100"/>
        <v>0</v>
      </c>
      <c r="CF85" s="2583">
        <f t="shared" si="100"/>
        <v>0</v>
      </c>
      <c r="CG85" s="2583">
        <f t="shared" si="100"/>
        <v>0</v>
      </c>
      <c r="CH85" s="2583">
        <f t="shared" si="100"/>
        <v>0</v>
      </c>
      <c r="CI85" s="2583">
        <f t="shared" si="100"/>
        <v>0</v>
      </c>
      <c r="CJ85" s="2583">
        <f t="shared" si="100"/>
        <v>0</v>
      </c>
      <c r="CK85" s="2583">
        <f t="shared" si="100"/>
        <v>0</v>
      </c>
      <c r="CL85" s="2583">
        <f t="shared" si="100"/>
        <v>0</v>
      </c>
      <c r="CM85" s="2583">
        <f t="shared" si="100"/>
        <v>0</v>
      </c>
      <c r="CN85" s="2583">
        <f t="shared" si="100"/>
        <v>0</v>
      </c>
      <c r="CO85" s="2583">
        <f t="shared" si="100"/>
        <v>0</v>
      </c>
      <c r="CP85" s="2583">
        <f t="shared" si="100"/>
        <v>0</v>
      </c>
      <c r="CQ85" s="2583">
        <f t="shared" si="101"/>
        <v>0</v>
      </c>
      <c r="CR85" s="2583">
        <f t="shared" si="101"/>
        <v>0</v>
      </c>
      <c r="CS85" s="2583">
        <f t="shared" si="101"/>
        <v>0</v>
      </c>
      <c r="CT85" s="2583">
        <f t="shared" si="101"/>
        <v>0</v>
      </c>
      <c r="CU85" s="2583">
        <f t="shared" si="101"/>
        <v>0</v>
      </c>
      <c r="CV85" s="2583">
        <f t="shared" si="101"/>
        <v>0</v>
      </c>
      <c r="CW85" s="2583">
        <f t="shared" si="101"/>
        <v>0</v>
      </c>
      <c r="CX85" s="2583">
        <f t="shared" si="101"/>
        <v>0</v>
      </c>
      <c r="CY85" s="2583">
        <f t="shared" si="101"/>
        <v>0</v>
      </c>
      <c r="CZ85" s="2583">
        <f t="shared" si="101"/>
        <v>0</v>
      </c>
      <c r="DA85" s="2583">
        <f t="shared" si="101"/>
        <v>0</v>
      </c>
      <c r="DB85" s="2583">
        <f t="shared" si="101"/>
        <v>0</v>
      </c>
      <c r="DC85" s="2583">
        <f t="shared" si="101"/>
        <v>0</v>
      </c>
      <c r="DD85" s="2579"/>
      <c r="DE85" s="2189"/>
      <c r="DF85" s="2579"/>
      <c r="DG85" s="2189"/>
    </row>
    <row r="86" spans="1:111" s="2196" customFormat="1" ht="15.6" outlineLevel="2" x14ac:dyDescent="0.3">
      <c r="A86" s="2189"/>
      <c r="B86" s="2575" t="s">
        <v>1583</v>
      </c>
      <c r="C86" s="1344"/>
      <c r="D86" s="1344"/>
      <c r="E86" s="1344"/>
      <c r="F86" s="2618"/>
      <c r="G86" s="2578">
        <v>0</v>
      </c>
      <c r="H86" s="2578">
        <v>0</v>
      </c>
      <c r="I86" s="2578">
        <v>0</v>
      </c>
      <c r="J86" s="2578">
        <v>0</v>
      </c>
      <c r="K86" s="2578">
        <v>0</v>
      </c>
      <c r="L86" s="2578">
        <v>0</v>
      </c>
      <c r="M86" s="2578">
        <v>0</v>
      </c>
      <c r="N86" s="2578">
        <v>0</v>
      </c>
      <c r="O86" s="2578">
        <v>0</v>
      </c>
      <c r="P86" s="2578">
        <v>0</v>
      </c>
      <c r="Q86" s="2578">
        <v>0</v>
      </c>
      <c r="R86" s="2578">
        <v>0</v>
      </c>
      <c r="S86" s="2578">
        <v>0</v>
      </c>
      <c r="T86" s="2578">
        <v>0</v>
      </c>
      <c r="U86" s="2578">
        <v>0</v>
      </c>
      <c r="V86" s="2578">
        <v>0</v>
      </c>
      <c r="W86" s="2578">
        <v>0</v>
      </c>
      <c r="X86" s="2578">
        <v>0</v>
      </c>
      <c r="Y86" s="2578">
        <v>0</v>
      </c>
      <c r="Z86" s="2578">
        <v>0</v>
      </c>
      <c r="AA86" s="2578">
        <v>0</v>
      </c>
      <c r="AB86" s="2578">
        <v>0</v>
      </c>
      <c r="AC86" s="2578">
        <v>0</v>
      </c>
      <c r="AD86" s="2578">
        <v>0</v>
      </c>
      <c r="AE86" s="2578">
        <v>0</v>
      </c>
      <c r="AF86" s="2578">
        <v>0</v>
      </c>
      <c r="AG86" s="2578">
        <v>0</v>
      </c>
      <c r="AH86" s="2578">
        <v>0</v>
      </c>
      <c r="AI86" s="2578">
        <v>0</v>
      </c>
      <c r="AJ86" s="2579"/>
      <c r="AK86" s="2580"/>
      <c r="AL86" s="2198"/>
      <c r="AM86" s="2579"/>
      <c r="AN86" s="2581"/>
      <c r="AO86" s="2189"/>
      <c r="AP86" s="2189"/>
      <c r="AQ86" s="2577">
        <v>0</v>
      </c>
      <c r="AR86" s="2578">
        <v>0</v>
      </c>
      <c r="AS86" s="2578">
        <v>0</v>
      </c>
      <c r="AT86" s="2578">
        <v>0</v>
      </c>
      <c r="AU86" s="2578">
        <v>0</v>
      </c>
      <c r="AV86" s="2578">
        <v>0</v>
      </c>
      <c r="AW86" s="2578">
        <v>0</v>
      </c>
      <c r="AX86" s="2578">
        <v>0</v>
      </c>
      <c r="AY86" s="2578">
        <v>0</v>
      </c>
      <c r="AZ86" s="2578">
        <v>0</v>
      </c>
      <c r="BA86" s="2578">
        <v>0</v>
      </c>
      <c r="BB86" s="2578">
        <v>0</v>
      </c>
      <c r="BC86" s="2578">
        <v>0</v>
      </c>
      <c r="BD86" s="2578">
        <v>0</v>
      </c>
      <c r="BE86" s="2578">
        <v>0</v>
      </c>
      <c r="BF86" s="2578">
        <v>0</v>
      </c>
      <c r="BG86" s="2578">
        <v>0</v>
      </c>
      <c r="BH86" s="2578">
        <v>0</v>
      </c>
      <c r="BI86" s="2578">
        <v>0</v>
      </c>
      <c r="BJ86" s="2578">
        <v>0</v>
      </c>
      <c r="BK86" s="2578">
        <v>0</v>
      </c>
      <c r="BL86" s="2578">
        <v>0</v>
      </c>
      <c r="BM86" s="2578">
        <v>0</v>
      </c>
      <c r="BN86" s="2578">
        <v>0</v>
      </c>
      <c r="BO86" s="2578">
        <v>0</v>
      </c>
      <c r="BP86" s="2578">
        <v>0</v>
      </c>
      <c r="BQ86" s="2578">
        <v>0</v>
      </c>
      <c r="BR86" s="2578">
        <v>0</v>
      </c>
      <c r="BS86" s="2578">
        <v>0</v>
      </c>
      <c r="BT86" s="2579"/>
      <c r="BU86" s="2198"/>
      <c r="BV86" s="2198"/>
      <c r="BW86" s="2579"/>
      <c r="BX86" s="2189"/>
      <c r="BY86" s="2189"/>
      <c r="BZ86" s="2189"/>
      <c r="CA86" s="2582">
        <f t="shared" si="100"/>
        <v>0</v>
      </c>
      <c r="CB86" s="2583">
        <f t="shared" si="100"/>
        <v>0</v>
      </c>
      <c r="CC86" s="2583">
        <f t="shared" si="100"/>
        <v>0</v>
      </c>
      <c r="CD86" s="2583">
        <f t="shared" si="100"/>
        <v>0</v>
      </c>
      <c r="CE86" s="2583">
        <f t="shared" si="100"/>
        <v>0</v>
      </c>
      <c r="CF86" s="2583">
        <f t="shared" si="100"/>
        <v>0</v>
      </c>
      <c r="CG86" s="2583">
        <f t="shared" si="100"/>
        <v>0</v>
      </c>
      <c r="CH86" s="2583">
        <f t="shared" si="100"/>
        <v>0</v>
      </c>
      <c r="CI86" s="2583">
        <f t="shared" si="100"/>
        <v>0</v>
      </c>
      <c r="CJ86" s="2583">
        <f t="shared" si="100"/>
        <v>0</v>
      </c>
      <c r="CK86" s="2583">
        <f t="shared" si="100"/>
        <v>0</v>
      </c>
      <c r="CL86" s="2583">
        <f t="shared" si="100"/>
        <v>0</v>
      </c>
      <c r="CM86" s="2583">
        <f t="shared" si="100"/>
        <v>0</v>
      </c>
      <c r="CN86" s="2583">
        <f t="shared" si="100"/>
        <v>0</v>
      </c>
      <c r="CO86" s="2583">
        <f t="shared" si="100"/>
        <v>0</v>
      </c>
      <c r="CP86" s="2583">
        <f t="shared" si="100"/>
        <v>0</v>
      </c>
      <c r="CQ86" s="2583">
        <f t="shared" si="101"/>
        <v>0</v>
      </c>
      <c r="CR86" s="2583">
        <f t="shared" si="101"/>
        <v>0</v>
      </c>
      <c r="CS86" s="2583">
        <f t="shared" si="101"/>
        <v>0</v>
      </c>
      <c r="CT86" s="2583">
        <f t="shared" si="101"/>
        <v>0</v>
      </c>
      <c r="CU86" s="2583">
        <f t="shared" si="101"/>
        <v>0</v>
      </c>
      <c r="CV86" s="2583">
        <f t="shared" si="101"/>
        <v>0</v>
      </c>
      <c r="CW86" s="2583">
        <f t="shared" si="101"/>
        <v>0</v>
      </c>
      <c r="CX86" s="2583">
        <f t="shared" si="101"/>
        <v>0</v>
      </c>
      <c r="CY86" s="2583">
        <f t="shared" si="101"/>
        <v>0</v>
      </c>
      <c r="CZ86" s="2583">
        <f t="shared" si="101"/>
        <v>0</v>
      </c>
      <c r="DA86" s="2583">
        <f t="shared" si="101"/>
        <v>0</v>
      </c>
      <c r="DB86" s="2583">
        <f t="shared" si="101"/>
        <v>0</v>
      </c>
      <c r="DC86" s="2583">
        <f t="shared" si="101"/>
        <v>0</v>
      </c>
      <c r="DD86" s="2579"/>
      <c r="DE86" s="2189"/>
      <c r="DF86" s="2579"/>
      <c r="DG86" s="2189"/>
    </row>
    <row r="87" spans="1:111" s="2196" customFormat="1" ht="18" outlineLevel="2" x14ac:dyDescent="0.35">
      <c r="A87" s="2189"/>
      <c r="B87" s="2561" t="s">
        <v>1584</v>
      </c>
      <c r="C87" s="2562"/>
      <c r="D87" s="2562"/>
      <c r="E87" s="2562"/>
      <c r="F87" s="2619"/>
      <c r="G87" s="2568">
        <f>G73*(G74-G85)</f>
        <v>0</v>
      </c>
      <c r="H87" s="2568">
        <f t="shared" ref="H87:W87" si="118">H73*(H74-H85)</f>
        <v>0</v>
      </c>
      <c r="I87" s="2568">
        <f t="shared" si="118"/>
        <v>0</v>
      </c>
      <c r="J87" s="2568">
        <f t="shared" si="118"/>
        <v>0</v>
      </c>
      <c r="K87" s="2568">
        <f t="shared" si="118"/>
        <v>0</v>
      </c>
      <c r="L87" s="2568">
        <f t="shared" si="118"/>
        <v>0</v>
      </c>
      <c r="M87" s="2568">
        <f t="shared" si="118"/>
        <v>0</v>
      </c>
      <c r="N87" s="2568">
        <f t="shared" si="118"/>
        <v>0</v>
      </c>
      <c r="O87" s="2568">
        <f t="shared" si="118"/>
        <v>0</v>
      </c>
      <c r="P87" s="2568">
        <f t="shared" si="118"/>
        <v>0</v>
      </c>
      <c r="Q87" s="2568">
        <f t="shared" si="118"/>
        <v>0</v>
      </c>
      <c r="R87" s="2568">
        <f t="shared" si="118"/>
        <v>0</v>
      </c>
      <c r="S87" s="2568">
        <f t="shared" si="118"/>
        <v>0</v>
      </c>
      <c r="T87" s="2568">
        <f t="shared" si="118"/>
        <v>0</v>
      </c>
      <c r="U87" s="2568">
        <f t="shared" si="118"/>
        <v>0</v>
      </c>
      <c r="V87" s="2568">
        <f t="shared" si="118"/>
        <v>0</v>
      </c>
      <c r="W87" s="2568">
        <f t="shared" si="118"/>
        <v>0</v>
      </c>
      <c r="X87" s="2568">
        <f>X73*(X74-X85)</f>
        <v>0</v>
      </c>
      <c r="Y87" s="2568">
        <f t="shared" ref="Y87:AI87" si="119">Y73*(Y74-Y85)</f>
        <v>0</v>
      </c>
      <c r="Z87" s="2568">
        <f t="shared" si="119"/>
        <v>0</v>
      </c>
      <c r="AA87" s="2568">
        <f t="shared" si="119"/>
        <v>0</v>
      </c>
      <c r="AB87" s="2568">
        <f t="shared" si="119"/>
        <v>0</v>
      </c>
      <c r="AC87" s="2568">
        <f t="shared" si="119"/>
        <v>0</v>
      </c>
      <c r="AD87" s="2568">
        <f t="shared" si="119"/>
        <v>0</v>
      </c>
      <c r="AE87" s="2568">
        <f t="shared" si="119"/>
        <v>0</v>
      </c>
      <c r="AF87" s="2568">
        <f t="shared" si="119"/>
        <v>0</v>
      </c>
      <c r="AG87" s="2568">
        <f t="shared" si="119"/>
        <v>0</v>
      </c>
      <c r="AH87" s="2568">
        <f t="shared" si="119"/>
        <v>0</v>
      </c>
      <c r="AI87" s="2568">
        <f t="shared" si="119"/>
        <v>0</v>
      </c>
      <c r="AJ87" s="2585">
        <f>SUMIF($G$115:$AI$115,"1",$G87:$AI87)</f>
        <v>0</v>
      </c>
      <c r="AK87" s="2542"/>
      <c r="AL87" s="1082"/>
      <c r="AM87" s="2585">
        <f>SUMIF($G$115:$AI$115,"1",$G87:$AI87)+SUMIF($G$115:$AI$115,"2",$G87:$AI87)</f>
        <v>0</v>
      </c>
      <c r="AN87" s="2529"/>
      <c r="AO87" s="1070"/>
      <c r="AP87" s="1070"/>
      <c r="AQ87" s="2567">
        <f t="shared" ref="AQ87:BG87" si="120">AQ73*(AQ74-AQ85)</f>
        <v>0</v>
      </c>
      <c r="AR87" s="2568">
        <f t="shared" si="120"/>
        <v>0</v>
      </c>
      <c r="AS87" s="2568">
        <f t="shared" si="120"/>
        <v>0</v>
      </c>
      <c r="AT87" s="2568">
        <f t="shared" si="120"/>
        <v>0</v>
      </c>
      <c r="AU87" s="2568">
        <f t="shared" si="120"/>
        <v>0</v>
      </c>
      <c r="AV87" s="2568">
        <f t="shared" si="120"/>
        <v>0</v>
      </c>
      <c r="AW87" s="2568">
        <f t="shared" si="120"/>
        <v>0</v>
      </c>
      <c r="AX87" s="2568">
        <f t="shared" si="120"/>
        <v>0</v>
      </c>
      <c r="AY87" s="2568">
        <f t="shared" si="120"/>
        <v>0</v>
      </c>
      <c r="AZ87" s="2568">
        <f t="shared" si="120"/>
        <v>0</v>
      </c>
      <c r="BA87" s="2568">
        <f t="shared" si="120"/>
        <v>0</v>
      </c>
      <c r="BB87" s="2568">
        <f t="shared" si="120"/>
        <v>0</v>
      </c>
      <c r="BC87" s="2568">
        <f t="shared" si="120"/>
        <v>0</v>
      </c>
      <c r="BD87" s="2568">
        <f t="shared" si="120"/>
        <v>0</v>
      </c>
      <c r="BE87" s="2568">
        <f t="shared" si="120"/>
        <v>0</v>
      </c>
      <c r="BF87" s="2568">
        <f t="shared" si="120"/>
        <v>0</v>
      </c>
      <c r="BG87" s="2568">
        <f t="shared" si="120"/>
        <v>0</v>
      </c>
      <c r="BH87" s="2568">
        <f>BH73*(BH74-BH85)</f>
        <v>0</v>
      </c>
      <c r="BI87" s="2568">
        <f t="shared" ref="BI87:BR87" si="121">BI73*(BI74-BI85)</f>
        <v>0</v>
      </c>
      <c r="BJ87" s="2568">
        <f t="shared" si="121"/>
        <v>0</v>
      </c>
      <c r="BK87" s="2568">
        <f t="shared" si="121"/>
        <v>0</v>
      </c>
      <c r="BL87" s="2568">
        <f t="shared" si="121"/>
        <v>0</v>
      </c>
      <c r="BM87" s="2568">
        <f t="shared" si="121"/>
        <v>0</v>
      </c>
      <c r="BN87" s="2568">
        <f t="shared" si="121"/>
        <v>0</v>
      </c>
      <c r="BO87" s="2568">
        <f t="shared" si="121"/>
        <v>0</v>
      </c>
      <c r="BP87" s="2568">
        <f t="shared" si="121"/>
        <v>0</v>
      </c>
      <c r="BQ87" s="2568">
        <f t="shared" si="121"/>
        <v>0</v>
      </c>
      <c r="BR87" s="2568">
        <f t="shared" si="121"/>
        <v>0</v>
      </c>
      <c r="BS87" s="2568">
        <f>BS73*(BS74-BS85)</f>
        <v>0</v>
      </c>
      <c r="BT87" s="2585">
        <f>SUMIF($AQ$115:$BS$115,"1",$AQ87:$BS87)</f>
        <v>0</v>
      </c>
      <c r="BU87" s="2198"/>
      <c r="BV87" s="2198"/>
      <c r="BW87" s="2585">
        <f>SUMIF($AQ$115:$BS$115,"1",$AQ87:$BS87)+SUMIF($AQ$115:$BS$115,"2",$AQ87:$BS87)</f>
        <v>0</v>
      </c>
      <c r="BX87" s="2189"/>
      <c r="BY87" s="2189"/>
      <c r="BZ87" s="2189"/>
      <c r="CA87" s="2567">
        <f t="shared" si="100"/>
        <v>0</v>
      </c>
      <c r="CB87" s="2568">
        <f t="shared" si="100"/>
        <v>0</v>
      </c>
      <c r="CC87" s="2568">
        <f t="shared" si="100"/>
        <v>0</v>
      </c>
      <c r="CD87" s="2568">
        <f t="shared" si="100"/>
        <v>0</v>
      </c>
      <c r="CE87" s="2568">
        <f t="shared" si="100"/>
        <v>0</v>
      </c>
      <c r="CF87" s="2568">
        <f t="shared" si="100"/>
        <v>0</v>
      </c>
      <c r="CG87" s="2568">
        <f t="shared" si="100"/>
        <v>0</v>
      </c>
      <c r="CH87" s="2568">
        <f t="shared" si="100"/>
        <v>0</v>
      </c>
      <c r="CI87" s="2568">
        <f t="shared" si="100"/>
        <v>0</v>
      </c>
      <c r="CJ87" s="2568">
        <f t="shared" si="100"/>
        <v>0</v>
      </c>
      <c r="CK87" s="2568">
        <f t="shared" si="100"/>
        <v>0</v>
      </c>
      <c r="CL87" s="2568">
        <f t="shared" si="100"/>
        <v>0</v>
      </c>
      <c r="CM87" s="2568">
        <f t="shared" si="100"/>
        <v>0</v>
      </c>
      <c r="CN87" s="2568">
        <f t="shared" si="100"/>
        <v>0</v>
      </c>
      <c r="CO87" s="2568">
        <f t="shared" si="100"/>
        <v>0</v>
      </c>
      <c r="CP87" s="2568">
        <f t="shared" si="100"/>
        <v>0</v>
      </c>
      <c r="CQ87" s="2568">
        <f t="shared" si="101"/>
        <v>0</v>
      </c>
      <c r="CR87" s="2568">
        <f t="shared" si="101"/>
        <v>0</v>
      </c>
      <c r="CS87" s="2568">
        <f t="shared" si="101"/>
        <v>0</v>
      </c>
      <c r="CT87" s="2568">
        <f t="shared" si="101"/>
        <v>0</v>
      </c>
      <c r="CU87" s="2568">
        <f t="shared" si="101"/>
        <v>0</v>
      </c>
      <c r="CV87" s="2568">
        <f t="shared" si="101"/>
        <v>0</v>
      </c>
      <c r="CW87" s="2568">
        <f t="shared" si="101"/>
        <v>0</v>
      </c>
      <c r="CX87" s="2568">
        <f t="shared" si="101"/>
        <v>0</v>
      </c>
      <c r="CY87" s="2568">
        <f t="shared" si="101"/>
        <v>0</v>
      </c>
      <c r="CZ87" s="2568">
        <f t="shared" si="101"/>
        <v>0</v>
      </c>
      <c r="DA87" s="2568">
        <f t="shared" si="101"/>
        <v>0</v>
      </c>
      <c r="DB87" s="2568">
        <f t="shared" si="101"/>
        <v>0</v>
      </c>
      <c r="DC87" s="2568">
        <f t="shared" si="101"/>
        <v>0</v>
      </c>
      <c r="DD87" s="2585">
        <f>AJ87-BT87</f>
        <v>0</v>
      </c>
      <c r="DE87" s="2189"/>
      <c r="DF87" s="2585">
        <f>AM87-BW87</f>
        <v>0</v>
      </c>
      <c r="DG87" s="2189"/>
    </row>
    <row r="88" spans="1:111" s="2196" customFormat="1" ht="13.8" outlineLevel="2" x14ac:dyDescent="0.3">
      <c r="A88" s="2189"/>
      <c r="B88" s="2586" t="s">
        <v>1585</v>
      </c>
      <c r="C88" s="2587"/>
      <c r="D88" s="2587"/>
      <c r="E88" s="2587"/>
      <c r="F88" s="2620"/>
      <c r="G88" s="2590">
        <f>IFERROR(G87/G75,0)</f>
        <v>0</v>
      </c>
      <c r="H88" s="2590">
        <f t="shared" ref="H88:W88" si="122">IFERROR(H87/H75,0)</f>
        <v>0</v>
      </c>
      <c r="I88" s="2590">
        <f t="shared" si="122"/>
        <v>0</v>
      </c>
      <c r="J88" s="2590">
        <f t="shared" si="122"/>
        <v>0</v>
      </c>
      <c r="K88" s="2590">
        <f t="shared" si="122"/>
        <v>0</v>
      </c>
      <c r="L88" s="2590">
        <f t="shared" si="122"/>
        <v>0</v>
      </c>
      <c r="M88" s="2590">
        <f t="shared" si="122"/>
        <v>0</v>
      </c>
      <c r="N88" s="2590">
        <f t="shared" si="122"/>
        <v>0</v>
      </c>
      <c r="O88" s="2590">
        <f t="shared" si="122"/>
        <v>0</v>
      </c>
      <c r="P88" s="2590">
        <f t="shared" si="122"/>
        <v>0</v>
      </c>
      <c r="Q88" s="2590">
        <f t="shared" si="122"/>
        <v>0</v>
      </c>
      <c r="R88" s="2590">
        <f t="shared" si="122"/>
        <v>0</v>
      </c>
      <c r="S88" s="2590">
        <f t="shared" si="122"/>
        <v>0</v>
      </c>
      <c r="T88" s="2590">
        <f t="shared" si="122"/>
        <v>0</v>
      </c>
      <c r="U88" s="2590">
        <f t="shared" si="122"/>
        <v>0</v>
      </c>
      <c r="V88" s="2590">
        <f t="shared" si="122"/>
        <v>0</v>
      </c>
      <c r="W88" s="2590">
        <f t="shared" si="122"/>
        <v>0</v>
      </c>
      <c r="X88" s="2590">
        <f>IFERROR(X87/X75,0)</f>
        <v>0</v>
      </c>
      <c r="Y88" s="2590">
        <f t="shared" ref="Y88:AI88" si="123">IFERROR(Y87/Y75,0)</f>
        <v>0</v>
      </c>
      <c r="Z88" s="2590">
        <f t="shared" si="123"/>
        <v>0</v>
      </c>
      <c r="AA88" s="2590">
        <f t="shared" si="123"/>
        <v>0</v>
      </c>
      <c r="AB88" s="2590">
        <f t="shared" si="123"/>
        <v>0</v>
      </c>
      <c r="AC88" s="2590">
        <f t="shared" si="123"/>
        <v>0</v>
      </c>
      <c r="AD88" s="2590">
        <f t="shared" si="123"/>
        <v>0</v>
      </c>
      <c r="AE88" s="2590">
        <f t="shared" si="123"/>
        <v>0</v>
      </c>
      <c r="AF88" s="2590">
        <f t="shared" si="123"/>
        <v>0</v>
      </c>
      <c r="AG88" s="2590">
        <f t="shared" si="123"/>
        <v>0</v>
      </c>
      <c r="AH88" s="2590">
        <f t="shared" si="123"/>
        <v>0</v>
      </c>
      <c r="AI88" s="2590">
        <f t="shared" si="123"/>
        <v>0</v>
      </c>
      <c r="AJ88" s="2591">
        <f>IFERROR(AJ87/AJ75,0)</f>
        <v>0</v>
      </c>
      <c r="AK88" s="2592"/>
      <c r="AL88" s="2198"/>
      <c r="AM88" s="2591">
        <f>IFERROR(AM87/AM75,0)</f>
        <v>0</v>
      </c>
      <c r="AN88" s="2590"/>
      <c r="AO88" s="2189"/>
      <c r="AP88" s="2189"/>
      <c r="AQ88" s="2589">
        <f t="shared" ref="AQ88:BT88" si="124">IFERROR(AQ87/AQ75,0)</f>
        <v>0</v>
      </c>
      <c r="AR88" s="2590">
        <f t="shared" si="124"/>
        <v>0</v>
      </c>
      <c r="AS88" s="2590">
        <f t="shared" si="124"/>
        <v>0</v>
      </c>
      <c r="AT88" s="2590">
        <f t="shared" si="124"/>
        <v>0</v>
      </c>
      <c r="AU88" s="2590">
        <f t="shared" si="124"/>
        <v>0</v>
      </c>
      <c r="AV88" s="2590">
        <f t="shared" si="124"/>
        <v>0</v>
      </c>
      <c r="AW88" s="2590">
        <f t="shared" si="124"/>
        <v>0</v>
      </c>
      <c r="AX88" s="2590">
        <f t="shared" si="124"/>
        <v>0</v>
      </c>
      <c r="AY88" s="2590">
        <f t="shared" si="124"/>
        <v>0</v>
      </c>
      <c r="AZ88" s="2590">
        <f t="shared" si="124"/>
        <v>0</v>
      </c>
      <c r="BA88" s="2590">
        <f t="shared" si="124"/>
        <v>0</v>
      </c>
      <c r="BB88" s="2590">
        <f t="shared" si="124"/>
        <v>0</v>
      </c>
      <c r="BC88" s="2590">
        <f t="shared" si="124"/>
        <v>0</v>
      </c>
      <c r="BD88" s="2590">
        <f t="shared" si="124"/>
        <v>0</v>
      </c>
      <c r="BE88" s="2590">
        <f t="shared" si="124"/>
        <v>0</v>
      </c>
      <c r="BF88" s="2590">
        <f t="shared" si="124"/>
        <v>0</v>
      </c>
      <c r="BG88" s="2590">
        <f t="shared" si="124"/>
        <v>0</v>
      </c>
      <c r="BH88" s="2590">
        <f t="shared" si="124"/>
        <v>0</v>
      </c>
      <c r="BI88" s="2590">
        <f t="shared" si="124"/>
        <v>0</v>
      </c>
      <c r="BJ88" s="2590">
        <f t="shared" si="124"/>
        <v>0</v>
      </c>
      <c r="BK88" s="2590">
        <f t="shared" si="124"/>
        <v>0</v>
      </c>
      <c r="BL88" s="2590">
        <f t="shared" si="124"/>
        <v>0</v>
      </c>
      <c r="BM88" s="2590">
        <f t="shared" si="124"/>
        <v>0</v>
      </c>
      <c r="BN88" s="2590">
        <f t="shared" si="124"/>
        <v>0</v>
      </c>
      <c r="BO88" s="2590">
        <f t="shared" si="124"/>
        <v>0</v>
      </c>
      <c r="BP88" s="2590">
        <f t="shared" si="124"/>
        <v>0</v>
      </c>
      <c r="BQ88" s="2590">
        <f t="shared" si="124"/>
        <v>0</v>
      </c>
      <c r="BR88" s="2590">
        <f t="shared" si="124"/>
        <v>0</v>
      </c>
      <c r="BS88" s="2590">
        <f t="shared" si="124"/>
        <v>0</v>
      </c>
      <c r="BT88" s="2591">
        <f t="shared" si="124"/>
        <v>0</v>
      </c>
      <c r="BU88" s="2198"/>
      <c r="BV88" s="2198"/>
      <c r="BW88" s="2591">
        <f t="shared" ref="BW88" si="125">IFERROR(BW87/BW75,0)</f>
        <v>0</v>
      </c>
      <c r="BX88" s="2189"/>
      <c r="BY88" s="2189"/>
      <c r="BZ88" s="2189"/>
      <c r="CA88" s="2589">
        <f t="shared" si="100"/>
        <v>0</v>
      </c>
      <c r="CB88" s="2590">
        <f t="shared" si="100"/>
        <v>0</v>
      </c>
      <c r="CC88" s="2590">
        <f t="shared" si="100"/>
        <v>0</v>
      </c>
      <c r="CD88" s="2590">
        <f t="shared" si="100"/>
        <v>0</v>
      </c>
      <c r="CE88" s="2590">
        <f t="shared" si="100"/>
        <v>0</v>
      </c>
      <c r="CF88" s="2590">
        <f t="shared" si="100"/>
        <v>0</v>
      </c>
      <c r="CG88" s="2590">
        <f t="shared" si="100"/>
        <v>0</v>
      </c>
      <c r="CH88" s="2590">
        <f t="shared" si="100"/>
        <v>0</v>
      </c>
      <c r="CI88" s="2590">
        <f t="shared" si="100"/>
        <v>0</v>
      </c>
      <c r="CJ88" s="2590">
        <f t="shared" si="100"/>
        <v>0</v>
      </c>
      <c r="CK88" s="2590">
        <f t="shared" si="100"/>
        <v>0</v>
      </c>
      <c r="CL88" s="2590">
        <f t="shared" si="100"/>
        <v>0</v>
      </c>
      <c r="CM88" s="2590">
        <f t="shared" si="100"/>
        <v>0</v>
      </c>
      <c r="CN88" s="2590">
        <f t="shared" si="100"/>
        <v>0</v>
      </c>
      <c r="CO88" s="2590">
        <f t="shared" si="100"/>
        <v>0</v>
      </c>
      <c r="CP88" s="2590">
        <f t="shared" ref="CP88:CP90" si="126">V88-BF88</f>
        <v>0</v>
      </c>
      <c r="CQ88" s="2590">
        <f t="shared" si="101"/>
        <v>0</v>
      </c>
      <c r="CR88" s="2590">
        <f t="shared" si="101"/>
        <v>0</v>
      </c>
      <c r="CS88" s="2590">
        <f t="shared" si="101"/>
        <v>0</v>
      </c>
      <c r="CT88" s="2590">
        <f t="shared" si="101"/>
        <v>0</v>
      </c>
      <c r="CU88" s="2590">
        <f t="shared" si="101"/>
        <v>0</v>
      </c>
      <c r="CV88" s="2590">
        <f t="shared" si="101"/>
        <v>0</v>
      </c>
      <c r="CW88" s="2590">
        <f t="shared" si="101"/>
        <v>0</v>
      </c>
      <c r="CX88" s="2590">
        <f t="shared" si="101"/>
        <v>0</v>
      </c>
      <c r="CY88" s="2590">
        <f t="shared" si="101"/>
        <v>0</v>
      </c>
      <c r="CZ88" s="2590">
        <f t="shared" si="101"/>
        <v>0</v>
      </c>
      <c r="DA88" s="2590">
        <f t="shared" si="101"/>
        <v>0</v>
      </c>
      <c r="DB88" s="2590">
        <f t="shared" si="101"/>
        <v>0</v>
      </c>
      <c r="DC88" s="2590">
        <f t="shared" si="101"/>
        <v>0</v>
      </c>
      <c r="DD88" s="2591">
        <f>AJ88-BT88</f>
        <v>0</v>
      </c>
      <c r="DE88" s="2189"/>
      <c r="DF88" s="2591">
        <f t="shared" ref="DF88:DF90" si="127">AM88-BW88</f>
        <v>0</v>
      </c>
      <c r="DG88" s="2189"/>
    </row>
    <row r="89" spans="1:111" s="2196" customFormat="1" ht="13.8" outlineLevel="2" x14ac:dyDescent="0.3">
      <c r="A89" s="2189"/>
      <c r="B89" s="2586" t="s">
        <v>1586</v>
      </c>
      <c r="C89" s="2587"/>
      <c r="D89" s="2587"/>
      <c r="E89" s="2587"/>
      <c r="F89" s="2621"/>
      <c r="G89" s="2599">
        <v>0</v>
      </c>
      <c r="H89" s="2599">
        <v>0</v>
      </c>
      <c r="I89" s="2599">
        <v>0</v>
      </c>
      <c r="J89" s="2599">
        <v>0</v>
      </c>
      <c r="K89" s="2599">
        <v>0</v>
      </c>
      <c r="L89" s="2599">
        <v>0</v>
      </c>
      <c r="M89" s="2599">
        <v>0</v>
      </c>
      <c r="N89" s="2599">
        <v>0</v>
      </c>
      <c r="O89" s="2599">
        <v>0</v>
      </c>
      <c r="P89" s="2599">
        <v>0</v>
      </c>
      <c r="Q89" s="2599">
        <v>0</v>
      </c>
      <c r="R89" s="2599">
        <v>0</v>
      </c>
      <c r="S89" s="2599">
        <v>0</v>
      </c>
      <c r="T89" s="2599">
        <v>0</v>
      </c>
      <c r="U89" s="2599">
        <v>0</v>
      </c>
      <c r="V89" s="2599">
        <v>0</v>
      </c>
      <c r="W89" s="2599">
        <v>0</v>
      </c>
      <c r="X89" s="2599">
        <v>0</v>
      </c>
      <c r="Y89" s="2599">
        <v>0</v>
      </c>
      <c r="Z89" s="2599">
        <v>0</v>
      </c>
      <c r="AA89" s="2599">
        <v>0</v>
      </c>
      <c r="AB89" s="2599">
        <v>0</v>
      </c>
      <c r="AC89" s="2599">
        <v>0</v>
      </c>
      <c r="AD89" s="2599">
        <v>0</v>
      </c>
      <c r="AE89" s="2599">
        <v>0</v>
      </c>
      <c r="AF89" s="2599">
        <v>0</v>
      </c>
      <c r="AG89" s="2599">
        <v>0</v>
      </c>
      <c r="AH89" s="2599">
        <v>0</v>
      </c>
      <c r="AI89" s="2599">
        <v>0</v>
      </c>
      <c r="AJ89" s="2596"/>
      <c r="AK89" s="2593"/>
      <c r="AL89" s="2198"/>
      <c r="AM89" s="2596"/>
      <c r="AN89" s="2597"/>
      <c r="AO89" s="2189"/>
      <c r="AP89" s="2189"/>
      <c r="AQ89" s="2598">
        <v>0</v>
      </c>
      <c r="AR89" s="2599">
        <v>0</v>
      </c>
      <c r="AS89" s="2599">
        <v>0</v>
      </c>
      <c r="AT89" s="2599">
        <v>0</v>
      </c>
      <c r="AU89" s="2599">
        <v>0</v>
      </c>
      <c r="AV89" s="2599">
        <v>0</v>
      </c>
      <c r="AW89" s="2599">
        <v>0</v>
      </c>
      <c r="AX89" s="2599">
        <v>0</v>
      </c>
      <c r="AY89" s="2599">
        <v>0</v>
      </c>
      <c r="AZ89" s="2599">
        <v>0</v>
      </c>
      <c r="BA89" s="2599">
        <v>0</v>
      </c>
      <c r="BB89" s="2599">
        <v>0</v>
      </c>
      <c r="BC89" s="2599">
        <v>0</v>
      </c>
      <c r="BD89" s="2599">
        <v>0</v>
      </c>
      <c r="BE89" s="2599">
        <v>0</v>
      </c>
      <c r="BF89" s="2599">
        <v>0</v>
      </c>
      <c r="BG89" s="2599">
        <v>0</v>
      </c>
      <c r="BH89" s="2599">
        <v>0</v>
      </c>
      <c r="BI89" s="2599">
        <v>0</v>
      </c>
      <c r="BJ89" s="2599">
        <v>0</v>
      </c>
      <c r="BK89" s="2599">
        <v>0</v>
      </c>
      <c r="BL89" s="2599">
        <v>0</v>
      </c>
      <c r="BM89" s="2599">
        <v>0</v>
      </c>
      <c r="BN89" s="2599">
        <v>0</v>
      </c>
      <c r="BO89" s="2599">
        <v>0</v>
      </c>
      <c r="BP89" s="2599">
        <v>0</v>
      </c>
      <c r="BQ89" s="2599">
        <v>0</v>
      </c>
      <c r="BR89" s="2599">
        <v>0</v>
      </c>
      <c r="BS89" s="2599">
        <v>0</v>
      </c>
      <c r="BT89" s="2596"/>
      <c r="BU89" s="2198"/>
      <c r="BV89" s="2198"/>
      <c r="BW89" s="2596"/>
      <c r="BX89" s="2189"/>
      <c r="BY89" s="2189"/>
      <c r="BZ89" s="2189"/>
      <c r="CA89" s="2600">
        <f t="shared" ref="CA89:CO90" si="128">G89-AQ89</f>
        <v>0</v>
      </c>
      <c r="CB89" s="2601">
        <f t="shared" si="128"/>
        <v>0</v>
      </c>
      <c r="CC89" s="2601">
        <f t="shared" si="128"/>
        <v>0</v>
      </c>
      <c r="CD89" s="2601">
        <f t="shared" si="128"/>
        <v>0</v>
      </c>
      <c r="CE89" s="2601">
        <f t="shared" si="128"/>
        <v>0</v>
      </c>
      <c r="CF89" s="2601">
        <f t="shared" si="128"/>
        <v>0</v>
      </c>
      <c r="CG89" s="2601">
        <f t="shared" si="128"/>
        <v>0</v>
      </c>
      <c r="CH89" s="2601">
        <f t="shared" si="128"/>
        <v>0</v>
      </c>
      <c r="CI89" s="2601">
        <f t="shared" si="128"/>
        <v>0</v>
      </c>
      <c r="CJ89" s="2601">
        <f t="shared" si="128"/>
        <v>0</v>
      </c>
      <c r="CK89" s="2601">
        <f t="shared" si="128"/>
        <v>0</v>
      </c>
      <c r="CL89" s="2601">
        <f t="shared" si="128"/>
        <v>0</v>
      </c>
      <c r="CM89" s="2601">
        <f t="shared" si="128"/>
        <v>0</v>
      </c>
      <c r="CN89" s="2601">
        <f t="shared" si="128"/>
        <v>0</v>
      </c>
      <c r="CO89" s="2601">
        <f t="shared" si="128"/>
        <v>0</v>
      </c>
      <c r="CP89" s="2601">
        <f t="shared" si="126"/>
        <v>0</v>
      </c>
      <c r="CQ89" s="2601">
        <f t="shared" si="101"/>
        <v>0</v>
      </c>
      <c r="CR89" s="2601">
        <f t="shared" si="101"/>
        <v>0</v>
      </c>
      <c r="CS89" s="2601">
        <f t="shared" si="101"/>
        <v>0</v>
      </c>
      <c r="CT89" s="2601">
        <f t="shared" si="101"/>
        <v>0</v>
      </c>
      <c r="CU89" s="2601">
        <f t="shared" si="101"/>
        <v>0</v>
      </c>
      <c r="CV89" s="2601">
        <f t="shared" si="101"/>
        <v>0</v>
      </c>
      <c r="CW89" s="2601">
        <f t="shared" si="101"/>
        <v>0</v>
      </c>
      <c r="CX89" s="2601">
        <f t="shared" si="101"/>
        <v>0</v>
      </c>
      <c r="CY89" s="2601">
        <f t="shared" si="101"/>
        <v>0</v>
      </c>
      <c r="CZ89" s="2601">
        <f t="shared" si="101"/>
        <v>0</v>
      </c>
      <c r="DA89" s="2601">
        <f t="shared" si="101"/>
        <v>0</v>
      </c>
      <c r="DB89" s="2601">
        <f t="shared" si="101"/>
        <v>0</v>
      </c>
      <c r="DC89" s="2601">
        <f>AI89-BS89</f>
        <v>0</v>
      </c>
      <c r="DD89" s="2602">
        <f>AJ89-BT89</f>
        <v>0</v>
      </c>
      <c r="DE89" s="2189"/>
      <c r="DF89" s="2602">
        <f t="shared" si="127"/>
        <v>0</v>
      </c>
      <c r="DG89" s="2189"/>
    </row>
    <row r="90" spans="1:111" s="2196" customFormat="1" ht="13.8" outlineLevel="2" x14ac:dyDescent="0.3">
      <c r="A90" s="2189"/>
      <c r="B90" s="2553" t="s">
        <v>1587</v>
      </c>
      <c r="C90" s="2603"/>
      <c r="D90" s="2603"/>
      <c r="E90" s="2603"/>
      <c r="F90" s="2622"/>
      <c r="G90" s="2607">
        <v>0</v>
      </c>
      <c r="H90" s="2607">
        <v>0</v>
      </c>
      <c r="I90" s="2607">
        <v>0</v>
      </c>
      <c r="J90" s="2607">
        <v>0</v>
      </c>
      <c r="K90" s="2607">
        <v>0</v>
      </c>
      <c r="L90" s="2607">
        <v>0</v>
      </c>
      <c r="M90" s="2607">
        <v>0</v>
      </c>
      <c r="N90" s="2607">
        <v>0</v>
      </c>
      <c r="O90" s="2607">
        <v>0</v>
      </c>
      <c r="P90" s="2607">
        <v>0</v>
      </c>
      <c r="Q90" s="2607">
        <v>0</v>
      </c>
      <c r="R90" s="2607">
        <v>0</v>
      </c>
      <c r="S90" s="2607">
        <v>0</v>
      </c>
      <c r="T90" s="2607">
        <v>0</v>
      </c>
      <c r="U90" s="2607">
        <v>0</v>
      </c>
      <c r="V90" s="2607">
        <v>0</v>
      </c>
      <c r="W90" s="2607">
        <v>0</v>
      </c>
      <c r="X90" s="2607">
        <v>0</v>
      </c>
      <c r="Y90" s="2607">
        <v>0</v>
      </c>
      <c r="Z90" s="2607">
        <v>0</v>
      </c>
      <c r="AA90" s="2607">
        <v>0</v>
      </c>
      <c r="AB90" s="2607">
        <v>0</v>
      </c>
      <c r="AC90" s="2607">
        <v>0</v>
      </c>
      <c r="AD90" s="2607">
        <v>0</v>
      </c>
      <c r="AE90" s="2607">
        <v>0</v>
      </c>
      <c r="AF90" s="2607">
        <v>0</v>
      </c>
      <c r="AG90" s="2607">
        <v>0</v>
      </c>
      <c r="AH90" s="2607">
        <v>0</v>
      </c>
      <c r="AI90" s="2607">
        <v>0</v>
      </c>
      <c r="AJ90" s="2605"/>
      <c r="AK90" s="2593"/>
      <c r="AL90" s="2198"/>
      <c r="AM90" s="2605"/>
      <c r="AN90" s="2597"/>
      <c r="AO90" s="2189"/>
      <c r="AP90" s="2189"/>
      <c r="AQ90" s="2606">
        <v>0</v>
      </c>
      <c r="AR90" s="2607">
        <v>0</v>
      </c>
      <c r="AS90" s="2607">
        <v>0</v>
      </c>
      <c r="AT90" s="2607">
        <v>0</v>
      </c>
      <c r="AU90" s="2607">
        <v>0</v>
      </c>
      <c r="AV90" s="2607">
        <v>0</v>
      </c>
      <c r="AW90" s="2607">
        <v>0</v>
      </c>
      <c r="AX90" s="2607">
        <v>0</v>
      </c>
      <c r="AY90" s="2607">
        <v>0</v>
      </c>
      <c r="AZ90" s="2607">
        <v>0</v>
      </c>
      <c r="BA90" s="2607">
        <v>0</v>
      </c>
      <c r="BB90" s="2607">
        <v>0</v>
      </c>
      <c r="BC90" s="2607">
        <v>0</v>
      </c>
      <c r="BD90" s="2607">
        <v>0</v>
      </c>
      <c r="BE90" s="2607">
        <v>0</v>
      </c>
      <c r="BF90" s="2607">
        <v>0</v>
      </c>
      <c r="BG90" s="2607">
        <v>0</v>
      </c>
      <c r="BH90" s="2607">
        <v>0</v>
      </c>
      <c r="BI90" s="2607">
        <v>0</v>
      </c>
      <c r="BJ90" s="2607">
        <v>0</v>
      </c>
      <c r="BK90" s="2607">
        <v>0</v>
      </c>
      <c r="BL90" s="2607">
        <v>0</v>
      </c>
      <c r="BM90" s="2607">
        <v>0</v>
      </c>
      <c r="BN90" s="2607">
        <v>0</v>
      </c>
      <c r="BO90" s="2607">
        <v>0</v>
      </c>
      <c r="BP90" s="2607">
        <v>0</v>
      </c>
      <c r="BQ90" s="2607">
        <v>0</v>
      </c>
      <c r="BR90" s="2607">
        <v>0</v>
      </c>
      <c r="BS90" s="2607">
        <v>0</v>
      </c>
      <c r="BT90" s="2605"/>
      <c r="BU90" s="2198"/>
      <c r="BV90" s="2198"/>
      <c r="BW90" s="2605"/>
      <c r="BX90" s="2189"/>
      <c r="BY90" s="2189"/>
      <c r="BZ90" s="2189"/>
      <c r="CA90" s="2559">
        <f t="shared" si="128"/>
        <v>0</v>
      </c>
      <c r="CB90" s="2560">
        <f t="shared" si="128"/>
        <v>0</v>
      </c>
      <c r="CC90" s="2560">
        <f t="shared" si="128"/>
        <v>0</v>
      </c>
      <c r="CD90" s="2560">
        <f t="shared" si="128"/>
        <v>0</v>
      </c>
      <c r="CE90" s="2560">
        <f t="shared" si="128"/>
        <v>0</v>
      </c>
      <c r="CF90" s="2560">
        <f t="shared" si="128"/>
        <v>0</v>
      </c>
      <c r="CG90" s="2560">
        <f t="shared" si="128"/>
        <v>0</v>
      </c>
      <c r="CH90" s="2560">
        <f t="shared" si="128"/>
        <v>0</v>
      </c>
      <c r="CI90" s="2560">
        <f t="shared" si="128"/>
        <v>0</v>
      </c>
      <c r="CJ90" s="2560">
        <f t="shared" si="128"/>
        <v>0</v>
      </c>
      <c r="CK90" s="2560">
        <f t="shared" si="128"/>
        <v>0</v>
      </c>
      <c r="CL90" s="2560">
        <f t="shared" si="128"/>
        <v>0</v>
      </c>
      <c r="CM90" s="2560">
        <f t="shared" si="128"/>
        <v>0</v>
      </c>
      <c r="CN90" s="2560">
        <f t="shared" si="128"/>
        <v>0</v>
      </c>
      <c r="CO90" s="2560">
        <f t="shared" si="128"/>
        <v>0</v>
      </c>
      <c r="CP90" s="2560">
        <f t="shared" si="126"/>
        <v>0</v>
      </c>
      <c r="CQ90" s="2560">
        <f t="shared" si="101"/>
        <v>0</v>
      </c>
      <c r="CR90" s="2560">
        <f t="shared" si="101"/>
        <v>0</v>
      </c>
      <c r="CS90" s="2560">
        <f t="shared" si="101"/>
        <v>0</v>
      </c>
      <c r="CT90" s="2560">
        <f t="shared" si="101"/>
        <v>0</v>
      </c>
      <c r="CU90" s="2560">
        <f t="shared" si="101"/>
        <v>0</v>
      </c>
      <c r="CV90" s="2560">
        <f t="shared" si="101"/>
        <v>0</v>
      </c>
      <c r="CW90" s="2560">
        <f t="shared" si="101"/>
        <v>0</v>
      </c>
      <c r="CX90" s="2560">
        <f t="shared" si="101"/>
        <v>0</v>
      </c>
      <c r="CY90" s="2560">
        <f t="shared" si="101"/>
        <v>0</v>
      </c>
      <c r="CZ90" s="2560">
        <f t="shared" si="101"/>
        <v>0</v>
      </c>
      <c r="DA90" s="2560">
        <f t="shared" si="101"/>
        <v>0</v>
      </c>
      <c r="DB90" s="2560">
        <f t="shared" si="101"/>
        <v>0</v>
      </c>
      <c r="DC90" s="2560">
        <f>AI90-BS90</f>
        <v>0</v>
      </c>
      <c r="DD90" s="2608">
        <f>AJ90-BT90</f>
        <v>0</v>
      </c>
      <c r="DE90" s="2189"/>
      <c r="DF90" s="2608">
        <f t="shared" si="127"/>
        <v>0</v>
      </c>
      <c r="DG90" s="2189"/>
    </row>
    <row r="91" spans="1:111" s="2196" customFormat="1" ht="16.5" customHeight="1" outlineLevel="1" x14ac:dyDescent="0.3">
      <c r="A91" s="2189"/>
      <c r="B91" s="2587"/>
      <c r="C91" s="2587"/>
      <c r="D91" s="2587"/>
      <c r="E91" s="2587"/>
      <c r="F91" s="2593"/>
      <c r="G91" s="2587"/>
      <c r="H91" s="2587"/>
      <c r="I91" s="2587"/>
      <c r="J91" s="2587"/>
      <c r="K91" s="2587"/>
      <c r="L91" s="2587"/>
      <c r="M91" s="2587"/>
      <c r="N91" s="2587"/>
      <c r="O91" s="2587"/>
      <c r="P91" s="2587"/>
      <c r="Q91" s="2587"/>
      <c r="R91" s="2587"/>
      <c r="S91" s="2587"/>
      <c r="T91" s="2587"/>
      <c r="U91" s="2587"/>
      <c r="V91" s="2587"/>
      <c r="W91" s="2587"/>
      <c r="X91" s="2587"/>
      <c r="Y91" s="2587"/>
      <c r="Z91" s="2587"/>
      <c r="AA91" s="2587"/>
      <c r="AB91" s="2587"/>
      <c r="AC91" s="2587"/>
      <c r="AD91" s="2587"/>
      <c r="AE91" s="2587"/>
      <c r="AF91" s="2587"/>
      <c r="AG91" s="2587"/>
      <c r="AH91" s="2587"/>
      <c r="AI91" s="2587"/>
      <c r="AJ91" s="2587"/>
      <c r="AK91" s="1070"/>
      <c r="AL91" s="2189"/>
      <c r="AM91" s="2189"/>
      <c r="AN91" s="2189"/>
      <c r="AO91" s="2189"/>
      <c r="AP91" s="2189"/>
      <c r="AQ91" s="2587"/>
      <c r="AR91" s="2587"/>
      <c r="AS91" s="2587"/>
      <c r="AT91" s="2587"/>
      <c r="AU91" s="2587"/>
      <c r="AV91" s="2587"/>
      <c r="AW91" s="2587"/>
      <c r="AX91" s="2587"/>
      <c r="AY91" s="2587"/>
      <c r="AZ91" s="2587"/>
      <c r="BA91" s="2587"/>
      <c r="BB91" s="2587"/>
      <c r="BC91" s="2587"/>
      <c r="BD91" s="2587"/>
      <c r="BE91" s="2587"/>
      <c r="BF91" s="2587"/>
      <c r="BG91" s="2587"/>
      <c r="BH91" s="2587"/>
      <c r="BI91" s="2587"/>
      <c r="BJ91" s="2587"/>
      <c r="BK91" s="2587"/>
      <c r="BL91" s="2587"/>
      <c r="BM91" s="2587"/>
      <c r="BN91" s="2587"/>
      <c r="BO91" s="2587"/>
      <c r="BP91" s="2587"/>
      <c r="BQ91" s="2587"/>
      <c r="BR91" s="2587"/>
      <c r="BS91" s="2587"/>
      <c r="BT91" s="2593"/>
      <c r="BU91" s="2189"/>
      <c r="BV91" s="2189"/>
      <c r="BW91" s="2593"/>
      <c r="BX91" s="2189"/>
      <c r="BY91" s="2189"/>
      <c r="BZ91" s="2189"/>
      <c r="CA91" s="2189"/>
      <c r="CB91" s="2189"/>
      <c r="CC91" s="2189"/>
      <c r="CD91" s="2189"/>
      <c r="CE91" s="2189"/>
      <c r="CF91" s="2189"/>
      <c r="CG91" s="2189"/>
      <c r="CH91" s="2189"/>
      <c r="CI91" s="2189"/>
      <c r="CJ91" s="2189"/>
      <c r="CK91" s="2189"/>
      <c r="CL91" s="2189"/>
      <c r="CM91" s="2189"/>
      <c r="CN91" s="2189"/>
      <c r="CO91" s="2189"/>
      <c r="CP91" s="2189"/>
      <c r="CQ91" s="2189"/>
      <c r="CR91" s="2189"/>
      <c r="CS91" s="2189"/>
      <c r="CT91" s="2189"/>
      <c r="CU91" s="2189"/>
      <c r="CV91" s="2189"/>
      <c r="CW91" s="2189"/>
      <c r="CX91" s="2189"/>
      <c r="CY91" s="2189"/>
      <c r="CZ91" s="2189"/>
      <c r="DA91" s="2189"/>
      <c r="DB91" s="2189"/>
      <c r="DC91" s="2189"/>
      <c r="DD91" s="2189"/>
      <c r="DE91" s="2189"/>
      <c r="DF91" s="2189"/>
      <c r="DG91" s="2189"/>
    </row>
    <row r="92" spans="1:111" s="2196" customFormat="1" ht="18" outlineLevel="2" x14ac:dyDescent="0.3">
      <c r="A92" s="2189"/>
      <c r="B92" s="2498" t="s">
        <v>1644</v>
      </c>
      <c r="C92" s="2587"/>
      <c r="D92" s="2587"/>
      <c r="E92" s="2587"/>
      <c r="F92" s="2593"/>
      <c r="G92" s="1853">
        <f>G8</f>
        <v>0</v>
      </c>
      <c r="H92" s="1853">
        <f t="shared" ref="H92:AI93" si="129">H8</f>
        <v>0</v>
      </c>
      <c r="I92" s="1853">
        <f t="shared" si="129"/>
        <v>0</v>
      </c>
      <c r="J92" s="1853">
        <f t="shared" si="129"/>
        <v>0</v>
      </c>
      <c r="K92" s="1853">
        <f t="shared" si="129"/>
        <v>0</v>
      </c>
      <c r="L92" s="1853">
        <f t="shared" si="129"/>
        <v>0</v>
      </c>
      <c r="M92" s="1853">
        <f t="shared" si="129"/>
        <v>0</v>
      </c>
      <c r="N92" s="1853">
        <f t="shared" si="129"/>
        <v>0</v>
      </c>
      <c r="O92" s="1853">
        <f t="shared" si="129"/>
        <v>0</v>
      </c>
      <c r="P92" s="1853">
        <f t="shared" si="129"/>
        <v>0</v>
      </c>
      <c r="Q92" s="1853">
        <f t="shared" si="129"/>
        <v>0</v>
      </c>
      <c r="R92" s="1853">
        <f t="shared" si="129"/>
        <v>0</v>
      </c>
      <c r="S92" s="1853">
        <f t="shared" si="129"/>
        <v>0</v>
      </c>
      <c r="T92" s="1853">
        <f t="shared" si="129"/>
        <v>0</v>
      </c>
      <c r="U92" s="1853">
        <f t="shared" si="129"/>
        <v>0</v>
      </c>
      <c r="V92" s="1853">
        <f t="shared" si="129"/>
        <v>0</v>
      </c>
      <c r="W92" s="1853">
        <f t="shared" si="129"/>
        <v>0</v>
      </c>
      <c r="X92" s="1853">
        <f t="shared" si="129"/>
        <v>0</v>
      </c>
      <c r="Y92" s="1853">
        <f t="shared" si="129"/>
        <v>0</v>
      </c>
      <c r="Z92" s="1853">
        <f t="shared" si="129"/>
        <v>0</v>
      </c>
      <c r="AA92" s="1853">
        <f t="shared" si="129"/>
        <v>0</v>
      </c>
      <c r="AB92" s="1853">
        <f t="shared" si="129"/>
        <v>0</v>
      </c>
      <c r="AC92" s="1853">
        <f t="shared" si="129"/>
        <v>0</v>
      </c>
      <c r="AD92" s="1853">
        <f t="shared" si="129"/>
        <v>0</v>
      </c>
      <c r="AE92" s="1853">
        <f t="shared" si="129"/>
        <v>0</v>
      </c>
      <c r="AF92" s="1853">
        <f t="shared" si="129"/>
        <v>0</v>
      </c>
      <c r="AG92" s="1853">
        <f t="shared" si="129"/>
        <v>0</v>
      </c>
      <c r="AH92" s="1853">
        <f t="shared" si="129"/>
        <v>0</v>
      </c>
      <c r="AI92" s="1853">
        <f t="shared" si="129"/>
        <v>0</v>
      </c>
      <c r="AJ92" s="2587"/>
      <c r="AK92" s="1070"/>
      <c r="AL92" s="2189"/>
      <c r="AM92" s="2189"/>
      <c r="AN92" s="2189"/>
      <c r="AO92" s="2189"/>
      <c r="AP92" s="2189"/>
      <c r="AQ92" s="2587"/>
      <c r="AR92" s="2587"/>
      <c r="AS92" s="2587"/>
      <c r="AT92" s="2587"/>
      <c r="AU92" s="2587"/>
      <c r="AV92" s="2587"/>
      <c r="AW92" s="2587"/>
      <c r="AX92" s="2587"/>
      <c r="AY92" s="2587"/>
      <c r="AZ92" s="2587"/>
      <c r="BA92" s="2587"/>
      <c r="BB92" s="2587"/>
      <c r="BC92" s="2587"/>
      <c r="BD92" s="2587"/>
      <c r="BE92" s="2587"/>
      <c r="BF92" s="2587"/>
      <c r="BG92" s="2587"/>
      <c r="BH92" s="2587"/>
      <c r="BI92" s="2587"/>
      <c r="BJ92" s="2587"/>
      <c r="BK92" s="2587"/>
      <c r="BL92" s="2587"/>
      <c r="BM92" s="2587"/>
      <c r="BN92" s="2587"/>
      <c r="BO92" s="2587"/>
      <c r="BP92" s="2587"/>
      <c r="BQ92" s="2587"/>
      <c r="BR92" s="2587"/>
      <c r="BS92" s="2587"/>
      <c r="BT92" s="2593"/>
      <c r="BU92" s="2189"/>
      <c r="BV92" s="2189"/>
      <c r="BW92" s="2593"/>
      <c r="BX92" s="2189"/>
      <c r="BY92" s="2189"/>
      <c r="BZ92" s="2189"/>
      <c r="CA92" s="2189"/>
      <c r="CB92" s="2189"/>
      <c r="CC92" s="2189"/>
      <c r="CD92" s="2189"/>
      <c r="CE92" s="2189"/>
      <c r="CF92" s="2189"/>
      <c r="CG92" s="2189"/>
      <c r="CH92" s="2189"/>
      <c r="CI92" s="2189"/>
      <c r="CJ92" s="2189"/>
      <c r="CK92" s="2189"/>
      <c r="CL92" s="2189"/>
      <c r="CM92" s="2189"/>
      <c r="CN92" s="2189"/>
      <c r="CO92" s="2189"/>
      <c r="CP92" s="2189"/>
      <c r="CQ92" s="2189"/>
      <c r="CR92" s="2189"/>
      <c r="CS92" s="2189"/>
      <c r="CT92" s="2189"/>
      <c r="CU92" s="2189"/>
      <c r="CV92" s="2189"/>
      <c r="CW92" s="2189"/>
      <c r="CX92" s="2189"/>
      <c r="CY92" s="2189"/>
      <c r="CZ92" s="2189"/>
      <c r="DA92" s="2189"/>
      <c r="DB92" s="2189"/>
      <c r="DC92" s="2189"/>
      <c r="DD92" s="2189"/>
      <c r="DE92" s="2189"/>
      <c r="DF92" s="2189"/>
      <c r="DG92" s="2189"/>
    </row>
    <row r="93" spans="1:111" s="2196" customFormat="1" ht="18" outlineLevel="2" x14ac:dyDescent="0.3">
      <c r="A93" s="2189"/>
      <c r="B93" s="3363" t="str">
        <f>Input!D36</f>
        <v>E</v>
      </c>
      <c r="C93" s="3364"/>
      <c r="D93" s="3364"/>
      <c r="E93" s="3364"/>
      <c r="F93" s="3365"/>
      <c r="G93" s="1752" t="str">
        <f>G9</f>
        <v>FY18</v>
      </c>
      <c r="H93" s="1243" t="str">
        <f t="shared" si="129"/>
        <v>FY19</v>
      </c>
      <c r="I93" s="1243" t="str">
        <f t="shared" si="129"/>
        <v>FY20</v>
      </c>
      <c r="J93" s="1243" t="str">
        <f t="shared" si="129"/>
        <v>FY21</v>
      </c>
      <c r="K93" s="1243" t="str">
        <f t="shared" si="129"/>
        <v>FY22</v>
      </c>
      <c r="L93" s="1243" t="str">
        <f t="shared" si="129"/>
        <v>FY23</v>
      </c>
      <c r="M93" s="1243" t="str">
        <f t="shared" si="129"/>
        <v>FY24</v>
      </c>
      <c r="N93" s="1243" t="str">
        <f t="shared" si="129"/>
        <v>FY25</v>
      </c>
      <c r="O93" s="1243" t="str">
        <f t="shared" si="129"/>
        <v>FY26</v>
      </c>
      <c r="P93" s="1243" t="str">
        <f t="shared" si="129"/>
        <v>FY27</v>
      </c>
      <c r="Q93" s="1243" t="str">
        <f t="shared" si="129"/>
        <v>FY28</v>
      </c>
      <c r="R93" s="1243" t="str">
        <f t="shared" si="129"/>
        <v>FY29</v>
      </c>
      <c r="S93" s="1243" t="str">
        <f t="shared" si="129"/>
        <v>FY30</v>
      </c>
      <c r="T93" s="1243" t="str">
        <f t="shared" si="129"/>
        <v>FY31</v>
      </c>
      <c r="U93" s="1243" t="str">
        <f t="shared" si="129"/>
        <v>FY32</v>
      </c>
      <c r="V93" s="1243" t="str">
        <f t="shared" si="129"/>
        <v>FY33</v>
      </c>
      <c r="W93" s="1243" t="str">
        <f t="shared" si="129"/>
        <v>FY34</v>
      </c>
      <c r="X93" s="1243" t="str">
        <f t="shared" si="129"/>
        <v>FY35</v>
      </c>
      <c r="Y93" s="1243" t="str">
        <f t="shared" si="129"/>
        <v>FY36</v>
      </c>
      <c r="Z93" s="1243" t="str">
        <f t="shared" si="129"/>
        <v>FY37</v>
      </c>
      <c r="AA93" s="1243" t="str">
        <f t="shared" si="129"/>
        <v>FY38</v>
      </c>
      <c r="AB93" s="1243" t="str">
        <f t="shared" si="129"/>
        <v>FY39</v>
      </c>
      <c r="AC93" s="1243" t="str">
        <f t="shared" si="129"/>
        <v>FY40</v>
      </c>
      <c r="AD93" s="1243" t="str">
        <f t="shared" si="129"/>
        <v>FY41</v>
      </c>
      <c r="AE93" s="1243" t="str">
        <f t="shared" si="129"/>
        <v>FY42</v>
      </c>
      <c r="AF93" s="1243" t="str">
        <f t="shared" si="129"/>
        <v>FY43</v>
      </c>
      <c r="AG93" s="1243" t="str">
        <f t="shared" si="129"/>
        <v>FY44</v>
      </c>
      <c r="AH93" s="1243" t="str">
        <f t="shared" si="129"/>
        <v>FY45</v>
      </c>
      <c r="AI93" s="1243" t="str">
        <f t="shared" si="129"/>
        <v>FY46</v>
      </c>
      <c r="AJ93" s="1857" t="str">
        <f>"FY"&amp;CurrentFY&amp;"-"&amp;CurrentFY+9</f>
        <v>FY18-27</v>
      </c>
      <c r="AK93" s="2609"/>
      <c r="AL93" s="1070"/>
      <c r="AM93" s="1857" t="str">
        <f>"FY"&amp;CurrentFY&amp;"-"&amp;CurrentFY+14</f>
        <v>FY18-32</v>
      </c>
      <c r="AN93" s="1070"/>
      <c r="AO93" s="1070"/>
      <c r="AP93" s="1070"/>
      <c r="AQ93" s="1752" t="str">
        <f>AQ9</f>
        <v>FY18</v>
      </c>
      <c r="AR93" s="1243" t="str">
        <f t="shared" ref="AR93:BS93" si="130">AR9</f>
        <v>FY19</v>
      </c>
      <c r="AS93" s="1243" t="str">
        <f t="shared" si="130"/>
        <v>FY20</v>
      </c>
      <c r="AT93" s="1243" t="str">
        <f t="shared" si="130"/>
        <v>FY21</v>
      </c>
      <c r="AU93" s="1243" t="str">
        <f t="shared" si="130"/>
        <v>FY22</v>
      </c>
      <c r="AV93" s="1243" t="str">
        <f t="shared" si="130"/>
        <v>FY23</v>
      </c>
      <c r="AW93" s="1243" t="str">
        <f t="shared" si="130"/>
        <v>FY24</v>
      </c>
      <c r="AX93" s="1243" t="str">
        <f t="shared" si="130"/>
        <v>FY25</v>
      </c>
      <c r="AY93" s="1243" t="str">
        <f t="shared" si="130"/>
        <v>FY26</v>
      </c>
      <c r="AZ93" s="1243" t="str">
        <f t="shared" si="130"/>
        <v>FY27</v>
      </c>
      <c r="BA93" s="1243" t="str">
        <f t="shared" si="130"/>
        <v>FY28</v>
      </c>
      <c r="BB93" s="1243" t="str">
        <f t="shared" si="130"/>
        <v>FY29</v>
      </c>
      <c r="BC93" s="1243" t="str">
        <f t="shared" si="130"/>
        <v>FY30</v>
      </c>
      <c r="BD93" s="1243" t="str">
        <f t="shared" si="130"/>
        <v>FY31</v>
      </c>
      <c r="BE93" s="1243" t="str">
        <f t="shared" si="130"/>
        <v>FY32</v>
      </c>
      <c r="BF93" s="1243" t="str">
        <f t="shared" si="130"/>
        <v>FY33</v>
      </c>
      <c r="BG93" s="1243" t="str">
        <f t="shared" si="130"/>
        <v>FY34</v>
      </c>
      <c r="BH93" s="2500" t="str">
        <f t="shared" si="130"/>
        <v>FY35</v>
      </c>
      <c r="BI93" s="2500" t="str">
        <f t="shared" si="130"/>
        <v>FY36</v>
      </c>
      <c r="BJ93" s="2500" t="str">
        <f t="shared" si="130"/>
        <v>FY37</v>
      </c>
      <c r="BK93" s="2500" t="str">
        <f t="shared" si="130"/>
        <v>FY38</v>
      </c>
      <c r="BL93" s="2500" t="str">
        <f t="shared" si="130"/>
        <v>FY39</v>
      </c>
      <c r="BM93" s="2500" t="str">
        <f t="shared" si="130"/>
        <v>FY40</v>
      </c>
      <c r="BN93" s="2500" t="str">
        <f t="shared" si="130"/>
        <v>FY41</v>
      </c>
      <c r="BO93" s="2500" t="str">
        <f t="shared" si="130"/>
        <v>FY42</v>
      </c>
      <c r="BP93" s="2500" t="str">
        <f t="shared" si="130"/>
        <v>FY43</v>
      </c>
      <c r="BQ93" s="2500" t="str">
        <f t="shared" si="130"/>
        <v>FY44</v>
      </c>
      <c r="BR93" s="2500" t="str">
        <f t="shared" si="130"/>
        <v>FY45</v>
      </c>
      <c r="BS93" s="2500" t="str">
        <f t="shared" si="130"/>
        <v>FY46</v>
      </c>
      <c r="BT93" s="1857" t="str">
        <f>"FY"&amp;CurrentFY&amp;"-"&amp;CurrentFY+9</f>
        <v>FY18-27</v>
      </c>
      <c r="BU93" s="2189"/>
      <c r="BV93" s="2189"/>
      <c r="BW93" s="1857" t="str">
        <f>"FY"&amp;CurrentFY&amp;"-"&amp;CurrentFY+9</f>
        <v>FY18-27</v>
      </c>
      <c r="BX93" s="2189"/>
      <c r="BY93" s="2189"/>
      <c r="BZ93" s="2189"/>
      <c r="CA93" s="1752" t="str">
        <f>CA9</f>
        <v>FY18</v>
      </c>
      <c r="CB93" s="1243" t="str">
        <f t="shared" ref="CB93:DC93" si="131">CB9</f>
        <v>FY19</v>
      </c>
      <c r="CC93" s="1243" t="str">
        <f t="shared" si="131"/>
        <v>FY20</v>
      </c>
      <c r="CD93" s="1243" t="str">
        <f t="shared" si="131"/>
        <v>FY21</v>
      </c>
      <c r="CE93" s="1243" t="str">
        <f t="shared" si="131"/>
        <v>FY22</v>
      </c>
      <c r="CF93" s="1243" t="str">
        <f t="shared" si="131"/>
        <v>FY23</v>
      </c>
      <c r="CG93" s="1243" t="str">
        <f t="shared" si="131"/>
        <v>FY24</v>
      </c>
      <c r="CH93" s="1243" t="str">
        <f t="shared" si="131"/>
        <v>FY25</v>
      </c>
      <c r="CI93" s="1243" t="str">
        <f t="shared" si="131"/>
        <v>FY26</v>
      </c>
      <c r="CJ93" s="1243" t="str">
        <f t="shared" si="131"/>
        <v>FY27</v>
      </c>
      <c r="CK93" s="1243" t="str">
        <f t="shared" si="131"/>
        <v>FY28</v>
      </c>
      <c r="CL93" s="1243" t="str">
        <f t="shared" si="131"/>
        <v>FY29</v>
      </c>
      <c r="CM93" s="1243" t="str">
        <f t="shared" si="131"/>
        <v>FY30</v>
      </c>
      <c r="CN93" s="1243" t="str">
        <f t="shared" si="131"/>
        <v>FY31</v>
      </c>
      <c r="CO93" s="1243" t="str">
        <f t="shared" si="131"/>
        <v>FY32</v>
      </c>
      <c r="CP93" s="1243" t="str">
        <f t="shared" si="131"/>
        <v>FY33</v>
      </c>
      <c r="CQ93" s="1243" t="str">
        <f t="shared" si="131"/>
        <v>FY34</v>
      </c>
      <c r="CR93" s="1243" t="str">
        <f t="shared" si="131"/>
        <v>FY35</v>
      </c>
      <c r="CS93" s="1243" t="str">
        <f t="shared" si="131"/>
        <v>FY36</v>
      </c>
      <c r="CT93" s="1243" t="str">
        <f t="shared" si="131"/>
        <v>FY37</v>
      </c>
      <c r="CU93" s="1243" t="str">
        <f t="shared" si="131"/>
        <v>FY38</v>
      </c>
      <c r="CV93" s="1243" t="str">
        <f t="shared" si="131"/>
        <v>FY39</v>
      </c>
      <c r="CW93" s="1243" t="str">
        <f t="shared" si="131"/>
        <v>FY40</v>
      </c>
      <c r="CX93" s="1243" t="str">
        <f t="shared" si="131"/>
        <v>FY41</v>
      </c>
      <c r="CY93" s="1243" t="str">
        <f t="shared" si="131"/>
        <v>FY42</v>
      </c>
      <c r="CZ93" s="1243" t="str">
        <f t="shared" si="131"/>
        <v>FY43</v>
      </c>
      <c r="DA93" s="1243" t="str">
        <f t="shared" si="131"/>
        <v>FY44</v>
      </c>
      <c r="DB93" s="1243" t="str">
        <f t="shared" si="131"/>
        <v>FY45</v>
      </c>
      <c r="DC93" s="2500" t="str">
        <f t="shared" si="131"/>
        <v>FY46</v>
      </c>
      <c r="DD93" s="1857" t="str">
        <f>"FY"&amp;CurrentFY&amp;"-"&amp;CurrentFY+9</f>
        <v>FY18-27</v>
      </c>
      <c r="DE93" s="2189"/>
      <c r="DF93" s="1857" t="str">
        <f>"FY"&amp;CurrentFY&amp;"-"&amp;CurrentFY+14</f>
        <v>FY18-32</v>
      </c>
      <c r="DG93" s="2189"/>
    </row>
    <row r="94" spans="1:111" s="2196" customFormat="1" ht="15.6" outlineLevel="2" x14ac:dyDescent="0.3">
      <c r="A94" s="2189"/>
      <c r="B94" s="2501" t="s">
        <v>1645</v>
      </c>
      <c r="C94" s="2502"/>
      <c r="D94" s="2502"/>
      <c r="E94" s="2502"/>
      <c r="F94" s="2610"/>
      <c r="G94" s="2505">
        <v>0</v>
      </c>
      <c r="H94" s="2505">
        <v>0</v>
      </c>
      <c r="I94" s="2505">
        <v>0</v>
      </c>
      <c r="J94" s="2505"/>
      <c r="K94" s="2505"/>
      <c r="L94" s="2505"/>
      <c r="M94" s="2505"/>
      <c r="N94" s="2505"/>
      <c r="O94" s="2505">
        <v>0</v>
      </c>
      <c r="P94" s="2505">
        <v>0</v>
      </c>
      <c r="Q94" s="2505">
        <v>0</v>
      </c>
      <c r="R94" s="2505">
        <v>0</v>
      </c>
      <c r="S94" s="2505">
        <v>0</v>
      </c>
      <c r="T94" s="2505">
        <v>0</v>
      </c>
      <c r="U94" s="2505">
        <v>0</v>
      </c>
      <c r="V94" s="2505">
        <v>0</v>
      </c>
      <c r="W94" s="2505">
        <v>0</v>
      </c>
      <c r="X94" s="2505">
        <v>0</v>
      </c>
      <c r="Y94" s="2505">
        <v>0</v>
      </c>
      <c r="Z94" s="2505">
        <v>0</v>
      </c>
      <c r="AA94" s="2505">
        <v>0</v>
      </c>
      <c r="AB94" s="2505">
        <v>0</v>
      </c>
      <c r="AC94" s="2505">
        <v>0</v>
      </c>
      <c r="AD94" s="2505">
        <v>0</v>
      </c>
      <c r="AE94" s="2505">
        <v>0</v>
      </c>
      <c r="AF94" s="2505">
        <v>0</v>
      </c>
      <c r="AG94" s="2505">
        <v>0</v>
      </c>
      <c r="AH94" s="2505">
        <v>0</v>
      </c>
      <c r="AI94" s="2505">
        <v>0</v>
      </c>
      <c r="AJ94" s="2506">
        <f>SUMIF($G$115:$AI$115,"1",$G94:$AI94)</f>
        <v>0</v>
      </c>
      <c r="AK94" s="2507"/>
      <c r="AL94" s="1082"/>
      <c r="AM94" s="2506">
        <f>SUMIF($G$115:$AI$115,"1",$G94:$AI94)+SUMIF($G$115:$AI$115,"2",$G94:$AI94)</f>
        <v>0</v>
      </c>
      <c r="AN94" s="2508"/>
      <c r="AO94" s="1070"/>
      <c r="AP94" s="1070"/>
      <c r="AQ94" s="2504">
        <v>0</v>
      </c>
      <c r="AR94" s="2505">
        <v>0</v>
      </c>
      <c r="AS94" s="2505">
        <v>0</v>
      </c>
      <c r="AT94" s="2505">
        <v>0</v>
      </c>
      <c r="AU94" s="2505">
        <v>0</v>
      </c>
      <c r="AV94" s="2505">
        <v>0</v>
      </c>
      <c r="AW94" s="2505">
        <v>0</v>
      </c>
      <c r="AX94" s="2505">
        <v>0</v>
      </c>
      <c r="AY94" s="2505">
        <v>0</v>
      </c>
      <c r="AZ94" s="2505">
        <v>0</v>
      </c>
      <c r="BA94" s="2505">
        <v>0</v>
      </c>
      <c r="BB94" s="2505">
        <v>0</v>
      </c>
      <c r="BC94" s="2505">
        <v>0</v>
      </c>
      <c r="BD94" s="2505">
        <v>0</v>
      </c>
      <c r="BE94" s="2505">
        <v>0</v>
      </c>
      <c r="BF94" s="2505">
        <v>0</v>
      </c>
      <c r="BG94" s="2505">
        <v>0</v>
      </c>
      <c r="BH94" s="2509">
        <v>0</v>
      </c>
      <c r="BI94" s="2509">
        <v>0</v>
      </c>
      <c r="BJ94" s="2509">
        <v>0</v>
      </c>
      <c r="BK94" s="2509">
        <v>0</v>
      </c>
      <c r="BL94" s="2509">
        <v>0</v>
      </c>
      <c r="BM94" s="2509">
        <v>0</v>
      </c>
      <c r="BN94" s="2509">
        <v>0</v>
      </c>
      <c r="BO94" s="2509">
        <v>0</v>
      </c>
      <c r="BP94" s="2509">
        <v>0</v>
      </c>
      <c r="BQ94" s="2509">
        <v>0</v>
      </c>
      <c r="BR94" s="2509">
        <v>0</v>
      </c>
      <c r="BS94" s="2509">
        <v>0</v>
      </c>
      <c r="BT94" s="2506">
        <f>SUMIF($AQ$115:$BS$115,"1",$AQ94:$BS94)</f>
        <v>0</v>
      </c>
      <c r="BU94" s="2198"/>
      <c r="BV94" s="2198"/>
      <c r="BW94" s="2506">
        <f>SUMIF($AQ$115:$BS$115,"1",$AQ94:$BS94)+SUMIF($AQ$115:$BS$115,"2",$AQ94:$BS94)</f>
        <v>0</v>
      </c>
      <c r="BX94" s="2189"/>
      <c r="BY94" s="2189"/>
      <c r="BZ94" s="2189"/>
      <c r="CA94" s="2510">
        <f t="shared" ref="CA94:CP109" si="132">G94-AQ94</f>
        <v>0</v>
      </c>
      <c r="CB94" s="2511">
        <f t="shared" si="132"/>
        <v>0</v>
      </c>
      <c r="CC94" s="2511">
        <f t="shared" si="132"/>
        <v>0</v>
      </c>
      <c r="CD94" s="2511">
        <f t="shared" si="132"/>
        <v>0</v>
      </c>
      <c r="CE94" s="2511">
        <f t="shared" si="132"/>
        <v>0</v>
      </c>
      <c r="CF94" s="2511">
        <f t="shared" si="132"/>
        <v>0</v>
      </c>
      <c r="CG94" s="2511">
        <f t="shared" si="132"/>
        <v>0</v>
      </c>
      <c r="CH94" s="2511">
        <f t="shared" si="132"/>
        <v>0</v>
      </c>
      <c r="CI94" s="2511">
        <f t="shared" si="132"/>
        <v>0</v>
      </c>
      <c r="CJ94" s="2511">
        <f t="shared" si="132"/>
        <v>0</v>
      </c>
      <c r="CK94" s="2511">
        <f t="shared" si="132"/>
        <v>0</v>
      </c>
      <c r="CL94" s="2511">
        <f t="shared" si="132"/>
        <v>0</v>
      </c>
      <c r="CM94" s="2511">
        <f t="shared" si="132"/>
        <v>0</v>
      </c>
      <c r="CN94" s="2511">
        <f t="shared" si="132"/>
        <v>0</v>
      </c>
      <c r="CO94" s="2511">
        <f t="shared" si="132"/>
        <v>0</v>
      </c>
      <c r="CP94" s="2511">
        <f t="shared" si="132"/>
        <v>0</v>
      </c>
      <c r="CQ94" s="2511">
        <f t="shared" ref="CQ94:DD111" si="133">W94-BG94</f>
        <v>0</v>
      </c>
      <c r="CR94" s="2511">
        <f t="shared" si="133"/>
        <v>0</v>
      </c>
      <c r="CS94" s="2511">
        <f t="shared" si="133"/>
        <v>0</v>
      </c>
      <c r="CT94" s="2511">
        <f t="shared" si="133"/>
        <v>0</v>
      </c>
      <c r="CU94" s="2511">
        <f t="shared" si="133"/>
        <v>0</v>
      </c>
      <c r="CV94" s="2511">
        <f t="shared" si="133"/>
        <v>0</v>
      </c>
      <c r="CW94" s="2511">
        <f t="shared" si="133"/>
        <v>0</v>
      </c>
      <c r="CX94" s="2511">
        <f t="shared" si="133"/>
        <v>0</v>
      </c>
      <c r="CY94" s="2511">
        <f t="shared" si="133"/>
        <v>0</v>
      </c>
      <c r="CZ94" s="2511">
        <f t="shared" si="133"/>
        <v>0</v>
      </c>
      <c r="DA94" s="2511">
        <f t="shared" si="133"/>
        <v>0</v>
      </c>
      <c r="DB94" s="2511">
        <f t="shared" si="133"/>
        <v>0</v>
      </c>
      <c r="DC94" s="2511">
        <f t="shared" si="133"/>
        <v>0</v>
      </c>
      <c r="DD94" s="2512">
        <f t="shared" si="133"/>
        <v>0</v>
      </c>
      <c r="DE94" s="2189"/>
      <c r="DF94" s="2512">
        <f>AM94-BW94</f>
        <v>0</v>
      </c>
      <c r="DG94" s="2189"/>
    </row>
    <row r="95" spans="1:111" s="2196" customFormat="1" ht="15.6" outlineLevel="2" x14ac:dyDescent="0.3">
      <c r="A95" s="2189"/>
      <c r="B95" s="2513" t="s">
        <v>1572</v>
      </c>
      <c r="C95" s="2514"/>
      <c r="D95" s="2514"/>
      <c r="E95" s="2514"/>
      <c r="F95" s="2611"/>
      <c r="G95" s="2517">
        <v>0</v>
      </c>
      <c r="H95" s="2517">
        <v>0</v>
      </c>
      <c r="I95" s="2517">
        <v>0</v>
      </c>
      <c r="J95" s="2517"/>
      <c r="K95" s="2517"/>
      <c r="L95" s="2517"/>
      <c r="M95" s="2517"/>
      <c r="N95" s="2517"/>
      <c r="O95" s="2517">
        <v>0</v>
      </c>
      <c r="P95" s="2517">
        <v>0</v>
      </c>
      <c r="Q95" s="2517">
        <v>0</v>
      </c>
      <c r="R95" s="2517">
        <v>0</v>
      </c>
      <c r="S95" s="2517">
        <v>0</v>
      </c>
      <c r="T95" s="2517">
        <v>0</v>
      </c>
      <c r="U95" s="2517">
        <v>0</v>
      </c>
      <c r="V95" s="2517">
        <v>0</v>
      </c>
      <c r="W95" s="2517">
        <v>0</v>
      </c>
      <c r="X95" s="2517">
        <v>0</v>
      </c>
      <c r="Y95" s="2517">
        <v>0</v>
      </c>
      <c r="Z95" s="2517">
        <v>0</v>
      </c>
      <c r="AA95" s="2517">
        <v>0</v>
      </c>
      <c r="AB95" s="2517">
        <v>0</v>
      </c>
      <c r="AC95" s="2517">
        <v>0</v>
      </c>
      <c r="AD95" s="2517">
        <v>0</v>
      </c>
      <c r="AE95" s="2517">
        <v>0</v>
      </c>
      <c r="AF95" s="2517">
        <v>0</v>
      </c>
      <c r="AG95" s="2517">
        <v>0</v>
      </c>
      <c r="AH95" s="2517">
        <v>0</v>
      </c>
      <c r="AI95" s="2517">
        <v>0</v>
      </c>
      <c r="AJ95" s="2518" t="e">
        <f>+AJ96/AJ94</f>
        <v>#DIV/0!</v>
      </c>
      <c r="AK95" s="2519"/>
      <c r="AL95" s="1082"/>
      <c r="AM95" s="2518" t="e">
        <f>+AM96/AM94</f>
        <v>#DIV/0!</v>
      </c>
      <c r="AN95" s="2520"/>
      <c r="AO95" s="1070"/>
      <c r="AP95" s="1070"/>
      <c r="AQ95" s="2516">
        <v>0</v>
      </c>
      <c r="AR95" s="2517">
        <v>0</v>
      </c>
      <c r="AS95" s="2517">
        <v>0</v>
      </c>
      <c r="AT95" s="2517">
        <v>0</v>
      </c>
      <c r="AU95" s="2517">
        <v>0</v>
      </c>
      <c r="AV95" s="2517">
        <v>0</v>
      </c>
      <c r="AW95" s="2517">
        <v>0</v>
      </c>
      <c r="AX95" s="2517">
        <v>0</v>
      </c>
      <c r="AY95" s="2517">
        <v>0</v>
      </c>
      <c r="AZ95" s="2517">
        <v>0</v>
      </c>
      <c r="BA95" s="2517">
        <v>0</v>
      </c>
      <c r="BB95" s="2517">
        <v>0</v>
      </c>
      <c r="BC95" s="2517">
        <v>0</v>
      </c>
      <c r="BD95" s="2517">
        <v>0</v>
      </c>
      <c r="BE95" s="2517">
        <v>0</v>
      </c>
      <c r="BF95" s="2517">
        <v>0</v>
      </c>
      <c r="BG95" s="2517">
        <v>0</v>
      </c>
      <c r="BH95" s="2517">
        <v>0</v>
      </c>
      <c r="BI95" s="2517">
        <v>0</v>
      </c>
      <c r="BJ95" s="2517">
        <v>0</v>
      </c>
      <c r="BK95" s="2517">
        <v>0</v>
      </c>
      <c r="BL95" s="2517">
        <v>0</v>
      </c>
      <c r="BM95" s="2517">
        <v>0</v>
      </c>
      <c r="BN95" s="2517">
        <v>0</v>
      </c>
      <c r="BO95" s="2517">
        <v>0</v>
      </c>
      <c r="BP95" s="2517">
        <v>0</v>
      </c>
      <c r="BQ95" s="2517">
        <v>0</v>
      </c>
      <c r="BR95" s="2517">
        <v>0</v>
      </c>
      <c r="BS95" s="2517">
        <v>0</v>
      </c>
      <c r="BT95" s="2518" t="e">
        <f>+BT96/BT94</f>
        <v>#DIV/0!</v>
      </c>
      <c r="BU95" s="2198"/>
      <c r="BV95" s="2198"/>
      <c r="BW95" s="2518" t="e">
        <f>+BW96/BW94</f>
        <v>#DIV/0!</v>
      </c>
      <c r="BX95" s="2189"/>
      <c r="BY95" s="2189"/>
      <c r="BZ95" s="2189"/>
      <c r="CA95" s="2521">
        <f t="shared" si="132"/>
        <v>0</v>
      </c>
      <c r="CB95" s="2522">
        <f t="shared" si="132"/>
        <v>0</v>
      </c>
      <c r="CC95" s="2522">
        <f t="shared" si="132"/>
        <v>0</v>
      </c>
      <c r="CD95" s="2522">
        <f t="shared" si="132"/>
        <v>0</v>
      </c>
      <c r="CE95" s="2522">
        <f t="shared" si="132"/>
        <v>0</v>
      </c>
      <c r="CF95" s="2522">
        <f t="shared" si="132"/>
        <v>0</v>
      </c>
      <c r="CG95" s="2522">
        <f t="shared" si="132"/>
        <v>0</v>
      </c>
      <c r="CH95" s="2522">
        <f t="shared" si="132"/>
        <v>0</v>
      </c>
      <c r="CI95" s="2522">
        <f t="shared" si="132"/>
        <v>0</v>
      </c>
      <c r="CJ95" s="2522">
        <f t="shared" si="132"/>
        <v>0</v>
      </c>
      <c r="CK95" s="2522">
        <f t="shared" si="132"/>
        <v>0</v>
      </c>
      <c r="CL95" s="2522">
        <f t="shared" si="132"/>
        <v>0</v>
      </c>
      <c r="CM95" s="2522">
        <f t="shared" si="132"/>
        <v>0</v>
      </c>
      <c r="CN95" s="2522">
        <f t="shared" si="132"/>
        <v>0</v>
      </c>
      <c r="CO95" s="2522">
        <f t="shared" si="132"/>
        <v>0</v>
      </c>
      <c r="CP95" s="2522">
        <f t="shared" si="132"/>
        <v>0</v>
      </c>
      <c r="CQ95" s="2522">
        <f t="shared" si="133"/>
        <v>0</v>
      </c>
      <c r="CR95" s="2522">
        <f t="shared" si="133"/>
        <v>0</v>
      </c>
      <c r="CS95" s="2522">
        <f t="shared" si="133"/>
        <v>0</v>
      </c>
      <c r="CT95" s="2522">
        <f t="shared" si="133"/>
        <v>0</v>
      </c>
      <c r="CU95" s="2522">
        <f t="shared" si="133"/>
        <v>0</v>
      </c>
      <c r="CV95" s="2522">
        <f t="shared" si="133"/>
        <v>0</v>
      </c>
      <c r="CW95" s="2522">
        <f t="shared" si="133"/>
        <v>0</v>
      </c>
      <c r="CX95" s="2522">
        <f t="shared" si="133"/>
        <v>0</v>
      </c>
      <c r="CY95" s="2522">
        <f t="shared" si="133"/>
        <v>0</v>
      </c>
      <c r="CZ95" s="2522">
        <f t="shared" si="133"/>
        <v>0</v>
      </c>
      <c r="DA95" s="2522">
        <f t="shared" si="133"/>
        <v>0</v>
      </c>
      <c r="DB95" s="2522">
        <f t="shared" si="133"/>
        <v>0</v>
      </c>
      <c r="DC95" s="2522">
        <f t="shared" si="133"/>
        <v>0</v>
      </c>
      <c r="DD95" s="2518" t="e">
        <f t="shared" si="133"/>
        <v>#DIV/0!</v>
      </c>
      <c r="DE95" s="2189"/>
      <c r="DF95" s="2518" t="e">
        <f t="shared" ref="DF95:DF100" si="134">AM95-BW95</f>
        <v>#DIV/0!</v>
      </c>
      <c r="DG95" s="2189"/>
    </row>
    <row r="96" spans="1:111" s="2196" customFormat="1" ht="18" outlineLevel="2" x14ac:dyDescent="0.35">
      <c r="A96" s="2189"/>
      <c r="B96" s="2523" t="s">
        <v>1646</v>
      </c>
      <c r="C96" s="2524"/>
      <c r="D96" s="2524"/>
      <c r="E96" s="2524"/>
      <c r="F96" s="2612"/>
      <c r="G96" s="2526">
        <f t="shared" ref="G96:P96" si="135">+G94*G95</f>
        <v>0</v>
      </c>
      <c r="H96" s="2526">
        <f t="shared" si="135"/>
        <v>0</v>
      </c>
      <c r="I96" s="2526">
        <f t="shared" si="135"/>
        <v>0</v>
      </c>
      <c r="J96" s="2526">
        <f t="shared" si="135"/>
        <v>0</v>
      </c>
      <c r="K96" s="2526">
        <f t="shared" si="135"/>
        <v>0</v>
      </c>
      <c r="L96" s="2526">
        <f t="shared" si="135"/>
        <v>0</v>
      </c>
      <c r="M96" s="2526">
        <f t="shared" si="135"/>
        <v>0</v>
      </c>
      <c r="N96" s="2526">
        <f t="shared" si="135"/>
        <v>0</v>
      </c>
      <c r="O96" s="2526">
        <f t="shared" si="135"/>
        <v>0</v>
      </c>
      <c r="P96" s="2526">
        <f t="shared" si="135"/>
        <v>0</v>
      </c>
      <c r="Q96" s="2526">
        <f>+Q94*Q95</f>
        <v>0</v>
      </c>
      <c r="R96" s="2526">
        <f t="shared" ref="R96:W96" si="136">+R94*R95</f>
        <v>0</v>
      </c>
      <c r="S96" s="2526">
        <f t="shared" si="136"/>
        <v>0</v>
      </c>
      <c r="T96" s="2526">
        <f t="shared" si="136"/>
        <v>0</v>
      </c>
      <c r="U96" s="2526">
        <f t="shared" si="136"/>
        <v>0</v>
      </c>
      <c r="V96" s="2526">
        <f t="shared" si="136"/>
        <v>0</v>
      </c>
      <c r="W96" s="2526">
        <f t="shared" si="136"/>
        <v>0</v>
      </c>
      <c r="X96" s="2526">
        <f>+X94*X95</f>
        <v>0</v>
      </c>
      <c r="Y96" s="2526">
        <f t="shared" ref="Y96:AI96" si="137">+Y94*Y95</f>
        <v>0</v>
      </c>
      <c r="Z96" s="2526">
        <f t="shared" si="137"/>
        <v>0</v>
      </c>
      <c r="AA96" s="2526">
        <f t="shared" si="137"/>
        <v>0</v>
      </c>
      <c r="AB96" s="2526">
        <f t="shared" si="137"/>
        <v>0</v>
      </c>
      <c r="AC96" s="2526">
        <f t="shared" si="137"/>
        <v>0</v>
      </c>
      <c r="AD96" s="2526">
        <f t="shared" si="137"/>
        <v>0</v>
      </c>
      <c r="AE96" s="2526">
        <f t="shared" si="137"/>
        <v>0</v>
      </c>
      <c r="AF96" s="2526">
        <f t="shared" si="137"/>
        <v>0</v>
      </c>
      <c r="AG96" s="2526">
        <f t="shared" si="137"/>
        <v>0</v>
      </c>
      <c r="AH96" s="2526">
        <f t="shared" si="137"/>
        <v>0</v>
      </c>
      <c r="AI96" s="2526">
        <f t="shared" si="137"/>
        <v>0</v>
      </c>
      <c r="AJ96" s="2527">
        <f>SUMIF($G$115:$AI$115,"1",$G96:$AI96)</f>
        <v>0</v>
      </c>
      <c r="AK96" s="2528"/>
      <c r="AL96" s="2287"/>
      <c r="AM96" s="2527">
        <f>SUMIF($G$115:$AI$115,"1",$G96:$AI96)+SUMIF($G$115:$AI$115,"2",$G96:$AI96)</f>
        <v>0</v>
      </c>
      <c r="AN96" s="2529"/>
      <c r="AO96" s="1887"/>
      <c r="AP96" s="1887"/>
      <c r="AQ96" s="2525">
        <f t="shared" ref="AQ96:BG96" si="138">+AQ94*AQ95</f>
        <v>0</v>
      </c>
      <c r="AR96" s="2526">
        <f t="shared" si="138"/>
        <v>0</v>
      </c>
      <c r="AS96" s="2526">
        <f t="shared" si="138"/>
        <v>0</v>
      </c>
      <c r="AT96" s="2526">
        <f t="shared" si="138"/>
        <v>0</v>
      </c>
      <c r="AU96" s="2526">
        <f t="shared" si="138"/>
        <v>0</v>
      </c>
      <c r="AV96" s="2526">
        <f t="shared" si="138"/>
        <v>0</v>
      </c>
      <c r="AW96" s="2526">
        <f t="shared" si="138"/>
        <v>0</v>
      </c>
      <c r="AX96" s="2526">
        <f t="shared" si="138"/>
        <v>0</v>
      </c>
      <c r="AY96" s="2526">
        <f t="shared" si="138"/>
        <v>0</v>
      </c>
      <c r="AZ96" s="2526">
        <f t="shared" si="138"/>
        <v>0</v>
      </c>
      <c r="BA96" s="2526">
        <f t="shared" si="138"/>
        <v>0</v>
      </c>
      <c r="BB96" s="2526">
        <f t="shared" si="138"/>
        <v>0</v>
      </c>
      <c r="BC96" s="2526">
        <f t="shared" si="138"/>
        <v>0</v>
      </c>
      <c r="BD96" s="2526">
        <f t="shared" si="138"/>
        <v>0</v>
      </c>
      <c r="BE96" s="2526">
        <f t="shared" si="138"/>
        <v>0</v>
      </c>
      <c r="BF96" s="2526">
        <f t="shared" si="138"/>
        <v>0</v>
      </c>
      <c r="BG96" s="2526">
        <f t="shared" si="138"/>
        <v>0</v>
      </c>
      <c r="BH96" s="2526">
        <f>+BH94*BH95</f>
        <v>0</v>
      </c>
      <c r="BI96" s="2526">
        <f t="shared" ref="BI96:BR96" si="139">+BI94*BI95</f>
        <v>0</v>
      </c>
      <c r="BJ96" s="2526">
        <f t="shared" si="139"/>
        <v>0</v>
      </c>
      <c r="BK96" s="2526">
        <f t="shared" si="139"/>
        <v>0</v>
      </c>
      <c r="BL96" s="2526">
        <f t="shared" si="139"/>
        <v>0</v>
      </c>
      <c r="BM96" s="2526">
        <f t="shared" si="139"/>
        <v>0</v>
      </c>
      <c r="BN96" s="2526">
        <f t="shared" si="139"/>
        <v>0</v>
      </c>
      <c r="BO96" s="2526">
        <f t="shared" si="139"/>
        <v>0</v>
      </c>
      <c r="BP96" s="2526">
        <f t="shared" si="139"/>
        <v>0</v>
      </c>
      <c r="BQ96" s="2526">
        <f t="shared" si="139"/>
        <v>0</v>
      </c>
      <c r="BR96" s="2526">
        <f t="shared" si="139"/>
        <v>0</v>
      </c>
      <c r="BS96" s="2526">
        <f>+BS94*BS95</f>
        <v>0</v>
      </c>
      <c r="BT96" s="2527">
        <f>SUMIF($AQ$115:$BS$115,"1",$AQ96:$BS96)</f>
        <v>0</v>
      </c>
      <c r="BU96" s="2198"/>
      <c r="BV96" s="2198"/>
      <c r="BW96" s="2527">
        <f>SUMIF($AQ$115:$BS$115,"1",$AQ96:$BS96)+SUMIF($AQ$115:$BS$115,"2",$AQ96:$BS96)</f>
        <v>0</v>
      </c>
      <c r="BX96" s="2189"/>
      <c r="BY96" s="2189"/>
      <c r="BZ96" s="2189"/>
      <c r="CA96" s="2525">
        <f t="shared" si="132"/>
        <v>0</v>
      </c>
      <c r="CB96" s="2526">
        <f t="shared" si="132"/>
        <v>0</v>
      </c>
      <c r="CC96" s="2526">
        <f t="shared" si="132"/>
        <v>0</v>
      </c>
      <c r="CD96" s="2526">
        <f t="shared" si="132"/>
        <v>0</v>
      </c>
      <c r="CE96" s="2526">
        <f t="shared" si="132"/>
        <v>0</v>
      </c>
      <c r="CF96" s="2526">
        <f t="shared" si="132"/>
        <v>0</v>
      </c>
      <c r="CG96" s="2526">
        <f t="shared" si="132"/>
        <v>0</v>
      </c>
      <c r="CH96" s="2526">
        <f t="shared" si="132"/>
        <v>0</v>
      </c>
      <c r="CI96" s="2526">
        <f t="shared" si="132"/>
        <v>0</v>
      </c>
      <c r="CJ96" s="2526">
        <f t="shared" si="132"/>
        <v>0</v>
      </c>
      <c r="CK96" s="2526">
        <f t="shared" si="132"/>
        <v>0</v>
      </c>
      <c r="CL96" s="2526">
        <f t="shared" si="132"/>
        <v>0</v>
      </c>
      <c r="CM96" s="2526">
        <f t="shared" si="132"/>
        <v>0</v>
      </c>
      <c r="CN96" s="2526">
        <f t="shared" si="132"/>
        <v>0</v>
      </c>
      <c r="CO96" s="2526">
        <f t="shared" si="132"/>
        <v>0</v>
      </c>
      <c r="CP96" s="2526">
        <f t="shared" si="132"/>
        <v>0</v>
      </c>
      <c r="CQ96" s="2526">
        <f t="shared" si="133"/>
        <v>0</v>
      </c>
      <c r="CR96" s="2526">
        <f t="shared" si="133"/>
        <v>0</v>
      </c>
      <c r="CS96" s="2526">
        <f t="shared" si="133"/>
        <v>0</v>
      </c>
      <c r="CT96" s="2526">
        <f t="shared" si="133"/>
        <v>0</v>
      </c>
      <c r="CU96" s="2526">
        <f t="shared" si="133"/>
        <v>0</v>
      </c>
      <c r="CV96" s="2526">
        <f t="shared" si="133"/>
        <v>0</v>
      </c>
      <c r="CW96" s="2526">
        <f t="shared" si="133"/>
        <v>0</v>
      </c>
      <c r="CX96" s="2526">
        <f t="shared" si="133"/>
        <v>0</v>
      </c>
      <c r="CY96" s="2526">
        <f t="shared" si="133"/>
        <v>0</v>
      </c>
      <c r="CZ96" s="2526">
        <f t="shared" si="133"/>
        <v>0</v>
      </c>
      <c r="DA96" s="2526">
        <f t="shared" si="133"/>
        <v>0</v>
      </c>
      <c r="DB96" s="2526">
        <f t="shared" si="133"/>
        <v>0</v>
      </c>
      <c r="DC96" s="2526">
        <f t="shared" si="133"/>
        <v>0</v>
      </c>
      <c r="DD96" s="2527">
        <f t="shared" si="133"/>
        <v>0</v>
      </c>
      <c r="DE96" s="2189"/>
      <c r="DF96" s="2527">
        <f t="shared" si="134"/>
        <v>0</v>
      </c>
      <c r="DG96" s="2189"/>
    </row>
    <row r="97" spans="1:111" s="2196" customFormat="1" ht="13.8" outlineLevel="2" x14ac:dyDescent="0.3">
      <c r="A97" s="2189"/>
      <c r="B97" s="2531"/>
      <c r="C97" s="2532" t="s">
        <v>1647</v>
      </c>
      <c r="D97" s="2532"/>
      <c r="E97" s="2532"/>
      <c r="F97" s="2613"/>
      <c r="G97" s="2534">
        <v>0</v>
      </c>
      <c r="H97" s="2534">
        <v>0</v>
      </c>
      <c r="I97" s="2534">
        <v>0</v>
      </c>
      <c r="J97" s="2534">
        <v>0</v>
      </c>
      <c r="K97" s="2534">
        <v>0</v>
      </c>
      <c r="L97" s="2534">
        <v>0</v>
      </c>
      <c r="M97" s="2534">
        <v>0</v>
      </c>
      <c r="N97" s="2534">
        <v>0</v>
      </c>
      <c r="O97" s="2534">
        <v>0</v>
      </c>
      <c r="P97" s="2534">
        <v>0</v>
      </c>
      <c r="Q97" s="2534">
        <v>0</v>
      </c>
      <c r="R97" s="2534">
        <v>0</v>
      </c>
      <c r="S97" s="2534">
        <v>0</v>
      </c>
      <c r="T97" s="2534">
        <v>0</v>
      </c>
      <c r="U97" s="2534">
        <v>0</v>
      </c>
      <c r="V97" s="2534">
        <v>0</v>
      </c>
      <c r="W97" s="2534">
        <v>0</v>
      </c>
      <c r="X97" s="2534">
        <v>0</v>
      </c>
      <c r="Y97" s="2534">
        <v>0</v>
      </c>
      <c r="Z97" s="2534">
        <v>0</v>
      </c>
      <c r="AA97" s="2534">
        <v>0</v>
      </c>
      <c r="AB97" s="2534">
        <v>0</v>
      </c>
      <c r="AC97" s="2534">
        <v>0</v>
      </c>
      <c r="AD97" s="2534">
        <v>0</v>
      </c>
      <c r="AE97" s="2534">
        <v>0</v>
      </c>
      <c r="AF97" s="2534">
        <v>0</v>
      </c>
      <c r="AG97" s="2534">
        <v>0</v>
      </c>
      <c r="AH97" s="2534">
        <v>0</v>
      </c>
      <c r="AI97" s="2534">
        <v>0</v>
      </c>
      <c r="AJ97" s="2536">
        <f>SUMIF($G$115:$AI$115,"1",$G97:$AI97)</f>
        <v>0</v>
      </c>
      <c r="AK97" s="2537"/>
      <c r="AL97" s="2198"/>
      <c r="AM97" s="2536">
        <f>SUMIF($G$115:$AI$115,"1",$G97:$AI97)+SUMIF($G$115:$AI$115,"2",$G97:$AI97)</f>
        <v>0</v>
      </c>
      <c r="AN97" s="2538"/>
      <c r="AO97" s="2189"/>
      <c r="AP97" s="2189"/>
      <c r="AQ97" s="2533">
        <v>0</v>
      </c>
      <c r="AR97" s="2534">
        <v>0</v>
      </c>
      <c r="AS97" s="2534">
        <v>0</v>
      </c>
      <c r="AT97" s="2534">
        <v>0</v>
      </c>
      <c r="AU97" s="2534">
        <v>0</v>
      </c>
      <c r="AV97" s="2534">
        <v>0</v>
      </c>
      <c r="AW97" s="2534">
        <v>0</v>
      </c>
      <c r="AX97" s="2534">
        <v>0</v>
      </c>
      <c r="AY97" s="2534">
        <v>0</v>
      </c>
      <c r="AZ97" s="2534">
        <v>0</v>
      </c>
      <c r="BA97" s="2534">
        <v>0</v>
      </c>
      <c r="BB97" s="2534">
        <v>0</v>
      </c>
      <c r="BC97" s="2534">
        <v>0</v>
      </c>
      <c r="BD97" s="2534">
        <v>0</v>
      </c>
      <c r="BE97" s="2534">
        <v>0</v>
      </c>
      <c r="BF97" s="2534">
        <v>0</v>
      </c>
      <c r="BG97" s="2534">
        <v>0</v>
      </c>
      <c r="BH97" s="2534">
        <v>0</v>
      </c>
      <c r="BI97" s="2534">
        <v>0</v>
      </c>
      <c r="BJ97" s="2534">
        <v>0</v>
      </c>
      <c r="BK97" s="2534">
        <v>0</v>
      </c>
      <c r="BL97" s="2534">
        <v>0</v>
      </c>
      <c r="BM97" s="2534">
        <v>0</v>
      </c>
      <c r="BN97" s="2534">
        <v>0</v>
      </c>
      <c r="BO97" s="2534">
        <v>0</v>
      </c>
      <c r="BP97" s="2534">
        <v>0</v>
      </c>
      <c r="BQ97" s="2534">
        <v>0</v>
      </c>
      <c r="BR97" s="2534">
        <v>0</v>
      </c>
      <c r="BS97" s="2534">
        <v>0</v>
      </c>
      <c r="BT97" s="2536">
        <f>SUMIF($AQ$115:$BS$115,"1",$AQ97:$BS97)</f>
        <v>0</v>
      </c>
      <c r="BU97" s="2198"/>
      <c r="BV97" s="2198"/>
      <c r="BW97" s="2536">
        <f>SUMIF($AQ$115:$BS$115,"1",$AQ97:$BS97)+SUMIF($AQ$115:$BS$115,"2",$AQ97:$BS97)</f>
        <v>0</v>
      </c>
      <c r="BX97" s="2189"/>
      <c r="BY97" s="2189"/>
      <c r="BZ97" s="2189"/>
      <c r="CA97" s="2539">
        <f t="shared" si="132"/>
        <v>0</v>
      </c>
      <c r="CB97" s="2540">
        <f t="shared" si="132"/>
        <v>0</v>
      </c>
      <c r="CC97" s="2540">
        <f t="shared" si="132"/>
        <v>0</v>
      </c>
      <c r="CD97" s="2540">
        <f t="shared" si="132"/>
        <v>0</v>
      </c>
      <c r="CE97" s="2541">
        <f t="shared" si="132"/>
        <v>0</v>
      </c>
      <c r="CF97" s="2540">
        <f t="shared" si="132"/>
        <v>0</v>
      </c>
      <c r="CG97" s="2540">
        <f t="shared" si="132"/>
        <v>0</v>
      </c>
      <c r="CH97" s="2540">
        <f t="shared" si="132"/>
        <v>0</v>
      </c>
      <c r="CI97" s="2540">
        <f t="shared" si="132"/>
        <v>0</v>
      </c>
      <c r="CJ97" s="2540">
        <f t="shared" si="132"/>
        <v>0</v>
      </c>
      <c r="CK97" s="2540">
        <f t="shared" si="132"/>
        <v>0</v>
      </c>
      <c r="CL97" s="2540">
        <f t="shared" si="132"/>
        <v>0</v>
      </c>
      <c r="CM97" s="2540">
        <f t="shared" si="132"/>
        <v>0</v>
      </c>
      <c r="CN97" s="2540">
        <f t="shared" si="132"/>
        <v>0</v>
      </c>
      <c r="CO97" s="2540">
        <f t="shared" si="132"/>
        <v>0</v>
      </c>
      <c r="CP97" s="2540">
        <f t="shared" si="132"/>
        <v>0</v>
      </c>
      <c r="CQ97" s="2540">
        <f t="shared" si="133"/>
        <v>0</v>
      </c>
      <c r="CR97" s="2540">
        <f t="shared" si="133"/>
        <v>0</v>
      </c>
      <c r="CS97" s="2540">
        <f t="shared" si="133"/>
        <v>0</v>
      </c>
      <c r="CT97" s="2540">
        <f t="shared" si="133"/>
        <v>0</v>
      </c>
      <c r="CU97" s="2540">
        <f t="shared" si="133"/>
        <v>0</v>
      </c>
      <c r="CV97" s="2540">
        <f t="shared" si="133"/>
        <v>0</v>
      </c>
      <c r="CW97" s="2540">
        <f t="shared" si="133"/>
        <v>0</v>
      </c>
      <c r="CX97" s="2540">
        <f t="shared" si="133"/>
        <v>0</v>
      </c>
      <c r="CY97" s="2540">
        <f t="shared" si="133"/>
        <v>0</v>
      </c>
      <c r="CZ97" s="2540">
        <f t="shared" si="133"/>
        <v>0</v>
      </c>
      <c r="DA97" s="2540">
        <f t="shared" si="133"/>
        <v>0</v>
      </c>
      <c r="DB97" s="2540">
        <f t="shared" si="133"/>
        <v>0</v>
      </c>
      <c r="DC97" s="2540">
        <f t="shared" si="133"/>
        <v>0</v>
      </c>
      <c r="DD97" s="2536">
        <f t="shared" si="133"/>
        <v>0</v>
      </c>
      <c r="DE97" s="2189"/>
      <c r="DF97" s="2536">
        <f t="shared" si="134"/>
        <v>0</v>
      </c>
      <c r="DG97" s="2189"/>
    </row>
    <row r="98" spans="1:111" s="2196" customFormat="1" ht="13.8" outlineLevel="2" x14ac:dyDescent="0.3">
      <c r="A98" s="2189"/>
      <c r="B98" s="2531"/>
      <c r="C98" s="2532" t="s">
        <v>1648</v>
      </c>
      <c r="D98" s="2532"/>
      <c r="E98" s="2532"/>
      <c r="F98" s="2613"/>
      <c r="G98" s="2534">
        <v>0</v>
      </c>
      <c r="H98" s="2534">
        <v>0</v>
      </c>
      <c r="I98" s="2534">
        <v>0</v>
      </c>
      <c r="J98" s="2534">
        <v>0</v>
      </c>
      <c r="K98" s="2534">
        <v>0</v>
      </c>
      <c r="L98" s="2534">
        <v>0</v>
      </c>
      <c r="M98" s="2534">
        <v>0</v>
      </c>
      <c r="N98" s="2534">
        <v>0</v>
      </c>
      <c r="O98" s="2534">
        <v>0</v>
      </c>
      <c r="P98" s="2534">
        <v>0</v>
      </c>
      <c r="Q98" s="2534">
        <v>0</v>
      </c>
      <c r="R98" s="2534">
        <v>0</v>
      </c>
      <c r="S98" s="2534">
        <v>0</v>
      </c>
      <c r="T98" s="2534">
        <v>0</v>
      </c>
      <c r="U98" s="2534">
        <v>0</v>
      </c>
      <c r="V98" s="2534">
        <v>0</v>
      </c>
      <c r="W98" s="2534">
        <v>0</v>
      </c>
      <c r="X98" s="2534">
        <v>0</v>
      </c>
      <c r="Y98" s="2534">
        <v>0</v>
      </c>
      <c r="Z98" s="2534">
        <v>0</v>
      </c>
      <c r="AA98" s="2534">
        <v>0</v>
      </c>
      <c r="AB98" s="2534">
        <v>0</v>
      </c>
      <c r="AC98" s="2534">
        <v>0</v>
      </c>
      <c r="AD98" s="2534">
        <v>0</v>
      </c>
      <c r="AE98" s="2534">
        <v>0</v>
      </c>
      <c r="AF98" s="2534">
        <v>0</v>
      </c>
      <c r="AG98" s="2534">
        <v>0</v>
      </c>
      <c r="AH98" s="2534">
        <v>0</v>
      </c>
      <c r="AI98" s="2534">
        <v>0</v>
      </c>
      <c r="AJ98" s="2536">
        <f>SUMIF($G$115:$AI$115,"1",$G98:$AI98)</f>
        <v>0</v>
      </c>
      <c r="AK98" s="2537"/>
      <c r="AL98" s="2198"/>
      <c r="AM98" s="2536">
        <f>SUMIF($G$115:$AI$115,"1",$G98:$AI98)+SUMIF($G$115:$AI$115,"2",$G98:$AI98)</f>
        <v>0</v>
      </c>
      <c r="AN98" s="2538"/>
      <c r="AO98" s="2189"/>
      <c r="AP98" s="2189"/>
      <c r="AQ98" s="2533">
        <v>0</v>
      </c>
      <c r="AR98" s="2534">
        <v>0</v>
      </c>
      <c r="AS98" s="2534">
        <v>0</v>
      </c>
      <c r="AT98" s="2534">
        <v>0</v>
      </c>
      <c r="AU98" s="2534">
        <v>0</v>
      </c>
      <c r="AV98" s="2534">
        <v>0</v>
      </c>
      <c r="AW98" s="2534">
        <v>0</v>
      </c>
      <c r="AX98" s="2534">
        <v>0</v>
      </c>
      <c r="AY98" s="2534">
        <v>0</v>
      </c>
      <c r="AZ98" s="2534">
        <v>0</v>
      </c>
      <c r="BA98" s="2534">
        <v>0</v>
      </c>
      <c r="BB98" s="2534">
        <v>0</v>
      </c>
      <c r="BC98" s="2534">
        <v>0</v>
      </c>
      <c r="BD98" s="2534">
        <v>0</v>
      </c>
      <c r="BE98" s="2534">
        <v>0</v>
      </c>
      <c r="BF98" s="2534">
        <v>0</v>
      </c>
      <c r="BG98" s="2534">
        <v>0</v>
      </c>
      <c r="BH98" s="2534">
        <v>0</v>
      </c>
      <c r="BI98" s="2534">
        <v>0</v>
      </c>
      <c r="BJ98" s="2534">
        <v>0</v>
      </c>
      <c r="BK98" s="2534">
        <v>0</v>
      </c>
      <c r="BL98" s="2534">
        <v>0</v>
      </c>
      <c r="BM98" s="2534">
        <v>0</v>
      </c>
      <c r="BN98" s="2534">
        <v>0</v>
      </c>
      <c r="BO98" s="2534">
        <v>0</v>
      </c>
      <c r="BP98" s="2534">
        <v>0</v>
      </c>
      <c r="BQ98" s="2534">
        <v>0</v>
      </c>
      <c r="BR98" s="2534">
        <v>0</v>
      </c>
      <c r="BS98" s="2534">
        <v>0</v>
      </c>
      <c r="BT98" s="2536">
        <f>SUMIF($AQ$115:$BS$115,"1",$AQ98:$BS98)</f>
        <v>0</v>
      </c>
      <c r="BU98" s="2198"/>
      <c r="BV98" s="2198"/>
      <c r="BW98" s="2536">
        <f>SUMIF($AQ$115:$BS$115,"1",$AQ98:$BS98)+SUMIF($AQ$115:$BS$115,"2",$AQ98:$BS98)</f>
        <v>0</v>
      </c>
      <c r="BX98" s="2189"/>
      <c r="BY98" s="2189"/>
      <c r="BZ98" s="2189"/>
      <c r="CA98" s="2539">
        <f t="shared" si="132"/>
        <v>0</v>
      </c>
      <c r="CB98" s="2540">
        <f t="shared" si="132"/>
        <v>0</v>
      </c>
      <c r="CC98" s="2540">
        <f t="shared" si="132"/>
        <v>0</v>
      </c>
      <c r="CD98" s="2540">
        <f t="shared" si="132"/>
        <v>0</v>
      </c>
      <c r="CE98" s="2540">
        <f t="shared" si="132"/>
        <v>0</v>
      </c>
      <c r="CF98" s="2540">
        <f t="shared" si="132"/>
        <v>0</v>
      </c>
      <c r="CG98" s="2540">
        <f t="shared" si="132"/>
        <v>0</v>
      </c>
      <c r="CH98" s="2540">
        <f t="shared" si="132"/>
        <v>0</v>
      </c>
      <c r="CI98" s="2540">
        <f t="shared" si="132"/>
        <v>0</v>
      </c>
      <c r="CJ98" s="2540">
        <f t="shared" si="132"/>
        <v>0</v>
      </c>
      <c r="CK98" s="2540">
        <f t="shared" si="132"/>
        <v>0</v>
      </c>
      <c r="CL98" s="2540">
        <f t="shared" si="132"/>
        <v>0</v>
      </c>
      <c r="CM98" s="2540">
        <f t="shared" si="132"/>
        <v>0</v>
      </c>
      <c r="CN98" s="2540">
        <f t="shared" si="132"/>
        <v>0</v>
      </c>
      <c r="CO98" s="2540">
        <f t="shared" si="132"/>
        <v>0</v>
      </c>
      <c r="CP98" s="2540">
        <f t="shared" si="132"/>
        <v>0</v>
      </c>
      <c r="CQ98" s="2540">
        <f t="shared" si="133"/>
        <v>0</v>
      </c>
      <c r="CR98" s="2540">
        <f t="shared" si="133"/>
        <v>0</v>
      </c>
      <c r="CS98" s="2540">
        <f t="shared" si="133"/>
        <v>0</v>
      </c>
      <c r="CT98" s="2540">
        <f t="shared" si="133"/>
        <v>0</v>
      </c>
      <c r="CU98" s="2540">
        <f t="shared" si="133"/>
        <v>0</v>
      </c>
      <c r="CV98" s="2540">
        <f t="shared" si="133"/>
        <v>0</v>
      </c>
      <c r="CW98" s="2540">
        <f t="shared" si="133"/>
        <v>0</v>
      </c>
      <c r="CX98" s="2540">
        <f t="shared" si="133"/>
        <v>0</v>
      </c>
      <c r="CY98" s="2540">
        <f t="shared" si="133"/>
        <v>0</v>
      </c>
      <c r="CZ98" s="2540">
        <f t="shared" si="133"/>
        <v>0</v>
      </c>
      <c r="DA98" s="2540">
        <f t="shared" si="133"/>
        <v>0</v>
      </c>
      <c r="DB98" s="2540">
        <f t="shared" si="133"/>
        <v>0</v>
      </c>
      <c r="DC98" s="2540">
        <f t="shared" si="133"/>
        <v>0</v>
      </c>
      <c r="DD98" s="2536">
        <f t="shared" si="133"/>
        <v>0</v>
      </c>
      <c r="DE98" s="2189"/>
      <c r="DF98" s="2536">
        <f t="shared" si="134"/>
        <v>0</v>
      </c>
      <c r="DG98" s="2189"/>
    </row>
    <row r="99" spans="1:111" s="2196" customFormat="1" ht="13.8" outlineLevel="2" x14ac:dyDescent="0.3">
      <c r="A99" s="2189"/>
      <c r="B99" s="2531"/>
      <c r="C99" s="2532" t="s">
        <v>1649</v>
      </c>
      <c r="D99" s="2532"/>
      <c r="E99" s="2532"/>
      <c r="F99" s="2613"/>
      <c r="G99" s="2534">
        <v>0</v>
      </c>
      <c r="H99" s="2534">
        <v>0</v>
      </c>
      <c r="I99" s="2534">
        <v>0</v>
      </c>
      <c r="J99" s="2534">
        <v>0</v>
      </c>
      <c r="K99" s="2534">
        <v>0</v>
      </c>
      <c r="L99" s="2534">
        <v>0</v>
      </c>
      <c r="M99" s="2534">
        <v>0</v>
      </c>
      <c r="N99" s="2534">
        <v>0</v>
      </c>
      <c r="O99" s="2534">
        <v>0</v>
      </c>
      <c r="P99" s="2534">
        <v>0</v>
      </c>
      <c r="Q99" s="2534">
        <v>0</v>
      </c>
      <c r="R99" s="2534">
        <v>0</v>
      </c>
      <c r="S99" s="2534">
        <v>0</v>
      </c>
      <c r="T99" s="2534">
        <v>0</v>
      </c>
      <c r="U99" s="2534">
        <v>0</v>
      </c>
      <c r="V99" s="2534">
        <v>0</v>
      </c>
      <c r="W99" s="2534">
        <v>0</v>
      </c>
      <c r="X99" s="2534">
        <v>0</v>
      </c>
      <c r="Y99" s="2534">
        <v>0</v>
      </c>
      <c r="Z99" s="2534">
        <v>0</v>
      </c>
      <c r="AA99" s="2534">
        <v>0</v>
      </c>
      <c r="AB99" s="2534">
        <v>0</v>
      </c>
      <c r="AC99" s="2534">
        <v>0</v>
      </c>
      <c r="AD99" s="2534">
        <v>0</v>
      </c>
      <c r="AE99" s="2534">
        <v>0</v>
      </c>
      <c r="AF99" s="2534">
        <v>0</v>
      </c>
      <c r="AG99" s="2534">
        <v>0</v>
      </c>
      <c r="AH99" s="2534">
        <v>0</v>
      </c>
      <c r="AI99" s="2534">
        <v>0</v>
      </c>
      <c r="AJ99" s="2536">
        <f>SUMIF($G$115:$AI$115,"1",$G99:$AI99)</f>
        <v>0</v>
      </c>
      <c r="AK99" s="2537"/>
      <c r="AL99" s="2198"/>
      <c r="AM99" s="2536">
        <f>SUMIF($G$115:$AI$115,"1",$G99:$AI99)+SUMIF($G$115:$AI$115,"2",$G99:$AI99)</f>
        <v>0</v>
      </c>
      <c r="AN99" s="2538"/>
      <c r="AO99" s="2189"/>
      <c r="AP99" s="2189"/>
      <c r="AQ99" s="2533">
        <v>0</v>
      </c>
      <c r="AR99" s="2534">
        <v>0</v>
      </c>
      <c r="AS99" s="2534">
        <v>0</v>
      </c>
      <c r="AT99" s="2534">
        <v>0</v>
      </c>
      <c r="AU99" s="2534">
        <v>0</v>
      </c>
      <c r="AV99" s="2534">
        <v>0</v>
      </c>
      <c r="AW99" s="2534">
        <v>0</v>
      </c>
      <c r="AX99" s="2534">
        <v>0</v>
      </c>
      <c r="AY99" s="2534">
        <v>0</v>
      </c>
      <c r="AZ99" s="2534">
        <v>0</v>
      </c>
      <c r="BA99" s="2534">
        <v>0</v>
      </c>
      <c r="BB99" s="2534">
        <v>0</v>
      </c>
      <c r="BC99" s="2534">
        <v>0</v>
      </c>
      <c r="BD99" s="2534">
        <v>0</v>
      </c>
      <c r="BE99" s="2534">
        <v>0</v>
      </c>
      <c r="BF99" s="2534">
        <v>0</v>
      </c>
      <c r="BG99" s="2534">
        <v>0</v>
      </c>
      <c r="BH99" s="2534">
        <v>0</v>
      </c>
      <c r="BI99" s="2534">
        <v>0</v>
      </c>
      <c r="BJ99" s="2534">
        <v>0</v>
      </c>
      <c r="BK99" s="2534">
        <v>0</v>
      </c>
      <c r="BL99" s="2534">
        <v>0</v>
      </c>
      <c r="BM99" s="2534">
        <v>0</v>
      </c>
      <c r="BN99" s="2534">
        <v>0</v>
      </c>
      <c r="BO99" s="2534">
        <v>0</v>
      </c>
      <c r="BP99" s="2534">
        <v>0</v>
      </c>
      <c r="BQ99" s="2534">
        <v>0</v>
      </c>
      <c r="BR99" s="2534">
        <v>0</v>
      </c>
      <c r="BS99" s="2534">
        <v>0</v>
      </c>
      <c r="BT99" s="2536">
        <f>SUMIF($AQ$115:$BS$115,"1",$AQ99:$BS99)</f>
        <v>0</v>
      </c>
      <c r="BU99" s="2198"/>
      <c r="BV99" s="2198"/>
      <c r="BW99" s="2536">
        <f>SUMIF($AQ$115:$BS$115,"1",$AQ99:$BS99)+SUMIF($AQ$115:$BS$115,"2",$AQ99:$BS99)</f>
        <v>0</v>
      </c>
      <c r="BX99" s="2189"/>
      <c r="BY99" s="2189"/>
      <c r="BZ99" s="2189"/>
      <c r="CA99" s="2539">
        <f t="shared" si="132"/>
        <v>0</v>
      </c>
      <c r="CB99" s="2540">
        <f t="shared" si="132"/>
        <v>0</v>
      </c>
      <c r="CC99" s="2540">
        <f t="shared" si="132"/>
        <v>0</v>
      </c>
      <c r="CD99" s="2540">
        <f t="shared" si="132"/>
        <v>0</v>
      </c>
      <c r="CE99" s="2540">
        <f t="shared" si="132"/>
        <v>0</v>
      </c>
      <c r="CF99" s="2540">
        <f t="shared" si="132"/>
        <v>0</v>
      </c>
      <c r="CG99" s="2540">
        <f t="shared" si="132"/>
        <v>0</v>
      </c>
      <c r="CH99" s="2540">
        <f t="shared" si="132"/>
        <v>0</v>
      </c>
      <c r="CI99" s="2540">
        <f t="shared" si="132"/>
        <v>0</v>
      </c>
      <c r="CJ99" s="2540">
        <f t="shared" si="132"/>
        <v>0</v>
      </c>
      <c r="CK99" s="2540">
        <f t="shared" si="132"/>
        <v>0</v>
      </c>
      <c r="CL99" s="2540">
        <f t="shared" si="132"/>
        <v>0</v>
      </c>
      <c r="CM99" s="2540">
        <f t="shared" si="132"/>
        <v>0</v>
      </c>
      <c r="CN99" s="2540">
        <f t="shared" si="132"/>
        <v>0</v>
      </c>
      <c r="CO99" s="2540">
        <f t="shared" si="132"/>
        <v>0</v>
      </c>
      <c r="CP99" s="2540">
        <f t="shared" si="132"/>
        <v>0</v>
      </c>
      <c r="CQ99" s="2540">
        <f t="shared" si="133"/>
        <v>0</v>
      </c>
      <c r="CR99" s="2540">
        <f t="shared" si="133"/>
        <v>0</v>
      </c>
      <c r="CS99" s="2540">
        <f t="shared" si="133"/>
        <v>0</v>
      </c>
      <c r="CT99" s="2540">
        <f t="shared" si="133"/>
        <v>0</v>
      </c>
      <c r="CU99" s="2540">
        <f t="shared" si="133"/>
        <v>0</v>
      </c>
      <c r="CV99" s="2540">
        <f t="shared" si="133"/>
        <v>0</v>
      </c>
      <c r="CW99" s="2540">
        <f t="shared" si="133"/>
        <v>0</v>
      </c>
      <c r="CX99" s="2540">
        <f t="shared" si="133"/>
        <v>0</v>
      </c>
      <c r="CY99" s="2540">
        <f t="shared" si="133"/>
        <v>0</v>
      </c>
      <c r="CZ99" s="2540">
        <f t="shared" si="133"/>
        <v>0</v>
      </c>
      <c r="DA99" s="2540">
        <f t="shared" si="133"/>
        <v>0</v>
      </c>
      <c r="DB99" s="2540">
        <f t="shared" si="133"/>
        <v>0</v>
      </c>
      <c r="DC99" s="2540">
        <f t="shared" si="133"/>
        <v>0</v>
      </c>
      <c r="DD99" s="2536">
        <f t="shared" si="133"/>
        <v>0</v>
      </c>
      <c r="DE99" s="2189"/>
      <c r="DF99" s="2536">
        <f t="shared" si="134"/>
        <v>0</v>
      </c>
      <c r="DG99" s="2189"/>
    </row>
    <row r="100" spans="1:111" s="2196" customFormat="1" ht="18" outlineLevel="2" x14ac:dyDescent="0.35">
      <c r="A100" s="2189"/>
      <c r="B100" s="2523" t="s">
        <v>1650</v>
      </c>
      <c r="C100" s="2524"/>
      <c r="D100" s="2524"/>
      <c r="E100" s="2524"/>
      <c r="F100" s="2612"/>
      <c r="G100" s="2526">
        <f t="shared" ref="G100:W100" si="140">SUM(G96:G99)</f>
        <v>0</v>
      </c>
      <c r="H100" s="2526">
        <f t="shared" si="140"/>
        <v>0</v>
      </c>
      <c r="I100" s="2526">
        <f t="shared" si="140"/>
        <v>0</v>
      </c>
      <c r="J100" s="2526">
        <f t="shared" si="140"/>
        <v>0</v>
      </c>
      <c r="K100" s="2526">
        <f t="shared" si="140"/>
        <v>0</v>
      </c>
      <c r="L100" s="2526">
        <f t="shared" si="140"/>
        <v>0</v>
      </c>
      <c r="M100" s="2526">
        <f t="shared" si="140"/>
        <v>0</v>
      </c>
      <c r="N100" s="2526">
        <f t="shared" si="140"/>
        <v>0</v>
      </c>
      <c r="O100" s="2526">
        <f t="shared" si="140"/>
        <v>0</v>
      </c>
      <c r="P100" s="2526">
        <f t="shared" si="140"/>
        <v>0</v>
      </c>
      <c r="Q100" s="2526">
        <f t="shared" si="140"/>
        <v>0</v>
      </c>
      <c r="R100" s="2526">
        <f t="shared" si="140"/>
        <v>0</v>
      </c>
      <c r="S100" s="2526">
        <f t="shared" si="140"/>
        <v>0</v>
      </c>
      <c r="T100" s="2526">
        <f t="shared" si="140"/>
        <v>0</v>
      </c>
      <c r="U100" s="2526">
        <f t="shared" si="140"/>
        <v>0</v>
      </c>
      <c r="V100" s="2526">
        <f t="shared" si="140"/>
        <v>0</v>
      </c>
      <c r="W100" s="2526">
        <f t="shared" si="140"/>
        <v>0</v>
      </c>
      <c r="X100" s="2526">
        <f>SUM(X96:X99)</f>
        <v>0</v>
      </c>
      <c r="Y100" s="2526">
        <f t="shared" ref="Y100:AI100" si="141">SUM(Y96:Y99)</f>
        <v>0</v>
      </c>
      <c r="Z100" s="2526">
        <f t="shared" si="141"/>
        <v>0</v>
      </c>
      <c r="AA100" s="2526">
        <f t="shared" si="141"/>
        <v>0</v>
      </c>
      <c r="AB100" s="2526">
        <f t="shared" si="141"/>
        <v>0</v>
      </c>
      <c r="AC100" s="2526">
        <f t="shared" si="141"/>
        <v>0</v>
      </c>
      <c r="AD100" s="2526">
        <f t="shared" si="141"/>
        <v>0</v>
      </c>
      <c r="AE100" s="2526">
        <f t="shared" si="141"/>
        <v>0</v>
      </c>
      <c r="AF100" s="2526">
        <f t="shared" si="141"/>
        <v>0</v>
      </c>
      <c r="AG100" s="2526">
        <f t="shared" si="141"/>
        <v>0</v>
      </c>
      <c r="AH100" s="2526">
        <f t="shared" si="141"/>
        <v>0</v>
      </c>
      <c r="AI100" s="2526">
        <f t="shared" si="141"/>
        <v>0</v>
      </c>
      <c r="AJ100" s="2527">
        <f>SUMIF($G$115:$AI$115,"1",$G100:$AI100)</f>
        <v>0</v>
      </c>
      <c r="AK100" s="2542"/>
      <c r="AL100" s="2287"/>
      <c r="AM100" s="2527">
        <f>SUMIF($G$115:$AI$115,"1",$G100:$AI100)+SUMIF($G$115:$AI$115,"2",$G100:$AI100)</f>
        <v>0</v>
      </c>
      <c r="AN100" s="2529"/>
      <c r="AO100" s="1887"/>
      <c r="AP100" s="1887"/>
      <c r="AQ100" s="2525">
        <f t="shared" ref="AQ100:BS100" si="142">SUM(AQ96:AQ99)</f>
        <v>0</v>
      </c>
      <c r="AR100" s="2526">
        <f t="shared" si="142"/>
        <v>0</v>
      </c>
      <c r="AS100" s="2526">
        <f t="shared" si="142"/>
        <v>0</v>
      </c>
      <c r="AT100" s="2526">
        <f t="shared" si="142"/>
        <v>0</v>
      </c>
      <c r="AU100" s="2526">
        <f t="shared" si="142"/>
        <v>0</v>
      </c>
      <c r="AV100" s="2526">
        <f t="shared" si="142"/>
        <v>0</v>
      </c>
      <c r="AW100" s="2526">
        <f t="shared" si="142"/>
        <v>0</v>
      </c>
      <c r="AX100" s="2526">
        <f t="shared" si="142"/>
        <v>0</v>
      </c>
      <c r="AY100" s="2526">
        <f t="shared" si="142"/>
        <v>0</v>
      </c>
      <c r="AZ100" s="2526">
        <f t="shared" si="142"/>
        <v>0</v>
      </c>
      <c r="BA100" s="2526">
        <f t="shared" si="142"/>
        <v>0</v>
      </c>
      <c r="BB100" s="2526">
        <f t="shared" si="142"/>
        <v>0</v>
      </c>
      <c r="BC100" s="2526">
        <f t="shared" si="142"/>
        <v>0</v>
      </c>
      <c r="BD100" s="2526">
        <f t="shared" si="142"/>
        <v>0</v>
      </c>
      <c r="BE100" s="2526">
        <f t="shared" si="142"/>
        <v>0</v>
      </c>
      <c r="BF100" s="2526">
        <f t="shared" si="142"/>
        <v>0</v>
      </c>
      <c r="BG100" s="2526">
        <f t="shared" si="142"/>
        <v>0</v>
      </c>
      <c r="BH100" s="2526">
        <f t="shared" si="142"/>
        <v>0</v>
      </c>
      <c r="BI100" s="2526">
        <f t="shared" ref="BI100:BR100" si="143">SUM(BI96:BI99)</f>
        <v>0</v>
      </c>
      <c r="BJ100" s="2526">
        <f t="shared" si="143"/>
        <v>0</v>
      </c>
      <c r="BK100" s="2526">
        <f t="shared" si="143"/>
        <v>0</v>
      </c>
      <c r="BL100" s="2526">
        <f t="shared" si="143"/>
        <v>0</v>
      </c>
      <c r="BM100" s="2526">
        <f t="shared" si="143"/>
        <v>0</v>
      </c>
      <c r="BN100" s="2526">
        <f t="shared" si="143"/>
        <v>0</v>
      </c>
      <c r="BO100" s="2526">
        <f t="shared" si="143"/>
        <v>0</v>
      </c>
      <c r="BP100" s="2526">
        <f t="shared" si="143"/>
        <v>0</v>
      </c>
      <c r="BQ100" s="2526">
        <f t="shared" si="143"/>
        <v>0</v>
      </c>
      <c r="BR100" s="2526">
        <f t="shared" si="143"/>
        <v>0</v>
      </c>
      <c r="BS100" s="2526">
        <f t="shared" si="142"/>
        <v>0</v>
      </c>
      <c r="BT100" s="2527">
        <f>SUMIF($AQ$115:$BS$115,"1",$AQ100:$BS100)</f>
        <v>0</v>
      </c>
      <c r="BU100" s="2198"/>
      <c r="BV100" s="2198"/>
      <c r="BW100" s="2527">
        <f>SUMIF($AQ$115:$BS$115,"1",$AQ100:$BS100)+SUMIF($AQ$115:$BS$115,"2",$AQ100:$BS100)</f>
        <v>0</v>
      </c>
      <c r="BX100" s="2189"/>
      <c r="BY100" s="2189"/>
      <c r="BZ100" s="2189"/>
      <c r="CA100" s="2525">
        <f t="shared" si="132"/>
        <v>0</v>
      </c>
      <c r="CB100" s="2526">
        <f t="shared" si="132"/>
        <v>0</v>
      </c>
      <c r="CC100" s="2526">
        <f t="shared" si="132"/>
        <v>0</v>
      </c>
      <c r="CD100" s="2526">
        <f t="shared" si="132"/>
        <v>0</v>
      </c>
      <c r="CE100" s="2526">
        <f t="shared" si="132"/>
        <v>0</v>
      </c>
      <c r="CF100" s="2526">
        <f t="shared" si="132"/>
        <v>0</v>
      </c>
      <c r="CG100" s="2526">
        <f t="shared" si="132"/>
        <v>0</v>
      </c>
      <c r="CH100" s="2526">
        <f t="shared" si="132"/>
        <v>0</v>
      </c>
      <c r="CI100" s="2526">
        <f t="shared" si="132"/>
        <v>0</v>
      </c>
      <c r="CJ100" s="2526">
        <f t="shared" si="132"/>
        <v>0</v>
      </c>
      <c r="CK100" s="2526">
        <f t="shared" si="132"/>
        <v>0</v>
      </c>
      <c r="CL100" s="2526">
        <f t="shared" si="132"/>
        <v>0</v>
      </c>
      <c r="CM100" s="2526">
        <f t="shared" si="132"/>
        <v>0</v>
      </c>
      <c r="CN100" s="2526">
        <f t="shared" si="132"/>
        <v>0</v>
      </c>
      <c r="CO100" s="2526">
        <f t="shared" si="132"/>
        <v>0</v>
      </c>
      <c r="CP100" s="2526">
        <f t="shared" si="132"/>
        <v>0</v>
      </c>
      <c r="CQ100" s="2526">
        <f t="shared" si="133"/>
        <v>0</v>
      </c>
      <c r="CR100" s="2526">
        <f t="shared" si="133"/>
        <v>0</v>
      </c>
      <c r="CS100" s="2526">
        <f t="shared" si="133"/>
        <v>0</v>
      </c>
      <c r="CT100" s="2526">
        <f t="shared" si="133"/>
        <v>0</v>
      </c>
      <c r="CU100" s="2526">
        <f t="shared" si="133"/>
        <v>0</v>
      </c>
      <c r="CV100" s="2526">
        <f t="shared" si="133"/>
        <v>0</v>
      </c>
      <c r="CW100" s="2526">
        <f t="shared" si="133"/>
        <v>0</v>
      </c>
      <c r="CX100" s="2526">
        <f t="shared" si="133"/>
        <v>0</v>
      </c>
      <c r="CY100" s="2526">
        <f t="shared" si="133"/>
        <v>0</v>
      </c>
      <c r="CZ100" s="2526">
        <f t="shared" si="133"/>
        <v>0</v>
      </c>
      <c r="DA100" s="2526">
        <f t="shared" si="133"/>
        <v>0</v>
      </c>
      <c r="DB100" s="2526">
        <f t="shared" si="133"/>
        <v>0</v>
      </c>
      <c r="DC100" s="2526">
        <f t="shared" si="133"/>
        <v>0</v>
      </c>
      <c r="DD100" s="2527">
        <f t="shared" si="133"/>
        <v>0</v>
      </c>
      <c r="DE100" s="2189"/>
      <c r="DF100" s="2527">
        <f t="shared" si="134"/>
        <v>0</v>
      </c>
      <c r="DG100" s="2189"/>
    </row>
    <row r="101" spans="1:111" s="2196" customFormat="1" ht="13.8" outlineLevel="2" x14ac:dyDescent="0.3">
      <c r="A101" s="2189"/>
      <c r="B101" s="2543" t="s">
        <v>1651</v>
      </c>
      <c r="C101" s="2544"/>
      <c r="D101" s="2544"/>
      <c r="E101" s="2544"/>
      <c r="F101" s="2614"/>
      <c r="G101" s="2547">
        <v>0</v>
      </c>
      <c r="H101" s="2547">
        <v>0</v>
      </c>
      <c r="I101" s="2547">
        <v>0</v>
      </c>
      <c r="J101" s="2547">
        <v>0</v>
      </c>
      <c r="K101" s="2547">
        <v>0</v>
      </c>
      <c r="L101" s="2547">
        <v>0</v>
      </c>
      <c r="M101" s="2547">
        <v>0</v>
      </c>
      <c r="N101" s="2547">
        <v>0</v>
      </c>
      <c r="O101" s="2547">
        <v>0</v>
      </c>
      <c r="P101" s="2547">
        <v>0</v>
      </c>
      <c r="Q101" s="2547">
        <v>0</v>
      </c>
      <c r="R101" s="2547">
        <v>0</v>
      </c>
      <c r="S101" s="2547">
        <v>0</v>
      </c>
      <c r="T101" s="2547">
        <v>0</v>
      </c>
      <c r="U101" s="2547">
        <v>0</v>
      </c>
      <c r="V101" s="2547">
        <v>0</v>
      </c>
      <c r="W101" s="2547">
        <v>0</v>
      </c>
      <c r="X101" s="2547">
        <v>0</v>
      </c>
      <c r="Y101" s="2547">
        <v>0</v>
      </c>
      <c r="Z101" s="2547">
        <v>0</v>
      </c>
      <c r="AA101" s="2547">
        <v>0</v>
      </c>
      <c r="AB101" s="2547">
        <v>0</v>
      </c>
      <c r="AC101" s="2547">
        <v>0</v>
      </c>
      <c r="AD101" s="2547">
        <v>0</v>
      </c>
      <c r="AE101" s="2547">
        <v>0</v>
      </c>
      <c r="AF101" s="2547">
        <v>0</v>
      </c>
      <c r="AG101" s="2547">
        <v>0</v>
      </c>
      <c r="AH101" s="2547">
        <v>0</v>
      </c>
      <c r="AI101" s="2547">
        <v>0</v>
      </c>
      <c r="AJ101" s="2548"/>
      <c r="AK101" s="2549"/>
      <c r="AL101" s="2198"/>
      <c r="AM101" s="2548"/>
      <c r="AN101" s="2550"/>
      <c r="AO101" s="2198"/>
      <c r="AP101" s="2198"/>
      <c r="AQ101" s="2546">
        <v>0</v>
      </c>
      <c r="AR101" s="2547">
        <v>0</v>
      </c>
      <c r="AS101" s="2547">
        <v>0</v>
      </c>
      <c r="AT101" s="2547">
        <v>0</v>
      </c>
      <c r="AU101" s="2547">
        <v>0</v>
      </c>
      <c r="AV101" s="2547">
        <v>0</v>
      </c>
      <c r="AW101" s="2547">
        <v>0</v>
      </c>
      <c r="AX101" s="2547">
        <v>0</v>
      </c>
      <c r="AY101" s="2547">
        <v>0</v>
      </c>
      <c r="AZ101" s="2547">
        <v>0</v>
      </c>
      <c r="BA101" s="2547">
        <v>0</v>
      </c>
      <c r="BB101" s="2547">
        <v>0</v>
      </c>
      <c r="BC101" s="2547">
        <v>0</v>
      </c>
      <c r="BD101" s="2547">
        <v>0</v>
      </c>
      <c r="BE101" s="2547">
        <v>0</v>
      </c>
      <c r="BF101" s="2547">
        <v>0</v>
      </c>
      <c r="BG101" s="2547">
        <v>0</v>
      </c>
      <c r="BH101" s="2547">
        <v>0</v>
      </c>
      <c r="BI101" s="2547">
        <v>0</v>
      </c>
      <c r="BJ101" s="2547">
        <v>0</v>
      </c>
      <c r="BK101" s="2547">
        <v>0</v>
      </c>
      <c r="BL101" s="2547">
        <v>0</v>
      </c>
      <c r="BM101" s="2547">
        <v>0</v>
      </c>
      <c r="BN101" s="2547">
        <v>0</v>
      </c>
      <c r="BO101" s="2547">
        <v>0</v>
      </c>
      <c r="BP101" s="2547">
        <v>0</v>
      </c>
      <c r="BQ101" s="2547">
        <v>0</v>
      </c>
      <c r="BR101" s="2547">
        <v>0</v>
      </c>
      <c r="BS101" s="2547">
        <v>0</v>
      </c>
      <c r="BT101" s="2548"/>
      <c r="BU101" s="2198"/>
      <c r="BV101" s="2198"/>
      <c r="BW101" s="2548"/>
      <c r="BX101" s="2189"/>
      <c r="BY101" s="2189"/>
      <c r="BZ101" s="2189"/>
      <c r="CA101" s="2551">
        <f t="shared" si="132"/>
        <v>0</v>
      </c>
      <c r="CB101" s="2552">
        <f t="shared" si="132"/>
        <v>0</v>
      </c>
      <c r="CC101" s="2552">
        <f t="shared" si="132"/>
        <v>0</v>
      </c>
      <c r="CD101" s="2552">
        <f t="shared" si="132"/>
        <v>0</v>
      </c>
      <c r="CE101" s="2552">
        <f t="shared" si="132"/>
        <v>0</v>
      </c>
      <c r="CF101" s="2552">
        <f t="shared" si="132"/>
        <v>0</v>
      </c>
      <c r="CG101" s="2552">
        <f t="shared" si="132"/>
        <v>0</v>
      </c>
      <c r="CH101" s="2552">
        <f t="shared" si="132"/>
        <v>0</v>
      </c>
      <c r="CI101" s="2552">
        <f t="shared" si="132"/>
        <v>0</v>
      </c>
      <c r="CJ101" s="2552">
        <f t="shared" si="132"/>
        <v>0</v>
      </c>
      <c r="CK101" s="2552">
        <f t="shared" si="132"/>
        <v>0</v>
      </c>
      <c r="CL101" s="2552">
        <f t="shared" si="132"/>
        <v>0</v>
      </c>
      <c r="CM101" s="2552">
        <f t="shared" si="132"/>
        <v>0</v>
      </c>
      <c r="CN101" s="2552">
        <f t="shared" si="132"/>
        <v>0</v>
      </c>
      <c r="CO101" s="2552">
        <f t="shared" si="132"/>
        <v>0</v>
      </c>
      <c r="CP101" s="2552">
        <f t="shared" si="132"/>
        <v>0</v>
      </c>
      <c r="CQ101" s="2552">
        <f t="shared" si="133"/>
        <v>0</v>
      </c>
      <c r="CR101" s="2552">
        <f t="shared" si="133"/>
        <v>0</v>
      </c>
      <c r="CS101" s="2552">
        <f t="shared" si="133"/>
        <v>0</v>
      </c>
      <c r="CT101" s="2552">
        <f t="shared" si="133"/>
        <v>0</v>
      </c>
      <c r="CU101" s="2552">
        <f t="shared" si="133"/>
        <v>0</v>
      </c>
      <c r="CV101" s="2552">
        <f t="shared" si="133"/>
        <v>0</v>
      </c>
      <c r="CW101" s="2552">
        <f t="shared" si="133"/>
        <v>0</v>
      </c>
      <c r="CX101" s="2552">
        <f t="shared" si="133"/>
        <v>0</v>
      </c>
      <c r="CY101" s="2552">
        <f t="shared" si="133"/>
        <v>0</v>
      </c>
      <c r="CZ101" s="2552">
        <f t="shared" si="133"/>
        <v>0</v>
      </c>
      <c r="DA101" s="2552">
        <f t="shared" si="133"/>
        <v>0</v>
      </c>
      <c r="DB101" s="2552">
        <f t="shared" si="133"/>
        <v>0</v>
      </c>
      <c r="DC101" s="2552">
        <f t="shared" si="133"/>
        <v>0</v>
      </c>
      <c r="DD101" s="2548"/>
      <c r="DE101" s="2189"/>
      <c r="DF101" s="2548"/>
      <c r="DG101" s="2189"/>
    </row>
    <row r="102" spans="1:111" s="2196" customFormat="1" ht="13.8" outlineLevel="2" x14ac:dyDescent="0.3">
      <c r="A102" s="2189"/>
      <c r="B102" s="2553" t="s">
        <v>1652</v>
      </c>
      <c r="C102" s="2554"/>
      <c r="D102" s="2554"/>
      <c r="E102" s="2554"/>
      <c r="F102" s="2615"/>
      <c r="G102" s="2557">
        <v>0</v>
      </c>
      <c r="H102" s="2557">
        <v>0</v>
      </c>
      <c r="I102" s="2557">
        <v>0</v>
      </c>
      <c r="J102" s="2557">
        <v>0</v>
      </c>
      <c r="K102" s="2557">
        <v>0</v>
      </c>
      <c r="L102" s="2557">
        <v>0</v>
      </c>
      <c r="M102" s="2557">
        <v>0</v>
      </c>
      <c r="N102" s="2557">
        <v>0</v>
      </c>
      <c r="O102" s="2557">
        <v>0</v>
      </c>
      <c r="P102" s="2557">
        <v>0</v>
      </c>
      <c r="Q102" s="2557">
        <v>0</v>
      </c>
      <c r="R102" s="2557">
        <v>0</v>
      </c>
      <c r="S102" s="2557">
        <v>0</v>
      </c>
      <c r="T102" s="2557">
        <v>0</v>
      </c>
      <c r="U102" s="2557">
        <v>0</v>
      </c>
      <c r="V102" s="2557">
        <v>0</v>
      </c>
      <c r="W102" s="2557">
        <v>0</v>
      </c>
      <c r="X102" s="2557">
        <v>0</v>
      </c>
      <c r="Y102" s="2557">
        <v>0</v>
      </c>
      <c r="Z102" s="2557">
        <v>0</v>
      </c>
      <c r="AA102" s="2557">
        <v>0</v>
      </c>
      <c r="AB102" s="2557">
        <v>0</v>
      </c>
      <c r="AC102" s="2557">
        <v>0</v>
      </c>
      <c r="AD102" s="2557">
        <v>0</v>
      </c>
      <c r="AE102" s="2557">
        <v>0</v>
      </c>
      <c r="AF102" s="2557">
        <v>0</v>
      </c>
      <c r="AG102" s="2557">
        <v>0</v>
      </c>
      <c r="AH102" s="2557">
        <v>0</v>
      </c>
      <c r="AI102" s="2557">
        <v>0</v>
      </c>
      <c r="AJ102" s="2558"/>
      <c r="AK102" s="2549"/>
      <c r="AL102" s="2198"/>
      <c r="AM102" s="2558"/>
      <c r="AN102" s="2550"/>
      <c r="AO102" s="2198"/>
      <c r="AP102" s="2198"/>
      <c r="AQ102" s="2556">
        <v>0</v>
      </c>
      <c r="AR102" s="2557">
        <v>0</v>
      </c>
      <c r="AS102" s="2557">
        <v>0</v>
      </c>
      <c r="AT102" s="2557">
        <v>0</v>
      </c>
      <c r="AU102" s="2557">
        <v>0</v>
      </c>
      <c r="AV102" s="2557">
        <v>0</v>
      </c>
      <c r="AW102" s="2557">
        <v>0</v>
      </c>
      <c r="AX102" s="2557">
        <v>0</v>
      </c>
      <c r="AY102" s="2557">
        <v>0</v>
      </c>
      <c r="AZ102" s="2557">
        <v>0</v>
      </c>
      <c r="BA102" s="2557">
        <v>0</v>
      </c>
      <c r="BB102" s="2557">
        <v>0</v>
      </c>
      <c r="BC102" s="2557">
        <v>0</v>
      </c>
      <c r="BD102" s="2557">
        <v>0</v>
      </c>
      <c r="BE102" s="2557">
        <v>0</v>
      </c>
      <c r="BF102" s="2557">
        <v>0</v>
      </c>
      <c r="BG102" s="2557">
        <v>0</v>
      </c>
      <c r="BH102" s="2557">
        <v>0</v>
      </c>
      <c r="BI102" s="2557">
        <v>0</v>
      </c>
      <c r="BJ102" s="2557">
        <v>0</v>
      </c>
      <c r="BK102" s="2557">
        <v>0</v>
      </c>
      <c r="BL102" s="2557">
        <v>0</v>
      </c>
      <c r="BM102" s="2557">
        <v>0</v>
      </c>
      <c r="BN102" s="2557">
        <v>0</v>
      </c>
      <c r="BO102" s="2557">
        <v>0</v>
      </c>
      <c r="BP102" s="2557">
        <v>0</v>
      </c>
      <c r="BQ102" s="2557">
        <v>0</v>
      </c>
      <c r="BR102" s="2557">
        <v>0</v>
      </c>
      <c r="BS102" s="2557">
        <v>0</v>
      </c>
      <c r="BT102" s="2558"/>
      <c r="BU102" s="2198"/>
      <c r="BV102" s="2198"/>
      <c r="BW102" s="2558"/>
      <c r="BX102" s="2189"/>
      <c r="BY102" s="2189"/>
      <c r="BZ102" s="2189"/>
      <c r="CA102" s="2559">
        <f t="shared" si="132"/>
        <v>0</v>
      </c>
      <c r="CB102" s="2560">
        <f t="shared" si="132"/>
        <v>0</v>
      </c>
      <c r="CC102" s="2560">
        <f t="shared" si="132"/>
        <v>0</v>
      </c>
      <c r="CD102" s="2560">
        <f t="shared" si="132"/>
        <v>0</v>
      </c>
      <c r="CE102" s="2560">
        <f t="shared" si="132"/>
        <v>0</v>
      </c>
      <c r="CF102" s="2560">
        <f t="shared" si="132"/>
        <v>0</v>
      </c>
      <c r="CG102" s="2560">
        <f t="shared" si="132"/>
        <v>0</v>
      </c>
      <c r="CH102" s="2560">
        <f t="shared" si="132"/>
        <v>0</v>
      </c>
      <c r="CI102" s="2560">
        <f t="shared" si="132"/>
        <v>0</v>
      </c>
      <c r="CJ102" s="2560">
        <f t="shared" si="132"/>
        <v>0</v>
      </c>
      <c r="CK102" s="2560">
        <f t="shared" si="132"/>
        <v>0</v>
      </c>
      <c r="CL102" s="2560">
        <f t="shared" si="132"/>
        <v>0</v>
      </c>
      <c r="CM102" s="2560">
        <f t="shared" si="132"/>
        <v>0</v>
      </c>
      <c r="CN102" s="2560">
        <f t="shared" si="132"/>
        <v>0</v>
      </c>
      <c r="CO102" s="2560">
        <f t="shared" si="132"/>
        <v>0</v>
      </c>
      <c r="CP102" s="2560">
        <f t="shared" si="132"/>
        <v>0</v>
      </c>
      <c r="CQ102" s="2560">
        <f t="shared" si="133"/>
        <v>0</v>
      </c>
      <c r="CR102" s="2560">
        <f t="shared" si="133"/>
        <v>0</v>
      </c>
      <c r="CS102" s="2560">
        <f t="shared" si="133"/>
        <v>0</v>
      </c>
      <c r="CT102" s="2560">
        <f t="shared" si="133"/>
        <v>0</v>
      </c>
      <c r="CU102" s="2560">
        <f t="shared" si="133"/>
        <v>0</v>
      </c>
      <c r="CV102" s="2560">
        <f t="shared" si="133"/>
        <v>0</v>
      </c>
      <c r="CW102" s="2560">
        <f t="shared" si="133"/>
        <v>0</v>
      </c>
      <c r="CX102" s="2560">
        <f t="shared" si="133"/>
        <v>0</v>
      </c>
      <c r="CY102" s="2560">
        <f t="shared" si="133"/>
        <v>0</v>
      </c>
      <c r="CZ102" s="2560">
        <f t="shared" si="133"/>
        <v>0</v>
      </c>
      <c r="DA102" s="2560">
        <f t="shared" si="133"/>
        <v>0</v>
      </c>
      <c r="DB102" s="2560">
        <f t="shared" si="133"/>
        <v>0</v>
      </c>
      <c r="DC102" s="2560">
        <f t="shared" si="133"/>
        <v>0</v>
      </c>
      <c r="DD102" s="2558"/>
      <c r="DE102" s="2189"/>
      <c r="DF102" s="2558"/>
      <c r="DG102" s="2189"/>
    </row>
    <row r="103" spans="1:111" s="2196" customFormat="1" ht="18" outlineLevel="2" x14ac:dyDescent="0.35">
      <c r="A103" s="2189"/>
      <c r="B103" s="2523" t="s">
        <v>1654</v>
      </c>
      <c r="C103" s="2524"/>
      <c r="D103" s="2524"/>
      <c r="E103" s="2524"/>
      <c r="F103" s="2612"/>
      <c r="G103" s="2526">
        <f>SUM(G96:G98)</f>
        <v>0</v>
      </c>
      <c r="H103" s="2526">
        <f t="shared" ref="H103:W103" si="144">SUM(H96:H98)</f>
        <v>0</v>
      </c>
      <c r="I103" s="2526">
        <f t="shared" si="144"/>
        <v>0</v>
      </c>
      <c r="J103" s="2526">
        <f t="shared" si="144"/>
        <v>0</v>
      </c>
      <c r="K103" s="2526">
        <f t="shared" si="144"/>
        <v>0</v>
      </c>
      <c r="L103" s="2526">
        <f t="shared" si="144"/>
        <v>0</v>
      </c>
      <c r="M103" s="2526">
        <f t="shared" si="144"/>
        <v>0</v>
      </c>
      <c r="N103" s="2526">
        <f t="shared" si="144"/>
        <v>0</v>
      </c>
      <c r="O103" s="2526">
        <f t="shared" si="144"/>
        <v>0</v>
      </c>
      <c r="P103" s="2526">
        <f t="shared" si="144"/>
        <v>0</v>
      </c>
      <c r="Q103" s="2526">
        <f t="shared" si="144"/>
        <v>0</v>
      </c>
      <c r="R103" s="2526">
        <f t="shared" si="144"/>
        <v>0</v>
      </c>
      <c r="S103" s="2526">
        <f t="shared" si="144"/>
        <v>0</v>
      </c>
      <c r="T103" s="2526">
        <f t="shared" si="144"/>
        <v>0</v>
      </c>
      <c r="U103" s="2526">
        <f t="shared" si="144"/>
        <v>0</v>
      </c>
      <c r="V103" s="2526">
        <f t="shared" si="144"/>
        <v>0</v>
      </c>
      <c r="W103" s="2526">
        <f t="shared" si="144"/>
        <v>0</v>
      </c>
      <c r="X103" s="2526">
        <f>SUM(X96:X98)</f>
        <v>0</v>
      </c>
      <c r="Y103" s="2526">
        <f t="shared" ref="Y103:AI103" si="145">SUM(Y96:Y98)</f>
        <v>0</v>
      </c>
      <c r="Z103" s="2526">
        <f t="shared" si="145"/>
        <v>0</v>
      </c>
      <c r="AA103" s="2526">
        <f t="shared" si="145"/>
        <v>0</v>
      </c>
      <c r="AB103" s="2526">
        <f t="shared" si="145"/>
        <v>0</v>
      </c>
      <c r="AC103" s="2526">
        <f t="shared" si="145"/>
        <v>0</v>
      </c>
      <c r="AD103" s="2526">
        <f t="shared" si="145"/>
        <v>0</v>
      </c>
      <c r="AE103" s="2526">
        <f t="shared" si="145"/>
        <v>0</v>
      </c>
      <c r="AF103" s="2526">
        <f t="shared" si="145"/>
        <v>0</v>
      </c>
      <c r="AG103" s="2526">
        <f t="shared" si="145"/>
        <v>0</v>
      </c>
      <c r="AH103" s="2526">
        <f t="shared" si="145"/>
        <v>0</v>
      </c>
      <c r="AI103" s="2526">
        <f t="shared" si="145"/>
        <v>0</v>
      </c>
      <c r="AJ103" s="2527">
        <f>SUMIF($G$115:$AI$115,"1",$G103:$AI103)</f>
        <v>0</v>
      </c>
      <c r="AK103" s="2542"/>
      <c r="AL103" s="2287"/>
      <c r="AM103" s="2527">
        <f>SUMIF($G$115:$AI$115,"1",$G103:$AI103)+SUMIF($G$115:$AI$115,"2",$G103:$AI103)</f>
        <v>0</v>
      </c>
      <c r="AN103" s="2529"/>
      <c r="AO103" s="1887"/>
      <c r="AP103" s="1887"/>
      <c r="AQ103" s="2525">
        <f t="shared" ref="AQ103:BG103" si="146">SUM(AQ96:AQ98)</f>
        <v>0</v>
      </c>
      <c r="AR103" s="2526">
        <f t="shared" si="146"/>
        <v>0</v>
      </c>
      <c r="AS103" s="2526">
        <f t="shared" si="146"/>
        <v>0</v>
      </c>
      <c r="AT103" s="2526">
        <f t="shared" si="146"/>
        <v>0</v>
      </c>
      <c r="AU103" s="2526">
        <f t="shared" si="146"/>
        <v>0</v>
      </c>
      <c r="AV103" s="2526">
        <f t="shared" si="146"/>
        <v>0</v>
      </c>
      <c r="AW103" s="2526">
        <f t="shared" si="146"/>
        <v>0</v>
      </c>
      <c r="AX103" s="2526">
        <f t="shared" si="146"/>
        <v>0</v>
      </c>
      <c r="AY103" s="2526">
        <f t="shared" si="146"/>
        <v>0</v>
      </c>
      <c r="AZ103" s="2526">
        <f t="shared" si="146"/>
        <v>0</v>
      </c>
      <c r="BA103" s="2526">
        <f t="shared" si="146"/>
        <v>0</v>
      </c>
      <c r="BB103" s="2526">
        <f t="shared" si="146"/>
        <v>0</v>
      </c>
      <c r="BC103" s="2526">
        <f t="shared" si="146"/>
        <v>0</v>
      </c>
      <c r="BD103" s="2526">
        <f t="shared" si="146"/>
        <v>0</v>
      </c>
      <c r="BE103" s="2526">
        <f t="shared" si="146"/>
        <v>0</v>
      </c>
      <c r="BF103" s="2526">
        <f t="shared" si="146"/>
        <v>0</v>
      </c>
      <c r="BG103" s="2526">
        <f t="shared" si="146"/>
        <v>0</v>
      </c>
      <c r="BH103" s="2526">
        <f>SUM(BH96:BH98)</f>
        <v>0</v>
      </c>
      <c r="BI103" s="2526">
        <f t="shared" ref="BI103:BR103" si="147">SUM(BI96:BI98)</f>
        <v>0</v>
      </c>
      <c r="BJ103" s="2526">
        <f t="shared" si="147"/>
        <v>0</v>
      </c>
      <c r="BK103" s="2526">
        <f t="shared" si="147"/>
        <v>0</v>
      </c>
      <c r="BL103" s="2526">
        <f t="shared" si="147"/>
        <v>0</v>
      </c>
      <c r="BM103" s="2526">
        <f t="shared" si="147"/>
        <v>0</v>
      </c>
      <c r="BN103" s="2526">
        <f t="shared" si="147"/>
        <v>0</v>
      </c>
      <c r="BO103" s="2526">
        <f t="shared" si="147"/>
        <v>0</v>
      </c>
      <c r="BP103" s="2526">
        <f t="shared" si="147"/>
        <v>0</v>
      </c>
      <c r="BQ103" s="2526">
        <f t="shared" si="147"/>
        <v>0</v>
      </c>
      <c r="BR103" s="2526">
        <f t="shared" si="147"/>
        <v>0</v>
      </c>
      <c r="BS103" s="2526">
        <f>SUM(BS96:BS98)</f>
        <v>0</v>
      </c>
      <c r="BT103" s="2527">
        <f>SUMIF($AQ$115:$BS$115,"1",$AQ103:$BS103)</f>
        <v>0</v>
      </c>
      <c r="BU103" s="2198"/>
      <c r="BV103" s="2198"/>
      <c r="BW103" s="2527">
        <f>SUMIF($AQ$115:$BS$115,"1",$AQ103:$BS103)+SUMIF($AQ$115:$BS$115,"2",$AQ103:$BS103)</f>
        <v>0</v>
      </c>
      <c r="BX103" s="2189"/>
      <c r="BY103" s="2189"/>
      <c r="BZ103" s="2189"/>
      <c r="CA103" s="2525">
        <f t="shared" si="132"/>
        <v>0</v>
      </c>
      <c r="CB103" s="2526">
        <f t="shared" si="132"/>
        <v>0</v>
      </c>
      <c r="CC103" s="2526">
        <f t="shared" si="132"/>
        <v>0</v>
      </c>
      <c r="CD103" s="2526">
        <f t="shared" si="132"/>
        <v>0</v>
      </c>
      <c r="CE103" s="2526">
        <f t="shared" si="132"/>
        <v>0</v>
      </c>
      <c r="CF103" s="2526">
        <f t="shared" si="132"/>
        <v>0</v>
      </c>
      <c r="CG103" s="2526">
        <f t="shared" si="132"/>
        <v>0</v>
      </c>
      <c r="CH103" s="2526">
        <f t="shared" si="132"/>
        <v>0</v>
      </c>
      <c r="CI103" s="2526">
        <f t="shared" si="132"/>
        <v>0</v>
      </c>
      <c r="CJ103" s="2526">
        <f t="shared" si="132"/>
        <v>0</v>
      </c>
      <c r="CK103" s="2526">
        <f t="shared" si="132"/>
        <v>0</v>
      </c>
      <c r="CL103" s="2526">
        <f t="shared" si="132"/>
        <v>0</v>
      </c>
      <c r="CM103" s="2526">
        <f t="shared" si="132"/>
        <v>0</v>
      </c>
      <c r="CN103" s="2526">
        <f t="shared" si="132"/>
        <v>0</v>
      </c>
      <c r="CO103" s="2526">
        <f t="shared" si="132"/>
        <v>0</v>
      </c>
      <c r="CP103" s="2526">
        <f t="shared" si="132"/>
        <v>0</v>
      </c>
      <c r="CQ103" s="2526">
        <f t="shared" si="133"/>
        <v>0</v>
      </c>
      <c r="CR103" s="2526">
        <f t="shared" si="133"/>
        <v>0</v>
      </c>
      <c r="CS103" s="2526">
        <f t="shared" si="133"/>
        <v>0</v>
      </c>
      <c r="CT103" s="2526">
        <f t="shared" si="133"/>
        <v>0</v>
      </c>
      <c r="CU103" s="2526">
        <f t="shared" si="133"/>
        <v>0</v>
      </c>
      <c r="CV103" s="2526">
        <f t="shared" si="133"/>
        <v>0</v>
      </c>
      <c r="CW103" s="2526">
        <f t="shared" si="133"/>
        <v>0</v>
      </c>
      <c r="CX103" s="2526">
        <f t="shared" si="133"/>
        <v>0</v>
      </c>
      <c r="CY103" s="2526">
        <f t="shared" si="133"/>
        <v>0</v>
      </c>
      <c r="CZ103" s="2526">
        <f t="shared" si="133"/>
        <v>0</v>
      </c>
      <c r="DA103" s="2526">
        <f t="shared" si="133"/>
        <v>0</v>
      </c>
      <c r="DB103" s="2526">
        <f t="shared" si="133"/>
        <v>0</v>
      </c>
      <c r="DC103" s="2526">
        <f t="shared" si="133"/>
        <v>0</v>
      </c>
      <c r="DD103" s="2527">
        <f>AJ103-BT103</f>
        <v>0</v>
      </c>
      <c r="DE103" s="2189"/>
      <c r="DF103" s="2527">
        <f>AM103-BW103</f>
        <v>0</v>
      </c>
      <c r="DG103" s="2189"/>
    </row>
    <row r="104" spans="1:111" s="2196" customFormat="1" ht="18" outlineLevel="2" x14ac:dyDescent="0.35">
      <c r="A104" s="2189"/>
      <c r="B104" s="2561" t="s">
        <v>1655</v>
      </c>
      <c r="C104" s="2562"/>
      <c r="D104" s="2562"/>
      <c r="E104" s="2562"/>
      <c r="F104" s="2616"/>
      <c r="G104" s="2564">
        <v>0</v>
      </c>
      <c r="H104" s="2564">
        <v>0</v>
      </c>
      <c r="I104" s="2564">
        <v>0</v>
      </c>
      <c r="J104" s="2564">
        <v>0</v>
      </c>
      <c r="K104" s="2564">
        <v>0</v>
      </c>
      <c r="L104" s="2564">
        <v>0</v>
      </c>
      <c r="M104" s="2564">
        <v>0</v>
      </c>
      <c r="N104" s="2564">
        <v>0</v>
      </c>
      <c r="O104" s="2564">
        <v>0</v>
      </c>
      <c r="P104" s="2564">
        <v>0</v>
      </c>
      <c r="Q104" s="2564">
        <v>0</v>
      </c>
      <c r="R104" s="2564">
        <v>0</v>
      </c>
      <c r="S104" s="2564">
        <v>0</v>
      </c>
      <c r="T104" s="2564">
        <v>0</v>
      </c>
      <c r="U104" s="2564">
        <v>0</v>
      </c>
      <c r="V104" s="2564">
        <v>0</v>
      </c>
      <c r="W104" s="2564">
        <v>0</v>
      </c>
      <c r="X104" s="2564">
        <v>0</v>
      </c>
      <c r="Y104" s="2564">
        <v>0</v>
      </c>
      <c r="Z104" s="2564">
        <v>0</v>
      </c>
      <c r="AA104" s="2564">
        <v>0</v>
      </c>
      <c r="AB104" s="2564">
        <v>0</v>
      </c>
      <c r="AC104" s="2564">
        <v>0</v>
      </c>
      <c r="AD104" s="2564">
        <v>0</v>
      </c>
      <c r="AE104" s="2564">
        <v>0</v>
      </c>
      <c r="AF104" s="2564">
        <v>0</v>
      </c>
      <c r="AG104" s="2564">
        <v>0</v>
      </c>
      <c r="AH104" s="2564">
        <v>0</v>
      </c>
      <c r="AI104" s="2564">
        <v>0</v>
      </c>
      <c r="AJ104" s="2565"/>
      <c r="AK104" s="2542"/>
      <c r="AL104" s="2287"/>
      <c r="AM104" s="2565"/>
      <c r="AN104" s="2566"/>
      <c r="AO104" s="1887"/>
      <c r="AP104" s="1887"/>
      <c r="AQ104" s="2563">
        <v>0</v>
      </c>
      <c r="AR104" s="2564">
        <v>0</v>
      </c>
      <c r="AS104" s="2564">
        <v>0</v>
      </c>
      <c r="AT104" s="2564">
        <v>0</v>
      </c>
      <c r="AU104" s="2564">
        <v>0</v>
      </c>
      <c r="AV104" s="2564">
        <v>0</v>
      </c>
      <c r="AW104" s="2564">
        <v>0</v>
      </c>
      <c r="AX104" s="2564">
        <v>0</v>
      </c>
      <c r="AY104" s="2564">
        <v>0</v>
      </c>
      <c r="AZ104" s="2564">
        <v>0</v>
      </c>
      <c r="BA104" s="2564">
        <v>0</v>
      </c>
      <c r="BB104" s="2564">
        <v>0</v>
      </c>
      <c r="BC104" s="2564">
        <v>0</v>
      </c>
      <c r="BD104" s="2564">
        <v>0</v>
      </c>
      <c r="BE104" s="2564">
        <v>0</v>
      </c>
      <c r="BF104" s="2564">
        <v>0</v>
      </c>
      <c r="BG104" s="2564">
        <v>0</v>
      </c>
      <c r="BH104" s="2564">
        <v>0</v>
      </c>
      <c r="BI104" s="2564">
        <v>0</v>
      </c>
      <c r="BJ104" s="2564">
        <v>0</v>
      </c>
      <c r="BK104" s="2564">
        <v>0</v>
      </c>
      <c r="BL104" s="2564">
        <v>0</v>
      </c>
      <c r="BM104" s="2564">
        <v>0</v>
      </c>
      <c r="BN104" s="2564">
        <v>0</v>
      </c>
      <c r="BO104" s="2564">
        <v>0</v>
      </c>
      <c r="BP104" s="2564">
        <v>0</v>
      </c>
      <c r="BQ104" s="2564">
        <v>0</v>
      </c>
      <c r="BR104" s="2564">
        <v>0</v>
      </c>
      <c r="BS104" s="2564">
        <v>0</v>
      </c>
      <c r="BT104" s="2565"/>
      <c r="BU104" s="2198"/>
      <c r="BV104" s="2198"/>
      <c r="BW104" s="2565"/>
      <c r="BX104" s="2189"/>
      <c r="BY104" s="2189"/>
      <c r="BZ104" s="2189"/>
      <c r="CA104" s="2567">
        <f t="shared" si="132"/>
        <v>0</v>
      </c>
      <c r="CB104" s="2568">
        <f t="shared" si="132"/>
        <v>0</v>
      </c>
      <c r="CC104" s="2568">
        <f t="shared" si="132"/>
        <v>0</v>
      </c>
      <c r="CD104" s="2568">
        <f t="shared" si="132"/>
        <v>0</v>
      </c>
      <c r="CE104" s="2568">
        <f t="shared" si="132"/>
        <v>0</v>
      </c>
      <c r="CF104" s="2568">
        <f t="shared" si="132"/>
        <v>0</v>
      </c>
      <c r="CG104" s="2568">
        <f t="shared" si="132"/>
        <v>0</v>
      </c>
      <c r="CH104" s="2568">
        <f t="shared" si="132"/>
        <v>0</v>
      </c>
      <c r="CI104" s="2568">
        <f t="shared" si="132"/>
        <v>0</v>
      </c>
      <c r="CJ104" s="2568">
        <f t="shared" si="132"/>
        <v>0</v>
      </c>
      <c r="CK104" s="2568">
        <f t="shared" si="132"/>
        <v>0</v>
      </c>
      <c r="CL104" s="2568">
        <f t="shared" si="132"/>
        <v>0</v>
      </c>
      <c r="CM104" s="2568">
        <f t="shared" si="132"/>
        <v>0</v>
      </c>
      <c r="CN104" s="2568">
        <f t="shared" si="132"/>
        <v>0</v>
      </c>
      <c r="CO104" s="2568">
        <f t="shared" si="132"/>
        <v>0</v>
      </c>
      <c r="CP104" s="2568">
        <f t="shared" si="132"/>
        <v>0</v>
      </c>
      <c r="CQ104" s="2568">
        <f t="shared" si="133"/>
        <v>0</v>
      </c>
      <c r="CR104" s="2568">
        <f t="shared" si="133"/>
        <v>0</v>
      </c>
      <c r="CS104" s="2568">
        <f t="shared" si="133"/>
        <v>0</v>
      </c>
      <c r="CT104" s="2568">
        <f t="shared" si="133"/>
        <v>0</v>
      </c>
      <c r="CU104" s="2568">
        <f t="shared" si="133"/>
        <v>0</v>
      </c>
      <c r="CV104" s="2568">
        <f t="shared" si="133"/>
        <v>0</v>
      </c>
      <c r="CW104" s="2568">
        <f t="shared" si="133"/>
        <v>0</v>
      </c>
      <c r="CX104" s="2568">
        <f t="shared" si="133"/>
        <v>0</v>
      </c>
      <c r="CY104" s="2568">
        <f t="shared" si="133"/>
        <v>0</v>
      </c>
      <c r="CZ104" s="2568">
        <f t="shared" si="133"/>
        <v>0</v>
      </c>
      <c r="DA104" s="2568">
        <f t="shared" si="133"/>
        <v>0</v>
      </c>
      <c r="DB104" s="2568">
        <f t="shared" si="133"/>
        <v>0</v>
      </c>
      <c r="DC104" s="2568">
        <f t="shared" si="133"/>
        <v>0</v>
      </c>
      <c r="DD104" s="2565"/>
      <c r="DE104" s="2189"/>
      <c r="DF104" s="2565"/>
      <c r="DG104" s="2189"/>
    </row>
    <row r="105" spans="1:111" s="2196" customFormat="1" ht="18" outlineLevel="2" x14ac:dyDescent="0.35">
      <c r="A105" s="2189"/>
      <c r="B105" s="2569" t="s">
        <v>1656</v>
      </c>
      <c r="C105" s="2570"/>
      <c r="D105" s="2570"/>
      <c r="E105" s="2570"/>
      <c r="F105" s="2617"/>
      <c r="G105" s="2572">
        <f t="shared" ref="G105:AI105" si="148">IF(G104=0,0,G96-G104)</f>
        <v>0</v>
      </c>
      <c r="H105" s="2572">
        <f t="shared" si="148"/>
        <v>0</v>
      </c>
      <c r="I105" s="2572">
        <f t="shared" si="148"/>
        <v>0</v>
      </c>
      <c r="J105" s="2572">
        <f t="shared" si="148"/>
        <v>0</v>
      </c>
      <c r="K105" s="2572">
        <f t="shared" si="148"/>
        <v>0</v>
      </c>
      <c r="L105" s="2572">
        <f t="shared" si="148"/>
        <v>0</v>
      </c>
      <c r="M105" s="2572">
        <f t="shared" si="148"/>
        <v>0</v>
      </c>
      <c r="N105" s="2572">
        <f t="shared" si="148"/>
        <v>0</v>
      </c>
      <c r="O105" s="2572">
        <f t="shared" si="148"/>
        <v>0</v>
      </c>
      <c r="P105" s="2572">
        <f t="shared" si="148"/>
        <v>0</v>
      </c>
      <c r="Q105" s="2572">
        <f t="shared" si="148"/>
        <v>0</v>
      </c>
      <c r="R105" s="2572">
        <f t="shared" si="148"/>
        <v>0</v>
      </c>
      <c r="S105" s="2572">
        <f t="shared" si="148"/>
        <v>0</v>
      </c>
      <c r="T105" s="2572">
        <f t="shared" si="148"/>
        <v>0</v>
      </c>
      <c r="U105" s="2572">
        <f t="shared" si="148"/>
        <v>0</v>
      </c>
      <c r="V105" s="2572">
        <f t="shared" si="148"/>
        <v>0</v>
      </c>
      <c r="W105" s="2572">
        <f t="shared" si="148"/>
        <v>0</v>
      </c>
      <c r="X105" s="2572">
        <f t="shared" si="148"/>
        <v>0</v>
      </c>
      <c r="Y105" s="2572">
        <f t="shared" si="148"/>
        <v>0</v>
      </c>
      <c r="Z105" s="2572">
        <f t="shared" si="148"/>
        <v>0</v>
      </c>
      <c r="AA105" s="2572">
        <f t="shared" si="148"/>
        <v>0</v>
      </c>
      <c r="AB105" s="2572">
        <f t="shared" si="148"/>
        <v>0</v>
      </c>
      <c r="AC105" s="2572">
        <f t="shared" si="148"/>
        <v>0</v>
      </c>
      <c r="AD105" s="2572">
        <f t="shared" si="148"/>
        <v>0</v>
      </c>
      <c r="AE105" s="2572">
        <f t="shared" si="148"/>
        <v>0</v>
      </c>
      <c r="AF105" s="2572">
        <f t="shared" si="148"/>
        <v>0</v>
      </c>
      <c r="AG105" s="2572">
        <f t="shared" si="148"/>
        <v>0</v>
      </c>
      <c r="AH105" s="2572">
        <f t="shared" si="148"/>
        <v>0</v>
      </c>
      <c r="AI105" s="2572">
        <f t="shared" si="148"/>
        <v>0</v>
      </c>
      <c r="AJ105" s="2573"/>
      <c r="AK105" s="2542"/>
      <c r="AL105" s="2287"/>
      <c r="AM105" s="2573"/>
      <c r="AN105" s="2529"/>
      <c r="AO105" s="1887"/>
      <c r="AP105" s="1887"/>
      <c r="AQ105" s="2571">
        <f t="shared" ref="AQ105:BS105" si="149">IF(AQ104=0,0,AQ96-AQ104)</f>
        <v>0</v>
      </c>
      <c r="AR105" s="2572">
        <f t="shared" si="149"/>
        <v>0</v>
      </c>
      <c r="AS105" s="2572">
        <f t="shared" si="149"/>
        <v>0</v>
      </c>
      <c r="AT105" s="2572">
        <f t="shared" si="149"/>
        <v>0</v>
      </c>
      <c r="AU105" s="2572">
        <f t="shared" si="149"/>
        <v>0</v>
      </c>
      <c r="AV105" s="2572">
        <f t="shared" si="149"/>
        <v>0</v>
      </c>
      <c r="AW105" s="2572">
        <f t="shared" si="149"/>
        <v>0</v>
      </c>
      <c r="AX105" s="2572">
        <f t="shared" si="149"/>
        <v>0</v>
      </c>
      <c r="AY105" s="2572">
        <f t="shared" si="149"/>
        <v>0</v>
      </c>
      <c r="AZ105" s="2572">
        <f t="shared" si="149"/>
        <v>0</v>
      </c>
      <c r="BA105" s="2572">
        <f t="shared" si="149"/>
        <v>0</v>
      </c>
      <c r="BB105" s="2572">
        <f t="shared" si="149"/>
        <v>0</v>
      </c>
      <c r="BC105" s="2572">
        <f t="shared" si="149"/>
        <v>0</v>
      </c>
      <c r="BD105" s="2572">
        <f t="shared" si="149"/>
        <v>0</v>
      </c>
      <c r="BE105" s="2572">
        <f t="shared" si="149"/>
        <v>0</v>
      </c>
      <c r="BF105" s="2572">
        <f t="shared" si="149"/>
        <v>0</v>
      </c>
      <c r="BG105" s="2572">
        <f t="shared" si="149"/>
        <v>0</v>
      </c>
      <c r="BH105" s="2572">
        <f t="shared" si="149"/>
        <v>0</v>
      </c>
      <c r="BI105" s="2572">
        <f t="shared" si="149"/>
        <v>0</v>
      </c>
      <c r="BJ105" s="2572">
        <f t="shared" si="149"/>
        <v>0</v>
      </c>
      <c r="BK105" s="2572">
        <f t="shared" si="149"/>
        <v>0</v>
      </c>
      <c r="BL105" s="2572">
        <f t="shared" si="149"/>
        <v>0</v>
      </c>
      <c r="BM105" s="2572">
        <f t="shared" si="149"/>
        <v>0</v>
      </c>
      <c r="BN105" s="2572">
        <f t="shared" si="149"/>
        <v>0</v>
      </c>
      <c r="BO105" s="2572">
        <f t="shared" si="149"/>
        <v>0</v>
      </c>
      <c r="BP105" s="2572">
        <f t="shared" si="149"/>
        <v>0</v>
      </c>
      <c r="BQ105" s="2572">
        <f t="shared" si="149"/>
        <v>0</v>
      </c>
      <c r="BR105" s="2572">
        <f t="shared" si="149"/>
        <v>0</v>
      </c>
      <c r="BS105" s="2572">
        <f t="shared" si="149"/>
        <v>0</v>
      </c>
      <c r="BT105" s="2574"/>
      <c r="BU105" s="2198"/>
      <c r="BV105" s="2198"/>
      <c r="BW105" s="2574"/>
      <c r="BX105" s="2189"/>
      <c r="BY105" s="2189"/>
      <c r="BZ105" s="2189"/>
      <c r="CA105" s="2571">
        <f t="shared" si="132"/>
        <v>0</v>
      </c>
      <c r="CB105" s="2572">
        <f t="shared" si="132"/>
        <v>0</v>
      </c>
      <c r="CC105" s="2572">
        <f t="shared" si="132"/>
        <v>0</v>
      </c>
      <c r="CD105" s="2572">
        <f t="shared" si="132"/>
        <v>0</v>
      </c>
      <c r="CE105" s="2572">
        <f t="shared" si="132"/>
        <v>0</v>
      </c>
      <c r="CF105" s="2572">
        <f t="shared" si="132"/>
        <v>0</v>
      </c>
      <c r="CG105" s="2572">
        <f t="shared" si="132"/>
        <v>0</v>
      </c>
      <c r="CH105" s="2572">
        <f t="shared" si="132"/>
        <v>0</v>
      </c>
      <c r="CI105" s="2572">
        <f t="shared" si="132"/>
        <v>0</v>
      </c>
      <c r="CJ105" s="2572">
        <f t="shared" si="132"/>
        <v>0</v>
      </c>
      <c r="CK105" s="2572">
        <f t="shared" si="132"/>
        <v>0</v>
      </c>
      <c r="CL105" s="2572">
        <f t="shared" si="132"/>
        <v>0</v>
      </c>
      <c r="CM105" s="2572">
        <f t="shared" si="132"/>
        <v>0</v>
      </c>
      <c r="CN105" s="2572">
        <f t="shared" si="132"/>
        <v>0</v>
      </c>
      <c r="CO105" s="2572">
        <f t="shared" si="132"/>
        <v>0</v>
      </c>
      <c r="CP105" s="2572">
        <f t="shared" si="132"/>
        <v>0</v>
      </c>
      <c r="CQ105" s="2572">
        <f t="shared" si="133"/>
        <v>0</v>
      </c>
      <c r="CR105" s="2572">
        <f t="shared" si="133"/>
        <v>0</v>
      </c>
      <c r="CS105" s="2572">
        <f t="shared" si="133"/>
        <v>0</v>
      </c>
      <c r="CT105" s="2572">
        <f t="shared" si="133"/>
        <v>0</v>
      </c>
      <c r="CU105" s="2572">
        <f t="shared" si="133"/>
        <v>0</v>
      </c>
      <c r="CV105" s="2572">
        <f t="shared" si="133"/>
        <v>0</v>
      </c>
      <c r="CW105" s="2572">
        <f t="shared" si="133"/>
        <v>0</v>
      </c>
      <c r="CX105" s="2572">
        <f t="shared" si="133"/>
        <v>0</v>
      </c>
      <c r="CY105" s="2572">
        <f t="shared" si="133"/>
        <v>0</v>
      </c>
      <c r="CZ105" s="2572">
        <f t="shared" si="133"/>
        <v>0</v>
      </c>
      <c r="DA105" s="2572">
        <f t="shared" si="133"/>
        <v>0</v>
      </c>
      <c r="DB105" s="2572">
        <f t="shared" si="133"/>
        <v>0</v>
      </c>
      <c r="DC105" s="2572">
        <f t="shared" si="133"/>
        <v>0</v>
      </c>
      <c r="DD105" s="2574"/>
      <c r="DE105" s="2189"/>
      <c r="DF105" s="2574"/>
      <c r="DG105" s="2189"/>
    </row>
    <row r="106" spans="1:111" s="2196" customFormat="1" ht="15.6" outlineLevel="2" x14ac:dyDescent="0.3">
      <c r="A106" s="2189"/>
      <c r="B106" s="2575" t="s">
        <v>1582</v>
      </c>
      <c r="C106" s="1344"/>
      <c r="D106" s="1344"/>
      <c r="E106" s="1344"/>
      <c r="F106" s="2618"/>
      <c r="G106" s="2578">
        <v>0</v>
      </c>
      <c r="H106" s="2578">
        <v>0</v>
      </c>
      <c r="I106" s="2578">
        <v>0</v>
      </c>
      <c r="J106" s="2578">
        <v>0</v>
      </c>
      <c r="K106" s="2578">
        <v>0</v>
      </c>
      <c r="L106" s="2578">
        <v>0</v>
      </c>
      <c r="M106" s="2578">
        <v>0</v>
      </c>
      <c r="N106" s="2578">
        <v>0</v>
      </c>
      <c r="O106" s="2578">
        <v>0</v>
      </c>
      <c r="P106" s="2578">
        <v>0</v>
      </c>
      <c r="Q106" s="2578">
        <v>0</v>
      </c>
      <c r="R106" s="2578">
        <v>0</v>
      </c>
      <c r="S106" s="2578">
        <v>0</v>
      </c>
      <c r="T106" s="2578">
        <v>0</v>
      </c>
      <c r="U106" s="2578">
        <v>0</v>
      </c>
      <c r="V106" s="2578">
        <v>0</v>
      </c>
      <c r="W106" s="2578">
        <v>0</v>
      </c>
      <c r="X106" s="2578">
        <v>0</v>
      </c>
      <c r="Y106" s="2578">
        <v>0</v>
      </c>
      <c r="Z106" s="2578">
        <v>0</v>
      </c>
      <c r="AA106" s="2578">
        <v>0</v>
      </c>
      <c r="AB106" s="2578">
        <v>0</v>
      </c>
      <c r="AC106" s="2578">
        <v>0</v>
      </c>
      <c r="AD106" s="2578">
        <v>0</v>
      </c>
      <c r="AE106" s="2578">
        <v>0</v>
      </c>
      <c r="AF106" s="2578">
        <v>0</v>
      </c>
      <c r="AG106" s="2578">
        <v>0</v>
      </c>
      <c r="AH106" s="2578">
        <v>0</v>
      </c>
      <c r="AI106" s="2578">
        <v>0</v>
      </c>
      <c r="AJ106" s="2579"/>
      <c r="AK106" s="2580"/>
      <c r="AL106" s="2198"/>
      <c r="AM106" s="2579"/>
      <c r="AN106" s="2581"/>
      <c r="AO106" s="2189"/>
      <c r="AP106" s="2189"/>
      <c r="AQ106" s="2577">
        <v>0</v>
      </c>
      <c r="AR106" s="2578">
        <v>0</v>
      </c>
      <c r="AS106" s="2578">
        <v>0</v>
      </c>
      <c r="AT106" s="2578">
        <v>0</v>
      </c>
      <c r="AU106" s="2578">
        <v>0</v>
      </c>
      <c r="AV106" s="2578">
        <v>0</v>
      </c>
      <c r="AW106" s="2578">
        <v>0</v>
      </c>
      <c r="AX106" s="2578">
        <v>0</v>
      </c>
      <c r="AY106" s="2578">
        <v>0</v>
      </c>
      <c r="AZ106" s="2578">
        <v>0</v>
      </c>
      <c r="BA106" s="2578">
        <v>0</v>
      </c>
      <c r="BB106" s="2578">
        <v>0</v>
      </c>
      <c r="BC106" s="2578">
        <v>0</v>
      </c>
      <c r="BD106" s="2578">
        <v>0</v>
      </c>
      <c r="BE106" s="2578">
        <v>0</v>
      </c>
      <c r="BF106" s="2578">
        <v>0</v>
      </c>
      <c r="BG106" s="2578">
        <v>0</v>
      </c>
      <c r="BH106" s="2578">
        <v>0</v>
      </c>
      <c r="BI106" s="2578">
        <v>0</v>
      </c>
      <c r="BJ106" s="2578">
        <v>0</v>
      </c>
      <c r="BK106" s="2578">
        <v>0</v>
      </c>
      <c r="BL106" s="2578">
        <v>0</v>
      </c>
      <c r="BM106" s="2578">
        <v>0</v>
      </c>
      <c r="BN106" s="2578">
        <v>0</v>
      </c>
      <c r="BO106" s="2578">
        <v>0</v>
      </c>
      <c r="BP106" s="2578">
        <v>0</v>
      </c>
      <c r="BQ106" s="2578">
        <v>0</v>
      </c>
      <c r="BR106" s="2578">
        <v>0</v>
      </c>
      <c r="BS106" s="2578">
        <v>0</v>
      </c>
      <c r="BT106" s="2579"/>
      <c r="BU106" s="2198"/>
      <c r="BV106" s="2198"/>
      <c r="BW106" s="2579"/>
      <c r="BX106" s="2189"/>
      <c r="BY106" s="2189"/>
      <c r="BZ106" s="2189"/>
      <c r="CA106" s="2582">
        <f t="shared" si="132"/>
        <v>0</v>
      </c>
      <c r="CB106" s="2583">
        <f t="shared" si="132"/>
        <v>0</v>
      </c>
      <c r="CC106" s="2583">
        <f t="shared" si="132"/>
        <v>0</v>
      </c>
      <c r="CD106" s="2583">
        <f t="shared" si="132"/>
        <v>0</v>
      </c>
      <c r="CE106" s="2583">
        <f t="shared" si="132"/>
        <v>0</v>
      </c>
      <c r="CF106" s="2583">
        <f t="shared" si="132"/>
        <v>0</v>
      </c>
      <c r="CG106" s="2583">
        <f t="shared" si="132"/>
        <v>0</v>
      </c>
      <c r="CH106" s="2583">
        <f t="shared" si="132"/>
        <v>0</v>
      </c>
      <c r="CI106" s="2583">
        <f t="shared" si="132"/>
        <v>0</v>
      </c>
      <c r="CJ106" s="2583">
        <f t="shared" si="132"/>
        <v>0</v>
      </c>
      <c r="CK106" s="2583">
        <f t="shared" si="132"/>
        <v>0</v>
      </c>
      <c r="CL106" s="2583">
        <f t="shared" si="132"/>
        <v>0</v>
      </c>
      <c r="CM106" s="2583">
        <f t="shared" si="132"/>
        <v>0</v>
      </c>
      <c r="CN106" s="2583">
        <f t="shared" si="132"/>
        <v>0</v>
      </c>
      <c r="CO106" s="2583">
        <f t="shared" si="132"/>
        <v>0</v>
      </c>
      <c r="CP106" s="2583">
        <f t="shared" si="132"/>
        <v>0</v>
      </c>
      <c r="CQ106" s="2583">
        <f t="shared" si="133"/>
        <v>0</v>
      </c>
      <c r="CR106" s="2583">
        <f t="shared" si="133"/>
        <v>0</v>
      </c>
      <c r="CS106" s="2583">
        <f t="shared" si="133"/>
        <v>0</v>
      </c>
      <c r="CT106" s="2583">
        <f t="shared" si="133"/>
        <v>0</v>
      </c>
      <c r="CU106" s="2583">
        <f t="shared" si="133"/>
        <v>0</v>
      </c>
      <c r="CV106" s="2583">
        <f t="shared" si="133"/>
        <v>0</v>
      </c>
      <c r="CW106" s="2583">
        <f t="shared" si="133"/>
        <v>0</v>
      </c>
      <c r="CX106" s="2583">
        <f t="shared" si="133"/>
        <v>0</v>
      </c>
      <c r="CY106" s="2583">
        <f t="shared" si="133"/>
        <v>0</v>
      </c>
      <c r="CZ106" s="2583">
        <f t="shared" si="133"/>
        <v>0</v>
      </c>
      <c r="DA106" s="2583">
        <f t="shared" si="133"/>
        <v>0</v>
      </c>
      <c r="DB106" s="2583">
        <f t="shared" si="133"/>
        <v>0</v>
      </c>
      <c r="DC106" s="2583">
        <f t="shared" si="133"/>
        <v>0</v>
      </c>
      <c r="DD106" s="2579"/>
      <c r="DE106" s="2189"/>
      <c r="DF106" s="2579"/>
      <c r="DG106" s="2189"/>
    </row>
    <row r="107" spans="1:111" s="2196" customFormat="1" ht="15.6" outlineLevel="2" x14ac:dyDescent="0.3">
      <c r="A107" s="2189"/>
      <c r="B107" s="2575" t="s">
        <v>1583</v>
      </c>
      <c r="C107" s="1344"/>
      <c r="D107" s="1344"/>
      <c r="E107" s="1344"/>
      <c r="F107" s="2618"/>
      <c r="G107" s="2578">
        <v>0</v>
      </c>
      <c r="H107" s="2578">
        <v>0</v>
      </c>
      <c r="I107" s="2578">
        <v>0</v>
      </c>
      <c r="J107" s="2578">
        <v>0</v>
      </c>
      <c r="K107" s="2578">
        <v>0</v>
      </c>
      <c r="L107" s="2578">
        <v>0</v>
      </c>
      <c r="M107" s="2578">
        <v>0</v>
      </c>
      <c r="N107" s="2578">
        <v>0</v>
      </c>
      <c r="O107" s="2578">
        <v>0</v>
      </c>
      <c r="P107" s="2578">
        <v>0</v>
      </c>
      <c r="Q107" s="2578">
        <v>0</v>
      </c>
      <c r="R107" s="2578">
        <v>0</v>
      </c>
      <c r="S107" s="2578">
        <v>0</v>
      </c>
      <c r="T107" s="2578">
        <v>0</v>
      </c>
      <c r="U107" s="2578">
        <v>0</v>
      </c>
      <c r="V107" s="2578">
        <v>0</v>
      </c>
      <c r="W107" s="2578">
        <v>0</v>
      </c>
      <c r="X107" s="2578">
        <v>0</v>
      </c>
      <c r="Y107" s="2578">
        <v>0</v>
      </c>
      <c r="Z107" s="2578">
        <v>0</v>
      </c>
      <c r="AA107" s="2578">
        <v>0</v>
      </c>
      <c r="AB107" s="2578">
        <v>0</v>
      </c>
      <c r="AC107" s="2578">
        <v>0</v>
      </c>
      <c r="AD107" s="2578">
        <v>0</v>
      </c>
      <c r="AE107" s="2578">
        <v>0</v>
      </c>
      <c r="AF107" s="2578">
        <v>0</v>
      </c>
      <c r="AG107" s="2578">
        <v>0</v>
      </c>
      <c r="AH107" s="2578">
        <v>0</v>
      </c>
      <c r="AI107" s="2578">
        <v>0</v>
      </c>
      <c r="AJ107" s="2579"/>
      <c r="AK107" s="2580"/>
      <c r="AL107" s="2198"/>
      <c r="AM107" s="2579"/>
      <c r="AN107" s="2581"/>
      <c r="AO107" s="2189"/>
      <c r="AP107" s="2189"/>
      <c r="AQ107" s="2577">
        <v>0</v>
      </c>
      <c r="AR107" s="2578">
        <v>0</v>
      </c>
      <c r="AS107" s="2578">
        <v>0</v>
      </c>
      <c r="AT107" s="2578">
        <v>0</v>
      </c>
      <c r="AU107" s="2578">
        <v>0</v>
      </c>
      <c r="AV107" s="2578">
        <v>0</v>
      </c>
      <c r="AW107" s="2578">
        <v>0</v>
      </c>
      <c r="AX107" s="2578">
        <v>0</v>
      </c>
      <c r="AY107" s="2578">
        <v>0</v>
      </c>
      <c r="AZ107" s="2578">
        <v>0</v>
      </c>
      <c r="BA107" s="2578">
        <v>0</v>
      </c>
      <c r="BB107" s="2578">
        <v>0</v>
      </c>
      <c r="BC107" s="2578">
        <v>0</v>
      </c>
      <c r="BD107" s="2578">
        <v>0</v>
      </c>
      <c r="BE107" s="2578">
        <v>0</v>
      </c>
      <c r="BF107" s="2578">
        <v>0</v>
      </c>
      <c r="BG107" s="2578">
        <v>0</v>
      </c>
      <c r="BH107" s="2578">
        <v>0</v>
      </c>
      <c r="BI107" s="2578">
        <v>0</v>
      </c>
      <c r="BJ107" s="2578">
        <v>0</v>
      </c>
      <c r="BK107" s="2578">
        <v>0</v>
      </c>
      <c r="BL107" s="2578">
        <v>0</v>
      </c>
      <c r="BM107" s="2578">
        <v>0</v>
      </c>
      <c r="BN107" s="2578">
        <v>0</v>
      </c>
      <c r="BO107" s="2578">
        <v>0</v>
      </c>
      <c r="BP107" s="2578">
        <v>0</v>
      </c>
      <c r="BQ107" s="2578">
        <v>0</v>
      </c>
      <c r="BR107" s="2578">
        <v>0</v>
      </c>
      <c r="BS107" s="2578">
        <v>0</v>
      </c>
      <c r="BT107" s="2579"/>
      <c r="BU107" s="2198"/>
      <c r="BV107" s="2198"/>
      <c r="BW107" s="2579"/>
      <c r="BX107" s="2189"/>
      <c r="BY107" s="2189"/>
      <c r="BZ107" s="2189"/>
      <c r="CA107" s="2582">
        <f t="shared" si="132"/>
        <v>0</v>
      </c>
      <c r="CB107" s="2583">
        <f t="shared" si="132"/>
        <v>0</v>
      </c>
      <c r="CC107" s="2583">
        <f t="shared" si="132"/>
        <v>0</v>
      </c>
      <c r="CD107" s="2583">
        <f t="shared" si="132"/>
        <v>0</v>
      </c>
      <c r="CE107" s="2583">
        <f t="shared" si="132"/>
        <v>0</v>
      </c>
      <c r="CF107" s="2583">
        <f t="shared" si="132"/>
        <v>0</v>
      </c>
      <c r="CG107" s="2583">
        <f t="shared" si="132"/>
        <v>0</v>
      </c>
      <c r="CH107" s="2583">
        <f t="shared" si="132"/>
        <v>0</v>
      </c>
      <c r="CI107" s="2583">
        <f t="shared" si="132"/>
        <v>0</v>
      </c>
      <c r="CJ107" s="2583">
        <f t="shared" si="132"/>
        <v>0</v>
      </c>
      <c r="CK107" s="2583">
        <f t="shared" si="132"/>
        <v>0</v>
      </c>
      <c r="CL107" s="2583">
        <f t="shared" si="132"/>
        <v>0</v>
      </c>
      <c r="CM107" s="2583">
        <f t="shared" si="132"/>
        <v>0</v>
      </c>
      <c r="CN107" s="2583">
        <f t="shared" si="132"/>
        <v>0</v>
      </c>
      <c r="CO107" s="2583">
        <f t="shared" si="132"/>
        <v>0</v>
      </c>
      <c r="CP107" s="2583">
        <f t="shared" si="132"/>
        <v>0</v>
      </c>
      <c r="CQ107" s="2583">
        <f t="shared" si="133"/>
        <v>0</v>
      </c>
      <c r="CR107" s="2583">
        <f t="shared" si="133"/>
        <v>0</v>
      </c>
      <c r="CS107" s="2583">
        <f t="shared" si="133"/>
        <v>0</v>
      </c>
      <c r="CT107" s="2583">
        <f t="shared" si="133"/>
        <v>0</v>
      </c>
      <c r="CU107" s="2583">
        <f t="shared" si="133"/>
        <v>0</v>
      </c>
      <c r="CV107" s="2583">
        <f t="shared" si="133"/>
        <v>0</v>
      </c>
      <c r="CW107" s="2583">
        <f t="shared" si="133"/>
        <v>0</v>
      </c>
      <c r="CX107" s="2583">
        <f t="shared" si="133"/>
        <v>0</v>
      </c>
      <c r="CY107" s="2583">
        <f t="shared" si="133"/>
        <v>0</v>
      </c>
      <c r="CZ107" s="2583">
        <f t="shared" si="133"/>
        <v>0</v>
      </c>
      <c r="DA107" s="2583">
        <f t="shared" si="133"/>
        <v>0</v>
      </c>
      <c r="DB107" s="2583">
        <f t="shared" si="133"/>
        <v>0</v>
      </c>
      <c r="DC107" s="2583">
        <f t="shared" si="133"/>
        <v>0</v>
      </c>
      <c r="DD107" s="2579"/>
      <c r="DE107" s="2189"/>
      <c r="DF107" s="2579"/>
      <c r="DG107" s="2189"/>
    </row>
    <row r="108" spans="1:111" s="2196" customFormat="1" ht="18" outlineLevel="2" x14ac:dyDescent="0.35">
      <c r="A108" s="2189"/>
      <c r="B108" s="2561" t="s">
        <v>1584</v>
      </c>
      <c r="C108" s="2562"/>
      <c r="D108" s="2562"/>
      <c r="E108" s="2562"/>
      <c r="F108" s="2619"/>
      <c r="G108" s="2568">
        <f>G94*(G95-G106)</f>
        <v>0</v>
      </c>
      <c r="H108" s="2568">
        <f t="shared" ref="H108:W108" si="150">H94*(H95-H106)</f>
        <v>0</v>
      </c>
      <c r="I108" s="2568">
        <f t="shared" si="150"/>
        <v>0</v>
      </c>
      <c r="J108" s="2568">
        <f t="shared" si="150"/>
        <v>0</v>
      </c>
      <c r="K108" s="2568">
        <f t="shared" si="150"/>
        <v>0</v>
      </c>
      <c r="L108" s="2568">
        <f t="shared" si="150"/>
        <v>0</v>
      </c>
      <c r="M108" s="2568">
        <f t="shared" si="150"/>
        <v>0</v>
      </c>
      <c r="N108" s="2568">
        <f t="shared" si="150"/>
        <v>0</v>
      </c>
      <c r="O108" s="2568">
        <f t="shared" si="150"/>
        <v>0</v>
      </c>
      <c r="P108" s="2568">
        <f t="shared" si="150"/>
        <v>0</v>
      </c>
      <c r="Q108" s="2568">
        <f t="shared" si="150"/>
        <v>0</v>
      </c>
      <c r="R108" s="2568">
        <f t="shared" si="150"/>
        <v>0</v>
      </c>
      <c r="S108" s="2568">
        <f t="shared" si="150"/>
        <v>0</v>
      </c>
      <c r="T108" s="2568">
        <f t="shared" si="150"/>
        <v>0</v>
      </c>
      <c r="U108" s="2568">
        <f t="shared" si="150"/>
        <v>0</v>
      </c>
      <c r="V108" s="2568">
        <f t="shared" si="150"/>
        <v>0</v>
      </c>
      <c r="W108" s="2568">
        <f t="shared" si="150"/>
        <v>0</v>
      </c>
      <c r="X108" s="2568">
        <f>X94*(X95-X106)</f>
        <v>0</v>
      </c>
      <c r="Y108" s="2568">
        <f t="shared" ref="Y108:AI108" si="151">Y94*(Y95-Y106)</f>
        <v>0</v>
      </c>
      <c r="Z108" s="2568">
        <f t="shared" si="151"/>
        <v>0</v>
      </c>
      <c r="AA108" s="2568">
        <f t="shared" si="151"/>
        <v>0</v>
      </c>
      <c r="AB108" s="2568">
        <f t="shared" si="151"/>
        <v>0</v>
      </c>
      <c r="AC108" s="2568">
        <f t="shared" si="151"/>
        <v>0</v>
      </c>
      <c r="AD108" s="2568">
        <f t="shared" si="151"/>
        <v>0</v>
      </c>
      <c r="AE108" s="2568">
        <f t="shared" si="151"/>
        <v>0</v>
      </c>
      <c r="AF108" s="2568">
        <f t="shared" si="151"/>
        <v>0</v>
      </c>
      <c r="AG108" s="2568">
        <f t="shared" si="151"/>
        <v>0</v>
      </c>
      <c r="AH108" s="2568">
        <f t="shared" si="151"/>
        <v>0</v>
      </c>
      <c r="AI108" s="2568">
        <f t="shared" si="151"/>
        <v>0</v>
      </c>
      <c r="AJ108" s="2585">
        <f>SUMIF($G$115:$AI$115,"1",$G108:$AI108)</f>
        <v>0</v>
      </c>
      <c r="AK108" s="2542"/>
      <c r="AL108" s="1082"/>
      <c r="AM108" s="2585">
        <f>SUMIF($G$115:$AI$115,"1",$G108:$AI108)+SUMIF($G$115:$AI$115,"2",$G108:$AI108)</f>
        <v>0</v>
      </c>
      <c r="AN108" s="2529"/>
      <c r="AO108" s="1070"/>
      <c r="AP108" s="1070"/>
      <c r="AQ108" s="2567">
        <f t="shared" ref="AQ108:BG108" si="152">AQ94*(AQ95-AQ106)</f>
        <v>0</v>
      </c>
      <c r="AR108" s="2568">
        <f t="shared" si="152"/>
        <v>0</v>
      </c>
      <c r="AS108" s="2568">
        <f t="shared" si="152"/>
        <v>0</v>
      </c>
      <c r="AT108" s="2568">
        <f t="shared" si="152"/>
        <v>0</v>
      </c>
      <c r="AU108" s="2568">
        <f t="shared" si="152"/>
        <v>0</v>
      </c>
      <c r="AV108" s="2568">
        <f t="shared" si="152"/>
        <v>0</v>
      </c>
      <c r="AW108" s="2568">
        <f t="shared" si="152"/>
        <v>0</v>
      </c>
      <c r="AX108" s="2568">
        <f t="shared" si="152"/>
        <v>0</v>
      </c>
      <c r="AY108" s="2568">
        <f t="shared" si="152"/>
        <v>0</v>
      </c>
      <c r="AZ108" s="2568">
        <f t="shared" si="152"/>
        <v>0</v>
      </c>
      <c r="BA108" s="2568">
        <f t="shared" si="152"/>
        <v>0</v>
      </c>
      <c r="BB108" s="2568">
        <f t="shared" si="152"/>
        <v>0</v>
      </c>
      <c r="BC108" s="2568">
        <f t="shared" si="152"/>
        <v>0</v>
      </c>
      <c r="BD108" s="2568">
        <f t="shared" si="152"/>
        <v>0</v>
      </c>
      <c r="BE108" s="2568">
        <f t="shared" si="152"/>
        <v>0</v>
      </c>
      <c r="BF108" s="2568">
        <f t="shared" si="152"/>
        <v>0</v>
      </c>
      <c r="BG108" s="2568">
        <f t="shared" si="152"/>
        <v>0</v>
      </c>
      <c r="BH108" s="2568">
        <f>BH94*(BH95-BH106)</f>
        <v>0</v>
      </c>
      <c r="BI108" s="2568">
        <f t="shared" ref="BI108:BR108" si="153">BI94*(BI95-BI106)</f>
        <v>0</v>
      </c>
      <c r="BJ108" s="2568">
        <f t="shared" si="153"/>
        <v>0</v>
      </c>
      <c r="BK108" s="2568">
        <f t="shared" si="153"/>
        <v>0</v>
      </c>
      <c r="BL108" s="2568">
        <f t="shared" si="153"/>
        <v>0</v>
      </c>
      <c r="BM108" s="2568">
        <f t="shared" si="153"/>
        <v>0</v>
      </c>
      <c r="BN108" s="2568">
        <f t="shared" si="153"/>
        <v>0</v>
      </c>
      <c r="BO108" s="2568">
        <f t="shared" si="153"/>
        <v>0</v>
      </c>
      <c r="BP108" s="2568">
        <f t="shared" si="153"/>
        <v>0</v>
      </c>
      <c r="BQ108" s="2568">
        <f t="shared" si="153"/>
        <v>0</v>
      </c>
      <c r="BR108" s="2568">
        <f t="shared" si="153"/>
        <v>0</v>
      </c>
      <c r="BS108" s="2568">
        <f>BS94*(BS95-BS106)</f>
        <v>0</v>
      </c>
      <c r="BT108" s="2585">
        <f>SUMIF($AQ$115:$BS$115,"1",$AQ108:$BS108)</f>
        <v>0</v>
      </c>
      <c r="BU108" s="2198"/>
      <c r="BV108" s="2198"/>
      <c r="BW108" s="2585">
        <f>SUMIF($AQ$115:$BS$115,"1",$AQ108:$BS108)+SUMIF($AQ$115:$BS$115,"2",$AQ108:$BS108)</f>
        <v>0</v>
      </c>
      <c r="BX108" s="2189"/>
      <c r="BY108" s="2189"/>
      <c r="BZ108" s="2189"/>
      <c r="CA108" s="2567">
        <f t="shared" si="132"/>
        <v>0</v>
      </c>
      <c r="CB108" s="2568">
        <f t="shared" si="132"/>
        <v>0</v>
      </c>
      <c r="CC108" s="2568">
        <f t="shared" si="132"/>
        <v>0</v>
      </c>
      <c r="CD108" s="2568">
        <f t="shared" si="132"/>
        <v>0</v>
      </c>
      <c r="CE108" s="2568">
        <f t="shared" si="132"/>
        <v>0</v>
      </c>
      <c r="CF108" s="2568">
        <f t="shared" si="132"/>
        <v>0</v>
      </c>
      <c r="CG108" s="2568">
        <f t="shared" si="132"/>
        <v>0</v>
      </c>
      <c r="CH108" s="2568">
        <f t="shared" si="132"/>
        <v>0</v>
      </c>
      <c r="CI108" s="2568">
        <f t="shared" si="132"/>
        <v>0</v>
      </c>
      <c r="CJ108" s="2568">
        <f t="shared" si="132"/>
        <v>0</v>
      </c>
      <c r="CK108" s="2568">
        <f t="shared" si="132"/>
        <v>0</v>
      </c>
      <c r="CL108" s="2568">
        <f t="shared" si="132"/>
        <v>0</v>
      </c>
      <c r="CM108" s="2568">
        <f t="shared" si="132"/>
        <v>0</v>
      </c>
      <c r="CN108" s="2568">
        <f t="shared" si="132"/>
        <v>0</v>
      </c>
      <c r="CO108" s="2568">
        <f t="shared" si="132"/>
        <v>0</v>
      </c>
      <c r="CP108" s="2568">
        <f t="shared" si="132"/>
        <v>0</v>
      </c>
      <c r="CQ108" s="2568">
        <f t="shared" si="133"/>
        <v>0</v>
      </c>
      <c r="CR108" s="2568">
        <f t="shared" si="133"/>
        <v>0</v>
      </c>
      <c r="CS108" s="2568">
        <f t="shared" si="133"/>
        <v>0</v>
      </c>
      <c r="CT108" s="2568">
        <f t="shared" si="133"/>
        <v>0</v>
      </c>
      <c r="CU108" s="2568">
        <f t="shared" si="133"/>
        <v>0</v>
      </c>
      <c r="CV108" s="2568">
        <f t="shared" si="133"/>
        <v>0</v>
      </c>
      <c r="CW108" s="2568">
        <f t="shared" si="133"/>
        <v>0</v>
      </c>
      <c r="CX108" s="2568">
        <f t="shared" si="133"/>
        <v>0</v>
      </c>
      <c r="CY108" s="2568">
        <f t="shared" si="133"/>
        <v>0</v>
      </c>
      <c r="CZ108" s="2568">
        <f t="shared" si="133"/>
        <v>0</v>
      </c>
      <c r="DA108" s="2568">
        <f t="shared" si="133"/>
        <v>0</v>
      </c>
      <c r="DB108" s="2568">
        <f t="shared" si="133"/>
        <v>0</v>
      </c>
      <c r="DC108" s="2568">
        <f t="shared" si="133"/>
        <v>0</v>
      </c>
      <c r="DD108" s="2585">
        <f>AJ108-BT108</f>
        <v>0</v>
      </c>
      <c r="DE108" s="2189"/>
      <c r="DF108" s="2585">
        <f>AM108-BW108</f>
        <v>0</v>
      </c>
      <c r="DG108" s="2189"/>
    </row>
    <row r="109" spans="1:111" s="2196" customFormat="1" ht="13.8" outlineLevel="2" x14ac:dyDescent="0.3">
      <c r="A109" s="2189"/>
      <c r="B109" s="2586" t="s">
        <v>1585</v>
      </c>
      <c r="C109" s="2587"/>
      <c r="D109" s="2587"/>
      <c r="E109" s="2587"/>
      <c r="F109" s="2620"/>
      <c r="G109" s="2590">
        <f>IFERROR(G108/G96,0)</f>
        <v>0</v>
      </c>
      <c r="H109" s="2590">
        <f t="shared" ref="H109:W109" si="154">IFERROR(H108/H96,0)</f>
        <v>0</v>
      </c>
      <c r="I109" s="2590">
        <f t="shared" si="154"/>
        <v>0</v>
      </c>
      <c r="J109" s="2590">
        <f t="shared" si="154"/>
        <v>0</v>
      </c>
      <c r="K109" s="2590">
        <f t="shared" si="154"/>
        <v>0</v>
      </c>
      <c r="L109" s="2590">
        <f t="shared" si="154"/>
        <v>0</v>
      </c>
      <c r="M109" s="2590">
        <f t="shared" si="154"/>
        <v>0</v>
      </c>
      <c r="N109" s="2590">
        <f t="shared" si="154"/>
        <v>0</v>
      </c>
      <c r="O109" s="2590">
        <f t="shared" si="154"/>
        <v>0</v>
      </c>
      <c r="P109" s="2590">
        <f t="shared" si="154"/>
        <v>0</v>
      </c>
      <c r="Q109" s="2590">
        <f t="shared" si="154"/>
        <v>0</v>
      </c>
      <c r="R109" s="2590">
        <f t="shared" si="154"/>
        <v>0</v>
      </c>
      <c r="S109" s="2590">
        <f t="shared" si="154"/>
        <v>0</v>
      </c>
      <c r="T109" s="2590">
        <f t="shared" si="154"/>
        <v>0</v>
      </c>
      <c r="U109" s="2590">
        <f t="shared" si="154"/>
        <v>0</v>
      </c>
      <c r="V109" s="2590">
        <f t="shared" si="154"/>
        <v>0</v>
      </c>
      <c r="W109" s="2590">
        <f t="shared" si="154"/>
        <v>0</v>
      </c>
      <c r="X109" s="2590">
        <f>IFERROR(X108/X96,0)</f>
        <v>0</v>
      </c>
      <c r="Y109" s="2590">
        <f t="shared" ref="Y109:AI109" si="155">IFERROR(Y108/Y96,0)</f>
        <v>0</v>
      </c>
      <c r="Z109" s="2590">
        <f t="shared" si="155"/>
        <v>0</v>
      </c>
      <c r="AA109" s="2590">
        <f t="shared" si="155"/>
        <v>0</v>
      </c>
      <c r="AB109" s="2590">
        <f t="shared" si="155"/>
        <v>0</v>
      </c>
      <c r="AC109" s="2590">
        <f t="shared" si="155"/>
        <v>0</v>
      </c>
      <c r="AD109" s="2590">
        <f t="shared" si="155"/>
        <v>0</v>
      </c>
      <c r="AE109" s="2590">
        <f t="shared" si="155"/>
        <v>0</v>
      </c>
      <c r="AF109" s="2590">
        <f t="shared" si="155"/>
        <v>0</v>
      </c>
      <c r="AG109" s="2590">
        <f t="shared" si="155"/>
        <v>0</v>
      </c>
      <c r="AH109" s="2590">
        <f t="shared" si="155"/>
        <v>0</v>
      </c>
      <c r="AI109" s="2590">
        <f t="shared" si="155"/>
        <v>0</v>
      </c>
      <c r="AJ109" s="2591">
        <f>IFERROR(AJ108/AJ96,0)</f>
        <v>0</v>
      </c>
      <c r="AK109" s="2592"/>
      <c r="AL109" s="2198"/>
      <c r="AM109" s="2591">
        <f>IFERROR(AM108/AM96,0)</f>
        <v>0</v>
      </c>
      <c r="AN109" s="2590"/>
      <c r="AO109" s="2189"/>
      <c r="AP109" s="2189"/>
      <c r="AQ109" s="2589">
        <f t="shared" ref="AQ109:BT109" si="156">IFERROR(AQ108/AQ96,0)</f>
        <v>0</v>
      </c>
      <c r="AR109" s="2590">
        <f t="shared" si="156"/>
        <v>0</v>
      </c>
      <c r="AS109" s="2590">
        <f t="shared" si="156"/>
        <v>0</v>
      </c>
      <c r="AT109" s="2590">
        <f t="shared" si="156"/>
        <v>0</v>
      </c>
      <c r="AU109" s="2590">
        <f t="shared" si="156"/>
        <v>0</v>
      </c>
      <c r="AV109" s="2590">
        <f t="shared" si="156"/>
        <v>0</v>
      </c>
      <c r="AW109" s="2590">
        <f t="shared" si="156"/>
        <v>0</v>
      </c>
      <c r="AX109" s="2590">
        <f t="shared" si="156"/>
        <v>0</v>
      </c>
      <c r="AY109" s="2590">
        <f t="shared" si="156"/>
        <v>0</v>
      </c>
      <c r="AZ109" s="2590">
        <f t="shared" si="156"/>
        <v>0</v>
      </c>
      <c r="BA109" s="2590">
        <f t="shared" si="156"/>
        <v>0</v>
      </c>
      <c r="BB109" s="2590">
        <f t="shared" si="156"/>
        <v>0</v>
      </c>
      <c r="BC109" s="2590">
        <f t="shared" si="156"/>
        <v>0</v>
      </c>
      <c r="BD109" s="2590">
        <f t="shared" si="156"/>
        <v>0</v>
      </c>
      <c r="BE109" s="2590">
        <f t="shared" si="156"/>
        <v>0</v>
      </c>
      <c r="BF109" s="2590">
        <f t="shared" si="156"/>
        <v>0</v>
      </c>
      <c r="BG109" s="2590">
        <f t="shared" si="156"/>
        <v>0</v>
      </c>
      <c r="BH109" s="2590">
        <f t="shared" si="156"/>
        <v>0</v>
      </c>
      <c r="BI109" s="2590">
        <f t="shared" si="156"/>
        <v>0</v>
      </c>
      <c r="BJ109" s="2590">
        <f t="shared" si="156"/>
        <v>0</v>
      </c>
      <c r="BK109" s="2590">
        <f t="shared" si="156"/>
        <v>0</v>
      </c>
      <c r="BL109" s="2590">
        <f t="shared" si="156"/>
        <v>0</v>
      </c>
      <c r="BM109" s="2590">
        <f t="shared" si="156"/>
        <v>0</v>
      </c>
      <c r="BN109" s="2590">
        <f t="shared" si="156"/>
        <v>0</v>
      </c>
      <c r="BO109" s="2590">
        <f t="shared" si="156"/>
        <v>0</v>
      </c>
      <c r="BP109" s="2590">
        <f t="shared" si="156"/>
        <v>0</v>
      </c>
      <c r="BQ109" s="2590">
        <f t="shared" si="156"/>
        <v>0</v>
      </c>
      <c r="BR109" s="2590">
        <f t="shared" si="156"/>
        <v>0</v>
      </c>
      <c r="BS109" s="2590">
        <f t="shared" si="156"/>
        <v>0</v>
      </c>
      <c r="BT109" s="2591">
        <f t="shared" si="156"/>
        <v>0</v>
      </c>
      <c r="BU109" s="2198"/>
      <c r="BV109" s="2198"/>
      <c r="BW109" s="2591">
        <f t="shared" ref="BW109" si="157">IFERROR(BW108/BW96,0)</f>
        <v>0</v>
      </c>
      <c r="BX109" s="2189"/>
      <c r="BY109" s="2189"/>
      <c r="BZ109" s="2189"/>
      <c r="CA109" s="2589">
        <f t="shared" si="132"/>
        <v>0</v>
      </c>
      <c r="CB109" s="2590">
        <f t="shared" si="132"/>
        <v>0</v>
      </c>
      <c r="CC109" s="2590">
        <f t="shared" si="132"/>
        <v>0</v>
      </c>
      <c r="CD109" s="2590">
        <f t="shared" si="132"/>
        <v>0</v>
      </c>
      <c r="CE109" s="2590">
        <f t="shared" si="132"/>
        <v>0</v>
      </c>
      <c r="CF109" s="2590">
        <f t="shared" si="132"/>
        <v>0</v>
      </c>
      <c r="CG109" s="2590">
        <f t="shared" si="132"/>
        <v>0</v>
      </c>
      <c r="CH109" s="2590">
        <f t="shared" si="132"/>
        <v>0</v>
      </c>
      <c r="CI109" s="2590">
        <f t="shared" si="132"/>
        <v>0</v>
      </c>
      <c r="CJ109" s="2590">
        <f t="shared" si="132"/>
        <v>0</v>
      </c>
      <c r="CK109" s="2590">
        <f t="shared" si="132"/>
        <v>0</v>
      </c>
      <c r="CL109" s="2590">
        <f t="shared" si="132"/>
        <v>0</v>
      </c>
      <c r="CM109" s="2590">
        <f t="shared" si="132"/>
        <v>0</v>
      </c>
      <c r="CN109" s="2590">
        <f t="shared" si="132"/>
        <v>0</v>
      </c>
      <c r="CO109" s="2590">
        <f t="shared" si="132"/>
        <v>0</v>
      </c>
      <c r="CP109" s="2590">
        <f t="shared" ref="CP109:CP111" si="158">V109-BF109</f>
        <v>0</v>
      </c>
      <c r="CQ109" s="2590">
        <f t="shared" si="133"/>
        <v>0</v>
      </c>
      <c r="CR109" s="2590">
        <f t="shared" si="133"/>
        <v>0</v>
      </c>
      <c r="CS109" s="2590">
        <f t="shared" si="133"/>
        <v>0</v>
      </c>
      <c r="CT109" s="2590">
        <f t="shared" si="133"/>
        <v>0</v>
      </c>
      <c r="CU109" s="2590">
        <f t="shared" si="133"/>
        <v>0</v>
      </c>
      <c r="CV109" s="2590">
        <f t="shared" si="133"/>
        <v>0</v>
      </c>
      <c r="CW109" s="2590">
        <f t="shared" si="133"/>
        <v>0</v>
      </c>
      <c r="CX109" s="2590">
        <f t="shared" si="133"/>
        <v>0</v>
      </c>
      <c r="CY109" s="2590">
        <f t="shared" si="133"/>
        <v>0</v>
      </c>
      <c r="CZ109" s="2590">
        <f t="shared" si="133"/>
        <v>0</v>
      </c>
      <c r="DA109" s="2590">
        <f t="shared" si="133"/>
        <v>0</v>
      </c>
      <c r="DB109" s="2590">
        <f t="shared" si="133"/>
        <v>0</v>
      </c>
      <c r="DC109" s="2590">
        <f t="shared" si="133"/>
        <v>0</v>
      </c>
      <c r="DD109" s="2591">
        <f>AJ109-BT109</f>
        <v>0</v>
      </c>
      <c r="DE109" s="2189"/>
      <c r="DF109" s="2591">
        <f t="shared" ref="DF109:DF111" si="159">AM109-BW109</f>
        <v>0</v>
      </c>
      <c r="DG109" s="2189"/>
    </row>
    <row r="110" spans="1:111" s="2196" customFormat="1" ht="13.8" outlineLevel="2" x14ac:dyDescent="0.3">
      <c r="A110" s="2189"/>
      <c r="B110" s="2586" t="s">
        <v>1586</v>
      </c>
      <c r="C110" s="2587"/>
      <c r="D110" s="2587"/>
      <c r="E110" s="2587"/>
      <c r="F110" s="2621"/>
      <c r="G110" s="2599">
        <v>0</v>
      </c>
      <c r="H110" s="2599">
        <v>0</v>
      </c>
      <c r="I110" s="2599">
        <v>0</v>
      </c>
      <c r="J110" s="2599">
        <v>0</v>
      </c>
      <c r="K110" s="2599">
        <v>0</v>
      </c>
      <c r="L110" s="2599">
        <v>0</v>
      </c>
      <c r="M110" s="2599">
        <v>0</v>
      </c>
      <c r="N110" s="2599">
        <v>0</v>
      </c>
      <c r="O110" s="2599">
        <v>0</v>
      </c>
      <c r="P110" s="2599">
        <v>0</v>
      </c>
      <c r="Q110" s="2599">
        <v>0</v>
      </c>
      <c r="R110" s="2599">
        <v>0</v>
      </c>
      <c r="S110" s="2599">
        <v>0</v>
      </c>
      <c r="T110" s="2599">
        <v>0</v>
      </c>
      <c r="U110" s="2599">
        <v>0</v>
      </c>
      <c r="V110" s="2599">
        <v>0</v>
      </c>
      <c r="W110" s="2599">
        <v>0</v>
      </c>
      <c r="X110" s="2599">
        <v>0</v>
      </c>
      <c r="Y110" s="2599">
        <v>0</v>
      </c>
      <c r="Z110" s="2599">
        <v>0</v>
      </c>
      <c r="AA110" s="2599">
        <v>0</v>
      </c>
      <c r="AB110" s="2599">
        <v>0</v>
      </c>
      <c r="AC110" s="2599">
        <v>0</v>
      </c>
      <c r="AD110" s="2599">
        <v>0</v>
      </c>
      <c r="AE110" s="2599">
        <v>0</v>
      </c>
      <c r="AF110" s="2599">
        <v>0</v>
      </c>
      <c r="AG110" s="2599">
        <v>0</v>
      </c>
      <c r="AH110" s="2599">
        <v>0</v>
      </c>
      <c r="AI110" s="2599">
        <v>0</v>
      </c>
      <c r="AJ110" s="2596"/>
      <c r="AK110" s="2593"/>
      <c r="AL110" s="2198"/>
      <c r="AM110" s="2596"/>
      <c r="AN110" s="2597"/>
      <c r="AO110" s="2189"/>
      <c r="AP110" s="2189"/>
      <c r="AQ110" s="2598">
        <v>0</v>
      </c>
      <c r="AR110" s="2599">
        <v>0</v>
      </c>
      <c r="AS110" s="2599">
        <v>0</v>
      </c>
      <c r="AT110" s="2599">
        <v>0</v>
      </c>
      <c r="AU110" s="2599">
        <v>0</v>
      </c>
      <c r="AV110" s="2599">
        <v>0</v>
      </c>
      <c r="AW110" s="2599">
        <v>0</v>
      </c>
      <c r="AX110" s="2599">
        <v>0</v>
      </c>
      <c r="AY110" s="2599">
        <v>0</v>
      </c>
      <c r="AZ110" s="2599">
        <v>0</v>
      </c>
      <c r="BA110" s="2599">
        <v>0</v>
      </c>
      <c r="BB110" s="2599">
        <v>0</v>
      </c>
      <c r="BC110" s="2599">
        <v>0</v>
      </c>
      <c r="BD110" s="2599">
        <v>0</v>
      </c>
      <c r="BE110" s="2599">
        <v>0</v>
      </c>
      <c r="BF110" s="2599">
        <v>0</v>
      </c>
      <c r="BG110" s="2599">
        <v>0</v>
      </c>
      <c r="BH110" s="2599">
        <v>0</v>
      </c>
      <c r="BI110" s="2599">
        <v>0</v>
      </c>
      <c r="BJ110" s="2599">
        <v>0</v>
      </c>
      <c r="BK110" s="2599">
        <v>0</v>
      </c>
      <c r="BL110" s="2599">
        <v>0</v>
      </c>
      <c r="BM110" s="2599">
        <v>0</v>
      </c>
      <c r="BN110" s="2599">
        <v>0</v>
      </c>
      <c r="BO110" s="2599">
        <v>0</v>
      </c>
      <c r="BP110" s="2599">
        <v>0</v>
      </c>
      <c r="BQ110" s="2599">
        <v>0</v>
      </c>
      <c r="BR110" s="2599">
        <v>0</v>
      </c>
      <c r="BS110" s="2599">
        <v>0</v>
      </c>
      <c r="BT110" s="2596"/>
      <c r="BU110" s="2198"/>
      <c r="BV110" s="2198"/>
      <c r="BW110" s="2596"/>
      <c r="BX110" s="2189"/>
      <c r="BY110" s="2189"/>
      <c r="BZ110" s="2189"/>
      <c r="CA110" s="2600">
        <f t="shared" ref="CA110:CO111" si="160">G110-AQ110</f>
        <v>0</v>
      </c>
      <c r="CB110" s="2601">
        <f t="shared" si="160"/>
        <v>0</v>
      </c>
      <c r="CC110" s="2601">
        <f t="shared" si="160"/>
        <v>0</v>
      </c>
      <c r="CD110" s="2601">
        <f t="shared" si="160"/>
        <v>0</v>
      </c>
      <c r="CE110" s="2601">
        <f t="shared" si="160"/>
        <v>0</v>
      </c>
      <c r="CF110" s="2601">
        <f t="shared" si="160"/>
        <v>0</v>
      </c>
      <c r="CG110" s="2601">
        <f t="shared" si="160"/>
        <v>0</v>
      </c>
      <c r="CH110" s="2601">
        <f t="shared" si="160"/>
        <v>0</v>
      </c>
      <c r="CI110" s="2601">
        <f t="shared" si="160"/>
        <v>0</v>
      </c>
      <c r="CJ110" s="2601">
        <f t="shared" si="160"/>
        <v>0</v>
      </c>
      <c r="CK110" s="2601">
        <f t="shared" si="160"/>
        <v>0</v>
      </c>
      <c r="CL110" s="2601">
        <f t="shared" si="160"/>
        <v>0</v>
      </c>
      <c r="CM110" s="2601">
        <f t="shared" si="160"/>
        <v>0</v>
      </c>
      <c r="CN110" s="2601">
        <f t="shared" si="160"/>
        <v>0</v>
      </c>
      <c r="CO110" s="2601">
        <f t="shared" si="160"/>
        <v>0</v>
      </c>
      <c r="CP110" s="2601">
        <f t="shared" si="158"/>
        <v>0</v>
      </c>
      <c r="CQ110" s="2601">
        <f t="shared" si="133"/>
        <v>0</v>
      </c>
      <c r="CR110" s="2601">
        <f t="shared" si="133"/>
        <v>0</v>
      </c>
      <c r="CS110" s="2601">
        <f t="shared" si="133"/>
        <v>0</v>
      </c>
      <c r="CT110" s="2601">
        <f t="shared" si="133"/>
        <v>0</v>
      </c>
      <c r="CU110" s="2601">
        <f t="shared" si="133"/>
        <v>0</v>
      </c>
      <c r="CV110" s="2601">
        <f t="shared" si="133"/>
        <v>0</v>
      </c>
      <c r="CW110" s="2601">
        <f t="shared" si="133"/>
        <v>0</v>
      </c>
      <c r="CX110" s="2601">
        <f t="shared" si="133"/>
        <v>0</v>
      </c>
      <c r="CY110" s="2601">
        <f t="shared" si="133"/>
        <v>0</v>
      </c>
      <c r="CZ110" s="2601">
        <f t="shared" si="133"/>
        <v>0</v>
      </c>
      <c r="DA110" s="2601">
        <f t="shared" si="133"/>
        <v>0</v>
      </c>
      <c r="DB110" s="2601">
        <f t="shared" si="133"/>
        <v>0</v>
      </c>
      <c r="DC110" s="2601">
        <f>AI110-BS110</f>
        <v>0</v>
      </c>
      <c r="DD110" s="2602">
        <f>AJ110-BT110</f>
        <v>0</v>
      </c>
      <c r="DE110" s="2189"/>
      <c r="DF110" s="2602">
        <f t="shared" si="159"/>
        <v>0</v>
      </c>
      <c r="DG110" s="2189"/>
    </row>
    <row r="111" spans="1:111" s="2196" customFormat="1" ht="13.8" outlineLevel="2" x14ac:dyDescent="0.3">
      <c r="A111" s="2189"/>
      <c r="B111" s="2553" t="s">
        <v>1587</v>
      </c>
      <c r="C111" s="2603"/>
      <c r="D111" s="2603"/>
      <c r="E111" s="2603"/>
      <c r="F111" s="2622"/>
      <c r="G111" s="2607">
        <v>0</v>
      </c>
      <c r="H111" s="2607">
        <v>0</v>
      </c>
      <c r="I111" s="2607">
        <v>0</v>
      </c>
      <c r="J111" s="2607">
        <v>0</v>
      </c>
      <c r="K111" s="2607">
        <v>0</v>
      </c>
      <c r="L111" s="2607">
        <v>0</v>
      </c>
      <c r="M111" s="2607">
        <v>0</v>
      </c>
      <c r="N111" s="2607">
        <v>0</v>
      </c>
      <c r="O111" s="2607">
        <v>0</v>
      </c>
      <c r="P111" s="2607">
        <v>0</v>
      </c>
      <c r="Q111" s="2607">
        <v>0</v>
      </c>
      <c r="R111" s="2607">
        <v>0</v>
      </c>
      <c r="S111" s="2607">
        <v>0</v>
      </c>
      <c r="T111" s="2607">
        <v>0</v>
      </c>
      <c r="U111" s="2607">
        <v>0</v>
      </c>
      <c r="V111" s="2607">
        <v>0</v>
      </c>
      <c r="W111" s="2607">
        <v>0</v>
      </c>
      <c r="X111" s="2607">
        <v>0</v>
      </c>
      <c r="Y111" s="2607">
        <v>0</v>
      </c>
      <c r="Z111" s="2607">
        <v>0</v>
      </c>
      <c r="AA111" s="2607">
        <v>0</v>
      </c>
      <c r="AB111" s="2607">
        <v>0</v>
      </c>
      <c r="AC111" s="2607">
        <v>0</v>
      </c>
      <c r="AD111" s="2607">
        <v>0</v>
      </c>
      <c r="AE111" s="2607">
        <v>0</v>
      </c>
      <c r="AF111" s="2607">
        <v>0</v>
      </c>
      <c r="AG111" s="2607">
        <v>0</v>
      </c>
      <c r="AH111" s="2607">
        <v>0</v>
      </c>
      <c r="AI111" s="2607">
        <v>0</v>
      </c>
      <c r="AJ111" s="2605"/>
      <c r="AK111" s="2593"/>
      <c r="AL111" s="2198"/>
      <c r="AM111" s="2605"/>
      <c r="AN111" s="2597"/>
      <c r="AO111" s="2189"/>
      <c r="AP111" s="2189"/>
      <c r="AQ111" s="2606">
        <v>0</v>
      </c>
      <c r="AR111" s="2607">
        <v>0</v>
      </c>
      <c r="AS111" s="2607">
        <v>0</v>
      </c>
      <c r="AT111" s="2607">
        <v>0</v>
      </c>
      <c r="AU111" s="2607">
        <v>0</v>
      </c>
      <c r="AV111" s="2607">
        <v>0</v>
      </c>
      <c r="AW111" s="2607">
        <v>0</v>
      </c>
      <c r="AX111" s="2607">
        <v>0</v>
      </c>
      <c r="AY111" s="2607">
        <v>0</v>
      </c>
      <c r="AZ111" s="2607">
        <v>0</v>
      </c>
      <c r="BA111" s="2607">
        <v>0</v>
      </c>
      <c r="BB111" s="2607">
        <v>0</v>
      </c>
      <c r="BC111" s="2607">
        <v>0</v>
      </c>
      <c r="BD111" s="2607">
        <v>0</v>
      </c>
      <c r="BE111" s="2607">
        <v>0</v>
      </c>
      <c r="BF111" s="2607">
        <v>0</v>
      </c>
      <c r="BG111" s="2607">
        <v>0</v>
      </c>
      <c r="BH111" s="2607">
        <v>0</v>
      </c>
      <c r="BI111" s="2607">
        <v>0</v>
      </c>
      <c r="BJ111" s="2607">
        <v>0</v>
      </c>
      <c r="BK111" s="2607">
        <v>0</v>
      </c>
      <c r="BL111" s="2607">
        <v>0</v>
      </c>
      <c r="BM111" s="2607">
        <v>0</v>
      </c>
      <c r="BN111" s="2607">
        <v>0</v>
      </c>
      <c r="BO111" s="2607">
        <v>0</v>
      </c>
      <c r="BP111" s="2607">
        <v>0</v>
      </c>
      <c r="BQ111" s="2607">
        <v>0</v>
      </c>
      <c r="BR111" s="2607">
        <v>0</v>
      </c>
      <c r="BS111" s="2607">
        <v>0</v>
      </c>
      <c r="BT111" s="2605"/>
      <c r="BU111" s="2198"/>
      <c r="BV111" s="2198"/>
      <c r="BW111" s="2605"/>
      <c r="BX111" s="2189"/>
      <c r="BY111" s="2189"/>
      <c r="BZ111" s="2189"/>
      <c r="CA111" s="2559">
        <f t="shared" si="160"/>
        <v>0</v>
      </c>
      <c r="CB111" s="2560">
        <f t="shared" si="160"/>
        <v>0</v>
      </c>
      <c r="CC111" s="2560">
        <f t="shared" si="160"/>
        <v>0</v>
      </c>
      <c r="CD111" s="2560">
        <f t="shared" si="160"/>
        <v>0</v>
      </c>
      <c r="CE111" s="2560">
        <f t="shared" si="160"/>
        <v>0</v>
      </c>
      <c r="CF111" s="2560">
        <f t="shared" si="160"/>
        <v>0</v>
      </c>
      <c r="CG111" s="2560">
        <f t="shared" si="160"/>
        <v>0</v>
      </c>
      <c r="CH111" s="2560">
        <f t="shared" si="160"/>
        <v>0</v>
      </c>
      <c r="CI111" s="2560">
        <f t="shared" si="160"/>
        <v>0</v>
      </c>
      <c r="CJ111" s="2560">
        <f t="shared" si="160"/>
        <v>0</v>
      </c>
      <c r="CK111" s="2560">
        <f t="shared" si="160"/>
        <v>0</v>
      </c>
      <c r="CL111" s="2560">
        <f t="shared" si="160"/>
        <v>0</v>
      </c>
      <c r="CM111" s="2560">
        <f t="shared" si="160"/>
        <v>0</v>
      </c>
      <c r="CN111" s="2560">
        <f t="shared" si="160"/>
        <v>0</v>
      </c>
      <c r="CO111" s="2560">
        <f t="shared" si="160"/>
        <v>0</v>
      </c>
      <c r="CP111" s="2560">
        <f t="shared" si="158"/>
        <v>0</v>
      </c>
      <c r="CQ111" s="2560">
        <f t="shared" si="133"/>
        <v>0</v>
      </c>
      <c r="CR111" s="2560">
        <f t="shared" si="133"/>
        <v>0</v>
      </c>
      <c r="CS111" s="2560">
        <f t="shared" si="133"/>
        <v>0</v>
      </c>
      <c r="CT111" s="2560">
        <f t="shared" si="133"/>
        <v>0</v>
      </c>
      <c r="CU111" s="2560">
        <f t="shared" si="133"/>
        <v>0</v>
      </c>
      <c r="CV111" s="2560">
        <f t="shared" si="133"/>
        <v>0</v>
      </c>
      <c r="CW111" s="2560">
        <f t="shared" si="133"/>
        <v>0</v>
      </c>
      <c r="CX111" s="2560">
        <f t="shared" si="133"/>
        <v>0</v>
      </c>
      <c r="CY111" s="2560">
        <f t="shared" si="133"/>
        <v>0</v>
      </c>
      <c r="CZ111" s="2560">
        <f t="shared" si="133"/>
        <v>0</v>
      </c>
      <c r="DA111" s="2560">
        <f t="shared" si="133"/>
        <v>0</v>
      </c>
      <c r="DB111" s="2560">
        <f t="shared" si="133"/>
        <v>0</v>
      </c>
      <c r="DC111" s="2560">
        <f>AI111-BS111</f>
        <v>0</v>
      </c>
      <c r="DD111" s="2608">
        <f>AJ111-BT111</f>
        <v>0</v>
      </c>
      <c r="DE111" s="2189"/>
      <c r="DF111" s="2608">
        <f t="shared" si="159"/>
        <v>0</v>
      </c>
      <c r="DG111" s="2189"/>
    </row>
    <row r="112" spans="1:111" s="2196" customFormat="1" outlineLevel="1" x14ac:dyDescent="0.3">
      <c r="A112" s="2198"/>
      <c r="B112" s="2587"/>
      <c r="C112" s="2587"/>
      <c r="D112" s="2587"/>
      <c r="E112" s="2587"/>
      <c r="F112" s="2593"/>
      <c r="G112" s="2587"/>
      <c r="H112" s="2587"/>
      <c r="I112" s="2587"/>
      <c r="J112" s="2587"/>
      <c r="K112" s="2587"/>
      <c r="L112" s="2587"/>
      <c r="M112" s="2587"/>
      <c r="N112" s="2587"/>
      <c r="O112" s="2587"/>
      <c r="P112" s="2587"/>
      <c r="Q112" s="2587"/>
      <c r="R112" s="2587"/>
      <c r="S112" s="2587"/>
      <c r="T112" s="2587"/>
      <c r="U112" s="2587"/>
      <c r="V112" s="2587"/>
      <c r="W112" s="2587"/>
      <c r="X112" s="2587"/>
      <c r="Y112" s="2587"/>
      <c r="Z112" s="2587"/>
      <c r="AA112" s="2587"/>
      <c r="AB112" s="2587"/>
      <c r="AC112" s="2587"/>
      <c r="AD112" s="2587"/>
      <c r="AE112" s="2587"/>
      <c r="AF112" s="2587"/>
      <c r="AG112" s="2587"/>
      <c r="AH112" s="2587"/>
      <c r="AI112" s="2587"/>
      <c r="AJ112" s="2587"/>
      <c r="AK112" s="1082"/>
      <c r="AL112" s="2198"/>
      <c r="AM112" s="2198"/>
      <c r="AN112" s="2198"/>
      <c r="AO112" s="2198"/>
      <c r="AP112" s="2198"/>
      <c r="AQ112" s="2587"/>
      <c r="AR112" s="2587"/>
      <c r="AS112" s="2587"/>
      <c r="AT112" s="2587"/>
      <c r="AU112" s="2587"/>
      <c r="AV112" s="2587"/>
      <c r="AW112" s="2587"/>
      <c r="AX112" s="2587"/>
      <c r="AY112" s="2587"/>
      <c r="AZ112" s="2587"/>
      <c r="BA112" s="2587"/>
      <c r="BB112" s="2587"/>
      <c r="BC112" s="2587"/>
      <c r="BD112" s="2587"/>
      <c r="BE112" s="2587"/>
      <c r="BF112" s="2587"/>
      <c r="BG112" s="2587"/>
      <c r="BH112" s="2587"/>
      <c r="BI112" s="2587"/>
      <c r="BJ112" s="2587"/>
      <c r="BK112" s="2587"/>
      <c r="BL112" s="2587"/>
      <c r="BM112" s="2587"/>
      <c r="BN112" s="2587"/>
      <c r="BO112" s="2587"/>
      <c r="BP112" s="2587"/>
      <c r="BQ112" s="2587"/>
      <c r="BR112" s="2587"/>
      <c r="BS112" s="2587"/>
      <c r="BT112" s="2593"/>
      <c r="BU112" s="2189"/>
      <c r="BV112" s="2189"/>
      <c r="BW112" s="2189"/>
      <c r="BX112" s="2189"/>
      <c r="BY112" s="2189"/>
      <c r="BZ112" s="2189"/>
      <c r="CA112" s="2189"/>
      <c r="CB112" s="2189"/>
      <c r="CC112" s="2189"/>
      <c r="CD112" s="2189"/>
      <c r="CE112" s="2189"/>
      <c r="CF112" s="2189"/>
      <c r="CG112" s="2189"/>
      <c r="CH112" s="2189"/>
      <c r="CI112" s="2189"/>
      <c r="CJ112" s="2189"/>
      <c r="CK112" s="2189"/>
      <c r="CL112" s="2189"/>
      <c r="CM112" s="2189"/>
      <c r="CN112" s="2189"/>
      <c r="CO112" s="2189"/>
      <c r="CP112" s="2189"/>
      <c r="CQ112" s="2189"/>
      <c r="CR112" s="2189"/>
      <c r="CS112" s="2189"/>
      <c r="CT112" s="2189"/>
      <c r="CU112" s="2189"/>
      <c r="CV112" s="2189"/>
      <c r="CW112" s="2189"/>
      <c r="CX112" s="2189"/>
      <c r="CY112" s="2189"/>
      <c r="CZ112" s="2189"/>
      <c r="DA112" s="2189"/>
      <c r="DB112" s="2189"/>
      <c r="DC112" s="2189"/>
      <c r="DD112" s="2189"/>
      <c r="DE112" s="2189"/>
      <c r="DF112" s="2189"/>
      <c r="DG112" s="2189"/>
    </row>
    <row r="113" spans="1:111" outlineLevel="2" x14ac:dyDescent="0.3">
      <c r="A113" s="1082"/>
      <c r="B113" s="2587"/>
      <c r="C113" s="2053" t="s">
        <v>1461</v>
      </c>
      <c r="D113" s="2054"/>
      <c r="E113" s="1218"/>
      <c r="F113" s="1186"/>
      <c r="G113" s="2623">
        <f t="shared" ref="G113:W113" si="161">RIGHT(G125,2)*1</f>
        <v>18</v>
      </c>
      <c r="H113" s="2624">
        <f t="shared" si="161"/>
        <v>19</v>
      </c>
      <c r="I113" s="2624">
        <f t="shared" si="161"/>
        <v>20</v>
      </c>
      <c r="J113" s="2624">
        <f t="shared" si="161"/>
        <v>21</v>
      </c>
      <c r="K113" s="2624">
        <f t="shared" si="161"/>
        <v>22</v>
      </c>
      <c r="L113" s="2624">
        <f t="shared" si="161"/>
        <v>23</v>
      </c>
      <c r="M113" s="2624">
        <f t="shared" si="161"/>
        <v>24</v>
      </c>
      <c r="N113" s="2624">
        <f t="shared" si="161"/>
        <v>25</v>
      </c>
      <c r="O113" s="2624">
        <f t="shared" si="161"/>
        <v>26</v>
      </c>
      <c r="P113" s="2624">
        <f t="shared" si="161"/>
        <v>27</v>
      </c>
      <c r="Q113" s="2624">
        <f t="shared" si="161"/>
        <v>28</v>
      </c>
      <c r="R113" s="2624">
        <f t="shared" si="161"/>
        <v>29</v>
      </c>
      <c r="S113" s="2624">
        <f t="shared" si="161"/>
        <v>30</v>
      </c>
      <c r="T113" s="2624">
        <f t="shared" si="161"/>
        <v>31</v>
      </c>
      <c r="U113" s="2624">
        <f t="shared" si="161"/>
        <v>32</v>
      </c>
      <c r="V113" s="2624">
        <f t="shared" si="161"/>
        <v>33</v>
      </c>
      <c r="W113" s="2624">
        <f t="shared" si="161"/>
        <v>34</v>
      </c>
      <c r="X113" s="2624">
        <f>RIGHT(X125,2)*1</f>
        <v>35</v>
      </c>
      <c r="Y113" s="2624">
        <f t="shared" ref="Y113:AI113" si="162">RIGHT(Y125,2)*1</f>
        <v>36</v>
      </c>
      <c r="Z113" s="2624">
        <f t="shared" si="162"/>
        <v>37</v>
      </c>
      <c r="AA113" s="2624">
        <f t="shared" si="162"/>
        <v>38</v>
      </c>
      <c r="AB113" s="2624">
        <f t="shared" si="162"/>
        <v>39</v>
      </c>
      <c r="AC113" s="2624">
        <f t="shared" si="162"/>
        <v>40</v>
      </c>
      <c r="AD113" s="2624">
        <f t="shared" si="162"/>
        <v>41</v>
      </c>
      <c r="AE113" s="2624">
        <f t="shared" si="162"/>
        <v>42</v>
      </c>
      <c r="AF113" s="2624">
        <f t="shared" si="162"/>
        <v>43</v>
      </c>
      <c r="AG113" s="2624">
        <f t="shared" si="162"/>
        <v>44</v>
      </c>
      <c r="AH113" s="2624">
        <f t="shared" si="162"/>
        <v>45</v>
      </c>
      <c r="AI113" s="2625">
        <f t="shared" si="162"/>
        <v>46</v>
      </c>
      <c r="AJ113" s="2626"/>
      <c r="AK113" s="1082"/>
      <c r="AL113" s="1082"/>
      <c r="AM113" s="1082"/>
      <c r="AN113" s="1082"/>
      <c r="AO113" s="1082"/>
      <c r="AP113" s="1082"/>
      <c r="AQ113" s="2623">
        <f t="shared" ref="AQ113:BG113" si="163">RIGHT(AQ125,2)*1</f>
        <v>18</v>
      </c>
      <c r="AR113" s="2624">
        <f t="shared" si="163"/>
        <v>19</v>
      </c>
      <c r="AS113" s="2624">
        <f t="shared" si="163"/>
        <v>20</v>
      </c>
      <c r="AT113" s="2624">
        <f t="shared" si="163"/>
        <v>21</v>
      </c>
      <c r="AU113" s="2624">
        <f t="shared" si="163"/>
        <v>22</v>
      </c>
      <c r="AV113" s="2624">
        <f t="shared" si="163"/>
        <v>23</v>
      </c>
      <c r="AW113" s="2624">
        <f t="shared" si="163"/>
        <v>24</v>
      </c>
      <c r="AX113" s="2624">
        <f t="shared" si="163"/>
        <v>25</v>
      </c>
      <c r="AY113" s="2624">
        <f t="shared" si="163"/>
        <v>26</v>
      </c>
      <c r="AZ113" s="2624">
        <f t="shared" si="163"/>
        <v>27</v>
      </c>
      <c r="BA113" s="2624">
        <f t="shared" si="163"/>
        <v>28</v>
      </c>
      <c r="BB113" s="2624">
        <f t="shared" si="163"/>
        <v>29</v>
      </c>
      <c r="BC113" s="2624">
        <f t="shared" si="163"/>
        <v>30</v>
      </c>
      <c r="BD113" s="2624">
        <f t="shared" si="163"/>
        <v>31</v>
      </c>
      <c r="BE113" s="2624">
        <f t="shared" si="163"/>
        <v>32</v>
      </c>
      <c r="BF113" s="2624">
        <f t="shared" si="163"/>
        <v>33</v>
      </c>
      <c r="BG113" s="2624">
        <f t="shared" si="163"/>
        <v>34</v>
      </c>
      <c r="BH113" s="2624">
        <f>RIGHT(BH125,2)*1</f>
        <v>35</v>
      </c>
      <c r="BI113" s="2624">
        <f t="shared" ref="BI113:BR113" si="164">RIGHT(BI125,2)*1</f>
        <v>36</v>
      </c>
      <c r="BJ113" s="2624">
        <f t="shared" si="164"/>
        <v>37</v>
      </c>
      <c r="BK113" s="2624">
        <f t="shared" si="164"/>
        <v>38</v>
      </c>
      <c r="BL113" s="2624">
        <f t="shared" si="164"/>
        <v>39</v>
      </c>
      <c r="BM113" s="2624">
        <f t="shared" si="164"/>
        <v>40</v>
      </c>
      <c r="BN113" s="2624">
        <f t="shared" si="164"/>
        <v>41</v>
      </c>
      <c r="BO113" s="2624">
        <f t="shared" si="164"/>
        <v>42</v>
      </c>
      <c r="BP113" s="2624">
        <f t="shared" si="164"/>
        <v>43</v>
      </c>
      <c r="BQ113" s="2624">
        <f t="shared" si="164"/>
        <v>44</v>
      </c>
      <c r="BR113" s="2624">
        <f t="shared" si="164"/>
        <v>45</v>
      </c>
      <c r="BS113" s="2625">
        <f>RIGHT(BS125,2)*1</f>
        <v>46</v>
      </c>
      <c r="BT113" s="1070"/>
      <c r="BU113" s="1070"/>
      <c r="BV113" s="1070"/>
      <c r="BW113" s="1070"/>
      <c r="BX113" s="1070"/>
      <c r="BY113" s="1070"/>
      <c r="BZ113" s="1070"/>
      <c r="CA113" s="1070"/>
      <c r="CB113" s="1070"/>
      <c r="CC113" s="1070"/>
      <c r="CD113" s="1070"/>
      <c r="CE113" s="1070"/>
      <c r="CF113" s="1070"/>
      <c r="CG113" s="1070"/>
      <c r="CH113" s="1070"/>
      <c r="CI113" s="1070"/>
      <c r="CJ113" s="1070"/>
      <c r="CK113" s="1070"/>
      <c r="CL113" s="1070"/>
      <c r="CM113" s="1070"/>
      <c r="CN113" s="1070"/>
      <c r="CO113" s="1070"/>
      <c r="CP113" s="1070"/>
      <c r="CQ113" s="1070"/>
      <c r="CR113" s="1070"/>
      <c r="CS113" s="1070"/>
      <c r="CT113" s="1070"/>
      <c r="CU113" s="1070"/>
      <c r="CV113" s="1070"/>
      <c r="CW113" s="1070"/>
      <c r="CX113" s="1070"/>
      <c r="CY113" s="1070"/>
      <c r="CZ113" s="1070"/>
      <c r="DA113" s="1070"/>
      <c r="DB113" s="1070"/>
      <c r="DC113" s="1070"/>
      <c r="DD113" s="1070"/>
      <c r="DE113" s="1070"/>
      <c r="DF113" s="1070"/>
      <c r="DG113" s="1070"/>
    </row>
    <row r="114" spans="1:111" outlineLevel="2" x14ac:dyDescent="0.3">
      <c r="A114" s="1082"/>
      <c r="B114" s="1082"/>
      <c r="C114" s="1188" t="s">
        <v>1657</v>
      </c>
      <c r="D114" s="1207"/>
      <c r="E114" s="1116"/>
      <c r="F114" s="1477"/>
      <c r="G114" s="2627">
        <f t="shared" ref="G114:X114" si="165">IF(G113=CurrentFY,1,IF(G113=CurrentFY+7,2,IF(G113=CurrentFY+9,3,"")))</f>
        <v>1</v>
      </c>
      <c r="H114" s="2627" t="str">
        <f t="shared" si="165"/>
        <v/>
      </c>
      <c r="I114" s="2627" t="str">
        <f t="shared" si="165"/>
        <v/>
      </c>
      <c r="J114" s="2627" t="str">
        <f t="shared" si="165"/>
        <v/>
      </c>
      <c r="K114" s="2627" t="str">
        <f t="shared" si="165"/>
        <v/>
      </c>
      <c r="L114" s="2627" t="str">
        <f t="shared" si="165"/>
        <v/>
      </c>
      <c r="M114" s="2627" t="str">
        <f t="shared" si="165"/>
        <v/>
      </c>
      <c r="N114" s="2627">
        <f t="shared" si="165"/>
        <v>2</v>
      </c>
      <c r="O114" s="2627" t="str">
        <f t="shared" si="165"/>
        <v/>
      </c>
      <c r="P114" s="2627">
        <f t="shared" si="165"/>
        <v>3</v>
      </c>
      <c r="Q114" s="2627" t="str">
        <f t="shared" si="165"/>
        <v/>
      </c>
      <c r="R114" s="2627" t="str">
        <f t="shared" si="165"/>
        <v/>
      </c>
      <c r="S114" s="2627" t="str">
        <f t="shared" si="165"/>
        <v/>
      </c>
      <c r="T114" s="2627" t="str">
        <f t="shared" si="165"/>
        <v/>
      </c>
      <c r="U114" s="2627" t="str">
        <f t="shared" si="165"/>
        <v/>
      </c>
      <c r="V114" s="2627" t="str">
        <f t="shared" si="165"/>
        <v/>
      </c>
      <c r="W114" s="2627" t="str">
        <f t="shared" si="165"/>
        <v/>
      </c>
      <c r="X114" s="2627" t="str">
        <f t="shared" si="165"/>
        <v/>
      </c>
      <c r="Y114" s="2627" t="str">
        <f t="shared" ref="Y114:AI114" si="166">IF(Y113=CurrentFY,1,IF(Y113=CurrentFY+7,2,IF(Y113=CurrentFY+9,3,"")))</f>
        <v/>
      </c>
      <c r="Z114" s="2627" t="str">
        <f t="shared" si="166"/>
        <v/>
      </c>
      <c r="AA114" s="2627" t="str">
        <f t="shared" si="166"/>
        <v/>
      </c>
      <c r="AB114" s="2627" t="str">
        <f t="shared" si="166"/>
        <v/>
      </c>
      <c r="AC114" s="2627" t="str">
        <f t="shared" si="166"/>
        <v/>
      </c>
      <c r="AD114" s="2627" t="str">
        <f t="shared" si="166"/>
        <v/>
      </c>
      <c r="AE114" s="2627" t="str">
        <f t="shared" si="166"/>
        <v/>
      </c>
      <c r="AF114" s="2627" t="str">
        <f t="shared" si="166"/>
        <v/>
      </c>
      <c r="AG114" s="2627" t="str">
        <f t="shared" si="166"/>
        <v/>
      </c>
      <c r="AH114" s="2627" t="str">
        <f t="shared" si="166"/>
        <v/>
      </c>
      <c r="AI114" s="2628" t="str">
        <f t="shared" si="166"/>
        <v/>
      </c>
      <c r="AJ114" s="2626"/>
      <c r="AK114" s="1082"/>
      <c r="AL114" s="1082"/>
      <c r="AM114" s="1082"/>
      <c r="AN114" s="1082"/>
      <c r="AO114" s="1082"/>
      <c r="AP114" s="1082"/>
      <c r="AQ114" s="2629">
        <f t="shared" ref="AQ114:BS114" si="167">IF(AQ113=CurrentFY,1,IF(AQ113=CurrentFY+7,2,IF(AQ113=CurrentFY+9,3,"")))</f>
        <v>1</v>
      </c>
      <c r="AR114" s="2627" t="str">
        <f t="shared" si="167"/>
        <v/>
      </c>
      <c r="AS114" s="2627" t="str">
        <f t="shared" si="167"/>
        <v/>
      </c>
      <c r="AT114" s="2627" t="str">
        <f t="shared" si="167"/>
        <v/>
      </c>
      <c r="AU114" s="2627" t="str">
        <f t="shared" si="167"/>
        <v/>
      </c>
      <c r="AV114" s="2627" t="str">
        <f t="shared" si="167"/>
        <v/>
      </c>
      <c r="AW114" s="2627" t="str">
        <f t="shared" si="167"/>
        <v/>
      </c>
      <c r="AX114" s="2627">
        <f t="shared" si="167"/>
        <v>2</v>
      </c>
      <c r="AY114" s="2627" t="str">
        <f t="shared" si="167"/>
        <v/>
      </c>
      <c r="AZ114" s="2627">
        <f t="shared" si="167"/>
        <v>3</v>
      </c>
      <c r="BA114" s="2627" t="str">
        <f t="shared" si="167"/>
        <v/>
      </c>
      <c r="BB114" s="2627" t="str">
        <f t="shared" si="167"/>
        <v/>
      </c>
      <c r="BC114" s="2627" t="str">
        <f t="shared" si="167"/>
        <v/>
      </c>
      <c r="BD114" s="2627" t="str">
        <f t="shared" si="167"/>
        <v/>
      </c>
      <c r="BE114" s="2627" t="str">
        <f t="shared" si="167"/>
        <v/>
      </c>
      <c r="BF114" s="2627" t="str">
        <f t="shared" si="167"/>
        <v/>
      </c>
      <c r="BG114" s="2627" t="str">
        <f t="shared" si="167"/>
        <v/>
      </c>
      <c r="BH114" s="2627" t="str">
        <f t="shared" si="167"/>
        <v/>
      </c>
      <c r="BI114" s="2627" t="str">
        <f t="shared" ref="BI114:BR114" si="168">IF(BI113=CurrentFY,1,IF(BI113=CurrentFY+7,2,IF(BI113=CurrentFY+9,3,"")))</f>
        <v/>
      </c>
      <c r="BJ114" s="2627" t="str">
        <f t="shared" si="168"/>
        <v/>
      </c>
      <c r="BK114" s="2627" t="str">
        <f t="shared" si="168"/>
        <v/>
      </c>
      <c r="BL114" s="2627" t="str">
        <f t="shared" si="168"/>
        <v/>
      </c>
      <c r="BM114" s="2627" t="str">
        <f t="shared" si="168"/>
        <v/>
      </c>
      <c r="BN114" s="2627" t="str">
        <f t="shared" si="168"/>
        <v/>
      </c>
      <c r="BO114" s="2627" t="str">
        <f t="shared" si="168"/>
        <v/>
      </c>
      <c r="BP114" s="2627" t="str">
        <f t="shared" si="168"/>
        <v/>
      </c>
      <c r="BQ114" s="2627" t="str">
        <f t="shared" si="168"/>
        <v/>
      </c>
      <c r="BR114" s="2627" t="str">
        <f t="shared" si="168"/>
        <v/>
      </c>
      <c r="BS114" s="2628" t="str">
        <f t="shared" si="167"/>
        <v/>
      </c>
      <c r="BT114" s="1070"/>
      <c r="BU114" s="1070"/>
      <c r="BV114" s="1070"/>
      <c r="BW114" s="1070"/>
      <c r="BX114" s="1070"/>
      <c r="BY114" s="1070"/>
      <c r="BZ114" s="1070"/>
      <c r="CA114" s="1070"/>
      <c r="CB114" s="1070"/>
      <c r="CC114" s="1070"/>
      <c r="CD114" s="1070"/>
      <c r="CE114" s="1070"/>
      <c r="CF114" s="1070"/>
      <c r="CG114" s="1070"/>
      <c r="CH114" s="1070"/>
      <c r="CI114" s="1070"/>
      <c r="CJ114" s="1070"/>
      <c r="CK114" s="1070"/>
      <c r="CL114" s="1070"/>
      <c r="CM114" s="1070"/>
      <c r="CN114" s="1070"/>
      <c r="CO114" s="1070"/>
      <c r="CP114" s="1070"/>
      <c r="CQ114" s="1070"/>
      <c r="CR114" s="1070"/>
      <c r="CS114" s="1070"/>
      <c r="CT114" s="1070"/>
      <c r="CU114" s="1070"/>
      <c r="CV114" s="1070"/>
      <c r="CW114" s="1070"/>
      <c r="CX114" s="1070"/>
      <c r="CY114" s="1070"/>
      <c r="CZ114" s="1070"/>
      <c r="DA114" s="1070"/>
      <c r="DB114" s="1070"/>
      <c r="DC114" s="1070"/>
      <c r="DD114" s="1070"/>
      <c r="DE114" s="1070"/>
      <c r="DF114" s="1070"/>
      <c r="DG114" s="1070"/>
    </row>
    <row r="115" spans="1:111" outlineLevel="2" x14ac:dyDescent="0.3">
      <c r="A115" s="1082"/>
      <c r="B115" s="1082"/>
      <c r="C115" s="1188" t="s">
        <v>1657</v>
      </c>
      <c r="D115" s="1207"/>
      <c r="E115" s="1116"/>
      <c r="F115" s="1477"/>
      <c r="G115" s="2627">
        <f t="shared" ref="G115:AI115" si="169">IF(AND(G113&gt;=CurrentFY,G113&lt;=CurrentFY+9)=TRUE,1,IF(AND(G113&gt;=CurrentFY+10,G113&lt;=CurrentFY+14)=TRUE,2,0))</f>
        <v>1</v>
      </c>
      <c r="H115" s="2627">
        <f t="shared" si="169"/>
        <v>1</v>
      </c>
      <c r="I115" s="2627">
        <f t="shared" si="169"/>
        <v>1</v>
      </c>
      <c r="J115" s="2627">
        <f t="shared" si="169"/>
        <v>1</v>
      </c>
      <c r="K115" s="2627">
        <f t="shared" si="169"/>
        <v>1</v>
      </c>
      <c r="L115" s="2627">
        <f t="shared" si="169"/>
        <v>1</v>
      </c>
      <c r="M115" s="2627">
        <f t="shared" si="169"/>
        <v>1</v>
      </c>
      <c r="N115" s="2627">
        <f t="shared" si="169"/>
        <v>1</v>
      </c>
      <c r="O115" s="2627">
        <f t="shared" si="169"/>
        <v>1</v>
      </c>
      <c r="P115" s="2627">
        <f t="shared" si="169"/>
        <v>1</v>
      </c>
      <c r="Q115" s="2627">
        <f t="shared" si="169"/>
        <v>2</v>
      </c>
      <c r="R115" s="2627">
        <f t="shared" si="169"/>
        <v>2</v>
      </c>
      <c r="S115" s="2627">
        <f t="shared" si="169"/>
        <v>2</v>
      </c>
      <c r="T115" s="2627">
        <f t="shared" si="169"/>
        <v>2</v>
      </c>
      <c r="U115" s="2627">
        <f t="shared" si="169"/>
        <v>2</v>
      </c>
      <c r="V115" s="2627">
        <f t="shared" si="169"/>
        <v>0</v>
      </c>
      <c r="W115" s="2627">
        <f t="shared" si="169"/>
        <v>0</v>
      </c>
      <c r="X115" s="2627">
        <f t="shared" si="169"/>
        <v>0</v>
      </c>
      <c r="Y115" s="2627">
        <f t="shared" si="169"/>
        <v>0</v>
      </c>
      <c r="Z115" s="2627">
        <f t="shared" si="169"/>
        <v>0</v>
      </c>
      <c r="AA115" s="2627">
        <f t="shared" si="169"/>
        <v>0</v>
      </c>
      <c r="AB115" s="2627">
        <f t="shared" si="169"/>
        <v>0</v>
      </c>
      <c r="AC115" s="2627">
        <f t="shared" si="169"/>
        <v>0</v>
      </c>
      <c r="AD115" s="2627">
        <f t="shared" si="169"/>
        <v>0</v>
      </c>
      <c r="AE115" s="2627">
        <f t="shared" si="169"/>
        <v>0</v>
      </c>
      <c r="AF115" s="2627">
        <f t="shared" si="169"/>
        <v>0</v>
      </c>
      <c r="AG115" s="2627">
        <f t="shared" si="169"/>
        <v>0</v>
      </c>
      <c r="AH115" s="2627">
        <f t="shared" si="169"/>
        <v>0</v>
      </c>
      <c r="AI115" s="2628">
        <f t="shared" si="169"/>
        <v>0</v>
      </c>
      <c r="AJ115" s="2626"/>
      <c r="AK115" s="1082"/>
      <c r="AL115" s="1082"/>
      <c r="AM115" s="1082"/>
      <c r="AN115" s="1082"/>
      <c r="AO115" s="1082"/>
      <c r="AP115" s="1082"/>
      <c r="AQ115" s="2630">
        <f t="shared" ref="AQ115:BS115" si="170">IF(AND(AQ113&gt;=CurrentFY,AQ113&lt;=CurrentFY+9)=TRUE,1,IF(AND(AQ113&gt;=CurrentFY+10,AQ113&lt;=CurrentFY+14)=TRUE,2,0))</f>
        <v>1</v>
      </c>
      <c r="AR115" s="2627">
        <f t="shared" si="170"/>
        <v>1</v>
      </c>
      <c r="AS115" s="2627">
        <f t="shared" si="170"/>
        <v>1</v>
      </c>
      <c r="AT115" s="2627">
        <f t="shared" si="170"/>
        <v>1</v>
      </c>
      <c r="AU115" s="2627">
        <f t="shared" si="170"/>
        <v>1</v>
      </c>
      <c r="AV115" s="2627">
        <f t="shared" si="170"/>
        <v>1</v>
      </c>
      <c r="AW115" s="2627">
        <f t="shared" si="170"/>
        <v>1</v>
      </c>
      <c r="AX115" s="2627">
        <f t="shared" si="170"/>
        <v>1</v>
      </c>
      <c r="AY115" s="2627">
        <f t="shared" si="170"/>
        <v>1</v>
      </c>
      <c r="AZ115" s="2627">
        <f t="shared" si="170"/>
        <v>1</v>
      </c>
      <c r="BA115" s="2627">
        <f t="shared" si="170"/>
        <v>2</v>
      </c>
      <c r="BB115" s="2627">
        <f t="shared" si="170"/>
        <v>2</v>
      </c>
      <c r="BC115" s="2627">
        <f t="shared" si="170"/>
        <v>2</v>
      </c>
      <c r="BD115" s="2627">
        <f t="shared" si="170"/>
        <v>2</v>
      </c>
      <c r="BE115" s="2627">
        <f t="shared" si="170"/>
        <v>2</v>
      </c>
      <c r="BF115" s="2627">
        <f t="shared" si="170"/>
        <v>0</v>
      </c>
      <c r="BG115" s="2627">
        <f t="shared" si="170"/>
        <v>0</v>
      </c>
      <c r="BH115" s="2627">
        <f t="shared" si="170"/>
        <v>0</v>
      </c>
      <c r="BI115" s="2627">
        <f t="shared" si="170"/>
        <v>0</v>
      </c>
      <c r="BJ115" s="2627">
        <f t="shared" si="170"/>
        <v>0</v>
      </c>
      <c r="BK115" s="2627">
        <f t="shared" si="170"/>
        <v>0</v>
      </c>
      <c r="BL115" s="2627">
        <f t="shared" si="170"/>
        <v>0</v>
      </c>
      <c r="BM115" s="2627">
        <f t="shared" si="170"/>
        <v>0</v>
      </c>
      <c r="BN115" s="2627">
        <f t="shared" si="170"/>
        <v>0</v>
      </c>
      <c r="BO115" s="2627">
        <f t="shared" si="170"/>
        <v>0</v>
      </c>
      <c r="BP115" s="2627">
        <f t="shared" si="170"/>
        <v>0</v>
      </c>
      <c r="BQ115" s="2627">
        <f t="shared" si="170"/>
        <v>0</v>
      </c>
      <c r="BR115" s="2627">
        <f t="shared" si="170"/>
        <v>0</v>
      </c>
      <c r="BS115" s="2628">
        <f t="shared" si="170"/>
        <v>0</v>
      </c>
      <c r="BT115" s="1070"/>
      <c r="BU115" s="1070"/>
      <c r="BV115" s="1070"/>
      <c r="BW115" s="1070"/>
      <c r="BX115" s="1070"/>
      <c r="BY115" s="1070"/>
      <c r="BZ115" s="1070"/>
      <c r="CA115" s="1070"/>
      <c r="CB115" s="1070"/>
      <c r="CC115" s="1070"/>
      <c r="CD115" s="1070"/>
      <c r="CE115" s="1070"/>
      <c r="CF115" s="1070"/>
      <c r="CG115" s="1070"/>
      <c r="CH115" s="1070"/>
      <c r="CI115" s="1070"/>
      <c r="CJ115" s="1070"/>
      <c r="CK115" s="1070"/>
      <c r="CL115" s="1070"/>
      <c r="CM115" s="1070"/>
      <c r="CN115" s="1070"/>
      <c r="CO115" s="1070"/>
      <c r="CP115" s="1070"/>
      <c r="CQ115" s="1070"/>
      <c r="CR115" s="1070"/>
      <c r="CS115" s="1070"/>
      <c r="CT115" s="1070"/>
      <c r="CU115" s="1070"/>
      <c r="CV115" s="1070"/>
      <c r="CW115" s="1070"/>
      <c r="CX115" s="1070"/>
      <c r="CY115" s="1070"/>
      <c r="CZ115" s="1070"/>
      <c r="DA115" s="1070"/>
      <c r="DB115" s="1070"/>
      <c r="DC115" s="1070"/>
      <c r="DD115" s="1070"/>
      <c r="DE115" s="1070"/>
      <c r="DF115" s="1070"/>
      <c r="DG115" s="1070"/>
    </row>
    <row r="116" spans="1:111" outlineLevel="2" x14ac:dyDescent="0.3">
      <c r="A116" s="1082"/>
      <c r="B116" s="1082"/>
      <c r="C116" s="1188" t="s">
        <v>1658</v>
      </c>
      <c r="D116" s="1207"/>
      <c r="E116" s="1116"/>
      <c r="F116" s="1437"/>
      <c r="G116" s="2627">
        <f t="shared" ref="G116:AI116" si="171">IF(G113=CurrentFY+4,1,IF(G113=CurrentFY+9,2,0))</f>
        <v>0</v>
      </c>
      <c r="H116" s="2627">
        <f t="shared" si="171"/>
        <v>0</v>
      </c>
      <c r="I116" s="2627">
        <f t="shared" si="171"/>
        <v>0</v>
      </c>
      <c r="J116" s="2627">
        <f t="shared" si="171"/>
        <v>0</v>
      </c>
      <c r="K116" s="2627">
        <f t="shared" si="171"/>
        <v>1</v>
      </c>
      <c r="L116" s="2627">
        <f t="shared" si="171"/>
        <v>0</v>
      </c>
      <c r="M116" s="2627">
        <f t="shared" si="171"/>
        <v>0</v>
      </c>
      <c r="N116" s="2627">
        <f t="shared" si="171"/>
        <v>0</v>
      </c>
      <c r="O116" s="2627">
        <f t="shared" si="171"/>
        <v>0</v>
      </c>
      <c r="P116" s="2627">
        <f t="shared" si="171"/>
        <v>2</v>
      </c>
      <c r="Q116" s="2627">
        <f t="shared" si="171"/>
        <v>0</v>
      </c>
      <c r="R116" s="2627">
        <f t="shared" si="171"/>
        <v>0</v>
      </c>
      <c r="S116" s="2627">
        <f t="shared" si="171"/>
        <v>0</v>
      </c>
      <c r="T116" s="2627">
        <f t="shared" si="171"/>
        <v>0</v>
      </c>
      <c r="U116" s="2627">
        <f t="shared" si="171"/>
        <v>0</v>
      </c>
      <c r="V116" s="2627">
        <f t="shared" si="171"/>
        <v>0</v>
      </c>
      <c r="W116" s="2627">
        <f t="shared" si="171"/>
        <v>0</v>
      </c>
      <c r="X116" s="2627">
        <f t="shared" si="171"/>
        <v>0</v>
      </c>
      <c r="Y116" s="2627">
        <f t="shared" si="171"/>
        <v>0</v>
      </c>
      <c r="Z116" s="2627">
        <f t="shared" si="171"/>
        <v>0</v>
      </c>
      <c r="AA116" s="2627">
        <f t="shared" si="171"/>
        <v>0</v>
      </c>
      <c r="AB116" s="2627">
        <f t="shared" si="171"/>
        <v>0</v>
      </c>
      <c r="AC116" s="2627">
        <f t="shared" si="171"/>
        <v>0</v>
      </c>
      <c r="AD116" s="2627">
        <f t="shared" si="171"/>
        <v>0</v>
      </c>
      <c r="AE116" s="2627">
        <f t="shared" si="171"/>
        <v>0</v>
      </c>
      <c r="AF116" s="2627">
        <f t="shared" si="171"/>
        <v>0</v>
      </c>
      <c r="AG116" s="2627">
        <f t="shared" si="171"/>
        <v>0</v>
      </c>
      <c r="AH116" s="2627">
        <f t="shared" si="171"/>
        <v>0</v>
      </c>
      <c r="AI116" s="2628">
        <f t="shared" si="171"/>
        <v>0</v>
      </c>
      <c r="AJ116" s="2626"/>
      <c r="AK116" s="1082"/>
      <c r="AL116" s="1082"/>
      <c r="AM116" s="1082"/>
      <c r="AN116" s="1082"/>
      <c r="AO116" s="1082"/>
      <c r="AP116" s="1082"/>
      <c r="AQ116" s="2630">
        <f t="shared" ref="AQ116:BS116" si="172">IF(AQ113=CurrentFY+4,1,IF(AQ113=CurrentFY+9,2,0))</f>
        <v>0</v>
      </c>
      <c r="AR116" s="2627">
        <f t="shared" si="172"/>
        <v>0</v>
      </c>
      <c r="AS116" s="2627">
        <f t="shared" si="172"/>
        <v>0</v>
      </c>
      <c r="AT116" s="2627">
        <f t="shared" si="172"/>
        <v>0</v>
      </c>
      <c r="AU116" s="2627">
        <f t="shared" si="172"/>
        <v>1</v>
      </c>
      <c r="AV116" s="2627">
        <f t="shared" si="172"/>
        <v>0</v>
      </c>
      <c r="AW116" s="2627">
        <f t="shared" si="172"/>
        <v>0</v>
      </c>
      <c r="AX116" s="2627">
        <f t="shared" si="172"/>
        <v>0</v>
      </c>
      <c r="AY116" s="2627">
        <f t="shared" si="172"/>
        <v>0</v>
      </c>
      <c r="AZ116" s="2627">
        <f t="shared" si="172"/>
        <v>2</v>
      </c>
      <c r="BA116" s="2627">
        <f t="shared" si="172"/>
        <v>0</v>
      </c>
      <c r="BB116" s="2627">
        <f t="shared" si="172"/>
        <v>0</v>
      </c>
      <c r="BC116" s="2627">
        <f t="shared" si="172"/>
        <v>0</v>
      </c>
      <c r="BD116" s="2627">
        <f t="shared" si="172"/>
        <v>0</v>
      </c>
      <c r="BE116" s="2627">
        <f t="shared" si="172"/>
        <v>0</v>
      </c>
      <c r="BF116" s="2627">
        <f t="shared" si="172"/>
        <v>0</v>
      </c>
      <c r="BG116" s="2627">
        <f t="shared" si="172"/>
        <v>0</v>
      </c>
      <c r="BH116" s="2627">
        <f t="shared" si="172"/>
        <v>0</v>
      </c>
      <c r="BI116" s="2627">
        <f t="shared" si="172"/>
        <v>0</v>
      </c>
      <c r="BJ116" s="2627">
        <f t="shared" si="172"/>
        <v>0</v>
      </c>
      <c r="BK116" s="2627">
        <f t="shared" si="172"/>
        <v>0</v>
      </c>
      <c r="BL116" s="2627">
        <f t="shared" si="172"/>
        <v>0</v>
      </c>
      <c r="BM116" s="2627">
        <f t="shared" si="172"/>
        <v>0</v>
      </c>
      <c r="BN116" s="2627">
        <f t="shared" si="172"/>
        <v>0</v>
      </c>
      <c r="BO116" s="2627">
        <f t="shared" si="172"/>
        <v>0</v>
      </c>
      <c r="BP116" s="2627">
        <f t="shared" si="172"/>
        <v>0</v>
      </c>
      <c r="BQ116" s="2627">
        <f t="shared" si="172"/>
        <v>0</v>
      </c>
      <c r="BR116" s="2627">
        <f t="shared" si="172"/>
        <v>0</v>
      </c>
      <c r="BS116" s="2628">
        <f t="shared" si="172"/>
        <v>0</v>
      </c>
      <c r="BT116" s="1070"/>
      <c r="BU116" s="1070"/>
      <c r="BV116" s="1070"/>
      <c r="BW116" s="1070"/>
      <c r="BX116" s="1070"/>
      <c r="BY116" s="1070"/>
      <c r="BZ116" s="1070"/>
      <c r="CA116" s="1070"/>
      <c r="CB116" s="1070"/>
      <c r="CC116" s="1070"/>
      <c r="CD116" s="1070"/>
      <c r="CE116" s="1070"/>
      <c r="CF116" s="1070"/>
      <c r="CG116" s="1070"/>
      <c r="CH116" s="1070"/>
      <c r="CI116" s="1070"/>
      <c r="CJ116" s="1070"/>
      <c r="CK116" s="1070"/>
      <c r="CL116" s="1070"/>
      <c r="CM116" s="1070"/>
      <c r="CN116" s="1070"/>
      <c r="CO116" s="1070"/>
      <c r="CP116" s="1070"/>
      <c r="CQ116" s="1070"/>
      <c r="CR116" s="1070"/>
      <c r="CS116" s="1070"/>
      <c r="CT116" s="1070"/>
      <c r="CU116" s="1070"/>
      <c r="CV116" s="1070"/>
      <c r="CW116" s="1070"/>
      <c r="CX116" s="1070"/>
      <c r="CY116" s="1070"/>
      <c r="CZ116" s="1070"/>
      <c r="DA116" s="1070"/>
      <c r="DB116" s="1070"/>
      <c r="DC116" s="1070"/>
      <c r="DD116" s="1070"/>
      <c r="DE116" s="1070"/>
      <c r="DF116" s="1070"/>
      <c r="DG116" s="1070"/>
    </row>
    <row r="117" spans="1:111" outlineLevel="2" x14ac:dyDescent="0.3">
      <c r="A117" s="1082"/>
      <c r="B117" s="1082"/>
      <c r="C117" s="1188" t="s">
        <v>1659</v>
      </c>
      <c r="D117" s="1207"/>
      <c r="E117" s="1116"/>
      <c r="F117" s="1437"/>
      <c r="G117" s="2627" t="e">
        <f t="shared" ref="G117:AI117" si="173">IF(G113=DefExitFY,"1","N")</f>
        <v>#VALUE!</v>
      </c>
      <c r="H117" s="2627" t="e">
        <f t="shared" si="173"/>
        <v>#VALUE!</v>
      </c>
      <c r="I117" s="2627" t="e">
        <f t="shared" si="173"/>
        <v>#VALUE!</v>
      </c>
      <c r="J117" s="2627" t="e">
        <f t="shared" si="173"/>
        <v>#VALUE!</v>
      </c>
      <c r="K117" s="2627" t="e">
        <f t="shared" si="173"/>
        <v>#VALUE!</v>
      </c>
      <c r="L117" s="2627" t="e">
        <f t="shared" si="173"/>
        <v>#VALUE!</v>
      </c>
      <c r="M117" s="2627" t="e">
        <f t="shared" si="173"/>
        <v>#VALUE!</v>
      </c>
      <c r="N117" s="2627" t="e">
        <f t="shared" si="173"/>
        <v>#VALUE!</v>
      </c>
      <c r="O117" s="2627" t="e">
        <f t="shared" si="173"/>
        <v>#VALUE!</v>
      </c>
      <c r="P117" s="2627" t="e">
        <f t="shared" si="173"/>
        <v>#VALUE!</v>
      </c>
      <c r="Q117" s="2627" t="e">
        <f t="shared" si="173"/>
        <v>#VALUE!</v>
      </c>
      <c r="R117" s="2627" t="e">
        <f t="shared" si="173"/>
        <v>#VALUE!</v>
      </c>
      <c r="S117" s="2627" t="e">
        <f t="shared" si="173"/>
        <v>#VALUE!</v>
      </c>
      <c r="T117" s="2627" t="e">
        <f t="shared" si="173"/>
        <v>#VALUE!</v>
      </c>
      <c r="U117" s="2627" t="e">
        <f t="shared" si="173"/>
        <v>#VALUE!</v>
      </c>
      <c r="V117" s="2627" t="e">
        <f t="shared" si="173"/>
        <v>#VALUE!</v>
      </c>
      <c r="W117" s="2627" t="e">
        <f t="shared" si="173"/>
        <v>#VALUE!</v>
      </c>
      <c r="X117" s="2627" t="e">
        <f t="shared" si="173"/>
        <v>#VALUE!</v>
      </c>
      <c r="Y117" s="2627" t="e">
        <f t="shared" si="173"/>
        <v>#VALUE!</v>
      </c>
      <c r="Z117" s="2627" t="e">
        <f t="shared" si="173"/>
        <v>#VALUE!</v>
      </c>
      <c r="AA117" s="2627" t="e">
        <f t="shared" si="173"/>
        <v>#VALUE!</v>
      </c>
      <c r="AB117" s="2627" t="e">
        <f t="shared" si="173"/>
        <v>#VALUE!</v>
      </c>
      <c r="AC117" s="2627" t="e">
        <f t="shared" si="173"/>
        <v>#VALUE!</v>
      </c>
      <c r="AD117" s="2627" t="e">
        <f t="shared" si="173"/>
        <v>#VALUE!</v>
      </c>
      <c r="AE117" s="2627" t="e">
        <f t="shared" si="173"/>
        <v>#VALUE!</v>
      </c>
      <c r="AF117" s="2627" t="e">
        <f t="shared" si="173"/>
        <v>#VALUE!</v>
      </c>
      <c r="AG117" s="2627" t="e">
        <f t="shared" si="173"/>
        <v>#VALUE!</v>
      </c>
      <c r="AH117" s="2627" t="e">
        <f t="shared" si="173"/>
        <v>#VALUE!</v>
      </c>
      <c r="AI117" s="2628" t="e">
        <f t="shared" si="173"/>
        <v>#VALUE!</v>
      </c>
      <c r="AJ117" s="2626"/>
      <c r="AK117" s="1082"/>
      <c r="AL117" s="1082"/>
      <c r="AM117" s="1082"/>
      <c r="AN117" s="1082"/>
      <c r="AO117" s="1082"/>
      <c r="AP117" s="1082"/>
      <c r="AQ117" s="2630" t="e">
        <f t="shared" ref="AQ117:BS117" si="174">IF(AQ113=DefExitFY,"1","N")</f>
        <v>#VALUE!</v>
      </c>
      <c r="AR117" s="2627" t="e">
        <f t="shared" si="174"/>
        <v>#VALUE!</v>
      </c>
      <c r="AS117" s="2627" t="e">
        <f t="shared" si="174"/>
        <v>#VALUE!</v>
      </c>
      <c r="AT117" s="2627" t="e">
        <f t="shared" si="174"/>
        <v>#VALUE!</v>
      </c>
      <c r="AU117" s="2627" t="e">
        <f t="shared" si="174"/>
        <v>#VALUE!</v>
      </c>
      <c r="AV117" s="2627" t="e">
        <f t="shared" si="174"/>
        <v>#VALUE!</v>
      </c>
      <c r="AW117" s="2627" t="e">
        <f t="shared" si="174"/>
        <v>#VALUE!</v>
      </c>
      <c r="AX117" s="2627" t="e">
        <f t="shared" si="174"/>
        <v>#VALUE!</v>
      </c>
      <c r="AY117" s="2627" t="e">
        <f t="shared" si="174"/>
        <v>#VALUE!</v>
      </c>
      <c r="AZ117" s="2627" t="e">
        <f t="shared" si="174"/>
        <v>#VALUE!</v>
      </c>
      <c r="BA117" s="2627" t="e">
        <f t="shared" si="174"/>
        <v>#VALUE!</v>
      </c>
      <c r="BB117" s="2627" t="e">
        <f t="shared" si="174"/>
        <v>#VALUE!</v>
      </c>
      <c r="BC117" s="2627" t="e">
        <f t="shared" si="174"/>
        <v>#VALUE!</v>
      </c>
      <c r="BD117" s="2627" t="e">
        <f t="shared" si="174"/>
        <v>#VALUE!</v>
      </c>
      <c r="BE117" s="2627" t="e">
        <f t="shared" si="174"/>
        <v>#VALUE!</v>
      </c>
      <c r="BF117" s="2627" t="e">
        <f t="shared" si="174"/>
        <v>#VALUE!</v>
      </c>
      <c r="BG117" s="2627" t="e">
        <f t="shared" si="174"/>
        <v>#VALUE!</v>
      </c>
      <c r="BH117" s="2627" t="e">
        <f t="shared" si="174"/>
        <v>#VALUE!</v>
      </c>
      <c r="BI117" s="2627" t="e">
        <f t="shared" si="174"/>
        <v>#VALUE!</v>
      </c>
      <c r="BJ117" s="2627" t="e">
        <f t="shared" si="174"/>
        <v>#VALUE!</v>
      </c>
      <c r="BK117" s="2627" t="e">
        <f t="shared" si="174"/>
        <v>#VALUE!</v>
      </c>
      <c r="BL117" s="2627" t="e">
        <f t="shared" si="174"/>
        <v>#VALUE!</v>
      </c>
      <c r="BM117" s="2627" t="e">
        <f t="shared" si="174"/>
        <v>#VALUE!</v>
      </c>
      <c r="BN117" s="2627" t="e">
        <f t="shared" si="174"/>
        <v>#VALUE!</v>
      </c>
      <c r="BO117" s="2627" t="e">
        <f t="shared" si="174"/>
        <v>#VALUE!</v>
      </c>
      <c r="BP117" s="2627" t="e">
        <f t="shared" si="174"/>
        <v>#VALUE!</v>
      </c>
      <c r="BQ117" s="2627" t="e">
        <f t="shared" si="174"/>
        <v>#VALUE!</v>
      </c>
      <c r="BR117" s="2627" t="e">
        <f t="shared" si="174"/>
        <v>#VALUE!</v>
      </c>
      <c r="BS117" s="2628" t="e">
        <f t="shared" si="174"/>
        <v>#VALUE!</v>
      </c>
      <c r="BT117" s="1070"/>
      <c r="BU117" s="1070"/>
      <c r="BV117" s="1070"/>
      <c r="BW117" s="1070"/>
      <c r="BX117" s="1070"/>
      <c r="BY117" s="1070"/>
      <c r="BZ117" s="1070"/>
      <c r="CA117" s="1070"/>
      <c r="CB117" s="1070"/>
      <c r="CC117" s="1070"/>
      <c r="CD117" s="1070"/>
      <c r="CE117" s="1070"/>
      <c r="CF117" s="1070"/>
      <c r="CG117" s="1070"/>
      <c r="CH117" s="1070"/>
      <c r="CI117" s="1070"/>
      <c r="CJ117" s="1070"/>
      <c r="CK117" s="1070"/>
      <c r="CL117" s="1070"/>
      <c r="CM117" s="1070"/>
      <c r="CN117" s="1070"/>
      <c r="CO117" s="1070"/>
      <c r="CP117" s="1070"/>
      <c r="CQ117" s="1070"/>
      <c r="CR117" s="1070"/>
      <c r="CS117" s="1070"/>
      <c r="CT117" s="1070"/>
      <c r="CU117" s="1070"/>
      <c r="CV117" s="1070"/>
      <c r="CW117" s="1070"/>
      <c r="CX117" s="1070"/>
      <c r="CY117" s="1070"/>
      <c r="CZ117" s="1070"/>
      <c r="DA117" s="1070"/>
      <c r="DB117" s="1070"/>
      <c r="DC117" s="1070"/>
      <c r="DD117" s="1070"/>
      <c r="DE117" s="1070"/>
      <c r="DF117" s="1070"/>
      <c r="DG117" s="1070"/>
    </row>
    <row r="118" spans="1:111" outlineLevel="2" x14ac:dyDescent="0.3">
      <c r="A118" s="1082"/>
      <c r="B118" s="1082"/>
      <c r="C118" s="1188" t="s">
        <v>1660</v>
      </c>
      <c r="D118" s="1207"/>
      <c r="E118" s="1116"/>
      <c r="F118" s="1437"/>
      <c r="G118" s="2627" t="e">
        <f>IF(G117="1",0,C118+1)</f>
        <v>#VALUE!</v>
      </c>
      <c r="H118" s="2627" t="e">
        <f t="shared" ref="H118:AI118" si="175">IF(H117="1",0,G118+1)</f>
        <v>#VALUE!</v>
      </c>
      <c r="I118" s="2627" t="e">
        <f t="shared" si="175"/>
        <v>#VALUE!</v>
      </c>
      <c r="J118" s="2627" t="e">
        <f t="shared" si="175"/>
        <v>#VALUE!</v>
      </c>
      <c r="K118" s="2627" t="e">
        <f t="shared" si="175"/>
        <v>#VALUE!</v>
      </c>
      <c r="L118" s="2627" t="e">
        <f t="shared" si="175"/>
        <v>#VALUE!</v>
      </c>
      <c r="M118" s="2627" t="e">
        <f t="shared" si="175"/>
        <v>#VALUE!</v>
      </c>
      <c r="N118" s="2627" t="e">
        <f t="shared" si="175"/>
        <v>#VALUE!</v>
      </c>
      <c r="O118" s="2627" t="e">
        <f t="shared" si="175"/>
        <v>#VALUE!</v>
      </c>
      <c r="P118" s="2627" t="e">
        <f t="shared" si="175"/>
        <v>#VALUE!</v>
      </c>
      <c r="Q118" s="2627" t="e">
        <f t="shared" si="175"/>
        <v>#VALUE!</v>
      </c>
      <c r="R118" s="2627" t="e">
        <f t="shared" si="175"/>
        <v>#VALUE!</v>
      </c>
      <c r="S118" s="2627" t="e">
        <f t="shared" si="175"/>
        <v>#VALUE!</v>
      </c>
      <c r="T118" s="2627" t="e">
        <f t="shared" si="175"/>
        <v>#VALUE!</v>
      </c>
      <c r="U118" s="2627" t="e">
        <f t="shared" si="175"/>
        <v>#VALUE!</v>
      </c>
      <c r="V118" s="2627" t="e">
        <f t="shared" si="175"/>
        <v>#VALUE!</v>
      </c>
      <c r="W118" s="2627" t="e">
        <f t="shared" si="175"/>
        <v>#VALUE!</v>
      </c>
      <c r="X118" s="2627" t="e">
        <f t="shared" si="175"/>
        <v>#VALUE!</v>
      </c>
      <c r="Y118" s="2627" t="e">
        <f t="shared" si="175"/>
        <v>#VALUE!</v>
      </c>
      <c r="Z118" s="2627" t="e">
        <f t="shared" si="175"/>
        <v>#VALUE!</v>
      </c>
      <c r="AA118" s="2627" t="e">
        <f t="shared" si="175"/>
        <v>#VALUE!</v>
      </c>
      <c r="AB118" s="2627" t="e">
        <f t="shared" si="175"/>
        <v>#VALUE!</v>
      </c>
      <c r="AC118" s="2627" t="e">
        <f t="shared" si="175"/>
        <v>#VALUE!</v>
      </c>
      <c r="AD118" s="2627" t="e">
        <f t="shared" si="175"/>
        <v>#VALUE!</v>
      </c>
      <c r="AE118" s="2627" t="e">
        <f t="shared" si="175"/>
        <v>#VALUE!</v>
      </c>
      <c r="AF118" s="2627" t="e">
        <f t="shared" si="175"/>
        <v>#VALUE!</v>
      </c>
      <c r="AG118" s="2627" t="e">
        <f t="shared" si="175"/>
        <v>#VALUE!</v>
      </c>
      <c r="AH118" s="2627" t="e">
        <f t="shared" si="175"/>
        <v>#VALUE!</v>
      </c>
      <c r="AI118" s="2628" t="e">
        <f t="shared" si="175"/>
        <v>#VALUE!</v>
      </c>
      <c r="AJ118" s="2626"/>
      <c r="AK118" s="1082"/>
      <c r="AL118" s="1082"/>
      <c r="AM118" s="1082"/>
      <c r="AN118" s="1082"/>
      <c r="AO118" s="1082"/>
      <c r="AP118" s="1082"/>
      <c r="AQ118" s="2630" t="e">
        <f t="shared" ref="AQ118:BS118" si="176">IF(AQ117="1",0,AP118+1)</f>
        <v>#VALUE!</v>
      </c>
      <c r="AR118" s="2627" t="e">
        <f t="shared" si="176"/>
        <v>#VALUE!</v>
      </c>
      <c r="AS118" s="2627" t="e">
        <f t="shared" si="176"/>
        <v>#VALUE!</v>
      </c>
      <c r="AT118" s="2627" t="e">
        <f t="shared" si="176"/>
        <v>#VALUE!</v>
      </c>
      <c r="AU118" s="2627" t="e">
        <f t="shared" si="176"/>
        <v>#VALUE!</v>
      </c>
      <c r="AV118" s="2627" t="e">
        <f t="shared" si="176"/>
        <v>#VALUE!</v>
      </c>
      <c r="AW118" s="2627" t="e">
        <f t="shared" si="176"/>
        <v>#VALUE!</v>
      </c>
      <c r="AX118" s="2627" t="e">
        <f t="shared" si="176"/>
        <v>#VALUE!</v>
      </c>
      <c r="AY118" s="2627" t="e">
        <f t="shared" si="176"/>
        <v>#VALUE!</v>
      </c>
      <c r="AZ118" s="2627" t="e">
        <f t="shared" si="176"/>
        <v>#VALUE!</v>
      </c>
      <c r="BA118" s="2627" t="e">
        <f t="shared" si="176"/>
        <v>#VALUE!</v>
      </c>
      <c r="BB118" s="2627" t="e">
        <f t="shared" si="176"/>
        <v>#VALUE!</v>
      </c>
      <c r="BC118" s="2627" t="e">
        <f t="shared" si="176"/>
        <v>#VALUE!</v>
      </c>
      <c r="BD118" s="2627" t="e">
        <f t="shared" si="176"/>
        <v>#VALUE!</v>
      </c>
      <c r="BE118" s="2627" t="e">
        <f t="shared" si="176"/>
        <v>#VALUE!</v>
      </c>
      <c r="BF118" s="2627" t="e">
        <f t="shared" si="176"/>
        <v>#VALUE!</v>
      </c>
      <c r="BG118" s="2627" t="e">
        <f t="shared" si="176"/>
        <v>#VALUE!</v>
      </c>
      <c r="BH118" s="2627" t="e">
        <f t="shared" si="176"/>
        <v>#VALUE!</v>
      </c>
      <c r="BI118" s="2627" t="e">
        <f t="shared" si="176"/>
        <v>#VALUE!</v>
      </c>
      <c r="BJ118" s="2627" t="e">
        <f t="shared" si="176"/>
        <v>#VALUE!</v>
      </c>
      <c r="BK118" s="2627" t="e">
        <f t="shared" si="176"/>
        <v>#VALUE!</v>
      </c>
      <c r="BL118" s="2627" t="e">
        <f t="shared" si="176"/>
        <v>#VALUE!</v>
      </c>
      <c r="BM118" s="2627" t="e">
        <f t="shared" si="176"/>
        <v>#VALUE!</v>
      </c>
      <c r="BN118" s="2627" t="e">
        <f t="shared" si="176"/>
        <v>#VALUE!</v>
      </c>
      <c r="BO118" s="2627" t="e">
        <f t="shared" si="176"/>
        <v>#VALUE!</v>
      </c>
      <c r="BP118" s="2627" t="e">
        <f t="shared" si="176"/>
        <v>#VALUE!</v>
      </c>
      <c r="BQ118" s="2627" t="e">
        <f t="shared" si="176"/>
        <v>#VALUE!</v>
      </c>
      <c r="BR118" s="2627" t="e">
        <f t="shared" si="176"/>
        <v>#VALUE!</v>
      </c>
      <c r="BS118" s="2628" t="e">
        <f t="shared" si="176"/>
        <v>#VALUE!</v>
      </c>
      <c r="BT118" s="1070"/>
      <c r="BU118" s="1070"/>
      <c r="BV118" s="1070"/>
      <c r="BW118" s="1070"/>
      <c r="BX118" s="1070"/>
      <c r="BY118" s="1070"/>
      <c r="BZ118" s="1070"/>
      <c r="CA118" s="1070"/>
      <c r="CB118" s="1070"/>
      <c r="CC118" s="1070"/>
      <c r="CD118" s="1070"/>
      <c r="CE118" s="1070"/>
      <c r="CF118" s="1070"/>
      <c r="CG118" s="1070"/>
      <c r="CH118" s="1070"/>
      <c r="CI118" s="1070"/>
      <c r="CJ118" s="1070"/>
      <c r="CK118" s="1070"/>
      <c r="CL118" s="1070"/>
      <c r="CM118" s="1070"/>
      <c r="CN118" s="1070"/>
      <c r="CO118" s="1070"/>
      <c r="CP118" s="1070"/>
      <c r="CQ118" s="1070"/>
      <c r="CR118" s="1070"/>
      <c r="CS118" s="1070"/>
      <c r="CT118" s="1070"/>
      <c r="CU118" s="1070"/>
      <c r="CV118" s="1070"/>
      <c r="CW118" s="1070"/>
      <c r="CX118" s="1070"/>
      <c r="CY118" s="1070"/>
      <c r="CZ118" s="1070"/>
      <c r="DA118" s="1070"/>
      <c r="DB118" s="1070"/>
      <c r="DC118" s="1070"/>
      <c r="DD118" s="1070"/>
      <c r="DE118" s="1070"/>
      <c r="DF118" s="1070"/>
      <c r="DG118" s="1070"/>
    </row>
    <row r="119" spans="1:111" outlineLevel="2" x14ac:dyDescent="0.3">
      <c r="A119" s="1082"/>
      <c r="B119" s="1082"/>
      <c r="C119" s="1114" t="s">
        <v>1661</v>
      </c>
      <c r="D119" s="1150"/>
      <c r="E119" s="1232"/>
      <c r="F119" s="1459"/>
      <c r="G119" s="2631">
        <f>IF(G113&gt;=CurrentFY,IF(G113=CurrentFY,0,C119+1),"N")</f>
        <v>0</v>
      </c>
      <c r="H119" s="2631">
        <f t="shared" ref="H119:AI119" si="177">IF(H113&gt;=CurrentFY,IF(H113=CurrentFY,0,G119+1),"N")</f>
        <v>1</v>
      </c>
      <c r="I119" s="2631">
        <f t="shared" si="177"/>
        <v>2</v>
      </c>
      <c r="J119" s="2631">
        <f t="shared" si="177"/>
        <v>3</v>
      </c>
      <c r="K119" s="2631">
        <f t="shared" si="177"/>
        <v>4</v>
      </c>
      <c r="L119" s="2631">
        <f t="shared" si="177"/>
        <v>5</v>
      </c>
      <c r="M119" s="2631">
        <f t="shared" si="177"/>
        <v>6</v>
      </c>
      <c r="N119" s="2631">
        <f t="shared" si="177"/>
        <v>7</v>
      </c>
      <c r="O119" s="2631">
        <f t="shared" si="177"/>
        <v>8</v>
      </c>
      <c r="P119" s="2631">
        <f t="shared" si="177"/>
        <v>9</v>
      </c>
      <c r="Q119" s="2631">
        <f t="shared" si="177"/>
        <v>10</v>
      </c>
      <c r="R119" s="2631">
        <f t="shared" si="177"/>
        <v>11</v>
      </c>
      <c r="S119" s="2631">
        <f t="shared" si="177"/>
        <v>12</v>
      </c>
      <c r="T119" s="2631">
        <f t="shared" si="177"/>
        <v>13</v>
      </c>
      <c r="U119" s="2631">
        <f t="shared" si="177"/>
        <v>14</v>
      </c>
      <c r="V119" s="2631">
        <f t="shared" si="177"/>
        <v>15</v>
      </c>
      <c r="W119" s="2631">
        <f t="shared" si="177"/>
        <v>16</v>
      </c>
      <c r="X119" s="2631">
        <f t="shared" si="177"/>
        <v>17</v>
      </c>
      <c r="Y119" s="2631">
        <f t="shared" si="177"/>
        <v>18</v>
      </c>
      <c r="Z119" s="2631">
        <f t="shared" si="177"/>
        <v>19</v>
      </c>
      <c r="AA119" s="2631">
        <f t="shared" si="177"/>
        <v>20</v>
      </c>
      <c r="AB119" s="2631">
        <f t="shared" si="177"/>
        <v>21</v>
      </c>
      <c r="AC119" s="2631">
        <f t="shared" si="177"/>
        <v>22</v>
      </c>
      <c r="AD119" s="2631">
        <f t="shared" si="177"/>
        <v>23</v>
      </c>
      <c r="AE119" s="2631">
        <f t="shared" si="177"/>
        <v>24</v>
      </c>
      <c r="AF119" s="2631">
        <f t="shared" si="177"/>
        <v>25</v>
      </c>
      <c r="AG119" s="2631">
        <f t="shared" si="177"/>
        <v>26</v>
      </c>
      <c r="AH119" s="2631">
        <f t="shared" si="177"/>
        <v>27</v>
      </c>
      <c r="AI119" s="2632">
        <f t="shared" si="177"/>
        <v>28</v>
      </c>
      <c r="AJ119" s="2626"/>
      <c r="AK119" s="1082"/>
      <c r="AL119" s="1082"/>
      <c r="AM119" s="1082"/>
      <c r="AN119" s="1082"/>
      <c r="AO119" s="1082"/>
      <c r="AP119" s="1082"/>
      <c r="AQ119" s="2633"/>
      <c r="AR119" s="2631"/>
      <c r="AS119" s="2631"/>
      <c r="AT119" s="2631"/>
      <c r="AU119" s="2631"/>
      <c r="AV119" s="2631"/>
      <c r="AW119" s="2631"/>
      <c r="AX119" s="2631"/>
      <c r="AY119" s="2631"/>
      <c r="AZ119" s="2631"/>
      <c r="BA119" s="2631"/>
      <c r="BB119" s="2631"/>
      <c r="BC119" s="2631"/>
      <c r="BD119" s="2631"/>
      <c r="BE119" s="2631"/>
      <c r="BF119" s="2631"/>
      <c r="BG119" s="2631"/>
      <c r="BH119" s="2631"/>
      <c r="BI119" s="2631"/>
      <c r="BJ119" s="2631"/>
      <c r="BK119" s="2631"/>
      <c r="BL119" s="2631"/>
      <c r="BM119" s="2631"/>
      <c r="BN119" s="2631"/>
      <c r="BO119" s="2631"/>
      <c r="BP119" s="2631"/>
      <c r="BQ119" s="2631"/>
      <c r="BR119" s="2631"/>
      <c r="BS119" s="2632"/>
      <c r="BT119" s="1070"/>
      <c r="BU119" s="1070"/>
      <c r="BV119" s="1070"/>
      <c r="BW119" s="1070"/>
      <c r="BX119" s="1070"/>
      <c r="BY119" s="1070"/>
      <c r="BZ119" s="1070"/>
      <c r="CA119" s="1070"/>
      <c r="CB119" s="1070"/>
      <c r="CC119" s="1070"/>
      <c r="CD119" s="1070"/>
      <c r="CE119" s="1070"/>
      <c r="CF119" s="1070"/>
      <c r="CG119" s="1070"/>
      <c r="CH119" s="1070"/>
      <c r="CI119" s="1070"/>
      <c r="CJ119" s="1070"/>
      <c r="CK119" s="1070"/>
      <c r="CL119" s="1070"/>
      <c r="CM119" s="1070"/>
      <c r="CN119" s="1070"/>
      <c r="CO119" s="1070"/>
      <c r="CP119" s="1070"/>
      <c r="CQ119" s="1070"/>
      <c r="CR119" s="1070"/>
      <c r="CS119" s="1070"/>
      <c r="CT119" s="1070"/>
      <c r="CU119" s="1070"/>
      <c r="CV119" s="1070"/>
      <c r="CW119" s="1070"/>
      <c r="CX119" s="1070"/>
      <c r="CY119" s="1070"/>
      <c r="CZ119" s="1070"/>
      <c r="DA119" s="1070"/>
      <c r="DB119" s="1070"/>
      <c r="DC119" s="1070"/>
      <c r="DD119" s="1070"/>
      <c r="DE119" s="1070"/>
      <c r="DF119" s="1070"/>
      <c r="DG119" s="1070"/>
    </row>
    <row r="120" spans="1:111" outlineLevel="1" x14ac:dyDescent="0.3">
      <c r="A120" s="1082"/>
      <c r="B120" s="1082"/>
      <c r="C120" s="1116"/>
      <c r="D120" s="1116"/>
      <c r="E120" s="1116"/>
      <c r="F120" s="1142"/>
      <c r="G120" s="2627"/>
      <c r="H120" s="2627"/>
      <c r="I120" s="2627"/>
      <c r="J120" s="2627"/>
      <c r="K120" s="2627"/>
      <c r="L120" s="2627"/>
      <c r="M120" s="2627"/>
      <c r="N120" s="2627"/>
      <c r="O120" s="2627"/>
      <c r="P120" s="2627"/>
      <c r="Q120" s="2627"/>
      <c r="R120" s="2627"/>
      <c r="S120" s="2627"/>
      <c r="T120" s="2627"/>
      <c r="U120" s="2627"/>
      <c r="V120" s="2627"/>
      <c r="W120" s="2627"/>
      <c r="X120" s="2627"/>
      <c r="Y120" s="2627"/>
      <c r="Z120" s="2627"/>
      <c r="AA120" s="2627"/>
      <c r="AB120" s="2627"/>
      <c r="AC120" s="2627"/>
      <c r="AD120" s="2627"/>
      <c r="AE120" s="2627"/>
      <c r="AF120" s="2627"/>
      <c r="AG120" s="2627"/>
      <c r="AH120" s="2627"/>
      <c r="AI120" s="2627"/>
      <c r="AJ120" s="2626"/>
      <c r="AK120" s="1082"/>
      <c r="AL120" s="1082"/>
      <c r="AM120" s="1082"/>
      <c r="AN120" s="1082"/>
      <c r="AO120" s="1082"/>
      <c r="AP120" s="1082"/>
      <c r="AQ120" s="2627"/>
      <c r="AR120" s="2627"/>
      <c r="AS120" s="2627"/>
      <c r="AT120" s="2627"/>
      <c r="AU120" s="2627"/>
      <c r="AV120" s="2627"/>
      <c r="AW120" s="2627"/>
      <c r="AX120" s="2627"/>
      <c r="AY120" s="2627"/>
      <c r="AZ120" s="2627"/>
      <c r="BA120" s="2627"/>
      <c r="BB120" s="2627"/>
      <c r="BC120" s="2627"/>
      <c r="BD120" s="2627"/>
      <c r="BE120" s="2627"/>
      <c r="BF120" s="2627"/>
      <c r="BG120" s="2627"/>
      <c r="BH120" s="2627"/>
      <c r="BI120" s="2627"/>
      <c r="BJ120" s="2627"/>
      <c r="BK120" s="2627"/>
      <c r="BL120" s="2627"/>
      <c r="BM120" s="2627"/>
      <c r="BN120" s="2627"/>
      <c r="BO120" s="2627"/>
      <c r="BP120" s="2627"/>
      <c r="BQ120" s="2627"/>
      <c r="BR120" s="2627"/>
      <c r="BS120" s="2627"/>
      <c r="BT120" s="1070"/>
      <c r="BU120" s="1070"/>
      <c r="BV120" s="1070"/>
      <c r="BW120" s="1070"/>
      <c r="BX120" s="1070"/>
      <c r="BY120" s="1070"/>
      <c r="BZ120" s="1070"/>
      <c r="CA120" s="1070"/>
      <c r="CB120" s="1070"/>
      <c r="CC120" s="1070"/>
      <c r="CD120" s="1070"/>
      <c r="CE120" s="1070"/>
      <c r="CF120" s="1070"/>
      <c r="CG120" s="1070"/>
      <c r="CH120" s="1070"/>
      <c r="CI120" s="1070"/>
      <c r="CJ120" s="1070"/>
      <c r="CK120" s="1070"/>
      <c r="CL120" s="1070"/>
      <c r="CM120" s="1070"/>
      <c r="CN120" s="1070"/>
      <c r="CO120" s="1070"/>
      <c r="CP120" s="1070"/>
      <c r="CQ120" s="1070"/>
      <c r="CR120" s="1070"/>
      <c r="CS120" s="1070"/>
      <c r="CT120" s="1070"/>
      <c r="CU120" s="1070"/>
      <c r="CV120" s="1070"/>
      <c r="CW120" s="1070"/>
      <c r="CX120" s="1070"/>
      <c r="CY120" s="1070"/>
      <c r="CZ120" s="1070"/>
      <c r="DA120" s="1070"/>
      <c r="DB120" s="1070"/>
      <c r="DC120" s="1070"/>
      <c r="DD120" s="1070"/>
      <c r="DE120" s="1070"/>
      <c r="DF120" s="1070"/>
      <c r="DG120" s="1070"/>
    </row>
    <row r="121" spans="1:111" ht="15" thickBot="1" x14ac:dyDescent="0.35">
      <c r="A121" s="1082"/>
      <c r="B121" s="1082"/>
      <c r="C121" s="1082"/>
      <c r="D121" s="1082"/>
      <c r="E121" s="1082"/>
      <c r="F121" s="1082"/>
      <c r="G121" s="2634"/>
      <c r="H121" s="2634"/>
      <c r="I121" s="2634"/>
      <c r="J121" s="2634"/>
      <c r="K121" s="2634"/>
      <c r="L121" s="2634"/>
      <c r="M121" s="2634"/>
      <c r="N121" s="2634"/>
      <c r="O121" s="2634"/>
      <c r="P121" s="2634"/>
      <c r="Q121" s="2634"/>
      <c r="R121" s="2634"/>
      <c r="S121" s="2634"/>
      <c r="T121" s="2634"/>
      <c r="U121" s="2634"/>
      <c r="V121" s="2634"/>
      <c r="W121" s="2634"/>
      <c r="X121" s="2634"/>
      <c r="Y121" s="2634"/>
      <c r="Z121" s="2634"/>
      <c r="AA121" s="2634"/>
      <c r="AB121" s="2634"/>
      <c r="AC121" s="2634"/>
      <c r="AD121" s="2634"/>
      <c r="AE121" s="2634"/>
      <c r="AF121" s="2634"/>
      <c r="AG121" s="2634"/>
      <c r="AH121" s="2634"/>
      <c r="AI121" s="2634"/>
      <c r="AJ121" s="2626"/>
      <c r="AK121" s="1082"/>
      <c r="AL121" s="1082"/>
      <c r="AM121" s="1082"/>
      <c r="AN121" s="1082"/>
      <c r="AO121" s="1082"/>
      <c r="AP121" s="1082"/>
      <c r="AQ121" s="2634"/>
      <c r="AR121" s="2634"/>
      <c r="AS121" s="2634"/>
      <c r="AT121" s="2634"/>
      <c r="AU121" s="2634"/>
      <c r="AV121" s="2634"/>
      <c r="AW121" s="2634"/>
      <c r="AX121" s="2634"/>
      <c r="AY121" s="2634"/>
      <c r="AZ121" s="2634"/>
      <c r="BA121" s="2634"/>
      <c r="BB121" s="2634"/>
      <c r="BC121" s="2634"/>
      <c r="BD121" s="2634"/>
      <c r="BE121" s="2634"/>
      <c r="BF121" s="2634"/>
      <c r="BG121" s="2634"/>
      <c r="BH121" s="2634"/>
      <c r="BI121" s="2634"/>
      <c r="BJ121" s="2634"/>
      <c r="BK121" s="2634"/>
      <c r="BL121" s="2634"/>
      <c r="BM121" s="2634"/>
      <c r="BN121" s="2634"/>
      <c r="BO121" s="2634"/>
      <c r="BP121" s="2634"/>
      <c r="BQ121" s="2634"/>
      <c r="BR121" s="2634"/>
      <c r="BS121" s="2634"/>
      <c r="BT121" s="1070"/>
      <c r="BU121" s="1070"/>
      <c r="BV121" s="1070"/>
      <c r="BW121" s="1070"/>
      <c r="BX121" s="1070"/>
      <c r="BY121" s="1070"/>
      <c r="BZ121" s="1070"/>
      <c r="CA121" s="1070"/>
      <c r="CB121" s="1070"/>
      <c r="CC121" s="1070"/>
      <c r="CD121" s="1070"/>
      <c r="CE121" s="1070"/>
      <c r="CF121" s="1070"/>
      <c r="CG121" s="1070"/>
      <c r="CH121" s="1070"/>
      <c r="CI121" s="1070"/>
      <c r="CJ121" s="1070"/>
      <c r="CK121" s="1070"/>
      <c r="CL121" s="1070"/>
      <c r="CM121" s="1070"/>
      <c r="CN121" s="1070"/>
      <c r="CO121" s="1070"/>
      <c r="CP121" s="1070"/>
      <c r="CQ121" s="1070"/>
      <c r="CR121" s="1070"/>
      <c r="CS121" s="1070"/>
      <c r="CT121" s="1070"/>
      <c r="CU121" s="1070"/>
      <c r="CV121" s="1070"/>
      <c r="CW121" s="1070"/>
      <c r="CX121" s="1070"/>
      <c r="CY121" s="1070"/>
      <c r="CZ121" s="1070"/>
      <c r="DA121" s="1070"/>
      <c r="DB121" s="1070"/>
      <c r="DC121" s="1070"/>
      <c r="DD121" s="1070"/>
      <c r="DE121" s="1070"/>
      <c r="DF121" s="1070"/>
      <c r="DG121" s="1070"/>
    </row>
    <row r="122" spans="1:111" ht="19.5" customHeight="1" thickBot="1" x14ac:dyDescent="0.4">
      <c r="A122" s="1070"/>
      <c r="B122" s="3238" t="str">
        <f>"P&amp;L and Free Cash Flow (K): Actuals / Projections "</f>
        <v xml:space="preserve">P&amp;L and Free Cash Flow (K): Actuals / Projections </v>
      </c>
      <c r="C122" s="3239"/>
      <c r="D122" s="3239"/>
      <c r="E122" s="3239"/>
      <c r="F122" s="3239"/>
      <c r="G122" s="3239"/>
      <c r="H122" s="3239"/>
      <c r="I122" s="3239"/>
      <c r="J122" s="3239"/>
      <c r="K122" s="3239"/>
      <c r="L122" s="3239"/>
      <c r="M122" s="3239"/>
      <c r="N122" s="3239"/>
      <c r="O122" s="3239"/>
      <c r="P122" s="3239"/>
      <c r="Q122" s="3239"/>
      <c r="R122" s="3239"/>
      <c r="S122" s="3239"/>
      <c r="T122" s="3239"/>
      <c r="U122" s="3239"/>
      <c r="V122" s="3239"/>
      <c r="W122" s="3239"/>
      <c r="X122" s="3239"/>
      <c r="Y122" s="3239"/>
      <c r="Z122" s="3239"/>
      <c r="AA122" s="3239"/>
      <c r="AB122" s="3239"/>
      <c r="AC122" s="3239"/>
      <c r="AD122" s="3239"/>
      <c r="AE122" s="3239"/>
      <c r="AF122" s="3239"/>
      <c r="AG122" s="3239"/>
      <c r="AH122" s="3239"/>
      <c r="AI122" s="3239"/>
      <c r="AJ122" s="3239"/>
      <c r="AK122" s="3239"/>
      <c r="AL122" s="3239"/>
      <c r="AM122" s="3240"/>
      <c r="AN122" s="1070"/>
      <c r="AO122" s="1070"/>
      <c r="AP122" s="3238" t="str">
        <f>"P&amp;L and Free Cash Flow (K): "&amp;Comp</f>
        <v>P&amp;L and Free Cash Flow (K): Def Exit</v>
      </c>
      <c r="AQ122" s="3239"/>
      <c r="AR122" s="3239"/>
      <c r="AS122" s="3239"/>
      <c r="AT122" s="3239"/>
      <c r="AU122" s="3239"/>
      <c r="AV122" s="3239"/>
      <c r="AW122" s="3239"/>
      <c r="AX122" s="3239"/>
      <c r="AY122" s="3239"/>
      <c r="AZ122" s="3239"/>
      <c r="BA122" s="3239"/>
      <c r="BB122" s="3239"/>
      <c r="BC122" s="3239"/>
      <c r="BD122" s="3239"/>
      <c r="BE122" s="3239"/>
      <c r="BF122" s="3239"/>
      <c r="BG122" s="3239"/>
      <c r="BH122" s="3239"/>
      <c r="BI122" s="3239"/>
      <c r="BJ122" s="3239"/>
      <c r="BK122" s="3239"/>
      <c r="BL122" s="3239"/>
      <c r="BM122" s="3239"/>
      <c r="BN122" s="3239"/>
      <c r="BO122" s="3239"/>
      <c r="BP122" s="3239"/>
      <c r="BQ122" s="3239"/>
      <c r="BR122" s="3239"/>
      <c r="BS122" s="3239"/>
      <c r="BT122" s="3239"/>
      <c r="BU122" s="3239"/>
      <c r="BV122" s="3239"/>
      <c r="BW122" s="3240"/>
      <c r="BX122" s="2141"/>
      <c r="BY122" s="1070"/>
      <c r="BZ122" s="3358" t="str">
        <f>"H / (L) vs. "&amp;Comp</f>
        <v>H / (L) vs. Def Exit</v>
      </c>
      <c r="CA122" s="3359"/>
      <c r="CB122" s="3359"/>
      <c r="CC122" s="3359"/>
      <c r="CD122" s="3359"/>
      <c r="CE122" s="3359"/>
      <c r="CF122" s="3359"/>
      <c r="CG122" s="3359"/>
      <c r="CH122" s="3359"/>
      <c r="CI122" s="3359"/>
      <c r="CJ122" s="3359"/>
      <c r="CK122" s="3359"/>
      <c r="CL122" s="3359"/>
      <c r="CM122" s="3359"/>
      <c r="CN122" s="3359"/>
      <c r="CO122" s="3359"/>
      <c r="CP122" s="3359"/>
      <c r="CQ122" s="3359"/>
      <c r="CR122" s="3359"/>
      <c r="CS122" s="3359"/>
      <c r="CT122" s="3359"/>
      <c r="CU122" s="3359"/>
      <c r="CV122" s="3359"/>
      <c r="CW122" s="3359"/>
      <c r="CX122" s="3359"/>
      <c r="CY122" s="3359"/>
      <c r="CZ122" s="3359"/>
      <c r="DA122" s="3359"/>
      <c r="DB122" s="3359"/>
      <c r="DC122" s="3359"/>
      <c r="DD122" s="3359"/>
      <c r="DE122" s="3359"/>
      <c r="DF122" s="3360"/>
      <c r="DG122" s="1070"/>
    </row>
    <row r="123" spans="1:111" s="1248" customFormat="1" ht="7.5" customHeight="1" x14ac:dyDescent="0.25">
      <c r="A123" s="1238"/>
      <c r="B123" s="1852"/>
      <c r="C123" s="1337"/>
      <c r="D123" s="1337"/>
      <c r="E123" s="1337"/>
      <c r="F123" s="1337"/>
      <c r="G123" s="1337"/>
      <c r="H123" s="1337"/>
      <c r="I123" s="1337"/>
      <c r="J123" s="1337"/>
      <c r="K123" s="1337"/>
      <c r="L123" s="3366"/>
      <c r="M123" s="3366"/>
      <c r="N123" s="3366"/>
      <c r="O123" s="1337"/>
      <c r="P123" s="1337"/>
      <c r="Q123" s="1337"/>
      <c r="R123" s="1337"/>
      <c r="S123" s="1337"/>
      <c r="T123" s="1337"/>
      <c r="U123" s="1337"/>
      <c r="V123" s="1337"/>
      <c r="W123" s="1337"/>
      <c r="X123" s="1337"/>
      <c r="Y123" s="1337"/>
      <c r="Z123" s="1337"/>
      <c r="AA123" s="1337"/>
      <c r="AB123" s="1337"/>
      <c r="AC123" s="1337"/>
      <c r="AD123" s="1337"/>
      <c r="AE123" s="1337"/>
      <c r="AF123" s="1337"/>
      <c r="AG123" s="1337"/>
      <c r="AH123" s="1337"/>
      <c r="AI123" s="1337"/>
      <c r="AJ123" s="3361"/>
      <c r="AK123" s="3361"/>
      <c r="AL123" s="1238"/>
      <c r="AM123" s="1238"/>
      <c r="AN123" s="1238"/>
      <c r="AO123" s="1238"/>
      <c r="AP123" s="1238"/>
      <c r="AQ123" s="1238"/>
      <c r="AR123" s="1238"/>
      <c r="AS123" s="1238"/>
      <c r="AT123" s="1238"/>
      <c r="AU123" s="1238"/>
      <c r="AV123" s="1238"/>
      <c r="AW123" s="1238"/>
      <c r="AX123" s="1238"/>
      <c r="AY123" s="1238"/>
      <c r="AZ123" s="1238"/>
      <c r="BA123" s="1238"/>
      <c r="BB123" s="1238"/>
      <c r="BC123" s="1238"/>
      <c r="BD123" s="1238"/>
      <c r="BE123" s="1238"/>
      <c r="BF123" s="1238"/>
      <c r="BG123" s="1238"/>
      <c r="BH123" s="1238"/>
      <c r="BI123" s="1238"/>
      <c r="BJ123" s="1238"/>
      <c r="BK123" s="1238"/>
      <c r="BL123" s="1238"/>
      <c r="BM123" s="1238"/>
      <c r="BN123" s="1238"/>
      <c r="BO123" s="1238"/>
      <c r="BP123" s="1238"/>
      <c r="BQ123" s="1238"/>
      <c r="BR123" s="1238"/>
      <c r="BS123" s="1238"/>
      <c r="BT123" s="3361"/>
      <c r="BU123" s="3361"/>
      <c r="BV123" s="1856"/>
      <c r="BW123" s="1856"/>
      <c r="BX123" s="1856"/>
      <c r="BY123" s="1238"/>
      <c r="BZ123" s="1238"/>
      <c r="CA123" s="1238"/>
      <c r="CB123" s="1238"/>
      <c r="CC123" s="1238"/>
      <c r="CD123" s="1238"/>
      <c r="CE123" s="1238"/>
      <c r="CF123" s="1238"/>
      <c r="CG123" s="1238"/>
      <c r="CH123" s="1238"/>
      <c r="CI123" s="1238"/>
      <c r="CJ123" s="1238"/>
      <c r="CK123" s="1238"/>
      <c r="CL123" s="1238"/>
      <c r="CM123" s="1238"/>
      <c r="CN123" s="1238"/>
      <c r="CO123" s="1238"/>
      <c r="CP123" s="1238"/>
      <c r="CQ123" s="1238"/>
      <c r="CR123" s="1238"/>
      <c r="CS123" s="1238"/>
      <c r="CT123" s="1238"/>
      <c r="CU123" s="1238"/>
      <c r="CV123" s="1238"/>
      <c r="CW123" s="1238"/>
      <c r="CX123" s="1238"/>
      <c r="CY123" s="1238"/>
      <c r="CZ123" s="1238"/>
      <c r="DA123" s="1238"/>
      <c r="DB123" s="1238"/>
      <c r="DC123" s="1238"/>
      <c r="DD123" s="1856"/>
      <c r="DE123" s="1238"/>
      <c r="DF123" s="1238"/>
      <c r="DG123" s="1238"/>
    </row>
    <row r="124" spans="1:111" s="1248" customFormat="1" ht="16.2" customHeight="1" x14ac:dyDescent="0.25">
      <c r="A124" s="1238"/>
      <c r="B124" s="1852"/>
      <c r="C124" s="1337"/>
      <c r="D124" s="1337"/>
      <c r="E124" s="1337"/>
      <c r="F124" s="1337"/>
      <c r="G124" s="1853">
        <f t="shared" ref="G124:X124" si="178">G8</f>
        <v>0</v>
      </c>
      <c r="H124" s="1853">
        <f t="shared" si="178"/>
        <v>0</v>
      </c>
      <c r="I124" s="1853">
        <f t="shared" si="178"/>
        <v>0</v>
      </c>
      <c r="J124" s="1853">
        <f t="shared" si="178"/>
        <v>0</v>
      </c>
      <c r="K124" s="1853">
        <f t="shared" si="178"/>
        <v>0</v>
      </c>
      <c r="L124" s="1853">
        <f t="shared" si="178"/>
        <v>0</v>
      </c>
      <c r="M124" s="1853">
        <f t="shared" si="178"/>
        <v>0</v>
      </c>
      <c r="N124" s="1853">
        <f t="shared" si="178"/>
        <v>0</v>
      </c>
      <c r="O124" s="1853">
        <f t="shared" si="178"/>
        <v>0</v>
      </c>
      <c r="P124" s="1853">
        <f t="shared" si="178"/>
        <v>0</v>
      </c>
      <c r="Q124" s="1853">
        <f t="shared" si="178"/>
        <v>0</v>
      </c>
      <c r="R124" s="1853">
        <f t="shared" si="178"/>
        <v>0</v>
      </c>
      <c r="S124" s="1853">
        <f t="shared" si="178"/>
        <v>0</v>
      </c>
      <c r="T124" s="1853">
        <f t="shared" si="178"/>
        <v>0</v>
      </c>
      <c r="U124" s="1853">
        <f t="shared" si="178"/>
        <v>0</v>
      </c>
      <c r="V124" s="1853">
        <f t="shared" si="178"/>
        <v>0</v>
      </c>
      <c r="W124" s="1853">
        <f t="shared" si="178"/>
        <v>0</v>
      </c>
      <c r="X124" s="1853">
        <f t="shared" si="178"/>
        <v>0</v>
      </c>
      <c r="Y124" s="1853"/>
      <c r="Z124" s="1853"/>
      <c r="AA124" s="1853"/>
      <c r="AB124" s="1853"/>
      <c r="AC124" s="1853"/>
      <c r="AD124" s="1853"/>
      <c r="AE124" s="1853"/>
      <c r="AF124" s="1853"/>
      <c r="AG124" s="1853"/>
      <c r="AH124" s="1853"/>
      <c r="AI124" s="1853">
        <f>AI8</f>
        <v>0</v>
      </c>
      <c r="AJ124" s="1854"/>
      <c r="AK124" s="1854"/>
      <c r="AL124" s="1238"/>
      <c r="AM124" s="1855"/>
      <c r="AN124" s="1238"/>
      <c r="AO124" s="1238"/>
      <c r="AP124" s="1238"/>
      <c r="AQ124" s="1238"/>
      <c r="AR124" s="1238"/>
      <c r="AS124" s="1238"/>
      <c r="AT124" s="1238"/>
      <c r="AU124" s="1238"/>
      <c r="AV124" s="1238"/>
      <c r="AW124" s="1238"/>
      <c r="AX124" s="1238"/>
      <c r="AY124" s="1238"/>
      <c r="AZ124" s="1238"/>
      <c r="BA124" s="1238"/>
      <c r="BB124" s="1238"/>
      <c r="BC124" s="1238"/>
      <c r="BD124" s="1238"/>
      <c r="BE124" s="1238"/>
      <c r="BF124" s="1238"/>
      <c r="BG124" s="1238"/>
      <c r="BH124" s="1238"/>
      <c r="BI124" s="1238"/>
      <c r="BJ124" s="1238"/>
      <c r="BK124" s="1238"/>
      <c r="BL124" s="1238"/>
      <c r="BM124" s="1238"/>
      <c r="BN124" s="1238"/>
      <c r="BO124" s="1238"/>
      <c r="BP124" s="1238"/>
      <c r="BQ124" s="1238"/>
      <c r="BR124" s="1238"/>
      <c r="BS124" s="1238"/>
      <c r="BT124" s="1856"/>
      <c r="BU124" s="1856"/>
      <c r="BV124" s="1856"/>
      <c r="BW124" s="1856"/>
      <c r="BX124" s="1856"/>
      <c r="BY124" s="1238"/>
      <c r="BZ124" s="1238"/>
      <c r="CA124" s="1238"/>
      <c r="CB124" s="1238"/>
      <c r="CC124" s="1238"/>
      <c r="CD124" s="1238"/>
      <c r="CE124" s="1238"/>
      <c r="CF124" s="1238"/>
      <c r="CG124" s="1238"/>
      <c r="CH124" s="1238"/>
      <c r="CI124" s="1238"/>
      <c r="CJ124" s="1238"/>
      <c r="CK124" s="1238"/>
      <c r="CL124" s="1238"/>
      <c r="CM124" s="1238"/>
      <c r="CN124" s="1238"/>
      <c r="CO124" s="1238"/>
      <c r="CP124" s="1238"/>
      <c r="CQ124" s="1238"/>
      <c r="CR124" s="1238"/>
      <c r="CS124" s="1238"/>
      <c r="CT124" s="1238"/>
      <c r="CU124" s="1238"/>
      <c r="CV124" s="1238"/>
      <c r="CW124" s="1238"/>
      <c r="CX124" s="1238"/>
      <c r="CY124" s="1238"/>
      <c r="CZ124" s="1238"/>
      <c r="DA124" s="1238"/>
      <c r="DB124" s="1238"/>
      <c r="DC124" s="1238"/>
      <c r="DD124" s="1856"/>
      <c r="DE124" s="1238"/>
      <c r="DF124" s="1238"/>
      <c r="DG124" s="1238"/>
    </row>
    <row r="125" spans="1:111" s="1248" customFormat="1" ht="16.2" customHeight="1" x14ac:dyDescent="0.3">
      <c r="A125" s="1238"/>
      <c r="B125" s="2635" t="s">
        <v>1662</v>
      </c>
      <c r="C125" s="1241"/>
      <c r="D125" s="1241"/>
      <c r="E125" s="1241"/>
      <c r="F125" s="1242" t="s">
        <v>739</v>
      </c>
      <c r="G125" s="1243" t="str">
        <f t="shared" ref="G125:AI125" si="179">+G9</f>
        <v>FY18</v>
      </c>
      <c r="H125" s="1243" t="str">
        <f t="shared" si="179"/>
        <v>FY19</v>
      </c>
      <c r="I125" s="1243" t="str">
        <f t="shared" si="179"/>
        <v>FY20</v>
      </c>
      <c r="J125" s="1243" t="str">
        <f t="shared" si="179"/>
        <v>FY21</v>
      </c>
      <c r="K125" s="1244" t="str">
        <f t="shared" si="179"/>
        <v>FY22</v>
      </c>
      <c r="L125" s="1244" t="str">
        <f t="shared" si="179"/>
        <v>FY23</v>
      </c>
      <c r="M125" s="1244" t="str">
        <f t="shared" si="179"/>
        <v>FY24</v>
      </c>
      <c r="N125" s="1244" t="str">
        <f t="shared" si="179"/>
        <v>FY25</v>
      </c>
      <c r="O125" s="1244" t="str">
        <f t="shared" si="179"/>
        <v>FY26</v>
      </c>
      <c r="P125" s="1244" t="str">
        <f t="shared" si="179"/>
        <v>FY27</v>
      </c>
      <c r="Q125" s="1244" t="str">
        <f t="shared" si="179"/>
        <v>FY28</v>
      </c>
      <c r="R125" s="1244" t="str">
        <f t="shared" si="179"/>
        <v>FY29</v>
      </c>
      <c r="S125" s="1244" t="str">
        <f t="shared" si="179"/>
        <v>FY30</v>
      </c>
      <c r="T125" s="1244" t="str">
        <f t="shared" si="179"/>
        <v>FY31</v>
      </c>
      <c r="U125" s="1244" t="str">
        <f t="shared" si="179"/>
        <v>FY32</v>
      </c>
      <c r="V125" s="1244" t="str">
        <f t="shared" si="179"/>
        <v>FY33</v>
      </c>
      <c r="W125" s="1244" t="str">
        <f t="shared" si="179"/>
        <v>FY34</v>
      </c>
      <c r="X125" s="1244" t="str">
        <f t="shared" si="179"/>
        <v>FY35</v>
      </c>
      <c r="Y125" s="1244" t="str">
        <f t="shared" si="179"/>
        <v>FY36</v>
      </c>
      <c r="Z125" s="1244" t="str">
        <f t="shared" si="179"/>
        <v>FY37</v>
      </c>
      <c r="AA125" s="1244" t="str">
        <f t="shared" si="179"/>
        <v>FY38</v>
      </c>
      <c r="AB125" s="1244" t="str">
        <f t="shared" si="179"/>
        <v>FY39</v>
      </c>
      <c r="AC125" s="1244" t="str">
        <f t="shared" si="179"/>
        <v>FY40</v>
      </c>
      <c r="AD125" s="1244" t="str">
        <f t="shared" si="179"/>
        <v>FY41</v>
      </c>
      <c r="AE125" s="1244" t="str">
        <f t="shared" si="179"/>
        <v>FY42</v>
      </c>
      <c r="AF125" s="1244" t="str">
        <f t="shared" si="179"/>
        <v>FY43</v>
      </c>
      <c r="AG125" s="1244" t="str">
        <f t="shared" si="179"/>
        <v>FY44</v>
      </c>
      <c r="AH125" s="1244" t="str">
        <f t="shared" si="179"/>
        <v>FY45</v>
      </c>
      <c r="AI125" s="1244" t="str">
        <f t="shared" si="179"/>
        <v>FY46</v>
      </c>
      <c r="AJ125" s="1239" t="str">
        <f>"FY"&amp;CurrentFY&amp;"-"&amp;CurrentFY+9</f>
        <v>FY18-27</v>
      </c>
      <c r="AK125" s="1245" t="s">
        <v>1315</v>
      </c>
      <c r="AL125" s="1238"/>
      <c r="AM125" s="1857" t="str">
        <f>"FY"&amp;CurrentFY&amp;"-"&amp;CurrentFY+14</f>
        <v>FY18-32</v>
      </c>
      <c r="AN125" s="1070"/>
      <c r="AO125" s="1238"/>
      <c r="AP125" s="1242" t="s">
        <v>739</v>
      </c>
      <c r="AQ125" s="1243" t="str">
        <f t="shared" ref="AQ125:BS125" si="180">AQ9</f>
        <v>FY18</v>
      </c>
      <c r="AR125" s="1243" t="str">
        <f t="shared" si="180"/>
        <v>FY19</v>
      </c>
      <c r="AS125" s="1243" t="str">
        <f t="shared" si="180"/>
        <v>FY20</v>
      </c>
      <c r="AT125" s="1243" t="str">
        <f t="shared" si="180"/>
        <v>FY21</v>
      </c>
      <c r="AU125" s="1244" t="str">
        <f t="shared" si="180"/>
        <v>FY22</v>
      </c>
      <c r="AV125" s="1244" t="str">
        <f t="shared" si="180"/>
        <v>FY23</v>
      </c>
      <c r="AW125" s="1244" t="str">
        <f t="shared" si="180"/>
        <v>FY24</v>
      </c>
      <c r="AX125" s="1244" t="str">
        <f t="shared" si="180"/>
        <v>FY25</v>
      </c>
      <c r="AY125" s="1244" t="str">
        <f t="shared" si="180"/>
        <v>FY26</v>
      </c>
      <c r="AZ125" s="1244" t="str">
        <f t="shared" si="180"/>
        <v>FY27</v>
      </c>
      <c r="BA125" s="1244" t="str">
        <f t="shared" si="180"/>
        <v>FY28</v>
      </c>
      <c r="BB125" s="1244" t="str">
        <f t="shared" si="180"/>
        <v>FY29</v>
      </c>
      <c r="BC125" s="1244" t="str">
        <f t="shared" si="180"/>
        <v>FY30</v>
      </c>
      <c r="BD125" s="1244" t="str">
        <f t="shared" si="180"/>
        <v>FY31</v>
      </c>
      <c r="BE125" s="1244" t="str">
        <f t="shared" si="180"/>
        <v>FY32</v>
      </c>
      <c r="BF125" s="1244" t="str">
        <f t="shared" si="180"/>
        <v>FY33</v>
      </c>
      <c r="BG125" s="1244" t="str">
        <f t="shared" si="180"/>
        <v>FY34</v>
      </c>
      <c r="BH125" s="1858" t="str">
        <f t="shared" si="180"/>
        <v>FY35</v>
      </c>
      <c r="BI125" s="1244" t="str">
        <f t="shared" si="180"/>
        <v>FY36</v>
      </c>
      <c r="BJ125" s="1244" t="str">
        <f t="shared" si="180"/>
        <v>FY37</v>
      </c>
      <c r="BK125" s="1244" t="str">
        <f t="shared" si="180"/>
        <v>FY38</v>
      </c>
      <c r="BL125" s="1244" t="str">
        <f t="shared" si="180"/>
        <v>FY39</v>
      </c>
      <c r="BM125" s="1244" t="str">
        <f t="shared" si="180"/>
        <v>FY40</v>
      </c>
      <c r="BN125" s="1244" t="str">
        <f t="shared" si="180"/>
        <v>FY41</v>
      </c>
      <c r="BO125" s="1244" t="str">
        <f t="shared" si="180"/>
        <v>FY42</v>
      </c>
      <c r="BP125" s="1244" t="str">
        <f t="shared" si="180"/>
        <v>FY43</v>
      </c>
      <c r="BQ125" s="1244" t="str">
        <f t="shared" si="180"/>
        <v>FY44</v>
      </c>
      <c r="BR125" s="1244" t="str">
        <f t="shared" si="180"/>
        <v>FY45</v>
      </c>
      <c r="BS125" s="1858" t="str">
        <f t="shared" si="180"/>
        <v>FY46</v>
      </c>
      <c r="BT125" s="1239" t="str">
        <f>"FY"&amp;CurrentFY&amp;"-"&amp;CurrentFY+9</f>
        <v>FY18-27</v>
      </c>
      <c r="BU125" s="1245" t="s">
        <v>1315</v>
      </c>
      <c r="BV125" s="1859"/>
      <c r="BW125" s="1857" t="str">
        <f>"FY"&amp;CurrentFY&amp;"-"&amp;CurrentFY+14</f>
        <v>FY18-32</v>
      </c>
      <c r="BX125" s="1859"/>
      <c r="BY125" s="1238"/>
      <c r="BZ125" s="1242" t="s">
        <v>739</v>
      </c>
      <c r="CA125" s="1243" t="str">
        <f t="shared" ref="CA125:DC125" si="181">CA9</f>
        <v>FY18</v>
      </c>
      <c r="CB125" s="1243" t="str">
        <f t="shared" si="181"/>
        <v>FY19</v>
      </c>
      <c r="CC125" s="1243" t="str">
        <f t="shared" si="181"/>
        <v>FY20</v>
      </c>
      <c r="CD125" s="1243" t="str">
        <f t="shared" si="181"/>
        <v>FY21</v>
      </c>
      <c r="CE125" s="1244" t="str">
        <f t="shared" si="181"/>
        <v>FY22</v>
      </c>
      <c r="CF125" s="1244" t="str">
        <f t="shared" si="181"/>
        <v>FY23</v>
      </c>
      <c r="CG125" s="1244" t="str">
        <f t="shared" si="181"/>
        <v>FY24</v>
      </c>
      <c r="CH125" s="1244" t="str">
        <f t="shared" si="181"/>
        <v>FY25</v>
      </c>
      <c r="CI125" s="1244" t="str">
        <f t="shared" si="181"/>
        <v>FY26</v>
      </c>
      <c r="CJ125" s="1244" t="str">
        <f t="shared" si="181"/>
        <v>FY27</v>
      </c>
      <c r="CK125" s="1244" t="str">
        <f t="shared" si="181"/>
        <v>FY28</v>
      </c>
      <c r="CL125" s="1244" t="str">
        <f t="shared" si="181"/>
        <v>FY29</v>
      </c>
      <c r="CM125" s="1244" t="str">
        <f t="shared" si="181"/>
        <v>FY30</v>
      </c>
      <c r="CN125" s="1244" t="str">
        <f t="shared" si="181"/>
        <v>FY31</v>
      </c>
      <c r="CO125" s="1244" t="str">
        <f t="shared" si="181"/>
        <v>FY32</v>
      </c>
      <c r="CP125" s="1244" t="str">
        <f t="shared" si="181"/>
        <v>FY33</v>
      </c>
      <c r="CQ125" s="1244" t="str">
        <f t="shared" si="181"/>
        <v>FY34</v>
      </c>
      <c r="CR125" s="1244" t="str">
        <f t="shared" si="181"/>
        <v>FY35</v>
      </c>
      <c r="CS125" s="1244" t="str">
        <f t="shared" si="181"/>
        <v>FY36</v>
      </c>
      <c r="CT125" s="1244" t="str">
        <f t="shared" si="181"/>
        <v>FY37</v>
      </c>
      <c r="CU125" s="1244" t="str">
        <f t="shared" si="181"/>
        <v>FY38</v>
      </c>
      <c r="CV125" s="1244" t="str">
        <f t="shared" si="181"/>
        <v>FY39</v>
      </c>
      <c r="CW125" s="1244" t="str">
        <f t="shared" si="181"/>
        <v>FY40</v>
      </c>
      <c r="CX125" s="1244" t="str">
        <f t="shared" si="181"/>
        <v>FY41</v>
      </c>
      <c r="CY125" s="1244" t="str">
        <f t="shared" si="181"/>
        <v>FY42</v>
      </c>
      <c r="CZ125" s="1244" t="str">
        <f t="shared" si="181"/>
        <v>FY43</v>
      </c>
      <c r="DA125" s="1244" t="str">
        <f t="shared" si="181"/>
        <v>FY44</v>
      </c>
      <c r="DB125" s="1244" t="str">
        <f t="shared" si="181"/>
        <v>FY45</v>
      </c>
      <c r="DC125" s="1244" t="str">
        <f t="shared" si="181"/>
        <v>FY46</v>
      </c>
      <c r="DD125" s="1239" t="str">
        <f>"FY"&amp;CurrentFY&amp;"-"&amp;CurrentFY+9</f>
        <v>FY18-27</v>
      </c>
      <c r="DE125" s="1238"/>
      <c r="DF125" s="1752" t="str">
        <f>"FY"&amp;CurrentFY&amp;"-"&amp;CurrentFY+14</f>
        <v>FY18-32</v>
      </c>
      <c r="DG125" s="1238"/>
    </row>
    <row r="126" spans="1:111" ht="6.6" customHeight="1" x14ac:dyDescent="0.3">
      <c r="A126" s="1070"/>
      <c r="B126" s="1149"/>
      <c r="C126" s="1142"/>
      <c r="D126" s="1142"/>
      <c r="E126" s="1142"/>
      <c r="F126" s="1145"/>
      <c r="G126" s="1127"/>
      <c r="H126" s="1127"/>
      <c r="I126" s="1127"/>
      <c r="J126" s="1127"/>
      <c r="K126" s="1127"/>
      <c r="L126" s="1127"/>
      <c r="M126" s="1127"/>
      <c r="N126" s="1127"/>
      <c r="O126" s="1249"/>
      <c r="P126" s="1249"/>
      <c r="Q126" s="1249"/>
      <c r="R126" s="1249"/>
      <c r="S126" s="1249"/>
      <c r="T126" s="1249"/>
      <c r="U126" s="1249"/>
      <c r="V126" s="1249"/>
      <c r="W126" s="1249"/>
      <c r="X126" s="1249"/>
      <c r="Y126" s="1249"/>
      <c r="Z126" s="1249"/>
      <c r="AA126" s="1249"/>
      <c r="AB126" s="1249"/>
      <c r="AC126" s="1249"/>
      <c r="AD126" s="1249"/>
      <c r="AE126" s="1249"/>
      <c r="AF126" s="1249"/>
      <c r="AG126" s="1249"/>
      <c r="AH126" s="1249"/>
      <c r="AI126" s="1249"/>
      <c r="AJ126" s="1250"/>
      <c r="AK126" s="1249"/>
      <c r="AL126" s="1070"/>
      <c r="AM126" s="1070"/>
      <c r="AN126" s="1070"/>
      <c r="AO126" s="1070"/>
      <c r="AP126" s="1145"/>
      <c r="AQ126" s="1127"/>
      <c r="AR126" s="1127"/>
      <c r="AS126" s="1127"/>
      <c r="AT126" s="1127"/>
      <c r="AU126" s="1127"/>
      <c r="AV126" s="1127"/>
      <c r="AW126" s="1127"/>
      <c r="AX126" s="1867"/>
      <c r="AY126" s="1868"/>
      <c r="AZ126" s="1868"/>
      <c r="BA126" s="1868"/>
      <c r="BB126" s="1868"/>
      <c r="BC126" s="1868"/>
      <c r="BD126" s="1868"/>
      <c r="BE126" s="1868"/>
      <c r="BF126" s="1868"/>
      <c r="BG126" s="1868"/>
      <c r="BH126" s="1868"/>
      <c r="BI126" s="1868"/>
      <c r="BJ126" s="1868"/>
      <c r="BK126" s="1868"/>
      <c r="BL126" s="1868"/>
      <c r="BM126" s="1868"/>
      <c r="BN126" s="1868"/>
      <c r="BO126" s="1868"/>
      <c r="BP126" s="1868"/>
      <c r="BQ126" s="1868"/>
      <c r="BR126" s="1868"/>
      <c r="BS126" s="1868"/>
      <c r="BT126" s="1250"/>
      <c r="BU126" s="1249"/>
      <c r="BV126" s="1869"/>
      <c r="BW126" s="1070"/>
      <c r="BX126" s="1869"/>
      <c r="BY126" s="1070"/>
      <c r="BZ126" s="1145"/>
      <c r="CA126" s="1142"/>
      <c r="CB126" s="1142"/>
      <c r="CC126" s="1142"/>
      <c r="CD126" s="1142"/>
      <c r="CE126" s="1142"/>
      <c r="CF126" s="1142"/>
      <c r="CG126" s="1142"/>
      <c r="CH126" s="1758"/>
      <c r="CI126" s="1759"/>
      <c r="CJ126" s="1759"/>
      <c r="CK126" s="1759"/>
      <c r="CL126" s="1759"/>
      <c r="CM126" s="1759"/>
      <c r="CN126" s="1759"/>
      <c r="CO126" s="1759"/>
      <c r="CP126" s="1759"/>
      <c r="CQ126" s="1759"/>
      <c r="CR126" s="1759"/>
      <c r="CS126" s="1759"/>
      <c r="CT126" s="1759"/>
      <c r="CU126" s="1759"/>
      <c r="CV126" s="1759"/>
      <c r="CW126" s="1759"/>
      <c r="CX126" s="1759"/>
      <c r="CY126" s="1759"/>
      <c r="CZ126" s="1759"/>
      <c r="DA126" s="1759"/>
      <c r="DB126" s="1759"/>
      <c r="DC126" s="1759"/>
      <c r="DD126" s="1760"/>
      <c r="DE126" s="1070"/>
      <c r="DF126" s="1760"/>
      <c r="DG126" s="1070"/>
    </row>
    <row r="127" spans="1:111" s="1265" customFormat="1" ht="18" x14ac:dyDescent="0.3">
      <c r="A127" s="1260"/>
      <c r="B127" s="1253" t="s">
        <v>1650</v>
      </c>
      <c r="C127" s="1254"/>
      <c r="D127" s="1254"/>
      <c r="E127" s="1255"/>
      <c r="F127" s="1256">
        <f>IF(G$113&lt;Input!$F$48,$G127,0)+IF(H$113&lt;Input!$F$48,$H127,0)+IF(I$113&lt;Input!$F$48,$I127,0)+IF(J$113&lt;Input!$F$48,$J127,0)+IF(K$113&lt;Input!$F$48,$K127,0)+IF(L$113&lt;Input!$F$48,$L127,0)+IF(M$113&lt;Input!$F$48,$M127,0)+IF(N$113&lt;Input!$F$48,$N127,0)+IF(O$113&lt;Input!$F$48,$O127,0)+IF(P$113&lt;Input!$F$48,$P127,0)+IF(Q$113&lt;Input!$F$48,$Q127,0)+IF(R$113&lt;Input!$F$48,$R127,0)+IF(S$113&lt;Input!$F$48,$S127,0)+IF(T$113&lt;Input!$F$48,$T127,0)+IF(U$113&lt;Input!$F$48,$U127,0)+IF(V$113&lt;Input!$F$48,$V127,0)+IF(W$113&lt;Input!$F$48,$W127,0)</f>
        <v>0</v>
      </c>
      <c r="G127" s="1257">
        <f>G16+G37+G58+G79+G100</f>
        <v>0</v>
      </c>
      <c r="H127" s="1257">
        <f t="shared" ref="H127:AI127" si="182">H16+H37+H58+H79+H100</f>
        <v>0</v>
      </c>
      <c r="I127" s="1257">
        <f t="shared" si="182"/>
        <v>0</v>
      </c>
      <c r="J127" s="1257">
        <f t="shared" si="182"/>
        <v>0</v>
      </c>
      <c r="K127" s="1257">
        <f t="shared" si="182"/>
        <v>0</v>
      </c>
      <c r="L127" s="1257">
        <f t="shared" si="182"/>
        <v>16667.203805107201</v>
      </c>
      <c r="M127" s="1257">
        <f t="shared" si="182"/>
        <v>38568.729451259293</v>
      </c>
      <c r="N127" s="1257">
        <f t="shared" si="182"/>
        <v>73523.96947665418</v>
      </c>
      <c r="O127" s="1257">
        <f t="shared" si="182"/>
        <v>110318.99500952553</v>
      </c>
      <c r="P127" s="1257">
        <f t="shared" si="182"/>
        <v>137341.05381475933</v>
      </c>
      <c r="Q127" s="1257">
        <f t="shared" si="182"/>
        <v>152865.10012769504</v>
      </c>
      <c r="R127" s="1257">
        <f t="shared" si="182"/>
        <v>165744.56703901547</v>
      </c>
      <c r="S127" s="1257">
        <f t="shared" si="182"/>
        <v>190189.87253450209</v>
      </c>
      <c r="T127" s="1257">
        <f t="shared" si="182"/>
        <v>198826.88370596603</v>
      </c>
      <c r="U127" s="1257">
        <f t="shared" si="182"/>
        <v>239308.03722850067</v>
      </c>
      <c r="V127" s="1257">
        <f t="shared" si="182"/>
        <v>268535.02227712964</v>
      </c>
      <c r="W127" s="1257">
        <f t="shared" si="182"/>
        <v>308703.14307628642</v>
      </c>
      <c r="X127" s="1257">
        <f t="shared" si="182"/>
        <v>252787.09082071079</v>
      </c>
      <c r="Y127" s="1257">
        <f t="shared" si="182"/>
        <v>0</v>
      </c>
      <c r="Z127" s="1257">
        <f t="shared" si="182"/>
        <v>0</v>
      </c>
      <c r="AA127" s="1257">
        <f t="shared" si="182"/>
        <v>0</v>
      </c>
      <c r="AB127" s="1257">
        <f t="shared" si="182"/>
        <v>0</v>
      </c>
      <c r="AC127" s="1257">
        <f t="shared" si="182"/>
        <v>0</v>
      </c>
      <c r="AD127" s="1257">
        <f t="shared" si="182"/>
        <v>0</v>
      </c>
      <c r="AE127" s="1257">
        <f t="shared" si="182"/>
        <v>0</v>
      </c>
      <c r="AF127" s="1257">
        <f t="shared" si="182"/>
        <v>0</v>
      </c>
      <c r="AG127" s="1257">
        <f t="shared" si="182"/>
        <v>0</v>
      </c>
      <c r="AH127" s="1257">
        <f t="shared" si="182"/>
        <v>0</v>
      </c>
      <c r="AI127" s="1257">
        <f t="shared" si="182"/>
        <v>0</v>
      </c>
      <c r="AJ127" s="1258">
        <f>SUMIF($G$115:$AI$115,"1",$G127:$AI127)</f>
        <v>376419.95155730553</v>
      </c>
      <c r="AK127" s="1259"/>
      <c r="AL127" s="1272"/>
      <c r="AM127" s="1256">
        <f>SUMIF($G$115:$AI$115,"1",$G127:$AI127)+SUMIF($G$115:$AI$115,"2",$G127:$AI127)</f>
        <v>1323354.4121929849</v>
      </c>
      <c r="AN127" s="1371"/>
      <c r="AO127" s="1260"/>
      <c r="AP127" s="1256">
        <f>IF(AQ$113&lt;Input!$F$48,$AQ127,0)+IF(AR$113&lt;Input!$F$48,$AR127,0)+IF(AS$113&lt;Input!$F$48,$AS127,0)+IF(AT$113&lt;Input!$F$48,$AT127,0)+IF(AU$113&lt;Input!$F$48,$AU127,0)+IF(AV$113&lt;Input!$F$48,$AV127,0)+IF(AW$113&lt;Input!$F$48,$AW127,0)+IF(AX$113&lt;Input!$F$48,$AX127,0)+IF(AY$113&lt;Input!$F$48,$AY127,0)+IF(AZ$113&lt;Input!$F$48,$AZ127,0)+IF(BA$113&lt;Input!$F$48,$BA127,0)+IF(BB$113&lt;Input!$F$48,$BB127,0)+IF(BC$113&lt;Input!$F$48,$BC127,0)+IF(BD$113&lt;Input!$F$48,$BD127,0)+IF(BE$113&lt;Input!$F$48,$BE127,0)+IF(BF$113&lt;Input!$F$48,$BF127,0)+IF(BG$113&lt;Input!$F$48,$BG127,0)</f>
        <v>0</v>
      </c>
      <c r="AQ127" s="1258">
        <f t="shared" ref="AQ127:BS127" si="183">AQ16+AQ37+AQ58+AQ79+AQ100</f>
        <v>0</v>
      </c>
      <c r="AR127" s="1257">
        <f t="shared" si="183"/>
        <v>0</v>
      </c>
      <c r="AS127" s="1257">
        <f t="shared" si="183"/>
        <v>0</v>
      </c>
      <c r="AT127" s="1257">
        <f t="shared" si="183"/>
        <v>0</v>
      </c>
      <c r="AU127" s="1257">
        <f t="shared" si="183"/>
        <v>0</v>
      </c>
      <c r="AV127" s="1257">
        <f t="shared" si="183"/>
        <v>0</v>
      </c>
      <c r="AW127" s="1257">
        <f t="shared" si="183"/>
        <v>0</v>
      </c>
      <c r="AX127" s="1257">
        <f t="shared" si="183"/>
        <v>0</v>
      </c>
      <c r="AY127" s="1257">
        <f t="shared" si="183"/>
        <v>0</v>
      </c>
      <c r="AZ127" s="1257">
        <f t="shared" si="183"/>
        <v>0</v>
      </c>
      <c r="BA127" s="1257">
        <f t="shared" si="183"/>
        <v>0</v>
      </c>
      <c r="BB127" s="1257">
        <f t="shared" si="183"/>
        <v>0</v>
      </c>
      <c r="BC127" s="1257">
        <f t="shared" si="183"/>
        <v>0</v>
      </c>
      <c r="BD127" s="1257">
        <f t="shared" si="183"/>
        <v>0</v>
      </c>
      <c r="BE127" s="1257">
        <f t="shared" si="183"/>
        <v>0</v>
      </c>
      <c r="BF127" s="1257">
        <f t="shared" si="183"/>
        <v>0</v>
      </c>
      <c r="BG127" s="1257">
        <f t="shared" si="183"/>
        <v>0</v>
      </c>
      <c r="BH127" s="1257">
        <f t="shared" si="183"/>
        <v>0</v>
      </c>
      <c r="BI127" s="1257">
        <f t="shared" si="183"/>
        <v>0</v>
      </c>
      <c r="BJ127" s="1257">
        <f t="shared" si="183"/>
        <v>0</v>
      </c>
      <c r="BK127" s="1257">
        <f t="shared" si="183"/>
        <v>0</v>
      </c>
      <c r="BL127" s="1257">
        <f t="shared" si="183"/>
        <v>0</v>
      </c>
      <c r="BM127" s="1257">
        <f t="shared" si="183"/>
        <v>0</v>
      </c>
      <c r="BN127" s="1257">
        <f t="shared" si="183"/>
        <v>0</v>
      </c>
      <c r="BO127" s="1257">
        <f t="shared" si="183"/>
        <v>0</v>
      </c>
      <c r="BP127" s="1257">
        <f t="shared" si="183"/>
        <v>0</v>
      </c>
      <c r="BQ127" s="1257">
        <f t="shared" si="183"/>
        <v>0</v>
      </c>
      <c r="BR127" s="1257">
        <f t="shared" si="183"/>
        <v>0</v>
      </c>
      <c r="BS127" s="1257">
        <f t="shared" si="183"/>
        <v>0</v>
      </c>
      <c r="BT127" s="1258">
        <f>SUMIF($AQ$115:$BS$115,"1",$AQ127:$BS127)</f>
        <v>0</v>
      </c>
      <c r="BU127" s="1259"/>
      <c r="BV127" s="1398"/>
      <c r="BW127" s="1256">
        <f>SUMIF($AQ$115:$BS$115,"1",$AQ127:$BS127)+SUMIF($AQ$115:$BS$115,"2",$AQ127:$BS127)</f>
        <v>0</v>
      </c>
      <c r="BX127" s="1398"/>
      <c r="BY127" s="1260"/>
      <c r="BZ127" s="1256">
        <f t="shared" ref="BZ127:DC127" si="184">F127-AP127</f>
        <v>0</v>
      </c>
      <c r="CA127" s="1258">
        <f t="shared" si="184"/>
        <v>0</v>
      </c>
      <c r="CB127" s="1257">
        <f t="shared" si="184"/>
        <v>0</v>
      </c>
      <c r="CC127" s="1257">
        <f t="shared" si="184"/>
        <v>0</v>
      </c>
      <c r="CD127" s="1257">
        <f t="shared" si="184"/>
        <v>0</v>
      </c>
      <c r="CE127" s="1257">
        <f t="shared" si="184"/>
        <v>0</v>
      </c>
      <c r="CF127" s="1257">
        <f t="shared" si="184"/>
        <v>16667.203805107201</v>
      </c>
      <c r="CG127" s="1257">
        <f t="shared" si="184"/>
        <v>38568.729451259293</v>
      </c>
      <c r="CH127" s="1257">
        <f t="shared" si="184"/>
        <v>73523.96947665418</v>
      </c>
      <c r="CI127" s="1257">
        <f t="shared" si="184"/>
        <v>110318.99500952553</v>
      </c>
      <c r="CJ127" s="1257">
        <f t="shared" si="184"/>
        <v>137341.05381475933</v>
      </c>
      <c r="CK127" s="1257">
        <f t="shared" si="184"/>
        <v>152865.10012769504</v>
      </c>
      <c r="CL127" s="1257">
        <f t="shared" si="184"/>
        <v>165744.56703901547</v>
      </c>
      <c r="CM127" s="1257">
        <f t="shared" si="184"/>
        <v>190189.87253450209</v>
      </c>
      <c r="CN127" s="1257">
        <f t="shared" si="184"/>
        <v>198826.88370596603</v>
      </c>
      <c r="CO127" s="1257">
        <f t="shared" si="184"/>
        <v>239308.03722850067</v>
      </c>
      <c r="CP127" s="1257">
        <f t="shared" si="184"/>
        <v>268535.02227712964</v>
      </c>
      <c r="CQ127" s="1257">
        <f t="shared" si="184"/>
        <v>308703.14307628642</v>
      </c>
      <c r="CR127" s="1257">
        <f t="shared" si="184"/>
        <v>252787.09082071079</v>
      </c>
      <c r="CS127" s="1257">
        <f t="shared" si="184"/>
        <v>0</v>
      </c>
      <c r="CT127" s="1257">
        <f t="shared" si="184"/>
        <v>0</v>
      </c>
      <c r="CU127" s="1257">
        <f t="shared" si="184"/>
        <v>0</v>
      </c>
      <c r="CV127" s="1257">
        <f t="shared" si="184"/>
        <v>0</v>
      </c>
      <c r="CW127" s="1257">
        <f t="shared" si="184"/>
        <v>0</v>
      </c>
      <c r="CX127" s="1257">
        <f t="shared" si="184"/>
        <v>0</v>
      </c>
      <c r="CY127" s="1257">
        <f t="shared" si="184"/>
        <v>0</v>
      </c>
      <c r="CZ127" s="1257">
        <f t="shared" si="184"/>
        <v>0</v>
      </c>
      <c r="DA127" s="1257">
        <f t="shared" si="184"/>
        <v>0</v>
      </c>
      <c r="DB127" s="1257">
        <f t="shared" si="184"/>
        <v>0</v>
      </c>
      <c r="DC127" s="1257">
        <f t="shared" si="184"/>
        <v>0</v>
      </c>
      <c r="DD127" s="1256">
        <f>AJ127-BT127</f>
        <v>376419.95155730553</v>
      </c>
      <c r="DE127" s="1260"/>
      <c r="DF127" s="1256">
        <f>AM127-BW127</f>
        <v>1323354.4121929849</v>
      </c>
      <c r="DG127" s="1260"/>
    </row>
    <row r="128" spans="1:111" s="1278" customFormat="1" ht="15" customHeight="1" x14ac:dyDescent="0.3">
      <c r="A128" s="1272"/>
      <c r="B128" s="1266" t="s">
        <v>1317</v>
      </c>
      <c r="C128" s="1267"/>
      <c r="D128" s="1267"/>
      <c r="E128" s="1267"/>
      <c r="F128" s="1268"/>
      <c r="G128" s="1269">
        <f>IFERROR(IF(ABS((G127-D127)/D127)&gt;200%,0,(G127-D127)/D127),0)</f>
        <v>0</v>
      </c>
      <c r="H128" s="1269">
        <f>IFERROR(IF(ABS((H127-G127)/G127)&gt;200%,0,(H127-G127)/G127),0)</f>
        <v>0</v>
      </c>
      <c r="I128" s="1269">
        <f t="shared" ref="I128:AI128" si="185">IFERROR(IF(ABS((I127-H127)/H127)&gt;200%,0,(I127-H127)/H127),0)</f>
        <v>0</v>
      </c>
      <c r="J128" s="1269">
        <f t="shared" si="185"/>
        <v>0</v>
      </c>
      <c r="K128" s="1269">
        <f t="shared" si="185"/>
        <v>0</v>
      </c>
      <c r="L128" s="1269">
        <f t="shared" si="185"/>
        <v>0</v>
      </c>
      <c r="M128" s="1269">
        <f t="shared" si="185"/>
        <v>1.3140491891891894</v>
      </c>
      <c r="N128" s="1269">
        <f t="shared" si="185"/>
        <v>0.90631038467495006</v>
      </c>
      <c r="O128" s="1269">
        <f t="shared" si="185"/>
        <v>0.50044938806731265</v>
      </c>
      <c r="P128" s="1269">
        <f t="shared" si="185"/>
        <v>0.24494475138121563</v>
      </c>
      <c r="Q128" s="1269">
        <f t="shared" si="185"/>
        <v>0.11303281780460184</v>
      </c>
      <c r="R128" s="1269">
        <f t="shared" si="185"/>
        <v>8.4253808754003595E-2</v>
      </c>
      <c r="S128" s="1269">
        <f t="shared" si="185"/>
        <v>0.14748782377724826</v>
      </c>
      <c r="T128" s="1269">
        <f t="shared" si="185"/>
        <v>4.541257142857124E-2</v>
      </c>
      <c r="U128" s="1269">
        <f t="shared" si="185"/>
        <v>0.20359999999999981</v>
      </c>
      <c r="V128" s="1269">
        <f t="shared" si="185"/>
        <v>0.12213123047230502</v>
      </c>
      <c r="W128" s="1269">
        <f t="shared" si="185"/>
        <v>0.14958242861038459</v>
      </c>
      <c r="X128" s="1269">
        <f t="shared" si="185"/>
        <v>-0.18113211190000003</v>
      </c>
      <c r="Y128" s="1269">
        <f t="shared" si="185"/>
        <v>-1</v>
      </c>
      <c r="Z128" s="1269">
        <f t="shared" si="185"/>
        <v>0</v>
      </c>
      <c r="AA128" s="1269">
        <f t="shared" si="185"/>
        <v>0</v>
      </c>
      <c r="AB128" s="1269">
        <f t="shared" si="185"/>
        <v>0</v>
      </c>
      <c r="AC128" s="1269">
        <f t="shared" si="185"/>
        <v>0</v>
      </c>
      <c r="AD128" s="1269">
        <f t="shared" si="185"/>
        <v>0</v>
      </c>
      <c r="AE128" s="1269">
        <f t="shared" si="185"/>
        <v>0</v>
      </c>
      <c r="AF128" s="1269">
        <f t="shared" si="185"/>
        <v>0</v>
      </c>
      <c r="AG128" s="1269">
        <f t="shared" si="185"/>
        <v>0</v>
      </c>
      <c r="AH128" s="1269">
        <f t="shared" si="185"/>
        <v>0</v>
      </c>
      <c r="AI128" s="1269">
        <f t="shared" si="185"/>
        <v>0</v>
      </c>
      <c r="AJ128" s="1270">
        <f>IFERROR(((HLOOKUP(CurrentFY+9,$B$113:$AM$127,15,0)/HLOOKUP(CurrentFY+5,$B$113:$AM$127,15,0))^(1/4)-1),0)</f>
        <v>0.6942769690809576</v>
      </c>
      <c r="AK128" s="1271" t="s">
        <v>1318</v>
      </c>
      <c r="AL128" s="1272"/>
      <c r="AM128" s="1273">
        <f>IFERROR(((HLOOKUP(CurrentFY+14,$B$113:$AM$127,15,0)/HLOOKUP(CurrentFY+10,$B$113:$AM$127,15,0))^(1/4)-1),0)</f>
        <v>0.11856759831460995</v>
      </c>
      <c r="AN128" s="1269"/>
      <c r="AO128" s="1260"/>
      <c r="AP128" s="1268"/>
      <c r="AQ128" s="1270">
        <f t="shared" ref="AQ128:BS128" si="186">IFERROR(IF(ABS((AQ127-AP127)/AP127)&gt;200%,0,(AQ127-AP127)/AP127),0)</f>
        <v>0</v>
      </c>
      <c r="AR128" s="1269">
        <f t="shared" si="186"/>
        <v>0</v>
      </c>
      <c r="AS128" s="1269">
        <f t="shared" si="186"/>
        <v>0</v>
      </c>
      <c r="AT128" s="1269">
        <f t="shared" si="186"/>
        <v>0</v>
      </c>
      <c r="AU128" s="1269">
        <f t="shared" si="186"/>
        <v>0</v>
      </c>
      <c r="AV128" s="1269">
        <f t="shared" si="186"/>
        <v>0</v>
      </c>
      <c r="AW128" s="1269">
        <f t="shared" si="186"/>
        <v>0</v>
      </c>
      <c r="AX128" s="1269">
        <f t="shared" si="186"/>
        <v>0</v>
      </c>
      <c r="AY128" s="1269">
        <f t="shared" si="186"/>
        <v>0</v>
      </c>
      <c r="AZ128" s="1269">
        <f t="shared" si="186"/>
        <v>0</v>
      </c>
      <c r="BA128" s="1269">
        <f t="shared" si="186"/>
        <v>0</v>
      </c>
      <c r="BB128" s="1269">
        <f t="shared" si="186"/>
        <v>0</v>
      </c>
      <c r="BC128" s="1269">
        <f t="shared" si="186"/>
        <v>0</v>
      </c>
      <c r="BD128" s="1269">
        <f t="shared" si="186"/>
        <v>0</v>
      </c>
      <c r="BE128" s="1269">
        <f t="shared" si="186"/>
        <v>0</v>
      </c>
      <c r="BF128" s="1269">
        <f t="shared" si="186"/>
        <v>0</v>
      </c>
      <c r="BG128" s="1269">
        <f t="shared" si="186"/>
        <v>0</v>
      </c>
      <c r="BH128" s="1269">
        <f t="shared" si="186"/>
        <v>0</v>
      </c>
      <c r="BI128" s="1269">
        <f t="shared" si="186"/>
        <v>0</v>
      </c>
      <c r="BJ128" s="1269">
        <f t="shared" si="186"/>
        <v>0</v>
      </c>
      <c r="BK128" s="1269">
        <f t="shared" si="186"/>
        <v>0</v>
      </c>
      <c r="BL128" s="1269">
        <f t="shared" si="186"/>
        <v>0</v>
      </c>
      <c r="BM128" s="1269">
        <f t="shared" si="186"/>
        <v>0</v>
      </c>
      <c r="BN128" s="1269">
        <f t="shared" si="186"/>
        <v>0</v>
      </c>
      <c r="BO128" s="1269">
        <f t="shared" si="186"/>
        <v>0</v>
      </c>
      <c r="BP128" s="1269">
        <f t="shared" si="186"/>
        <v>0</v>
      </c>
      <c r="BQ128" s="1269">
        <f t="shared" si="186"/>
        <v>0</v>
      </c>
      <c r="BR128" s="1269">
        <f t="shared" si="186"/>
        <v>0</v>
      </c>
      <c r="BS128" s="1269">
        <f t="shared" si="186"/>
        <v>0</v>
      </c>
      <c r="BT128" s="1270">
        <f>IFERROR(((HLOOKUP(DefExitFY+9,$AQ$113:$BS$127,15,0)/HLOOKUP(DefExitFY+5,$AQ$113:$BS$127,15,0))^(1/4)-1),0)</f>
        <v>0</v>
      </c>
      <c r="BU128" s="1271" t="s">
        <v>1318</v>
      </c>
      <c r="BV128" s="1888"/>
      <c r="BW128" s="1273">
        <f>IFERROR(((HLOOKUP(DefExitFY+14,$AQ$113:$BS$127,15,0)/HLOOKUP(DefExitFY+10,$AQ$113:$BS$127,15,0))^(1/4)-1),0)</f>
        <v>0</v>
      </c>
      <c r="BX128" s="1888"/>
      <c r="BY128" s="1272"/>
      <c r="BZ128" s="1268"/>
      <c r="CA128" s="1763"/>
      <c r="CB128" s="1764"/>
      <c r="CC128" s="1764"/>
      <c r="CD128" s="1764"/>
      <c r="CE128" s="1764"/>
      <c r="CF128" s="1764"/>
      <c r="CG128" s="1764"/>
      <c r="CH128" s="1764"/>
      <c r="CI128" s="1764"/>
      <c r="CJ128" s="1764"/>
      <c r="CK128" s="1764"/>
      <c r="CL128" s="1764"/>
      <c r="CM128" s="1764"/>
      <c r="CN128" s="1764"/>
      <c r="CO128" s="1764"/>
      <c r="CP128" s="1764"/>
      <c r="CQ128" s="1764"/>
      <c r="CR128" s="1764"/>
      <c r="CS128" s="1764"/>
      <c r="CT128" s="1764"/>
      <c r="CU128" s="1764"/>
      <c r="CV128" s="1764"/>
      <c r="CW128" s="1764"/>
      <c r="CX128" s="1764"/>
      <c r="CY128" s="1764"/>
      <c r="CZ128" s="1764"/>
      <c r="DA128" s="1764"/>
      <c r="DB128" s="1764"/>
      <c r="DC128" s="1764"/>
      <c r="DD128" s="1765"/>
      <c r="DE128" s="1272"/>
      <c r="DF128" s="1765"/>
      <c r="DG128" s="1272"/>
    </row>
    <row r="129" spans="1:111" s="1278" customFormat="1" ht="15" customHeight="1" x14ac:dyDescent="0.3">
      <c r="A129" s="1272"/>
      <c r="B129" s="1266" t="s">
        <v>1319</v>
      </c>
      <c r="C129" s="1766" t="s">
        <v>1653</v>
      </c>
      <c r="D129" s="1267"/>
      <c r="E129" s="1267"/>
      <c r="F129" s="1268"/>
      <c r="G129" s="2636">
        <f>VLOOKUP($C$129,$F$17:$AI$18,2,0)</f>
        <v>0</v>
      </c>
      <c r="H129" s="2636">
        <f>VLOOKUP($C$129,$F$17:$AI$18,3,0)</f>
        <v>0</v>
      </c>
      <c r="I129" s="2636">
        <f>VLOOKUP($C$129,$F$17:$AI$18,4,0)</f>
        <v>0</v>
      </c>
      <c r="J129" s="2636">
        <f>VLOOKUP($C$129,$F$17:$AI$18,5,0)</f>
        <v>0</v>
      </c>
      <c r="K129" s="2636">
        <f>VLOOKUP($C$129,$F$17:$AI$18,6,0)</f>
        <v>0</v>
      </c>
      <c r="L129" s="2636">
        <f>VLOOKUP($C$129,$F$17:$AI$18,7,0)</f>
        <v>0</v>
      </c>
      <c r="M129" s="2636">
        <f>VLOOKUP($C$129,$F$17:$AI$18,8,0)</f>
        <v>0</v>
      </c>
      <c r="N129" s="2636">
        <f>VLOOKUP($C$129,$F$17:$AI$18,9,0)</f>
        <v>0</v>
      </c>
      <c r="O129" s="2636">
        <f>VLOOKUP($C$129,$F$17:$AI$18,10,0)</f>
        <v>0</v>
      </c>
      <c r="P129" s="2636">
        <f>VLOOKUP($C$129,$F$17:$AI$18,11,0)</f>
        <v>0</v>
      </c>
      <c r="Q129" s="2636">
        <f>VLOOKUP($C$129,$F$17:$AI$18,12,0)</f>
        <v>0</v>
      </c>
      <c r="R129" s="2636">
        <f>VLOOKUP($C$129,$F$17:$AI$18,13,0)</f>
        <v>0</v>
      </c>
      <c r="S129" s="2636">
        <f>VLOOKUP($C$129,$F$17:$AI$18,14,0)</f>
        <v>0</v>
      </c>
      <c r="T129" s="2636">
        <f>VLOOKUP($C$129,$F$17:$AI$18,15,0)</f>
        <v>0</v>
      </c>
      <c r="U129" s="2636">
        <f>VLOOKUP($C$129,$F$17:$AI$18,16,0)</f>
        <v>0</v>
      </c>
      <c r="V129" s="2636">
        <f>VLOOKUP($C$129,$F$17:$AI$18,17,0)</f>
        <v>0</v>
      </c>
      <c r="W129" s="2636">
        <f>VLOOKUP($C$129,$F$17:$AI$18,18,0)</f>
        <v>0</v>
      </c>
      <c r="X129" s="2636">
        <f t="shared" ref="X129:AH129" si="187">VLOOKUP($C$129,$F$17:$AI$18,19,0)</f>
        <v>0</v>
      </c>
      <c r="Y129" s="2636">
        <f t="shared" si="187"/>
        <v>0</v>
      </c>
      <c r="Z129" s="2636">
        <f t="shared" si="187"/>
        <v>0</v>
      </c>
      <c r="AA129" s="2636">
        <f t="shared" si="187"/>
        <v>0</v>
      </c>
      <c r="AB129" s="2636">
        <f t="shared" si="187"/>
        <v>0</v>
      </c>
      <c r="AC129" s="2636">
        <f t="shared" si="187"/>
        <v>0</v>
      </c>
      <c r="AD129" s="2636">
        <f t="shared" si="187"/>
        <v>0</v>
      </c>
      <c r="AE129" s="2636">
        <f t="shared" si="187"/>
        <v>0</v>
      </c>
      <c r="AF129" s="2636">
        <f t="shared" si="187"/>
        <v>0</v>
      </c>
      <c r="AG129" s="2636">
        <f t="shared" si="187"/>
        <v>0</v>
      </c>
      <c r="AH129" s="2636">
        <f t="shared" si="187"/>
        <v>0</v>
      </c>
      <c r="AI129" s="2636">
        <f>VLOOKUP($C$129,$F$17:$AI$18,20,0)</f>
        <v>0</v>
      </c>
      <c r="AJ129" s="1270"/>
      <c r="AK129" s="1271"/>
      <c r="AL129" s="1272"/>
      <c r="AM129" s="1273"/>
      <c r="AN129" s="1269"/>
      <c r="AO129" s="1260"/>
      <c r="AP129" s="1268"/>
      <c r="AQ129" s="2637">
        <f>VLOOKUP($C$129,$F$17:$BS$18,28,0)</f>
        <v>0</v>
      </c>
      <c r="AR129" s="2638">
        <f>VLOOKUP($C$129,$F$17:$BS$18,29,0)</f>
        <v>0</v>
      </c>
      <c r="AS129" s="2638">
        <f>VLOOKUP($C$129,$F$17:$BS$18,30,0)</f>
        <v>0</v>
      </c>
      <c r="AT129" s="2638">
        <f>VLOOKUP($C$129,$F$17:$BS$18,31,0)</f>
        <v>0</v>
      </c>
      <c r="AU129" s="2638">
        <f>VLOOKUP($C$129,$F$17:$BS$18,32,0)</f>
        <v>0</v>
      </c>
      <c r="AV129" s="2638">
        <f>VLOOKUP($C$129,$F$17:$BS$18,33,0)</f>
        <v>0</v>
      </c>
      <c r="AW129" s="2638">
        <f>VLOOKUP($C$129,$F$17:$BS$18,34,0)</f>
        <v>0</v>
      </c>
      <c r="AX129" s="2638">
        <f>VLOOKUP($C$129,$F$17:$BS$18,35,0)</f>
        <v>0</v>
      </c>
      <c r="AY129" s="2638">
        <f>VLOOKUP($C$129,$F$17:$BS$18,36,0)</f>
        <v>0</v>
      </c>
      <c r="AZ129" s="2638">
        <f>VLOOKUP($C$129,$F$17:$BS$18,37,0)</f>
        <v>0</v>
      </c>
      <c r="BA129" s="2638">
        <f>VLOOKUP($C$129,$F$17:$BS$18,38,0)</f>
        <v>0</v>
      </c>
      <c r="BB129" s="2638">
        <f>VLOOKUP($C$129,$F$17:$BS$18,39,0)</f>
        <v>0</v>
      </c>
      <c r="BC129" s="2638">
        <f>VLOOKUP($C$129,$F$17:$BS$18,40,0)</f>
        <v>0</v>
      </c>
      <c r="BD129" s="2638">
        <f>VLOOKUP($C$129,$F$17:$BS$18,41,0)</f>
        <v>0</v>
      </c>
      <c r="BE129" s="2638">
        <f>VLOOKUP($C$129,$F$17:$BS$18,42,0)</f>
        <v>0</v>
      </c>
      <c r="BF129" s="2638">
        <f>VLOOKUP($C$129,$F$17:$BS$18,43,0)</f>
        <v>0</v>
      </c>
      <c r="BG129" s="2638">
        <f>VLOOKUP($C$129,$F$17:$BS$18,44,0)</f>
        <v>0</v>
      </c>
      <c r="BH129" s="2638">
        <f t="shared" ref="BH129:BR129" si="188">VLOOKUP($C$129,$F$17:$BS$18,45,0)</f>
        <v>0</v>
      </c>
      <c r="BI129" s="2638">
        <f t="shared" si="188"/>
        <v>0</v>
      </c>
      <c r="BJ129" s="2638">
        <f t="shared" si="188"/>
        <v>0</v>
      </c>
      <c r="BK129" s="2638">
        <f t="shared" si="188"/>
        <v>0</v>
      </c>
      <c r="BL129" s="2638">
        <f t="shared" si="188"/>
        <v>0</v>
      </c>
      <c r="BM129" s="2638">
        <f t="shared" si="188"/>
        <v>0</v>
      </c>
      <c r="BN129" s="2638">
        <f t="shared" si="188"/>
        <v>0</v>
      </c>
      <c r="BO129" s="2638">
        <f t="shared" si="188"/>
        <v>0</v>
      </c>
      <c r="BP129" s="2638">
        <f t="shared" si="188"/>
        <v>0</v>
      </c>
      <c r="BQ129" s="2638">
        <f t="shared" si="188"/>
        <v>0</v>
      </c>
      <c r="BR129" s="2638">
        <f t="shared" si="188"/>
        <v>0</v>
      </c>
      <c r="BS129" s="2638">
        <f>VLOOKUP($C$129,$F$17:$BS$18,46,0)</f>
        <v>0</v>
      </c>
      <c r="BT129" s="1270"/>
      <c r="BU129" s="1271"/>
      <c r="BV129" s="1888"/>
      <c r="BW129" s="1273"/>
      <c r="BX129" s="1888"/>
      <c r="BY129" s="1272"/>
      <c r="BZ129" s="1268"/>
      <c r="CA129" s="1763"/>
      <c r="CB129" s="1764"/>
      <c r="CC129" s="1764"/>
      <c r="CD129" s="1764"/>
      <c r="CE129" s="1764"/>
      <c r="CF129" s="1764"/>
      <c r="CG129" s="1764"/>
      <c r="CH129" s="1764"/>
      <c r="CI129" s="1764"/>
      <c r="CJ129" s="1764"/>
      <c r="CK129" s="1764"/>
      <c r="CL129" s="1764"/>
      <c r="CM129" s="1764"/>
      <c r="CN129" s="1764"/>
      <c r="CO129" s="1764"/>
      <c r="CP129" s="1764"/>
      <c r="CQ129" s="1764"/>
      <c r="CR129" s="1764"/>
      <c r="CS129" s="1764"/>
      <c r="CT129" s="1764"/>
      <c r="CU129" s="1764"/>
      <c r="CV129" s="1764"/>
      <c r="CW129" s="1764"/>
      <c r="CX129" s="1764"/>
      <c r="CY129" s="1764"/>
      <c r="CZ129" s="1764"/>
      <c r="DA129" s="1764"/>
      <c r="DB129" s="1764"/>
      <c r="DC129" s="1764"/>
      <c r="DD129" s="1765"/>
      <c r="DE129" s="1272"/>
      <c r="DF129" s="1765"/>
      <c r="DG129" s="1272"/>
    </row>
    <row r="130" spans="1:111" s="1278" customFormat="1" ht="15" customHeight="1" x14ac:dyDescent="0.3">
      <c r="A130" s="1272"/>
      <c r="B130" s="1283" t="s">
        <v>1663</v>
      </c>
      <c r="C130" s="1284"/>
      <c r="D130" s="1285"/>
      <c r="E130" s="1286"/>
      <c r="F130" s="1287"/>
      <c r="G130" s="1288">
        <f t="shared" ref="G130:AI130" si="189">+G19+G40+G61+G82+G103</f>
        <v>0</v>
      </c>
      <c r="H130" s="1288">
        <f t="shared" si="189"/>
        <v>0</v>
      </c>
      <c r="I130" s="1288">
        <f t="shared" si="189"/>
        <v>0</v>
      </c>
      <c r="J130" s="1288">
        <f t="shared" si="189"/>
        <v>0</v>
      </c>
      <c r="K130" s="1288">
        <f t="shared" si="189"/>
        <v>0</v>
      </c>
      <c r="L130" s="1288">
        <f t="shared" si="189"/>
        <v>16667.203805107201</v>
      </c>
      <c r="M130" s="1288">
        <f t="shared" si="189"/>
        <v>38568.729451259293</v>
      </c>
      <c r="N130" s="1288">
        <f t="shared" si="189"/>
        <v>73523.96947665418</v>
      </c>
      <c r="O130" s="1288">
        <f t="shared" si="189"/>
        <v>110318.99500952553</v>
      </c>
      <c r="P130" s="1288">
        <f t="shared" si="189"/>
        <v>137341.05381475933</v>
      </c>
      <c r="Q130" s="1288">
        <f t="shared" si="189"/>
        <v>152865.10012769504</v>
      </c>
      <c r="R130" s="1288">
        <f t="shared" si="189"/>
        <v>165744.56703901547</v>
      </c>
      <c r="S130" s="1288">
        <f t="shared" si="189"/>
        <v>190189.87253450209</v>
      </c>
      <c r="T130" s="1288">
        <f t="shared" si="189"/>
        <v>198826.88370596603</v>
      </c>
      <c r="U130" s="1288">
        <f t="shared" si="189"/>
        <v>239308.03722850067</v>
      </c>
      <c r="V130" s="1288">
        <f t="shared" si="189"/>
        <v>268535.02227712964</v>
      </c>
      <c r="W130" s="1288">
        <f t="shared" si="189"/>
        <v>308703.14307628642</v>
      </c>
      <c r="X130" s="1288">
        <f t="shared" si="189"/>
        <v>252787.09082071079</v>
      </c>
      <c r="Y130" s="1288">
        <f t="shared" si="189"/>
        <v>0</v>
      </c>
      <c r="Z130" s="1288">
        <f t="shared" si="189"/>
        <v>0</v>
      </c>
      <c r="AA130" s="1288">
        <f t="shared" si="189"/>
        <v>0</v>
      </c>
      <c r="AB130" s="1288">
        <f t="shared" si="189"/>
        <v>0</v>
      </c>
      <c r="AC130" s="1288">
        <f t="shared" si="189"/>
        <v>0</v>
      </c>
      <c r="AD130" s="1288">
        <f t="shared" si="189"/>
        <v>0</v>
      </c>
      <c r="AE130" s="1288">
        <f t="shared" si="189"/>
        <v>0</v>
      </c>
      <c r="AF130" s="1288">
        <f t="shared" si="189"/>
        <v>0</v>
      </c>
      <c r="AG130" s="1288">
        <f t="shared" si="189"/>
        <v>0</v>
      </c>
      <c r="AH130" s="1288">
        <f t="shared" si="189"/>
        <v>0</v>
      </c>
      <c r="AI130" s="1288">
        <f t="shared" si="189"/>
        <v>0</v>
      </c>
      <c r="AJ130" s="1289">
        <f>SUMIF($G$115:$AI$115,"1",$G130:$AI130)</f>
        <v>376419.95155730553</v>
      </c>
      <c r="AK130" s="1290"/>
      <c r="AL130" s="1272"/>
      <c r="AM130" s="1291">
        <f>SUMIF($G$115:$AI$115,"1",$G130:$AI130)+SUMIF($G$115:$AI$115,"2",$G130:$AI130)</f>
        <v>1323354.4121929849</v>
      </c>
      <c r="AN130" s="1764"/>
      <c r="AO130" s="1272"/>
      <c r="AP130" s="1287"/>
      <c r="AQ130" s="1902"/>
      <c r="AR130" s="1903"/>
      <c r="AS130" s="1903"/>
      <c r="AT130" s="1903"/>
      <c r="AU130" s="1903"/>
      <c r="AV130" s="1903"/>
      <c r="AW130" s="1903"/>
      <c r="AX130" s="1903"/>
      <c r="AY130" s="1903"/>
      <c r="AZ130" s="1903"/>
      <c r="BA130" s="1903"/>
      <c r="BB130" s="1903"/>
      <c r="BC130" s="1903"/>
      <c r="BD130" s="1903"/>
      <c r="BE130" s="1903"/>
      <c r="BF130" s="1903"/>
      <c r="BG130" s="1903"/>
      <c r="BH130" s="1903"/>
      <c r="BI130" s="1903"/>
      <c r="BJ130" s="1903"/>
      <c r="BK130" s="1903"/>
      <c r="BL130" s="1903"/>
      <c r="BM130" s="1903"/>
      <c r="BN130" s="1903"/>
      <c r="BO130" s="1903"/>
      <c r="BP130" s="1903"/>
      <c r="BQ130" s="1903"/>
      <c r="BR130" s="1903"/>
      <c r="BS130" s="1903"/>
      <c r="BT130" s="1902">
        <f>+BT19+BT40+BT61+BT82+BT103</f>
        <v>0</v>
      </c>
      <c r="BU130" s="1290"/>
      <c r="BV130" s="1398"/>
      <c r="BW130" s="1291">
        <f>SUMIF($AQ$115:$BS$115,"1",$AQ130:$BS130)+SUMIF($AQ$115:$BS$115,"2",$AQ130:$BS130)</f>
        <v>0</v>
      </c>
      <c r="BX130" s="1398"/>
      <c r="BY130" s="1272"/>
      <c r="BZ130" s="1287"/>
      <c r="CA130" s="1289"/>
      <c r="CB130" s="1288"/>
      <c r="CC130" s="1288"/>
      <c r="CD130" s="1288"/>
      <c r="CE130" s="1288"/>
      <c r="CF130" s="1288"/>
      <c r="CG130" s="1288"/>
      <c r="CH130" s="1288"/>
      <c r="CI130" s="1288"/>
      <c r="CJ130" s="1288"/>
      <c r="CK130" s="1288"/>
      <c r="CL130" s="1288"/>
      <c r="CM130" s="1288"/>
      <c r="CN130" s="1288"/>
      <c r="CO130" s="1288"/>
      <c r="CP130" s="1288"/>
      <c r="CQ130" s="1288"/>
      <c r="CR130" s="1288"/>
      <c r="CS130" s="1288"/>
      <c r="CT130" s="1288"/>
      <c r="CU130" s="1288"/>
      <c r="CV130" s="1288"/>
      <c r="CW130" s="1288"/>
      <c r="CX130" s="1288"/>
      <c r="CY130" s="1288"/>
      <c r="CZ130" s="1288"/>
      <c r="DA130" s="1288"/>
      <c r="DB130" s="1288"/>
      <c r="DC130" s="1288"/>
      <c r="DD130" s="1291"/>
      <c r="DE130" s="1272"/>
      <c r="DF130" s="1291"/>
      <c r="DG130" s="1272"/>
    </row>
    <row r="131" spans="1:111" s="1265" customFormat="1" ht="18" x14ac:dyDescent="0.3">
      <c r="A131" s="1260"/>
      <c r="B131" s="1297" t="s">
        <v>1321</v>
      </c>
      <c r="C131" s="1298"/>
      <c r="D131" s="1298"/>
      <c r="E131" s="1298"/>
      <c r="F131" s="1299">
        <f>IF(G$113&lt;Input!$F$48,$G131,0)+IF(H$113&lt;Input!$F$48,$H131,0)+IF(I$113&lt;Input!$F$48,$I131,0)+IF(J$113&lt;Input!$F$48,$J131,0)+IF(K$113&lt;Input!$F$48,$K131,0)+IF(L$113&lt;Input!$F$48,$L131,0)+IF(M$113&lt;Input!$F$48,$M131,0)+IF(N$113&lt;Input!$F$48,$N131,0)+IF(O$113&lt;Input!$F$48,$O131,0)+IF(P$113&lt;Input!$F$48,$P131,0)+IF(Q$113&lt;Input!$F$48,$Q131,0)+IF(R$113&lt;Input!$F$48,$R131,0)+IF(S$113&lt;Input!$F$48,$S131,0)+IF(T$113&lt;Input!$F$48,$T131,0)+IF(U$113&lt;Input!$F$48,$U131,0)+IF(V$113&lt;Input!$F$48,$V131,0)+IF(W$113&lt;Input!$F$48,$W131,0)</f>
        <v>0</v>
      </c>
      <c r="G131" s="1305">
        <v>0</v>
      </c>
      <c r="H131" s="1305">
        <v>0</v>
      </c>
      <c r="I131" s="1305">
        <v>0</v>
      </c>
      <c r="J131" s="1305">
        <v>0</v>
      </c>
      <c r="K131" s="1305">
        <f>Calc!K22*Calc!K10</f>
        <v>0</v>
      </c>
      <c r="L131" s="1305">
        <f>Calc!L22*Calc!L10</f>
        <v>4910.06814799104</v>
      </c>
      <c r="M131" s="1305">
        <f>Calc!M22*Calc!M10</f>
        <v>11698.892563884183</v>
      </c>
      <c r="N131" s="1305">
        <f>Calc!N22*Calc!N10</f>
        <v>22368.383574590458</v>
      </c>
      <c r="O131" s="1305">
        <f>Calc!O22*Calc!O10</f>
        <v>33659.483422105237</v>
      </c>
      <c r="P131" s="1305">
        <f>Calc!P22*Calc!P10</f>
        <v>42194.943300629529</v>
      </c>
      <c r="Q131" s="1305">
        <f>Calc!Q22*Calc!Q10</f>
        <v>47128.704363602352</v>
      </c>
      <c r="R131" s="1305">
        <f>Calc!R22*Calc!R10</f>
        <v>53019.586338411653</v>
      </c>
      <c r="S131" s="1305">
        <f>Calc!S22*Calc!S10</f>
        <v>59927.682727453757</v>
      </c>
      <c r="T131" s="1305">
        <f>Calc!T22*Calc!T10</f>
        <v>64900.019454034955</v>
      </c>
      <c r="U131" s="1305">
        <f>Calc!U22*Calc!U10</f>
        <v>73945.751130874429</v>
      </c>
      <c r="V131" s="1305">
        <f>Calc!V22*Calc!V10</f>
        <v>86050.724936225582</v>
      </c>
      <c r="W131" s="1305">
        <f>Calc!W22*Calc!W10</f>
        <v>99177.233202950083</v>
      </c>
      <c r="X131" s="1305">
        <f>Calc!X22*Calc!X10</f>
        <v>0</v>
      </c>
      <c r="Y131" s="1305">
        <f>Calc!Y22*Calc!Y10</f>
        <v>0</v>
      </c>
      <c r="Z131" s="1305">
        <f>Calc!Z22*Calc!Z10</f>
        <v>0</v>
      </c>
      <c r="AA131" s="1305">
        <f>Calc!AA22*Calc!AA10</f>
        <v>0</v>
      </c>
      <c r="AB131" s="1305">
        <f>Calc!AB22*Calc!AB10</f>
        <v>0</v>
      </c>
      <c r="AC131" s="1305">
        <f>Calc!AC22*Calc!AC10</f>
        <v>0</v>
      </c>
      <c r="AD131" s="1305">
        <f>Calc!AD22*Calc!AD10</f>
        <v>0</v>
      </c>
      <c r="AE131" s="1305">
        <f>Calc!AE22*Calc!AE10</f>
        <v>0</v>
      </c>
      <c r="AF131" s="1305">
        <f>Calc!AF22*Calc!AF10</f>
        <v>0</v>
      </c>
      <c r="AG131" s="1305">
        <f>Calc!AG22*Calc!AG10</f>
        <v>0</v>
      </c>
      <c r="AH131" s="1305">
        <f>Calc!AH22*Calc!AH10</f>
        <v>0</v>
      </c>
      <c r="AI131" s="1305">
        <f>Calc!AI22*Calc!AI10</f>
        <v>0</v>
      </c>
      <c r="AJ131" s="1301">
        <f>SUMIF($G$115:$AI$115,"1",$G131:$AI131)</f>
        <v>114831.77100920046</v>
      </c>
      <c r="AK131" s="1302">
        <f>IFERROR(AJ131/AJ$127,0)</f>
        <v>0.30506292382782657</v>
      </c>
      <c r="AL131" s="1272"/>
      <c r="AM131" s="1303">
        <f>SUMIF($G$115:$AI$115,"1",$G131:$AI131)+SUMIF($G$115:$AI$115,"2",$G131:$AI131)</f>
        <v>413753.51502357761</v>
      </c>
      <c r="AN131" s="1913"/>
      <c r="AO131" s="1260"/>
      <c r="AP131" s="1299">
        <f>IF(AQ$113&lt;Input!$F$48,$AQ131,0)+IF(AR$113&lt;Input!$F$48,$AR131,0)+IF(AS$113&lt;Input!$F$48,$AS131,0)+IF(AT$113&lt;Input!$F$48,$AT131,0)+IF(AU$113&lt;Input!$F$48,$AU131,0)+IF(AV$113&lt;Input!$F$48,$AV131,0)+IF(AW$113&lt;Input!$F$48,$AW131,0)+IF(AX$113&lt;Input!$F$48,$AX131,0)+IF(AY$113&lt;Input!$F$48,$AY131,0)+IF(AZ$113&lt;Input!$F$48,$AZ131,0)+IF(BA$113&lt;Input!$F$48,$BA131,0)+IF(BB$113&lt;Input!$F$48,$BB131,0)+IF(BC$113&lt;Input!$F$48,$BC131,0)+IF(BD$113&lt;Input!$F$48,$BD131,0)+IF(BE$113&lt;Input!$F$48,$BE131,0)+IF(BF$113&lt;Input!$F$48,$BF131,0)+IF(BG$113&lt;Input!$F$48,$BG131,0)</f>
        <v>0</v>
      </c>
      <c r="AQ131" s="1306"/>
      <c r="AR131" s="1305"/>
      <c r="AS131" s="1305"/>
      <c r="AT131" s="1305"/>
      <c r="AU131" s="1305"/>
      <c r="AV131" s="1305"/>
      <c r="AW131" s="1305"/>
      <c r="AX131" s="1305"/>
      <c r="AY131" s="1305"/>
      <c r="AZ131" s="1305"/>
      <c r="BA131" s="1305"/>
      <c r="BB131" s="1305"/>
      <c r="BC131" s="1305"/>
      <c r="BD131" s="1305"/>
      <c r="BE131" s="1305"/>
      <c r="BF131" s="1305"/>
      <c r="BG131" s="1305"/>
      <c r="BH131" s="1305"/>
      <c r="BI131" s="1305"/>
      <c r="BJ131" s="1305"/>
      <c r="BK131" s="1305"/>
      <c r="BL131" s="1305"/>
      <c r="BM131" s="1305"/>
      <c r="BN131" s="1305"/>
      <c r="BO131" s="1305"/>
      <c r="BP131" s="1305"/>
      <c r="BQ131" s="1305"/>
      <c r="BR131" s="1305"/>
      <c r="BS131" s="1305"/>
      <c r="BT131" s="1301">
        <f>SUMIF($AQ$115:$BS$115,"1",$AQ131:$BS131)</f>
        <v>0</v>
      </c>
      <c r="BU131" s="1302">
        <f>IFERROR(BT131/BT$127,0)</f>
        <v>0</v>
      </c>
      <c r="BV131" s="1914"/>
      <c r="BW131" s="1303">
        <f>SUMIF($AQ$115:$BS$115,"1",$AQ131:$BS131)+SUMIF($AQ$115:$BS$115,"2",$AQ131:$BS131)</f>
        <v>0</v>
      </c>
      <c r="BX131" s="1914"/>
      <c r="BY131" s="1260"/>
      <c r="BZ131" s="1299">
        <f t="shared" ref="BZ131:CO133" si="190">F131-AP131</f>
        <v>0</v>
      </c>
      <c r="CA131" s="1301">
        <f t="shared" si="190"/>
        <v>0</v>
      </c>
      <c r="CB131" s="1300">
        <f t="shared" si="190"/>
        <v>0</v>
      </c>
      <c r="CC131" s="1300">
        <f t="shared" si="190"/>
        <v>0</v>
      </c>
      <c r="CD131" s="1300">
        <f t="shared" si="190"/>
        <v>0</v>
      </c>
      <c r="CE131" s="1300">
        <f t="shared" si="190"/>
        <v>0</v>
      </c>
      <c r="CF131" s="1300">
        <f t="shared" si="190"/>
        <v>4910.06814799104</v>
      </c>
      <c r="CG131" s="1300">
        <f t="shared" si="190"/>
        <v>11698.892563884183</v>
      </c>
      <c r="CH131" s="1300">
        <f t="shared" si="190"/>
        <v>22368.383574590458</v>
      </c>
      <c r="CI131" s="1300">
        <f t="shared" si="190"/>
        <v>33659.483422105237</v>
      </c>
      <c r="CJ131" s="1300">
        <f t="shared" si="190"/>
        <v>42194.943300629529</v>
      </c>
      <c r="CK131" s="1300">
        <f t="shared" si="190"/>
        <v>47128.704363602352</v>
      </c>
      <c r="CL131" s="1300">
        <f t="shared" si="190"/>
        <v>53019.586338411653</v>
      </c>
      <c r="CM131" s="1300">
        <f t="shared" si="190"/>
        <v>59927.682727453757</v>
      </c>
      <c r="CN131" s="1300">
        <f t="shared" si="190"/>
        <v>64900.019454034955</v>
      </c>
      <c r="CO131" s="1300">
        <f t="shared" si="190"/>
        <v>73945.751130874429</v>
      </c>
      <c r="CP131" s="1300">
        <f t="shared" ref="CP131:DC133" si="191">V131-BF131</f>
        <v>86050.724936225582</v>
      </c>
      <c r="CQ131" s="1300">
        <f t="shared" si="191"/>
        <v>99177.233202950083</v>
      </c>
      <c r="CR131" s="1300">
        <f t="shared" si="191"/>
        <v>0</v>
      </c>
      <c r="CS131" s="1300">
        <f t="shared" si="191"/>
        <v>0</v>
      </c>
      <c r="CT131" s="1300">
        <f t="shared" si="191"/>
        <v>0</v>
      </c>
      <c r="CU131" s="1300">
        <f t="shared" si="191"/>
        <v>0</v>
      </c>
      <c r="CV131" s="1300">
        <f t="shared" si="191"/>
        <v>0</v>
      </c>
      <c r="CW131" s="1300">
        <f t="shared" si="191"/>
        <v>0</v>
      </c>
      <c r="CX131" s="1300">
        <f t="shared" si="191"/>
        <v>0</v>
      </c>
      <c r="CY131" s="1300">
        <f t="shared" si="191"/>
        <v>0</v>
      </c>
      <c r="CZ131" s="1300">
        <f t="shared" si="191"/>
        <v>0</v>
      </c>
      <c r="DA131" s="1300">
        <f t="shared" si="191"/>
        <v>0</v>
      </c>
      <c r="DB131" s="1300">
        <f t="shared" si="191"/>
        <v>0</v>
      </c>
      <c r="DC131" s="1300">
        <f t="shared" si="191"/>
        <v>0</v>
      </c>
      <c r="DD131" s="1299">
        <f>AJ131-BT131</f>
        <v>114831.77100920046</v>
      </c>
      <c r="DE131" s="1260"/>
      <c r="DF131" s="1299">
        <f>AM131-BW131</f>
        <v>413753.51502357761</v>
      </c>
      <c r="DG131" s="1260"/>
    </row>
    <row r="132" spans="1:111" s="1265" customFormat="1" ht="18" x14ac:dyDescent="0.3">
      <c r="A132" s="1260"/>
      <c r="B132" s="1297" t="s">
        <v>1322</v>
      </c>
      <c r="C132" s="1298"/>
      <c r="D132" s="1298"/>
      <c r="E132" s="1298"/>
      <c r="F132" s="1299">
        <f>IF(G$113&lt;Input!$F$48,$G132,0)+IF(H$113&lt;Input!$F$48,$H132,0)+IF(I$113&lt;Input!$F$48,$I132,0)+IF(J$113&lt;Input!$F$48,$J132,0)+IF(K$113&lt;Input!$F$48,$K132,0)+IF(L$113&lt;Input!$F$48,$L132,0)+IF(M$113&lt;Input!$F$48,$M132,0)+IF(N$113&lt;Input!$F$48,$N132,0)+IF(O$113&lt;Input!$F$48,$O132,0)+IF(P$113&lt;Input!$F$48,$P132,0)+IF(Q$113&lt;Input!$F$48,$Q132,0)+IF(R$113&lt;Input!$F$48,$R132,0)+IF(S$113&lt;Input!$F$48,$S132,0)+IF(T$113&lt;Input!$F$48,$T132,0)+IF(U$113&lt;Input!$F$48,$U132,0)+IF(V$113&lt;Input!$F$48,$V132,0)+IF(W$113&lt;Input!$F$48,$W132,0)</f>
        <v>0</v>
      </c>
      <c r="G132" s="1305"/>
      <c r="H132" s="1305"/>
      <c r="I132" s="1305"/>
      <c r="J132" s="1305"/>
      <c r="K132" s="1305"/>
      <c r="L132" s="1305"/>
      <c r="M132" s="1305"/>
      <c r="N132" s="1305"/>
      <c r="O132" s="1305"/>
      <c r="P132" s="1305"/>
      <c r="Q132" s="1305"/>
      <c r="R132" s="1305"/>
      <c r="S132" s="1305"/>
      <c r="T132" s="1305"/>
      <c r="U132" s="1305"/>
      <c r="V132" s="1305"/>
      <c r="W132" s="1305"/>
      <c r="X132" s="1305"/>
      <c r="Y132" s="1305"/>
      <c r="Z132" s="1305"/>
      <c r="AA132" s="1305"/>
      <c r="AB132" s="1305"/>
      <c r="AC132" s="1305"/>
      <c r="AD132" s="1305"/>
      <c r="AE132" s="1305"/>
      <c r="AF132" s="1305"/>
      <c r="AG132" s="1305"/>
      <c r="AH132" s="1305"/>
      <c r="AI132" s="1305"/>
      <c r="AJ132" s="1301">
        <f>SUMIF($G$115:$AI$115,"1",$G132:$AI132)</f>
        <v>0</v>
      </c>
      <c r="AK132" s="1302">
        <f>IFERROR(AJ132/AJ$127,0)</f>
        <v>0</v>
      </c>
      <c r="AL132" s="1272"/>
      <c r="AM132" s="1303">
        <f>SUMIF($G$115:$AI$115,"1",$G132:$AI132)+SUMIF($G$115:$AI$115,"2",$G132:$AI132)</f>
        <v>0</v>
      </c>
      <c r="AN132" s="1913"/>
      <c r="AO132" s="1260"/>
      <c r="AP132" s="1299">
        <f>IF(AQ$113&lt;Input!$F$48,$AQ132,0)+IF(AR$113&lt;Input!$F$48,$AR132,0)+IF(AS$113&lt;Input!$F$48,$AS132,0)+IF(AT$113&lt;Input!$F$48,$AT132,0)+IF(AU$113&lt;Input!$F$48,$AU132,0)+IF(AV$113&lt;Input!$F$48,$AV132,0)+IF(AW$113&lt;Input!$F$48,$AW132,0)+IF(AX$113&lt;Input!$F$48,$AX132,0)+IF(AY$113&lt;Input!$F$48,$AY132,0)+IF(AZ$113&lt;Input!$F$48,$AZ132,0)+IF(BA$113&lt;Input!$F$48,$BA132,0)+IF(BB$113&lt;Input!$F$48,$BB132,0)+IF(BC$113&lt;Input!$F$48,$BC132,0)+IF(BD$113&lt;Input!$F$48,$BD132,0)+IF(BE$113&lt;Input!$F$48,$BE132,0)+IF(BF$113&lt;Input!$F$48,$BF132,0)+IF(BG$113&lt;Input!$F$48,$BG132,0)</f>
        <v>0</v>
      </c>
      <c r="AQ132" s="1306"/>
      <c r="AR132" s="1305"/>
      <c r="AS132" s="1305"/>
      <c r="AT132" s="1305"/>
      <c r="AU132" s="1305"/>
      <c r="AV132" s="1305"/>
      <c r="AW132" s="1305"/>
      <c r="AX132" s="1305"/>
      <c r="AY132" s="1305"/>
      <c r="AZ132" s="1305"/>
      <c r="BA132" s="1305"/>
      <c r="BB132" s="1305"/>
      <c r="BC132" s="1305"/>
      <c r="BD132" s="1305"/>
      <c r="BE132" s="1305"/>
      <c r="BF132" s="1305"/>
      <c r="BG132" s="1305"/>
      <c r="BH132" s="1305"/>
      <c r="BI132" s="1305"/>
      <c r="BJ132" s="1305"/>
      <c r="BK132" s="1305"/>
      <c r="BL132" s="1305"/>
      <c r="BM132" s="1305"/>
      <c r="BN132" s="1305"/>
      <c r="BO132" s="1305"/>
      <c r="BP132" s="1305"/>
      <c r="BQ132" s="1305"/>
      <c r="BR132" s="1305"/>
      <c r="BS132" s="1305"/>
      <c r="BT132" s="1301">
        <f>SUMIF($AQ$115:$BS$115,"1",$AQ132:$BS132)</f>
        <v>0</v>
      </c>
      <c r="BU132" s="1302">
        <f>IFERROR(BT132/BT$127,0)</f>
        <v>0</v>
      </c>
      <c r="BV132" s="1914"/>
      <c r="BW132" s="1303">
        <f>SUMIF($AQ$115:$BS$115,"1",$AQ132:$BS132)+SUMIF($AQ$115:$BS$115,"2",$AQ132:$BS132)</f>
        <v>0</v>
      </c>
      <c r="BX132" s="1914"/>
      <c r="BY132" s="1260"/>
      <c r="BZ132" s="1299">
        <f t="shared" si="190"/>
        <v>0</v>
      </c>
      <c r="CA132" s="1301">
        <f t="shared" si="190"/>
        <v>0</v>
      </c>
      <c r="CB132" s="1300">
        <f t="shared" si="190"/>
        <v>0</v>
      </c>
      <c r="CC132" s="1300">
        <f t="shared" si="190"/>
        <v>0</v>
      </c>
      <c r="CD132" s="1300">
        <f t="shared" si="190"/>
        <v>0</v>
      </c>
      <c r="CE132" s="1300">
        <f t="shared" si="190"/>
        <v>0</v>
      </c>
      <c r="CF132" s="1300">
        <f t="shared" si="190"/>
        <v>0</v>
      </c>
      <c r="CG132" s="1300">
        <f t="shared" si="190"/>
        <v>0</v>
      </c>
      <c r="CH132" s="1300">
        <f t="shared" si="190"/>
        <v>0</v>
      </c>
      <c r="CI132" s="1300">
        <f t="shared" si="190"/>
        <v>0</v>
      </c>
      <c r="CJ132" s="1300">
        <f t="shared" si="190"/>
        <v>0</v>
      </c>
      <c r="CK132" s="1300">
        <f t="shared" si="190"/>
        <v>0</v>
      </c>
      <c r="CL132" s="1300">
        <f t="shared" si="190"/>
        <v>0</v>
      </c>
      <c r="CM132" s="1300">
        <f t="shared" si="190"/>
        <v>0</v>
      </c>
      <c r="CN132" s="1300">
        <f t="shared" si="190"/>
        <v>0</v>
      </c>
      <c r="CO132" s="1300">
        <f t="shared" si="190"/>
        <v>0</v>
      </c>
      <c r="CP132" s="1300">
        <f t="shared" si="191"/>
        <v>0</v>
      </c>
      <c r="CQ132" s="1300">
        <f t="shared" si="191"/>
        <v>0</v>
      </c>
      <c r="CR132" s="1300">
        <f t="shared" si="191"/>
        <v>0</v>
      </c>
      <c r="CS132" s="1300">
        <f t="shared" si="191"/>
        <v>0</v>
      </c>
      <c r="CT132" s="1300">
        <f t="shared" si="191"/>
        <v>0</v>
      </c>
      <c r="CU132" s="1300">
        <f t="shared" si="191"/>
        <v>0</v>
      </c>
      <c r="CV132" s="1300">
        <f t="shared" si="191"/>
        <v>0</v>
      </c>
      <c r="CW132" s="1300">
        <f t="shared" si="191"/>
        <v>0</v>
      </c>
      <c r="CX132" s="1300">
        <f t="shared" si="191"/>
        <v>0</v>
      </c>
      <c r="CY132" s="1300">
        <f t="shared" si="191"/>
        <v>0</v>
      </c>
      <c r="CZ132" s="1300">
        <f t="shared" si="191"/>
        <v>0</v>
      </c>
      <c r="DA132" s="1300">
        <f t="shared" si="191"/>
        <v>0</v>
      </c>
      <c r="DB132" s="1300">
        <f t="shared" si="191"/>
        <v>0</v>
      </c>
      <c r="DC132" s="1300">
        <f t="shared" si="191"/>
        <v>0</v>
      </c>
      <c r="DD132" s="1299">
        <f>AJ132-BT132</f>
        <v>0</v>
      </c>
      <c r="DE132" s="1260"/>
      <c r="DF132" s="1299">
        <f>AM132-BW132</f>
        <v>0</v>
      </c>
      <c r="DG132" s="1260"/>
    </row>
    <row r="133" spans="1:111" s="1265" customFormat="1" ht="18" x14ac:dyDescent="0.3">
      <c r="A133" s="1260"/>
      <c r="B133" s="1308" t="s">
        <v>286</v>
      </c>
      <c r="C133" s="1309"/>
      <c r="D133" s="1309"/>
      <c r="E133" s="1309"/>
      <c r="F133" s="1310">
        <f t="shared" ref="F133:AJ133" si="192">+F127-F131-F132</f>
        <v>0</v>
      </c>
      <c r="G133" s="1311">
        <f t="shared" si="192"/>
        <v>0</v>
      </c>
      <c r="H133" s="1311">
        <f t="shared" si="192"/>
        <v>0</v>
      </c>
      <c r="I133" s="1311">
        <f t="shared" si="192"/>
        <v>0</v>
      </c>
      <c r="J133" s="1311">
        <f t="shared" si="192"/>
        <v>0</v>
      </c>
      <c r="K133" s="1311">
        <f t="shared" si="192"/>
        <v>0</v>
      </c>
      <c r="L133" s="1311">
        <f t="shared" si="192"/>
        <v>11757.135657116161</v>
      </c>
      <c r="M133" s="1311">
        <f t="shared" si="192"/>
        <v>26869.83688737511</v>
      </c>
      <c r="N133" s="1311">
        <f t="shared" si="192"/>
        <v>51155.585902063722</v>
      </c>
      <c r="O133" s="1311">
        <f t="shared" si="192"/>
        <v>76659.511587420304</v>
      </c>
      <c r="P133" s="1311">
        <f t="shared" si="192"/>
        <v>95146.110514129803</v>
      </c>
      <c r="Q133" s="1311">
        <f t="shared" si="192"/>
        <v>105736.39576409268</v>
      </c>
      <c r="R133" s="1311">
        <f t="shared" si="192"/>
        <v>112724.98070060382</v>
      </c>
      <c r="S133" s="1311">
        <f t="shared" si="192"/>
        <v>130262.18980704833</v>
      </c>
      <c r="T133" s="1311">
        <f t="shared" si="192"/>
        <v>133926.86425193108</v>
      </c>
      <c r="U133" s="1311">
        <f t="shared" si="192"/>
        <v>165362.28609762626</v>
      </c>
      <c r="V133" s="1311">
        <f t="shared" si="192"/>
        <v>182484.29734090407</v>
      </c>
      <c r="W133" s="1311">
        <f t="shared" si="192"/>
        <v>209525.90987333632</v>
      </c>
      <c r="X133" s="1311">
        <f>+X127-X131-X132</f>
        <v>252787.09082071079</v>
      </c>
      <c r="Y133" s="1311">
        <f t="shared" ref="Y133:AH133" si="193">+Y127-Y131-Y132</f>
        <v>0</v>
      </c>
      <c r="Z133" s="1311">
        <f t="shared" si="193"/>
        <v>0</v>
      </c>
      <c r="AA133" s="1311">
        <f t="shared" si="193"/>
        <v>0</v>
      </c>
      <c r="AB133" s="1311">
        <f t="shared" si="193"/>
        <v>0</v>
      </c>
      <c r="AC133" s="1311">
        <f t="shared" si="193"/>
        <v>0</v>
      </c>
      <c r="AD133" s="1311">
        <f t="shared" si="193"/>
        <v>0</v>
      </c>
      <c r="AE133" s="1311">
        <f t="shared" si="193"/>
        <v>0</v>
      </c>
      <c r="AF133" s="1311">
        <f t="shared" si="193"/>
        <v>0</v>
      </c>
      <c r="AG133" s="1311">
        <f t="shared" si="193"/>
        <v>0</v>
      </c>
      <c r="AH133" s="1311">
        <f t="shared" si="193"/>
        <v>0</v>
      </c>
      <c r="AI133" s="1311">
        <f>+AI127-AI131-AI132</f>
        <v>0</v>
      </c>
      <c r="AJ133" s="1312">
        <f t="shared" si="192"/>
        <v>261588.18054810507</v>
      </c>
      <c r="AK133" s="1313"/>
      <c r="AL133" s="1923"/>
      <c r="AM133" s="1310">
        <f t="shared" ref="AM133" si="194">+AM127-AM131-AM132</f>
        <v>909600.89716940734</v>
      </c>
      <c r="AN133" s="1371"/>
      <c r="AO133" s="1260"/>
      <c r="AP133" s="1310">
        <f>IF(AQ$113&lt;Input!$F$48,$AQ133,0)+IF(AR$113&lt;Input!$F$48,$AR133,0)+IF(AS$113&lt;Input!$F$48,$AS133,0)+IF(AT$113&lt;Input!$F$48,$AT133,0)+IF(AU$113&lt;Input!$F$48,$AU133,0)+IF(AV$113&lt;Input!$F$48,$AV133,0)+IF(AW$113&lt;Input!$F$48,$AW133,0)+IF(AX$113&lt;Input!$F$48,$AX133,0)+IF(AY$113&lt;Input!$F$48,$AY133,0)+IF(AZ$113&lt;Input!$F$48,$AZ133,0)+IF(BA$113&lt;Input!$F$48,$BA133,0)+IF(BB$113&lt;Input!$F$48,$BB133,0)+IF(BC$113&lt;Input!$F$48,$BC133,0)+IF(BD$113&lt;Input!$F$48,$BD133,0)+IF(BE$113&lt;Input!$F$48,$BE133,0)+IF(BF$113&lt;Input!$F$48,$BF133,0)+IF(BG$113&lt;Input!$F$48,$BG133,0)</f>
        <v>0</v>
      </c>
      <c r="AQ133" s="1312">
        <f t="shared" ref="AQ133:BT133" si="195">+AQ127-AQ131-AQ132</f>
        <v>0</v>
      </c>
      <c r="AR133" s="1311">
        <f t="shared" si="195"/>
        <v>0</v>
      </c>
      <c r="AS133" s="1311">
        <f t="shared" si="195"/>
        <v>0</v>
      </c>
      <c r="AT133" s="1311">
        <f t="shared" si="195"/>
        <v>0</v>
      </c>
      <c r="AU133" s="1311">
        <f t="shared" si="195"/>
        <v>0</v>
      </c>
      <c r="AV133" s="1311">
        <f t="shared" si="195"/>
        <v>0</v>
      </c>
      <c r="AW133" s="1311">
        <f t="shared" si="195"/>
        <v>0</v>
      </c>
      <c r="AX133" s="1311">
        <f t="shared" si="195"/>
        <v>0</v>
      </c>
      <c r="AY133" s="1311">
        <f t="shared" si="195"/>
        <v>0</v>
      </c>
      <c r="AZ133" s="1311">
        <f t="shared" si="195"/>
        <v>0</v>
      </c>
      <c r="BA133" s="1311">
        <f t="shared" si="195"/>
        <v>0</v>
      </c>
      <c r="BB133" s="1311">
        <f t="shared" si="195"/>
        <v>0</v>
      </c>
      <c r="BC133" s="1311">
        <f t="shared" si="195"/>
        <v>0</v>
      </c>
      <c r="BD133" s="1311">
        <f t="shared" si="195"/>
        <v>0</v>
      </c>
      <c r="BE133" s="1311">
        <f t="shared" si="195"/>
        <v>0</v>
      </c>
      <c r="BF133" s="1311">
        <f t="shared" si="195"/>
        <v>0</v>
      </c>
      <c r="BG133" s="1311">
        <f t="shared" si="195"/>
        <v>0</v>
      </c>
      <c r="BH133" s="1311">
        <f>+BH127-BH131-BH132</f>
        <v>0</v>
      </c>
      <c r="BI133" s="1311">
        <f t="shared" ref="BI133:BR133" si="196">+BI127-BI131-BI132</f>
        <v>0</v>
      </c>
      <c r="BJ133" s="1311">
        <f t="shared" si="196"/>
        <v>0</v>
      </c>
      <c r="BK133" s="1311">
        <f t="shared" si="196"/>
        <v>0</v>
      </c>
      <c r="BL133" s="1311">
        <f t="shared" si="196"/>
        <v>0</v>
      </c>
      <c r="BM133" s="1311">
        <f t="shared" si="196"/>
        <v>0</v>
      </c>
      <c r="BN133" s="1311">
        <f t="shared" si="196"/>
        <v>0</v>
      </c>
      <c r="BO133" s="1311">
        <f t="shared" si="196"/>
        <v>0</v>
      </c>
      <c r="BP133" s="1311">
        <f t="shared" si="196"/>
        <v>0</v>
      </c>
      <c r="BQ133" s="1311">
        <f t="shared" si="196"/>
        <v>0</v>
      </c>
      <c r="BR133" s="1311">
        <f t="shared" si="196"/>
        <v>0</v>
      </c>
      <c r="BS133" s="1311">
        <f>+BS127-BS131-BS132</f>
        <v>0</v>
      </c>
      <c r="BT133" s="1312">
        <f t="shared" si="195"/>
        <v>0</v>
      </c>
      <c r="BU133" s="1313"/>
      <c r="BV133" s="1398"/>
      <c r="BW133" s="1310">
        <f t="shared" ref="BW133" si="197">+BW127-BW131-BW132</f>
        <v>0</v>
      </c>
      <c r="BX133" s="1398"/>
      <c r="BY133" s="1260"/>
      <c r="BZ133" s="1310">
        <f t="shared" si="190"/>
        <v>0</v>
      </c>
      <c r="CA133" s="1312">
        <f t="shared" si="190"/>
        <v>0</v>
      </c>
      <c r="CB133" s="1311">
        <f t="shared" si="190"/>
        <v>0</v>
      </c>
      <c r="CC133" s="1311">
        <f t="shared" si="190"/>
        <v>0</v>
      </c>
      <c r="CD133" s="1311">
        <f t="shared" si="190"/>
        <v>0</v>
      </c>
      <c r="CE133" s="1311">
        <f t="shared" si="190"/>
        <v>0</v>
      </c>
      <c r="CF133" s="1311">
        <f t="shared" si="190"/>
        <v>11757.135657116161</v>
      </c>
      <c r="CG133" s="1311">
        <f t="shared" si="190"/>
        <v>26869.83688737511</v>
      </c>
      <c r="CH133" s="1311">
        <f t="shared" si="190"/>
        <v>51155.585902063722</v>
      </c>
      <c r="CI133" s="1311">
        <f t="shared" si="190"/>
        <v>76659.511587420304</v>
      </c>
      <c r="CJ133" s="1311">
        <f t="shared" si="190"/>
        <v>95146.110514129803</v>
      </c>
      <c r="CK133" s="1311">
        <f t="shared" si="190"/>
        <v>105736.39576409268</v>
      </c>
      <c r="CL133" s="1311">
        <f t="shared" si="190"/>
        <v>112724.98070060382</v>
      </c>
      <c r="CM133" s="1311">
        <f t="shared" si="190"/>
        <v>130262.18980704833</v>
      </c>
      <c r="CN133" s="1311">
        <f t="shared" si="190"/>
        <v>133926.86425193108</v>
      </c>
      <c r="CO133" s="1311">
        <f t="shared" si="190"/>
        <v>165362.28609762626</v>
      </c>
      <c r="CP133" s="1311">
        <f t="shared" si="191"/>
        <v>182484.29734090407</v>
      </c>
      <c r="CQ133" s="1311">
        <f t="shared" si="191"/>
        <v>209525.90987333632</v>
      </c>
      <c r="CR133" s="1311">
        <f t="shared" si="191"/>
        <v>252787.09082071079</v>
      </c>
      <c r="CS133" s="1311">
        <f t="shared" si="191"/>
        <v>0</v>
      </c>
      <c r="CT133" s="1311">
        <f t="shared" si="191"/>
        <v>0</v>
      </c>
      <c r="CU133" s="1311">
        <f t="shared" si="191"/>
        <v>0</v>
      </c>
      <c r="CV133" s="1311">
        <f t="shared" si="191"/>
        <v>0</v>
      </c>
      <c r="CW133" s="1311">
        <f t="shared" si="191"/>
        <v>0</v>
      </c>
      <c r="CX133" s="1311">
        <f t="shared" si="191"/>
        <v>0</v>
      </c>
      <c r="CY133" s="1311">
        <f t="shared" si="191"/>
        <v>0</v>
      </c>
      <c r="CZ133" s="1311">
        <f t="shared" si="191"/>
        <v>0</v>
      </c>
      <c r="DA133" s="1311">
        <f t="shared" si="191"/>
        <v>0</v>
      </c>
      <c r="DB133" s="1311">
        <f t="shared" si="191"/>
        <v>0</v>
      </c>
      <c r="DC133" s="1311">
        <f t="shared" si="191"/>
        <v>0</v>
      </c>
      <c r="DD133" s="1310">
        <f>AJ133-BT133</f>
        <v>261588.18054810507</v>
      </c>
      <c r="DE133" s="1260"/>
      <c r="DF133" s="1310">
        <f>AM133-BW133</f>
        <v>909600.89716940734</v>
      </c>
      <c r="DG133" s="1260"/>
    </row>
    <row r="134" spans="1:111" s="1334" customFormat="1" ht="12" x14ac:dyDescent="0.25">
      <c r="A134" s="1328"/>
      <c r="B134" s="1320"/>
      <c r="C134" s="1321" t="s">
        <v>1323</v>
      </c>
      <c r="D134" s="1322"/>
      <c r="E134" s="1323"/>
      <c r="F134" s="1324"/>
      <c r="G134" s="2639">
        <f>IFERROR(IF(ABS(G133/G$127)&gt;100%,0,G133/G$127),0)</f>
        <v>0</v>
      </c>
      <c r="H134" s="2639">
        <f t="shared" ref="H134:AJ134" si="198">IFERROR(IF(ABS(H133/H$127)&gt;100%,0,H133/H$127),0)</f>
        <v>0</v>
      </c>
      <c r="I134" s="2639">
        <f t="shared" si="198"/>
        <v>0</v>
      </c>
      <c r="J134" s="2639">
        <f t="shared" si="198"/>
        <v>0</v>
      </c>
      <c r="K134" s="2639">
        <f t="shared" si="198"/>
        <v>0</v>
      </c>
      <c r="L134" s="2639">
        <f t="shared" si="198"/>
        <v>0.70540540540540542</v>
      </c>
      <c r="M134" s="2639">
        <f t="shared" si="198"/>
        <v>0.69667415208301064</v>
      </c>
      <c r="N134" s="2639">
        <f t="shared" si="198"/>
        <v>0.69576746557878633</v>
      </c>
      <c r="O134" s="2639">
        <f t="shared" si="198"/>
        <v>0.694889502762431</v>
      </c>
      <c r="P134" s="2639">
        <f t="shared" si="198"/>
        <v>0.69277253866465482</v>
      </c>
      <c r="Q134" s="2639">
        <f t="shared" si="198"/>
        <v>0.69169742260179956</v>
      </c>
      <c r="R134" s="2639">
        <f t="shared" si="198"/>
        <v>0.68011267406471854</v>
      </c>
      <c r="S134" s="2639">
        <f t="shared" si="198"/>
        <v>0.68490602612616835</v>
      </c>
      <c r="T134" s="2639">
        <f t="shared" si="198"/>
        <v>0.67358529065912454</v>
      </c>
      <c r="U134" s="2639">
        <f t="shared" si="198"/>
        <v>0.69100180676226886</v>
      </c>
      <c r="V134" s="2639">
        <f t="shared" si="198"/>
        <v>0.67955492655471683</v>
      </c>
      <c r="W134" s="2639">
        <f t="shared" si="198"/>
        <v>0.67872943496904559</v>
      </c>
      <c r="X134" s="2639">
        <f t="shared" si="198"/>
        <v>1</v>
      </c>
      <c r="Y134" s="2639">
        <f t="shared" si="198"/>
        <v>0</v>
      </c>
      <c r="Z134" s="2639">
        <f t="shared" si="198"/>
        <v>0</v>
      </c>
      <c r="AA134" s="2639">
        <f t="shared" si="198"/>
        <v>0</v>
      </c>
      <c r="AB134" s="2639">
        <f t="shared" si="198"/>
        <v>0</v>
      </c>
      <c r="AC134" s="2639">
        <f t="shared" si="198"/>
        <v>0</v>
      </c>
      <c r="AD134" s="2639">
        <f t="shared" si="198"/>
        <v>0</v>
      </c>
      <c r="AE134" s="2639">
        <f t="shared" si="198"/>
        <v>0</v>
      </c>
      <c r="AF134" s="2639">
        <f t="shared" si="198"/>
        <v>0</v>
      </c>
      <c r="AG134" s="2639">
        <f t="shared" si="198"/>
        <v>0</v>
      </c>
      <c r="AH134" s="2639">
        <f t="shared" si="198"/>
        <v>0</v>
      </c>
      <c r="AI134" s="2639">
        <f t="shared" si="198"/>
        <v>0</v>
      </c>
      <c r="AJ134" s="1326">
        <f t="shared" si="198"/>
        <v>0.69493707617217348</v>
      </c>
      <c r="AK134" s="1933"/>
      <c r="AL134" s="1870"/>
      <c r="AM134" s="1329">
        <f t="shared" ref="AM134" si="199">IFERROR(AM133/AM$127,0)</f>
        <v>0.68734489324146386</v>
      </c>
      <c r="AN134" s="1379"/>
      <c r="AO134" s="1328"/>
      <c r="AP134" s="1324"/>
      <c r="AQ134" s="2640">
        <f t="shared" ref="AQ134:BT134" si="200">IFERROR(IF(ABS(AQ133/AQ$127)&gt;100%,0,AQ133/AQ$127),0)</f>
        <v>0</v>
      </c>
      <c r="AR134" s="2639">
        <f t="shared" si="200"/>
        <v>0</v>
      </c>
      <c r="AS134" s="2639">
        <f t="shared" si="200"/>
        <v>0</v>
      </c>
      <c r="AT134" s="2639">
        <f t="shared" si="200"/>
        <v>0</v>
      </c>
      <c r="AU134" s="2639">
        <f t="shared" si="200"/>
        <v>0</v>
      </c>
      <c r="AV134" s="2639">
        <f t="shared" si="200"/>
        <v>0</v>
      </c>
      <c r="AW134" s="2639">
        <f t="shared" si="200"/>
        <v>0</v>
      </c>
      <c r="AX134" s="2639">
        <f t="shared" si="200"/>
        <v>0</v>
      </c>
      <c r="AY134" s="2639">
        <f t="shared" si="200"/>
        <v>0</v>
      </c>
      <c r="AZ134" s="2639">
        <f t="shared" si="200"/>
        <v>0</v>
      </c>
      <c r="BA134" s="2639">
        <f t="shared" si="200"/>
        <v>0</v>
      </c>
      <c r="BB134" s="2639">
        <f t="shared" si="200"/>
        <v>0</v>
      </c>
      <c r="BC134" s="2639">
        <f t="shared" si="200"/>
        <v>0</v>
      </c>
      <c r="BD134" s="2639">
        <f t="shared" si="200"/>
        <v>0</v>
      </c>
      <c r="BE134" s="2639">
        <f t="shared" si="200"/>
        <v>0</v>
      </c>
      <c r="BF134" s="2639">
        <f t="shared" si="200"/>
        <v>0</v>
      </c>
      <c r="BG134" s="2639">
        <f t="shared" si="200"/>
        <v>0</v>
      </c>
      <c r="BH134" s="2639">
        <f t="shared" si="200"/>
        <v>0</v>
      </c>
      <c r="BI134" s="2639">
        <f t="shared" si="200"/>
        <v>0</v>
      </c>
      <c r="BJ134" s="2639">
        <f t="shared" si="200"/>
        <v>0</v>
      </c>
      <c r="BK134" s="2639">
        <f t="shared" si="200"/>
        <v>0</v>
      </c>
      <c r="BL134" s="2639">
        <f t="shared" si="200"/>
        <v>0</v>
      </c>
      <c r="BM134" s="2639">
        <f t="shared" si="200"/>
        <v>0</v>
      </c>
      <c r="BN134" s="2639">
        <f t="shared" si="200"/>
        <v>0</v>
      </c>
      <c r="BO134" s="2639">
        <f t="shared" si="200"/>
        <v>0</v>
      </c>
      <c r="BP134" s="2639">
        <f t="shared" si="200"/>
        <v>0</v>
      </c>
      <c r="BQ134" s="2639">
        <f t="shared" si="200"/>
        <v>0</v>
      </c>
      <c r="BR134" s="2639">
        <f t="shared" si="200"/>
        <v>0</v>
      </c>
      <c r="BS134" s="2639">
        <f t="shared" si="200"/>
        <v>0</v>
      </c>
      <c r="BT134" s="1326">
        <f t="shared" si="200"/>
        <v>0</v>
      </c>
      <c r="BU134" s="1933"/>
      <c r="BV134" s="1934"/>
      <c r="BW134" s="1329">
        <f t="shared" ref="BW134" si="201">IFERROR(BW133/BW$127,0)</f>
        <v>0</v>
      </c>
      <c r="BX134" s="2641"/>
      <c r="BY134" s="1328"/>
      <c r="BZ134" s="1324"/>
      <c r="CA134" s="1772"/>
      <c r="CB134" s="1773"/>
      <c r="CC134" s="1773"/>
      <c r="CD134" s="1773"/>
      <c r="CE134" s="1773"/>
      <c r="CF134" s="1773"/>
      <c r="CG134" s="1773"/>
      <c r="CH134" s="1773"/>
      <c r="CI134" s="1773"/>
      <c r="CJ134" s="1773"/>
      <c r="CK134" s="1773"/>
      <c r="CL134" s="1773"/>
      <c r="CM134" s="1773"/>
      <c r="CN134" s="1773"/>
      <c r="CO134" s="1773"/>
      <c r="CP134" s="1773"/>
      <c r="CQ134" s="1773"/>
      <c r="CR134" s="1773"/>
      <c r="CS134" s="1773"/>
      <c r="CT134" s="1773"/>
      <c r="CU134" s="1773"/>
      <c r="CV134" s="1773"/>
      <c r="CW134" s="1773"/>
      <c r="CX134" s="1773"/>
      <c r="CY134" s="1773"/>
      <c r="CZ134" s="1773"/>
      <c r="DA134" s="1773"/>
      <c r="DB134" s="1773"/>
      <c r="DC134" s="1773"/>
      <c r="DD134" s="1774"/>
      <c r="DE134" s="1328"/>
      <c r="DF134" s="1774"/>
      <c r="DG134" s="1328"/>
    </row>
    <row r="135" spans="1:111" s="1265" customFormat="1" ht="18" x14ac:dyDescent="0.3">
      <c r="A135" s="1260"/>
      <c r="B135" s="1336" t="s">
        <v>1324</v>
      </c>
      <c r="C135" s="1337"/>
      <c r="D135" s="1298"/>
      <c r="E135" s="1337"/>
      <c r="F135" s="1299">
        <f>IF(G$113&lt;Input!$F$48,$G135,0)+IF(H$113&lt;Input!$F$48,$H135,0)+IF(I$113&lt;Input!$F$48,$I135,0)+IF(J$113&lt;Input!$F$48,$J135,0)+IF(K$113&lt;Input!$F$48,$K135,0)+IF(L$113&lt;Input!$F$48,$L135,0)+IF(M$113&lt;Input!$F$48,$M135,0)+IF(N$113&lt;Input!$F$48,$N135,0)+IF(O$113&lt;Input!$F$48,$O135,0)+IF(P$113&lt;Input!$F$48,$P135,0)+IF(Q$113&lt;Input!$F$48,$Q135,0)+IF(R$113&lt;Input!$F$48,$R135,0)+IF(S$113&lt;Input!$F$48,$S135,0)+IF(T$113&lt;Input!$F$48,$T135,0)+IF(U$113&lt;Input!$F$48,$U135,0)+IF(V$113&lt;Input!$F$48,$V135,0)+IF(W$113&lt;Input!$F$48,$W135,0)</f>
        <v>0</v>
      </c>
      <c r="G135" s="1305">
        <f>'Income Statement'!M33</f>
        <v>200</v>
      </c>
      <c r="H135" s="1305">
        <f>'Income Statement'!N33</f>
        <v>1000</v>
      </c>
      <c r="I135" s="1305">
        <f>'Income Statement'!O33</f>
        <v>2500</v>
      </c>
      <c r="J135" s="1305">
        <f>'Income Statement'!P33</f>
        <v>3500</v>
      </c>
      <c r="K135" s="3068">
        <f>'Income Statement'!Q33</f>
        <v>4500</v>
      </c>
      <c r="L135" s="1305">
        <f>'Income Statement'!R33</f>
        <v>3300.0096684919295</v>
      </c>
      <c r="M135" s="1305">
        <f>'Income Statement'!S33</f>
        <v>3694.2371301226672</v>
      </c>
      <c r="N135" s="1305">
        <f>'Income Statement'!T33</f>
        <v>3323.4314505797752</v>
      </c>
      <c r="O135" s="1305">
        <f>'Income Statement'!U33</f>
        <v>3485.7419101714595</v>
      </c>
      <c r="P135" s="1305">
        <f>'Income Statement'!V33</f>
        <v>3972.1389686656671</v>
      </c>
      <c r="Q135" s="1305">
        <f>'Income Statement'!W33</f>
        <v>4251.5718022985111</v>
      </c>
      <c r="R135" s="1305">
        <f>'Income Statement'!X33</f>
        <v>3983.4022067022779</v>
      </c>
      <c r="S135" s="1305">
        <f>'Income Statement'!Y33</f>
        <v>4423.4177056210374</v>
      </c>
      <c r="T135" s="1305">
        <f>'Income Statement'!Z33</f>
        <v>4578.8839067073877</v>
      </c>
      <c r="U135" s="1305">
        <f>'Income Statement'!AA33</f>
        <v>5307.5446701130122</v>
      </c>
      <c r="V135" s="1305">
        <f>'Income Statement'!AB33</f>
        <v>5833.6304009883333</v>
      </c>
      <c r="W135" s="1305">
        <f>'Income Statement'!AC33</f>
        <v>6556.6565753731547</v>
      </c>
      <c r="X135" s="1305">
        <f>'Income Statement'!AG33</f>
        <v>0</v>
      </c>
      <c r="Y135" s="1305">
        <f>'Income Statement'!AH33</f>
        <v>0</v>
      </c>
      <c r="Z135" s="1305">
        <f>'Income Statement'!AI33</f>
        <v>0</v>
      </c>
      <c r="AA135" s="1305">
        <f>'Income Statement'!AJ33</f>
        <v>0</v>
      </c>
      <c r="AB135" s="1305">
        <f>'Income Statement'!AK33</f>
        <v>0</v>
      </c>
      <c r="AC135" s="1305">
        <f>'Income Statement'!AL33</f>
        <v>0</v>
      </c>
      <c r="AD135" s="1305">
        <f>'Income Statement'!AM33</f>
        <v>0</v>
      </c>
      <c r="AE135" s="1305">
        <f>'Income Statement'!AN33</f>
        <v>0</v>
      </c>
      <c r="AF135" s="1305">
        <f>'Income Statement'!AO33</f>
        <v>0</v>
      </c>
      <c r="AG135" s="1305">
        <f>'Income Statement'!AP33</f>
        <v>0</v>
      </c>
      <c r="AH135" s="1305">
        <f>'Income Statement'!AQ33</f>
        <v>0</v>
      </c>
      <c r="AI135" s="1305">
        <f>'Income Statement'!AR33</f>
        <v>0</v>
      </c>
      <c r="AJ135" s="1301">
        <f>SUMIF($G$115:$AI$115,"1",$G135:$AI135)</f>
        <v>29475.559128031495</v>
      </c>
      <c r="AK135" s="1302">
        <f>IFERROR(AJ135/AJ$127,0)</f>
        <v>7.8304986242325111E-2</v>
      </c>
      <c r="AL135" s="1272"/>
      <c r="AM135" s="1303">
        <f>SUMIF($G$115:$AI$115,"1",$G135:$AI135)+SUMIF($G$115:$AI$115,"2",$G135:$AI135)</f>
        <v>52020.379419473727</v>
      </c>
      <c r="AN135" s="1913"/>
      <c r="AO135" s="1260"/>
      <c r="AP135" s="1299">
        <f>IF(AQ$113&lt;Input!$F$48,$AQ135,0)+IF(AR$113&lt;Input!$F$48,$AR135,0)+IF(AS$113&lt;Input!$F$48,$AS135,0)+IF(AT$113&lt;Input!$F$48,$AT135,0)+IF(AU$113&lt;Input!$F$48,$AU135,0)+IF(AV$113&lt;Input!$F$48,$AV135,0)+IF(AW$113&lt;Input!$F$48,$AW135,0)+IF(AX$113&lt;Input!$F$48,$AX135,0)+IF(AY$113&lt;Input!$F$48,$AY135,0)+IF(AZ$113&lt;Input!$F$48,$AZ135,0)+IF(BA$113&lt;Input!$F$48,$BA135,0)+IF(BB$113&lt;Input!$F$48,$BB135,0)+IF(BC$113&lt;Input!$F$48,$BC135,0)+IF(BD$113&lt;Input!$F$48,$BD135,0)+IF(BE$113&lt;Input!$F$48,$BE135,0)+IF(BF$113&lt;Input!$F$48,$BF135,0)+IF(BG$113&lt;Input!$F$48,$BG135,0)</f>
        <v>0</v>
      </c>
      <c r="AQ135" s="1306"/>
      <c r="AR135" s="1305"/>
      <c r="AS135" s="1305"/>
      <c r="AT135" s="1305"/>
      <c r="AU135" s="1305"/>
      <c r="AV135" s="1305"/>
      <c r="AW135" s="1305"/>
      <c r="AX135" s="1305"/>
      <c r="AY135" s="1305"/>
      <c r="AZ135" s="1305"/>
      <c r="BA135" s="1305"/>
      <c r="BB135" s="1305"/>
      <c r="BC135" s="1305"/>
      <c r="BD135" s="1305"/>
      <c r="BE135" s="1305"/>
      <c r="BF135" s="1305"/>
      <c r="BG135" s="1305"/>
      <c r="BH135" s="1305"/>
      <c r="BI135" s="1305"/>
      <c r="BJ135" s="1305"/>
      <c r="BK135" s="1305"/>
      <c r="BL135" s="1305"/>
      <c r="BM135" s="1305"/>
      <c r="BN135" s="1305"/>
      <c r="BO135" s="1305"/>
      <c r="BP135" s="1305"/>
      <c r="BQ135" s="1305"/>
      <c r="BR135" s="1305"/>
      <c r="BS135" s="1305"/>
      <c r="BT135" s="1301">
        <f>SUMIF($AQ$115:$BS$115,"1",$AQ135:$BS135)</f>
        <v>0</v>
      </c>
      <c r="BU135" s="1302">
        <f>IFERROR(BT135/BT$127,0)</f>
        <v>0</v>
      </c>
      <c r="BV135" s="1914"/>
      <c r="BW135" s="1303">
        <f>SUMIF($AQ$115:$BS$115,"1",$AQ135:$BS135)+SUMIF($AQ$115:$BS$115,"2",$AQ135:$BS135)</f>
        <v>0</v>
      </c>
      <c r="BX135" s="1914"/>
      <c r="BY135" s="1260"/>
      <c r="BZ135" s="1299">
        <f t="shared" ref="BZ135:CO137" si="202">F135-AP135</f>
        <v>0</v>
      </c>
      <c r="CA135" s="1301">
        <f t="shared" si="202"/>
        <v>200</v>
      </c>
      <c r="CB135" s="1300">
        <f t="shared" si="202"/>
        <v>1000</v>
      </c>
      <c r="CC135" s="1300">
        <f t="shared" si="202"/>
        <v>2500</v>
      </c>
      <c r="CD135" s="1300">
        <f t="shared" si="202"/>
        <v>3500</v>
      </c>
      <c r="CE135" s="1300">
        <f t="shared" si="202"/>
        <v>4500</v>
      </c>
      <c r="CF135" s="1300">
        <f t="shared" si="202"/>
        <v>3300.0096684919295</v>
      </c>
      <c r="CG135" s="1300">
        <f t="shared" si="202"/>
        <v>3694.2371301226672</v>
      </c>
      <c r="CH135" s="1300">
        <f t="shared" si="202"/>
        <v>3323.4314505797752</v>
      </c>
      <c r="CI135" s="1300">
        <f t="shared" si="202"/>
        <v>3485.7419101714595</v>
      </c>
      <c r="CJ135" s="1300">
        <f t="shared" si="202"/>
        <v>3972.1389686656671</v>
      </c>
      <c r="CK135" s="1300">
        <f t="shared" si="202"/>
        <v>4251.5718022985111</v>
      </c>
      <c r="CL135" s="1300">
        <f t="shared" si="202"/>
        <v>3983.4022067022779</v>
      </c>
      <c r="CM135" s="1300">
        <f t="shared" si="202"/>
        <v>4423.4177056210374</v>
      </c>
      <c r="CN135" s="1300">
        <f t="shared" si="202"/>
        <v>4578.8839067073877</v>
      </c>
      <c r="CO135" s="1300">
        <f t="shared" si="202"/>
        <v>5307.5446701130122</v>
      </c>
      <c r="CP135" s="1300">
        <f t="shared" ref="CP135:DC137" si="203">V135-BF135</f>
        <v>5833.6304009883333</v>
      </c>
      <c r="CQ135" s="1300">
        <f t="shared" si="203"/>
        <v>6556.6565753731547</v>
      </c>
      <c r="CR135" s="1300">
        <f t="shared" si="203"/>
        <v>0</v>
      </c>
      <c r="CS135" s="1300">
        <f t="shared" si="203"/>
        <v>0</v>
      </c>
      <c r="CT135" s="1300">
        <f t="shared" si="203"/>
        <v>0</v>
      </c>
      <c r="CU135" s="1300">
        <f t="shared" si="203"/>
        <v>0</v>
      </c>
      <c r="CV135" s="1300">
        <f t="shared" si="203"/>
        <v>0</v>
      </c>
      <c r="CW135" s="1300">
        <f t="shared" si="203"/>
        <v>0</v>
      </c>
      <c r="CX135" s="1300">
        <f t="shared" si="203"/>
        <v>0</v>
      </c>
      <c r="CY135" s="1300">
        <f t="shared" si="203"/>
        <v>0</v>
      </c>
      <c r="CZ135" s="1300">
        <f t="shared" si="203"/>
        <v>0</v>
      </c>
      <c r="DA135" s="1300">
        <f t="shared" si="203"/>
        <v>0</v>
      </c>
      <c r="DB135" s="1300">
        <f t="shared" si="203"/>
        <v>0</v>
      </c>
      <c r="DC135" s="1300">
        <f t="shared" si="203"/>
        <v>0</v>
      </c>
      <c r="DD135" s="1299">
        <f>AJ135-BT135</f>
        <v>29475.559128031495</v>
      </c>
      <c r="DE135" s="1260"/>
      <c r="DF135" s="1299">
        <f>AM135-BW135</f>
        <v>52020.379419473727</v>
      </c>
      <c r="DG135" s="1260"/>
    </row>
    <row r="136" spans="1:111" s="1265" customFormat="1" ht="18" x14ac:dyDescent="0.3">
      <c r="A136" s="1260"/>
      <c r="B136" s="1336" t="s">
        <v>1325</v>
      </c>
      <c r="C136" s="1337"/>
      <c r="D136" s="1298"/>
      <c r="E136" s="1337"/>
      <c r="F136" s="1299">
        <f>IF(G$113&lt;Input!$F$48,$G136,0)+IF(H$113&lt;Input!$F$48,$H136,0)+IF(I$113&lt;Input!$F$48,$I136,0)+IF(J$113&lt;Input!$F$48,$J136,0)+IF(K$113&lt;Input!$F$48,$K136,0)+IF(L$113&lt;Input!$F$48,$L136,0)+IF(M$113&lt;Input!$F$48,$M136,0)+IF(N$113&lt;Input!$F$48,$N136,0)+IF(O$113&lt;Input!$F$48,$O136,0)+IF(P$113&lt;Input!$F$48,$P136,0)+IF(Q$113&lt;Input!$F$48,$Q136,0)+IF(R$113&lt;Input!$F$48,$R136,0)+IF(S$113&lt;Input!$F$48,$S136,0)+IF(T$113&lt;Input!$F$48,$T136,0)+IF(U$113&lt;Input!$F$48,$U136,0)+IF(V$113&lt;Input!$F$48,$V136,0)+IF(W$113&lt;Input!$F$48,$W136,0)</f>
        <v>0</v>
      </c>
      <c r="G136" s="1305">
        <f>'Income Statement'!M23</f>
        <v>4828.4206951872993</v>
      </c>
      <c r="H136" s="1305">
        <f>'Income Statement'!N23</f>
        <v>3450.6323370654059</v>
      </c>
      <c r="I136" s="1305">
        <f>'Income Statement'!O23</f>
        <v>8338.541056523256</v>
      </c>
      <c r="J136" s="1305">
        <f>'Income Statement'!P23</f>
        <v>7736.0276633552903</v>
      </c>
      <c r="K136" s="1305">
        <f>'Income Statement'!Q23</f>
        <v>2362.6098811049887</v>
      </c>
      <c r="L136" s="1305">
        <f>'Income Statement'!R23</f>
        <v>1451.8026343507922</v>
      </c>
      <c r="M136" s="1305">
        <f>'Income Statement'!S23</f>
        <v>205.83868703780806</v>
      </c>
      <c r="N136" s="1305">
        <f>'Income Statement'!T23</f>
        <v>209.9554607785642</v>
      </c>
      <c r="O136" s="1305">
        <f>'Income Statement'!U23</f>
        <v>214.1545699941355</v>
      </c>
      <c r="P136" s="1305">
        <f>'Income Statement'!V23</f>
        <v>218.43766139401816</v>
      </c>
      <c r="Q136" s="1305">
        <f>'Income Statement'!W23</f>
        <v>222.80641462189857</v>
      </c>
      <c r="R136" s="1305">
        <f>'Income Statement'!X23</f>
        <v>0</v>
      </c>
      <c r="S136" s="1305">
        <f>'Income Statement'!Y23</f>
        <v>0</v>
      </c>
      <c r="T136" s="1305">
        <f>'Income Statement'!Z23</f>
        <v>0</v>
      </c>
      <c r="U136" s="1305">
        <f>'Income Statement'!AA23</f>
        <v>0</v>
      </c>
      <c r="V136" s="1305">
        <f>'Income Statement'!AB23</f>
        <v>0</v>
      </c>
      <c r="W136" s="1305">
        <f>'Income Statement'!AC23</f>
        <v>0</v>
      </c>
      <c r="X136" s="1305">
        <f>'Income Statement'!AG23</f>
        <v>0</v>
      </c>
      <c r="Y136" s="1305">
        <f>'Income Statement'!AH23</f>
        <v>0</v>
      </c>
      <c r="Z136" s="1305">
        <f>'Income Statement'!AI23</f>
        <v>0</v>
      </c>
      <c r="AA136" s="1305">
        <f>'Income Statement'!AJ23</f>
        <v>0</v>
      </c>
      <c r="AB136" s="1305">
        <f>'Income Statement'!AK23</f>
        <v>0</v>
      </c>
      <c r="AC136" s="1305">
        <f>'Income Statement'!AL23</f>
        <v>0</v>
      </c>
      <c r="AD136" s="1305">
        <f>'Income Statement'!AM23</f>
        <v>0</v>
      </c>
      <c r="AE136" s="1305">
        <f>'Income Statement'!AN23</f>
        <v>0</v>
      </c>
      <c r="AF136" s="1305">
        <f>'Income Statement'!AO23</f>
        <v>0</v>
      </c>
      <c r="AG136" s="1305">
        <f>'Income Statement'!AP23</f>
        <v>0</v>
      </c>
      <c r="AH136" s="1305">
        <f>'Income Statement'!AQ23</f>
        <v>0</v>
      </c>
      <c r="AI136" s="1305">
        <f>'Income Statement'!AR23</f>
        <v>0</v>
      </c>
      <c r="AJ136" s="1301">
        <f>SUMIF($G$115:$AI$115,"1",$G136:$AI136)</f>
        <v>29016.420646791557</v>
      </c>
      <c r="AK136" s="1302">
        <f>IFERROR(AJ136/AJ$127,0)</f>
        <v>7.708523559058518E-2</v>
      </c>
      <c r="AL136" s="1272"/>
      <c r="AM136" s="1303">
        <f>SUMIF($G$115:$AI$115,"1",$G136:$AI136)+SUMIF($G$115:$AI$115,"2",$G136:$AI136)</f>
        <v>29239.227061413458</v>
      </c>
      <c r="AN136" s="1913"/>
      <c r="AO136" s="1260"/>
      <c r="AP136" s="1299">
        <f>IF(AQ$113&lt;Input!$F$48,$AQ136,0)+IF(AR$113&lt;Input!$F$48,$AR136,0)+IF(AS$113&lt;Input!$F$48,$AS136,0)+IF(AT$113&lt;Input!$F$48,$AT136,0)+IF(AU$113&lt;Input!$F$48,$AU136,0)+IF(AV$113&lt;Input!$F$48,$AV136,0)+IF(AW$113&lt;Input!$F$48,$AW136,0)+IF(AX$113&lt;Input!$F$48,$AX136,0)+IF(AY$113&lt;Input!$F$48,$AY136,0)+IF(AZ$113&lt;Input!$F$48,$AZ136,0)+IF(BA$113&lt;Input!$F$48,$BA136,0)+IF(BB$113&lt;Input!$F$48,$BB136,0)+IF(BC$113&lt;Input!$F$48,$BC136,0)+IF(BD$113&lt;Input!$F$48,$BD136,0)+IF(BE$113&lt;Input!$F$48,$BE136,0)+IF(BF$113&lt;Input!$F$48,$BF136,0)+IF(BG$113&lt;Input!$F$48,$BG136,0)</f>
        <v>0</v>
      </c>
      <c r="AQ136" s="1306"/>
      <c r="AR136" s="1305"/>
      <c r="AS136" s="1305"/>
      <c r="AT136" s="1305"/>
      <c r="AU136" s="1305"/>
      <c r="AV136" s="1305"/>
      <c r="AW136" s="1305"/>
      <c r="AX136" s="1305"/>
      <c r="AY136" s="1305"/>
      <c r="AZ136" s="1305"/>
      <c r="BA136" s="1305"/>
      <c r="BB136" s="1305"/>
      <c r="BC136" s="1305"/>
      <c r="BD136" s="1305"/>
      <c r="BE136" s="1305"/>
      <c r="BF136" s="1305"/>
      <c r="BG136" s="1305"/>
      <c r="BH136" s="1305"/>
      <c r="BI136" s="1305"/>
      <c r="BJ136" s="1305"/>
      <c r="BK136" s="1305"/>
      <c r="BL136" s="1305"/>
      <c r="BM136" s="1305"/>
      <c r="BN136" s="1305"/>
      <c r="BO136" s="1305"/>
      <c r="BP136" s="1305"/>
      <c r="BQ136" s="1305"/>
      <c r="BR136" s="1305"/>
      <c r="BS136" s="1305"/>
      <c r="BT136" s="1301">
        <f>SUMIF($AQ$115:$BS$115,"1",$AQ136:$BS136)</f>
        <v>0</v>
      </c>
      <c r="BU136" s="1302">
        <f>IFERROR(BT136/BT$127,0)</f>
        <v>0</v>
      </c>
      <c r="BV136" s="1914"/>
      <c r="BW136" s="1303">
        <f>SUMIF($AQ$115:$BS$115,"1",$AQ136:$BS136)+SUMIF($AQ$115:$BS$115,"2",$AQ136:$BS136)</f>
        <v>0</v>
      </c>
      <c r="BX136" s="1914"/>
      <c r="BY136" s="1260"/>
      <c r="BZ136" s="1299">
        <f t="shared" si="202"/>
        <v>0</v>
      </c>
      <c r="CA136" s="1301">
        <f t="shared" si="202"/>
        <v>4828.4206951872993</v>
      </c>
      <c r="CB136" s="1300">
        <f t="shared" si="202"/>
        <v>3450.6323370654059</v>
      </c>
      <c r="CC136" s="1300">
        <f t="shared" si="202"/>
        <v>8338.541056523256</v>
      </c>
      <c r="CD136" s="1300">
        <f t="shared" si="202"/>
        <v>7736.0276633552903</v>
      </c>
      <c r="CE136" s="1300">
        <f t="shared" si="202"/>
        <v>2362.6098811049887</v>
      </c>
      <c r="CF136" s="1300">
        <f t="shared" si="202"/>
        <v>1451.8026343507922</v>
      </c>
      <c r="CG136" s="1300">
        <f t="shared" si="202"/>
        <v>205.83868703780806</v>
      </c>
      <c r="CH136" s="1300">
        <f t="shared" si="202"/>
        <v>209.9554607785642</v>
      </c>
      <c r="CI136" s="1300">
        <f t="shared" si="202"/>
        <v>214.1545699941355</v>
      </c>
      <c r="CJ136" s="1300">
        <f t="shared" si="202"/>
        <v>218.43766139401816</v>
      </c>
      <c r="CK136" s="1300">
        <f t="shared" si="202"/>
        <v>222.80641462189857</v>
      </c>
      <c r="CL136" s="1300">
        <f t="shared" si="202"/>
        <v>0</v>
      </c>
      <c r="CM136" s="1300">
        <f t="shared" si="202"/>
        <v>0</v>
      </c>
      <c r="CN136" s="1300">
        <f t="shared" si="202"/>
        <v>0</v>
      </c>
      <c r="CO136" s="1300">
        <f t="shared" si="202"/>
        <v>0</v>
      </c>
      <c r="CP136" s="1300">
        <f t="shared" si="203"/>
        <v>0</v>
      </c>
      <c r="CQ136" s="1300">
        <f t="shared" si="203"/>
        <v>0</v>
      </c>
      <c r="CR136" s="1300">
        <f t="shared" si="203"/>
        <v>0</v>
      </c>
      <c r="CS136" s="1300">
        <f t="shared" si="203"/>
        <v>0</v>
      </c>
      <c r="CT136" s="1300">
        <f t="shared" si="203"/>
        <v>0</v>
      </c>
      <c r="CU136" s="1300">
        <f t="shared" si="203"/>
        <v>0</v>
      </c>
      <c r="CV136" s="1300">
        <f t="shared" si="203"/>
        <v>0</v>
      </c>
      <c r="CW136" s="1300">
        <f t="shared" si="203"/>
        <v>0</v>
      </c>
      <c r="CX136" s="1300">
        <f t="shared" si="203"/>
        <v>0</v>
      </c>
      <c r="CY136" s="1300">
        <f t="shared" si="203"/>
        <v>0</v>
      </c>
      <c r="CZ136" s="1300">
        <f t="shared" si="203"/>
        <v>0</v>
      </c>
      <c r="DA136" s="1300">
        <f t="shared" si="203"/>
        <v>0</v>
      </c>
      <c r="DB136" s="1300">
        <f t="shared" si="203"/>
        <v>0</v>
      </c>
      <c r="DC136" s="1300">
        <f t="shared" si="203"/>
        <v>0</v>
      </c>
      <c r="DD136" s="1299">
        <f>AJ136-BT136</f>
        <v>29016.420646791557</v>
      </c>
      <c r="DE136" s="1260"/>
      <c r="DF136" s="1299">
        <f>AM136-BW136</f>
        <v>29239.227061413458</v>
      </c>
      <c r="DG136" s="1260"/>
    </row>
    <row r="137" spans="1:111" s="1265" customFormat="1" ht="18.600000000000001" thickBot="1" x14ac:dyDescent="0.35">
      <c r="A137" s="1260"/>
      <c r="B137" s="1338" t="s">
        <v>660</v>
      </c>
      <c r="C137" s="1339"/>
      <c r="D137" s="1339"/>
      <c r="E137" s="1339"/>
      <c r="F137" s="1340">
        <f t="shared" ref="F137:AJ137" si="204">+F133-F135-F136</f>
        <v>0</v>
      </c>
      <c r="G137" s="1341">
        <f t="shared" si="204"/>
        <v>-5028.4206951872993</v>
      </c>
      <c r="H137" s="1341">
        <f t="shared" si="204"/>
        <v>-4450.6323370654063</v>
      </c>
      <c r="I137" s="1341">
        <f t="shared" si="204"/>
        <v>-10838.541056523256</v>
      </c>
      <c r="J137" s="1341">
        <f t="shared" si="204"/>
        <v>-11236.027663355289</v>
      </c>
      <c r="K137" s="1341">
        <f t="shared" si="204"/>
        <v>-6862.6098811049887</v>
      </c>
      <c r="L137" s="1341">
        <f t="shared" si="204"/>
        <v>7005.3233542734397</v>
      </c>
      <c r="M137" s="1341">
        <f t="shared" si="204"/>
        <v>22969.761070214634</v>
      </c>
      <c r="N137" s="1341">
        <f t="shared" si="204"/>
        <v>47622.198990705387</v>
      </c>
      <c r="O137" s="1341">
        <f t="shared" si="204"/>
        <v>72959.615107254707</v>
      </c>
      <c r="P137" s="1341">
        <f t="shared" si="204"/>
        <v>90955.53388407013</v>
      </c>
      <c r="Q137" s="1341">
        <f t="shared" si="204"/>
        <v>101262.01754717228</v>
      </c>
      <c r="R137" s="1341">
        <f t="shared" si="204"/>
        <v>108741.57849390154</v>
      </c>
      <c r="S137" s="1341">
        <f t="shared" si="204"/>
        <v>125838.7721014273</v>
      </c>
      <c r="T137" s="1341">
        <f t="shared" si="204"/>
        <v>129347.9803452237</v>
      </c>
      <c r="U137" s="1341">
        <f t="shared" si="204"/>
        <v>160054.74142751325</v>
      </c>
      <c r="V137" s="1341">
        <f t="shared" si="204"/>
        <v>176650.66693991574</v>
      </c>
      <c r="W137" s="1341">
        <f t="shared" si="204"/>
        <v>202969.25329796318</v>
      </c>
      <c r="X137" s="1341">
        <f>+X133-X135-X136</f>
        <v>252787.09082071079</v>
      </c>
      <c r="Y137" s="1341">
        <f t="shared" ref="Y137:AH137" si="205">+Y133-Y135-Y136</f>
        <v>0</v>
      </c>
      <c r="Z137" s="1341">
        <f t="shared" si="205"/>
        <v>0</v>
      </c>
      <c r="AA137" s="1341">
        <f t="shared" si="205"/>
        <v>0</v>
      </c>
      <c r="AB137" s="1341">
        <f t="shared" si="205"/>
        <v>0</v>
      </c>
      <c r="AC137" s="1341">
        <f t="shared" si="205"/>
        <v>0</v>
      </c>
      <c r="AD137" s="1341">
        <f t="shared" si="205"/>
        <v>0</v>
      </c>
      <c r="AE137" s="1341">
        <f t="shared" si="205"/>
        <v>0</v>
      </c>
      <c r="AF137" s="1341">
        <f t="shared" si="205"/>
        <v>0</v>
      </c>
      <c r="AG137" s="1341">
        <f t="shared" si="205"/>
        <v>0</v>
      </c>
      <c r="AH137" s="1341">
        <f t="shared" si="205"/>
        <v>0</v>
      </c>
      <c r="AI137" s="1341">
        <f>+AI133-AI135-AI136</f>
        <v>0</v>
      </c>
      <c r="AJ137" s="1342">
        <f t="shared" si="204"/>
        <v>203096.20077328203</v>
      </c>
      <c r="AK137" s="1343"/>
      <c r="AL137" s="1488"/>
      <c r="AM137" s="1340">
        <f t="shared" ref="AM137" si="206">+AM133-AM135-AM136</f>
        <v>828341.29068852018</v>
      </c>
      <c r="AN137" s="1371"/>
      <c r="AO137" s="1344"/>
      <c r="AP137" s="1340">
        <f>IF(AQ$113&lt;Input!$F$48,$AQ137,0)+IF(AR$113&lt;Input!$F$48,$AR137,0)+IF(AS$113&lt;Input!$F$48,$AS137,0)+IF(AT$113&lt;Input!$F$48,$AT137,0)+IF(AU$113&lt;Input!$F$48,$AU137,0)+IF(AV$113&lt;Input!$F$48,$AV137,0)+IF(AW$113&lt;Input!$F$48,$AW137,0)+IF(AX$113&lt;Input!$F$48,$AX137,0)+IF(AY$113&lt;Input!$F$48,$AY137,0)+IF(AZ$113&lt;Input!$F$48,$AZ137,0)+IF(BA$113&lt;Input!$F$48,$BA137,0)+IF(BB$113&lt;Input!$F$48,$BB137,0)+IF(BC$113&lt;Input!$F$48,$BC137,0)+IF(BD$113&lt;Input!$F$48,$BD137,0)+IF(BE$113&lt;Input!$F$48,$BE137,0)+IF(BF$113&lt;Input!$F$48,$BF137,0)+IF(BG$113&lt;Input!$F$48,$BG137,0)</f>
        <v>0</v>
      </c>
      <c r="AQ137" s="1342">
        <f t="shared" ref="AQ137:BT137" si="207">+AQ133-AQ135-AQ136</f>
        <v>0</v>
      </c>
      <c r="AR137" s="1341">
        <f t="shared" si="207"/>
        <v>0</v>
      </c>
      <c r="AS137" s="1341">
        <f t="shared" si="207"/>
        <v>0</v>
      </c>
      <c r="AT137" s="1341">
        <f t="shared" si="207"/>
        <v>0</v>
      </c>
      <c r="AU137" s="1341">
        <f t="shared" si="207"/>
        <v>0</v>
      </c>
      <c r="AV137" s="1341">
        <f t="shared" si="207"/>
        <v>0</v>
      </c>
      <c r="AW137" s="1341">
        <f t="shared" si="207"/>
        <v>0</v>
      </c>
      <c r="AX137" s="1341">
        <f t="shared" si="207"/>
        <v>0</v>
      </c>
      <c r="AY137" s="1341">
        <f t="shared" si="207"/>
        <v>0</v>
      </c>
      <c r="AZ137" s="1341">
        <f t="shared" si="207"/>
        <v>0</v>
      </c>
      <c r="BA137" s="1341">
        <f t="shared" si="207"/>
        <v>0</v>
      </c>
      <c r="BB137" s="1341">
        <f t="shared" si="207"/>
        <v>0</v>
      </c>
      <c r="BC137" s="1341">
        <f t="shared" si="207"/>
        <v>0</v>
      </c>
      <c r="BD137" s="1341">
        <f t="shared" si="207"/>
        <v>0</v>
      </c>
      <c r="BE137" s="1341">
        <f t="shared" si="207"/>
        <v>0</v>
      </c>
      <c r="BF137" s="1341">
        <f t="shared" si="207"/>
        <v>0</v>
      </c>
      <c r="BG137" s="1341">
        <f t="shared" si="207"/>
        <v>0</v>
      </c>
      <c r="BH137" s="1341">
        <f>+BH133-BH135-BH136</f>
        <v>0</v>
      </c>
      <c r="BI137" s="1341">
        <f t="shared" ref="BI137:BR137" si="208">+BI133-BI135-BI136</f>
        <v>0</v>
      </c>
      <c r="BJ137" s="1341">
        <f t="shared" si="208"/>
        <v>0</v>
      </c>
      <c r="BK137" s="1341">
        <f t="shared" si="208"/>
        <v>0</v>
      </c>
      <c r="BL137" s="1341">
        <f t="shared" si="208"/>
        <v>0</v>
      </c>
      <c r="BM137" s="1341">
        <f t="shared" si="208"/>
        <v>0</v>
      </c>
      <c r="BN137" s="1341">
        <f t="shared" si="208"/>
        <v>0</v>
      </c>
      <c r="BO137" s="1341">
        <f t="shared" si="208"/>
        <v>0</v>
      </c>
      <c r="BP137" s="1341">
        <f t="shared" si="208"/>
        <v>0</v>
      </c>
      <c r="BQ137" s="1341">
        <f t="shared" si="208"/>
        <v>0</v>
      </c>
      <c r="BR137" s="1341">
        <f t="shared" si="208"/>
        <v>0</v>
      </c>
      <c r="BS137" s="1341">
        <f>+BS133-BS135-BS136</f>
        <v>0</v>
      </c>
      <c r="BT137" s="1342">
        <f t="shared" si="207"/>
        <v>0</v>
      </c>
      <c r="BU137" s="1343"/>
      <c r="BV137" s="1398"/>
      <c r="BW137" s="1340">
        <f t="shared" ref="BW137" si="209">+BW133-BW135-BW136</f>
        <v>0</v>
      </c>
      <c r="BX137" s="1398"/>
      <c r="BY137" s="1344"/>
      <c r="BZ137" s="1340">
        <f t="shared" si="202"/>
        <v>0</v>
      </c>
      <c r="CA137" s="1342">
        <f t="shared" si="202"/>
        <v>-5028.4206951872993</v>
      </c>
      <c r="CB137" s="1341">
        <f t="shared" si="202"/>
        <v>-4450.6323370654063</v>
      </c>
      <c r="CC137" s="1341">
        <f t="shared" si="202"/>
        <v>-10838.541056523256</v>
      </c>
      <c r="CD137" s="1341">
        <f t="shared" si="202"/>
        <v>-11236.027663355289</v>
      </c>
      <c r="CE137" s="1341">
        <f t="shared" si="202"/>
        <v>-6862.6098811049887</v>
      </c>
      <c r="CF137" s="1341">
        <f t="shared" si="202"/>
        <v>7005.3233542734397</v>
      </c>
      <c r="CG137" s="1341">
        <f t="shared" si="202"/>
        <v>22969.761070214634</v>
      </c>
      <c r="CH137" s="1341">
        <f t="shared" si="202"/>
        <v>47622.198990705387</v>
      </c>
      <c r="CI137" s="1341">
        <f t="shared" si="202"/>
        <v>72959.615107254707</v>
      </c>
      <c r="CJ137" s="1341">
        <f t="shared" si="202"/>
        <v>90955.53388407013</v>
      </c>
      <c r="CK137" s="1341">
        <f t="shared" si="202"/>
        <v>101262.01754717228</v>
      </c>
      <c r="CL137" s="1341">
        <f t="shared" si="202"/>
        <v>108741.57849390154</v>
      </c>
      <c r="CM137" s="1341">
        <f t="shared" si="202"/>
        <v>125838.7721014273</v>
      </c>
      <c r="CN137" s="1341">
        <f t="shared" si="202"/>
        <v>129347.9803452237</v>
      </c>
      <c r="CO137" s="1341">
        <f t="shared" si="202"/>
        <v>160054.74142751325</v>
      </c>
      <c r="CP137" s="1341">
        <f t="shared" si="203"/>
        <v>176650.66693991574</v>
      </c>
      <c r="CQ137" s="1341">
        <f t="shared" si="203"/>
        <v>202969.25329796318</v>
      </c>
      <c r="CR137" s="1341">
        <f t="shared" si="203"/>
        <v>252787.09082071079</v>
      </c>
      <c r="CS137" s="1341">
        <f t="shared" si="203"/>
        <v>0</v>
      </c>
      <c r="CT137" s="1341">
        <f t="shared" si="203"/>
        <v>0</v>
      </c>
      <c r="CU137" s="1341">
        <f t="shared" si="203"/>
        <v>0</v>
      </c>
      <c r="CV137" s="1341">
        <f t="shared" si="203"/>
        <v>0</v>
      </c>
      <c r="CW137" s="1341">
        <f t="shared" si="203"/>
        <v>0</v>
      </c>
      <c r="CX137" s="1341">
        <f t="shared" si="203"/>
        <v>0</v>
      </c>
      <c r="CY137" s="1341">
        <f t="shared" si="203"/>
        <v>0</v>
      </c>
      <c r="CZ137" s="1341">
        <f t="shared" si="203"/>
        <v>0</v>
      </c>
      <c r="DA137" s="1341">
        <f t="shared" si="203"/>
        <v>0</v>
      </c>
      <c r="DB137" s="1341">
        <f t="shared" si="203"/>
        <v>0</v>
      </c>
      <c r="DC137" s="1341">
        <f t="shared" si="203"/>
        <v>0</v>
      </c>
      <c r="DD137" s="1340">
        <f>AJ137-BT137</f>
        <v>203096.20077328203</v>
      </c>
      <c r="DE137" s="1260"/>
      <c r="DF137" s="1340">
        <f>AM137-BW137</f>
        <v>828341.29068852018</v>
      </c>
      <c r="DG137" s="1260"/>
    </row>
    <row r="138" spans="1:111" s="1334" customFormat="1" ht="12.6" thickTop="1" x14ac:dyDescent="0.25">
      <c r="A138" s="1328"/>
      <c r="B138" s="1350"/>
      <c r="C138" s="1351" t="s">
        <v>1323</v>
      </c>
      <c r="D138" s="1352"/>
      <c r="E138" s="1353"/>
      <c r="F138" s="1354"/>
      <c r="G138" s="1379">
        <f t="shared" ref="G138:AJ138" si="210">IFERROR(IF(ABS(G137/G$127)&gt;100%,0,G137/G$127),0)</f>
        <v>0</v>
      </c>
      <c r="H138" s="1379">
        <f t="shared" si="210"/>
        <v>0</v>
      </c>
      <c r="I138" s="1379">
        <f t="shared" si="210"/>
        <v>0</v>
      </c>
      <c r="J138" s="1379">
        <f t="shared" si="210"/>
        <v>0</v>
      </c>
      <c r="K138" s="1379">
        <f t="shared" si="210"/>
        <v>0</v>
      </c>
      <c r="L138" s="1379">
        <f t="shared" si="210"/>
        <v>0.42030585551049982</v>
      </c>
      <c r="M138" s="1379">
        <f t="shared" si="210"/>
        <v>0.5955539992377078</v>
      </c>
      <c r="N138" s="1379">
        <f t="shared" si="210"/>
        <v>0.64770984659399689</v>
      </c>
      <c r="O138" s="1379">
        <f t="shared" si="210"/>
        <v>0.66135133936775792</v>
      </c>
      <c r="P138" s="1379">
        <f t="shared" si="210"/>
        <v>0.66226034647111187</v>
      </c>
      <c r="Q138" s="1379">
        <f t="shared" si="210"/>
        <v>0.66242731311845271</v>
      </c>
      <c r="R138" s="1379">
        <f t="shared" si="210"/>
        <v>0.65607929379853702</v>
      </c>
      <c r="S138" s="1379">
        <f t="shared" si="210"/>
        <v>0.661648122607575</v>
      </c>
      <c r="T138" s="1379">
        <f t="shared" si="210"/>
        <v>0.65055578971156236</v>
      </c>
      <c r="U138" s="1379">
        <f t="shared" si="210"/>
        <v>0.66882309211657076</v>
      </c>
      <c r="V138" s="1379">
        <f t="shared" si="210"/>
        <v>0.65783101750359874</v>
      </c>
      <c r="W138" s="1379">
        <f t="shared" si="210"/>
        <v>0.65749007695657191</v>
      </c>
      <c r="X138" s="1379">
        <f t="shared" si="210"/>
        <v>1</v>
      </c>
      <c r="Y138" s="1379">
        <f t="shared" si="210"/>
        <v>0</v>
      </c>
      <c r="Z138" s="1379">
        <f t="shared" si="210"/>
        <v>0</v>
      </c>
      <c r="AA138" s="1379">
        <f t="shared" si="210"/>
        <v>0</v>
      </c>
      <c r="AB138" s="1379">
        <f t="shared" si="210"/>
        <v>0</v>
      </c>
      <c r="AC138" s="1379">
        <f t="shared" si="210"/>
        <v>0</v>
      </c>
      <c r="AD138" s="1379">
        <f t="shared" si="210"/>
        <v>0</v>
      </c>
      <c r="AE138" s="1379">
        <f t="shared" si="210"/>
        <v>0</v>
      </c>
      <c r="AF138" s="1379">
        <f t="shared" si="210"/>
        <v>0</v>
      </c>
      <c r="AG138" s="1379">
        <f t="shared" si="210"/>
        <v>0</v>
      </c>
      <c r="AH138" s="1379">
        <f t="shared" si="210"/>
        <v>0</v>
      </c>
      <c r="AI138" s="1379">
        <f t="shared" si="210"/>
        <v>0</v>
      </c>
      <c r="AJ138" s="1270">
        <f t="shared" si="210"/>
        <v>0.53954685433926319</v>
      </c>
      <c r="AK138" s="1959"/>
      <c r="AL138" s="1960"/>
      <c r="AM138" s="1273">
        <f t="shared" ref="AM138" si="211">IFERROR((AM137)/AM127,0)</f>
        <v>0.6259406271339224</v>
      </c>
      <c r="AN138" s="1379"/>
      <c r="AO138" s="1356"/>
      <c r="AP138" s="1354"/>
      <c r="AQ138" s="2642">
        <f t="shared" ref="AQ138:BT138" si="212">IFERROR(IF(ABS(AQ137/AQ$127)&gt;100%,0,AQ137/AQ$127),0)</f>
        <v>0</v>
      </c>
      <c r="AR138" s="1379">
        <f t="shared" si="212"/>
        <v>0</v>
      </c>
      <c r="AS138" s="1379">
        <f t="shared" si="212"/>
        <v>0</v>
      </c>
      <c r="AT138" s="1379">
        <f t="shared" si="212"/>
        <v>0</v>
      </c>
      <c r="AU138" s="1379">
        <f t="shared" si="212"/>
        <v>0</v>
      </c>
      <c r="AV138" s="1379">
        <f t="shared" si="212"/>
        <v>0</v>
      </c>
      <c r="AW138" s="1379">
        <f t="shared" si="212"/>
        <v>0</v>
      </c>
      <c r="AX138" s="1379">
        <f t="shared" si="212"/>
        <v>0</v>
      </c>
      <c r="AY138" s="1379">
        <f t="shared" si="212"/>
        <v>0</v>
      </c>
      <c r="AZ138" s="1379">
        <f t="shared" si="212"/>
        <v>0</v>
      </c>
      <c r="BA138" s="1379">
        <f t="shared" si="212"/>
        <v>0</v>
      </c>
      <c r="BB138" s="1379">
        <f t="shared" si="212"/>
        <v>0</v>
      </c>
      <c r="BC138" s="1379">
        <f t="shared" si="212"/>
        <v>0</v>
      </c>
      <c r="BD138" s="1379">
        <f t="shared" si="212"/>
        <v>0</v>
      </c>
      <c r="BE138" s="1379">
        <f t="shared" si="212"/>
        <v>0</v>
      </c>
      <c r="BF138" s="1379">
        <f t="shared" si="212"/>
        <v>0</v>
      </c>
      <c r="BG138" s="1379">
        <f t="shared" si="212"/>
        <v>0</v>
      </c>
      <c r="BH138" s="1379">
        <f t="shared" si="212"/>
        <v>0</v>
      </c>
      <c r="BI138" s="1379">
        <f t="shared" si="212"/>
        <v>0</v>
      </c>
      <c r="BJ138" s="1379">
        <f t="shared" si="212"/>
        <v>0</v>
      </c>
      <c r="BK138" s="1379">
        <f t="shared" si="212"/>
        <v>0</v>
      </c>
      <c r="BL138" s="1379">
        <f t="shared" si="212"/>
        <v>0</v>
      </c>
      <c r="BM138" s="1379">
        <f t="shared" si="212"/>
        <v>0</v>
      </c>
      <c r="BN138" s="1379">
        <f t="shared" si="212"/>
        <v>0</v>
      </c>
      <c r="BO138" s="1379">
        <f t="shared" si="212"/>
        <v>0</v>
      </c>
      <c r="BP138" s="1379">
        <f t="shared" si="212"/>
        <v>0</v>
      </c>
      <c r="BQ138" s="1379">
        <f t="shared" si="212"/>
        <v>0</v>
      </c>
      <c r="BR138" s="1379">
        <f t="shared" si="212"/>
        <v>0</v>
      </c>
      <c r="BS138" s="1379">
        <f t="shared" si="212"/>
        <v>0</v>
      </c>
      <c r="BT138" s="1270">
        <f t="shared" si="212"/>
        <v>0</v>
      </c>
      <c r="BU138" s="1959"/>
      <c r="BV138" s="1934"/>
      <c r="BW138" s="1273">
        <f t="shared" ref="BW138" si="213">IFERROR((BW137)/BW127,0)</f>
        <v>0</v>
      </c>
      <c r="BX138" s="2641"/>
      <c r="BY138" s="1356"/>
      <c r="BZ138" s="1354"/>
      <c r="CA138" s="1763"/>
      <c r="CB138" s="1764"/>
      <c r="CC138" s="1764"/>
      <c r="CD138" s="1764"/>
      <c r="CE138" s="1764"/>
      <c r="CF138" s="1764"/>
      <c r="CG138" s="1764"/>
      <c r="CH138" s="1764"/>
      <c r="CI138" s="1764"/>
      <c r="CJ138" s="1764"/>
      <c r="CK138" s="1764"/>
      <c r="CL138" s="1764"/>
      <c r="CM138" s="1764"/>
      <c r="CN138" s="1764"/>
      <c r="CO138" s="1764"/>
      <c r="CP138" s="1764"/>
      <c r="CQ138" s="1764"/>
      <c r="CR138" s="1764"/>
      <c r="CS138" s="1764"/>
      <c r="CT138" s="1764"/>
      <c r="CU138" s="1764"/>
      <c r="CV138" s="1764"/>
      <c r="CW138" s="1764"/>
      <c r="CX138" s="1764"/>
      <c r="CY138" s="1764"/>
      <c r="CZ138" s="1764"/>
      <c r="DA138" s="1764"/>
      <c r="DB138" s="1764"/>
      <c r="DC138" s="1764"/>
      <c r="DD138" s="1775"/>
      <c r="DE138" s="1328"/>
      <c r="DF138" s="1775"/>
      <c r="DG138" s="1328"/>
    </row>
    <row r="139" spans="1:111" s="1334" customFormat="1" ht="18" x14ac:dyDescent="0.25">
      <c r="A139" s="1328"/>
      <c r="B139" s="1336" t="s">
        <v>1326</v>
      </c>
      <c r="C139" s="1351"/>
      <c r="D139" s="1352"/>
      <c r="E139" s="1353"/>
      <c r="F139" s="1299">
        <f>IF(G$113&lt;Input!$F$48,$G139,0)+IF(H$113&lt;Input!$F$48,$H139,0)+IF(I$113&lt;Input!$F$48,$I139,0)+IF(J$113&lt;Input!$F$48,$J139,0)+IF(K$113&lt;Input!$F$48,$K139,0)+IF(L$113&lt;Input!$F$48,$L139,0)+IF(M$113&lt;Input!$F$48,$M139,0)+IF(N$113&lt;Input!$F$48,$N139,0)+IF(O$113&lt;Input!$F$48,$O139,0)+IF(P$113&lt;Input!$F$48,$P139,0)+IF(Q$113&lt;Input!$F$48,$Q139,0)+IF(R$113&lt;Input!$F$48,$R139,0)+IF(S$113&lt;Input!$F$48,$S139,0)+IF(T$113&lt;Input!$F$48,$T139,0)+IF(U$113&lt;Input!$F$48,$U139,0)+IF(V$113&lt;Input!$F$48,$V139,0)+IF(W$113&lt;Input!$F$48,$W139,0)</f>
        <v>0</v>
      </c>
      <c r="G139" s="1305">
        <f>-('CashFlow &amp; NPV'!$K$10/20)</f>
        <v>0</v>
      </c>
      <c r="H139" s="1305">
        <f>-('CashFlow &amp; NPV'!$K$10/20+'CashFlow &amp; NPV'!$K$10/19)</f>
        <v>0</v>
      </c>
      <c r="I139" s="1305">
        <f>-('CashFlow &amp; NPV'!$K$10/20+'CashFlow &amp; NPV'!$K$10/19)</f>
        <v>0</v>
      </c>
      <c r="J139" s="1305">
        <f>-('CashFlow &amp; NPV'!$K$10/20+'CashFlow &amp; NPV'!$K$10/19+'CashFlow &amp; NPV'!$N$10/17)</f>
        <v>0</v>
      </c>
      <c r="K139" s="1305">
        <f>-('CashFlow &amp; NPV'!$K$10/20+'CashFlow &amp; NPV'!$K$10/19+'CashFlow &amp; NPV'!$N$10/17+'CashFlow &amp; NPV'!$O$10/16)</f>
        <v>0</v>
      </c>
      <c r="L139" s="1305">
        <f>-('CashFlow &amp; NPV'!$K$10/20+'CashFlow &amp; NPV'!$K$10/19+'CashFlow &amp; NPV'!$N$10/17+'CashFlow &amp; NPV'!$O$10/16+'CashFlow &amp; NPV'!$P$10/15)</f>
        <v>933.33333333333337</v>
      </c>
      <c r="M139" s="1305">
        <f>-('CashFlow &amp; NPV'!$K$10/20+'CashFlow &amp; NPV'!$K$10/19+'CashFlow &amp; NPV'!$N$10/17+'CashFlow &amp; NPV'!$O$10/16+'CashFlow &amp; NPV'!$P$10/15)</f>
        <v>933.33333333333337</v>
      </c>
      <c r="N139" s="1305">
        <f>-('CashFlow &amp; NPV'!$K$10/20+'CashFlow &amp; NPV'!$K$10/19+'CashFlow &amp; NPV'!$N$10/17+'CashFlow &amp; NPV'!$O$10/16+'CashFlow &amp; NPV'!$P$10/15)</f>
        <v>933.33333333333337</v>
      </c>
      <c r="O139" s="1305">
        <f>-('CashFlow &amp; NPV'!$K$10/20+'CashFlow &amp; NPV'!$K$10/19+'CashFlow &amp; NPV'!$N$10/17+'CashFlow &amp; NPV'!$O$10/16+'CashFlow &amp; NPV'!$P$10/15)</f>
        <v>933.33333333333337</v>
      </c>
      <c r="P139" s="1305">
        <f>-('CashFlow &amp; NPV'!$K$10/20+'CashFlow &amp; NPV'!$K$10/19+'CashFlow &amp; NPV'!$N$10/17+'CashFlow &amp; NPV'!$O$10/16+'CashFlow &amp; NPV'!$P$10/15)</f>
        <v>933.33333333333337</v>
      </c>
      <c r="Q139" s="1305">
        <f>-('CashFlow &amp; NPV'!$K$10/20+'CashFlow &amp; NPV'!$K$10/19+'CashFlow &amp; NPV'!$N$10/17+'CashFlow &amp; NPV'!$O$10/16+'CashFlow &amp; NPV'!$P$10/15)</f>
        <v>933.33333333333337</v>
      </c>
      <c r="R139" s="1305">
        <f>-('CashFlow &amp; NPV'!$K$10/20+'CashFlow &amp; NPV'!$K$10/19+'CashFlow &amp; NPV'!$N$10/17+'CashFlow &amp; NPV'!$O$10/16+'CashFlow &amp; NPV'!$P$10/15)</f>
        <v>933.33333333333337</v>
      </c>
      <c r="S139" s="1305">
        <f>-('CashFlow &amp; NPV'!$K$10/20+'CashFlow &amp; NPV'!$K$10/19+'CashFlow &amp; NPV'!$N$10/17+'CashFlow &amp; NPV'!$O$10/16+'CashFlow &amp; NPV'!$P$10/15)</f>
        <v>933.33333333333337</v>
      </c>
      <c r="T139" s="1305">
        <f>-('CashFlow &amp; NPV'!$K$10/20+'CashFlow &amp; NPV'!$K$10/19+'CashFlow &amp; NPV'!$N$10/17+'CashFlow &amp; NPV'!$O$10/16+'CashFlow &amp; NPV'!$P$10/15)</f>
        <v>933.33333333333337</v>
      </c>
      <c r="U139" s="1305">
        <f>-('CashFlow &amp; NPV'!$K$10/20+'CashFlow &amp; NPV'!$K$10/19+'CashFlow &amp; NPV'!$N$10/17+'CashFlow &amp; NPV'!$O$10/16+'CashFlow &amp; NPV'!$P$10/15)</f>
        <v>933.33333333333337</v>
      </c>
      <c r="V139" s="1305">
        <f>-('CashFlow &amp; NPV'!$K$10/20+'CashFlow &amp; NPV'!$K$10/19+'CashFlow &amp; NPV'!$N$10/17+'CashFlow &amp; NPV'!$O$10/16+'CashFlow &amp; NPV'!$P$10/15)</f>
        <v>933.33333333333337</v>
      </c>
      <c r="W139" s="1305">
        <f>-('CashFlow &amp; NPV'!$K$10/20+'CashFlow &amp; NPV'!$K$10/19+'CashFlow &amp; NPV'!$N$10/17+'CashFlow &amp; NPV'!$O$10/16+'CashFlow &amp; NPV'!$P$10/15)</f>
        <v>933.33333333333337</v>
      </c>
      <c r="X139" s="1305">
        <f>-('CashFlow &amp; NPV'!$K$10/20+'CashFlow &amp; NPV'!$K$10/19+'CashFlow &amp; NPV'!$N$10/17+'CashFlow &amp; NPV'!$O$10/16+'CashFlow &amp; NPV'!$P$10/15)</f>
        <v>933.33333333333337</v>
      </c>
      <c r="Y139" s="1305">
        <f>-('CashFlow &amp; NPV'!$K$10/20+'CashFlow &amp; NPV'!$K$10/19+'CashFlow &amp; NPV'!$N$10/17+'CashFlow &amp; NPV'!$O$10/16+'CashFlow &amp; NPV'!$P$10/15)</f>
        <v>933.33333333333337</v>
      </c>
      <c r="Z139" s="1305">
        <f>-('CashFlow &amp; NPV'!$K$10/20+'CashFlow &amp; NPV'!$K$10/19+'CashFlow &amp; NPV'!$N$10/17+'CashFlow &amp; NPV'!$O$10/16+'CashFlow &amp; NPV'!$P$10/15)</f>
        <v>933.33333333333337</v>
      </c>
      <c r="AA139" s="1305">
        <v>0</v>
      </c>
      <c r="AB139" s="1305">
        <v>0</v>
      </c>
      <c r="AC139" s="1305">
        <v>0</v>
      </c>
      <c r="AD139" s="1305">
        <v>0</v>
      </c>
      <c r="AE139" s="1305">
        <v>0</v>
      </c>
      <c r="AF139" s="1305">
        <v>0</v>
      </c>
      <c r="AG139" s="1305">
        <v>0</v>
      </c>
      <c r="AH139" s="1305">
        <v>0</v>
      </c>
      <c r="AI139" s="1305">
        <v>0</v>
      </c>
      <c r="AJ139" s="1301">
        <f>SUMIF($G$115:$AI$115,"1",$G139:$AI139)</f>
        <v>4666.666666666667</v>
      </c>
      <c r="AK139" s="1959" t="s">
        <v>3</v>
      </c>
      <c r="AL139" s="1870"/>
      <c r="AM139" s="1303">
        <f>SUMIF($G$115:$AI$115,"1",$G139:$AI139)+SUMIF($G$115:$AI$115,"2",$G139:$AI139)</f>
        <v>9333.3333333333339</v>
      </c>
      <c r="AN139" s="1913"/>
      <c r="AO139" s="1328"/>
      <c r="AP139" s="1299">
        <f>IF(AQ$113&lt;Input!$F$48,$AQ139,0)+IF(AR$113&lt;Input!$F$48,$AR139,0)+IF(AS$113&lt;Input!$F$48,$AS139,0)+IF(AT$113&lt;Input!$F$48,$AT139,0)+IF(AU$113&lt;Input!$F$48,$AU139,0)+IF(AV$113&lt;Input!$F$48,$AV139,0)+IF(AW$113&lt;Input!$F$48,$AW139,0)+IF(AX$113&lt;Input!$F$48,$AX139,0)+IF(AY$113&lt;Input!$F$48,$AY139,0)+IF(AZ$113&lt;Input!$F$48,$AZ139,0)+IF(BA$113&lt;Input!$F$48,$BA139,0)+IF(BB$113&lt;Input!$F$48,$BB139,0)+IF(BC$113&lt;Input!$F$48,$BC139,0)+IF(BD$113&lt;Input!$F$48,$BD139,0)+IF(BE$113&lt;Input!$F$48,$BE139,0)+IF(BF$113&lt;Input!$F$48,$BF139,0)+IF(BG$113&lt;Input!$F$48,$BG139,0)</f>
        <v>0</v>
      </c>
      <c r="AQ139" s="1306"/>
      <c r="AR139" s="1305"/>
      <c r="AS139" s="1305"/>
      <c r="AT139" s="1305"/>
      <c r="AU139" s="1305"/>
      <c r="AV139" s="1305"/>
      <c r="AW139" s="1305"/>
      <c r="AX139" s="1305"/>
      <c r="AY139" s="1305"/>
      <c r="AZ139" s="1305"/>
      <c r="BA139" s="1305"/>
      <c r="BB139" s="1305"/>
      <c r="BC139" s="1305"/>
      <c r="BD139" s="1305"/>
      <c r="BE139" s="1305"/>
      <c r="BF139" s="1305"/>
      <c r="BG139" s="1305"/>
      <c r="BH139" s="1305"/>
      <c r="BI139" s="1305"/>
      <c r="BJ139" s="1305"/>
      <c r="BK139" s="1305"/>
      <c r="BL139" s="1305"/>
      <c r="BM139" s="1305"/>
      <c r="BN139" s="1305"/>
      <c r="BO139" s="1305"/>
      <c r="BP139" s="1305"/>
      <c r="BQ139" s="1305"/>
      <c r="BR139" s="1305"/>
      <c r="BS139" s="1305"/>
      <c r="BT139" s="1301">
        <f>SUMIF($AQ$115:$BS$115,"1",$AQ139:$BS139)</f>
        <v>0</v>
      </c>
      <c r="BU139" s="1959" t="s">
        <v>3</v>
      </c>
      <c r="BV139" s="1934"/>
      <c r="BW139" s="1303">
        <f>SUMIF($AQ$115:$BS$115,"1",$AQ139:$BS139)+SUMIF($AQ$115:$BS$115,"2",$AQ139:$BS139)</f>
        <v>0</v>
      </c>
      <c r="BX139" s="2641"/>
      <c r="BY139" s="1328"/>
      <c r="BZ139" s="1299">
        <f t="shared" ref="BZ139:CO141" si="214">F139-AP139</f>
        <v>0</v>
      </c>
      <c r="CA139" s="1301">
        <f t="shared" si="214"/>
        <v>0</v>
      </c>
      <c r="CB139" s="1300">
        <f t="shared" si="214"/>
        <v>0</v>
      </c>
      <c r="CC139" s="1300">
        <f t="shared" si="214"/>
        <v>0</v>
      </c>
      <c r="CD139" s="1300">
        <f t="shared" si="214"/>
        <v>0</v>
      </c>
      <c r="CE139" s="1300">
        <f t="shared" si="214"/>
        <v>0</v>
      </c>
      <c r="CF139" s="1300">
        <f t="shared" si="214"/>
        <v>933.33333333333337</v>
      </c>
      <c r="CG139" s="1300">
        <f t="shared" si="214"/>
        <v>933.33333333333337</v>
      </c>
      <c r="CH139" s="1300">
        <f t="shared" si="214"/>
        <v>933.33333333333337</v>
      </c>
      <c r="CI139" s="1300">
        <f t="shared" si="214"/>
        <v>933.33333333333337</v>
      </c>
      <c r="CJ139" s="1300">
        <f t="shared" si="214"/>
        <v>933.33333333333337</v>
      </c>
      <c r="CK139" s="1300">
        <f t="shared" si="214"/>
        <v>933.33333333333337</v>
      </c>
      <c r="CL139" s="1300">
        <f t="shared" si="214"/>
        <v>933.33333333333337</v>
      </c>
      <c r="CM139" s="1300">
        <f t="shared" si="214"/>
        <v>933.33333333333337</v>
      </c>
      <c r="CN139" s="1300">
        <f t="shared" si="214"/>
        <v>933.33333333333337</v>
      </c>
      <c r="CO139" s="1300">
        <f t="shared" si="214"/>
        <v>933.33333333333337</v>
      </c>
      <c r="CP139" s="1300">
        <f t="shared" ref="CP139:DC141" si="215">V139-BF139</f>
        <v>933.33333333333337</v>
      </c>
      <c r="CQ139" s="1300">
        <f t="shared" si="215"/>
        <v>933.33333333333337</v>
      </c>
      <c r="CR139" s="1300">
        <f t="shared" si="215"/>
        <v>933.33333333333337</v>
      </c>
      <c r="CS139" s="1300">
        <f t="shared" si="215"/>
        <v>933.33333333333337</v>
      </c>
      <c r="CT139" s="1300">
        <f t="shared" si="215"/>
        <v>933.33333333333337</v>
      </c>
      <c r="CU139" s="1300">
        <f t="shared" si="215"/>
        <v>0</v>
      </c>
      <c r="CV139" s="1300">
        <f t="shared" si="215"/>
        <v>0</v>
      </c>
      <c r="CW139" s="1300">
        <f t="shared" si="215"/>
        <v>0</v>
      </c>
      <c r="CX139" s="1300">
        <f t="shared" si="215"/>
        <v>0</v>
      </c>
      <c r="CY139" s="1300">
        <f t="shared" si="215"/>
        <v>0</v>
      </c>
      <c r="CZ139" s="1300">
        <f t="shared" si="215"/>
        <v>0</v>
      </c>
      <c r="DA139" s="1300">
        <f t="shared" si="215"/>
        <v>0</v>
      </c>
      <c r="DB139" s="1300">
        <f t="shared" si="215"/>
        <v>0</v>
      </c>
      <c r="DC139" s="1300">
        <f t="shared" si="215"/>
        <v>0</v>
      </c>
      <c r="DD139" s="1299">
        <f>AJ139-BT139</f>
        <v>4666.666666666667</v>
      </c>
      <c r="DE139" s="1328"/>
      <c r="DF139" s="1299">
        <f>AM139-BW139</f>
        <v>9333.3333333333339</v>
      </c>
      <c r="DG139" s="1328"/>
    </row>
    <row r="140" spans="1:111" s="1265" customFormat="1" ht="18" x14ac:dyDescent="0.3">
      <c r="A140" s="1973">
        <v>0.38</v>
      </c>
      <c r="B140" s="1336" t="s">
        <v>1327</v>
      </c>
      <c r="C140" s="1360"/>
      <c r="D140" s="1361"/>
      <c r="E140" s="1360"/>
      <c r="F140" s="1299">
        <f>IF(G$113&lt;Input!$F$48,$G140,0)+IF(H$113&lt;Input!$F$48,$H140,0)+IF(I$113&lt;Input!$F$48,$I140,0)+IF(J$113&lt;Input!$F$48,$J140,0)+IF(K$113&lt;Input!$F$48,$K140,0)+IF(L$113&lt;Input!$F$48,$L140,0)+IF(M$113&lt;Input!$F$48,$M140,0)+IF(N$113&lt;Input!$F$48,$N140,0)+IF(O$113&lt;Input!$F$48,$O140,0)+IF(P$113&lt;Input!$F$48,$P140,0)+IF(Q$113&lt;Input!$F$48,$Q140,0)+IF(R$113&lt;Input!$F$48,$R140,0)+IF(S$113&lt;Input!$F$48,$S140,0)+IF(T$113&lt;Input!$F$48,$T140,0)+IF(U$113&lt;Input!$F$48,$U140,0)+IF(V$113&lt;Input!$F$48,$V140,0)+IF(W$113&lt;Input!$F$48,$W140,0)</f>
        <v>0</v>
      </c>
      <c r="G140" s="1913">
        <f t="shared" ref="G140:AI140" si="216">(G137-G139)*TaxR</f>
        <v>-1407.9577946524439</v>
      </c>
      <c r="H140" s="1913">
        <f t="shared" si="216"/>
        <v>-1246.1770543783139</v>
      </c>
      <c r="I140" s="1913">
        <f t="shared" si="216"/>
        <v>-3034.7914958265119</v>
      </c>
      <c r="J140" s="1913">
        <f t="shared" si="216"/>
        <v>-3146.0877457394813</v>
      </c>
      <c r="K140" s="1913">
        <f t="shared" si="216"/>
        <v>-1921.5307667093971</v>
      </c>
      <c r="L140" s="1913">
        <f t="shared" si="216"/>
        <v>1700.15720586323</v>
      </c>
      <c r="M140" s="1913">
        <f t="shared" si="216"/>
        <v>6170.1997663267648</v>
      </c>
      <c r="N140" s="1913">
        <f t="shared" si="216"/>
        <v>13072.882384064176</v>
      </c>
      <c r="O140" s="1913">
        <f t="shared" si="216"/>
        <v>20167.358896697988</v>
      </c>
      <c r="P140" s="1913">
        <f t="shared" si="216"/>
        <v>25206.216154206308</v>
      </c>
      <c r="Q140" s="1913">
        <f t="shared" si="216"/>
        <v>28092.031579874907</v>
      </c>
      <c r="R140" s="1913">
        <f t="shared" si="216"/>
        <v>30186.308644959103</v>
      </c>
      <c r="S140" s="1913">
        <f t="shared" si="216"/>
        <v>34973.522855066316</v>
      </c>
      <c r="T140" s="1913">
        <f t="shared" si="216"/>
        <v>35956.101163329309</v>
      </c>
      <c r="U140" s="1913">
        <f t="shared" si="216"/>
        <v>44553.994266370377</v>
      </c>
      <c r="V140" s="1913">
        <f t="shared" si="216"/>
        <v>49200.853409843075</v>
      </c>
      <c r="W140" s="1913">
        <f t="shared" si="216"/>
        <v>56570.057590096359</v>
      </c>
      <c r="X140" s="1913">
        <f t="shared" si="216"/>
        <v>70519.05209646569</v>
      </c>
      <c r="Y140" s="1913">
        <f t="shared" ref="Y140:AH140" si="217">(Y137-Y139)*TaxR</f>
        <v>-261.33333333333337</v>
      </c>
      <c r="Z140" s="1913">
        <f t="shared" si="217"/>
        <v>-261.33333333333337</v>
      </c>
      <c r="AA140" s="1913">
        <f t="shared" si="217"/>
        <v>0</v>
      </c>
      <c r="AB140" s="1913">
        <f t="shared" si="217"/>
        <v>0</v>
      </c>
      <c r="AC140" s="1913">
        <f t="shared" si="217"/>
        <v>0</v>
      </c>
      <c r="AD140" s="1913">
        <f t="shared" si="217"/>
        <v>0</v>
      </c>
      <c r="AE140" s="1913">
        <f t="shared" si="217"/>
        <v>0</v>
      </c>
      <c r="AF140" s="1913">
        <f t="shared" si="217"/>
        <v>0</v>
      </c>
      <c r="AG140" s="1913">
        <f t="shared" si="217"/>
        <v>0</v>
      </c>
      <c r="AH140" s="1913">
        <f t="shared" si="217"/>
        <v>0</v>
      </c>
      <c r="AI140" s="1913">
        <f t="shared" si="216"/>
        <v>0</v>
      </c>
      <c r="AJ140" s="1301">
        <f>SUMIF($G$115:$AI$115,"1",$G140:$AI140)</f>
        <v>55560.269549852324</v>
      </c>
      <c r="AK140" s="1302">
        <f>IFERROR(AJ140/AJ137,0)</f>
        <v>0.273566267307357</v>
      </c>
      <c r="AL140" s="1272"/>
      <c r="AM140" s="1303">
        <f>SUMIF($G$115:$AI$115,"1",$G140:$AI140)+SUMIF($G$115:$AI$115,"2",$G140:$AI140)</f>
        <v>229322.22805945235</v>
      </c>
      <c r="AN140" s="1913"/>
      <c r="AO140" s="1260"/>
      <c r="AP140" s="1299">
        <f>IF(AQ$113&lt;Input!$F$48,$AQ140,0)+IF(AR$113&lt;Input!$F$48,$AR140,0)+IF(AS$113&lt;Input!$F$48,$AS140,0)+IF(AT$113&lt;Input!$F$48,$AT140,0)+IF(AU$113&lt;Input!$F$48,$AU140,0)+IF(AV$113&lt;Input!$F$48,$AV140,0)+IF(AW$113&lt;Input!$F$48,$AW140,0)+IF(AX$113&lt;Input!$F$48,$AX140,0)+IF(AY$113&lt;Input!$F$48,$AY140,0)+IF(AZ$113&lt;Input!$F$48,$AZ140,0)+IF(BA$113&lt;Input!$F$48,$BA140,0)+IF(BB$113&lt;Input!$F$48,$BB140,0)+IF(BC$113&lt;Input!$F$48,$BC140,0)+IF(BD$113&lt;Input!$F$48,$BD140,0)+IF(BE$113&lt;Input!$F$48,$BE140,0)+IF(BF$113&lt;Input!$F$48,$BF140,0)+IF(BG$113&lt;Input!$F$48,$BG140,0)</f>
        <v>0</v>
      </c>
      <c r="AQ140" s="2643">
        <f t="shared" ref="AQ140:BS140" si="218">(AQ137-AQ139)*TaxRDE</f>
        <v>0</v>
      </c>
      <c r="AR140" s="1913">
        <f t="shared" si="218"/>
        <v>0</v>
      </c>
      <c r="AS140" s="1913">
        <f t="shared" si="218"/>
        <v>0</v>
      </c>
      <c r="AT140" s="1913">
        <f t="shared" si="218"/>
        <v>0</v>
      </c>
      <c r="AU140" s="1913">
        <f t="shared" si="218"/>
        <v>0</v>
      </c>
      <c r="AV140" s="1913">
        <f t="shared" si="218"/>
        <v>0</v>
      </c>
      <c r="AW140" s="1913">
        <f t="shared" si="218"/>
        <v>0</v>
      </c>
      <c r="AX140" s="1913">
        <f t="shared" si="218"/>
        <v>0</v>
      </c>
      <c r="AY140" s="1913">
        <f t="shared" si="218"/>
        <v>0</v>
      </c>
      <c r="AZ140" s="1913">
        <f t="shared" si="218"/>
        <v>0</v>
      </c>
      <c r="BA140" s="1913">
        <f t="shared" si="218"/>
        <v>0</v>
      </c>
      <c r="BB140" s="1913">
        <f t="shared" si="218"/>
        <v>0</v>
      </c>
      <c r="BC140" s="1913">
        <f t="shared" si="218"/>
        <v>0</v>
      </c>
      <c r="BD140" s="1913">
        <f t="shared" si="218"/>
        <v>0</v>
      </c>
      <c r="BE140" s="1913">
        <f t="shared" si="218"/>
        <v>0</v>
      </c>
      <c r="BF140" s="1913">
        <f t="shared" si="218"/>
        <v>0</v>
      </c>
      <c r="BG140" s="1913">
        <f t="shared" si="218"/>
        <v>0</v>
      </c>
      <c r="BH140" s="1913">
        <f t="shared" si="218"/>
        <v>0</v>
      </c>
      <c r="BI140" s="1913">
        <f t="shared" ref="BI140:BR140" si="219">(BI137-BI139)*TaxRDE</f>
        <v>0</v>
      </c>
      <c r="BJ140" s="1913">
        <f t="shared" si="219"/>
        <v>0</v>
      </c>
      <c r="BK140" s="1913">
        <f t="shared" si="219"/>
        <v>0</v>
      </c>
      <c r="BL140" s="1913">
        <f t="shared" si="219"/>
        <v>0</v>
      </c>
      <c r="BM140" s="1913">
        <f t="shared" si="219"/>
        <v>0</v>
      </c>
      <c r="BN140" s="1913">
        <f t="shared" si="219"/>
        <v>0</v>
      </c>
      <c r="BO140" s="1913">
        <f t="shared" si="219"/>
        <v>0</v>
      </c>
      <c r="BP140" s="1913">
        <f t="shared" si="219"/>
        <v>0</v>
      </c>
      <c r="BQ140" s="1913">
        <f t="shared" si="219"/>
        <v>0</v>
      </c>
      <c r="BR140" s="1913">
        <f t="shared" si="219"/>
        <v>0</v>
      </c>
      <c r="BS140" s="1913">
        <f t="shared" si="218"/>
        <v>0</v>
      </c>
      <c r="BT140" s="1301">
        <f>SUMIF($AQ$115:$BS$115,"1",$AQ140:$BS140)</f>
        <v>0</v>
      </c>
      <c r="BU140" s="1302">
        <f>IFERROR(BT140/BT137,0)</f>
        <v>0</v>
      </c>
      <c r="BV140" s="1914"/>
      <c r="BW140" s="1303">
        <f>SUMIF($AQ$115:$BS$115,"1",$AQ140:$BS140)+SUMIF($AQ$115:$BS$115,"2",$AQ140:$BS140)</f>
        <v>0</v>
      </c>
      <c r="BX140" s="1914"/>
      <c r="BY140" s="1260"/>
      <c r="BZ140" s="1299">
        <f t="shared" si="214"/>
        <v>0</v>
      </c>
      <c r="CA140" s="1301">
        <f t="shared" si="214"/>
        <v>-1407.9577946524439</v>
      </c>
      <c r="CB140" s="1300">
        <f t="shared" si="214"/>
        <v>-1246.1770543783139</v>
      </c>
      <c r="CC140" s="1300">
        <f t="shared" si="214"/>
        <v>-3034.7914958265119</v>
      </c>
      <c r="CD140" s="1300">
        <f t="shared" si="214"/>
        <v>-3146.0877457394813</v>
      </c>
      <c r="CE140" s="1300">
        <f t="shared" si="214"/>
        <v>-1921.5307667093971</v>
      </c>
      <c r="CF140" s="1300">
        <f t="shared" si="214"/>
        <v>1700.15720586323</v>
      </c>
      <c r="CG140" s="1300">
        <f t="shared" si="214"/>
        <v>6170.1997663267648</v>
      </c>
      <c r="CH140" s="1300">
        <f t="shared" si="214"/>
        <v>13072.882384064176</v>
      </c>
      <c r="CI140" s="1300">
        <f t="shared" si="214"/>
        <v>20167.358896697988</v>
      </c>
      <c r="CJ140" s="1300">
        <f t="shared" si="214"/>
        <v>25206.216154206308</v>
      </c>
      <c r="CK140" s="1300">
        <f t="shared" si="214"/>
        <v>28092.031579874907</v>
      </c>
      <c r="CL140" s="1300">
        <f t="shared" si="214"/>
        <v>30186.308644959103</v>
      </c>
      <c r="CM140" s="1300">
        <f t="shared" si="214"/>
        <v>34973.522855066316</v>
      </c>
      <c r="CN140" s="1300">
        <f t="shared" si="214"/>
        <v>35956.101163329309</v>
      </c>
      <c r="CO140" s="1300">
        <f t="shared" si="214"/>
        <v>44553.994266370377</v>
      </c>
      <c r="CP140" s="1300">
        <f t="shared" si="215"/>
        <v>49200.853409843075</v>
      </c>
      <c r="CQ140" s="1300">
        <f t="shared" si="215"/>
        <v>56570.057590096359</v>
      </c>
      <c r="CR140" s="1300">
        <f t="shared" si="215"/>
        <v>70519.05209646569</v>
      </c>
      <c r="CS140" s="1300">
        <f t="shared" si="215"/>
        <v>-261.33333333333337</v>
      </c>
      <c r="CT140" s="1300">
        <f t="shared" si="215"/>
        <v>-261.33333333333337</v>
      </c>
      <c r="CU140" s="1300">
        <f t="shared" si="215"/>
        <v>0</v>
      </c>
      <c r="CV140" s="1300">
        <f t="shared" si="215"/>
        <v>0</v>
      </c>
      <c r="CW140" s="1300">
        <f t="shared" si="215"/>
        <v>0</v>
      </c>
      <c r="CX140" s="1300">
        <f t="shared" si="215"/>
        <v>0</v>
      </c>
      <c r="CY140" s="1300">
        <f t="shared" si="215"/>
        <v>0</v>
      </c>
      <c r="CZ140" s="1300">
        <f t="shared" si="215"/>
        <v>0</v>
      </c>
      <c r="DA140" s="1300">
        <f t="shared" si="215"/>
        <v>0</v>
      </c>
      <c r="DB140" s="1300">
        <f t="shared" si="215"/>
        <v>0</v>
      </c>
      <c r="DC140" s="1300">
        <f t="shared" si="215"/>
        <v>0</v>
      </c>
      <c r="DD140" s="1299">
        <f>AJ140-BT140</f>
        <v>55560.269549852324</v>
      </c>
      <c r="DE140" s="1260"/>
      <c r="DF140" s="1299">
        <f>AM140-BW140</f>
        <v>229322.22805945235</v>
      </c>
      <c r="DG140" s="1260"/>
    </row>
    <row r="141" spans="1:111" s="1265" customFormat="1" ht="18" x14ac:dyDescent="0.3">
      <c r="A141" s="1260"/>
      <c r="B141" s="1308" t="s">
        <v>674</v>
      </c>
      <c r="C141" s="1362"/>
      <c r="D141" s="1362"/>
      <c r="E141" s="1362"/>
      <c r="F141" s="1310">
        <f>F137-F140</f>
        <v>0</v>
      </c>
      <c r="G141" s="1311">
        <f t="shared" ref="G141:AJ141" si="220">G137-G139-G140</f>
        <v>-3620.4629005348552</v>
      </c>
      <c r="H141" s="1311">
        <f t="shared" si="220"/>
        <v>-3204.4552826870922</v>
      </c>
      <c r="I141" s="1311">
        <f t="shared" si="220"/>
        <v>-7803.7495606967441</v>
      </c>
      <c r="J141" s="1311">
        <f t="shared" si="220"/>
        <v>-8089.9399176158076</v>
      </c>
      <c r="K141" s="1311">
        <f t="shared" si="220"/>
        <v>-4941.0791143955921</v>
      </c>
      <c r="L141" s="1311">
        <f t="shared" si="220"/>
        <v>4371.8328150768766</v>
      </c>
      <c r="M141" s="1311">
        <f t="shared" si="220"/>
        <v>15866.227970554537</v>
      </c>
      <c r="N141" s="1311">
        <f t="shared" si="220"/>
        <v>33615.983273307873</v>
      </c>
      <c r="O141" s="1311">
        <f t="shared" si="220"/>
        <v>51858.922877223391</v>
      </c>
      <c r="P141" s="1311">
        <f t="shared" si="220"/>
        <v>64815.98439653049</v>
      </c>
      <c r="Q141" s="1311">
        <f t="shared" si="220"/>
        <v>72236.65263396404</v>
      </c>
      <c r="R141" s="1311">
        <f t="shared" si="220"/>
        <v>77621.936515609108</v>
      </c>
      <c r="S141" s="1311">
        <f t="shared" si="220"/>
        <v>89931.915913027653</v>
      </c>
      <c r="T141" s="1311">
        <f t="shared" si="220"/>
        <v>92458.545848561058</v>
      </c>
      <c r="U141" s="1311">
        <f t="shared" si="220"/>
        <v>114567.41382780953</v>
      </c>
      <c r="V141" s="1311">
        <f t="shared" si="220"/>
        <v>126516.48019673931</v>
      </c>
      <c r="W141" s="1311">
        <f t="shared" si="220"/>
        <v>145465.86237453349</v>
      </c>
      <c r="X141" s="1311">
        <f>X137-X139-X140</f>
        <v>181334.70539091175</v>
      </c>
      <c r="Y141" s="1311">
        <f t="shared" ref="Y141:AH141" si="221">Y137-Y139-Y140</f>
        <v>-672</v>
      </c>
      <c r="Z141" s="1311">
        <f t="shared" si="221"/>
        <v>-672</v>
      </c>
      <c r="AA141" s="1311">
        <f t="shared" si="221"/>
        <v>0</v>
      </c>
      <c r="AB141" s="1311">
        <f t="shared" si="221"/>
        <v>0</v>
      </c>
      <c r="AC141" s="1311">
        <f t="shared" si="221"/>
        <v>0</v>
      </c>
      <c r="AD141" s="1311">
        <f t="shared" si="221"/>
        <v>0</v>
      </c>
      <c r="AE141" s="1311">
        <f t="shared" si="221"/>
        <v>0</v>
      </c>
      <c r="AF141" s="1311">
        <f t="shared" si="221"/>
        <v>0</v>
      </c>
      <c r="AG141" s="1311">
        <f t="shared" si="221"/>
        <v>0</v>
      </c>
      <c r="AH141" s="1311">
        <f t="shared" si="221"/>
        <v>0</v>
      </c>
      <c r="AI141" s="1311">
        <f>AI137-AI139-AI140</f>
        <v>0</v>
      </c>
      <c r="AJ141" s="1312">
        <f t="shared" si="220"/>
        <v>142869.26455676305</v>
      </c>
      <c r="AK141" s="1313"/>
      <c r="AL141" s="1272"/>
      <c r="AM141" s="1310">
        <f t="shared" ref="AM141" si="222">AM137-AM139-AM140</f>
        <v>589685.72929573443</v>
      </c>
      <c r="AN141" s="1371"/>
      <c r="AO141" s="1260"/>
      <c r="AP141" s="1310">
        <f>IF(AQ$113&lt;Input!$F$48,$AQ141,0)+IF(AR$113&lt;Input!$F$48,$AR141,0)+IF(AS$113&lt;Input!$F$48,$AS141,0)+IF(AT$113&lt;Input!$F$48,$AT141,0)+IF(AU$113&lt;Input!$F$48,$AU141,0)+IF(AV$113&lt;Input!$F$48,$AV141,0)+IF(AW$113&lt;Input!$F$48,$AW141,0)+IF(AX$113&lt;Input!$F$48,$AX141,0)+IF(AY$113&lt;Input!$F$48,$AY141,0)+IF(AZ$113&lt;Input!$F$48,$AZ141,0)+IF(BA$113&lt;Input!$F$48,$BA141,0)+IF(BB$113&lt;Input!$F$48,$BB141,0)+IF(BC$113&lt;Input!$F$48,$BC141,0)+IF(BD$113&lt;Input!$F$48,$BD141,0)+IF(BE$113&lt;Input!$F$48,$BE141,0)+IF(BF$113&lt;Input!$F$48,$BF141,0)+IF(BG$113&lt;Input!$F$48,$BG141,0)</f>
        <v>0</v>
      </c>
      <c r="AQ141" s="1312">
        <f t="shared" ref="AQ141:BT141" si="223">AQ137-AQ139-AQ140</f>
        <v>0</v>
      </c>
      <c r="AR141" s="1311">
        <f t="shared" si="223"/>
        <v>0</v>
      </c>
      <c r="AS141" s="1311">
        <f t="shared" si="223"/>
        <v>0</v>
      </c>
      <c r="AT141" s="1311">
        <f t="shared" si="223"/>
        <v>0</v>
      </c>
      <c r="AU141" s="1311">
        <f t="shared" si="223"/>
        <v>0</v>
      </c>
      <c r="AV141" s="1311">
        <f t="shared" si="223"/>
        <v>0</v>
      </c>
      <c r="AW141" s="1311">
        <f t="shared" si="223"/>
        <v>0</v>
      </c>
      <c r="AX141" s="1311">
        <f t="shared" si="223"/>
        <v>0</v>
      </c>
      <c r="AY141" s="1311">
        <f t="shared" si="223"/>
        <v>0</v>
      </c>
      <c r="AZ141" s="1311">
        <f t="shared" si="223"/>
        <v>0</v>
      </c>
      <c r="BA141" s="1311">
        <f t="shared" si="223"/>
        <v>0</v>
      </c>
      <c r="BB141" s="1311">
        <f t="shared" si="223"/>
        <v>0</v>
      </c>
      <c r="BC141" s="1311">
        <f t="shared" si="223"/>
        <v>0</v>
      </c>
      <c r="BD141" s="1311">
        <f t="shared" si="223"/>
        <v>0</v>
      </c>
      <c r="BE141" s="1311">
        <f t="shared" si="223"/>
        <v>0</v>
      </c>
      <c r="BF141" s="1311">
        <f t="shared" si="223"/>
        <v>0</v>
      </c>
      <c r="BG141" s="1311">
        <f t="shared" si="223"/>
        <v>0</v>
      </c>
      <c r="BH141" s="1311">
        <f>BH137-BH139-BH140</f>
        <v>0</v>
      </c>
      <c r="BI141" s="1311">
        <f t="shared" ref="BI141:BR141" si="224">BI137-BI139-BI140</f>
        <v>0</v>
      </c>
      <c r="BJ141" s="1311">
        <f t="shared" si="224"/>
        <v>0</v>
      </c>
      <c r="BK141" s="1311">
        <f t="shared" si="224"/>
        <v>0</v>
      </c>
      <c r="BL141" s="1311">
        <f t="shared" si="224"/>
        <v>0</v>
      </c>
      <c r="BM141" s="1311">
        <f t="shared" si="224"/>
        <v>0</v>
      </c>
      <c r="BN141" s="1311">
        <f t="shared" si="224"/>
        <v>0</v>
      </c>
      <c r="BO141" s="1311">
        <f t="shared" si="224"/>
        <v>0</v>
      </c>
      <c r="BP141" s="1311">
        <f t="shared" si="224"/>
        <v>0</v>
      </c>
      <c r="BQ141" s="1311">
        <f t="shared" si="224"/>
        <v>0</v>
      </c>
      <c r="BR141" s="1311">
        <f t="shared" si="224"/>
        <v>0</v>
      </c>
      <c r="BS141" s="1311">
        <f>BS137-BS139-BS140</f>
        <v>0</v>
      </c>
      <c r="BT141" s="1312">
        <f t="shared" si="223"/>
        <v>0</v>
      </c>
      <c r="BU141" s="1313"/>
      <c r="BV141" s="1398"/>
      <c r="BW141" s="1310">
        <f t="shared" ref="BW141" si="225">BW137-BW139-BW140</f>
        <v>0</v>
      </c>
      <c r="BX141" s="1398"/>
      <c r="BY141" s="1260"/>
      <c r="BZ141" s="1310">
        <f t="shared" si="214"/>
        <v>0</v>
      </c>
      <c r="CA141" s="1312">
        <f t="shared" si="214"/>
        <v>-3620.4629005348552</v>
      </c>
      <c r="CB141" s="1311">
        <f t="shared" si="214"/>
        <v>-3204.4552826870922</v>
      </c>
      <c r="CC141" s="1311">
        <f t="shared" si="214"/>
        <v>-7803.7495606967441</v>
      </c>
      <c r="CD141" s="1311">
        <f t="shared" si="214"/>
        <v>-8089.9399176158076</v>
      </c>
      <c r="CE141" s="1311">
        <f t="shared" si="214"/>
        <v>-4941.0791143955921</v>
      </c>
      <c r="CF141" s="1311">
        <f t="shared" si="214"/>
        <v>4371.8328150768766</v>
      </c>
      <c r="CG141" s="1311">
        <f t="shared" si="214"/>
        <v>15866.227970554537</v>
      </c>
      <c r="CH141" s="1311">
        <f t="shared" si="214"/>
        <v>33615.983273307873</v>
      </c>
      <c r="CI141" s="1311">
        <f t="shared" si="214"/>
        <v>51858.922877223391</v>
      </c>
      <c r="CJ141" s="1311">
        <f t="shared" si="214"/>
        <v>64815.98439653049</v>
      </c>
      <c r="CK141" s="1311">
        <f t="shared" si="214"/>
        <v>72236.65263396404</v>
      </c>
      <c r="CL141" s="1311">
        <f t="shared" si="214"/>
        <v>77621.936515609108</v>
      </c>
      <c r="CM141" s="1311">
        <f t="shared" si="214"/>
        <v>89931.915913027653</v>
      </c>
      <c r="CN141" s="1311">
        <f t="shared" si="214"/>
        <v>92458.545848561058</v>
      </c>
      <c r="CO141" s="1311">
        <f t="shared" si="214"/>
        <v>114567.41382780953</v>
      </c>
      <c r="CP141" s="1311">
        <f t="shared" si="215"/>
        <v>126516.48019673931</v>
      </c>
      <c r="CQ141" s="1311">
        <f t="shared" si="215"/>
        <v>145465.86237453349</v>
      </c>
      <c r="CR141" s="1311">
        <f t="shared" si="215"/>
        <v>181334.70539091175</v>
      </c>
      <c r="CS141" s="1311">
        <f t="shared" si="215"/>
        <v>-672</v>
      </c>
      <c r="CT141" s="1311">
        <f t="shared" si="215"/>
        <v>-672</v>
      </c>
      <c r="CU141" s="1311">
        <f t="shared" si="215"/>
        <v>0</v>
      </c>
      <c r="CV141" s="1311">
        <f t="shared" si="215"/>
        <v>0</v>
      </c>
      <c r="CW141" s="1311">
        <f t="shared" si="215"/>
        <v>0</v>
      </c>
      <c r="CX141" s="1311">
        <f t="shared" si="215"/>
        <v>0</v>
      </c>
      <c r="CY141" s="1311">
        <f t="shared" si="215"/>
        <v>0</v>
      </c>
      <c r="CZ141" s="1311">
        <f t="shared" si="215"/>
        <v>0</v>
      </c>
      <c r="DA141" s="1311">
        <f t="shared" si="215"/>
        <v>0</v>
      </c>
      <c r="DB141" s="1311">
        <f t="shared" si="215"/>
        <v>0</v>
      </c>
      <c r="DC141" s="1311">
        <f t="shared" si="215"/>
        <v>0</v>
      </c>
      <c r="DD141" s="1310">
        <f>AJ141-BT141</f>
        <v>142869.26455676305</v>
      </c>
      <c r="DE141" s="1260"/>
      <c r="DF141" s="1310">
        <f>AM141-BW141</f>
        <v>589685.72929573443</v>
      </c>
      <c r="DG141" s="1260"/>
    </row>
    <row r="142" spans="1:111" s="1265" customFormat="1" ht="15.6" x14ac:dyDescent="0.3">
      <c r="A142" s="1260"/>
      <c r="B142" s="1363"/>
      <c r="C142" s="1321" t="s">
        <v>1323</v>
      </c>
      <c r="D142" s="1322"/>
      <c r="E142" s="1364"/>
      <c r="F142" s="1365"/>
      <c r="G142" s="2639">
        <f t="shared" ref="G142:AJ142" si="226">IFERROR(IF(ABS(G141/G$127)&gt;100%,0,G141/G$127),0)</f>
        <v>0</v>
      </c>
      <c r="H142" s="2639">
        <f t="shared" si="226"/>
        <v>0</v>
      </c>
      <c r="I142" s="2639">
        <f t="shared" si="226"/>
        <v>0</v>
      </c>
      <c r="J142" s="2639">
        <f t="shared" si="226"/>
        <v>0</v>
      </c>
      <c r="K142" s="2639">
        <f t="shared" si="226"/>
        <v>0</v>
      </c>
      <c r="L142" s="2639">
        <f t="shared" si="226"/>
        <v>0.26230151537099761</v>
      </c>
      <c r="M142" s="2639">
        <f t="shared" si="226"/>
        <v>0.41137543798546089</v>
      </c>
      <c r="N142" s="2639">
        <f t="shared" si="226"/>
        <v>0.45721121305864537</v>
      </c>
      <c r="O142" s="2639">
        <f t="shared" si="226"/>
        <v>0.47008153829488397</v>
      </c>
      <c r="P142" s="2639">
        <f t="shared" si="226"/>
        <v>0.47193452064196301</v>
      </c>
      <c r="Q142" s="2639">
        <f t="shared" si="226"/>
        <v>0.47255163260692951</v>
      </c>
      <c r="R142" s="2639">
        <f t="shared" si="226"/>
        <v>0.46832265999607264</v>
      </c>
      <c r="S142" s="2639">
        <f t="shared" si="226"/>
        <v>0.47285333711295918</v>
      </c>
      <c r="T142" s="2639">
        <f t="shared" si="226"/>
        <v>0.46502034395556308</v>
      </c>
      <c r="U142" s="2639">
        <f t="shared" si="226"/>
        <v>0.47874453008202178</v>
      </c>
      <c r="V142" s="2639">
        <f t="shared" si="226"/>
        <v>0.47113586572023963</v>
      </c>
      <c r="W142" s="2639">
        <f t="shared" si="226"/>
        <v>0.47121600682434939</v>
      </c>
      <c r="X142" s="2639">
        <f t="shared" si="226"/>
        <v>0.71734163640311588</v>
      </c>
      <c r="Y142" s="2639">
        <f t="shared" si="226"/>
        <v>0</v>
      </c>
      <c r="Z142" s="2639">
        <f t="shared" si="226"/>
        <v>0</v>
      </c>
      <c r="AA142" s="2639">
        <f t="shared" si="226"/>
        <v>0</v>
      </c>
      <c r="AB142" s="2639">
        <f t="shared" si="226"/>
        <v>0</v>
      </c>
      <c r="AC142" s="2639">
        <f t="shared" si="226"/>
        <v>0</v>
      </c>
      <c r="AD142" s="2639">
        <f t="shared" si="226"/>
        <v>0</v>
      </c>
      <c r="AE142" s="2639">
        <f t="shared" si="226"/>
        <v>0</v>
      </c>
      <c r="AF142" s="2639">
        <f t="shared" si="226"/>
        <v>0</v>
      </c>
      <c r="AG142" s="2639">
        <f t="shared" si="226"/>
        <v>0</v>
      </c>
      <c r="AH142" s="2639">
        <f t="shared" si="226"/>
        <v>0</v>
      </c>
      <c r="AI142" s="2639">
        <f t="shared" si="226"/>
        <v>0</v>
      </c>
      <c r="AJ142" s="1326">
        <f t="shared" si="226"/>
        <v>0.37954753451747597</v>
      </c>
      <c r="AK142" s="1366"/>
      <c r="AL142" s="1488"/>
      <c r="AM142" s="1329">
        <f t="shared" ref="AM142" si="227">IFERROR(AM141/AM127,0)</f>
        <v>0.44559924677966045</v>
      </c>
      <c r="AN142" s="1379"/>
      <c r="AO142" s="1344"/>
      <c r="AP142" s="1365"/>
      <c r="AQ142" s="2640">
        <f t="shared" ref="AQ142:BT142" si="228">IFERROR(IF(ABS(AQ141/AQ$127)&gt;100%,0,AQ141/AQ$127),0)</f>
        <v>0</v>
      </c>
      <c r="AR142" s="2639">
        <f t="shared" si="228"/>
        <v>0</v>
      </c>
      <c r="AS142" s="2639">
        <f t="shared" si="228"/>
        <v>0</v>
      </c>
      <c r="AT142" s="2639">
        <f t="shared" si="228"/>
        <v>0</v>
      </c>
      <c r="AU142" s="2639">
        <f t="shared" si="228"/>
        <v>0</v>
      </c>
      <c r="AV142" s="2639">
        <f t="shared" si="228"/>
        <v>0</v>
      </c>
      <c r="AW142" s="2639">
        <f t="shared" si="228"/>
        <v>0</v>
      </c>
      <c r="AX142" s="2639">
        <f t="shared" si="228"/>
        <v>0</v>
      </c>
      <c r="AY142" s="2639">
        <f t="shared" si="228"/>
        <v>0</v>
      </c>
      <c r="AZ142" s="2639">
        <f t="shared" si="228"/>
        <v>0</v>
      </c>
      <c r="BA142" s="2639">
        <f t="shared" si="228"/>
        <v>0</v>
      </c>
      <c r="BB142" s="2639">
        <f t="shared" si="228"/>
        <v>0</v>
      </c>
      <c r="BC142" s="2639">
        <f t="shared" si="228"/>
        <v>0</v>
      </c>
      <c r="BD142" s="2639">
        <f t="shared" si="228"/>
        <v>0</v>
      </c>
      <c r="BE142" s="2639">
        <f t="shared" si="228"/>
        <v>0</v>
      </c>
      <c r="BF142" s="2639">
        <f t="shared" si="228"/>
        <v>0</v>
      </c>
      <c r="BG142" s="2639">
        <f t="shared" si="228"/>
        <v>0</v>
      </c>
      <c r="BH142" s="2639">
        <f t="shared" si="228"/>
        <v>0</v>
      </c>
      <c r="BI142" s="2639">
        <f t="shared" si="228"/>
        <v>0</v>
      </c>
      <c r="BJ142" s="2639">
        <f t="shared" si="228"/>
        <v>0</v>
      </c>
      <c r="BK142" s="2639">
        <f t="shared" si="228"/>
        <v>0</v>
      </c>
      <c r="BL142" s="2639">
        <f t="shared" si="228"/>
        <v>0</v>
      </c>
      <c r="BM142" s="2639">
        <f t="shared" si="228"/>
        <v>0</v>
      </c>
      <c r="BN142" s="2639">
        <f t="shared" si="228"/>
        <v>0</v>
      </c>
      <c r="BO142" s="2639">
        <f t="shared" si="228"/>
        <v>0</v>
      </c>
      <c r="BP142" s="2639">
        <f t="shared" si="228"/>
        <v>0</v>
      </c>
      <c r="BQ142" s="2639">
        <f t="shared" si="228"/>
        <v>0</v>
      </c>
      <c r="BR142" s="2639">
        <f t="shared" si="228"/>
        <v>0</v>
      </c>
      <c r="BS142" s="2639">
        <f t="shared" si="228"/>
        <v>0</v>
      </c>
      <c r="BT142" s="1326">
        <f t="shared" si="228"/>
        <v>0</v>
      </c>
      <c r="BU142" s="1366"/>
      <c r="BV142" s="1970"/>
      <c r="BW142" s="1329">
        <f t="shared" ref="BW142" si="229">IFERROR(BW141/BW127,0)</f>
        <v>0</v>
      </c>
      <c r="BX142" s="1970"/>
      <c r="BY142" s="1344"/>
      <c r="BZ142" s="1365"/>
      <c r="CA142" s="1772"/>
      <c r="CB142" s="1773"/>
      <c r="CC142" s="1773"/>
      <c r="CD142" s="1773"/>
      <c r="CE142" s="1773"/>
      <c r="CF142" s="1773"/>
      <c r="CG142" s="1773"/>
      <c r="CH142" s="1773"/>
      <c r="CI142" s="1773"/>
      <c r="CJ142" s="1773"/>
      <c r="CK142" s="1773"/>
      <c r="CL142" s="1773"/>
      <c r="CM142" s="1773"/>
      <c r="CN142" s="1773"/>
      <c r="CO142" s="1773"/>
      <c r="CP142" s="1773"/>
      <c r="CQ142" s="1773"/>
      <c r="CR142" s="1773"/>
      <c r="CS142" s="1773"/>
      <c r="CT142" s="1773"/>
      <c r="CU142" s="1773"/>
      <c r="CV142" s="1773"/>
      <c r="CW142" s="1773"/>
      <c r="CX142" s="1773"/>
      <c r="CY142" s="1773"/>
      <c r="CZ142" s="1773"/>
      <c r="DA142" s="1773"/>
      <c r="DB142" s="1773"/>
      <c r="DC142" s="1773"/>
      <c r="DD142" s="1774"/>
      <c r="DE142" s="1260"/>
      <c r="DF142" s="1774"/>
      <c r="DG142" s="1260"/>
    </row>
    <row r="143" spans="1:111" s="1265" customFormat="1" ht="18" x14ac:dyDescent="0.3">
      <c r="A143" s="1260"/>
      <c r="B143" s="1336" t="s">
        <v>1328</v>
      </c>
      <c r="C143" s="1337"/>
      <c r="D143" s="1298"/>
      <c r="E143" s="1337"/>
      <c r="F143" s="1299">
        <f>IF(G$113&lt;Input!$F$48,$G143,0)+IF(H$113&lt;Input!$F$48,$H143,0)+IF(I$113&lt;Input!$F$48,$I143,0)+IF(J$113&lt;Input!$F$48,$J143,0)+IF(K$113&lt;Input!$F$48,$K143,0)+IF(L$113&lt;Input!$F$48,$L143,0)+IF(M$113&lt;Input!$F$48,$M143,0)+IF(N$113&lt;Input!$F$48,$N143,0)+IF(O$113&lt;Input!$F$48,$O143,0)+IF(P$113&lt;Input!$F$48,$P143,0)+IF(Q$113&lt;Input!$F$48,$Q143,0)+IF(R$113&lt;Input!$F$48,$R143,0)+IF(S$113&lt;Input!$F$48,$S143,0)+IF(T$113&lt;Input!$F$48,$T143,0)+IF(U$113&lt;Input!$F$48,$U143,0)+IF(V$113&lt;Input!$F$48,$V143,0)+IF(W$113&lt;Input!$F$48,$W143,0)</f>
        <v>0</v>
      </c>
      <c r="G143" s="1305">
        <f>-('CashFlow &amp; NPV'!K10)-G139</f>
        <v>0</v>
      </c>
      <c r="H143" s="1305">
        <f>-('CashFlow &amp; NPV'!L10)-H139</f>
        <v>0</v>
      </c>
      <c r="I143" s="1305">
        <f>-('CashFlow &amp; NPV'!M10)-I139</f>
        <v>0</v>
      </c>
      <c r="J143" s="1305">
        <f>-('CashFlow &amp; NPV'!N10)-J139</f>
        <v>0</v>
      </c>
      <c r="K143" s="1305">
        <f>-('CashFlow &amp; NPV'!O10)-K139</f>
        <v>0</v>
      </c>
      <c r="L143" s="1305">
        <f>-('CashFlow &amp; NPV'!P10)-L139</f>
        <v>13066.666666666666</v>
      </c>
      <c r="M143" s="1305">
        <f>-('CashFlow &amp; NPV'!Q10)-M139</f>
        <v>-933.33333333333337</v>
      </c>
      <c r="N143" s="1305">
        <f>-('CashFlow &amp; NPV'!R10)-N139</f>
        <v>-933.33333333333337</v>
      </c>
      <c r="O143" s="1305">
        <f>-('CashFlow &amp; NPV'!S10)-O139</f>
        <v>-933.33333333333337</v>
      </c>
      <c r="P143" s="1305">
        <f>-('CashFlow &amp; NPV'!T10)-P139</f>
        <v>-933.33333333333337</v>
      </c>
      <c r="Q143" s="1305">
        <f>-('CashFlow &amp; NPV'!U10)-Q139</f>
        <v>-933.33333333333337</v>
      </c>
      <c r="R143" s="1305">
        <f>-('CashFlow &amp; NPV'!V10)-R139</f>
        <v>-933.33333333333337</v>
      </c>
      <c r="S143" s="1305">
        <f>-('CashFlow &amp; NPV'!W10)-S139</f>
        <v>-933.33333333333337</v>
      </c>
      <c r="T143" s="1305">
        <f>-('CashFlow &amp; NPV'!X10)-T139</f>
        <v>-933.33333333333337</v>
      </c>
      <c r="U143" s="1305">
        <f>-('CashFlow &amp; NPV'!Y10)-U139</f>
        <v>-933.33333333333337</v>
      </c>
      <c r="V143" s="1305">
        <f>-('CashFlow &amp; NPV'!Z10)-V139</f>
        <v>-933.33333333333337</v>
      </c>
      <c r="W143" s="1305">
        <f>-('CashFlow &amp; NPV'!AA10)-W139</f>
        <v>-933.33333333333337</v>
      </c>
      <c r="X143" s="1305">
        <f>-('CashFlow &amp; NPV'!AE10)-X139</f>
        <v>-933.33333333333337</v>
      </c>
      <c r="Y143" s="1305">
        <f>-('CashFlow &amp; NPV'!AF10)-Y139</f>
        <v>-933.33333333333337</v>
      </c>
      <c r="Z143" s="1305">
        <f>-('CashFlow &amp; NPV'!AG10)-Z139</f>
        <v>-933.33333333333337</v>
      </c>
      <c r="AA143" s="1305"/>
      <c r="AB143" s="1305"/>
      <c r="AC143" s="1305"/>
      <c r="AD143" s="1305"/>
      <c r="AE143" s="1305"/>
      <c r="AF143" s="1305"/>
      <c r="AG143" s="1305"/>
      <c r="AH143" s="1305"/>
      <c r="AI143" s="1305"/>
      <c r="AJ143" s="1301">
        <f>SUMIF($G$115:$AI$115,"1",$G143:$AI143)</f>
        <v>9333.3333333333303</v>
      </c>
      <c r="AK143" s="1302">
        <f>IFERROR(AJ143/AJ127,0)</f>
        <v>2.4795001685537488E-2</v>
      </c>
      <c r="AL143" s="1272"/>
      <c r="AM143" s="1303">
        <f>SUMIF($G$115:$AI$115,"1",$G143:$AI143)+SUMIF($G$115:$AI$115,"2",$G143:$AI143)</f>
        <v>4666.6666666666633</v>
      </c>
      <c r="AN143" s="1913"/>
      <c r="AO143" s="1260"/>
      <c r="AP143" s="1299">
        <f>IF(AQ$113&lt;Input!$F$48,$AQ143,0)+IF(AR$113&lt;Input!$F$48,$AR143,0)+IF(AS$113&lt;Input!$F$48,$AS143,0)+IF(AT$113&lt;Input!$F$48,$AT143,0)+IF(AU$113&lt;Input!$F$48,$AU143,0)+IF(AV$113&lt;Input!$F$48,$AV143,0)+IF(AW$113&lt;Input!$F$48,$AW143,0)+IF(AX$113&lt;Input!$F$48,$AX143,0)+IF(AY$113&lt;Input!$F$48,$AY143,0)+IF(AZ$113&lt;Input!$F$48,$AZ143,0)+IF(BA$113&lt;Input!$F$48,$BA143,0)+IF(BB$113&lt;Input!$F$48,$BB143,0)+IF(BC$113&lt;Input!$F$48,$BC143,0)+IF(BD$113&lt;Input!$F$48,$BD143,0)+IF(BE$113&lt;Input!$F$48,$BE143,0)+IF(BF$113&lt;Input!$F$48,$BF143,0)+IF(BG$113&lt;Input!$F$48,$BG143,0)</f>
        <v>0</v>
      </c>
      <c r="AQ143" s="1306"/>
      <c r="AR143" s="1305"/>
      <c r="AS143" s="1305"/>
      <c r="AT143" s="1305"/>
      <c r="AU143" s="1305"/>
      <c r="AV143" s="1305"/>
      <c r="AW143" s="1305"/>
      <c r="AX143" s="1305"/>
      <c r="AY143" s="1305"/>
      <c r="AZ143" s="1305"/>
      <c r="BA143" s="1305"/>
      <c r="BB143" s="1305"/>
      <c r="BC143" s="1305"/>
      <c r="BD143" s="1305"/>
      <c r="BE143" s="1305"/>
      <c r="BF143" s="1305"/>
      <c r="BG143" s="1305"/>
      <c r="BH143" s="1305"/>
      <c r="BI143" s="1305"/>
      <c r="BJ143" s="1305"/>
      <c r="BK143" s="1305"/>
      <c r="BL143" s="1305"/>
      <c r="BM143" s="1305"/>
      <c r="BN143" s="1305"/>
      <c r="BO143" s="1305"/>
      <c r="BP143" s="1305"/>
      <c r="BQ143" s="1305"/>
      <c r="BR143" s="1305"/>
      <c r="BS143" s="1305"/>
      <c r="BT143" s="1301">
        <f>SUMIF($AQ$115:$BS$115,"1",$AQ143:$BS143)</f>
        <v>0</v>
      </c>
      <c r="BU143" s="1302">
        <f>IFERROR(BT143/BT127,0)</f>
        <v>0</v>
      </c>
      <c r="BV143" s="1914"/>
      <c r="BW143" s="1303">
        <f>SUMIF($AQ$115:$BS$115,"1",$AQ143:$BS143)+SUMIF($AQ$115:$BS$115,"2",$AQ143:$BS143)</f>
        <v>0</v>
      </c>
      <c r="BX143" s="1914"/>
      <c r="BY143" s="1260"/>
      <c r="BZ143" s="1299">
        <f t="shared" ref="BZ143:CO145" si="230">F143-AP143</f>
        <v>0</v>
      </c>
      <c r="CA143" s="1301">
        <f t="shared" si="230"/>
        <v>0</v>
      </c>
      <c r="CB143" s="1300">
        <f t="shared" si="230"/>
        <v>0</v>
      </c>
      <c r="CC143" s="1300">
        <f t="shared" si="230"/>
        <v>0</v>
      </c>
      <c r="CD143" s="1300">
        <f t="shared" si="230"/>
        <v>0</v>
      </c>
      <c r="CE143" s="1300">
        <f t="shared" si="230"/>
        <v>0</v>
      </c>
      <c r="CF143" s="1300">
        <f t="shared" si="230"/>
        <v>13066.666666666666</v>
      </c>
      <c r="CG143" s="1300">
        <f t="shared" si="230"/>
        <v>-933.33333333333337</v>
      </c>
      <c r="CH143" s="1300">
        <f t="shared" si="230"/>
        <v>-933.33333333333337</v>
      </c>
      <c r="CI143" s="1300">
        <f t="shared" si="230"/>
        <v>-933.33333333333337</v>
      </c>
      <c r="CJ143" s="1300">
        <f t="shared" si="230"/>
        <v>-933.33333333333337</v>
      </c>
      <c r="CK143" s="1300">
        <f t="shared" si="230"/>
        <v>-933.33333333333337</v>
      </c>
      <c r="CL143" s="1300">
        <f t="shared" si="230"/>
        <v>-933.33333333333337</v>
      </c>
      <c r="CM143" s="1300">
        <f t="shared" si="230"/>
        <v>-933.33333333333337</v>
      </c>
      <c r="CN143" s="1300">
        <f t="shared" si="230"/>
        <v>-933.33333333333337</v>
      </c>
      <c r="CO143" s="1300">
        <f t="shared" si="230"/>
        <v>-933.33333333333337</v>
      </c>
      <c r="CP143" s="1300">
        <f t="shared" ref="CP143:DC145" si="231">V143-BF143</f>
        <v>-933.33333333333337</v>
      </c>
      <c r="CQ143" s="1300">
        <f t="shared" si="231"/>
        <v>-933.33333333333337</v>
      </c>
      <c r="CR143" s="1300">
        <f t="shared" si="231"/>
        <v>-933.33333333333337</v>
      </c>
      <c r="CS143" s="1300">
        <f t="shared" si="231"/>
        <v>-933.33333333333337</v>
      </c>
      <c r="CT143" s="1300">
        <f t="shared" si="231"/>
        <v>-933.33333333333337</v>
      </c>
      <c r="CU143" s="1300">
        <f t="shared" si="231"/>
        <v>0</v>
      </c>
      <c r="CV143" s="1300">
        <f t="shared" si="231"/>
        <v>0</v>
      </c>
      <c r="CW143" s="1300">
        <f t="shared" si="231"/>
        <v>0</v>
      </c>
      <c r="CX143" s="1300">
        <f t="shared" si="231"/>
        <v>0</v>
      </c>
      <c r="CY143" s="1300">
        <f t="shared" si="231"/>
        <v>0</v>
      </c>
      <c r="CZ143" s="1300">
        <f t="shared" si="231"/>
        <v>0</v>
      </c>
      <c r="DA143" s="1300">
        <f t="shared" si="231"/>
        <v>0</v>
      </c>
      <c r="DB143" s="1300">
        <f t="shared" si="231"/>
        <v>0</v>
      </c>
      <c r="DC143" s="1300">
        <f t="shared" si="231"/>
        <v>0</v>
      </c>
      <c r="DD143" s="1299">
        <f>AJ143-BT143</f>
        <v>9333.3333333333303</v>
      </c>
      <c r="DE143" s="1260"/>
      <c r="DF143" s="1299">
        <f>AM143-BW143</f>
        <v>4666.6666666666633</v>
      </c>
      <c r="DG143" s="1260"/>
    </row>
    <row r="144" spans="1:111" s="1265" customFormat="1" ht="18" x14ac:dyDescent="0.3">
      <c r="A144" s="1260"/>
      <c r="B144" s="1336" t="s">
        <v>1329</v>
      </c>
      <c r="C144" s="1337"/>
      <c r="D144" s="1298"/>
      <c r="E144" s="1337"/>
      <c r="F144" s="1299">
        <f>IF(G$113&lt;Input!$F$48,$G144,0)+IF(H$113&lt;Input!$F$48,$H144,0)+IF(I$113&lt;Input!$F$48,$I144,0)+IF(J$113&lt;Input!$F$48,$J144,0)+IF(K$113&lt;Input!$F$48,$K144,0)+IF(L$113&lt;Input!$F$48,$L144,0)+IF(M$113&lt;Input!$F$48,$M144,0)+IF(N$113&lt;Input!$F$48,$N144,0)+IF(O$113&lt;Input!$F$48,$O144,0)+IF(P$113&lt;Input!$F$48,$P144,0)+IF(Q$113&lt;Input!$F$48,$Q144,0)+IF(R$113&lt;Input!$F$48,$R144,0)+IF(S$113&lt;Input!$F$48,$S144,0)+IF(T$113&lt;Input!$F$48,$T144,0)+IF(U$113&lt;Input!$F$48,$U144,0)+IF(V$113&lt;Input!$F$48,$V144,0)+IF(W$113&lt;Input!$F$48,$W144,0)</f>
        <v>0</v>
      </c>
      <c r="G144" s="1300">
        <f>IF(G141=0,0,-G255)</f>
        <v>0</v>
      </c>
      <c r="H144" s="1300">
        <f t="shared" ref="H144:AI144" si="232">IF(H141=0,0,-H255)</f>
        <v>0</v>
      </c>
      <c r="I144" s="1300">
        <f t="shared" si="232"/>
        <v>0</v>
      </c>
      <c r="J144" s="1300">
        <f t="shared" si="232"/>
        <v>0</v>
      </c>
      <c r="K144" s="1300">
        <f t="shared" si="232"/>
        <v>0</v>
      </c>
      <c r="L144" s="1300">
        <f t="shared" si="232"/>
        <v>3160.13687761248</v>
      </c>
      <c r="M144" s="1300">
        <f t="shared" si="232"/>
        <v>4194.6694701487686</v>
      </c>
      <c r="N144" s="1300">
        <f t="shared" si="232"/>
        <v>6674.0702691069473</v>
      </c>
      <c r="O144" s="1300">
        <f t="shared" si="232"/>
        <v>7032.8497151280262</v>
      </c>
      <c r="P144" s="1300">
        <f t="shared" si="232"/>
        <v>5195.3025800595897</v>
      </c>
      <c r="Q144" s="1300">
        <f t="shared" si="232"/>
        <v>2988.4494306812239</v>
      </c>
      <c r="R144" s="1300">
        <f t="shared" si="232"/>
        <v>2704.0565805251163</v>
      </c>
      <c r="S144" s="1300">
        <f t="shared" si="232"/>
        <v>4598.2114993296118</v>
      </c>
      <c r="T144" s="1300">
        <f t="shared" si="232"/>
        <v>1941.0854642407503</v>
      </c>
      <c r="U144" s="1300">
        <f t="shared" si="232"/>
        <v>7315.3371366588362</v>
      </c>
      <c r="V144" s="1300">
        <f t="shared" si="232"/>
        <v>5978.3555525427637</v>
      </c>
      <c r="W144" s="1300">
        <f t="shared" si="232"/>
        <v>7777.6097665450779</v>
      </c>
      <c r="X144" s="1300">
        <f t="shared" si="232"/>
        <v>-20939.884356081711</v>
      </c>
      <c r="Y144" s="1300">
        <f t="shared" si="232"/>
        <v>-38620.249986497482</v>
      </c>
      <c r="Z144" s="1300">
        <f t="shared" si="232"/>
        <v>0</v>
      </c>
      <c r="AA144" s="1300">
        <f t="shared" si="232"/>
        <v>0</v>
      </c>
      <c r="AB144" s="1300">
        <f t="shared" si="232"/>
        <v>0</v>
      </c>
      <c r="AC144" s="1300">
        <f t="shared" si="232"/>
        <v>0</v>
      </c>
      <c r="AD144" s="1300">
        <f t="shared" si="232"/>
        <v>0</v>
      </c>
      <c r="AE144" s="1300">
        <f t="shared" si="232"/>
        <v>0</v>
      </c>
      <c r="AF144" s="1300">
        <f t="shared" si="232"/>
        <v>0</v>
      </c>
      <c r="AG144" s="1300">
        <f t="shared" si="232"/>
        <v>0</v>
      </c>
      <c r="AH144" s="1300">
        <f t="shared" si="232"/>
        <v>0</v>
      </c>
      <c r="AI144" s="1300">
        <f t="shared" si="232"/>
        <v>0</v>
      </c>
      <c r="AJ144" s="1301">
        <f>SUMIF($G$115:$AI$115,"1",$G144:$AI144)</f>
        <v>26257.028912055812</v>
      </c>
      <c r="AK144" s="1302">
        <f>IFERROR(AJ144/AJ127,0)</f>
        <v>6.9754615299817566E-2</v>
      </c>
      <c r="AL144" s="1272"/>
      <c r="AM144" s="1303">
        <f>SUMIF($G$115:$AI$115,"1",$G144:$AI144)+SUMIF($G$115:$AI$115,"2",$G144:$AI144)</f>
        <v>45804.169023491355</v>
      </c>
      <c r="AN144" s="1913"/>
      <c r="AO144" s="1260"/>
      <c r="AP144" s="1299">
        <f>IF(AQ$113&lt;Input!$F$48,$AQ144,0)+IF(AR$113&lt;Input!$F$48,$AR144,0)+IF(AS$113&lt;Input!$F$48,$AS144,0)+IF(AT$113&lt;Input!$F$48,$AT144,0)+IF(AU$113&lt;Input!$F$48,$AU144,0)+IF(AV$113&lt;Input!$F$48,$AV144,0)+IF(AW$113&lt;Input!$F$48,$AW144,0)+IF(AX$113&lt;Input!$F$48,$AX144,0)+IF(AY$113&lt;Input!$F$48,$AY144,0)+IF(AZ$113&lt;Input!$F$48,$AZ144,0)+IF(BA$113&lt;Input!$F$48,$BA144,0)+IF(BB$113&lt;Input!$F$48,$BB144,0)+IF(BC$113&lt;Input!$F$48,$BC144,0)+IF(BD$113&lt;Input!$F$48,$BD144,0)+IF(BE$113&lt;Input!$F$48,$BE144,0)+IF(BF$113&lt;Input!$F$48,$BF144,0)+IF(BG$113&lt;Input!$F$48,$BG144,0)</f>
        <v>0</v>
      </c>
      <c r="AQ144" s="1301">
        <f t="shared" ref="AQ144:BS144" si="233">IF(AQ141=0,0,-AQ255)</f>
        <v>0</v>
      </c>
      <c r="AR144" s="1300">
        <f t="shared" si="233"/>
        <v>0</v>
      </c>
      <c r="AS144" s="1300">
        <f t="shared" si="233"/>
        <v>0</v>
      </c>
      <c r="AT144" s="1300">
        <f t="shared" si="233"/>
        <v>0</v>
      </c>
      <c r="AU144" s="1300">
        <f t="shared" si="233"/>
        <v>0</v>
      </c>
      <c r="AV144" s="1300">
        <f t="shared" si="233"/>
        <v>0</v>
      </c>
      <c r="AW144" s="1300">
        <f t="shared" si="233"/>
        <v>0</v>
      </c>
      <c r="AX144" s="1300">
        <f t="shared" si="233"/>
        <v>0</v>
      </c>
      <c r="AY144" s="1300">
        <f t="shared" si="233"/>
        <v>0</v>
      </c>
      <c r="AZ144" s="1300">
        <f t="shared" si="233"/>
        <v>0</v>
      </c>
      <c r="BA144" s="1300">
        <f t="shared" si="233"/>
        <v>0</v>
      </c>
      <c r="BB144" s="1300">
        <f t="shared" si="233"/>
        <v>0</v>
      </c>
      <c r="BC144" s="1300">
        <f t="shared" si="233"/>
        <v>0</v>
      </c>
      <c r="BD144" s="1300">
        <f t="shared" si="233"/>
        <v>0</v>
      </c>
      <c r="BE144" s="1300">
        <f t="shared" si="233"/>
        <v>0</v>
      </c>
      <c r="BF144" s="1300">
        <f t="shared" si="233"/>
        <v>0</v>
      </c>
      <c r="BG144" s="1300">
        <f t="shared" si="233"/>
        <v>0</v>
      </c>
      <c r="BH144" s="1300">
        <f t="shared" si="233"/>
        <v>0</v>
      </c>
      <c r="BI144" s="1300">
        <f t="shared" si="233"/>
        <v>0</v>
      </c>
      <c r="BJ144" s="1300">
        <f t="shared" si="233"/>
        <v>0</v>
      </c>
      <c r="BK144" s="1300">
        <f t="shared" si="233"/>
        <v>0</v>
      </c>
      <c r="BL144" s="1300">
        <f t="shared" si="233"/>
        <v>0</v>
      </c>
      <c r="BM144" s="1300">
        <f t="shared" si="233"/>
        <v>0</v>
      </c>
      <c r="BN144" s="1300">
        <f t="shared" si="233"/>
        <v>0</v>
      </c>
      <c r="BO144" s="1300">
        <f t="shared" si="233"/>
        <v>0</v>
      </c>
      <c r="BP144" s="1300">
        <f t="shared" si="233"/>
        <v>0</v>
      </c>
      <c r="BQ144" s="1300">
        <f t="shared" si="233"/>
        <v>0</v>
      </c>
      <c r="BR144" s="1300">
        <f t="shared" si="233"/>
        <v>0</v>
      </c>
      <c r="BS144" s="1975">
        <f t="shared" si="233"/>
        <v>0</v>
      </c>
      <c r="BT144" s="1301">
        <f>SUMIF($AQ$115:$BS$115,"1",$AQ144:$BS144)</f>
        <v>0</v>
      </c>
      <c r="BU144" s="1302">
        <f>IFERROR(BT144/BT127,0)</f>
        <v>0</v>
      </c>
      <c r="BV144" s="1914"/>
      <c r="BW144" s="1303">
        <f>SUMIF($AQ$115:$BS$115,"1",$AQ144:$BS144)+SUMIF($AQ$115:$BS$115,"2",$AQ144:$BS144)</f>
        <v>0</v>
      </c>
      <c r="BX144" s="1914"/>
      <c r="BY144" s="1260"/>
      <c r="BZ144" s="1299">
        <f t="shared" si="230"/>
        <v>0</v>
      </c>
      <c r="CA144" s="1301">
        <f t="shared" si="230"/>
        <v>0</v>
      </c>
      <c r="CB144" s="1300">
        <f t="shared" si="230"/>
        <v>0</v>
      </c>
      <c r="CC144" s="1300">
        <f t="shared" si="230"/>
        <v>0</v>
      </c>
      <c r="CD144" s="1300">
        <f t="shared" si="230"/>
        <v>0</v>
      </c>
      <c r="CE144" s="1300">
        <f t="shared" si="230"/>
        <v>0</v>
      </c>
      <c r="CF144" s="1300">
        <f t="shared" si="230"/>
        <v>3160.13687761248</v>
      </c>
      <c r="CG144" s="1300">
        <f t="shared" si="230"/>
        <v>4194.6694701487686</v>
      </c>
      <c r="CH144" s="1300">
        <f t="shared" si="230"/>
        <v>6674.0702691069473</v>
      </c>
      <c r="CI144" s="1300">
        <f t="shared" si="230"/>
        <v>7032.8497151280262</v>
      </c>
      <c r="CJ144" s="1300">
        <f t="shared" si="230"/>
        <v>5195.3025800595897</v>
      </c>
      <c r="CK144" s="1300">
        <f t="shared" si="230"/>
        <v>2988.4494306812239</v>
      </c>
      <c r="CL144" s="1300">
        <f t="shared" si="230"/>
        <v>2704.0565805251163</v>
      </c>
      <c r="CM144" s="1300">
        <f t="shared" si="230"/>
        <v>4598.2114993296118</v>
      </c>
      <c r="CN144" s="1300">
        <f t="shared" si="230"/>
        <v>1941.0854642407503</v>
      </c>
      <c r="CO144" s="1300">
        <f t="shared" si="230"/>
        <v>7315.3371366588362</v>
      </c>
      <c r="CP144" s="1300">
        <f t="shared" si="231"/>
        <v>5978.3555525427637</v>
      </c>
      <c r="CQ144" s="1300">
        <f t="shared" si="231"/>
        <v>7777.6097665450779</v>
      </c>
      <c r="CR144" s="1300">
        <f t="shared" si="231"/>
        <v>-20939.884356081711</v>
      </c>
      <c r="CS144" s="1300">
        <f t="shared" si="231"/>
        <v>-38620.249986497482</v>
      </c>
      <c r="CT144" s="1300">
        <f t="shared" si="231"/>
        <v>0</v>
      </c>
      <c r="CU144" s="1300">
        <f t="shared" si="231"/>
        <v>0</v>
      </c>
      <c r="CV144" s="1300">
        <f t="shared" si="231"/>
        <v>0</v>
      </c>
      <c r="CW144" s="1300">
        <f t="shared" si="231"/>
        <v>0</v>
      </c>
      <c r="CX144" s="1300">
        <f t="shared" si="231"/>
        <v>0</v>
      </c>
      <c r="CY144" s="1300">
        <f t="shared" si="231"/>
        <v>0</v>
      </c>
      <c r="CZ144" s="1300">
        <f t="shared" si="231"/>
        <v>0</v>
      </c>
      <c r="DA144" s="1300">
        <f t="shared" si="231"/>
        <v>0</v>
      </c>
      <c r="DB144" s="1300">
        <f t="shared" si="231"/>
        <v>0</v>
      </c>
      <c r="DC144" s="1300">
        <f t="shared" si="231"/>
        <v>0</v>
      </c>
      <c r="DD144" s="1299">
        <f>AJ144-BT144</f>
        <v>26257.028912055812</v>
      </c>
      <c r="DE144" s="1260"/>
      <c r="DF144" s="1299">
        <f>AM144-BW144</f>
        <v>45804.169023491355</v>
      </c>
      <c r="DG144" s="1260"/>
    </row>
    <row r="145" spans="1:111" s="1265" customFormat="1" ht="18" x14ac:dyDescent="0.3">
      <c r="A145" s="1260"/>
      <c r="B145" s="1369" t="s">
        <v>1450</v>
      </c>
      <c r="C145" s="1298"/>
      <c r="D145" s="1298"/>
      <c r="E145" s="1298"/>
      <c r="F145" s="1370">
        <f>F141+F132-F143</f>
        <v>0</v>
      </c>
      <c r="G145" s="1371">
        <f>G141+G132-G143-G144</f>
        <v>-3620.4629005348552</v>
      </c>
      <c r="H145" s="1371">
        <f t="shared" ref="H145:AI145" si="234">H141+H132-H143-H144</f>
        <v>-3204.4552826870922</v>
      </c>
      <c r="I145" s="1371">
        <f t="shared" si="234"/>
        <v>-7803.7495606967441</v>
      </c>
      <c r="J145" s="1371">
        <f t="shared" si="234"/>
        <v>-8089.9399176158076</v>
      </c>
      <c r="K145" s="1371">
        <f t="shared" si="234"/>
        <v>-4941.0791143955921</v>
      </c>
      <c r="L145" s="1371">
        <f t="shared" si="234"/>
        <v>-11854.970729202269</v>
      </c>
      <c r="M145" s="1371">
        <f t="shared" si="234"/>
        <v>12604.891833739101</v>
      </c>
      <c r="N145" s="1371">
        <f t="shared" si="234"/>
        <v>27875.246337534263</v>
      </c>
      <c r="O145" s="1371">
        <f t="shared" si="234"/>
        <v>45759.406495428702</v>
      </c>
      <c r="P145" s="1371">
        <f t="shared" si="234"/>
        <v>60554.015149804225</v>
      </c>
      <c r="Q145" s="1371">
        <f t="shared" si="234"/>
        <v>70181.536536616142</v>
      </c>
      <c r="R145" s="1371">
        <f t="shared" si="234"/>
        <v>75851.213268417327</v>
      </c>
      <c r="S145" s="1371">
        <f t="shared" si="234"/>
        <v>86267.037747031369</v>
      </c>
      <c r="T145" s="1371">
        <f t="shared" si="234"/>
        <v>91450.793717653636</v>
      </c>
      <c r="U145" s="1371">
        <f t="shared" si="234"/>
        <v>108185.41002448402</v>
      </c>
      <c r="V145" s="1371">
        <f t="shared" si="234"/>
        <v>121471.45797752988</v>
      </c>
      <c r="W145" s="1371">
        <f t="shared" si="234"/>
        <v>138621.58594132177</v>
      </c>
      <c r="X145" s="1371">
        <f t="shared" si="234"/>
        <v>203207.92308032681</v>
      </c>
      <c r="Y145" s="1371">
        <f t="shared" si="234"/>
        <v>38881.583319830817</v>
      </c>
      <c r="Z145" s="1371">
        <f t="shared" si="234"/>
        <v>261.33333333333337</v>
      </c>
      <c r="AA145" s="1371">
        <f t="shared" si="234"/>
        <v>0</v>
      </c>
      <c r="AB145" s="1371">
        <f t="shared" si="234"/>
        <v>0</v>
      </c>
      <c r="AC145" s="1371">
        <f t="shared" si="234"/>
        <v>0</v>
      </c>
      <c r="AD145" s="1371">
        <f t="shared" si="234"/>
        <v>0</v>
      </c>
      <c r="AE145" s="1371">
        <f t="shared" si="234"/>
        <v>0</v>
      </c>
      <c r="AF145" s="1371">
        <f t="shared" si="234"/>
        <v>0</v>
      </c>
      <c r="AG145" s="1371">
        <f t="shared" si="234"/>
        <v>0</v>
      </c>
      <c r="AH145" s="1371">
        <f t="shared" si="234"/>
        <v>0</v>
      </c>
      <c r="AI145" s="1371">
        <f t="shared" si="234"/>
        <v>0</v>
      </c>
      <c r="AJ145" s="1372">
        <f>AJ141+AJ132-AJ143-AJ144</f>
        <v>107278.90231137389</v>
      </c>
      <c r="AK145" s="1373"/>
      <c r="AL145" s="1272"/>
      <c r="AM145" s="1370">
        <f>AM141+AM132-AM143-AM144</f>
        <v>539214.89360557648</v>
      </c>
      <c r="AN145" s="1371"/>
      <c r="AO145" s="1260"/>
      <c r="AP145" s="1370">
        <f>IF(AQ$113&lt;Input!$F$48,$AQ145,0)+IF(AR$113&lt;Input!$F$48,$AR145,0)+IF(AS$113&lt;Input!$F$48,$AS145,0)+IF(AT$113&lt;Input!$F$48,$AT145,0)+IF(AU$113&lt;Input!$F$48,$AU145,0)+IF(AV$113&lt;Input!$F$48,$AV145,0)+IF(AW$113&lt;Input!$F$48,$AW145,0)+IF(AX$113&lt;Input!$F$48,$AX145,0)+IF(AY$113&lt;Input!$F$48,$AY145,0)+IF(AZ$113&lt;Input!$F$48,$AZ145,0)+IF(BA$113&lt;Input!$F$48,$BA145,0)+IF(BB$113&lt;Input!$F$48,$BB145,0)+IF(BC$113&lt;Input!$F$48,$BC145,0)+IF(BD$113&lt;Input!$F$48,$BD145,0)+IF(BE$113&lt;Input!$F$48,$BE145,0)+IF(BF$113&lt;Input!$F$48,$BF145,0)+IF(BG$113&lt;Input!$F$48,$BG145,0)</f>
        <v>0</v>
      </c>
      <c r="AQ145" s="1372">
        <f>AQ141+AQ132-AQ143-AQ144</f>
        <v>0</v>
      </c>
      <c r="AR145" s="1371">
        <f t="shared" ref="AR145:BS145" si="235">AR141+AR132-AR143-AR144</f>
        <v>0</v>
      </c>
      <c r="AS145" s="1371">
        <f t="shared" si="235"/>
        <v>0</v>
      </c>
      <c r="AT145" s="1371">
        <f t="shared" si="235"/>
        <v>0</v>
      </c>
      <c r="AU145" s="1371">
        <f t="shared" si="235"/>
        <v>0</v>
      </c>
      <c r="AV145" s="1371">
        <f t="shared" si="235"/>
        <v>0</v>
      </c>
      <c r="AW145" s="1371">
        <f t="shared" si="235"/>
        <v>0</v>
      </c>
      <c r="AX145" s="1371">
        <f t="shared" si="235"/>
        <v>0</v>
      </c>
      <c r="AY145" s="1371">
        <f t="shared" si="235"/>
        <v>0</v>
      </c>
      <c r="AZ145" s="1371">
        <f t="shared" si="235"/>
        <v>0</v>
      </c>
      <c r="BA145" s="1371">
        <f t="shared" si="235"/>
        <v>0</v>
      </c>
      <c r="BB145" s="1371">
        <f t="shared" si="235"/>
        <v>0</v>
      </c>
      <c r="BC145" s="1371">
        <f t="shared" si="235"/>
        <v>0</v>
      </c>
      <c r="BD145" s="1371">
        <f t="shared" si="235"/>
        <v>0</v>
      </c>
      <c r="BE145" s="1371">
        <f t="shared" si="235"/>
        <v>0</v>
      </c>
      <c r="BF145" s="1371">
        <f t="shared" si="235"/>
        <v>0</v>
      </c>
      <c r="BG145" s="1371">
        <f t="shared" si="235"/>
        <v>0</v>
      </c>
      <c r="BH145" s="1371">
        <f t="shared" si="235"/>
        <v>0</v>
      </c>
      <c r="BI145" s="1371">
        <f t="shared" si="235"/>
        <v>0</v>
      </c>
      <c r="BJ145" s="1371">
        <f t="shared" si="235"/>
        <v>0</v>
      </c>
      <c r="BK145" s="1371">
        <f t="shared" si="235"/>
        <v>0</v>
      </c>
      <c r="BL145" s="1371">
        <f t="shared" si="235"/>
        <v>0</v>
      </c>
      <c r="BM145" s="1371">
        <f t="shared" si="235"/>
        <v>0</v>
      </c>
      <c r="BN145" s="1371">
        <f t="shared" si="235"/>
        <v>0</v>
      </c>
      <c r="BO145" s="1371">
        <f t="shared" si="235"/>
        <v>0</v>
      </c>
      <c r="BP145" s="1371">
        <f t="shared" si="235"/>
        <v>0</v>
      </c>
      <c r="BQ145" s="1371">
        <f t="shared" si="235"/>
        <v>0</v>
      </c>
      <c r="BR145" s="1371">
        <f t="shared" si="235"/>
        <v>0</v>
      </c>
      <c r="BS145" s="1371">
        <f t="shared" si="235"/>
        <v>0</v>
      </c>
      <c r="BT145" s="1372">
        <f>BT141+BT132-BT143-BT144</f>
        <v>0</v>
      </c>
      <c r="BU145" s="1373"/>
      <c r="BV145" s="1398"/>
      <c r="BW145" s="1370">
        <f>BW141+BW132-BW143-BW144</f>
        <v>0</v>
      </c>
      <c r="BX145" s="1398"/>
      <c r="BY145" s="1260"/>
      <c r="BZ145" s="1370">
        <f t="shared" si="230"/>
        <v>0</v>
      </c>
      <c r="CA145" s="1372">
        <f t="shared" si="230"/>
        <v>-3620.4629005348552</v>
      </c>
      <c r="CB145" s="1371">
        <f t="shared" si="230"/>
        <v>-3204.4552826870922</v>
      </c>
      <c r="CC145" s="1371">
        <f t="shared" si="230"/>
        <v>-7803.7495606967441</v>
      </c>
      <c r="CD145" s="1371">
        <f t="shared" si="230"/>
        <v>-8089.9399176158076</v>
      </c>
      <c r="CE145" s="1371">
        <f t="shared" si="230"/>
        <v>-4941.0791143955921</v>
      </c>
      <c r="CF145" s="1371">
        <f t="shared" si="230"/>
        <v>-11854.970729202269</v>
      </c>
      <c r="CG145" s="1371">
        <f t="shared" si="230"/>
        <v>12604.891833739101</v>
      </c>
      <c r="CH145" s="1371">
        <f t="shared" si="230"/>
        <v>27875.246337534263</v>
      </c>
      <c r="CI145" s="1371">
        <f t="shared" si="230"/>
        <v>45759.406495428702</v>
      </c>
      <c r="CJ145" s="1371">
        <f t="shared" si="230"/>
        <v>60554.015149804225</v>
      </c>
      <c r="CK145" s="1371">
        <f t="shared" si="230"/>
        <v>70181.536536616142</v>
      </c>
      <c r="CL145" s="1371">
        <f t="shared" si="230"/>
        <v>75851.213268417327</v>
      </c>
      <c r="CM145" s="1371">
        <f t="shared" si="230"/>
        <v>86267.037747031369</v>
      </c>
      <c r="CN145" s="1371">
        <f t="shared" si="230"/>
        <v>91450.793717653636</v>
      </c>
      <c r="CO145" s="1371">
        <f t="shared" si="230"/>
        <v>108185.41002448402</v>
      </c>
      <c r="CP145" s="1371">
        <f t="shared" si="231"/>
        <v>121471.45797752988</v>
      </c>
      <c r="CQ145" s="1371">
        <f t="shared" si="231"/>
        <v>138621.58594132177</v>
      </c>
      <c r="CR145" s="1371">
        <f t="shared" si="231"/>
        <v>203207.92308032681</v>
      </c>
      <c r="CS145" s="1371">
        <f t="shared" si="231"/>
        <v>38881.583319830817</v>
      </c>
      <c r="CT145" s="1371">
        <f t="shared" si="231"/>
        <v>261.33333333333337</v>
      </c>
      <c r="CU145" s="1371">
        <f t="shared" si="231"/>
        <v>0</v>
      </c>
      <c r="CV145" s="1371">
        <f t="shared" si="231"/>
        <v>0</v>
      </c>
      <c r="CW145" s="1371">
        <f t="shared" si="231"/>
        <v>0</v>
      </c>
      <c r="CX145" s="1371">
        <f t="shared" si="231"/>
        <v>0</v>
      </c>
      <c r="CY145" s="1371">
        <f t="shared" si="231"/>
        <v>0</v>
      </c>
      <c r="CZ145" s="1371">
        <f t="shared" si="231"/>
        <v>0</v>
      </c>
      <c r="DA145" s="1371">
        <f t="shared" si="231"/>
        <v>0</v>
      </c>
      <c r="DB145" s="1371">
        <f t="shared" si="231"/>
        <v>0</v>
      </c>
      <c r="DC145" s="1371">
        <f t="shared" si="231"/>
        <v>0</v>
      </c>
      <c r="DD145" s="1370">
        <f>AJ145-BT145</f>
        <v>107278.90231137389</v>
      </c>
      <c r="DE145" s="1260"/>
      <c r="DF145" s="1370">
        <f>AM145-BW145</f>
        <v>539214.89360557648</v>
      </c>
      <c r="DG145" s="1260"/>
    </row>
    <row r="146" spans="1:111" s="1265" customFormat="1" ht="18" x14ac:dyDescent="0.3">
      <c r="A146" s="1260"/>
      <c r="B146" s="1369"/>
      <c r="C146" s="1351" t="s">
        <v>1323</v>
      </c>
      <c r="D146" s="1298"/>
      <c r="E146" s="1298"/>
      <c r="F146" s="1378"/>
      <c r="G146" s="1379">
        <f t="shared" ref="G146:AJ146" si="236">IFERROR(IF(ABS(G145/G$127)&gt;100%,0,G145/G$127),0)</f>
        <v>0</v>
      </c>
      <c r="H146" s="1379">
        <f t="shared" si="236"/>
        <v>0</v>
      </c>
      <c r="I146" s="1379">
        <f t="shared" si="236"/>
        <v>0</v>
      </c>
      <c r="J146" s="1379">
        <f t="shared" si="236"/>
        <v>0</v>
      </c>
      <c r="K146" s="1379">
        <f t="shared" si="236"/>
        <v>0</v>
      </c>
      <c r="L146" s="1379">
        <f t="shared" si="236"/>
        <v>-0.71127532055314779</v>
      </c>
      <c r="M146" s="1379">
        <f t="shared" si="236"/>
        <v>0.32681636167632538</v>
      </c>
      <c r="N146" s="1379">
        <f t="shared" si="236"/>
        <v>0.37913141164644815</v>
      </c>
      <c r="O146" s="1379">
        <f t="shared" si="236"/>
        <v>0.41479172731294001</v>
      </c>
      <c r="P146" s="1379">
        <f t="shared" si="236"/>
        <v>0.44090250852070278</v>
      </c>
      <c r="Q146" s="1379">
        <f t="shared" si="236"/>
        <v>0.45910764771023843</v>
      </c>
      <c r="R146" s="1379">
        <f t="shared" si="236"/>
        <v>0.45763921329959684</v>
      </c>
      <c r="S146" s="1379">
        <f t="shared" si="236"/>
        <v>0.45358376130875094</v>
      </c>
      <c r="T146" s="1379">
        <f t="shared" si="236"/>
        <v>0.4599518536582563</v>
      </c>
      <c r="U146" s="1379">
        <f t="shared" si="236"/>
        <v>0.45207595732016453</v>
      </c>
      <c r="V146" s="1379">
        <f t="shared" si="236"/>
        <v>0.4523486618150338</v>
      </c>
      <c r="W146" s="1379">
        <f t="shared" si="236"/>
        <v>0.44904494512083976</v>
      </c>
      <c r="X146" s="1379">
        <f t="shared" si="236"/>
        <v>0.80386985909993325</v>
      </c>
      <c r="Y146" s="1379">
        <f t="shared" si="236"/>
        <v>0</v>
      </c>
      <c r="Z146" s="1379">
        <f t="shared" si="236"/>
        <v>0</v>
      </c>
      <c r="AA146" s="1379">
        <f t="shared" si="236"/>
        <v>0</v>
      </c>
      <c r="AB146" s="1379">
        <f t="shared" si="236"/>
        <v>0</v>
      </c>
      <c r="AC146" s="1379">
        <f t="shared" si="236"/>
        <v>0</v>
      </c>
      <c r="AD146" s="1379">
        <f t="shared" si="236"/>
        <v>0</v>
      </c>
      <c r="AE146" s="1379">
        <f t="shared" si="236"/>
        <v>0</v>
      </c>
      <c r="AF146" s="1379">
        <f t="shared" si="236"/>
        <v>0</v>
      </c>
      <c r="AG146" s="1379">
        <f t="shared" si="236"/>
        <v>0</v>
      </c>
      <c r="AH146" s="1379">
        <f t="shared" si="236"/>
        <v>0</v>
      </c>
      <c r="AI146" s="1379">
        <f t="shared" si="236"/>
        <v>0</v>
      </c>
      <c r="AJ146" s="1270">
        <f t="shared" si="236"/>
        <v>0.28499791753212089</v>
      </c>
      <c r="AK146" s="1373"/>
      <c r="AL146" s="1272"/>
      <c r="AM146" s="1273">
        <f t="shared" ref="AM146" si="237">IFERROR(AM145/AM127,0)</f>
        <v>0.40746068372721206</v>
      </c>
      <c r="AN146" s="1269"/>
      <c r="AO146" s="1272"/>
      <c r="AP146" s="1378"/>
      <c r="AQ146" s="2642">
        <f t="shared" ref="AQ146:BT146" si="238">IFERROR(IF(ABS(AQ145/AQ$127)&gt;100%,0,AQ145/AQ$127),0)</f>
        <v>0</v>
      </c>
      <c r="AR146" s="1379">
        <f t="shared" si="238"/>
        <v>0</v>
      </c>
      <c r="AS146" s="1379">
        <f t="shared" si="238"/>
        <v>0</v>
      </c>
      <c r="AT146" s="1379">
        <f t="shared" si="238"/>
        <v>0</v>
      </c>
      <c r="AU146" s="1379">
        <f t="shared" si="238"/>
        <v>0</v>
      </c>
      <c r="AV146" s="1379">
        <f t="shared" si="238"/>
        <v>0</v>
      </c>
      <c r="AW146" s="1379">
        <f t="shared" si="238"/>
        <v>0</v>
      </c>
      <c r="AX146" s="1379">
        <f t="shared" si="238"/>
        <v>0</v>
      </c>
      <c r="AY146" s="1379">
        <f t="shared" si="238"/>
        <v>0</v>
      </c>
      <c r="AZ146" s="1379">
        <f t="shared" si="238"/>
        <v>0</v>
      </c>
      <c r="BA146" s="1379">
        <f t="shared" si="238"/>
        <v>0</v>
      </c>
      <c r="BB146" s="1379">
        <f t="shared" si="238"/>
        <v>0</v>
      </c>
      <c r="BC146" s="1379">
        <f t="shared" si="238"/>
        <v>0</v>
      </c>
      <c r="BD146" s="1379">
        <f t="shared" si="238"/>
        <v>0</v>
      </c>
      <c r="BE146" s="1379">
        <f t="shared" si="238"/>
        <v>0</v>
      </c>
      <c r="BF146" s="1379">
        <f t="shared" si="238"/>
        <v>0</v>
      </c>
      <c r="BG146" s="1379">
        <f t="shared" si="238"/>
        <v>0</v>
      </c>
      <c r="BH146" s="1379">
        <f t="shared" si="238"/>
        <v>0</v>
      </c>
      <c r="BI146" s="1379">
        <f t="shared" si="238"/>
        <v>0</v>
      </c>
      <c r="BJ146" s="1379">
        <f t="shared" si="238"/>
        <v>0</v>
      </c>
      <c r="BK146" s="1379">
        <f t="shared" si="238"/>
        <v>0</v>
      </c>
      <c r="BL146" s="1379">
        <f t="shared" si="238"/>
        <v>0</v>
      </c>
      <c r="BM146" s="1379">
        <f t="shared" si="238"/>
        <v>0</v>
      </c>
      <c r="BN146" s="1379">
        <f t="shared" si="238"/>
        <v>0</v>
      </c>
      <c r="BO146" s="1379">
        <f t="shared" si="238"/>
        <v>0</v>
      </c>
      <c r="BP146" s="1379">
        <f t="shared" si="238"/>
        <v>0</v>
      </c>
      <c r="BQ146" s="1379">
        <f t="shared" si="238"/>
        <v>0</v>
      </c>
      <c r="BR146" s="1379">
        <f t="shared" si="238"/>
        <v>0</v>
      </c>
      <c r="BS146" s="1379">
        <f t="shared" si="238"/>
        <v>0</v>
      </c>
      <c r="BT146" s="1270">
        <f t="shared" si="238"/>
        <v>0</v>
      </c>
      <c r="BU146" s="1373"/>
      <c r="BV146" s="1398"/>
      <c r="BW146" s="1273">
        <f t="shared" ref="BW146" si="239">IFERROR(BW145/BW127,0)</f>
        <v>0</v>
      </c>
      <c r="BX146" s="1398"/>
      <c r="BY146" s="1260"/>
      <c r="BZ146" s="1378"/>
      <c r="CA146" s="1763"/>
      <c r="CB146" s="1764"/>
      <c r="CC146" s="1764"/>
      <c r="CD146" s="1764"/>
      <c r="CE146" s="1764"/>
      <c r="CF146" s="1764"/>
      <c r="CG146" s="1764"/>
      <c r="CH146" s="1764"/>
      <c r="CI146" s="1764"/>
      <c r="CJ146" s="1764"/>
      <c r="CK146" s="1764"/>
      <c r="CL146" s="1764"/>
      <c r="CM146" s="1764"/>
      <c r="CN146" s="1764"/>
      <c r="CO146" s="1764"/>
      <c r="CP146" s="1764"/>
      <c r="CQ146" s="1764"/>
      <c r="CR146" s="1764"/>
      <c r="CS146" s="1764"/>
      <c r="CT146" s="1764"/>
      <c r="CU146" s="1764"/>
      <c r="CV146" s="1764"/>
      <c r="CW146" s="1764"/>
      <c r="CX146" s="1764"/>
      <c r="CY146" s="1764"/>
      <c r="CZ146" s="1764"/>
      <c r="DA146" s="1764"/>
      <c r="DB146" s="1764"/>
      <c r="DC146" s="1764"/>
      <c r="DD146" s="1765"/>
      <c r="DE146" s="1260"/>
      <c r="DF146" s="1765"/>
      <c r="DG146" s="1260"/>
    </row>
    <row r="147" spans="1:111" s="2647" customFormat="1" ht="18.600000000000001" thickBot="1" x14ac:dyDescent="0.35">
      <c r="A147" s="1272"/>
      <c r="B147" s="1778" t="str">
        <f>"Disc FCF to Current FY (FY"&amp;CurrentFY&amp;")*"</f>
        <v>Disc FCF to Current FY (FY18)*</v>
      </c>
      <c r="C147" s="1779"/>
      <c r="D147" s="1992"/>
      <c r="E147" s="1992"/>
      <c r="F147" s="1993"/>
      <c r="G147" s="1994">
        <f t="shared" ref="G147:AI147" si="240">IFERROR((G145/((1+DiscR)^G119)),0)</f>
        <v>-3620.4629005348552</v>
      </c>
      <c r="H147" s="1994">
        <f t="shared" si="240"/>
        <v>-2786.4828545105152</v>
      </c>
      <c r="I147" s="1994">
        <f t="shared" si="240"/>
        <v>-5900.7558114909225</v>
      </c>
      <c r="J147" s="1994">
        <f t="shared" si="240"/>
        <v>-5319.2668152318965</v>
      </c>
      <c r="K147" s="1994">
        <f t="shared" si="240"/>
        <v>-2825.0780203876307</v>
      </c>
      <c r="L147" s="1994">
        <f t="shared" si="240"/>
        <v>-5894.0156442015705</v>
      </c>
      <c r="M147" s="1994">
        <f t="shared" si="240"/>
        <v>5449.4425832056359</v>
      </c>
      <c r="N147" s="1994">
        <f t="shared" si="240"/>
        <v>10479.337595259662</v>
      </c>
      <c r="O147" s="1994">
        <f t="shared" si="240"/>
        <v>14958.831153503485</v>
      </c>
      <c r="P147" s="1994">
        <f t="shared" si="240"/>
        <v>17213.230405198876</v>
      </c>
      <c r="Q147" s="1994">
        <f t="shared" si="240"/>
        <v>17347.802483984455</v>
      </c>
      <c r="R147" s="1994">
        <f t="shared" si="240"/>
        <v>16303.704226731053</v>
      </c>
      <c r="S147" s="1994">
        <f t="shared" si="240"/>
        <v>16123.926180343185</v>
      </c>
      <c r="T147" s="1994">
        <f t="shared" si="240"/>
        <v>14863.310640065485</v>
      </c>
      <c r="U147" s="1994">
        <f t="shared" si="240"/>
        <v>15289.698812440292</v>
      </c>
      <c r="V147" s="1994">
        <f t="shared" si="240"/>
        <v>14928.1722952902</v>
      </c>
      <c r="W147" s="1994">
        <f t="shared" si="240"/>
        <v>14813.763863135699</v>
      </c>
      <c r="X147" s="1994">
        <f t="shared" si="240"/>
        <v>18883.276443555682</v>
      </c>
      <c r="Y147" s="1994">
        <f t="shared" si="240"/>
        <v>3141.8309631357006</v>
      </c>
      <c r="Z147" s="1994">
        <f t="shared" si="240"/>
        <v>18.362670497600924</v>
      </c>
      <c r="AA147" s="1994">
        <f t="shared" si="240"/>
        <v>0</v>
      </c>
      <c r="AB147" s="1994">
        <f t="shared" si="240"/>
        <v>0</v>
      </c>
      <c r="AC147" s="1994">
        <f t="shared" si="240"/>
        <v>0</v>
      </c>
      <c r="AD147" s="1994">
        <f t="shared" si="240"/>
        <v>0</v>
      </c>
      <c r="AE147" s="1994">
        <f t="shared" si="240"/>
        <v>0</v>
      </c>
      <c r="AF147" s="1994">
        <f t="shared" si="240"/>
        <v>0</v>
      </c>
      <c r="AG147" s="1994">
        <f t="shared" si="240"/>
        <v>0</v>
      </c>
      <c r="AH147" s="1994">
        <f t="shared" si="240"/>
        <v>0</v>
      </c>
      <c r="AI147" s="1994">
        <f t="shared" si="240"/>
        <v>0</v>
      </c>
      <c r="AJ147" s="1995">
        <f>SUMIF($G$115:$AI$115,"1",$G147:$AI147)</f>
        <v>21754.779690810272</v>
      </c>
      <c r="AK147" s="1996"/>
      <c r="AL147" s="1997"/>
      <c r="AM147" s="1998">
        <f>SUMIF($G$115:$AI$115,"1",$G147:$AI147)+SUMIF($G$115:$AI$115,"2",$G147:$AI147)</f>
        <v>101683.22203437475</v>
      </c>
      <c r="AN147" s="1999"/>
      <c r="AO147" s="2644" t="e">
        <f>"Disc to FY"&amp;DefExitFY&amp;" (Def Exit FY)"</f>
        <v>#VALUE!</v>
      </c>
      <c r="AP147" s="1786"/>
      <c r="AQ147" s="1994">
        <f>IFERROR((AQ145/((1+DiscRDEDE)^AQ118)),0)</f>
        <v>0</v>
      </c>
      <c r="AR147" s="1994">
        <f t="shared" ref="AR147:BS147" si="241">IFERROR((AR145/((1+DiscRDE)^AR118)),0)</f>
        <v>0</v>
      </c>
      <c r="AS147" s="1994">
        <f t="shared" si="241"/>
        <v>0</v>
      </c>
      <c r="AT147" s="1994">
        <f t="shared" si="241"/>
        <v>0</v>
      </c>
      <c r="AU147" s="1994">
        <f t="shared" si="241"/>
        <v>0</v>
      </c>
      <c r="AV147" s="1994">
        <f t="shared" si="241"/>
        <v>0</v>
      </c>
      <c r="AW147" s="1994">
        <f t="shared" si="241"/>
        <v>0</v>
      </c>
      <c r="AX147" s="1994">
        <f t="shared" si="241"/>
        <v>0</v>
      </c>
      <c r="AY147" s="1994">
        <f t="shared" si="241"/>
        <v>0</v>
      </c>
      <c r="AZ147" s="1994">
        <f t="shared" si="241"/>
        <v>0</v>
      </c>
      <c r="BA147" s="1994">
        <f t="shared" si="241"/>
        <v>0</v>
      </c>
      <c r="BB147" s="1994">
        <f t="shared" si="241"/>
        <v>0</v>
      </c>
      <c r="BC147" s="1994">
        <f t="shared" si="241"/>
        <v>0</v>
      </c>
      <c r="BD147" s="1994">
        <f t="shared" si="241"/>
        <v>0</v>
      </c>
      <c r="BE147" s="1994">
        <f t="shared" si="241"/>
        <v>0</v>
      </c>
      <c r="BF147" s="1994">
        <f t="shared" si="241"/>
        <v>0</v>
      </c>
      <c r="BG147" s="1994">
        <f t="shared" si="241"/>
        <v>0</v>
      </c>
      <c r="BH147" s="1994">
        <f t="shared" si="241"/>
        <v>0</v>
      </c>
      <c r="BI147" s="1994">
        <f t="shared" si="241"/>
        <v>0</v>
      </c>
      <c r="BJ147" s="1994">
        <f t="shared" si="241"/>
        <v>0</v>
      </c>
      <c r="BK147" s="1994">
        <f t="shared" si="241"/>
        <v>0</v>
      </c>
      <c r="BL147" s="1994">
        <f t="shared" si="241"/>
        <v>0</v>
      </c>
      <c r="BM147" s="1994">
        <f t="shared" si="241"/>
        <v>0</v>
      </c>
      <c r="BN147" s="1994">
        <f t="shared" si="241"/>
        <v>0</v>
      </c>
      <c r="BO147" s="1994">
        <f t="shared" si="241"/>
        <v>0</v>
      </c>
      <c r="BP147" s="1994">
        <f t="shared" si="241"/>
        <v>0</v>
      </c>
      <c r="BQ147" s="1994">
        <f t="shared" si="241"/>
        <v>0</v>
      </c>
      <c r="BR147" s="1994">
        <f t="shared" si="241"/>
        <v>0</v>
      </c>
      <c r="BS147" s="1994">
        <f t="shared" si="241"/>
        <v>0</v>
      </c>
      <c r="BT147" s="1995">
        <f>SUMIF($AQ$115:$BS$115,"1",$AQ147:$BS147)</f>
        <v>0</v>
      </c>
      <c r="BU147" s="1996"/>
      <c r="BV147" s="2000"/>
      <c r="BW147" s="1998">
        <f>SUMIF($AQ$115:$BS$115,"1",$AQ147:$BS147)+SUMIF($AQ$115:$BS$115,"2",$AQ147:$BS147)</f>
        <v>0</v>
      </c>
      <c r="BX147" s="1791"/>
      <c r="BY147" s="1790"/>
      <c r="BZ147" s="1786"/>
      <c r="CA147" s="1787"/>
      <c r="CB147" s="1788"/>
      <c r="CC147" s="1788"/>
      <c r="CD147" s="1788"/>
      <c r="CE147" s="1788"/>
      <c r="CF147" s="1788"/>
      <c r="CG147" s="1788"/>
      <c r="CH147" s="1788"/>
      <c r="CI147" s="1788"/>
      <c r="CJ147" s="1788"/>
      <c r="CK147" s="1788"/>
      <c r="CL147" s="1788"/>
      <c r="CM147" s="1788"/>
      <c r="CN147" s="1788"/>
      <c r="CO147" s="1788"/>
      <c r="CP147" s="1788"/>
      <c r="CQ147" s="1788"/>
      <c r="CR147" s="1788"/>
      <c r="CS147" s="1788"/>
      <c r="CT147" s="1788"/>
      <c r="CU147" s="1788"/>
      <c r="CV147" s="1788"/>
      <c r="CW147" s="1788"/>
      <c r="CX147" s="1788"/>
      <c r="CY147" s="1788"/>
      <c r="CZ147" s="1788"/>
      <c r="DA147" s="1788"/>
      <c r="DB147" s="1788"/>
      <c r="DC147" s="1788"/>
      <c r="DD147" s="1789"/>
      <c r="DE147" s="2645"/>
      <c r="DF147" s="1789"/>
      <c r="DG147" s="2646"/>
    </row>
    <row r="148" spans="1:111" s="2647" customFormat="1" ht="18.600000000000001" thickTop="1" x14ac:dyDescent="0.3">
      <c r="A148" s="1272"/>
      <c r="B148" s="1395" t="s">
        <v>1331</v>
      </c>
      <c r="C148" s="1396"/>
      <c r="D148" s="1298"/>
      <c r="E148" s="1298"/>
      <c r="F148" s="1397"/>
      <c r="G148" s="1300"/>
      <c r="H148" s="1300"/>
      <c r="I148" s="1300"/>
      <c r="J148" s="1300"/>
      <c r="K148" s="1300"/>
      <c r="L148" s="1300"/>
      <c r="M148" s="1300"/>
      <c r="N148" s="1300"/>
      <c r="O148" s="1300"/>
      <c r="P148" s="1300"/>
      <c r="Q148" s="1300"/>
      <c r="R148" s="1300"/>
      <c r="S148" s="1300"/>
      <c r="T148" s="1300"/>
      <c r="U148" s="1300"/>
      <c r="V148" s="1300"/>
      <c r="W148" s="1300"/>
      <c r="X148" s="1300"/>
      <c r="Y148" s="1300"/>
      <c r="Z148" s="1300"/>
      <c r="AA148" s="1300"/>
      <c r="AB148" s="1300"/>
      <c r="AC148" s="1300"/>
      <c r="AD148" s="1300"/>
      <c r="AE148" s="1300"/>
      <c r="AF148" s="1300"/>
      <c r="AG148" s="1300"/>
      <c r="AH148" s="1300"/>
      <c r="AI148" s="1300"/>
      <c r="AJ148" s="1300"/>
      <c r="AK148" s="1791"/>
      <c r="AL148" s="1790"/>
      <c r="AM148" s="1300"/>
      <c r="AN148" s="1999"/>
      <c r="AO148" s="1790"/>
      <c r="AP148" s="1371"/>
      <c r="AQ148" s="1300"/>
      <c r="AR148" s="1300"/>
      <c r="AS148" s="1300"/>
      <c r="AT148" s="1300"/>
      <c r="AU148" s="1300"/>
      <c r="AV148" s="1300"/>
      <c r="AW148" s="1300"/>
      <c r="AX148" s="1300"/>
      <c r="AY148" s="1300"/>
      <c r="AZ148" s="1300"/>
      <c r="BA148" s="1300"/>
      <c r="BB148" s="1300"/>
      <c r="BC148" s="1300"/>
      <c r="BD148" s="1300"/>
      <c r="BE148" s="1300"/>
      <c r="BF148" s="1300"/>
      <c r="BG148" s="1300"/>
      <c r="BH148" s="1300"/>
      <c r="BI148" s="1300"/>
      <c r="BJ148" s="1300"/>
      <c r="BK148" s="1300"/>
      <c r="BL148" s="1300"/>
      <c r="BM148" s="1300"/>
      <c r="BN148" s="1300"/>
      <c r="BO148" s="1300"/>
      <c r="BP148" s="1300"/>
      <c r="BQ148" s="1300"/>
      <c r="BR148" s="1300"/>
      <c r="BS148" s="1300"/>
      <c r="BT148" s="1300"/>
      <c r="BU148" s="1791"/>
      <c r="BV148" s="1791"/>
      <c r="BW148" s="1300"/>
      <c r="BX148" s="1791"/>
      <c r="BY148" s="1790"/>
      <c r="BZ148" s="1371"/>
      <c r="CA148" s="1999"/>
      <c r="CB148" s="1999"/>
      <c r="CC148" s="1999"/>
      <c r="CD148" s="1999"/>
      <c r="CE148" s="1999"/>
      <c r="CF148" s="1999"/>
      <c r="CG148" s="1999"/>
      <c r="CH148" s="1999"/>
      <c r="CI148" s="1999"/>
      <c r="CJ148" s="1999"/>
      <c r="CK148" s="1999"/>
      <c r="CL148" s="1999"/>
      <c r="CM148" s="1999"/>
      <c r="CN148" s="1999"/>
      <c r="CO148" s="1999"/>
      <c r="CP148" s="1999"/>
      <c r="CQ148" s="1999"/>
      <c r="CR148" s="1999"/>
      <c r="CS148" s="1999"/>
      <c r="CT148" s="1999"/>
      <c r="CU148" s="1999"/>
      <c r="CV148" s="1999"/>
      <c r="CW148" s="1999"/>
      <c r="CX148" s="1999"/>
      <c r="CY148" s="1999"/>
      <c r="CZ148" s="1999"/>
      <c r="DA148" s="1999"/>
      <c r="DB148" s="1999"/>
      <c r="DC148" s="1999"/>
      <c r="DD148" s="1999"/>
      <c r="DE148" s="2645"/>
      <c r="DF148" s="1999"/>
      <c r="DG148" s="2646"/>
    </row>
    <row r="149" spans="1:111" s="2647" customFormat="1" ht="18" x14ac:dyDescent="0.3">
      <c r="A149" s="1260"/>
      <c r="B149" s="2648"/>
      <c r="C149" s="2646"/>
      <c r="D149" s="2646"/>
      <c r="E149" s="2646"/>
      <c r="F149" s="2646"/>
      <c r="G149" s="2646"/>
      <c r="H149" s="2646"/>
      <c r="I149" s="2646"/>
      <c r="J149" s="2646"/>
      <c r="K149" s="2646"/>
      <c r="L149" s="2646"/>
      <c r="M149" s="2646"/>
      <c r="N149" s="2646"/>
      <c r="O149" s="2646"/>
      <c r="P149" s="2646"/>
      <c r="Q149" s="2646"/>
      <c r="R149" s="2646"/>
      <c r="S149" s="1300"/>
      <c r="T149" s="1300"/>
      <c r="U149" s="1300"/>
      <c r="V149" s="1300"/>
      <c r="W149" s="1300"/>
      <c r="X149" s="1300"/>
      <c r="Y149" s="1300"/>
      <c r="Z149" s="1300"/>
      <c r="AA149" s="1300"/>
      <c r="AB149" s="1300"/>
      <c r="AC149" s="1300"/>
      <c r="AD149" s="1300"/>
      <c r="AE149" s="1300"/>
      <c r="AF149" s="1300"/>
      <c r="AG149" s="1300"/>
      <c r="AH149" s="1300"/>
      <c r="AI149" s="1300"/>
      <c r="AJ149" s="1300"/>
      <c r="AK149" s="1791"/>
      <c r="AL149" s="1790"/>
      <c r="AM149" s="1300"/>
      <c r="AN149" s="1999"/>
      <c r="AO149" s="1790"/>
      <c r="AP149" s="1371"/>
      <c r="AQ149" s="1300"/>
      <c r="AR149" s="1300"/>
      <c r="AS149" s="1300"/>
      <c r="AT149" s="1300"/>
      <c r="AU149" s="1300"/>
      <c r="AV149" s="1300"/>
      <c r="AW149" s="1300"/>
      <c r="AX149" s="1300"/>
      <c r="AY149" s="1300"/>
      <c r="AZ149" s="1300"/>
      <c r="BA149" s="1300"/>
      <c r="BB149" s="1300"/>
      <c r="BC149" s="1300"/>
      <c r="BD149" s="1300"/>
      <c r="BE149" s="1300"/>
      <c r="BF149" s="1300"/>
      <c r="BG149" s="1300"/>
      <c r="BH149" s="1300"/>
      <c r="BI149" s="1300"/>
      <c r="BJ149" s="1300"/>
      <c r="BK149" s="1300"/>
      <c r="BL149" s="1300"/>
      <c r="BM149" s="1300"/>
      <c r="BN149" s="1300"/>
      <c r="BO149" s="1300"/>
      <c r="BP149" s="1300"/>
      <c r="BQ149" s="1300"/>
      <c r="BR149" s="1300"/>
      <c r="BS149" s="1300"/>
      <c r="BT149" s="1300"/>
      <c r="BU149" s="1791"/>
      <c r="BV149" s="1791"/>
      <c r="BW149" s="1300"/>
      <c r="BX149" s="1796"/>
      <c r="BY149" s="2649"/>
      <c r="BZ149" s="2650"/>
      <c r="CA149" s="2651"/>
      <c r="CB149" s="2651"/>
      <c r="CC149" s="2651"/>
      <c r="CD149" s="2651"/>
      <c r="CE149" s="2651"/>
      <c r="CF149" s="2651"/>
      <c r="CG149" s="2651"/>
      <c r="CH149" s="2651"/>
      <c r="CI149" s="2651"/>
      <c r="CJ149" s="2651"/>
      <c r="CK149" s="2651"/>
      <c r="CL149" s="2651"/>
      <c r="CM149" s="2651"/>
      <c r="CN149" s="2651"/>
      <c r="CO149" s="2651"/>
      <c r="CP149" s="2651"/>
      <c r="CQ149" s="2651"/>
      <c r="CR149" s="2651"/>
      <c r="CS149" s="2651"/>
      <c r="CT149" s="2651"/>
      <c r="CU149" s="2651"/>
      <c r="CV149" s="2651"/>
      <c r="CW149" s="2651"/>
      <c r="CX149" s="2651"/>
      <c r="CY149" s="2651"/>
      <c r="CZ149" s="2651"/>
      <c r="DA149" s="2651"/>
      <c r="DB149" s="2651"/>
      <c r="DC149" s="2651"/>
      <c r="DD149" s="2651"/>
    </row>
    <row r="150" spans="1:111" ht="15.6" customHeight="1" x14ac:dyDescent="0.3">
      <c r="A150" s="1070"/>
      <c r="B150" s="2652" t="s">
        <v>1664</v>
      </c>
      <c r="C150" s="2653"/>
      <c r="D150" s="2653"/>
      <c r="E150" s="2653"/>
      <c r="F150" s="2653"/>
      <c r="G150" s="2653"/>
      <c r="H150" s="2653"/>
      <c r="I150" s="2653"/>
      <c r="J150" s="2654"/>
      <c r="K150" s="2654"/>
      <c r="L150" s="2654"/>
      <c r="M150" s="2654"/>
      <c r="N150" s="2654"/>
      <c r="O150" s="2654"/>
      <c r="P150" s="2654"/>
      <c r="Q150" s="1070"/>
      <c r="R150" s="3362" t="s">
        <v>1132</v>
      </c>
      <c r="S150" s="3362"/>
      <c r="T150" s="3362"/>
      <c r="U150" s="3362"/>
      <c r="V150" s="1070"/>
      <c r="W150" s="2475" t="s">
        <v>1665</v>
      </c>
      <c r="X150" s="2476"/>
      <c r="Y150" s="2477"/>
      <c r="Z150" s="2477"/>
      <c r="AA150" s="2477"/>
      <c r="AB150" s="2477"/>
      <c r="AC150" s="2477"/>
      <c r="AD150" s="2477"/>
      <c r="AE150" s="2655"/>
      <c r="AF150" s="1070"/>
      <c r="AG150" s="1070"/>
      <c r="AH150" s="1070"/>
      <c r="AI150" s="1070"/>
      <c r="AJ150" s="1070"/>
      <c r="AK150" s="1070"/>
      <c r="AL150" s="1070"/>
      <c r="AM150" s="1070"/>
      <c r="AN150" s="1070"/>
      <c r="AO150" s="1070"/>
      <c r="AP150" s="1070"/>
      <c r="AQ150" s="1070"/>
      <c r="AR150" s="1070"/>
      <c r="AS150" s="1070"/>
      <c r="AT150" s="1070"/>
      <c r="AU150" s="1070"/>
      <c r="AV150" s="1070"/>
      <c r="AW150" s="1070"/>
      <c r="AX150" s="1070"/>
      <c r="AY150" s="1070"/>
      <c r="AZ150" s="1070"/>
      <c r="BA150" s="1070"/>
      <c r="BB150" s="1070"/>
      <c r="BC150" s="1070"/>
      <c r="BD150" s="1070"/>
      <c r="BE150" s="1070"/>
      <c r="BF150" s="1070"/>
      <c r="BG150" s="1070"/>
      <c r="BH150" s="1070"/>
      <c r="BI150" s="1070"/>
      <c r="BJ150" s="1070"/>
      <c r="BK150" s="1070"/>
      <c r="BL150" s="1070"/>
      <c r="BM150" s="1070"/>
      <c r="BN150" s="1070"/>
      <c r="BO150" s="1070"/>
      <c r="BP150" s="1070"/>
      <c r="BQ150" s="1070"/>
      <c r="BR150" s="1070"/>
      <c r="BS150" s="1070"/>
      <c r="BT150" s="1070"/>
      <c r="BU150" s="1070"/>
      <c r="BV150" s="1070"/>
      <c r="BW150" s="1070"/>
    </row>
    <row r="151" spans="1:111" ht="15.6" customHeight="1" x14ac:dyDescent="0.3">
      <c r="A151" s="1070"/>
      <c r="B151" s="2656" t="s">
        <v>1666</v>
      </c>
      <c r="C151" s="2657" t="s">
        <v>1667</v>
      </c>
      <c r="D151" s="1142"/>
      <c r="E151" s="1437"/>
      <c r="F151" s="2658" t="str">
        <f>"FY"&amp;ProjStartFY</f>
        <v>FY18</v>
      </c>
      <c r="G151" s="2656" t="str">
        <f>"FY"&amp;ProjStartFY+1</f>
        <v>FY19</v>
      </c>
      <c r="H151" s="2656" t="str">
        <f>"FY"&amp;ProjStartFY+2</f>
        <v>FY20</v>
      </c>
      <c r="I151" s="2656" t="str">
        <f>"FY"&amp;ProjStartFY+3</f>
        <v>FY21</v>
      </c>
      <c r="J151" s="2656" t="str">
        <f>"FY"&amp;ProjStartFY+4</f>
        <v>FY22</v>
      </c>
      <c r="K151" s="2656" t="str">
        <f>"FY"&amp;ProjStartFY+5</f>
        <v>FY23</v>
      </c>
      <c r="L151" s="2656" t="str">
        <f>"FY"&amp;ProjStartFY+6</f>
        <v>FY24</v>
      </c>
      <c r="M151" s="2656" t="str">
        <f>"FY"&amp;ProjStartFY+7</f>
        <v>FY25</v>
      </c>
      <c r="N151" s="2656" t="str">
        <f>"FY"&amp;ProjStartFY+8</f>
        <v>FY26</v>
      </c>
      <c r="O151" s="2656" t="str">
        <f>"FY"&amp;ProjStartFY+9</f>
        <v>FY27</v>
      </c>
      <c r="P151" s="2656" t="str">
        <f>"FY"&amp;ProjStartFY+10</f>
        <v>FY28</v>
      </c>
      <c r="Q151" s="1070"/>
      <c r="R151" s="1147"/>
      <c r="S151" s="1159"/>
      <c r="T151" s="2466" t="s">
        <v>49</v>
      </c>
      <c r="U151" s="2659" t="str">
        <f>Comp</f>
        <v>Def Exit</v>
      </c>
      <c r="V151" s="1070"/>
      <c r="W151" s="2479" t="s">
        <v>1668</v>
      </c>
      <c r="X151" s="2480"/>
      <c r="Y151" s="2481" t="s">
        <v>49</v>
      </c>
      <c r="Z151" s="2481" t="s">
        <v>1254</v>
      </c>
      <c r="AA151" s="2482" t="s">
        <v>1669</v>
      </c>
      <c r="AB151" s="2660"/>
      <c r="AC151" s="1182"/>
      <c r="AD151" s="1182"/>
      <c r="AE151" s="2661"/>
      <c r="AF151" s="2662"/>
      <c r="AG151" s="2662"/>
      <c r="AH151" s="1070"/>
      <c r="AI151" s="1070"/>
      <c r="AJ151" s="1070"/>
      <c r="AK151" s="1070"/>
      <c r="AL151" s="1070"/>
      <c r="AM151" s="1070"/>
      <c r="AN151" s="1070"/>
      <c r="AO151" s="2644"/>
      <c r="AP151" s="1070"/>
      <c r="AQ151" s="1070"/>
      <c r="AR151" s="1070"/>
      <c r="AS151" s="1070"/>
      <c r="AT151" s="1070"/>
      <c r="AU151" s="1070"/>
      <c r="AV151" s="1070"/>
      <c r="AW151" s="1070"/>
      <c r="AX151" s="1070"/>
      <c r="AY151" s="1070"/>
      <c r="AZ151" s="1070"/>
      <c r="BA151" s="1070"/>
      <c r="BB151" s="1070"/>
      <c r="BC151" s="1070"/>
      <c r="BD151" s="1070"/>
      <c r="BE151" s="1070"/>
      <c r="BF151" s="1070"/>
      <c r="BG151" s="1070"/>
      <c r="BH151" s="1070"/>
      <c r="BI151" s="1070"/>
      <c r="BJ151" s="1070"/>
      <c r="BK151" s="1070"/>
      <c r="BL151" s="1070"/>
      <c r="BM151" s="1070"/>
      <c r="BN151" s="1070"/>
      <c r="BO151" s="1070"/>
      <c r="BP151" s="1070"/>
      <c r="BQ151" s="1070"/>
      <c r="BR151" s="1070"/>
      <c r="BS151" s="1070"/>
      <c r="BT151" s="1070"/>
      <c r="BU151" s="1070"/>
      <c r="BV151" s="1070"/>
      <c r="BW151" s="1070"/>
    </row>
    <row r="152" spans="1:111" ht="15.6" customHeight="1" x14ac:dyDescent="0.3">
      <c r="A152" s="1070"/>
      <c r="B152" s="2543"/>
      <c r="C152" s="2663" t="s">
        <v>690</v>
      </c>
      <c r="D152" s="1159"/>
      <c r="E152" s="1186"/>
      <c r="F152" s="2664"/>
      <c r="G152" s="2664"/>
      <c r="H152" s="2664"/>
      <c r="I152" s="2664"/>
      <c r="J152" s="2664"/>
      <c r="K152" s="2664"/>
      <c r="L152" s="2664"/>
      <c r="M152" s="2664"/>
      <c r="N152" s="2664"/>
      <c r="O152" s="2664"/>
      <c r="P152" s="2665"/>
      <c r="Q152" s="1070"/>
      <c r="R152" s="1149" t="s">
        <v>1395</v>
      </c>
      <c r="S152" s="1142"/>
      <c r="T152" s="1564" t="str">
        <f>Input!D63&amp;" "&amp;Input!E63</f>
        <v>N/A N/A</v>
      </c>
      <c r="U152" s="2452" t="str">
        <f>Input!F63&amp;" "&amp;Input!H63</f>
        <v>N/A N/A</v>
      </c>
      <c r="V152" s="1070"/>
      <c r="W152" s="2666" t="s">
        <v>1670</v>
      </c>
      <c r="X152" s="1662"/>
      <c r="Y152" s="2667" t="s">
        <v>1229</v>
      </c>
      <c r="Z152" s="2667" t="s">
        <v>1229</v>
      </c>
      <c r="AA152" s="1203">
        <v>111</v>
      </c>
      <c r="AB152" s="1205"/>
      <c r="AC152" s="1205"/>
      <c r="AD152" s="1205"/>
      <c r="AE152" s="1206"/>
      <c r="AH152" s="1070"/>
      <c r="AI152" s="1070"/>
      <c r="AJ152" s="1070"/>
      <c r="AK152" s="1070"/>
      <c r="AL152" s="1070"/>
      <c r="AM152" s="1070"/>
      <c r="AN152" s="1070"/>
      <c r="AO152" s="1070"/>
      <c r="AP152" s="1070"/>
      <c r="AQ152" s="1070"/>
      <c r="AR152" s="1070"/>
      <c r="AS152" s="1070"/>
      <c r="AT152" s="1070"/>
      <c r="AU152" s="1070"/>
      <c r="AV152" s="1070"/>
      <c r="AW152" s="1070"/>
      <c r="AX152" s="1070"/>
      <c r="AY152" s="1070"/>
      <c r="AZ152" s="1070"/>
      <c r="BA152" s="1070"/>
      <c r="BB152" s="1070"/>
      <c r="BC152" s="1070"/>
      <c r="BD152" s="1070"/>
      <c r="BE152" s="1070"/>
      <c r="BF152" s="1070"/>
      <c r="BG152" s="1070"/>
      <c r="BH152" s="1070"/>
      <c r="BI152" s="1070"/>
      <c r="BJ152" s="1070"/>
      <c r="BK152" s="1070"/>
      <c r="BL152" s="1070"/>
      <c r="BM152" s="1070"/>
      <c r="BN152" s="1070"/>
      <c r="BO152" s="1070"/>
      <c r="BP152" s="1070"/>
      <c r="BQ152" s="1070"/>
      <c r="BR152" s="1070"/>
      <c r="BS152" s="1070"/>
      <c r="BT152" s="1070"/>
      <c r="BU152" s="1070"/>
      <c r="BV152" s="1070"/>
      <c r="BW152" s="1070"/>
    </row>
    <row r="153" spans="1:111" ht="15.6" customHeight="1" x14ac:dyDescent="0.3">
      <c r="A153" s="1070"/>
      <c r="B153" s="2586" t="s">
        <v>756</v>
      </c>
      <c r="C153" s="2668" t="s">
        <v>446</v>
      </c>
      <c r="D153" s="1142"/>
      <c r="E153" s="1437"/>
      <c r="F153" s="2669"/>
      <c r="G153" s="2669"/>
      <c r="H153" s="2669"/>
      <c r="I153" s="2669"/>
      <c r="J153" s="2669"/>
      <c r="K153" s="2669"/>
      <c r="L153" s="2669"/>
      <c r="M153" s="2669"/>
      <c r="N153" s="2669"/>
      <c r="O153" s="2669"/>
      <c r="P153" s="2670"/>
      <c r="Q153" s="1070"/>
      <c r="R153" s="2671" t="s">
        <v>1671</v>
      </c>
      <c r="S153" s="2672"/>
      <c r="T153" s="2669"/>
      <c r="U153" s="2670"/>
      <c r="V153" s="1070"/>
      <c r="W153" s="2673" t="s">
        <v>1637</v>
      </c>
      <c r="X153" s="1678"/>
      <c r="Y153" s="2674"/>
      <c r="Z153" s="2674"/>
      <c r="AA153" s="1726" t="s">
        <v>1672</v>
      </c>
      <c r="AB153" s="1722"/>
      <c r="AC153" s="1722"/>
      <c r="AD153" s="1722"/>
      <c r="AE153" s="2675"/>
      <c r="AF153" s="2676"/>
      <c r="AG153" s="2677"/>
      <c r="AH153" s="1070"/>
      <c r="AI153" s="1070"/>
      <c r="AJ153" s="1070"/>
      <c r="AK153" s="1070"/>
      <c r="AL153" s="1070"/>
      <c r="AM153" s="1070"/>
      <c r="AN153" s="1070"/>
      <c r="AO153" s="1070"/>
      <c r="AP153" s="1070"/>
      <c r="AQ153" s="1070"/>
      <c r="AR153" s="1070"/>
      <c r="AS153" s="1070"/>
      <c r="AT153" s="1070"/>
      <c r="AU153" s="1070"/>
      <c r="AV153" s="1070"/>
      <c r="AW153" s="1070"/>
      <c r="AX153" s="1070"/>
      <c r="AY153" s="1070"/>
      <c r="AZ153" s="1070"/>
      <c r="BA153" s="1070"/>
      <c r="BB153" s="1070"/>
      <c r="BC153" s="1070"/>
      <c r="BD153" s="1070"/>
      <c r="BE153" s="1070"/>
      <c r="BF153" s="1070"/>
      <c r="BG153" s="1070"/>
      <c r="BH153" s="1070"/>
      <c r="BI153" s="1070"/>
      <c r="BJ153" s="1070"/>
      <c r="BK153" s="1070"/>
      <c r="BL153" s="1070"/>
      <c r="BM153" s="1070"/>
      <c r="BN153" s="1070"/>
      <c r="BO153" s="1070"/>
      <c r="BP153" s="1070"/>
      <c r="BQ153" s="1070"/>
      <c r="BR153" s="1070"/>
      <c r="BS153" s="1070"/>
      <c r="BT153" s="1070"/>
      <c r="BU153" s="1070"/>
      <c r="BV153" s="1070"/>
      <c r="BW153" s="1070"/>
    </row>
    <row r="154" spans="1:111" ht="15.6" customHeight="1" x14ac:dyDescent="0.3">
      <c r="A154" s="1070"/>
      <c r="B154" s="2678"/>
      <c r="C154" s="2679" t="s">
        <v>1366</v>
      </c>
      <c r="D154" s="1142"/>
      <c r="E154" s="1437"/>
      <c r="F154" s="2680"/>
      <c r="G154" s="2680"/>
      <c r="H154" s="2680"/>
      <c r="I154" s="2680"/>
      <c r="J154" s="2680"/>
      <c r="K154" s="2680"/>
      <c r="L154" s="2680"/>
      <c r="M154" s="2680"/>
      <c r="N154" s="2680"/>
      <c r="O154" s="2680"/>
      <c r="P154" s="2681"/>
      <c r="Q154" s="1070"/>
      <c r="R154" s="2671" t="s">
        <v>1673</v>
      </c>
      <c r="S154" s="2672"/>
      <c r="T154" s="2669"/>
      <c r="U154" s="2670"/>
      <c r="V154" s="1070"/>
      <c r="W154" s="2673" t="s">
        <v>1296</v>
      </c>
      <c r="X154" s="1678"/>
      <c r="Y154" s="2682"/>
      <c r="Z154" s="2682"/>
      <c r="AA154" s="1726" t="s">
        <v>1674</v>
      </c>
      <c r="AB154" s="1722"/>
      <c r="AC154" s="1722"/>
      <c r="AD154" s="1722"/>
      <c r="AE154" s="2683"/>
      <c r="AF154" s="2676"/>
      <c r="AG154" s="2677"/>
      <c r="AH154" s="1070"/>
      <c r="AI154" s="1070"/>
      <c r="AJ154" s="1070"/>
      <c r="AK154" s="1070"/>
      <c r="AL154" s="1070"/>
      <c r="AM154" s="1070"/>
      <c r="AN154" s="1070"/>
      <c r="AO154" s="1070"/>
      <c r="AP154" s="1070"/>
      <c r="AQ154" s="1070"/>
      <c r="AR154" s="1070"/>
      <c r="AS154" s="1070"/>
      <c r="AT154" s="1070"/>
      <c r="AU154" s="1070"/>
      <c r="AV154" s="1070"/>
      <c r="AW154" s="1070"/>
      <c r="AX154" s="1070"/>
      <c r="AY154" s="1070"/>
      <c r="AZ154" s="1070"/>
      <c r="BA154" s="1070"/>
      <c r="BB154" s="1070"/>
      <c r="BC154" s="1070"/>
      <c r="BD154" s="1070"/>
      <c r="BE154" s="1070"/>
      <c r="BF154" s="1070"/>
      <c r="BG154" s="1070"/>
      <c r="BH154" s="1070"/>
      <c r="BI154" s="1070"/>
      <c r="BJ154" s="1070"/>
      <c r="BK154" s="1070"/>
      <c r="BL154" s="1070"/>
      <c r="BM154" s="1070"/>
      <c r="BN154" s="1070"/>
      <c r="BO154" s="1070"/>
      <c r="BP154" s="1070"/>
      <c r="BQ154" s="1070"/>
      <c r="BR154" s="1070"/>
      <c r="BS154" s="1070"/>
      <c r="BT154" s="1070"/>
      <c r="BU154" s="1070"/>
      <c r="BV154" s="1070"/>
      <c r="BW154" s="1070"/>
    </row>
    <row r="155" spans="1:111" ht="15.6" customHeight="1" x14ac:dyDescent="0.3">
      <c r="A155" s="1070"/>
      <c r="B155" s="2684"/>
      <c r="C155" s="2685" t="s">
        <v>690</v>
      </c>
      <c r="D155" s="1737"/>
      <c r="E155" s="1568"/>
      <c r="F155" s="2686"/>
      <c r="G155" s="2686"/>
      <c r="H155" s="2686"/>
      <c r="I155" s="2686"/>
      <c r="J155" s="2686"/>
      <c r="K155" s="2686"/>
      <c r="L155" s="2686"/>
      <c r="M155" s="2686"/>
      <c r="N155" s="2686"/>
      <c r="O155" s="2686"/>
      <c r="P155" s="2687"/>
      <c r="Q155" s="1070"/>
      <c r="R155" s="2671" t="s">
        <v>1675</v>
      </c>
      <c r="S155" s="2672"/>
      <c r="T155" s="2669"/>
      <c r="U155" s="2670"/>
      <c r="V155" s="1070"/>
      <c r="W155" s="2673" t="s">
        <v>1676</v>
      </c>
      <c r="X155" s="1678"/>
      <c r="Y155" s="2688" t="s">
        <v>1229</v>
      </c>
      <c r="Z155" s="2688" t="s">
        <v>1229</v>
      </c>
      <c r="AA155" s="1726" t="s">
        <v>1677</v>
      </c>
      <c r="AB155" s="1722"/>
      <c r="AC155" s="1722"/>
      <c r="AD155" s="1722"/>
      <c r="AE155" s="2675"/>
      <c r="AF155" s="2676"/>
      <c r="AG155" s="2677"/>
      <c r="AH155" s="1070"/>
      <c r="AI155" s="1070"/>
      <c r="AJ155" s="1070"/>
      <c r="AK155" s="1070"/>
      <c r="AL155" s="1070"/>
      <c r="AM155" s="1070"/>
      <c r="AN155" s="1070"/>
      <c r="AO155" s="1070"/>
      <c r="AP155" s="1070"/>
      <c r="AQ155" s="1070"/>
      <c r="AR155" s="1070"/>
      <c r="AS155" s="1070"/>
      <c r="AT155" s="1070"/>
      <c r="AU155" s="1070"/>
      <c r="AV155" s="1070"/>
      <c r="AW155" s="1070"/>
      <c r="AX155" s="1070"/>
      <c r="AY155" s="1070"/>
      <c r="AZ155" s="1070"/>
      <c r="BA155" s="1070"/>
      <c r="BB155" s="1070"/>
      <c r="BC155" s="1070"/>
      <c r="BD155" s="1070"/>
      <c r="BE155" s="1070"/>
      <c r="BF155" s="1070"/>
      <c r="BG155" s="1070"/>
      <c r="BH155" s="1070"/>
      <c r="BI155" s="1070"/>
      <c r="BJ155" s="1070"/>
      <c r="BK155" s="1070"/>
      <c r="BL155" s="1070"/>
      <c r="BM155" s="1070"/>
      <c r="BN155" s="1070"/>
      <c r="BO155" s="1070"/>
      <c r="BP155" s="1070"/>
      <c r="BQ155" s="1070"/>
      <c r="BR155" s="1070"/>
      <c r="BS155" s="1070"/>
      <c r="BT155" s="1070"/>
      <c r="BU155" s="1070"/>
      <c r="BV155" s="1070"/>
      <c r="BW155" s="1070"/>
    </row>
    <row r="156" spans="1:111" ht="15.6" customHeight="1" x14ac:dyDescent="0.3">
      <c r="A156" s="1070"/>
      <c r="B156" s="2586" t="s">
        <v>757</v>
      </c>
      <c r="C156" s="2668" t="s">
        <v>446</v>
      </c>
      <c r="D156" s="1142"/>
      <c r="E156" s="1437"/>
      <c r="F156" s="2669"/>
      <c r="G156" s="2669"/>
      <c r="H156" s="2669"/>
      <c r="I156" s="2669"/>
      <c r="J156" s="2669"/>
      <c r="K156" s="2669"/>
      <c r="L156" s="2669"/>
      <c r="M156" s="2669"/>
      <c r="N156" s="2669"/>
      <c r="O156" s="2669"/>
      <c r="P156" s="2670"/>
      <c r="Q156" s="1070"/>
      <c r="R156" s="2689" t="s">
        <v>1678</v>
      </c>
      <c r="S156" s="2690"/>
      <c r="T156" s="2691"/>
      <c r="U156" s="2692"/>
      <c r="V156" s="1070"/>
      <c r="W156" s="2673" t="s">
        <v>1640</v>
      </c>
      <c r="X156" s="1678"/>
      <c r="Y156" s="2693"/>
      <c r="Z156" s="2693"/>
      <c r="AA156" s="1726" t="s">
        <v>1679</v>
      </c>
      <c r="AB156" s="1722"/>
      <c r="AC156" s="1722"/>
      <c r="AD156" s="1722"/>
      <c r="AE156" s="2683"/>
      <c r="AF156" s="2676"/>
      <c r="AG156" s="2677"/>
      <c r="AH156" s="1070"/>
      <c r="AI156" s="1070"/>
      <c r="AJ156" s="1070"/>
      <c r="AK156" s="1070"/>
      <c r="AL156" s="1070"/>
      <c r="AM156" s="1070"/>
      <c r="AN156" s="1070"/>
      <c r="AO156" s="1070"/>
      <c r="AP156" s="1070"/>
      <c r="AQ156" s="1070"/>
      <c r="AR156" s="1070"/>
      <c r="AS156" s="1070"/>
      <c r="AT156" s="1070"/>
      <c r="AU156" s="1070"/>
      <c r="AV156" s="1070"/>
      <c r="AW156" s="1070"/>
      <c r="AX156" s="1070"/>
      <c r="AY156" s="1070"/>
      <c r="AZ156" s="1070"/>
      <c r="BA156" s="1070"/>
      <c r="BB156" s="1070"/>
      <c r="BC156" s="1070"/>
      <c r="BD156" s="1070"/>
      <c r="BE156" s="1070"/>
      <c r="BF156" s="1070"/>
      <c r="BG156" s="1070"/>
      <c r="BH156" s="1070"/>
      <c r="BI156" s="1070"/>
      <c r="BJ156" s="1070"/>
      <c r="BK156" s="1070"/>
      <c r="BL156" s="1070"/>
      <c r="BM156" s="1070"/>
      <c r="BN156" s="1070"/>
      <c r="BO156" s="1070"/>
      <c r="BP156" s="1070"/>
      <c r="BQ156" s="1070"/>
      <c r="BR156" s="1070"/>
      <c r="BS156" s="1070"/>
      <c r="BT156" s="1070"/>
      <c r="BU156" s="1070"/>
      <c r="BV156" s="1070"/>
      <c r="BW156" s="1070"/>
    </row>
    <row r="157" spans="1:111" ht="15.6" customHeight="1" x14ac:dyDescent="0.3">
      <c r="A157" s="1070"/>
      <c r="B157" s="2678"/>
      <c r="C157" s="2679" t="s">
        <v>1366</v>
      </c>
      <c r="D157" s="1142"/>
      <c r="E157" s="1437"/>
      <c r="F157" s="2680"/>
      <c r="G157" s="2680"/>
      <c r="H157" s="2680"/>
      <c r="I157" s="2680"/>
      <c r="J157" s="2680"/>
      <c r="K157" s="2680"/>
      <c r="L157" s="2680"/>
      <c r="M157" s="2680"/>
      <c r="N157" s="2680"/>
      <c r="O157" s="2680"/>
      <c r="P157" s="2681"/>
      <c r="Q157" s="1070"/>
      <c r="R157" s="2694" t="s">
        <v>1680</v>
      </c>
      <c r="S157" s="1070"/>
      <c r="T157" s="1070"/>
      <c r="U157" s="1070"/>
      <c r="V157" s="1070"/>
      <c r="W157" s="2695" t="s">
        <v>1641</v>
      </c>
      <c r="X157" s="1708"/>
      <c r="Y157" s="2696"/>
      <c r="Z157" s="2696"/>
      <c r="AA157" s="1730" t="s">
        <v>1681</v>
      </c>
      <c r="AB157" s="1733"/>
      <c r="AC157" s="1733"/>
      <c r="AD157" s="1733"/>
      <c r="AE157" s="2697"/>
      <c r="AF157" s="2676"/>
      <c r="AG157" s="2677"/>
      <c r="AH157" s="1070"/>
      <c r="AI157" s="1070"/>
      <c r="AJ157" s="1070"/>
      <c r="AK157" s="1070"/>
      <c r="AL157" s="1070"/>
      <c r="AM157" s="1070"/>
      <c r="AN157" s="1070"/>
      <c r="AO157" s="1070"/>
      <c r="AP157" s="1070"/>
      <c r="AQ157" s="1070"/>
      <c r="AR157" s="1070"/>
      <c r="AS157" s="1070"/>
      <c r="AT157" s="1070"/>
      <c r="AU157" s="1070"/>
      <c r="AV157" s="1070"/>
      <c r="AW157" s="1070"/>
      <c r="AX157" s="1070"/>
      <c r="AY157" s="1070"/>
      <c r="AZ157" s="1070"/>
      <c r="BA157" s="1070"/>
      <c r="BB157" s="1070"/>
      <c r="BC157" s="1070"/>
      <c r="BD157" s="1070"/>
      <c r="BE157" s="1070"/>
      <c r="BF157" s="1070"/>
      <c r="BG157" s="1070"/>
      <c r="BH157" s="1070"/>
      <c r="BI157" s="1070"/>
      <c r="BJ157" s="1070"/>
      <c r="BK157" s="1070"/>
      <c r="BL157" s="1070"/>
      <c r="BM157" s="1070"/>
      <c r="BN157" s="1070"/>
      <c r="BO157" s="1070"/>
      <c r="BP157" s="1070"/>
      <c r="BQ157" s="1070"/>
      <c r="BR157" s="1070"/>
      <c r="BS157" s="1070"/>
      <c r="BT157" s="1070"/>
      <c r="BU157" s="1070"/>
      <c r="BV157" s="1070"/>
      <c r="BW157" s="1070"/>
    </row>
    <row r="158" spans="1:111" ht="15.6" customHeight="1" x14ac:dyDescent="0.3">
      <c r="A158" s="1070"/>
      <c r="B158" s="2684"/>
      <c r="C158" s="2685" t="s">
        <v>690</v>
      </c>
      <c r="D158" s="1737"/>
      <c r="E158" s="1568"/>
      <c r="F158" s="2686"/>
      <c r="G158" s="2686"/>
      <c r="H158" s="2686"/>
      <c r="I158" s="2686"/>
      <c r="J158" s="2686"/>
      <c r="K158" s="2686"/>
      <c r="L158" s="2686"/>
      <c r="M158" s="2686"/>
      <c r="N158" s="2686"/>
      <c r="O158" s="2686"/>
      <c r="P158" s="2687"/>
      <c r="Q158" s="1070"/>
      <c r="R158" s="1070"/>
      <c r="S158" s="1070"/>
      <c r="T158" s="1070"/>
      <c r="U158" s="1070"/>
      <c r="V158" s="1070"/>
      <c r="W158" s="2492" t="s">
        <v>1642</v>
      </c>
      <c r="AB158" s="1070"/>
      <c r="AC158" s="1070"/>
      <c r="AD158" s="1070"/>
      <c r="AE158" s="1070"/>
      <c r="AF158" s="1070"/>
      <c r="AG158" s="1070"/>
      <c r="AH158" s="1070"/>
      <c r="AI158" s="1070"/>
      <c r="AJ158" s="1070"/>
      <c r="AK158" s="1070"/>
      <c r="AL158" s="1070"/>
      <c r="AM158" s="1070"/>
      <c r="AN158" s="1070"/>
      <c r="AO158" s="1070"/>
      <c r="AP158" s="1070"/>
      <c r="AQ158" s="1070"/>
      <c r="AR158" s="1070"/>
      <c r="AS158" s="1070"/>
      <c r="AT158" s="1070"/>
      <c r="AU158" s="1070"/>
      <c r="AV158" s="1070"/>
      <c r="AW158" s="1070"/>
      <c r="AX158" s="1070"/>
      <c r="AY158" s="1070"/>
      <c r="AZ158" s="1070"/>
      <c r="BA158" s="1070"/>
      <c r="BB158" s="1070"/>
      <c r="BC158" s="1070"/>
      <c r="BD158" s="1070"/>
      <c r="BE158" s="1070"/>
      <c r="BF158" s="1070"/>
      <c r="BG158" s="1070"/>
      <c r="BH158" s="1070"/>
      <c r="BI158" s="1070"/>
      <c r="BJ158" s="1070"/>
      <c r="BK158" s="1070"/>
      <c r="BL158" s="1070"/>
      <c r="BM158" s="1070"/>
      <c r="BN158" s="1070"/>
      <c r="BO158" s="1070"/>
      <c r="BP158" s="1070"/>
      <c r="BQ158" s="1070"/>
      <c r="BR158" s="1070"/>
      <c r="BS158" s="1070"/>
      <c r="BT158" s="1070"/>
      <c r="BU158" s="1070"/>
      <c r="BV158" s="1070"/>
      <c r="BW158" s="1070"/>
    </row>
    <row r="159" spans="1:111" ht="15.6" customHeight="1" x14ac:dyDescent="0.3">
      <c r="A159" s="1070"/>
      <c r="B159" s="2698" t="s">
        <v>758</v>
      </c>
      <c r="C159" s="2699" t="s">
        <v>446</v>
      </c>
      <c r="D159" s="1142"/>
      <c r="E159" s="1437"/>
      <c r="F159" s="2669"/>
      <c r="G159" s="2669"/>
      <c r="H159" s="2669"/>
      <c r="I159" s="2669"/>
      <c r="J159" s="2669"/>
      <c r="K159" s="2669"/>
      <c r="L159" s="2669"/>
      <c r="M159" s="2669"/>
      <c r="N159" s="2669"/>
      <c r="O159" s="2669"/>
      <c r="P159" s="2670"/>
      <c r="Q159" s="1070"/>
      <c r="R159" s="3367" t="s">
        <v>1134</v>
      </c>
      <c r="S159" s="3368"/>
      <c r="T159" s="2700" t="s">
        <v>49</v>
      </c>
      <c r="U159" s="2701" t="str">
        <f>Comp</f>
        <v>Def Exit</v>
      </c>
      <c r="V159" s="1070"/>
      <c r="W159" s="2493" t="s">
        <v>1643</v>
      </c>
      <c r="AB159" s="1070"/>
      <c r="AC159" s="1070"/>
      <c r="AD159" s="1070"/>
      <c r="AE159" s="1070"/>
      <c r="AF159" s="1070"/>
      <c r="AG159" s="1070"/>
      <c r="AH159" s="1070"/>
      <c r="AI159" s="1070"/>
      <c r="AJ159" s="1070"/>
      <c r="AK159" s="1070"/>
      <c r="AL159" s="1070"/>
      <c r="AM159" s="1070"/>
      <c r="AN159" s="1070"/>
      <c r="AO159" s="1070"/>
      <c r="AP159" s="1070"/>
      <c r="AQ159" s="1070"/>
      <c r="AR159" s="1070"/>
      <c r="AS159" s="1070"/>
      <c r="AT159" s="1070"/>
      <c r="AU159" s="1070"/>
      <c r="AV159" s="1070"/>
      <c r="AW159" s="1070"/>
      <c r="AX159" s="1070"/>
      <c r="AY159" s="1070"/>
      <c r="AZ159" s="1070"/>
      <c r="BA159" s="1070"/>
      <c r="BB159" s="1070"/>
      <c r="BC159" s="1070"/>
      <c r="BD159" s="1070"/>
      <c r="BE159" s="1070"/>
      <c r="BF159" s="1070"/>
      <c r="BG159" s="1070"/>
      <c r="BH159" s="1070"/>
      <c r="BI159" s="1070"/>
      <c r="BJ159" s="1070"/>
      <c r="BK159" s="1070"/>
      <c r="BL159" s="1070"/>
      <c r="BM159" s="1070"/>
      <c r="BN159" s="1070"/>
      <c r="BO159" s="1070"/>
      <c r="BP159" s="1070"/>
      <c r="BQ159" s="1070"/>
      <c r="BR159" s="1070"/>
      <c r="BS159" s="1070"/>
      <c r="BT159" s="1070"/>
      <c r="BU159" s="1070"/>
      <c r="BV159" s="1070"/>
      <c r="BW159" s="1070"/>
    </row>
    <row r="160" spans="1:111" ht="15.6" customHeight="1" x14ac:dyDescent="0.3">
      <c r="A160" s="1070"/>
      <c r="B160" s="1606"/>
      <c r="C160" s="2702" t="s">
        <v>1366</v>
      </c>
      <c r="D160" s="1142"/>
      <c r="E160" s="1437"/>
      <c r="F160" s="2680"/>
      <c r="G160" s="2680"/>
      <c r="H160" s="2680"/>
      <c r="I160" s="2680"/>
      <c r="J160" s="2680"/>
      <c r="K160" s="2680"/>
      <c r="L160" s="2680"/>
      <c r="M160" s="2680"/>
      <c r="N160" s="2680"/>
      <c r="O160" s="2680"/>
      <c r="P160" s="2681"/>
      <c r="Q160" s="1070"/>
      <c r="R160" s="3369"/>
      <c r="S160" s="3370"/>
      <c r="T160" s="2703" t="e">
        <f>Input!D63&amp;" FY"&amp;LaunchFY</f>
        <v>#VALUE!</v>
      </c>
      <c r="U160" s="2704" t="e">
        <f>Input!F63&amp;" FY"&amp;LaunchOrigFY</f>
        <v>#VALUE!</v>
      </c>
      <c r="V160" s="1070"/>
      <c r="W160" s="1070"/>
      <c r="AB160" s="1070"/>
      <c r="AC160" s="1070"/>
      <c r="AD160" s="1070"/>
      <c r="AE160" s="1070"/>
      <c r="AF160" s="1070"/>
      <c r="AG160" s="1070"/>
      <c r="AH160" s="1070"/>
      <c r="AI160" s="1070"/>
      <c r="AJ160" s="1070"/>
      <c r="AK160" s="1070"/>
      <c r="AL160" s="1070"/>
      <c r="AM160" s="1070"/>
      <c r="AN160" s="1070"/>
      <c r="AO160" s="1070"/>
      <c r="AP160" s="1070"/>
      <c r="AQ160" s="1070"/>
      <c r="AR160" s="1070"/>
      <c r="AS160" s="1070"/>
      <c r="AT160" s="1070"/>
      <c r="AU160" s="1070"/>
      <c r="AV160" s="1070"/>
      <c r="AW160" s="1070"/>
      <c r="AX160" s="1070"/>
      <c r="AY160" s="1070"/>
      <c r="AZ160" s="1070"/>
      <c r="BA160" s="1070"/>
      <c r="BB160" s="1070"/>
      <c r="BC160" s="1070"/>
      <c r="BD160" s="1070"/>
      <c r="BE160" s="1070"/>
      <c r="BF160" s="1070"/>
      <c r="BG160" s="1070"/>
      <c r="BH160" s="1070"/>
      <c r="BI160" s="1070"/>
      <c r="BJ160" s="1070"/>
      <c r="BK160" s="1070"/>
      <c r="BL160" s="1070"/>
      <c r="BM160" s="1070"/>
      <c r="BN160" s="1070"/>
      <c r="BO160" s="1070"/>
      <c r="BP160" s="1070"/>
      <c r="BQ160" s="1070"/>
      <c r="BR160" s="1070"/>
      <c r="BS160" s="1070"/>
      <c r="BT160" s="1070"/>
      <c r="BU160" s="1070"/>
      <c r="BV160" s="1070"/>
      <c r="BW160" s="1070"/>
    </row>
    <row r="161" spans="1:75" ht="15.6" customHeight="1" x14ac:dyDescent="0.3">
      <c r="A161" s="1070"/>
      <c r="B161" s="2684"/>
      <c r="C161" s="2685" t="s">
        <v>690</v>
      </c>
      <c r="D161" s="1737"/>
      <c r="E161" s="1568"/>
      <c r="F161" s="2686"/>
      <c r="G161" s="2686"/>
      <c r="H161" s="2686"/>
      <c r="I161" s="2686"/>
      <c r="J161" s="2686"/>
      <c r="K161" s="2686"/>
      <c r="L161" s="2686"/>
      <c r="M161" s="2686"/>
      <c r="N161" s="2686"/>
      <c r="O161" s="2686"/>
      <c r="P161" s="2687"/>
      <c r="Q161" s="1070"/>
      <c r="R161" s="1200" t="s">
        <v>1682</v>
      </c>
      <c r="S161" s="1459"/>
      <c r="T161" s="2705" t="e">
        <f>O278</f>
        <v>#VALUE!</v>
      </c>
      <c r="U161" s="2706" t="e">
        <f>U278</f>
        <v>#VALUE!</v>
      </c>
      <c r="V161" s="1070"/>
      <c r="W161" s="1070"/>
      <c r="AB161" s="1070"/>
      <c r="AC161" s="1070"/>
      <c r="AD161" s="1070"/>
      <c r="AE161" s="1070"/>
      <c r="AF161" s="1070"/>
      <c r="AG161" s="1070"/>
      <c r="AH161" s="1070"/>
      <c r="AI161" s="1070"/>
      <c r="AJ161" s="1070"/>
      <c r="AK161" s="1070"/>
      <c r="AL161" s="1070"/>
      <c r="AM161" s="1070"/>
      <c r="AN161" s="1070"/>
      <c r="AO161" s="1070"/>
      <c r="AP161" s="1070"/>
      <c r="AQ161" s="1070"/>
      <c r="AR161" s="1070"/>
      <c r="AS161" s="1070"/>
      <c r="AT161" s="1070"/>
      <c r="AU161" s="1070"/>
      <c r="AV161" s="1070"/>
      <c r="AW161" s="1070"/>
      <c r="AX161" s="1070"/>
      <c r="AY161" s="1070"/>
      <c r="AZ161" s="1070"/>
      <c r="BA161" s="1070"/>
      <c r="BB161" s="1070"/>
      <c r="BC161" s="1070"/>
      <c r="BD161" s="1070"/>
      <c r="BE161" s="1070"/>
      <c r="BF161" s="1070"/>
      <c r="BG161" s="1070"/>
      <c r="BH161" s="1070"/>
      <c r="BI161" s="1070"/>
      <c r="BJ161" s="1070"/>
      <c r="BK161" s="1070"/>
      <c r="BL161" s="1070"/>
      <c r="BM161" s="1070"/>
      <c r="BN161" s="1070"/>
      <c r="BO161" s="1070"/>
      <c r="BP161" s="1070"/>
      <c r="BQ161" s="1070"/>
      <c r="BR161" s="1070"/>
      <c r="BS161" s="1070"/>
      <c r="BT161" s="1070"/>
      <c r="BU161" s="1070"/>
      <c r="BV161" s="1070"/>
      <c r="BW161" s="1070"/>
    </row>
    <row r="162" spans="1:75" ht="15.6" customHeight="1" x14ac:dyDescent="0.3">
      <c r="A162" s="1070"/>
      <c r="B162" s="2531" t="s">
        <v>759</v>
      </c>
      <c r="C162" s="2707" t="s">
        <v>446</v>
      </c>
      <c r="D162" s="1142"/>
      <c r="E162" s="1437"/>
      <c r="F162" s="2669"/>
      <c r="G162" s="2669"/>
      <c r="H162" s="2669"/>
      <c r="I162" s="2669"/>
      <c r="J162" s="2669"/>
      <c r="K162" s="2669"/>
      <c r="L162" s="2669"/>
      <c r="M162" s="2669"/>
      <c r="N162" s="2669"/>
      <c r="O162" s="2669"/>
      <c r="P162" s="2670"/>
      <c r="Q162" s="1070"/>
      <c r="R162" s="3371" t="s">
        <v>1683</v>
      </c>
      <c r="S162" s="3371"/>
      <c r="T162" s="3371"/>
      <c r="U162" s="3371"/>
      <c r="V162" s="1070"/>
      <c r="W162" s="1070"/>
      <c r="AB162" s="1070"/>
      <c r="AC162" s="1070"/>
      <c r="AD162" s="1070"/>
      <c r="AE162" s="1070"/>
      <c r="AF162" s="1070"/>
      <c r="AG162" s="1070"/>
      <c r="AH162" s="1070"/>
      <c r="AI162" s="1070"/>
      <c r="AJ162" s="1070"/>
      <c r="AK162" s="1070"/>
      <c r="AL162" s="1070"/>
      <c r="AM162" s="1070"/>
      <c r="AN162" s="1070"/>
      <c r="AO162" s="1070"/>
      <c r="AP162" s="1070"/>
      <c r="AQ162" s="1070"/>
      <c r="AR162" s="1070"/>
      <c r="AS162" s="1070"/>
      <c r="AT162" s="1070"/>
      <c r="AU162" s="1070"/>
      <c r="AV162" s="1070"/>
      <c r="AW162" s="1070"/>
      <c r="AX162" s="1070"/>
      <c r="AY162" s="1070"/>
      <c r="AZ162" s="1070"/>
      <c r="BA162" s="1070"/>
      <c r="BB162" s="1070"/>
      <c r="BC162" s="1070"/>
      <c r="BD162" s="1070"/>
      <c r="BE162" s="1070"/>
      <c r="BF162" s="1070"/>
      <c r="BG162" s="1070"/>
      <c r="BH162" s="1070"/>
      <c r="BI162" s="1070"/>
      <c r="BJ162" s="1070"/>
      <c r="BK162" s="1070"/>
      <c r="BL162" s="1070"/>
      <c r="BM162" s="1070"/>
      <c r="BN162" s="1070"/>
      <c r="BO162" s="1070"/>
      <c r="BP162" s="1070"/>
      <c r="BQ162" s="1070"/>
      <c r="BR162" s="1070"/>
      <c r="BS162" s="1070"/>
      <c r="BT162" s="1070"/>
      <c r="BU162" s="1070"/>
      <c r="BV162" s="1070"/>
      <c r="BW162" s="1070"/>
    </row>
    <row r="163" spans="1:75" ht="15.6" customHeight="1" x14ac:dyDescent="0.3">
      <c r="A163" s="1070"/>
      <c r="B163" s="2708"/>
      <c r="C163" s="2709" t="s">
        <v>1366</v>
      </c>
      <c r="D163" s="1142"/>
      <c r="E163" s="1437"/>
      <c r="F163" s="2680"/>
      <c r="G163" s="2680"/>
      <c r="H163" s="2680"/>
      <c r="I163" s="2680"/>
      <c r="J163" s="2680"/>
      <c r="K163" s="2680"/>
      <c r="L163" s="2680"/>
      <c r="M163" s="2680"/>
      <c r="N163" s="2680"/>
      <c r="O163" s="2680"/>
      <c r="P163" s="2681"/>
      <c r="Q163" s="1070"/>
      <c r="R163" s="3372"/>
      <c r="S163" s="3372"/>
      <c r="T163" s="3372"/>
      <c r="U163" s="3372"/>
      <c r="V163" s="1070"/>
      <c r="W163" s="1070"/>
      <c r="AB163" s="1070"/>
      <c r="AC163" s="1070"/>
      <c r="AD163" s="1070"/>
      <c r="AE163" s="1070"/>
      <c r="AF163" s="1070"/>
      <c r="AG163" s="1070"/>
      <c r="AH163" s="1070"/>
      <c r="AI163" s="1070"/>
      <c r="AJ163" s="1070"/>
      <c r="AK163" s="1070"/>
      <c r="AL163" s="1070"/>
      <c r="AM163" s="1070"/>
      <c r="AN163" s="1070"/>
      <c r="AO163" s="1070"/>
      <c r="AP163" s="1070"/>
      <c r="AQ163" s="1070"/>
      <c r="AR163" s="1070"/>
      <c r="AS163" s="1070"/>
      <c r="AT163" s="1070"/>
      <c r="AU163" s="1070"/>
      <c r="AV163" s="1070"/>
      <c r="AW163" s="1070"/>
      <c r="AX163" s="1070"/>
      <c r="AY163" s="1070"/>
      <c r="AZ163" s="1070"/>
      <c r="BA163" s="1070"/>
      <c r="BB163" s="1070"/>
      <c r="BC163" s="1070"/>
      <c r="BD163" s="1070"/>
      <c r="BE163" s="1070"/>
      <c r="BF163" s="1070"/>
      <c r="BG163" s="1070"/>
      <c r="BH163" s="1070"/>
      <c r="BI163" s="1070"/>
      <c r="BJ163" s="1070"/>
      <c r="BK163" s="1070"/>
      <c r="BL163" s="1070"/>
      <c r="BM163" s="1070"/>
      <c r="BN163" s="1070"/>
      <c r="BO163" s="1070"/>
      <c r="BP163" s="1070"/>
      <c r="BQ163" s="1070"/>
      <c r="BR163" s="1070"/>
      <c r="BS163" s="1070"/>
      <c r="BT163" s="1070"/>
      <c r="BU163" s="1070"/>
      <c r="BV163" s="1070"/>
      <c r="BW163" s="1070"/>
    </row>
    <row r="164" spans="1:75" ht="15.6" customHeight="1" x14ac:dyDescent="0.3">
      <c r="A164" s="1070"/>
      <c r="B164" s="2710"/>
      <c r="C164" s="2711" t="s">
        <v>690</v>
      </c>
      <c r="D164" s="1737"/>
      <c r="E164" s="1568"/>
      <c r="F164" s="2686"/>
      <c r="G164" s="2686"/>
      <c r="H164" s="2686"/>
      <c r="I164" s="2686"/>
      <c r="J164" s="2686"/>
      <c r="K164" s="2686"/>
      <c r="L164" s="2686"/>
      <c r="M164" s="2686"/>
      <c r="N164" s="2686"/>
      <c r="O164" s="2686"/>
      <c r="P164" s="2687"/>
      <c r="Q164" s="1070"/>
      <c r="R164" s="3372"/>
      <c r="S164" s="3372"/>
      <c r="T164" s="3372"/>
      <c r="U164" s="3372"/>
      <c r="V164" s="1070"/>
      <c r="W164" s="1070"/>
      <c r="AB164" s="1070"/>
      <c r="AC164" s="1070"/>
      <c r="AD164" s="1070"/>
      <c r="AE164" s="1070"/>
      <c r="AF164" s="1070"/>
      <c r="AG164" s="1070"/>
      <c r="AH164" s="1070"/>
      <c r="AI164" s="1070"/>
      <c r="AJ164" s="1070"/>
      <c r="AK164" s="1070"/>
      <c r="AL164" s="1070"/>
      <c r="AM164" s="1070"/>
      <c r="AN164" s="1070"/>
      <c r="AO164" s="1070"/>
      <c r="AP164" s="1070"/>
      <c r="AQ164" s="1070"/>
      <c r="AR164" s="1070"/>
      <c r="AS164" s="1070"/>
      <c r="AT164" s="1070"/>
      <c r="AU164" s="1070"/>
      <c r="AV164" s="1070"/>
      <c r="AW164" s="1070"/>
      <c r="AX164" s="1070"/>
      <c r="AY164" s="1070"/>
      <c r="AZ164" s="1070"/>
      <c r="BA164" s="1070"/>
      <c r="BB164" s="1070"/>
      <c r="BC164" s="1070"/>
      <c r="BD164" s="1070"/>
      <c r="BE164" s="1070"/>
      <c r="BF164" s="1070"/>
      <c r="BG164" s="1070"/>
      <c r="BH164" s="1070"/>
      <c r="BI164" s="1070"/>
      <c r="BJ164" s="1070"/>
      <c r="BK164" s="1070"/>
      <c r="BL164" s="1070"/>
      <c r="BM164" s="1070"/>
      <c r="BN164" s="1070"/>
      <c r="BO164" s="1070"/>
      <c r="BP164" s="1070"/>
      <c r="BQ164" s="1070"/>
      <c r="BR164" s="1070"/>
      <c r="BS164" s="1070"/>
      <c r="BT164" s="1070"/>
      <c r="BU164" s="1070"/>
      <c r="BV164" s="1070"/>
      <c r="BW164" s="1070"/>
    </row>
    <row r="165" spans="1:75" ht="15.6" customHeight="1" x14ac:dyDescent="0.3">
      <c r="A165" s="1070"/>
      <c r="B165" s="2531" t="s">
        <v>1268</v>
      </c>
      <c r="C165" s="2707" t="s">
        <v>446</v>
      </c>
      <c r="D165" s="1142"/>
      <c r="E165" s="1437"/>
      <c r="F165" s="2669"/>
      <c r="G165" s="2669"/>
      <c r="H165" s="2669"/>
      <c r="I165" s="2669"/>
      <c r="J165" s="2669"/>
      <c r="K165" s="2669"/>
      <c r="L165" s="2669"/>
      <c r="M165" s="2669"/>
      <c r="N165" s="2669"/>
      <c r="O165" s="2669"/>
      <c r="P165" s="2670"/>
      <c r="Q165" s="1070"/>
      <c r="R165" s="1070"/>
      <c r="S165" s="1070"/>
      <c r="T165" s="1070"/>
      <c r="U165" s="1070"/>
      <c r="V165" s="1070"/>
      <c r="W165" s="1070"/>
      <c r="X165" s="1070"/>
      <c r="Y165" s="1070"/>
      <c r="Z165" s="1070"/>
      <c r="AA165" s="1070"/>
      <c r="AB165" s="1070"/>
      <c r="AC165" s="1070"/>
      <c r="AD165" s="1070"/>
      <c r="AE165" s="1070"/>
      <c r="AF165" s="1070"/>
      <c r="AG165" s="1070"/>
      <c r="AH165" s="1070"/>
      <c r="AI165" s="1070"/>
      <c r="AJ165" s="1070"/>
      <c r="AK165" s="1070"/>
      <c r="AL165" s="1070"/>
      <c r="AM165" s="1070"/>
      <c r="AN165" s="1070"/>
      <c r="AO165" s="1070"/>
      <c r="AP165" s="1070"/>
      <c r="AQ165" s="1070"/>
      <c r="AR165" s="1070"/>
      <c r="AS165" s="1070"/>
      <c r="AT165" s="1070"/>
      <c r="AU165" s="1070"/>
      <c r="AV165" s="1070"/>
      <c r="AW165" s="1070"/>
      <c r="AX165" s="1070"/>
      <c r="AY165" s="1070"/>
      <c r="AZ165" s="1070"/>
      <c r="BA165" s="1070"/>
      <c r="BB165" s="1070"/>
      <c r="BC165" s="1070"/>
      <c r="BD165" s="1070"/>
      <c r="BE165" s="1070"/>
      <c r="BF165" s="1070"/>
      <c r="BG165" s="1070"/>
      <c r="BH165" s="1070"/>
      <c r="BI165" s="1070"/>
      <c r="BJ165" s="1070"/>
      <c r="BK165" s="1070"/>
      <c r="BL165" s="1070"/>
      <c r="BM165" s="1070"/>
      <c r="BN165" s="1070"/>
      <c r="BO165" s="1070"/>
      <c r="BP165" s="1070"/>
      <c r="BQ165" s="1070"/>
      <c r="BR165" s="1070"/>
      <c r="BS165" s="1070"/>
      <c r="BT165" s="1070"/>
      <c r="BU165" s="1070"/>
      <c r="BV165" s="1070"/>
      <c r="BW165" s="1070"/>
    </row>
    <row r="166" spans="1:75" ht="15.6" customHeight="1" x14ac:dyDescent="0.3">
      <c r="A166" s="1070"/>
      <c r="B166" s="2531"/>
      <c r="C166" s="2707" t="s">
        <v>1366</v>
      </c>
      <c r="D166" s="1142"/>
      <c r="E166" s="1437"/>
      <c r="F166" s="2669"/>
      <c r="G166" s="2669"/>
      <c r="H166" s="2669"/>
      <c r="I166" s="2669"/>
      <c r="J166" s="2669"/>
      <c r="K166" s="2669"/>
      <c r="L166" s="2669"/>
      <c r="M166" s="2669"/>
      <c r="N166" s="2669"/>
      <c r="O166" s="2669"/>
      <c r="P166" s="2670"/>
      <c r="Q166" s="1070"/>
      <c r="R166" s="1070"/>
      <c r="S166" s="1070"/>
      <c r="T166" s="1070"/>
      <c r="U166" s="1070"/>
      <c r="V166" s="1070"/>
      <c r="W166" s="1070"/>
      <c r="X166" s="1070"/>
      <c r="Y166" s="1070"/>
      <c r="Z166" s="1070"/>
      <c r="AA166" s="1070"/>
      <c r="AB166" s="1070"/>
      <c r="AC166" s="1070"/>
      <c r="AD166" s="1070"/>
      <c r="AE166" s="1070"/>
      <c r="AF166" s="1070"/>
      <c r="AG166" s="1070"/>
      <c r="AH166" s="1070"/>
      <c r="AI166" s="1070"/>
      <c r="AJ166" s="1070"/>
      <c r="AK166" s="1070"/>
      <c r="AL166" s="1070"/>
      <c r="AM166" s="1070"/>
      <c r="AN166" s="1070"/>
      <c r="AO166" s="1070"/>
      <c r="AP166" s="1070"/>
      <c r="AQ166" s="1070"/>
      <c r="AR166" s="1070"/>
      <c r="AS166" s="1070"/>
      <c r="AT166" s="1070"/>
      <c r="AU166" s="1070"/>
      <c r="AV166" s="1070"/>
      <c r="AW166" s="1070"/>
      <c r="AX166" s="1070"/>
      <c r="AY166" s="1070"/>
      <c r="AZ166" s="1070"/>
      <c r="BA166" s="1070"/>
      <c r="BB166" s="1070"/>
      <c r="BC166" s="1070"/>
      <c r="BD166" s="1070"/>
      <c r="BE166" s="1070"/>
      <c r="BF166" s="1070"/>
      <c r="BG166" s="1070"/>
      <c r="BH166" s="1070"/>
      <c r="BI166" s="1070"/>
      <c r="BJ166" s="1070"/>
      <c r="BK166" s="1070"/>
      <c r="BL166" s="1070"/>
      <c r="BM166" s="1070"/>
      <c r="BN166" s="1070"/>
      <c r="BO166" s="1070"/>
      <c r="BP166" s="1070"/>
      <c r="BQ166" s="1070"/>
      <c r="BR166" s="1070"/>
      <c r="BS166" s="1070"/>
      <c r="BT166" s="1070"/>
      <c r="BU166" s="1070"/>
      <c r="BV166" s="1070"/>
      <c r="BW166" s="1070"/>
    </row>
    <row r="167" spans="1:75" ht="15.6" customHeight="1" x14ac:dyDescent="0.3">
      <c r="A167" s="1070"/>
      <c r="B167" s="1145" t="s">
        <v>655</v>
      </c>
      <c r="C167" s="2712"/>
      <c r="D167" s="1127"/>
      <c r="E167" s="1146"/>
      <c r="F167" s="2713">
        <f t="shared" ref="F167:K167" si="242">SUM(F152:F166)</f>
        <v>0</v>
      </c>
      <c r="G167" s="2714">
        <f t="shared" si="242"/>
        <v>0</v>
      </c>
      <c r="H167" s="2714">
        <f t="shared" si="242"/>
        <v>0</v>
      </c>
      <c r="I167" s="2714">
        <f t="shared" si="242"/>
        <v>0</v>
      </c>
      <c r="J167" s="2714">
        <f t="shared" si="242"/>
        <v>0</v>
      </c>
      <c r="K167" s="2714">
        <f t="shared" si="242"/>
        <v>0</v>
      </c>
      <c r="L167" s="2714">
        <f t="shared" ref="L167:O167" si="243">SUM(L152:L166)</f>
        <v>0</v>
      </c>
      <c r="M167" s="2714">
        <f t="shared" si="243"/>
        <v>0</v>
      </c>
      <c r="N167" s="2714">
        <f t="shared" si="243"/>
        <v>0</v>
      </c>
      <c r="O167" s="2714">
        <f t="shared" si="243"/>
        <v>0</v>
      </c>
      <c r="P167" s="2714">
        <f>SUM(P152:P166)</f>
        <v>0</v>
      </c>
      <c r="Q167" s="1070"/>
      <c r="R167" s="1070"/>
      <c r="S167" s="1070"/>
      <c r="T167" s="1070"/>
      <c r="U167" s="1070"/>
      <c r="V167" s="1070"/>
      <c r="W167" s="1070"/>
      <c r="X167" s="1070"/>
      <c r="Y167" s="1070"/>
      <c r="Z167" s="1070"/>
      <c r="AA167" s="1070"/>
      <c r="AB167" s="1070"/>
      <c r="AC167" s="1070"/>
      <c r="AD167" s="1070"/>
      <c r="AE167" s="1070"/>
      <c r="AF167" s="1070"/>
      <c r="AG167" s="1070"/>
      <c r="AH167" s="1070"/>
      <c r="AI167" s="1070"/>
      <c r="AJ167" s="1070"/>
      <c r="AK167" s="1070"/>
      <c r="AL167" s="1070"/>
      <c r="AM167" s="1070"/>
      <c r="AN167" s="1070"/>
      <c r="AO167" s="1070"/>
      <c r="AP167" s="1070"/>
      <c r="AQ167" s="1070"/>
      <c r="AR167" s="1070"/>
      <c r="AS167" s="1070"/>
      <c r="AT167" s="1070"/>
      <c r="AU167" s="1070"/>
      <c r="AV167" s="1070"/>
      <c r="AW167" s="1070"/>
      <c r="AX167" s="1070"/>
      <c r="AY167" s="1070"/>
      <c r="AZ167" s="1070"/>
      <c r="BA167" s="1070"/>
      <c r="BB167" s="1070"/>
      <c r="BC167" s="1070"/>
      <c r="BD167" s="1070"/>
      <c r="BE167" s="1070"/>
      <c r="BF167" s="1070"/>
      <c r="BG167" s="1070"/>
      <c r="BH167" s="1070"/>
      <c r="BI167" s="1070"/>
      <c r="BJ167" s="1070"/>
      <c r="BK167" s="1070"/>
      <c r="BL167" s="1070"/>
      <c r="BM167" s="1070"/>
      <c r="BN167" s="1070"/>
      <c r="BO167" s="1070"/>
      <c r="BP167" s="1070"/>
      <c r="BQ167" s="1070"/>
      <c r="BR167" s="1070"/>
      <c r="BS167" s="1070"/>
      <c r="BT167" s="1070"/>
      <c r="BU167" s="1070"/>
      <c r="BV167" s="1070"/>
      <c r="BW167" s="1070"/>
    </row>
    <row r="168" spans="1:75" x14ac:dyDescent="0.3">
      <c r="A168" s="1142"/>
      <c r="B168" s="1070"/>
      <c r="C168" s="1070"/>
      <c r="D168" s="1070"/>
      <c r="E168" s="1070"/>
      <c r="F168" s="1070"/>
      <c r="G168" s="1070"/>
      <c r="H168" s="1070"/>
      <c r="I168" s="1070"/>
      <c r="J168" s="1070"/>
      <c r="K168" s="1070"/>
      <c r="L168" s="1070"/>
      <c r="M168" s="1070"/>
      <c r="N168" s="1070"/>
      <c r="O168" s="1070"/>
      <c r="P168" s="1070"/>
      <c r="Q168" s="1070"/>
      <c r="R168" s="1070"/>
      <c r="S168" s="1070"/>
      <c r="T168" s="1070"/>
      <c r="U168" s="1070"/>
      <c r="V168" s="1070"/>
      <c r="W168" s="1070"/>
      <c r="X168" s="1070"/>
      <c r="Y168" s="1070"/>
      <c r="Z168" s="1070"/>
      <c r="AA168" s="1070"/>
      <c r="AB168" s="1070"/>
      <c r="AC168" s="1070"/>
      <c r="AD168" s="1070"/>
      <c r="AE168" s="1070"/>
      <c r="AF168" s="1070"/>
      <c r="AG168" s="1070"/>
      <c r="AH168" s="1070"/>
      <c r="AI168" s="1070"/>
      <c r="AJ168" s="1070"/>
      <c r="AK168" s="1070"/>
      <c r="AL168" s="1070"/>
      <c r="AM168" s="1070"/>
      <c r="AN168" s="1070"/>
      <c r="AO168" s="1070"/>
      <c r="AP168" s="1070"/>
      <c r="AQ168" s="1070"/>
      <c r="AR168" s="1070"/>
      <c r="AS168" s="1070"/>
      <c r="AT168" s="1070"/>
      <c r="AU168" s="1070"/>
      <c r="AV168" s="1070"/>
      <c r="AW168" s="1070"/>
      <c r="AX168" s="1070"/>
      <c r="AY168" s="1070"/>
      <c r="AZ168" s="1070"/>
      <c r="BA168" s="1070"/>
      <c r="BB168" s="1070"/>
      <c r="BC168" s="1070"/>
      <c r="BD168" s="1070"/>
      <c r="BE168" s="1070"/>
      <c r="BF168" s="1070"/>
      <c r="BG168" s="1070"/>
      <c r="BH168" s="1070"/>
      <c r="BI168" s="1070"/>
      <c r="BJ168" s="1070"/>
      <c r="BK168" s="1070"/>
      <c r="BL168" s="1070"/>
      <c r="BM168" s="1070"/>
      <c r="BN168" s="1070"/>
      <c r="BO168" s="1070"/>
      <c r="BP168" s="1070"/>
      <c r="BQ168" s="1070"/>
      <c r="BR168" s="1070"/>
      <c r="BS168" s="1070"/>
      <c r="BT168" s="1070"/>
      <c r="BU168" s="1070"/>
      <c r="BV168" s="1070"/>
      <c r="BW168" s="1070"/>
    </row>
    <row r="169" spans="1:75" x14ac:dyDescent="0.3">
      <c r="A169" s="1142"/>
      <c r="B169" s="1142"/>
      <c r="C169" s="1142"/>
      <c r="D169" s="1142"/>
      <c r="E169" s="1142"/>
      <c r="F169" s="2715"/>
      <c r="G169" s="1142"/>
      <c r="H169" s="1142"/>
      <c r="I169" s="1070"/>
      <c r="J169" s="1070"/>
      <c r="K169" s="1070"/>
      <c r="L169" s="1070"/>
      <c r="M169" s="1070"/>
      <c r="N169" s="1070"/>
      <c r="O169" s="1070"/>
      <c r="P169" s="1070"/>
      <c r="Q169" s="1070"/>
      <c r="R169" s="1070"/>
      <c r="S169" s="1070"/>
      <c r="T169" s="1070"/>
      <c r="U169" s="1070"/>
      <c r="V169" s="1070"/>
      <c r="W169" s="1070"/>
      <c r="X169" s="1070"/>
      <c r="Y169" s="1070"/>
      <c r="Z169" s="1070"/>
      <c r="AA169" s="1070"/>
      <c r="AB169" s="1070"/>
      <c r="AC169" s="1070"/>
      <c r="AD169" s="1070"/>
      <c r="AE169" s="1070"/>
      <c r="AF169" s="1070"/>
      <c r="AG169" s="1070"/>
      <c r="AH169" s="1070"/>
      <c r="AI169" s="1070"/>
      <c r="AJ169" s="2136"/>
      <c r="AK169" s="1070"/>
      <c r="AL169" s="1070"/>
      <c r="AM169" s="1070"/>
      <c r="AN169" s="1070"/>
      <c r="AO169" s="1070"/>
      <c r="AP169" s="1070"/>
      <c r="AQ169" s="1070"/>
      <c r="AR169" s="1070"/>
      <c r="AS169" s="1070"/>
      <c r="AT169" s="1070"/>
      <c r="AU169" s="1070"/>
      <c r="AV169" s="1070"/>
      <c r="AW169" s="1070"/>
      <c r="AX169" s="1070"/>
      <c r="AY169" s="1070"/>
      <c r="AZ169" s="1070"/>
      <c r="BA169" s="1070"/>
      <c r="BB169" s="1070"/>
      <c r="BC169" s="1070"/>
      <c r="BD169" s="1070"/>
      <c r="BE169" s="1070"/>
      <c r="BF169" s="1070"/>
      <c r="BG169" s="1070"/>
      <c r="BH169" s="1070"/>
      <c r="BI169" s="1070"/>
      <c r="BJ169" s="1070"/>
      <c r="BK169" s="1070"/>
      <c r="BL169" s="1070"/>
      <c r="BM169" s="1070"/>
      <c r="BN169" s="1070"/>
      <c r="BO169" s="1070"/>
      <c r="BP169" s="1070"/>
      <c r="BQ169" s="1070"/>
      <c r="BR169" s="1070"/>
      <c r="BS169" s="1070"/>
      <c r="BT169" s="1070"/>
      <c r="BU169" s="1070"/>
      <c r="BV169" s="1070"/>
      <c r="BW169" s="1070"/>
    </row>
    <row r="170" spans="1:75" x14ac:dyDescent="0.3">
      <c r="A170" s="1437"/>
      <c r="B170" s="2716" t="s">
        <v>1684</v>
      </c>
      <c r="C170" s="2717"/>
      <c r="D170" s="2717"/>
      <c r="E170" s="2717"/>
      <c r="F170" s="2717"/>
      <c r="G170" s="2717"/>
      <c r="H170" s="2717"/>
      <c r="I170" s="2717"/>
      <c r="J170" s="2717"/>
      <c r="K170" s="2717"/>
      <c r="L170" s="2717"/>
      <c r="M170" s="2717"/>
      <c r="N170" s="2717"/>
      <c r="O170" s="2717"/>
      <c r="P170" s="2718"/>
      <c r="Q170" s="1070"/>
      <c r="R170" s="3332" t="s">
        <v>1685</v>
      </c>
      <c r="S170" s="3332"/>
      <c r="T170" s="3332"/>
      <c r="U170" s="3332"/>
      <c r="V170" s="3332"/>
      <c r="W170" s="3332"/>
      <c r="X170" s="3332"/>
      <c r="Y170" s="3332"/>
      <c r="Z170" s="3332"/>
      <c r="AA170" s="3332"/>
      <c r="AB170" s="3332"/>
      <c r="AC170" s="3332"/>
      <c r="AD170" s="3332"/>
      <c r="AE170" s="3332"/>
      <c r="AF170" s="1070"/>
      <c r="AG170" s="1070"/>
      <c r="AH170" s="1070"/>
      <c r="AI170" s="1070"/>
      <c r="AJ170" s="2136"/>
      <c r="AK170" s="1070"/>
      <c r="AL170" s="1070"/>
      <c r="AM170" s="1070"/>
      <c r="AN170" s="1070"/>
      <c r="AO170" s="3332" t="s">
        <v>1685</v>
      </c>
      <c r="AP170" s="3332"/>
      <c r="AQ170" s="3332"/>
      <c r="AR170" s="3332"/>
      <c r="AS170" s="3332"/>
      <c r="AT170" s="3332"/>
      <c r="AU170" s="3332"/>
      <c r="AV170" s="3332"/>
      <c r="AW170" s="3332"/>
      <c r="AX170" s="3332"/>
      <c r="AY170" s="3332"/>
      <c r="AZ170" s="3332"/>
      <c r="BA170" s="3332"/>
      <c r="BB170" s="3332"/>
      <c r="BC170" s="3333"/>
      <c r="BD170" s="1070"/>
      <c r="BE170" s="1070"/>
      <c r="BF170" s="1070"/>
      <c r="BG170" s="1070"/>
      <c r="BH170" s="1070"/>
      <c r="BI170" s="1070"/>
      <c r="BJ170" s="1070"/>
      <c r="BK170" s="1070"/>
      <c r="BL170" s="1070"/>
      <c r="BM170" s="1070"/>
      <c r="BN170" s="1070"/>
      <c r="BO170" s="1070"/>
      <c r="BP170" s="1070"/>
      <c r="BQ170" s="1070"/>
      <c r="BR170" s="1070"/>
      <c r="BS170" s="1070"/>
      <c r="BT170" s="1070"/>
      <c r="BU170" s="1070"/>
      <c r="BV170" s="1070"/>
      <c r="BW170" s="1070"/>
    </row>
    <row r="171" spans="1:75" x14ac:dyDescent="0.3">
      <c r="A171" s="1437"/>
      <c r="B171" s="1147"/>
      <c r="C171" s="1159"/>
      <c r="D171" s="1159"/>
      <c r="E171" s="1159"/>
      <c r="F171" s="1159"/>
      <c r="G171" s="1159"/>
      <c r="H171" s="1159"/>
      <c r="I171" s="1159"/>
      <c r="J171" s="1159"/>
      <c r="K171" s="1159"/>
      <c r="L171" s="1159"/>
      <c r="M171" s="1159"/>
      <c r="N171" s="1159"/>
      <c r="O171" s="1159"/>
      <c r="P171" s="1186"/>
      <c r="Q171" s="1070"/>
      <c r="R171" s="2054"/>
      <c r="S171" s="1218"/>
      <c r="T171" s="1218"/>
      <c r="U171" s="1218"/>
      <c r="V171" s="1218"/>
      <c r="W171" s="1218"/>
      <c r="X171" s="1218"/>
      <c r="Y171" s="1218"/>
      <c r="Z171" s="1218"/>
      <c r="AA171" s="1218"/>
      <c r="AB171" s="1218"/>
      <c r="AC171" s="1218"/>
      <c r="AD171" s="1218"/>
      <c r="AE171" s="1186"/>
      <c r="AF171" s="1070"/>
      <c r="AG171" s="1070"/>
      <c r="AH171" s="1070"/>
      <c r="AI171" s="1070"/>
      <c r="AJ171" s="2136"/>
      <c r="AK171" s="1070"/>
      <c r="AL171" s="1070"/>
      <c r="AM171" s="1070"/>
      <c r="AN171" s="1070"/>
      <c r="AO171" s="1149"/>
      <c r="AP171" s="1142"/>
      <c r="AQ171" s="1142"/>
      <c r="AR171" s="1142"/>
      <c r="AS171" s="1142"/>
      <c r="AT171" s="1142"/>
      <c r="AU171" s="1142"/>
      <c r="AV171" s="1142"/>
      <c r="AW171" s="1142"/>
      <c r="AX171" s="1142"/>
      <c r="AY171" s="1142"/>
      <c r="AZ171" s="1142"/>
      <c r="BA171" s="1142"/>
      <c r="BB171" s="1142"/>
      <c r="BC171" s="1437"/>
      <c r="BD171" s="1070"/>
      <c r="BE171" s="1070"/>
      <c r="BF171" s="1070"/>
      <c r="BG171" s="1070"/>
      <c r="BH171" s="1070"/>
      <c r="BI171" s="1070"/>
      <c r="BJ171" s="1070"/>
      <c r="BK171" s="1070"/>
      <c r="BL171" s="1070"/>
      <c r="BM171" s="1070"/>
      <c r="BN171" s="1070"/>
      <c r="BO171" s="1070"/>
      <c r="BP171" s="1070"/>
      <c r="BQ171" s="1070"/>
      <c r="BR171" s="1070"/>
      <c r="BS171" s="1070"/>
      <c r="BT171" s="1070"/>
      <c r="BU171" s="1070"/>
      <c r="BV171" s="1070"/>
      <c r="BW171" s="1070"/>
    </row>
    <row r="172" spans="1:75" x14ac:dyDescent="0.3">
      <c r="A172" s="1437"/>
      <c r="B172" s="1149"/>
      <c r="C172" s="1655" t="s">
        <v>1597</v>
      </c>
      <c r="D172" s="1115"/>
      <c r="E172" s="1116"/>
      <c r="F172" s="1142"/>
      <c r="G172" s="1142"/>
      <c r="H172" s="1142"/>
      <c r="I172" s="1142"/>
      <c r="J172" s="1142"/>
      <c r="K172" s="1142"/>
      <c r="L172" s="1142"/>
      <c r="M172" s="1142"/>
      <c r="N172" s="1116"/>
      <c r="O172" s="1655"/>
      <c r="P172" s="1437"/>
      <c r="Q172" s="1070"/>
      <c r="R172" s="1598"/>
      <c r="S172" s="1115"/>
      <c r="T172" s="1116"/>
      <c r="U172" s="1116"/>
      <c r="V172" s="1116"/>
      <c r="W172" s="1116"/>
      <c r="X172" s="1116"/>
      <c r="Y172" s="1116"/>
      <c r="Z172" s="1116"/>
      <c r="AA172" s="1116"/>
      <c r="AB172" s="1116"/>
      <c r="AC172" s="1116"/>
      <c r="AD172" s="1475"/>
      <c r="AE172" s="1437"/>
      <c r="AF172" s="1070"/>
      <c r="AG172" s="1070"/>
      <c r="AH172" s="1070"/>
      <c r="AI172" s="1070"/>
      <c r="AJ172" s="1070"/>
      <c r="AK172" s="1070"/>
      <c r="AL172" s="1070"/>
      <c r="AM172" s="1070"/>
      <c r="AN172" s="1070"/>
      <c r="AO172" s="1149"/>
      <c r="AP172" s="1142"/>
      <c r="AQ172" s="1142"/>
      <c r="AR172" s="1142"/>
      <c r="AS172" s="1142"/>
      <c r="AT172" s="1142"/>
      <c r="AU172" s="1142"/>
      <c r="AV172" s="1142"/>
      <c r="AW172" s="1142"/>
      <c r="AX172" s="1142"/>
      <c r="AY172" s="1142"/>
      <c r="AZ172" s="1142"/>
      <c r="BA172" s="1142"/>
      <c r="BB172" s="1142"/>
      <c r="BC172" s="1437"/>
      <c r="BD172" s="1070"/>
      <c r="BE172" s="1070"/>
      <c r="BF172" s="1070"/>
      <c r="BG172" s="1070"/>
      <c r="BH172" s="1070"/>
      <c r="BI172" s="1070"/>
      <c r="BJ172" s="1070"/>
      <c r="BK172" s="1070"/>
      <c r="BL172" s="1070"/>
      <c r="BM172" s="1070"/>
      <c r="BN172" s="1070"/>
      <c r="BO172" s="1070"/>
      <c r="BP172" s="1070"/>
      <c r="BQ172" s="1070"/>
      <c r="BR172" s="1070"/>
      <c r="BS172" s="1070"/>
      <c r="BT172" s="1070"/>
      <c r="BU172" s="1070"/>
      <c r="BV172" s="1070"/>
      <c r="BW172" s="1070"/>
    </row>
    <row r="173" spans="1:75" x14ac:dyDescent="0.3">
      <c r="A173" s="1437"/>
      <c r="B173" s="1149"/>
      <c r="C173" s="1142"/>
      <c r="D173" s="1115"/>
      <c r="E173" s="1116"/>
      <c r="F173" s="3373" t="s">
        <v>1686</v>
      </c>
      <c r="G173" s="3374"/>
      <c r="H173" s="3374"/>
      <c r="I173" s="3374"/>
      <c r="J173" s="3375"/>
      <c r="K173" s="3376" t="s">
        <v>1687</v>
      </c>
      <c r="L173" s="3377"/>
      <c r="M173" s="3377"/>
      <c r="N173" s="3377"/>
      <c r="O173" s="3377"/>
      <c r="P173" s="1437"/>
      <c r="Q173" s="1070"/>
      <c r="R173" s="1207"/>
      <c r="S173" s="1115"/>
      <c r="T173" s="1116"/>
      <c r="U173" s="3378"/>
      <c r="V173" s="3378"/>
      <c r="W173" s="3378"/>
      <c r="X173" s="3378"/>
      <c r="Y173" s="3378"/>
      <c r="Z173" s="3378"/>
      <c r="AA173" s="3378"/>
      <c r="AB173" s="3378"/>
      <c r="AC173" s="3378"/>
      <c r="AD173" s="3378"/>
      <c r="AE173" s="1437"/>
      <c r="AF173" s="1070"/>
      <c r="AG173" s="1070"/>
      <c r="AH173" s="1070"/>
      <c r="AI173" s="1070"/>
      <c r="AJ173" s="1070"/>
      <c r="AK173" s="1070"/>
      <c r="AL173" s="1070"/>
      <c r="AM173" s="1070"/>
      <c r="AN173" s="1070"/>
      <c r="AO173" s="1149"/>
      <c r="AP173" s="1142"/>
      <c r="AQ173" s="1142"/>
      <c r="AR173" s="1142"/>
      <c r="AS173" s="1142"/>
      <c r="AT173" s="1142"/>
      <c r="AU173" s="1142"/>
      <c r="AV173" s="1142"/>
      <c r="AW173" s="1142"/>
      <c r="AX173" s="1142"/>
      <c r="AY173" s="1142"/>
      <c r="AZ173" s="1142"/>
      <c r="BA173" s="1142"/>
      <c r="BB173" s="1142"/>
      <c r="BC173" s="1437"/>
      <c r="BD173" s="1070"/>
      <c r="BE173" s="1070"/>
      <c r="BF173" s="1070"/>
      <c r="BG173" s="1070"/>
      <c r="BH173" s="1070"/>
      <c r="BI173" s="1070"/>
      <c r="BJ173" s="1070"/>
      <c r="BK173" s="1070"/>
      <c r="BL173" s="1070"/>
      <c r="BM173" s="1070"/>
      <c r="BN173" s="1070"/>
      <c r="BO173" s="1070"/>
      <c r="BP173" s="1070"/>
      <c r="BQ173" s="1070"/>
      <c r="BR173" s="1070"/>
      <c r="BS173" s="1070"/>
      <c r="BT173" s="1070"/>
      <c r="BU173" s="1070"/>
      <c r="BV173" s="1070"/>
      <c r="BW173" s="1070"/>
    </row>
    <row r="174" spans="1:75" ht="30" customHeight="1" x14ac:dyDescent="0.3">
      <c r="A174" s="1437"/>
      <c r="B174" s="1149"/>
      <c r="C174" s="1142"/>
      <c r="D174" s="1142"/>
      <c r="E174" s="1142"/>
      <c r="F174" s="1407" t="s">
        <v>1688</v>
      </c>
      <c r="G174" s="3386" t="e">
        <f>Comp&amp;" + 9Y"&amp;" (FY"&amp;DefExitFY&amp;"-FY"&amp;DefExitFY+9&amp;")"</f>
        <v>#VALUE!</v>
      </c>
      <c r="H174" s="3387"/>
      <c r="I174" s="2719" t="s">
        <v>1689</v>
      </c>
      <c r="J174" s="1408" t="s">
        <v>1690</v>
      </c>
      <c r="K174" s="2720" t="s">
        <v>1691</v>
      </c>
      <c r="L174" s="3386" t="e">
        <f>Comp&amp;" + 14Y"&amp;" (FY"&amp;DefExitFY&amp;"-FY"&amp;DefExitFY+14&amp;")"</f>
        <v>#VALUE!</v>
      </c>
      <c r="M174" s="3387"/>
      <c r="N174" s="2719" t="s">
        <v>1692</v>
      </c>
      <c r="O174" s="2721" t="s">
        <v>1693</v>
      </c>
      <c r="P174" s="1437"/>
      <c r="Q174" s="1070"/>
      <c r="R174" s="1297"/>
      <c r="S174" s="1397"/>
      <c r="T174" s="1300"/>
      <c r="U174" s="1300"/>
      <c r="V174" s="1300"/>
      <c r="W174" s="1300"/>
      <c r="X174" s="1300"/>
      <c r="Y174" s="1300"/>
      <c r="Z174" s="1300"/>
      <c r="AA174" s="3388" t="s">
        <v>1694</v>
      </c>
      <c r="AB174" s="3389"/>
      <c r="AC174" s="3392" t="s">
        <v>726</v>
      </c>
      <c r="AD174" s="3379" t="s">
        <v>1695</v>
      </c>
      <c r="AE174" s="3380"/>
      <c r="AF174" s="1070"/>
      <c r="AG174" s="1070"/>
      <c r="AH174" s="1070"/>
      <c r="AI174" s="1070"/>
      <c r="AJ174" s="1070"/>
      <c r="AK174" s="1070"/>
      <c r="AL174" s="1070"/>
      <c r="AM174" s="1070"/>
      <c r="AN174" s="1070"/>
      <c r="AO174" s="1301"/>
      <c r="AP174" s="1300"/>
      <c r="AQ174" s="1300"/>
      <c r="AR174" s="1488"/>
      <c r="AS174" s="1488"/>
      <c r="AT174" s="1488"/>
      <c r="AU174" s="1488"/>
      <c r="AV174" s="1488"/>
      <c r="AW174" s="1488"/>
      <c r="AX174" s="1300"/>
      <c r="AY174" s="3388" t="s">
        <v>1694</v>
      </c>
      <c r="AZ174" s="3389"/>
      <c r="BA174" s="3392" t="s">
        <v>726</v>
      </c>
      <c r="BB174" s="3379" t="s">
        <v>1695</v>
      </c>
      <c r="BC174" s="3380"/>
      <c r="BD174" s="1070"/>
      <c r="BE174" s="1070"/>
      <c r="BF174" s="1070"/>
      <c r="BG174" s="1070"/>
      <c r="BH174" s="1070"/>
      <c r="BI174" s="1070"/>
      <c r="BJ174" s="1070"/>
      <c r="BK174" s="1070"/>
      <c r="BL174" s="1070"/>
      <c r="BM174" s="1070"/>
      <c r="BN174" s="1070"/>
      <c r="BO174" s="1070"/>
      <c r="BP174" s="1070"/>
      <c r="BQ174" s="1070"/>
      <c r="BR174" s="1070"/>
      <c r="BS174" s="1070"/>
      <c r="BT174" s="1070"/>
      <c r="BU174" s="1070"/>
      <c r="BV174" s="1070"/>
      <c r="BW174" s="1070"/>
    </row>
    <row r="175" spans="1:75" ht="18" x14ac:dyDescent="0.3">
      <c r="A175" s="1437"/>
      <c r="B175" s="1149"/>
      <c r="C175" s="1142"/>
      <c r="D175" s="1142"/>
      <c r="E175" s="1142"/>
      <c r="F175" s="1407" t="str">
        <f>"FY"&amp;ProjStartFY&amp;"-FY"&amp;ProjStartFY+9</f>
        <v>FY18-FY27</v>
      </c>
      <c r="G175" s="1408" t="s">
        <v>1602</v>
      </c>
      <c r="H175" s="1408" t="s">
        <v>1495</v>
      </c>
      <c r="I175" s="2719" t="str">
        <f>"FY"&amp;CurrentFY&amp;"-FY"&amp;CurrentFY+9</f>
        <v>FY18-FY27</v>
      </c>
      <c r="J175" s="2722" t="e">
        <f>"FY"&amp;ASRFY&amp;"-FY"&amp;ASRFY+9</f>
        <v>#VALUE!</v>
      </c>
      <c r="K175" s="2720" t="str">
        <f>"FY"&amp;ProjStartFY&amp;"-FY"&amp;ProjStartFY+14</f>
        <v>FY18-FY32</v>
      </c>
      <c r="L175" s="1408" t="s">
        <v>1602</v>
      </c>
      <c r="M175" s="1408" t="s">
        <v>1495</v>
      </c>
      <c r="N175" s="2722" t="str">
        <f>"FY"&amp;CurrentFY&amp;"-FY"&amp;CurrentFY+14</f>
        <v>FY18-FY32</v>
      </c>
      <c r="O175" s="2723" t="e">
        <f>"FY"&amp;ASRFY&amp;"-FY"&amp;ASRFY+14</f>
        <v>#VALUE!</v>
      </c>
      <c r="P175" s="1437"/>
      <c r="Q175" s="1070"/>
      <c r="R175" s="1297"/>
      <c r="S175" s="1371"/>
      <c r="T175" s="3381" t="s">
        <v>1359</v>
      </c>
      <c r="U175" s="3382"/>
      <c r="V175" s="3381" t="s">
        <v>1696</v>
      </c>
      <c r="W175" s="3383"/>
      <c r="X175" s="3383"/>
      <c r="Y175" s="3382"/>
      <c r="Z175" s="1300"/>
      <c r="AA175" s="3390"/>
      <c r="AB175" s="3391"/>
      <c r="AC175" s="3393"/>
      <c r="AD175" s="2724" t="s">
        <v>1697</v>
      </c>
      <c r="AE175" s="2724" t="s">
        <v>1698</v>
      </c>
      <c r="AF175" s="1070"/>
      <c r="AG175" s="1070"/>
      <c r="AH175" s="1070"/>
      <c r="AI175" s="1070"/>
      <c r="AJ175" s="1070"/>
      <c r="AK175" s="1070"/>
      <c r="AL175" s="1070"/>
      <c r="AM175" s="1070"/>
      <c r="AN175" s="1070"/>
      <c r="AO175" s="2575"/>
      <c r="AP175" s="1344"/>
      <c r="AQ175" s="1344"/>
      <c r="AR175" s="2725" t="s">
        <v>1359</v>
      </c>
      <c r="AS175" s="2726"/>
      <c r="AT175" s="2725" t="s">
        <v>1696</v>
      </c>
      <c r="AU175" s="2727"/>
      <c r="AV175" s="2728"/>
      <c r="AW175" s="2726"/>
      <c r="AX175" s="1486"/>
      <c r="AY175" s="3390"/>
      <c r="AZ175" s="3391"/>
      <c r="BA175" s="3393"/>
      <c r="BB175" s="2724" t="s">
        <v>1697</v>
      </c>
      <c r="BC175" s="2724" t="s">
        <v>1698</v>
      </c>
      <c r="BD175" s="1070"/>
      <c r="BE175" s="1070"/>
      <c r="BF175" s="1070"/>
      <c r="BG175" s="1070"/>
      <c r="BH175" s="1070"/>
      <c r="BI175" s="1070"/>
      <c r="BJ175" s="1070"/>
      <c r="BK175" s="1070"/>
      <c r="BL175" s="1070"/>
      <c r="BM175" s="1070"/>
      <c r="BN175" s="1070"/>
      <c r="BO175" s="1070"/>
      <c r="BP175" s="1070"/>
      <c r="BQ175" s="1070"/>
      <c r="BR175" s="1070"/>
      <c r="BS175" s="1070"/>
      <c r="BT175" s="1070"/>
      <c r="BU175" s="1070"/>
    </row>
    <row r="176" spans="1:75" ht="18" x14ac:dyDescent="0.3">
      <c r="A176" s="1437"/>
      <c r="B176" s="1207"/>
      <c r="C176" s="1422" t="s">
        <v>794</v>
      </c>
      <c r="D176" s="1218"/>
      <c r="E176" s="1412"/>
      <c r="F176" s="2729">
        <f>IFERROR(VLOOKUP(ProjStartFY,Calc!$F$196:$H$208,2,0),"NA")</f>
        <v>0.2026446052778943</v>
      </c>
      <c r="G176" s="2730" t="e">
        <f>IF(Input!$F$48&lt;DefExitFY,"NA",IFERROR(VLOOKUP(DefExitFY,Calc!$AQ$196:$AS$208,2,0),"NA"))</f>
        <v>#VALUE!</v>
      </c>
      <c r="H176" s="2731" t="e">
        <f>IF(Input!$F$48&lt;DefExitFY,"NA",IFERROR(VLOOKUP(DefExitFY,Calc!$F$196:$H$208,2,0),"NA"))</f>
        <v>#VALUE!</v>
      </c>
      <c r="I176" s="2732">
        <f>IFERROR(VLOOKUP(CurrentFY,Calc!$F$196:$H$208,2,0),"NA")</f>
        <v>0.2026446052778943</v>
      </c>
      <c r="J176" s="2733" t="str">
        <f>IFERROR(VLOOKUP(ASRFY,Calc!$F$196:$H$208,2,0),"NA")</f>
        <v>NA</v>
      </c>
      <c r="K176" s="2734">
        <f>IFERROR(VLOOKUP(ProjStartFY,Calc!$F$196:$H$208,3,0),"NA")</f>
        <v>0.26443581159256935</v>
      </c>
      <c r="L176" s="2735" t="e">
        <f>IF(CurrentFY&lt;DefExitFY,"NA",IFERROR(VLOOKUP(DefExitFY,Calc!$AQ$196:$AS$208,3,0),"NA"))</f>
        <v>#VALUE!</v>
      </c>
      <c r="M176" s="2736" t="e">
        <f>IF(CurrentFY&lt;DefExitFY,"NA",IFERROR(VLOOKUP(DefExitFY,Calc!$F$196:$H$208,3,0),"NA"))</f>
        <v>#VALUE!</v>
      </c>
      <c r="N176" s="2737">
        <f>IFERROR(VLOOKUP(CurrentFY,Calc!$F$196:$H$208,3,0),"NA")</f>
        <v>0.26443581159256935</v>
      </c>
      <c r="O176" s="2738" t="str">
        <f>IFERROR(VLOOKUP(ASRFY,Calc!$F$196:$H$208,3,0),"NA")</f>
        <v>NA</v>
      </c>
      <c r="P176" s="1437"/>
      <c r="Q176" s="1070"/>
      <c r="R176" s="2739" t="str">
        <f>"As of Project Start FY"</f>
        <v>As of Project Start FY</v>
      </c>
      <c r="S176" s="1481"/>
      <c r="T176" s="2010" t="str">
        <f>"at FY"&amp;ProjStartFY+9</f>
        <v>at FY27</v>
      </c>
      <c r="U176" s="2740">
        <f>HLOOKUP(ProjStartFY+9,Calc!$G$231:$AI$233,3,0)*(1+GrowthR)/(DiscR-GrowthR)</f>
        <v>475116.11886769469</v>
      </c>
      <c r="V176" s="2575" t="str">
        <f>"at FY"&amp;ProjStartFY+9</f>
        <v>at FY27</v>
      </c>
      <c r="W176" s="2740">
        <f>IF(HLOOKUP(ProjStartFY+9,$G$231:$AI$237,7,0)&lt;0,0,HLOOKUP(ProjStartFY+9,$G$231:$AI$237,7,0))</f>
        <v>0</v>
      </c>
      <c r="X176" s="2741" t="str">
        <f>"at FY"&amp;ProjStartFY+14</f>
        <v>at FY32</v>
      </c>
      <c r="Y176" s="2742">
        <f>IF(HLOOKUP(ProjStartFY+14,$G$231:$AI$237,7,0)&lt;0,0,HLOOKUP(ProjStartFY+14,$G$231:$AI$237,7,0))</f>
        <v>0</v>
      </c>
      <c r="Z176" s="1486"/>
      <c r="AA176" s="2743" t="str">
        <f>"Project Start FY (FY"&amp;ProjStartFY&amp;")"</f>
        <v>Project Start FY (FY18)</v>
      </c>
      <c r="AB176" s="2744"/>
      <c r="AC176" s="2745">
        <f>U176/((1+DiscR)^9)</f>
        <v>135057.65394848349</v>
      </c>
      <c r="AD176" s="2746">
        <f>W176/((1+DiscR)^9)</f>
        <v>0</v>
      </c>
      <c r="AE176" s="2747">
        <f>Y176/((1+DiscR)^14)</f>
        <v>0</v>
      </c>
      <c r="AF176" s="1070"/>
      <c r="AG176" s="1070"/>
      <c r="AH176" s="1070"/>
      <c r="AI176" s="1070"/>
      <c r="AJ176" s="1070"/>
      <c r="AK176" s="1070"/>
      <c r="AL176" s="1070"/>
      <c r="AM176" s="1070"/>
      <c r="AN176" s="1070"/>
      <c r="AO176" s="2748" t="str">
        <f>"As of Def Exit FY"</f>
        <v>As of Def Exit FY</v>
      </c>
      <c r="AP176" s="2749"/>
      <c r="AQ176" s="2750"/>
      <c r="AR176" s="2751" t="e">
        <f>"at FY"&amp;DefExitFY+9</f>
        <v>#VALUE!</v>
      </c>
      <c r="AS176" s="2752" t="e">
        <f>HLOOKUP(DefExitFY+9,Calc!$AQ$231:$BS$233,3,0)*(1+GrowthR)/(DiscRDE-GrowthR)</f>
        <v>#VALUE!</v>
      </c>
      <c r="AT176" s="2751" t="e">
        <f>"at FY"&amp;DefExitFY+9</f>
        <v>#VALUE!</v>
      </c>
      <c r="AU176" s="2753" t="e">
        <f>IF(HLOOKUP(DefExitFY+9,$AQ$231:$BS$237,7,0)&lt;0,0,HLOOKUP(DefExitFY+9,$AQ$231:$BS$237,7,0))</f>
        <v>#VALUE!</v>
      </c>
      <c r="AV176" s="2749" t="e">
        <f>"at FY"&amp;DefExitFY+14</f>
        <v>#VALUE!</v>
      </c>
      <c r="AW176" s="2752" t="e">
        <f>IF(HLOOKUP(DefExitFY+14,$AQ$231:$BS$237,7,0)&lt;0,0,HLOOKUP(DefExitFY+14,$AQ$231:$BS$237,7,0))</f>
        <v>#VALUE!</v>
      </c>
      <c r="AX176" s="1486"/>
      <c r="AY176" s="2754" t="e">
        <f>"Def Exit FY (FY"&amp;DefExitFY&amp;")"</f>
        <v>#VALUE!</v>
      </c>
      <c r="AZ176" s="2755"/>
      <c r="BA176" s="2756" t="e">
        <f>AS176/((1+DiscRDE)^9)</f>
        <v>#VALUE!</v>
      </c>
      <c r="BB176" s="2757" t="e">
        <f>AU176/((1+DiscRDE)^9)</f>
        <v>#VALUE!</v>
      </c>
      <c r="BC176" s="2758" t="e">
        <f>AW176/((1+DiscRDE)^14)</f>
        <v>#VALUE!</v>
      </c>
      <c r="BD176" s="1070"/>
      <c r="BE176" s="1070"/>
      <c r="BF176" s="1070"/>
      <c r="BG176" s="1070"/>
      <c r="BH176" s="1070"/>
      <c r="BI176" s="1070"/>
      <c r="BJ176" s="1070"/>
      <c r="BK176" s="1070"/>
      <c r="BL176" s="1070"/>
      <c r="BM176" s="1070"/>
      <c r="BN176" s="1070"/>
      <c r="BO176" s="1070"/>
      <c r="BP176" s="1070"/>
      <c r="BQ176" s="1070"/>
      <c r="BR176" s="1070"/>
      <c r="BS176" s="1070"/>
      <c r="BT176" s="1070"/>
      <c r="BU176" s="1070"/>
    </row>
    <row r="177" spans="1:75" ht="18" x14ac:dyDescent="0.3">
      <c r="A177" s="1437"/>
      <c r="B177" s="1207"/>
      <c r="C177" s="1543" t="s">
        <v>725</v>
      </c>
      <c r="D177" s="1116"/>
      <c r="E177" s="1477"/>
      <c r="F177" s="2759">
        <f>IFERROR(VLOOKUP(ProjStartFY,Calc!$N$196:$P$208,2,0),"NA")</f>
        <v>21754.779690810261</v>
      </c>
      <c r="G177" s="2760" t="e">
        <f>IF(Input!$F$48&lt;DefExitFY,"NA",IFERROR(VLOOKUP(DefExitFY,Calc!$AY$196:$BA$208,2,0),"NA"))</f>
        <v>#VALUE!</v>
      </c>
      <c r="H177" s="2761" t="e">
        <f>IF(Input!$F$48&lt;DefExitFY,"NA",IFERROR(VLOOKUP(DefExitFY,Calc!$N$213:$P$225,2,0),"NA"))</f>
        <v>#VALUE!</v>
      </c>
      <c r="I177" s="2762">
        <f>IFERROR(VLOOKUP(CurrentFY,Calc!$N$196:$P$208,2,0),"NA")</f>
        <v>21754.779690810261</v>
      </c>
      <c r="J177" s="2763" t="str">
        <f>IFERROR(VLOOKUP(ASRFY,Calc!$N$196:$P$208,2,0),"NA")</f>
        <v>NA</v>
      </c>
      <c r="K177" s="1577">
        <f>IFERROR(VLOOKUP(ProjStartFY,Calc!$N$196:$P$208,3,0),"NA")</f>
        <v>101683.22203437473</v>
      </c>
      <c r="L177" s="1574" t="e">
        <f>IF(CurrentFY&lt;DefExitFY,"NA",IFERROR(VLOOKUP(DefExitFY,Calc!$AY$196:$BA$208,3,0),"NA"))</f>
        <v>#VALUE!</v>
      </c>
      <c r="M177" s="2764" t="e">
        <f>IF(CurrentFY&lt;DefExitFY,"NA",IFERROR(VLOOKUP(DefExitFY,Calc!$N$213:$P$225,3,0),"NA"))</f>
        <v>#VALUE!</v>
      </c>
      <c r="N177" s="1556">
        <f>IFERROR(VLOOKUP(CurrentFY,Calc!$N$196:$P$208,3,0),"NA")</f>
        <v>101683.22203437473</v>
      </c>
      <c r="O177" s="2765" t="str">
        <f>IFERROR(VLOOKUP(ASRFY,Calc!$N$196:$P$208,3,0),"NA")</f>
        <v>NA</v>
      </c>
      <c r="P177" s="1437"/>
      <c r="Q177" s="1070"/>
      <c r="R177" s="2766" t="str">
        <f>"As of "&amp;Comp&amp;" FY"</f>
        <v>As of Def Exit FY</v>
      </c>
      <c r="S177" s="1397"/>
      <c r="T177" s="2010" t="e">
        <f>"at FY"&amp;DefExitFY+9</f>
        <v>#VALUE!</v>
      </c>
      <c r="U177" s="2740" t="e">
        <f>HLOOKUP(DefExitFY+9,Calc!$G$231:$AI$233,3,0)*(1+GrowthR)/(DiscR-GrowthR)</f>
        <v>#VALUE!</v>
      </c>
      <c r="V177" s="2575" t="e">
        <f>"at FY"&amp;DefExitFY+9</f>
        <v>#VALUE!</v>
      </c>
      <c r="W177" s="2740" t="e">
        <f>IF(HLOOKUP(DefExitFY+9,$G$231:$AI$237,7,0)&lt;0,0,HLOOKUP(DefExitFY+9,$G$231:$AI$237,7,0))</f>
        <v>#VALUE!</v>
      </c>
      <c r="X177" s="2741" t="e">
        <f>"at FY"&amp;DefExitFY+14</f>
        <v>#VALUE!</v>
      </c>
      <c r="Y177" s="2742" t="e">
        <f>IF(HLOOKUP(DefExitFY+14,$G$231:$AI$237,7,0)&lt;0,0,HLOOKUP(DefExitFY+14,$G$231:$AI$237,7,0))</f>
        <v>#VALUE!</v>
      </c>
      <c r="Z177" s="1486"/>
      <c r="AA177" s="2767" t="e">
        <f>"Def Exit FY (FY"&amp;DefExitFY&amp;")"</f>
        <v>#VALUE!</v>
      </c>
      <c r="AB177" s="2768"/>
      <c r="AC177" s="2769" t="e">
        <f>U177/((1+DiscRDE)^9)</f>
        <v>#VALUE!</v>
      </c>
      <c r="AD177" s="1999" t="e">
        <f>W177/((1+DiscRDE)^9)</f>
        <v>#VALUE!</v>
      </c>
      <c r="AE177" s="2770" t="e">
        <f>Y177/((1+DiscRDE)^14)</f>
        <v>#VALUE!</v>
      </c>
      <c r="AF177" s="1070"/>
      <c r="AG177" s="1070"/>
      <c r="AH177" s="1070"/>
      <c r="AI177" s="1070"/>
      <c r="AJ177" s="1070"/>
      <c r="AK177" s="1070"/>
      <c r="AL177" s="1070"/>
      <c r="AM177" s="1070"/>
      <c r="AN177" s="1070"/>
      <c r="AO177" s="2771"/>
      <c r="AP177" s="1486"/>
      <c r="AQ177" s="1486"/>
      <c r="AR177" s="1486"/>
      <c r="AS177" s="1555"/>
      <c r="AT177" s="1486"/>
      <c r="AU177" s="1555"/>
      <c r="AV177" s="1486"/>
      <c r="AW177" s="1555"/>
      <c r="AX177" s="1486"/>
      <c r="AY177" s="1486"/>
      <c r="AZ177" s="1486"/>
      <c r="BA177" s="1555"/>
      <c r="BB177" s="1555"/>
      <c r="BC177" s="2772"/>
      <c r="BD177" s="1070"/>
      <c r="BE177" s="1070"/>
      <c r="BF177" s="1070"/>
      <c r="BG177" s="1070"/>
      <c r="BH177" s="1070"/>
      <c r="BI177" s="1070"/>
      <c r="BJ177" s="1070"/>
      <c r="BK177" s="1070"/>
      <c r="BL177" s="1070"/>
      <c r="BM177" s="1070"/>
      <c r="BN177" s="1070"/>
      <c r="BO177" s="1070"/>
      <c r="BP177" s="1070"/>
      <c r="BQ177" s="1070"/>
      <c r="BR177" s="1070"/>
      <c r="BS177" s="1070"/>
      <c r="BT177" s="1070"/>
      <c r="BU177" s="1070"/>
    </row>
    <row r="178" spans="1:75" ht="18" x14ac:dyDescent="0.3">
      <c r="A178" s="1437"/>
      <c r="B178" s="1207"/>
      <c r="C178" s="1543" t="s">
        <v>31</v>
      </c>
      <c r="D178" s="1116"/>
      <c r="E178" s="1477"/>
      <c r="F178" s="2773">
        <f>IFERROR(VLOOKUP(ProjStartFY,Calc!$V$196:$X$208,2,0),"NA")</f>
        <v>0.2881407355329082</v>
      </c>
      <c r="G178" s="2774" t="e">
        <f>IF(Input!$F$48&lt;DefExitFY,"NA",IFERROR(VLOOKUP(DefExitFY,Calc!$BG$196:$BI$208,2,0),"NA"))</f>
        <v>#VALUE!</v>
      </c>
      <c r="H178" s="2775" t="e">
        <f>IF(Input!$F$48&lt;DefExitFY,"NA",IFERROR(VLOOKUP(DefExitFY,Calc!$V$196:$X$208,2,0),"NA"))</f>
        <v>#VALUE!</v>
      </c>
      <c r="I178" s="2776">
        <f>IFERROR(VLOOKUP(CurrentFY,Calc!$V$196:$X$208,2,0),"NA")</f>
        <v>0.2881407355329082</v>
      </c>
      <c r="J178" s="2777" t="str">
        <f>IFERROR(VLOOKUP(ASRFY,Calc!$V$196:$X$208,2,0),"NA")</f>
        <v>NA</v>
      </c>
      <c r="K178" s="2778">
        <f>IFERROR(VLOOKUP(ProjStartFY,Calc!$V$196:$X$208,3,0),"NA")</f>
        <v>0.42231168354147464</v>
      </c>
      <c r="L178" s="2779" t="e">
        <f>IF(CurrentFY&lt;DefExitFY,"NA",IFERROR(VLOOKUP(DefExitFY,Calc!$BG$196:$BI$208,3,0),"NA"))</f>
        <v>#VALUE!</v>
      </c>
      <c r="M178" s="2780" t="e">
        <f>IF(CurrentFY&lt;DefExitFY,"NA",IFERROR(VLOOKUP(DefExitFY,Calc!$V$196:$X$208,3,0),"NA"))</f>
        <v>#VALUE!</v>
      </c>
      <c r="N178" s="1212">
        <f>IFERROR(VLOOKUP(CurrentFY,Calc!$V$196:$X$208,3,0),"NA")</f>
        <v>0.42231168354147464</v>
      </c>
      <c r="O178" s="2781" t="str">
        <f>IFERROR(VLOOKUP(ASRFY,Calc!$V$196:$X$208,3,0),"NA")</f>
        <v>NA</v>
      </c>
      <c r="P178" s="1437"/>
      <c r="Q178" s="1070"/>
      <c r="R178" s="2766" t="str">
        <f>"As of Current FY"</f>
        <v>As of Current FY</v>
      </c>
      <c r="S178" s="1397"/>
      <c r="T178" s="2010" t="str">
        <f>"at FY"&amp;CurrentFY+9</f>
        <v>at FY27</v>
      </c>
      <c r="U178" s="2740">
        <f>HLOOKUP(CurrentFY+9,Calc!$G$231:$AI$233,3,0)*(1+GrowthR)/(DiscR-GrowthR)</f>
        <v>475116.11886769469</v>
      </c>
      <c r="V178" s="2575" t="str">
        <f>"at FY"&amp;CurrentFY+9</f>
        <v>at FY27</v>
      </c>
      <c r="W178" s="2740">
        <f>IF(HLOOKUP(CurrentFY+9,$G$231:$AI$237,7,0)&lt;0,0,HLOOKUP(CurrentFY+9,$G$231:$AI$237,7,0))</f>
        <v>0</v>
      </c>
      <c r="X178" s="2741" t="str">
        <f>"at FY"&amp;CurrentFY+14</f>
        <v>at FY32</v>
      </c>
      <c r="Y178" s="2742">
        <f>IF(HLOOKUP(CurrentFY+14,$G$231:$AI$237,7,0)&lt;0,0,HLOOKUP(CurrentFY+14,$G$231:$AI$237,7,0))</f>
        <v>0</v>
      </c>
      <c r="Z178" s="1486"/>
      <c r="AA178" s="2782" t="str">
        <f>"Current FY (FY"&amp;CurrentFY&amp;")"</f>
        <v>Current FY (FY18)</v>
      </c>
      <c r="AB178" s="1489"/>
      <c r="AC178" s="2783">
        <f>U178/((1+DiscR)^9)</f>
        <v>135057.65394848349</v>
      </c>
      <c r="AD178" s="2784">
        <f>W178/((1+DiscR)^9)</f>
        <v>0</v>
      </c>
      <c r="AE178" s="2785">
        <f>Y178/((1+DiscR)^14)</f>
        <v>0</v>
      </c>
      <c r="AF178" s="1070"/>
      <c r="AG178" s="1070"/>
      <c r="AH178" s="1070"/>
      <c r="AI178" s="1070"/>
      <c r="AJ178" s="1070"/>
      <c r="AK178" s="1070"/>
      <c r="AL178" s="1070"/>
      <c r="AM178" s="1070"/>
      <c r="AN178" s="1070"/>
      <c r="AO178" s="2771"/>
      <c r="AP178" s="1486"/>
      <c r="AQ178" s="1486"/>
      <c r="AR178" s="1486"/>
      <c r="AS178" s="1116"/>
      <c r="AT178" s="1486"/>
      <c r="AU178" s="1116"/>
      <c r="AV178" s="1486"/>
      <c r="AW178" s="1116"/>
      <c r="AX178" s="1486"/>
      <c r="AY178" s="1486"/>
      <c r="AZ178" s="1486"/>
      <c r="BA178" s="1116"/>
      <c r="BB178" s="1116"/>
      <c r="BC178" s="1477"/>
      <c r="BD178" s="1070"/>
      <c r="BE178" s="1070"/>
      <c r="BF178" s="1070"/>
      <c r="BG178" s="1070"/>
      <c r="BH178" s="1070"/>
      <c r="BI178" s="1070"/>
      <c r="BJ178" s="1070"/>
      <c r="BK178" s="1070"/>
      <c r="BL178" s="1070"/>
      <c r="BM178" s="1070"/>
      <c r="BN178" s="1070"/>
      <c r="BO178" s="1070"/>
      <c r="BP178" s="1070"/>
      <c r="BQ178" s="1070"/>
      <c r="BR178" s="1070"/>
      <c r="BS178" s="1070"/>
      <c r="BT178" s="1070"/>
      <c r="BU178" s="1070"/>
    </row>
    <row r="179" spans="1:75" ht="18" x14ac:dyDescent="0.3">
      <c r="A179" s="1437"/>
      <c r="B179" s="1207"/>
      <c r="C179" s="1543" t="s">
        <v>1699</v>
      </c>
      <c r="D179" s="1116"/>
      <c r="E179" s="1477"/>
      <c r="F179" s="2773">
        <f>IFERROR(VLOOKUP(ProjStartFY,Calc!$F$213:$H$225,2,0),"NA")</f>
        <v>6.999354029413654</v>
      </c>
      <c r="G179" s="2779" t="e">
        <f>IF(Input!$F$48&lt;DefExitFY,"NA",IFERROR(VLOOKUP(DefExitFY,Calc!$AQ$213:$AS$225,2,0),"NA"))</f>
        <v>#VALUE!</v>
      </c>
      <c r="H179" s="2780" t="e">
        <f>IF(Input!$F$48&lt;DefExitFY,"NA",IFERROR(VLOOKUP(DefExitFY,Calc!$F$213:$H$225,2,0),"NA"))</f>
        <v>#VALUE!</v>
      </c>
      <c r="I179" s="1212">
        <f>IFERROR(VLOOKUP(CurrentFY,Calc!$F$213:$H$225,2,0),"NA")</f>
        <v>6.999354029413654</v>
      </c>
      <c r="J179" s="2781" t="str">
        <f>IFERROR(VLOOKUP(ASRFY,Calc!$F$213:$H$225,2,0),"NA")</f>
        <v>NA</v>
      </c>
      <c r="K179" s="2778">
        <f>IFERROR(VLOOKUP(ProjStartFY,Calc!$F$213:$H$225,3,0),"NA")</f>
        <v>28.329794387132377</v>
      </c>
      <c r="L179" s="2779" t="e">
        <f>IF(CurrentFY&lt;DefExitFY,"NA",IFERROR(VLOOKUP(DefExitFY,Calc!$AQ$213:$AS$225,3,0),"NA"))</f>
        <v>#VALUE!</v>
      </c>
      <c r="M179" s="2780" t="e">
        <f>IF(CurrentFY&lt;DefExitFY,"NA",IFERROR(VLOOKUP(DefExitFY,Calc!$F$213:$H$225,3,0),"NA"))</f>
        <v>#VALUE!</v>
      </c>
      <c r="N179" s="1212">
        <f>IFERROR(VLOOKUP(CurrentFY,Calc!$F$213:$H$225,3,0),"NA")</f>
        <v>28.329794387132377</v>
      </c>
      <c r="O179" s="2781" t="str">
        <f>IFERROR(VLOOKUP(ASRFY,Calc!$F$213:$H$225,3,0),"NA")</f>
        <v>NA</v>
      </c>
      <c r="P179" s="1437"/>
      <c r="Q179" s="1070"/>
      <c r="R179" s="2786" t="str">
        <f>"As of ASR FY"</f>
        <v>As of ASR FY</v>
      </c>
      <c r="S179" s="2787"/>
      <c r="T179" s="2788" t="e">
        <f>"at FY"&amp;ASRFY+9</f>
        <v>#VALUE!</v>
      </c>
      <c r="U179" s="1293" t="e">
        <f>HLOOKUP(ASRFY+9,Calc!$G$231:$AI$233,3,0)*(1+GrowthR)/(DiscR-GrowthR)</f>
        <v>#VALUE!</v>
      </c>
      <c r="V179" s="2789" t="e">
        <f>"at FY"&amp;ASRFY+9</f>
        <v>#VALUE!</v>
      </c>
      <c r="W179" s="1293" t="e">
        <f>IF(HLOOKUP(ASRFY+9,$G$231:$AI$237,7,0)&lt;0,0,HLOOKUP(ASRFY+9,$G$231:$AI$237,7,0))</f>
        <v>#VALUE!</v>
      </c>
      <c r="X179" s="2790" t="e">
        <f>"at FY"&amp;ASRFY+14</f>
        <v>#VALUE!</v>
      </c>
      <c r="Y179" s="2791" t="e">
        <f>IF(HLOOKUP(ASRFY+14,$G$231:$AI$237,7,0)&lt;0,0,HLOOKUP(ASRFY+14,$G$231:$AI$237,7,0))</f>
        <v>#VALUE!</v>
      </c>
      <c r="Z179" s="1486"/>
      <c r="AA179" s="2792" t="e">
        <f>"ASR FY (FY"&amp;ASRFY&amp;")"</f>
        <v>#VALUE!</v>
      </c>
      <c r="AB179" s="2793"/>
      <c r="AC179" s="2794" t="e">
        <f>U179/((1+DiscR)^9)</f>
        <v>#VALUE!</v>
      </c>
      <c r="AD179" s="2795" t="e">
        <f>W179/((1+DiscR)^9)</f>
        <v>#VALUE!</v>
      </c>
      <c r="AE179" s="2796" t="e">
        <f>Y179/((1+DiscR)^14)</f>
        <v>#VALUE!</v>
      </c>
      <c r="AF179" s="1070"/>
      <c r="AG179" s="1070"/>
      <c r="AH179" s="1070"/>
      <c r="AI179" s="1070"/>
      <c r="AJ179" s="1070"/>
      <c r="AK179" s="1070"/>
      <c r="AL179" s="1070"/>
      <c r="AM179" s="1070"/>
      <c r="AN179" s="1070"/>
      <c r="AO179" s="1149"/>
      <c r="AP179" s="1142"/>
      <c r="AQ179" s="1142"/>
      <c r="AR179" s="1142"/>
      <c r="AS179" s="1142"/>
      <c r="AT179" s="1142"/>
      <c r="AU179" s="1142"/>
      <c r="AV179" s="1142"/>
      <c r="AW179" s="1142"/>
      <c r="AX179" s="1142"/>
      <c r="AY179" s="1142"/>
      <c r="AZ179" s="1142"/>
      <c r="BA179" s="1142"/>
      <c r="BB179" s="1142"/>
      <c r="BC179" s="1437"/>
      <c r="BD179" s="1070"/>
      <c r="BE179" s="1070"/>
      <c r="BF179" s="1070"/>
      <c r="BG179" s="1070"/>
      <c r="BH179" s="1070"/>
      <c r="BI179" s="1070"/>
      <c r="BJ179" s="1070"/>
      <c r="BK179" s="1070"/>
      <c r="BL179" s="1070"/>
      <c r="BM179" s="1070"/>
      <c r="BN179" s="1070"/>
      <c r="BO179" s="1070"/>
      <c r="BP179" s="1070"/>
      <c r="BQ179" s="1070"/>
      <c r="BR179" s="1070"/>
      <c r="BS179" s="1070"/>
      <c r="BT179" s="1070"/>
      <c r="BU179" s="1070"/>
    </row>
    <row r="180" spans="1:75" x14ac:dyDescent="0.3">
      <c r="A180" s="1437"/>
      <c r="B180" s="1207"/>
      <c r="C180" s="1543" t="s">
        <v>1700</v>
      </c>
      <c r="D180" s="1116"/>
      <c r="E180" s="1477"/>
      <c r="F180" s="2773">
        <f>IFERROR(VLOOKUP(ProjStartFY,Calc!$J$213:$L$225,2,0),"NA")</f>
        <v>2.9944012267133724</v>
      </c>
      <c r="G180" s="2779" t="e">
        <f>IF(Input!$F$48&lt;DefExitFY,"NA",IFERROR(VLOOKUP(DefExitFY,Calc!$AU$213:$AW$225,2,0),"NA"))</f>
        <v>#VALUE!</v>
      </c>
      <c r="H180" s="2780" t="e">
        <f>IF(Input!$F$48&lt;DefExitFY,"NA",IFERROR(VLOOKUP(DefExitFY,Calc!$J$213:$L$225,2,0),"NA"))</f>
        <v>#VALUE!</v>
      </c>
      <c r="I180" s="1212">
        <f>IFERROR(VLOOKUP(CurrentFY,Calc!$J$213:$L$225,2,0),"NA")</f>
        <v>2.9944012267133724</v>
      </c>
      <c r="J180" s="2781" t="str">
        <f>IFERROR(VLOOKUP(ASRFY,Calc!$J$213:$L$225,2,0),"NA")</f>
        <v>NA</v>
      </c>
      <c r="K180" s="2797">
        <f>IFERROR(VLOOKUP(ProjStartFY,Calc!$J$213:$L$225,3,0),"NA")</f>
        <v>9.6401398588075651</v>
      </c>
      <c r="L180" s="2798" t="e">
        <f>IF(CurrentFY&lt;DefExitFY,"NA",IFERROR(VLOOKUP(DefExitFY,Calc!$AU$213:$AW$225,3,0),"NA"))</f>
        <v>#VALUE!</v>
      </c>
      <c r="M180" s="2799" t="e">
        <f>IF(CurrentFY&lt;DefExitFY,"NA",IFERROR(VLOOKUP(DefExitFY,Calc!$J$213:$L$225,3,0),"NA"))</f>
        <v>#VALUE!</v>
      </c>
      <c r="N180" s="2800">
        <f>IFERROR(VLOOKUP(CurrentFY,Calc!$J$213:$L$225,3,0),"NA")</f>
        <v>9.6401398588075651</v>
      </c>
      <c r="O180" s="2801" t="str">
        <f>IFERROR(VLOOKUP(ASRFY,Calc!$J$213:$L$225,3,0),"NA")</f>
        <v>NA</v>
      </c>
      <c r="P180" s="1437"/>
      <c r="Q180" s="1070"/>
      <c r="R180" s="1149"/>
      <c r="S180" s="1142"/>
      <c r="T180" s="1142"/>
      <c r="U180" s="1142"/>
      <c r="V180" s="1142"/>
      <c r="W180" s="1142"/>
      <c r="X180" s="1142"/>
      <c r="Y180" s="1142"/>
      <c r="Z180" s="1142"/>
      <c r="AA180" s="1142"/>
      <c r="AB180" s="1142"/>
      <c r="AC180" s="1142"/>
      <c r="AD180" s="1142"/>
      <c r="AE180" s="1437"/>
      <c r="AF180" s="1070"/>
      <c r="AG180" s="1070"/>
      <c r="AH180" s="1070"/>
      <c r="AI180" s="1070"/>
      <c r="AJ180" s="2136"/>
      <c r="AK180" s="1070"/>
      <c r="AL180" s="1070"/>
      <c r="AM180" s="1070"/>
      <c r="AN180" s="1070"/>
      <c r="AO180" s="1149"/>
      <c r="AP180" s="1142"/>
      <c r="AQ180" s="1142"/>
      <c r="AR180" s="1142"/>
      <c r="AS180" s="1142"/>
      <c r="AT180" s="1142"/>
      <c r="AU180" s="1142"/>
      <c r="AV180" s="1142"/>
      <c r="AW180" s="1142"/>
      <c r="AX180" s="1142"/>
      <c r="AY180" s="1142"/>
      <c r="AZ180" s="1142"/>
      <c r="BA180" s="1142"/>
      <c r="BB180" s="1142"/>
      <c r="BC180" s="1437"/>
      <c r="BD180" s="1070"/>
      <c r="BE180" s="1070"/>
      <c r="BF180" s="1070"/>
      <c r="BG180" s="1070"/>
      <c r="BH180" s="1070"/>
      <c r="BI180" s="1070"/>
      <c r="BJ180" s="1070"/>
      <c r="BK180" s="1070"/>
      <c r="BL180" s="1070"/>
      <c r="BM180" s="1070"/>
      <c r="BN180" s="1070"/>
      <c r="BO180" s="1070"/>
      <c r="BP180" s="1070"/>
      <c r="BQ180" s="1070"/>
      <c r="BR180" s="1070"/>
      <c r="BS180" s="1070"/>
      <c r="BT180" s="1070"/>
      <c r="BU180" s="1070"/>
    </row>
    <row r="181" spans="1:75" x14ac:dyDescent="0.3">
      <c r="A181" s="1437"/>
      <c r="B181" s="1207"/>
      <c r="C181" s="1434" t="s">
        <v>1701</v>
      </c>
      <c r="D181" s="1232"/>
      <c r="E181" s="1435"/>
      <c r="F181" s="2802">
        <f>IFERROR(VLOOKUP(ProjStartFY,Calc!$V$213:$W$225,2,0),"NA")</f>
        <v>7.9653642283748729</v>
      </c>
      <c r="G181" s="2803" t="e">
        <f>IF(Input!$F$48&lt;DefExitFY,"NA",IFERROR(VLOOKUP(DefExitFY,Calc!$AY$213:$AZ$225,2,0),"NA"))</f>
        <v>#VALUE!</v>
      </c>
      <c r="H181" s="2804" t="e">
        <f>IF(Input!$F$48&lt;DefExitFY,"NA",IFERROR(VLOOKUP(DefExitFY,Calc!$V$213:$W$225,2,0),"NA"))</f>
        <v>#VALUE!</v>
      </c>
      <c r="I181" s="2805">
        <f>IFERROR(VLOOKUP(CurrentFY,Calc!$V$213:$W$225,2,0),"NA")</f>
        <v>7.9653642283748729</v>
      </c>
      <c r="J181" s="2806" t="str">
        <f>IFERROR(VLOOKUP(ASRFY,Calc!$V$213:$W$225,2,0),"NA")</f>
        <v>NA</v>
      </c>
      <c r="K181" s="2807"/>
      <c r="L181" s="2038"/>
      <c r="M181" s="1116"/>
      <c r="N181" s="1116"/>
      <c r="O181" s="1070"/>
      <c r="P181" s="1437"/>
      <c r="Q181" s="1070"/>
      <c r="R181" s="1434"/>
      <c r="S181" s="1232"/>
      <c r="T181" s="1232"/>
      <c r="U181" s="2808"/>
      <c r="V181" s="2808"/>
      <c r="W181" s="2808"/>
      <c r="X181" s="2805"/>
      <c r="Y181" s="2808"/>
      <c r="Z181" s="2809"/>
      <c r="AA181" s="2810"/>
      <c r="AB181" s="1232"/>
      <c r="AC181" s="1232"/>
      <c r="AD181" s="1232"/>
      <c r="AE181" s="1459"/>
      <c r="AF181" s="1070"/>
      <c r="AG181" s="1070"/>
      <c r="AH181" s="1070"/>
      <c r="AI181" s="1070"/>
      <c r="AJ181" s="1070"/>
      <c r="AK181" s="1070"/>
      <c r="AL181" s="1070"/>
      <c r="AM181" s="1070"/>
      <c r="AN181" s="1070"/>
      <c r="AO181" s="1184"/>
      <c r="AP181" s="1201"/>
      <c r="AQ181" s="1201"/>
      <c r="AR181" s="1201"/>
      <c r="AS181" s="1201"/>
      <c r="AT181" s="1201"/>
      <c r="AU181" s="1201"/>
      <c r="AV181" s="1201"/>
      <c r="AW181" s="1201"/>
      <c r="AX181" s="1201"/>
      <c r="AY181" s="1201"/>
      <c r="AZ181" s="1201"/>
      <c r="BA181" s="1201"/>
      <c r="BB181" s="1201"/>
      <c r="BC181" s="1459"/>
      <c r="BD181" s="1070"/>
      <c r="BE181" s="1070"/>
      <c r="BF181" s="1070"/>
      <c r="BG181" s="1070"/>
      <c r="BH181" s="1070"/>
      <c r="BI181" s="1070"/>
      <c r="BJ181" s="1070"/>
      <c r="BK181" s="1070"/>
      <c r="BL181" s="1070"/>
      <c r="BM181" s="1070"/>
      <c r="BN181" s="1070"/>
      <c r="BO181" s="1070"/>
      <c r="BP181" s="1070"/>
      <c r="BQ181" s="1070"/>
      <c r="BR181" s="1070"/>
      <c r="BS181" s="1070"/>
      <c r="BT181" s="1070"/>
      <c r="BU181" s="1070"/>
      <c r="BV181" s="1070"/>
      <c r="BW181" s="1070"/>
    </row>
    <row r="182" spans="1:75" x14ac:dyDescent="0.3">
      <c r="A182" s="1437"/>
      <c r="B182" s="1207"/>
      <c r="C182" s="1082"/>
      <c r="D182" s="1082"/>
      <c r="E182" s="1082"/>
      <c r="F182" s="1082"/>
      <c r="G182" s="1082"/>
      <c r="H182" s="1082"/>
      <c r="I182" s="1082"/>
      <c r="J182" s="1082"/>
      <c r="K182" s="1082"/>
      <c r="L182" s="1082"/>
      <c r="M182" s="1082"/>
      <c r="N182" s="1082"/>
      <c r="O182" s="1070"/>
      <c r="P182" s="1437"/>
      <c r="Q182" s="1070"/>
      <c r="R182" s="1116"/>
      <c r="S182" s="1116"/>
      <c r="T182" s="1116"/>
      <c r="U182" s="1116"/>
      <c r="V182" s="1116"/>
      <c r="W182" s="1116"/>
      <c r="X182" s="1116"/>
      <c r="Y182" s="1116"/>
      <c r="Z182" s="1116"/>
      <c r="AA182" s="1116"/>
      <c r="AB182" s="1116"/>
      <c r="AC182" s="1116"/>
      <c r="AD182" s="1116"/>
      <c r="AE182" s="1070"/>
      <c r="AF182" s="1070"/>
      <c r="AG182" s="1070"/>
      <c r="AH182" s="1070"/>
      <c r="AI182" s="1070"/>
      <c r="AJ182" s="1070"/>
      <c r="AK182" s="1070"/>
      <c r="AL182" s="1070"/>
      <c r="AM182" s="1070"/>
      <c r="AN182" s="1070"/>
      <c r="AO182" s="1070"/>
      <c r="AP182" s="1070"/>
      <c r="AQ182" s="1070"/>
      <c r="AR182" s="1070"/>
      <c r="AS182" s="1070"/>
      <c r="AT182" s="1070"/>
      <c r="AU182" s="1070"/>
      <c r="AV182" s="1070"/>
      <c r="AW182" s="1070"/>
      <c r="AX182" s="1070"/>
      <c r="AY182" s="1070"/>
      <c r="AZ182" s="1070"/>
      <c r="BA182" s="1070"/>
      <c r="BB182" s="1070"/>
      <c r="BC182" s="1070"/>
      <c r="BD182" s="1070"/>
      <c r="BE182" s="1070"/>
      <c r="BF182" s="1070"/>
      <c r="BG182" s="1070"/>
      <c r="BH182" s="1070"/>
      <c r="BI182" s="1070"/>
      <c r="BJ182" s="1070"/>
      <c r="BK182" s="1070"/>
      <c r="BL182" s="1070"/>
      <c r="BM182" s="1070"/>
      <c r="BN182" s="1070"/>
      <c r="BO182" s="1070"/>
      <c r="BP182" s="1070"/>
      <c r="BQ182" s="1070"/>
      <c r="BR182" s="1070"/>
      <c r="BS182" s="1070"/>
      <c r="BT182" s="1070"/>
      <c r="BU182" s="1070"/>
      <c r="BV182" s="1070"/>
      <c r="BW182" s="1070"/>
    </row>
    <row r="183" spans="1:75" x14ac:dyDescent="0.3">
      <c r="A183" s="1437"/>
      <c r="B183" s="1207"/>
      <c r="C183" s="1475"/>
      <c r="D183" s="1116"/>
      <c r="E183" s="1116"/>
      <c r="F183" s="2762"/>
      <c r="G183" s="2762"/>
      <c r="H183" s="2762"/>
      <c r="I183" s="2762"/>
      <c r="J183" s="2811"/>
      <c r="K183" s="1556"/>
      <c r="L183" s="1556"/>
      <c r="M183" s="1556"/>
      <c r="N183" s="1556"/>
      <c r="O183" s="2037"/>
      <c r="P183" s="1437"/>
      <c r="Q183" s="1070"/>
      <c r="R183" s="1475"/>
      <c r="S183" s="1116"/>
      <c r="T183" s="1116"/>
      <c r="U183" s="2812"/>
      <c r="V183" s="2812"/>
      <c r="W183" s="2812"/>
      <c r="X183" s="2812"/>
      <c r="Y183" s="2812"/>
      <c r="Z183" s="2812"/>
      <c r="AA183" s="2812"/>
      <c r="AB183" s="2812"/>
      <c r="AC183" s="2812"/>
      <c r="AD183" s="2812"/>
      <c r="AE183" s="1070"/>
      <c r="AF183" s="1070"/>
      <c r="AG183" s="1070"/>
      <c r="AH183" s="1070"/>
      <c r="AI183" s="1070"/>
      <c r="AJ183" s="1070"/>
      <c r="AK183" s="1070"/>
      <c r="AL183" s="1070"/>
      <c r="AM183" s="1070"/>
      <c r="AN183" s="1070"/>
      <c r="AO183" s="1070"/>
      <c r="AP183" s="1070"/>
      <c r="AQ183" s="1070"/>
      <c r="AR183" s="1070"/>
      <c r="AS183" s="1070"/>
      <c r="AT183" s="1070"/>
      <c r="AU183" s="1070"/>
      <c r="AV183" s="1070"/>
      <c r="AW183" s="1070"/>
      <c r="AX183" s="1070"/>
      <c r="AY183" s="1070"/>
      <c r="AZ183" s="1070"/>
      <c r="BA183" s="1070"/>
      <c r="BB183" s="1070"/>
      <c r="BC183" s="1070"/>
      <c r="BD183" s="1070"/>
      <c r="BE183" s="1070"/>
      <c r="BF183" s="1070"/>
      <c r="BG183" s="1070"/>
      <c r="BH183" s="1070"/>
      <c r="BI183" s="1070"/>
      <c r="BJ183" s="1070"/>
      <c r="BK183" s="1070"/>
      <c r="BL183" s="1070"/>
      <c r="BM183" s="1070"/>
      <c r="BN183" s="1070"/>
      <c r="BO183" s="1070"/>
      <c r="BP183" s="1070"/>
      <c r="BQ183" s="1070"/>
      <c r="BR183" s="1070"/>
      <c r="BS183" s="1070"/>
      <c r="BT183" s="1070"/>
      <c r="BU183" s="1070"/>
      <c r="BV183" s="1070"/>
      <c r="BW183" s="1070"/>
    </row>
    <row r="184" spans="1:75" x14ac:dyDescent="0.3">
      <c r="A184" s="1437"/>
      <c r="B184" s="1207"/>
      <c r="C184" s="1082"/>
      <c r="D184" s="1082"/>
      <c r="E184" s="1082"/>
      <c r="F184" s="1082"/>
      <c r="G184" s="1082"/>
      <c r="H184" s="1082"/>
      <c r="I184" s="1082"/>
      <c r="J184" s="1082"/>
      <c r="K184" s="2813"/>
      <c r="L184" s="1476"/>
      <c r="M184" s="1116"/>
      <c r="N184" s="1116"/>
      <c r="O184" s="1070"/>
      <c r="P184" s="1437"/>
      <c r="Q184" s="1070"/>
      <c r="R184" s="1116"/>
      <c r="S184" s="1116"/>
      <c r="T184" s="1116"/>
      <c r="U184" s="1116"/>
      <c r="V184" s="1116"/>
      <c r="W184" s="1116"/>
      <c r="X184" s="1116"/>
      <c r="Y184" s="1116"/>
      <c r="Z184" s="2813"/>
      <c r="AA184" s="1476"/>
      <c r="AB184" s="1116"/>
      <c r="AC184" s="1116"/>
      <c r="AD184" s="1116"/>
      <c r="AE184" s="1070"/>
      <c r="AF184" s="1070"/>
      <c r="AG184" s="1070"/>
      <c r="AH184" s="1070"/>
      <c r="AI184" s="1070"/>
      <c r="AJ184" s="1070"/>
      <c r="AK184" s="1070"/>
      <c r="AL184" s="1070"/>
      <c r="AM184" s="1070"/>
      <c r="AN184" s="1070"/>
      <c r="AO184" s="1070"/>
      <c r="AP184" s="1070"/>
      <c r="AQ184" s="1070"/>
      <c r="AR184" s="1070"/>
      <c r="AS184" s="1070"/>
      <c r="AT184" s="1070"/>
      <c r="AU184" s="1070"/>
      <c r="AV184" s="1070"/>
      <c r="AW184" s="1070"/>
      <c r="AX184" s="1070"/>
      <c r="AY184" s="1070"/>
      <c r="AZ184" s="1070"/>
      <c r="BA184" s="1070"/>
      <c r="BB184" s="1070"/>
      <c r="BC184" s="1070"/>
      <c r="BD184" s="1070"/>
      <c r="BE184" s="1070"/>
      <c r="BF184" s="1070"/>
      <c r="BG184" s="1070"/>
      <c r="BH184" s="1070"/>
      <c r="BI184" s="1070"/>
      <c r="BJ184" s="1070"/>
      <c r="BK184" s="1070"/>
      <c r="BL184" s="1070"/>
      <c r="BM184" s="1070"/>
      <c r="BN184" s="1070"/>
      <c r="BO184" s="1070"/>
      <c r="BP184" s="1070"/>
      <c r="BQ184" s="1070"/>
      <c r="BR184" s="1070"/>
      <c r="BS184" s="1070"/>
      <c r="BT184" s="1070"/>
      <c r="BU184" s="1070"/>
      <c r="BV184" s="1070"/>
      <c r="BW184" s="1070"/>
    </row>
    <row r="185" spans="1:75" x14ac:dyDescent="0.3">
      <c r="A185" s="1437"/>
      <c r="B185" s="1207"/>
      <c r="C185" s="1422" t="s">
        <v>1702</v>
      </c>
      <c r="D185" s="1218"/>
      <c r="E185" s="1412"/>
      <c r="F185" s="2729">
        <f>IFERROR(VLOOKUP(ProjStartFY,Calc!$J$196:$L$208,2,0),"NA")</f>
        <v>0.39797793228123157</v>
      </c>
      <c r="G185" s="2735" t="e">
        <f>IF(Input!$F$48&lt;DefExitFY,"NA",IFERROR(VLOOKUP(DefExitFY,Calc!$AU$196:$AW$208,2,0),"NA"))</f>
        <v>#VALUE!</v>
      </c>
      <c r="H185" s="2736" t="e">
        <f>IF(Input!$F$48&lt;DefExitFY,"NA",IFERROR(VLOOKUP(DefExitFY,Calc!$J$196:$L$208,2,0),"NA"))</f>
        <v>#VALUE!</v>
      </c>
      <c r="I185" s="2732">
        <f>IFERROR(VLOOKUP(CurrentFY,$J$196:$L$208,2,0),"NA")</f>
        <v>0.39797793228123157</v>
      </c>
      <c r="J185" s="2733" t="str">
        <f>IFERROR(VLOOKUP(ASRFY,$J$196:$L$208,2,0),"NA")</f>
        <v>NA</v>
      </c>
      <c r="K185" s="2813"/>
      <c r="L185" s="1476"/>
      <c r="M185" s="1116"/>
      <c r="N185" s="1116"/>
      <c r="O185" s="1692"/>
      <c r="P185" s="1437"/>
      <c r="Q185" s="1070"/>
      <c r="R185" s="1692"/>
      <c r="S185" s="1116"/>
      <c r="T185" s="1116"/>
      <c r="U185" s="2814"/>
      <c r="V185" s="1212"/>
      <c r="W185" s="1212"/>
      <c r="X185" s="2776"/>
      <c r="Y185" s="2776"/>
      <c r="Z185" s="2813"/>
      <c r="AA185" s="1476"/>
      <c r="AB185" s="1116"/>
      <c r="AC185" s="1116"/>
      <c r="AD185" s="1692"/>
      <c r="AE185" s="1070"/>
      <c r="AF185" s="1070"/>
      <c r="AG185" s="1070"/>
      <c r="AH185" s="1070"/>
      <c r="AI185" s="1070"/>
      <c r="AJ185" s="1070"/>
      <c r="AK185" s="1070"/>
      <c r="AL185" s="1070"/>
      <c r="AM185" s="1070"/>
      <c r="AN185" s="1070"/>
      <c r="AO185" s="1070"/>
      <c r="AP185" s="1070"/>
      <c r="AQ185" s="1070"/>
      <c r="AR185" s="1070"/>
      <c r="AS185" s="1070"/>
      <c r="AT185" s="1070"/>
      <c r="AU185" s="1070"/>
      <c r="AV185" s="1070"/>
      <c r="AW185" s="1070"/>
      <c r="AX185" s="1070"/>
      <c r="AY185" s="1070"/>
      <c r="AZ185" s="1070"/>
      <c r="BA185" s="1070"/>
      <c r="BB185" s="1070"/>
      <c r="BC185" s="1070"/>
      <c r="BD185" s="1070"/>
      <c r="BE185" s="1070"/>
      <c r="BF185" s="1070"/>
      <c r="BG185" s="1070"/>
      <c r="BH185" s="1070"/>
      <c r="BI185" s="1070"/>
      <c r="BJ185" s="1070"/>
      <c r="BK185" s="1070"/>
      <c r="BL185" s="1070"/>
      <c r="BM185" s="1070"/>
      <c r="BN185" s="1070"/>
      <c r="BO185" s="1070"/>
      <c r="BP185" s="1070"/>
      <c r="BQ185" s="1070"/>
      <c r="BR185" s="1070"/>
      <c r="BS185" s="1070"/>
      <c r="BT185" s="1070"/>
      <c r="BU185" s="1070"/>
      <c r="BV185" s="1070"/>
      <c r="BW185" s="1070"/>
    </row>
    <row r="186" spans="1:75" x14ac:dyDescent="0.3">
      <c r="A186" s="1437"/>
      <c r="B186" s="1207"/>
      <c r="C186" s="1543" t="s">
        <v>1703</v>
      </c>
      <c r="D186" s="1116"/>
      <c r="E186" s="1477"/>
      <c r="F186" s="2759">
        <f>IFERROR(VLOOKUP(ProjStartFY,Calc!$R$196:$T$208,2,0),"NA")</f>
        <v>156812.43363929371</v>
      </c>
      <c r="G186" s="2760" t="e">
        <f>IF(Input!$F$48&lt;DefExitFY,"NA",IFERROR(VLOOKUP(DefExitFY,Calc!$BC$196:$BE$208,2,0),"NA"))</f>
        <v>#VALUE!</v>
      </c>
      <c r="H186" s="2761" t="e">
        <f>IF(Input!$F$48&lt;DefExitFY,"NA",IFERROR(VLOOKUP(DefExitFY,Calc!$R$213:$T$225,2,0),"NA"))</f>
        <v>#VALUE!</v>
      </c>
      <c r="I186" s="2762">
        <f>IFERROR(VLOOKUP(CurrentFY,Calc!$R$196:$T$208,2,0),"NA")</f>
        <v>156812.43363929371</v>
      </c>
      <c r="J186" s="2815" t="str">
        <f>IFERROR(VLOOKUP(ASRFY,Calc!$R$196:$T$208,2,0),"NA")</f>
        <v>NA</v>
      </c>
      <c r="K186" s="2813"/>
      <c r="L186" s="1476"/>
      <c r="M186" s="1116"/>
      <c r="N186" s="1116"/>
      <c r="O186" s="1070"/>
      <c r="P186" s="1437"/>
      <c r="Q186" s="1070"/>
      <c r="R186" s="1692"/>
      <c r="S186" s="1116"/>
      <c r="T186" s="1116"/>
      <c r="U186" s="2762"/>
      <c r="V186" s="2762"/>
      <c r="W186" s="2762"/>
      <c r="X186" s="2762"/>
      <c r="Y186" s="2811"/>
      <c r="Z186" s="2813"/>
      <c r="AA186" s="1476"/>
      <c r="AB186" s="1116"/>
      <c r="AC186" s="1116"/>
      <c r="AD186" s="1116"/>
      <c r="AE186" s="1070"/>
      <c r="AF186" s="1070"/>
      <c r="AG186" s="1070"/>
      <c r="AH186" s="1070"/>
      <c r="AI186" s="1070"/>
      <c r="AJ186" s="1070"/>
      <c r="AK186" s="1070"/>
      <c r="AL186" s="1070"/>
      <c r="AM186" s="1070"/>
      <c r="AN186" s="1070"/>
      <c r="AO186" s="1070"/>
      <c r="AP186" s="1070"/>
      <c r="AQ186" s="1070"/>
      <c r="AR186" s="1070"/>
      <c r="AS186" s="1070"/>
      <c r="AT186" s="1070"/>
      <c r="AU186" s="1070"/>
      <c r="AV186" s="1070"/>
      <c r="AW186" s="1070"/>
      <c r="AX186" s="1070"/>
      <c r="AY186" s="1070"/>
      <c r="AZ186" s="1070"/>
      <c r="BA186" s="1070"/>
      <c r="BB186" s="1070"/>
      <c r="BC186" s="1070"/>
      <c r="BD186" s="1070"/>
      <c r="BE186" s="1070"/>
      <c r="BF186" s="1070"/>
      <c r="BG186" s="1070"/>
      <c r="BH186" s="1070"/>
      <c r="BI186" s="1070"/>
      <c r="BJ186" s="1070"/>
      <c r="BK186" s="1070"/>
      <c r="BL186" s="1070"/>
      <c r="BM186" s="1070"/>
      <c r="BN186" s="1070"/>
      <c r="BO186" s="1070"/>
      <c r="BP186" s="1070"/>
      <c r="BQ186" s="1070"/>
      <c r="BR186" s="1070"/>
      <c r="BS186" s="1070"/>
      <c r="BT186" s="1070"/>
      <c r="BU186" s="1070"/>
      <c r="BV186" s="1070"/>
      <c r="BW186" s="1070"/>
    </row>
    <row r="187" spans="1:75" x14ac:dyDescent="0.3">
      <c r="A187" s="1437"/>
      <c r="B187" s="1207"/>
      <c r="C187" s="1434" t="s">
        <v>1704</v>
      </c>
      <c r="D187" s="1232"/>
      <c r="E187" s="1435"/>
      <c r="F187" s="2816">
        <f>IFERROR(VLOOKUP(ProjStartFY,Calc!$Z$196:$AB$208,2,0),"NA")</f>
        <v>0.56141254674211405</v>
      </c>
      <c r="G187" s="2817" t="e">
        <f>IF(Input!$F$48&lt;DefExitFY,"NA",IFERROR(VLOOKUP(DefExitFY,Calc!$BK$196:$BM$208,2,0),"NA"))</f>
        <v>#VALUE!</v>
      </c>
      <c r="H187" s="2818" t="e">
        <f>IF(Input!$F$48&lt;DefExitFY,"NA",IFERROR(VLOOKUP(DefExitFY,Calc!$Z$196:$AB$208,2,0),"NA"))</f>
        <v>#VALUE!</v>
      </c>
      <c r="I187" s="2819">
        <f>IFERROR(VLOOKUP(CurrentFY,Calc!$Z$196:$AB$208,2,0),"NA")</f>
        <v>0.56141254674211405</v>
      </c>
      <c r="J187" s="2820" t="str">
        <f>IFERROR(VLOOKUP(ASRFY,Calc!$Z$196:$AB$208,2,0),"NA")</f>
        <v>NA</v>
      </c>
      <c r="K187" s="2813"/>
      <c r="L187" s="1476"/>
      <c r="M187" s="1116"/>
      <c r="N187" s="1116"/>
      <c r="O187" s="1070"/>
      <c r="P187" s="1437"/>
      <c r="Q187" s="1070"/>
      <c r="R187" s="1692"/>
      <c r="S187" s="1116"/>
      <c r="T187" s="1116"/>
      <c r="U187" s="2814"/>
      <c r="V187" s="2814"/>
      <c r="W187" s="2814"/>
      <c r="X187" s="2776"/>
      <c r="Y187" s="2776"/>
      <c r="Z187" s="2813"/>
      <c r="AA187" s="1476"/>
      <c r="AB187" s="1116"/>
      <c r="AC187" s="1116"/>
      <c r="AD187" s="1116"/>
      <c r="AE187" s="1070"/>
      <c r="AF187" s="1070"/>
      <c r="AG187" s="1070"/>
      <c r="AH187" s="1070"/>
      <c r="AI187" s="1070"/>
      <c r="AJ187" s="1070"/>
      <c r="AK187" s="1070"/>
      <c r="AL187" s="1070"/>
      <c r="AM187" s="1070"/>
      <c r="AN187" s="1070"/>
      <c r="AO187" s="1070"/>
      <c r="AP187" s="1070"/>
      <c r="AQ187" s="1070"/>
      <c r="AR187" s="1070"/>
      <c r="AS187" s="1070"/>
      <c r="AT187" s="1070"/>
      <c r="AU187" s="1070"/>
      <c r="AV187" s="1070"/>
      <c r="AW187" s="1070"/>
      <c r="AX187" s="1070"/>
      <c r="AY187" s="1070"/>
      <c r="AZ187" s="1070"/>
      <c r="BA187" s="1070"/>
      <c r="BB187" s="1070"/>
      <c r="BC187" s="1070"/>
      <c r="BD187" s="1070"/>
      <c r="BE187" s="1070"/>
      <c r="BF187" s="1070"/>
      <c r="BG187" s="1070"/>
      <c r="BH187" s="1070"/>
      <c r="BI187" s="1070"/>
      <c r="BJ187" s="1070"/>
      <c r="BK187" s="1070"/>
      <c r="BL187" s="1070"/>
      <c r="BM187" s="1070"/>
      <c r="BN187" s="1070"/>
      <c r="BO187" s="1070"/>
      <c r="BP187" s="1070"/>
      <c r="BQ187" s="1070"/>
      <c r="BR187" s="1070"/>
      <c r="BS187" s="1070"/>
      <c r="BT187" s="1070"/>
      <c r="BU187" s="1070"/>
      <c r="BV187" s="1070"/>
      <c r="BW187" s="1070"/>
    </row>
    <row r="188" spans="1:75" x14ac:dyDescent="0.3">
      <c r="A188" s="1437"/>
      <c r="B188" s="1184"/>
      <c r="C188" s="1232"/>
      <c r="D188" s="1232"/>
      <c r="E188" s="1232"/>
      <c r="F188" s="1232"/>
      <c r="G188" s="1232"/>
      <c r="H188" s="1201"/>
      <c r="I188" s="1201"/>
      <c r="J188" s="1201"/>
      <c r="K188" s="1201"/>
      <c r="L188" s="1201"/>
      <c r="M188" s="1201"/>
      <c r="N188" s="1201"/>
      <c r="O188" s="1201"/>
      <c r="P188" s="1459"/>
      <c r="Q188" s="1070"/>
      <c r="R188" s="1116"/>
      <c r="S188" s="1116"/>
      <c r="T188" s="1116"/>
      <c r="U188" s="1116"/>
      <c r="V188" s="1116"/>
      <c r="W188" s="1116"/>
      <c r="X188" s="1116"/>
      <c r="Y188" s="1116"/>
      <c r="Z188" s="1116"/>
      <c r="AA188" s="1116"/>
      <c r="AB188" s="1116"/>
      <c r="AC188" s="1116"/>
      <c r="AD188" s="1116"/>
      <c r="AE188" s="1070"/>
      <c r="AF188" s="1070"/>
      <c r="AG188" s="1070"/>
      <c r="AH188" s="1070"/>
      <c r="AI188" s="1070"/>
      <c r="AJ188" s="1070"/>
      <c r="AK188" s="1070"/>
      <c r="AL188" s="1070"/>
      <c r="AM188" s="1070"/>
      <c r="AN188" s="1070"/>
      <c r="AO188" s="1070"/>
      <c r="AP188" s="1070"/>
      <c r="AQ188" s="1070"/>
      <c r="AR188" s="1070"/>
      <c r="AS188" s="1070"/>
      <c r="AT188" s="1070"/>
      <c r="AU188" s="1070"/>
      <c r="AV188" s="1070"/>
      <c r="AW188" s="1070"/>
      <c r="AX188" s="1070"/>
      <c r="AY188" s="1070"/>
      <c r="AZ188" s="1070"/>
      <c r="BA188" s="1070"/>
      <c r="BB188" s="1070"/>
      <c r="BC188" s="1070"/>
      <c r="BD188" s="1070"/>
      <c r="BE188" s="1070"/>
      <c r="BF188" s="1070"/>
      <c r="BG188" s="1070"/>
      <c r="BH188" s="1070"/>
      <c r="BI188" s="1070"/>
      <c r="BJ188" s="1070"/>
      <c r="BK188" s="1070"/>
      <c r="BL188" s="1070"/>
      <c r="BM188" s="1070"/>
      <c r="BN188" s="1070"/>
      <c r="BO188" s="1070"/>
      <c r="BP188" s="1070"/>
      <c r="BQ188" s="1070"/>
      <c r="BR188" s="1070"/>
      <c r="BS188" s="1070"/>
      <c r="BT188" s="1070"/>
      <c r="BU188" s="1070"/>
      <c r="BV188" s="1070"/>
      <c r="BW188" s="1070"/>
    </row>
    <row r="189" spans="1:75" x14ac:dyDescent="0.3">
      <c r="A189" s="1142"/>
      <c r="B189" s="1142"/>
      <c r="C189" s="1142"/>
      <c r="D189" s="1142"/>
      <c r="E189" s="1142"/>
      <c r="F189" s="2821"/>
      <c r="G189" s="1555"/>
      <c r="H189" s="1555"/>
      <c r="I189" s="2821"/>
      <c r="J189" s="2821"/>
      <c r="K189" s="2821"/>
      <c r="L189" s="2821"/>
      <c r="M189" s="2821"/>
      <c r="N189" s="1142"/>
      <c r="O189" s="1142"/>
      <c r="P189" s="1142"/>
      <c r="Q189" s="1070"/>
      <c r="R189" s="1116"/>
      <c r="S189" s="1116"/>
      <c r="T189" s="1116"/>
      <c r="U189" s="1116"/>
      <c r="V189" s="1116"/>
      <c r="W189" s="1116"/>
      <c r="X189" s="1116"/>
      <c r="Y189" s="1116"/>
      <c r="Z189" s="1116"/>
      <c r="AA189" s="1116"/>
      <c r="AB189" s="1116"/>
      <c r="AC189" s="1116"/>
      <c r="AD189" s="1116"/>
      <c r="AE189" s="1070"/>
      <c r="AF189" s="1070"/>
      <c r="AG189" s="1070"/>
      <c r="AH189" s="1070"/>
      <c r="AI189" s="1070"/>
      <c r="AJ189" s="1070"/>
      <c r="AK189" s="1070"/>
      <c r="AL189" s="1070"/>
      <c r="AM189" s="1070"/>
      <c r="AN189" s="1070"/>
      <c r="AO189" s="1070"/>
      <c r="AP189" s="1070"/>
      <c r="AQ189" s="1070"/>
      <c r="AR189" s="1070"/>
      <c r="AS189" s="1070"/>
      <c r="AT189" s="1070"/>
      <c r="AU189" s="1070"/>
      <c r="AV189" s="1070"/>
      <c r="AW189" s="1070"/>
      <c r="AX189" s="1070"/>
      <c r="AY189" s="1070"/>
      <c r="AZ189" s="1070"/>
      <c r="BA189" s="1070"/>
      <c r="BB189" s="1070"/>
      <c r="BC189" s="1070"/>
      <c r="BD189" s="1070"/>
      <c r="BE189" s="1070"/>
      <c r="BF189" s="1070"/>
      <c r="BG189" s="1070"/>
      <c r="BH189" s="1070"/>
      <c r="BI189" s="1070"/>
      <c r="BJ189" s="1070"/>
      <c r="BK189" s="1070"/>
      <c r="BL189" s="1070"/>
      <c r="BM189" s="1070"/>
      <c r="BN189" s="1070"/>
      <c r="BO189" s="1070"/>
      <c r="BP189" s="1070"/>
      <c r="BQ189" s="1070"/>
      <c r="BR189" s="1070"/>
      <c r="BS189" s="1070"/>
      <c r="BT189" s="1070"/>
      <c r="BU189" s="1070"/>
      <c r="BV189" s="1070"/>
      <c r="BW189" s="1070"/>
    </row>
    <row r="190" spans="1:75" ht="15" thickBot="1" x14ac:dyDescent="0.35">
      <c r="A190" s="1070"/>
      <c r="B190" s="1070"/>
      <c r="C190" s="1070"/>
      <c r="D190" s="1070"/>
      <c r="E190" s="1070"/>
      <c r="F190" s="1070"/>
      <c r="G190" s="1082"/>
      <c r="H190" s="1082"/>
      <c r="I190" s="1070"/>
      <c r="J190" s="1070"/>
      <c r="K190" s="1070"/>
      <c r="L190" s="1070"/>
      <c r="M190" s="1070"/>
      <c r="N190" s="1070"/>
      <c r="O190" s="1070"/>
      <c r="P190" s="1070"/>
      <c r="Q190" s="1070"/>
      <c r="R190" s="1070"/>
      <c r="S190" s="1070"/>
      <c r="T190" s="1070"/>
      <c r="U190" s="1070"/>
      <c r="V190" s="1070"/>
      <c r="W190" s="1070"/>
      <c r="X190" s="1070"/>
      <c r="Y190" s="1070"/>
      <c r="Z190" s="1070"/>
      <c r="AA190" s="1070"/>
      <c r="AB190" s="1070"/>
      <c r="AC190" s="1070"/>
      <c r="AD190" s="1070"/>
      <c r="AE190" s="1070"/>
      <c r="AF190" s="1070"/>
      <c r="AG190" s="1070"/>
      <c r="AH190" s="1070"/>
      <c r="AI190" s="1070"/>
      <c r="AJ190" s="2136"/>
      <c r="AK190" s="1070"/>
      <c r="AL190" s="1070"/>
      <c r="AM190" s="1070"/>
      <c r="AN190" s="1070"/>
      <c r="AO190" s="1070"/>
      <c r="AP190" s="1070"/>
      <c r="AQ190" s="1070"/>
      <c r="AR190" s="1070"/>
      <c r="AS190" s="1070"/>
      <c r="AT190" s="1070"/>
      <c r="AU190" s="1070"/>
      <c r="AV190" s="1070"/>
      <c r="AW190" s="1070"/>
      <c r="AX190" s="1070"/>
      <c r="AY190" s="1070"/>
      <c r="AZ190" s="1070"/>
      <c r="BA190" s="1070"/>
      <c r="BB190" s="1070"/>
      <c r="BC190" s="1070"/>
      <c r="BD190" s="1070"/>
      <c r="BE190" s="1070"/>
      <c r="BF190" s="1070"/>
      <c r="BG190" s="1070"/>
      <c r="BH190" s="1070"/>
      <c r="BI190" s="1070"/>
      <c r="BJ190" s="1070"/>
      <c r="BK190" s="1070"/>
      <c r="BL190" s="1070"/>
      <c r="BM190" s="1070"/>
      <c r="BN190" s="1070"/>
      <c r="BO190" s="1070"/>
      <c r="BP190" s="1070"/>
      <c r="BQ190" s="1070"/>
      <c r="BR190" s="1070"/>
      <c r="BS190" s="1070"/>
      <c r="BT190" s="1070"/>
      <c r="BU190" s="1070"/>
      <c r="BV190" s="1070"/>
      <c r="BW190" s="1070"/>
    </row>
    <row r="191" spans="1:75" outlineLevel="1" x14ac:dyDescent="0.3">
      <c r="A191" s="1070"/>
      <c r="B191" s="2822"/>
      <c r="C191" s="2823"/>
      <c r="D191" s="2824"/>
      <c r="E191" s="2825"/>
      <c r="F191" s="2825"/>
      <c r="G191" s="2825"/>
      <c r="H191" s="2825"/>
      <c r="I191" s="2825"/>
      <c r="J191" s="2826"/>
      <c r="K191" s="2827"/>
      <c r="L191" s="2827"/>
      <c r="M191" s="2827"/>
      <c r="N191" s="2827"/>
      <c r="O191" s="2827"/>
      <c r="P191" s="2827"/>
      <c r="Q191" s="2827"/>
      <c r="R191" s="2827"/>
      <c r="S191" s="2827"/>
      <c r="T191" s="2827"/>
      <c r="U191" s="2828"/>
      <c r="V191" s="2828"/>
      <c r="W191" s="2828"/>
      <c r="X191" s="2828"/>
      <c r="Y191" s="2828"/>
      <c r="Z191" s="2828"/>
      <c r="AA191" s="2828"/>
      <c r="AB191" s="2828"/>
      <c r="AC191" s="2828"/>
      <c r="AD191" s="2828"/>
      <c r="AE191" s="2828"/>
      <c r="AF191" s="2828"/>
      <c r="AG191" s="2828"/>
      <c r="AH191" s="2828"/>
      <c r="AI191" s="2828"/>
      <c r="AJ191" s="2829"/>
      <c r="AK191" s="2827"/>
      <c r="AL191" s="2827"/>
      <c r="AM191" s="2827"/>
      <c r="AN191" s="2827"/>
      <c r="AO191" s="2827"/>
      <c r="AP191" s="2827"/>
      <c r="AQ191" s="2827"/>
      <c r="AR191" s="2827"/>
      <c r="AS191" s="2827"/>
      <c r="AT191" s="2827"/>
      <c r="AU191" s="2827"/>
      <c r="AV191" s="2827"/>
      <c r="AW191" s="2827"/>
      <c r="AX191" s="2827"/>
      <c r="AY191" s="2827"/>
      <c r="AZ191" s="2827"/>
      <c r="BA191" s="2827"/>
      <c r="BB191" s="2827"/>
      <c r="BC191" s="2827"/>
      <c r="BD191" s="2827"/>
      <c r="BE191" s="2827"/>
      <c r="BF191" s="2827"/>
      <c r="BG191" s="2827"/>
      <c r="BH191" s="2827"/>
      <c r="BI191" s="2827"/>
      <c r="BJ191" s="2827"/>
      <c r="BK191" s="2827"/>
      <c r="BL191" s="2827"/>
      <c r="BM191" s="2827"/>
      <c r="BN191" s="2830"/>
      <c r="BO191" s="1070"/>
      <c r="BP191" s="1070"/>
      <c r="BQ191" s="1070"/>
      <c r="BR191" s="1070"/>
      <c r="BS191" s="1070"/>
      <c r="BT191" s="1070"/>
      <c r="BU191" s="1070"/>
      <c r="BV191" s="1070"/>
      <c r="BW191" s="1070"/>
    </row>
    <row r="192" spans="1:75" outlineLevel="1" x14ac:dyDescent="0.3">
      <c r="A192" s="1070"/>
      <c r="B192" s="1116"/>
      <c r="C192" s="1116"/>
      <c r="D192" s="1474"/>
      <c r="E192" s="1116"/>
      <c r="F192" s="3384" t="s">
        <v>1705</v>
      </c>
      <c r="G192" s="3384"/>
      <c r="H192" s="3384"/>
      <c r="I192" s="3384"/>
      <c r="J192" s="3384"/>
      <c r="K192" s="3384"/>
      <c r="L192" s="3384"/>
      <c r="M192" s="3384"/>
      <c r="N192" s="3384"/>
      <c r="O192" s="3384"/>
      <c r="P192" s="3384"/>
      <c r="Q192" s="3384"/>
      <c r="R192" s="3384"/>
      <c r="S192" s="3384"/>
      <c r="T192" s="3384"/>
      <c r="U192" s="3384"/>
      <c r="V192" s="3384"/>
      <c r="W192" s="3384"/>
      <c r="X192" s="3384"/>
      <c r="Y192" s="3384"/>
      <c r="Z192" s="3384"/>
      <c r="AA192" s="3384"/>
      <c r="AB192" s="3384"/>
      <c r="AC192" s="3385"/>
      <c r="AD192" s="1142"/>
      <c r="AE192" s="1142"/>
      <c r="AF192" s="1142"/>
      <c r="AG192" s="1142"/>
      <c r="AH192" s="1142"/>
      <c r="AI192" s="1142"/>
      <c r="AJ192" s="1564"/>
      <c r="AK192" s="1142"/>
      <c r="AL192" s="1142"/>
      <c r="AM192" s="1142"/>
      <c r="AN192" s="1142"/>
      <c r="AO192" s="1142"/>
      <c r="AP192" s="2831"/>
      <c r="AQ192" s="3198" t="str">
        <f>"Return Metric Calculations: "&amp;Comp</f>
        <v>Return Metric Calculations: Def Exit</v>
      </c>
      <c r="AR192" s="3198"/>
      <c r="AS192" s="3198"/>
      <c r="AT192" s="3198"/>
      <c r="AU192" s="3198"/>
      <c r="AV192" s="3198"/>
      <c r="AW192" s="3198"/>
      <c r="AX192" s="3198"/>
      <c r="AY192" s="3198"/>
      <c r="AZ192" s="3198"/>
      <c r="BA192" s="3198"/>
      <c r="BB192" s="3198"/>
      <c r="BC192" s="3198"/>
      <c r="BD192" s="3198"/>
      <c r="BE192" s="3198"/>
      <c r="BF192" s="3198"/>
      <c r="BG192" s="3198"/>
      <c r="BH192" s="3198"/>
      <c r="BI192" s="3198"/>
      <c r="BJ192" s="3198"/>
      <c r="BK192" s="3198"/>
      <c r="BL192" s="3198"/>
      <c r="BM192" s="3198"/>
      <c r="BN192" s="1478"/>
      <c r="BO192" s="1070"/>
      <c r="BP192" s="1070"/>
      <c r="BQ192" s="1070"/>
      <c r="BR192" s="1070"/>
      <c r="BS192" s="1070"/>
      <c r="BT192" s="1070"/>
      <c r="BU192" s="1070"/>
      <c r="BV192" s="1070"/>
      <c r="BW192" s="1070"/>
    </row>
    <row r="193" spans="1:75" outlineLevel="1" x14ac:dyDescent="0.3">
      <c r="A193" s="1070"/>
      <c r="B193" s="1116"/>
      <c r="C193" s="1116"/>
      <c r="D193" s="1474"/>
      <c r="E193" s="1116"/>
      <c r="F193" s="1692"/>
      <c r="G193" s="1116"/>
      <c r="H193" s="1116"/>
      <c r="I193" s="1116"/>
      <c r="J193" s="1142"/>
      <c r="K193" s="1142"/>
      <c r="L193" s="1142"/>
      <c r="M193" s="1116"/>
      <c r="N193" s="1116"/>
      <c r="O193" s="1116"/>
      <c r="P193" s="1116"/>
      <c r="Q193" s="1116"/>
      <c r="R193" s="1116"/>
      <c r="S193" s="1116"/>
      <c r="T193" s="1116"/>
      <c r="U193" s="1116"/>
      <c r="V193" s="1116"/>
      <c r="W193" s="1116"/>
      <c r="X193" s="1116"/>
      <c r="Y193" s="1116"/>
      <c r="Z193" s="1070"/>
      <c r="AA193" s="1070"/>
      <c r="AB193" s="1142"/>
      <c r="AC193" s="2832"/>
      <c r="AD193" s="2833"/>
      <c r="AE193" s="2833"/>
      <c r="AF193" s="2833"/>
      <c r="AG193" s="1142"/>
      <c r="AH193" s="1142"/>
      <c r="AI193" s="1142"/>
      <c r="AJ193" s="1564"/>
      <c r="AK193" s="1142"/>
      <c r="AL193" s="1142"/>
      <c r="AM193" s="1142"/>
      <c r="AN193" s="1142"/>
      <c r="AO193" s="1142"/>
      <c r="AP193" s="1741"/>
      <c r="AQ193" s="1745"/>
      <c r="AR193" s="1142"/>
      <c r="AS193" s="1142"/>
      <c r="AT193" s="1142"/>
      <c r="AU193" s="1142"/>
      <c r="AV193" s="1142"/>
      <c r="AW193" s="1142"/>
      <c r="AX193" s="1142"/>
      <c r="AY193" s="1116"/>
      <c r="AZ193" s="2834"/>
      <c r="BA193" s="2834"/>
      <c r="BB193" s="1116"/>
      <c r="BC193" s="1082"/>
      <c r="BD193" s="1142"/>
      <c r="BE193" s="1142"/>
      <c r="BF193" s="1070"/>
      <c r="BG193" s="1070"/>
      <c r="BH193" s="1070"/>
      <c r="BI193" s="1070"/>
      <c r="BJ193" s="1070"/>
      <c r="BK193" s="1070"/>
      <c r="BL193" s="1070"/>
      <c r="BM193" s="1070"/>
      <c r="BN193" s="1478"/>
      <c r="BO193" s="1070"/>
      <c r="BP193" s="1070"/>
      <c r="BQ193" s="1070"/>
      <c r="BR193" s="1070"/>
      <c r="BS193" s="1070"/>
      <c r="BT193" s="1070"/>
      <c r="BU193" s="1070"/>
      <c r="BV193" s="1070"/>
      <c r="BW193" s="1070"/>
    </row>
    <row r="194" spans="1:75" outlineLevel="1" x14ac:dyDescent="0.3">
      <c r="A194" s="1070"/>
      <c r="B194" s="1116"/>
      <c r="C194" s="1116"/>
      <c r="D194" s="1474"/>
      <c r="E194" s="1116"/>
      <c r="F194" s="2835" t="s">
        <v>1706</v>
      </c>
      <c r="G194" s="1116"/>
      <c r="H194" s="1116"/>
      <c r="I194" s="1116"/>
      <c r="J194" s="2835" t="s">
        <v>1707</v>
      </c>
      <c r="K194" s="1476"/>
      <c r="L194" s="1476"/>
      <c r="M194" s="2836"/>
      <c r="N194" s="2835" t="s">
        <v>1378</v>
      </c>
      <c r="O194" s="1476"/>
      <c r="P194" s="1476"/>
      <c r="Q194" s="1476"/>
      <c r="R194" s="2835" t="s">
        <v>1708</v>
      </c>
      <c r="S194" s="1476"/>
      <c r="T194" s="1476"/>
      <c r="U194" s="2837"/>
      <c r="V194" s="2835" t="s">
        <v>1709</v>
      </c>
      <c r="W194" s="1476"/>
      <c r="X194" s="1476"/>
      <c r="Y194" s="1476"/>
      <c r="Z194" s="2835" t="s">
        <v>1710</v>
      </c>
      <c r="AA194" s="1476"/>
      <c r="AB194" s="1476"/>
      <c r="AC194" s="1648"/>
      <c r="AD194" s="2838"/>
      <c r="AE194" s="2838"/>
      <c r="AF194" s="3394" t="s">
        <v>1711</v>
      </c>
      <c r="AG194" s="3395"/>
      <c r="AH194" s="3395"/>
      <c r="AI194" s="3396"/>
      <c r="AJ194" s="1476"/>
      <c r="AK194" s="1476"/>
      <c r="AL194" s="1476"/>
      <c r="AM194" s="1476"/>
      <c r="AN194" s="1142"/>
      <c r="AO194" s="1142"/>
      <c r="AP194" s="1741"/>
      <c r="AQ194" s="2835" t="s">
        <v>1706</v>
      </c>
      <c r="AR194" s="1116"/>
      <c r="AS194" s="1116"/>
      <c r="AT194" s="1116"/>
      <c r="AU194" s="2835" t="s">
        <v>1707</v>
      </c>
      <c r="AV194" s="1476"/>
      <c r="AW194" s="1476"/>
      <c r="AX194" s="1116"/>
      <c r="AY194" s="2835" t="s">
        <v>1378</v>
      </c>
      <c r="AZ194" s="1476"/>
      <c r="BA194" s="1476"/>
      <c r="BB194" s="1116"/>
      <c r="BC194" s="2835" t="s">
        <v>1708</v>
      </c>
      <c r="BD194" s="1476"/>
      <c r="BE194" s="1476"/>
      <c r="BF194" s="1082"/>
      <c r="BG194" s="2835" t="s">
        <v>1709</v>
      </c>
      <c r="BH194" s="1476"/>
      <c r="BI194" s="1476"/>
      <c r="BJ194" s="1476"/>
      <c r="BK194" s="2835" t="s">
        <v>1710</v>
      </c>
      <c r="BL194" s="1476"/>
      <c r="BM194" s="1476"/>
      <c r="BN194" s="2839"/>
      <c r="BO194" s="1070"/>
      <c r="BP194" s="1070"/>
      <c r="BQ194" s="1070"/>
      <c r="BR194" s="1070"/>
      <c r="BS194" s="1070"/>
      <c r="BT194" s="1070"/>
      <c r="BU194" s="1070"/>
      <c r="BV194" s="1070"/>
      <c r="BW194" s="1070"/>
    </row>
    <row r="195" spans="1:75" outlineLevel="1" x14ac:dyDescent="0.3">
      <c r="A195" s="1070"/>
      <c r="B195" s="1116"/>
      <c r="C195" s="1116"/>
      <c r="D195" s="1474"/>
      <c r="E195" s="1116"/>
      <c r="F195" s="1692" t="s">
        <v>1381</v>
      </c>
      <c r="G195" s="1582">
        <v>10</v>
      </c>
      <c r="H195" s="1582">
        <v>15</v>
      </c>
      <c r="I195" s="2834"/>
      <c r="J195" s="1692" t="s">
        <v>1381</v>
      </c>
      <c r="K195" s="1582">
        <v>10</v>
      </c>
      <c r="L195" s="1582">
        <v>15</v>
      </c>
      <c r="M195" s="2840"/>
      <c r="N195" s="1692" t="s">
        <v>1381</v>
      </c>
      <c r="O195" s="1582">
        <v>10</v>
      </c>
      <c r="P195" s="1582">
        <v>15</v>
      </c>
      <c r="Q195" s="1476"/>
      <c r="R195" s="1692" t="s">
        <v>1381</v>
      </c>
      <c r="S195" s="1582">
        <v>10</v>
      </c>
      <c r="T195" s="1582">
        <v>15</v>
      </c>
      <c r="U195" s="2837"/>
      <c r="V195" s="1692" t="s">
        <v>1381</v>
      </c>
      <c r="W195" s="1582">
        <v>10</v>
      </c>
      <c r="X195" s="1582">
        <v>15</v>
      </c>
      <c r="Y195" s="1476"/>
      <c r="Z195" s="1692" t="s">
        <v>1381</v>
      </c>
      <c r="AA195" s="1582">
        <v>10</v>
      </c>
      <c r="AB195" s="1582">
        <v>15</v>
      </c>
      <c r="AC195" s="1648"/>
      <c r="AD195" s="2841"/>
      <c r="AE195" s="2841"/>
      <c r="AF195" s="2842" t="s">
        <v>1461</v>
      </c>
      <c r="AG195" s="2656" t="s">
        <v>726</v>
      </c>
      <c r="AH195" s="2656" t="s">
        <v>1712</v>
      </c>
      <c r="AI195" s="2656" t="s">
        <v>1713</v>
      </c>
      <c r="AJ195" s="1476"/>
      <c r="AK195" s="1476"/>
      <c r="AL195" s="1476"/>
      <c r="AM195" s="1476"/>
      <c r="AN195" s="1142"/>
      <c r="AO195" s="1142"/>
      <c r="AP195" s="1741"/>
      <c r="AQ195" s="1692" t="s">
        <v>1381</v>
      </c>
      <c r="AR195" s="1582">
        <v>10</v>
      </c>
      <c r="AS195" s="1582">
        <v>15</v>
      </c>
      <c r="AT195" s="1116"/>
      <c r="AU195" s="1692" t="s">
        <v>1381</v>
      </c>
      <c r="AV195" s="1582">
        <v>10</v>
      </c>
      <c r="AW195" s="1582">
        <v>15</v>
      </c>
      <c r="AX195" s="1116"/>
      <c r="AY195" s="1692" t="s">
        <v>1381</v>
      </c>
      <c r="AZ195" s="1582">
        <v>10</v>
      </c>
      <c r="BA195" s="1582">
        <v>15</v>
      </c>
      <c r="BB195" s="1116"/>
      <c r="BC195" s="1692" t="s">
        <v>1381</v>
      </c>
      <c r="BD195" s="1582">
        <v>10</v>
      </c>
      <c r="BE195" s="1582">
        <v>15</v>
      </c>
      <c r="BF195" s="1116"/>
      <c r="BG195" s="1692" t="s">
        <v>1381</v>
      </c>
      <c r="BH195" s="1582">
        <v>10</v>
      </c>
      <c r="BI195" s="1582">
        <v>15</v>
      </c>
      <c r="BJ195" s="1476"/>
      <c r="BK195" s="1692" t="s">
        <v>1381</v>
      </c>
      <c r="BL195" s="1582">
        <v>10</v>
      </c>
      <c r="BM195" s="1582">
        <v>15</v>
      </c>
      <c r="BN195" s="2839"/>
      <c r="BO195" s="1070"/>
      <c r="BP195" s="1070"/>
      <c r="BQ195" s="1070"/>
      <c r="BR195" s="1070"/>
      <c r="BS195" s="1070"/>
      <c r="BT195" s="1070"/>
      <c r="BU195" s="1070"/>
      <c r="BV195" s="1070"/>
      <c r="BW195" s="1070"/>
    </row>
    <row r="196" spans="1:75" ht="15.6" outlineLevel="1" x14ac:dyDescent="0.3">
      <c r="A196" s="1070"/>
      <c r="B196" s="1116"/>
      <c r="C196" s="1116"/>
      <c r="D196" s="1474"/>
      <c r="E196" s="1116"/>
      <c r="F196" s="2843">
        <f>$G$113</f>
        <v>18</v>
      </c>
      <c r="G196" s="2844">
        <f>IF($F196=$G$113,MIRR(($G$233:$O$233,P238),FinR,ReinvR),0)</f>
        <v>0.2026446052778943</v>
      </c>
      <c r="H196" s="2845">
        <f>IF($F196=$G$113,MIRR(($G$233:$T$233,U238),FinR,ReinvR),0)</f>
        <v>0.26443581159256935</v>
      </c>
      <c r="I196" s="2834"/>
      <c r="J196" s="2843">
        <f>$G$113</f>
        <v>18</v>
      </c>
      <c r="K196" s="2844">
        <f>IF($J196=$G$113,MIRR(($G$233:$O$233,P240),FinR,ReinvR),0)</f>
        <v>0.39797793228123157</v>
      </c>
      <c r="L196" s="2845">
        <f>IF($J196=$G$113,MIRR(($G$233:$T$233,U240),FinR,ReinvR),0)</f>
        <v>0.3291994787830872</v>
      </c>
      <c r="M196" s="2840"/>
      <c r="N196" s="2843">
        <f>$G$113</f>
        <v>18</v>
      </c>
      <c r="O196" s="1590">
        <f>IF($N196=$G$113,$G233+NPV(DiscR,(Calc!H$233:O$233,P238)),0)</f>
        <v>21754.779690810261</v>
      </c>
      <c r="P196" s="2846">
        <f>IF($N196=$G$113,$G233+NPV(DiscR,(Calc!H$233:T$233,U238)),0)</f>
        <v>101683.22203437473</v>
      </c>
      <c r="Q196" s="1476"/>
      <c r="R196" s="2843">
        <f>$G$113</f>
        <v>18</v>
      </c>
      <c r="S196" s="1590">
        <f>IF($R196=$G$113,$G233+NPV(DiscR,(Calc!H$233:O$233,P240)),0)</f>
        <v>156812.43363929371</v>
      </c>
      <c r="T196" s="2846">
        <f>IF($R196=$G$113,$G233+NPV(DiscR,(Calc!H$233:T$233,U240)),0)</f>
        <v>221648.55117813702</v>
      </c>
      <c r="U196" s="2837"/>
      <c r="V196" s="2843">
        <f>$G$113</f>
        <v>18</v>
      </c>
      <c r="W196" s="2844">
        <f>IF($V196=$G$113,IRR(($G$233:$O$233,P238)),0)</f>
        <v>0.2881407355329082</v>
      </c>
      <c r="X196" s="2845">
        <f>IF($V196=$G$113,IRR(($G$233:$T$233,U238)),0)</f>
        <v>0.42231168354147464</v>
      </c>
      <c r="Y196" s="1476"/>
      <c r="Z196" s="2843">
        <f>$G$113</f>
        <v>18</v>
      </c>
      <c r="AA196" s="2844">
        <f>IF($Z196=$G$113,IRR(($G$233:$O$233,P240)),0)</f>
        <v>0.56141254674211405</v>
      </c>
      <c r="AB196" s="2845">
        <f>IF($Z196=$G$113,IRR(($G$233:$T$233,U240)),0)</f>
        <v>0.47899684957834809</v>
      </c>
      <c r="AC196" s="1648"/>
      <c r="AD196" s="1476"/>
      <c r="AE196" s="1476"/>
      <c r="AF196" s="2847">
        <f>ProjStartFY+9</f>
        <v>27</v>
      </c>
      <c r="AG196" s="2848">
        <f>U176</f>
        <v>475116.11886769469</v>
      </c>
      <c r="AH196" s="2848">
        <f>W176</f>
        <v>0</v>
      </c>
      <c r="AI196" s="2849">
        <f>AD176</f>
        <v>0</v>
      </c>
      <c r="AJ196" s="1476"/>
      <c r="AK196" s="1476"/>
      <c r="AL196" s="1476"/>
      <c r="AM196" s="1476"/>
      <c r="AN196" s="1142"/>
      <c r="AO196" s="1142"/>
      <c r="AP196" s="1741"/>
      <c r="AQ196" s="2843">
        <f>$G$113</f>
        <v>18</v>
      </c>
      <c r="AR196" s="2844" t="e">
        <f>IF($AQ196=$AQ$113,MIRR(($AQ$233:$AY$233,AZ238),FinR,ReinvR),0)</f>
        <v>#DIV/0!</v>
      </c>
      <c r="AS196" s="2845" t="e">
        <f>IF($AQ196=$AQ$113,MIRR(($AQ$233:$BD$233,BE238),FinR,ReinvR),0)</f>
        <v>#DIV/0!</v>
      </c>
      <c r="AT196" s="1116"/>
      <c r="AU196" s="2843">
        <f>$G$113</f>
        <v>18</v>
      </c>
      <c r="AV196" s="2844" t="e">
        <f>IF($AU196=$AQ$113,MIRR(($AQ$233:$AY$233,AZ240),FinR,ReinvR),0)</f>
        <v>#DIV/0!</v>
      </c>
      <c r="AW196" s="2845" t="e">
        <f>IF($AU196=$AQ$113,MIRR(($AQ$233:$BD$233,BE240),FinR,ReinvR),0)</f>
        <v>#DIV/0!</v>
      </c>
      <c r="AX196" s="1116"/>
      <c r="AY196" s="2843">
        <f>$G$113</f>
        <v>18</v>
      </c>
      <c r="AZ196" s="1590">
        <f>IF($N196=$AQ$113,$AQ233+NPV(DiscRDE,(Calc!AR233:AY233,AZ238)),0)</f>
        <v>0</v>
      </c>
      <c r="BA196" s="2846">
        <f>IF($N196=$AQ$113,$AQ233+NPV(DiscRDE,(Calc!AR233:BD233,BE238)),0)</f>
        <v>0</v>
      </c>
      <c r="BB196" s="1116"/>
      <c r="BC196" s="2843">
        <f>$G$113</f>
        <v>18</v>
      </c>
      <c r="BD196" s="1590">
        <f>IF($N196=$AQ$113,$AQ233+NPV(DiscRDE,(Calc!AR233:AY233,AZ240)),0)</f>
        <v>0</v>
      </c>
      <c r="BE196" s="2846">
        <f>IF($N196=$AQ$113,$AQ233+NPV(DiscRDE,(Calc!AR233:BD233,BE240)),0)</f>
        <v>0</v>
      </c>
      <c r="BF196" s="1116"/>
      <c r="BG196" s="2843">
        <f>$G$113</f>
        <v>18</v>
      </c>
      <c r="BH196" s="2844" t="e">
        <f>IF($BG196=$AQ$113,IRR(($AQ$233:$AY$233,AZ238)),0)</f>
        <v>#NUM!</v>
      </c>
      <c r="BI196" s="2845" t="e">
        <f>IF($BG196=$AQ$113,IRR(($AQ$233:$BD$233,BE238)),0)</f>
        <v>#NUM!</v>
      </c>
      <c r="BJ196" s="1476"/>
      <c r="BK196" s="2843">
        <f>$G$113</f>
        <v>18</v>
      </c>
      <c r="BL196" s="2844" t="e">
        <f>IF($BG196=$AQ$113,IRR(($AQ$233:$AY$233,AZ240)),0)</f>
        <v>#NUM!</v>
      </c>
      <c r="BM196" s="2845" t="e">
        <f>IF($BG196=$AQ$113,IRR(($AQ$233:$BD$233,BE240)),0)</f>
        <v>#NUM!</v>
      </c>
      <c r="BN196" s="2839"/>
      <c r="BO196" s="1070"/>
      <c r="BP196" s="1070"/>
      <c r="BQ196" s="1070"/>
      <c r="BR196" s="1070"/>
      <c r="BS196" s="1070"/>
      <c r="BT196" s="1070"/>
      <c r="BU196" s="1070"/>
      <c r="BV196" s="1070"/>
      <c r="BW196" s="1070"/>
    </row>
    <row r="197" spans="1:75" ht="15.6" outlineLevel="1" x14ac:dyDescent="0.3">
      <c r="A197" s="1070"/>
      <c r="B197" s="1116"/>
      <c r="C197" s="1116"/>
      <c r="D197" s="1474"/>
      <c r="E197" s="1116"/>
      <c r="F197" s="1582">
        <f t="shared" ref="F197:F208" si="244">F196+1</f>
        <v>19</v>
      </c>
      <c r="G197" s="2850">
        <f>IF($F197=$H$113,MIRR(($H$233:$P$233,Q238),FinR,ReinvR),0)</f>
        <v>0.26903304587586341</v>
      </c>
      <c r="H197" s="2834">
        <f>IF($F197=$H$113,MIRR(($H$233:$U$233,V238),FinR,ReinvR),0)</f>
        <v>0.29039040978872022</v>
      </c>
      <c r="I197" s="2834"/>
      <c r="J197" s="1582">
        <f t="shared" ref="J197:J208" si="245">J196+1</f>
        <v>19</v>
      </c>
      <c r="K197" s="2850">
        <f>IF($J197=$H$113,MIRR(($H$233:$P$233,Q240),FinR,ReinvR),0)</f>
        <v>0.44159501750463548</v>
      </c>
      <c r="L197" s="2834">
        <f>IF($J197=$H$113,MIRR(($H$233:$U$233,V240),FinR,ReinvR),0)</f>
        <v>0.35067976572192383</v>
      </c>
      <c r="M197" s="2840"/>
      <c r="N197" s="1582">
        <f t="shared" ref="N197:N208" si="246">N196+1</f>
        <v>19</v>
      </c>
      <c r="O197" s="1594">
        <f>IF($N197=$H$113,$H233+NPV(DiscR,(Calc!I233:P233,Q238)),0)</f>
        <v>49131.501836628995</v>
      </c>
      <c r="P197" s="2037">
        <f>IF($N197=$H$113,$H233+NPV(DiscR,(Calc!I233:U233,V238)),0)</f>
        <v>138266.63581472976</v>
      </c>
      <c r="Q197" s="1476"/>
      <c r="R197" s="1582">
        <f t="shared" ref="R197:R208" si="247">R196+1</f>
        <v>19</v>
      </c>
      <c r="S197" s="1594">
        <f>IF($R197=$H$113,$H233+NPV(DiscR,(Calc!I233:P233,Q240)),0)</f>
        <v>205662.05809596562</v>
      </c>
      <c r="T197" s="2037">
        <f>IF($R197=$H$113,$H233+NPV(DiscR,(Calc!I233:U233,V240)),0)</f>
        <v>272964.68275607895</v>
      </c>
      <c r="U197" s="2837"/>
      <c r="V197" s="1582">
        <f t="shared" ref="V197:V208" si="248">V196+1</f>
        <v>19</v>
      </c>
      <c r="W197" s="2850">
        <f>IF($V197=$H$113,IRR(($H$233:$P$233,Q238)),0)</f>
        <v>0.40137550764699026</v>
      </c>
      <c r="X197" s="2834">
        <f>IF($V197=$H$113,IRR(($H$233:$U$233,V238)),0)</f>
        <v>0.48749312824831526</v>
      </c>
      <c r="Y197" s="1476"/>
      <c r="Z197" s="1582">
        <f t="shared" ref="Z197:Z208" si="249">Z196+1</f>
        <v>19</v>
      </c>
      <c r="AA197" s="2850">
        <f>IF($Z197=$H$113,IRR(($H$233:$P$233,Q240)),0)</f>
        <v>0.61279962960391177</v>
      </c>
      <c r="AB197" s="2834">
        <f>IF($Z197=$H$113,IRR(($H$233:$U$233,V240)),0)</f>
        <v>0.52871395851665381</v>
      </c>
      <c r="AC197" s="1648"/>
      <c r="AD197" s="1476"/>
      <c r="AE197" s="1476"/>
      <c r="AF197" s="2010" t="e">
        <f>DefExitFY+9</f>
        <v>#VALUE!</v>
      </c>
      <c r="AG197" s="2851" t="e">
        <f t="shared" ref="AG197:AG199" si="250">U177</f>
        <v>#VALUE!</v>
      </c>
      <c r="AH197" s="2851" t="e">
        <f t="shared" ref="AH197:AH199" si="251">W177</f>
        <v>#VALUE!</v>
      </c>
      <c r="AI197" s="2852" t="e">
        <f t="shared" ref="AI197:AI199" si="252">AD177</f>
        <v>#VALUE!</v>
      </c>
      <c r="AJ197" s="1476"/>
      <c r="AK197" s="1476"/>
      <c r="AL197" s="1476"/>
      <c r="AM197" s="1476"/>
      <c r="AN197" s="1142"/>
      <c r="AO197" s="1142"/>
      <c r="AP197" s="1741"/>
      <c r="AQ197" s="1582">
        <f t="shared" ref="AQ197:AQ208" si="253">AQ196+1</f>
        <v>19</v>
      </c>
      <c r="AR197" s="2850" t="e">
        <f>IF($AQ197=$AR$113,MIRR(($AR$233:$AZ$233,BA238),FinR,ReinvR),0)</f>
        <v>#DIV/0!</v>
      </c>
      <c r="AS197" s="2834" t="e">
        <f>IF($AQ197=$AR$113,MIRR(($AR$233:$BE$233,BF238),FinR,ReinvR),0)</f>
        <v>#DIV/0!</v>
      </c>
      <c r="AT197" s="1116"/>
      <c r="AU197" s="1582">
        <f t="shared" ref="AU197:AU208" si="254">AU196+1</f>
        <v>19</v>
      </c>
      <c r="AV197" s="2850" t="e">
        <f>IF($AU197=$AR$113,MIRR(($AR$233:$AZ$233,BA240),FinR,ReinvR),0)</f>
        <v>#DIV/0!</v>
      </c>
      <c r="AW197" s="2834" t="e">
        <f>IF($AU197=$AR$113,MIRR(($AR$233:$BE$233,BF240),FinR,ReinvR),0)</f>
        <v>#DIV/0!</v>
      </c>
      <c r="AX197" s="1116"/>
      <c r="AY197" s="1582">
        <f t="shared" ref="AY197:AY208" si="255">AY196+1</f>
        <v>19</v>
      </c>
      <c r="AZ197" s="1594">
        <f>IF($N197=$AR$113,$AR233+NPV(DiscRDE,(Calc!AS233:AZ233,BA238)),0)</f>
        <v>0</v>
      </c>
      <c r="BA197" s="2037">
        <f>IF($N197=$AR$113,$AR233+NPV(DiscRDE,(Calc!AS233:BE233,BF238)),0)</f>
        <v>0</v>
      </c>
      <c r="BB197" s="1116"/>
      <c r="BC197" s="1582">
        <f t="shared" ref="BC197:BC208" si="256">BC196+1</f>
        <v>19</v>
      </c>
      <c r="BD197" s="1594">
        <f>IF($N197=$AR$113,$AR233+NPV(DiscRDE,(Calc!AS233:AZ233,BA240)),0)</f>
        <v>0</v>
      </c>
      <c r="BE197" s="2037">
        <f>IF($N197=$AR$113,$AR233+NPV(DiscRDE,(Calc!AS233:BE233,BF240)),0)</f>
        <v>0</v>
      </c>
      <c r="BF197" s="1116"/>
      <c r="BG197" s="1582">
        <f t="shared" ref="BG197:BG208" si="257">BG196+1</f>
        <v>19</v>
      </c>
      <c r="BH197" s="2850" t="e">
        <f>IF($BG197=$AR$113,IRR(($AR$233:$AZ$233,BA238)),0)</f>
        <v>#NUM!</v>
      </c>
      <c r="BI197" s="2834" t="e">
        <f>IF($BG197=$AR$113,IRR(($AR$233:$BE$233,BF238)),0)</f>
        <v>#NUM!</v>
      </c>
      <c r="BJ197" s="1476"/>
      <c r="BK197" s="1582">
        <f t="shared" ref="BK197:BK208" si="258">BK196+1</f>
        <v>19</v>
      </c>
      <c r="BL197" s="2850" t="e">
        <f>IF($BG197=$AR$113,IRR(($AR$233:$AZ$233,BA240)),0)</f>
        <v>#NUM!</v>
      </c>
      <c r="BM197" s="2834" t="e">
        <f>IF($BG197=$AR$113,IRR(($AR$233:$BE$233,BF240)),0)</f>
        <v>#NUM!</v>
      </c>
      <c r="BN197" s="2839"/>
      <c r="BO197" s="1070"/>
      <c r="BP197" s="1070"/>
      <c r="BQ197" s="1070"/>
      <c r="BR197" s="1070"/>
      <c r="BS197" s="1070"/>
      <c r="BT197" s="1070"/>
      <c r="BU197" s="1070"/>
      <c r="BV197" s="1070"/>
      <c r="BW197" s="1070"/>
    </row>
    <row r="198" spans="1:75" ht="15.6" outlineLevel="1" x14ac:dyDescent="0.3">
      <c r="A198" s="1070"/>
      <c r="B198" s="1070"/>
      <c r="C198" s="1070"/>
      <c r="D198" s="1527"/>
      <c r="E198" s="1142"/>
      <c r="F198" s="1582">
        <f t="shared" si="244"/>
        <v>20</v>
      </c>
      <c r="G198" s="2850">
        <f>IF($F198=$I$113,MIRR(($I$233:$Q$233,R238),FinR,ReinvR),0)</f>
        <v>0.32486221193142883</v>
      </c>
      <c r="H198" s="2834">
        <f>IF($F198=$I$113,MIRR(($I$233:$V$233,W238),FinR,ReinvR),0)</f>
        <v>0.31488679072107595</v>
      </c>
      <c r="I198" s="2834"/>
      <c r="J198" s="1582">
        <f t="shared" si="245"/>
        <v>20</v>
      </c>
      <c r="K198" s="2850">
        <f>IF($J198=$I$113,MIRR(($I$233:$Q$233,R240),FinR,ReinvR),0)</f>
        <v>0.47545914305321979</v>
      </c>
      <c r="L198" s="2834">
        <f>IF($J198=$I$113,MIRR(($I$233:$V$233,W240),FinR,ReinvR),0)</f>
        <v>0.37201679717863234</v>
      </c>
      <c r="M198" s="2840"/>
      <c r="N198" s="1582">
        <f t="shared" si="246"/>
        <v>20</v>
      </c>
      <c r="O198" s="1594">
        <f>IF($N198=$I$113,$I233+NPV(DiscR,(Calc!J233:Q233,R238)),0)</f>
        <v>81747.999527065316</v>
      </c>
      <c r="P198" s="2037">
        <f>IF($N198=$I$113,$I233+NPV(DiscR,(Calc!J233:V233,W238)),0)</f>
        <v>182282.95747102628</v>
      </c>
      <c r="Q198" s="1476"/>
      <c r="R198" s="1582">
        <f t="shared" si="247"/>
        <v>20</v>
      </c>
      <c r="S198" s="1594">
        <f>IF($R198=$I$113,$I233+NPV(DiscR,(Calc!J233:Q233,R240)),0)</f>
        <v>250924.01350128721</v>
      </c>
      <c r="T198" s="2037">
        <f>IF($R198=$I$113,$I233+NPV(DiscR,(Calc!J233:V233,W240)),0)</f>
        <v>335998.54795700236</v>
      </c>
      <c r="U198" s="2837"/>
      <c r="V198" s="1582">
        <f t="shared" si="248"/>
        <v>20</v>
      </c>
      <c r="W198" s="2850">
        <f>IF($V198=$I$113,IRR(($I$233:$Q$233,R238)),0)</f>
        <v>0.49281660736436939</v>
      </c>
      <c r="X198" s="2834">
        <f>IF($V198=$I$113,IRR(($I$233:$V$233,W238)),0)</f>
        <v>0.54740195863832941</v>
      </c>
      <c r="Y198" s="1476"/>
      <c r="Z198" s="1582">
        <f t="shared" si="249"/>
        <v>20</v>
      </c>
      <c r="AA198" s="2850">
        <f>IF($Z198=$I$113,IRR(($I$233:$Q$233,R240)),0)</f>
        <v>0.64359768380060167</v>
      </c>
      <c r="AB198" s="2834">
        <f>IF($Z198=$I$113,IRR(($I$233:$V$233,W240)),0)</f>
        <v>0.57569242453896652</v>
      </c>
      <c r="AC198" s="1648"/>
      <c r="AD198" s="1476"/>
      <c r="AE198" s="1476"/>
      <c r="AF198" s="2010">
        <f>CurrentFY+9</f>
        <v>27</v>
      </c>
      <c r="AG198" s="2851">
        <f t="shared" si="250"/>
        <v>475116.11886769469</v>
      </c>
      <c r="AH198" s="2851">
        <f t="shared" si="251"/>
        <v>0</v>
      </c>
      <c r="AI198" s="2852">
        <f t="shared" si="252"/>
        <v>0</v>
      </c>
      <c r="AJ198" s="1476"/>
      <c r="AK198" s="1476"/>
      <c r="AL198" s="1476"/>
      <c r="AM198" s="1476"/>
      <c r="AN198" s="1142"/>
      <c r="AO198" s="1142"/>
      <c r="AP198" s="1741"/>
      <c r="AQ198" s="1582">
        <f t="shared" si="253"/>
        <v>20</v>
      </c>
      <c r="AR198" s="2850" t="e">
        <f>IF($AQ198=$AS$113,MIRR(($AS$233:$BA$233,BB238),FinR,ReinvR),0)</f>
        <v>#DIV/0!</v>
      </c>
      <c r="AS198" s="2834" t="e">
        <f>IF($AQ198=$AS$113,MIRR(($AS$233:$BF$233,BG238),FinR,ReinvR),0)</f>
        <v>#DIV/0!</v>
      </c>
      <c r="AT198" s="1116"/>
      <c r="AU198" s="1582">
        <f t="shared" si="254"/>
        <v>20</v>
      </c>
      <c r="AV198" s="2850" t="e">
        <f>IF($AU198=$AS$113,MIRR(($AS$233:$BA$233,BB240),FinR,ReinvR),0)</f>
        <v>#DIV/0!</v>
      </c>
      <c r="AW198" s="2834" t="e">
        <f>IF($AU198=$AS$113,MIRR(($AS$233:$BF$233,BG240),FinR,ReinvR),0)</f>
        <v>#DIV/0!</v>
      </c>
      <c r="AX198" s="1116"/>
      <c r="AY198" s="1582">
        <f t="shared" si="255"/>
        <v>20</v>
      </c>
      <c r="AZ198" s="1594">
        <f>IF($N198=$AS$113,$AS233+NPV(DiscRDE,(Calc!AT233:BA233,BB238)),0)</f>
        <v>0</v>
      </c>
      <c r="BA198" s="2037">
        <f>IF($N198=$AS$113,$AS233+NPV(DiscRDE,(Calc!AT233:BF233,BG238)),0)</f>
        <v>0</v>
      </c>
      <c r="BB198" s="1116"/>
      <c r="BC198" s="1582">
        <f t="shared" si="256"/>
        <v>20</v>
      </c>
      <c r="BD198" s="1594">
        <f>IF($N198=$AS$113,$AS233+NPV(DiscRDE,(Calc!AT233:BA233,BB240)),0)</f>
        <v>0</v>
      </c>
      <c r="BE198" s="2037">
        <f>IF($N198=$AS$113,$AS233+NPV(DiscRDE,(Calc!AT233:BF233,BG240)),0)</f>
        <v>0</v>
      </c>
      <c r="BF198" s="1116"/>
      <c r="BG198" s="1582">
        <f t="shared" si="257"/>
        <v>20</v>
      </c>
      <c r="BH198" s="2850" t="e">
        <f>IF($BG198=$AS$113,IRR(($AS$233:$BA$233,BB238)),0)</f>
        <v>#NUM!</v>
      </c>
      <c r="BI198" s="2834" t="e">
        <f>IF($BG198=$AS$113,IRR(($AS$233:$BF$233,BG238)),0)</f>
        <v>#NUM!</v>
      </c>
      <c r="BJ198" s="1476"/>
      <c r="BK198" s="1582">
        <f t="shared" si="258"/>
        <v>20</v>
      </c>
      <c r="BL198" s="2850" t="e">
        <f>IF($BG198=$AS$113,IRR(($AS$233:$BA$233,BB240)),0)</f>
        <v>#NUM!</v>
      </c>
      <c r="BM198" s="2834" t="e">
        <f>IF($BG198=$AS$113,IRR(($AS$233:$BF$233,BG240)),0)</f>
        <v>#NUM!</v>
      </c>
      <c r="BN198" s="2839"/>
      <c r="BO198" s="1070"/>
      <c r="BP198" s="1070"/>
      <c r="BQ198" s="1070"/>
      <c r="BR198" s="1070"/>
      <c r="BS198" s="1070"/>
      <c r="BT198" s="1070"/>
      <c r="BU198" s="1070"/>
      <c r="BV198" s="1070"/>
      <c r="BW198" s="1070"/>
    </row>
    <row r="199" spans="1:75" ht="15.6" outlineLevel="1" x14ac:dyDescent="0.3">
      <c r="A199" s="1070"/>
      <c r="B199" s="1070"/>
      <c r="C199" s="1070"/>
      <c r="D199" s="1527"/>
      <c r="E199" s="1142"/>
      <c r="F199" s="1582">
        <f t="shared" si="244"/>
        <v>21</v>
      </c>
      <c r="G199" s="2850">
        <f>IF($F199=$J$113,MIRR(($J$233:$R$233,S238),FinR,ReinvR),0)</f>
        <v>0.40776053473635221</v>
      </c>
      <c r="H199" s="2834">
        <f>IF($F199=$J$113,MIRR(($J$233:$W$233,X238),FinR,ReinvR),0)</f>
        <v>0.36092601751902542</v>
      </c>
      <c r="I199" s="2834"/>
      <c r="J199" s="1582">
        <f t="shared" si="245"/>
        <v>21</v>
      </c>
      <c r="K199" s="2850">
        <f>IF($J199=$J$113,MIRR(($J$233:$R$233,S240),FinR,ReinvR),0)</f>
        <v>0.5490798031808144</v>
      </c>
      <c r="L199" s="2834">
        <f>IF($J199=$J$113,MIRR(($J$233:$W$233,X240),FinR,ReinvR),0)</f>
        <v>0.42658823966901172</v>
      </c>
      <c r="M199" s="2840"/>
      <c r="N199" s="1582">
        <f t="shared" si="246"/>
        <v>21</v>
      </c>
      <c r="O199" s="1594">
        <f>IF($N199=$J$113,$J233+NPV(DiscR,(Calc!K233:R233,S238)),0)</f>
        <v>127506.9876804558</v>
      </c>
      <c r="P199" s="2037">
        <f>IF($N199=$J$113,$J233+NPV(DiscR,(Calc!K233:W233,X238)),0)</f>
        <v>247318.81614757419</v>
      </c>
      <c r="Q199" s="1476"/>
      <c r="R199" s="1582">
        <f t="shared" si="247"/>
        <v>21</v>
      </c>
      <c r="S199" s="1594">
        <f>IF($R199=$J$113,$J233+NPV(DiscR,(Calc!K233:R233,S240)),0)</f>
        <v>319914.10886599444</v>
      </c>
      <c r="T199" s="2037">
        <f>IF($R199=$J$113,$J233+NPV(DiscR,(Calc!K233:W233,X240)),0)</f>
        <v>472653.31708845554</v>
      </c>
      <c r="U199" s="2837"/>
      <c r="V199" s="1582">
        <f t="shared" si="248"/>
        <v>21</v>
      </c>
      <c r="W199" s="2850">
        <f>IF($V199=$J$113,IRR(($J$233:$R$233,S238)),0)</f>
        <v>0.70152970541887183</v>
      </c>
      <c r="X199" s="2834">
        <f>IF($V199=$J$113,IRR(($J$233:$W$233,X238)),0)</f>
        <v>0.72874485119899202</v>
      </c>
      <c r="Y199" s="1476"/>
      <c r="Z199" s="1582">
        <f t="shared" si="249"/>
        <v>21</v>
      </c>
      <c r="AA199" s="2850">
        <f>IF($Z199=$J$113,IRR(($J$233:$R$233,S240)),0)</f>
        <v>0.80482524062637495</v>
      </c>
      <c r="AB199" s="2834">
        <f>IF($Z199=$J$113,IRR(($J$233:$W$233,X240)),0)</f>
        <v>0.74493656137721254</v>
      </c>
      <c r="AC199" s="2832"/>
      <c r="AD199" s="2833"/>
      <c r="AE199" s="2833"/>
      <c r="AF199" s="2010" t="e">
        <f>ASRFY+9</f>
        <v>#VALUE!</v>
      </c>
      <c r="AG199" s="2851" t="e">
        <f t="shared" si="250"/>
        <v>#VALUE!</v>
      </c>
      <c r="AH199" s="2851" t="e">
        <f t="shared" si="251"/>
        <v>#VALUE!</v>
      </c>
      <c r="AI199" s="2852" t="e">
        <f t="shared" si="252"/>
        <v>#VALUE!</v>
      </c>
      <c r="AJ199" s="1476"/>
      <c r="AK199" s="1476"/>
      <c r="AL199" s="1476"/>
      <c r="AM199" s="1476"/>
      <c r="AN199" s="1142"/>
      <c r="AO199" s="1142"/>
      <c r="AP199" s="1741"/>
      <c r="AQ199" s="1582">
        <f t="shared" si="253"/>
        <v>21</v>
      </c>
      <c r="AR199" s="2850" t="e">
        <f>IF($AQ199=$AT$113,MIRR(($AT$233:$BB$233,BC238),FinR,ReinvR),0)</f>
        <v>#DIV/0!</v>
      </c>
      <c r="AS199" s="2834" t="e">
        <f>IF($AQ199=$AT$113,MIRR(($AT$233:$BG$233,BH238),FinR,ReinvR),0)</f>
        <v>#DIV/0!</v>
      </c>
      <c r="AT199" s="1116"/>
      <c r="AU199" s="1582">
        <f t="shared" si="254"/>
        <v>21</v>
      </c>
      <c r="AV199" s="2850" t="e">
        <f>IF($AU199=$AT$113,MIRR(($AT$233:$BB$233,BC240),FinR,ReinvR),0)</f>
        <v>#DIV/0!</v>
      </c>
      <c r="AW199" s="2834" t="e">
        <f>IF($AU199=$AT$113,MIRR(($AT$233:$BG$233,BH240),FinR,ReinvR),0)</f>
        <v>#DIV/0!</v>
      </c>
      <c r="AX199" s="1116"/>
      <c r="AY199" s="1582">
        <f t="shared" si="255"/>
        <v>21</v>
      </c>
      <c r="AZ199" s="1594">
        <f>IF($N199=$AT$113,$AT233+NPV(DiscRDE,(Calc!AU233:BB233,BC238)),0)</f>
        <v>0</v>
      </c>
      <c r="BA199" s="2037">
        <f>IF($N199=$AT$113,$AT233+NPV(DiscRDE,(Calc!AU233:BG233,BH238)),0)</f>
        <v>0</v>
      </c>
      <c r="BB199" s="1116"/>
      <c r="BC199" s="1582">
        <f t="shared" si="256"/>
        <v>21</v>
      </c>
      <c r="BD199" s="1594">
        <f>IF($N199=$AT$113,$AT233+NPV(DiscRDE,(Calc!AU233:BB233,BC240)),0)</f>
        <v>0</v>
      </c>
      <c r="BE199" s="2037">
        <f>IF($N199=$AT$113,$AT233+NPV(DiscRDE,(Calc!AU233:BG233,BH240)),0)</f>
        <v>0</v>
      </c>
      <c r="BF199" s="1116"/>
      <c r="BG199" s="1582">
        <f t="shared" si="257"/>
        <v>21</v>
      </c>
      <c r="BH199" s="2850" t="e">
        <f>IF($BG199=$AT$113,IRR(($AT$233:$BB$233,BC238)),0)</f>
        <v>#NUM!</v>
      </c>
      <c r="BI199" s="2834" t="e">
        <f>IF($BG199=$AT$113,IRR(($AT$233:$BG$233,BH238)),0)</f>
        <v>#NUM!</v>
      </c>
      <c r="BJ199" s="1476"/>
      <c r="BK199" s="1582">
        <f t="shared" si="258"/>
        <v>21</v>
      </c>
      <c r="BL199" s="2850" t="e">
        <f>IF($BG199=$AT$113,IRR(($AT$233:$BB$233,BC240)),0)</f>
        <v>#NUM!</v>
      </c>
      <c r="BM199" s="2834" t="e">
        <f>IF($BG199=$AT$113,IRR(($AT$233:$BG$233,BH240)),0)</f>
        <v>#NUM!</v>
      </c>
      <c r="BN199" s="2839"/>
      <c r="BO199" s="1070"/>
      <c r="BP199" s="1070"/>
      <c r="BQ199" s="1070"/>
      <c r="BR199" s="1070"/>
      <c r="BS199" s="1070"/>
      <c r="BT199" s="1070"/>
      <c r="BU199" s="1070"/>
      <c r="BV199" s="1070"/>
      <c r="BW199" s="1070"/>
    </row>
    <row r="200" spans="1:75" ht="15.6" outlineLevel="1" x14ac:dyDescent="0.3">
      <c r="A200" s="1070"/>
      <c r="B200" s="1070"/>
      <c r="C200" s="1070"/>
      <c r="D200" s="1527"/>
      <c r="E200" s="1142"/>
      <c r="F200" s="1582">
        <f t="shared" si="244"/>
        <v>22</v>
      </c>
      <c r="G200" s="2850">
        <f>IF($F200=$K$113,MIRR(($K$233:$S$233,T238),FinR,ReinvR),0)</f>
        <v>0.50986907354405253</v>
      </c>
      <c r="H200" s="2834">
        <f>IF($F200=$K$113,MIRR(($K$233:$X$233,Y238),FinR,ReinvR),0)</f>
        <v>0.41024835968705053</v>
      </c>
      <c r="I200" s="2834"/>
      <c r="J200" s="1582">
        <f t="shared" si="245"/>
        <v>22</v>
      </c>
      <c r="K200" s="2850">
        <f>IF($J200=$K$113,MIRR(($K$233:$S$233,T240),FinR,ReinvR),0)</f>
        <v>0.64007800358073053</v>
      </c>
      <c r="L200" s="2834">
        <f>IF($J200=$K$113,MIRR(($K$233:$X$233,Y240),FinR,ReinvR),0)</f>
        <v>0.42490327661577831</v>
      </c>
      <c r="M200" s="2840"/>
      <c r="N200" s="1582">
        <f t="shared" si="246"/>
        <v>22</v>
      </c>
      <c r="O200" s="1594">
        <f>IF($N200=$K$113,$K233+NPV(DiscR,(Calc!L233:S233,T238)),0)</f>
        <v>181932.48994294836</v>
      </c>
      <c r="P200" s="2037">
        <f>IF($N200=$K$113,$K233+NPV(DiscR,(Calc!L233:X233,Y238)),0)</f>
        <v>299215.15146593627</v>
      </c>
      <c r="Q200" s="1476"/>
      <c r="R200" s="1582">
        <f t="shared" si="247"/>
        <v>22</v>
      </c>
      <c r="S200" s="1594">
        <f>IF($R200=$K$113,$K233+NPV(DiscR,(Calc!L233:S233,T240)),0)</f>
        <v>385901.28739886638</v>
      </c>
      <c r="T200" s="2037">
        <f>IF($R200=$K$113,$K233+NPV(DiscR,(Calc!L233:X233,Y240)),0)</f>
        <v>342330.41016429948</v>
      </c>
      <c r="U200" s="2837"/>
      <c r="V200" s="1582">
        <f t="shared" si="248"/>
        <v>22</v>
      </c>
      <c r="W200" s="2850">
        <f>IF($V200=$K$113,IRR(($K$233:$S$233,T238)),0)</f>
        <v>1.14257268952991</v>
      </c>
      <c r="X200" s="2834">
        <f>IF($V200=$K$113,IRR(($K$233:$X$233,Y238)),0)</f>
        <v>1.1492949557805301</v>
      </c>
      <c r="Y200" s="1476"/>
      <c r="Z200" s="1582">
        <f t="shared" si="249"/>
        <v>22</v>
      </c>
      <c r="AA200" s="2850">
        <f>IF($Z200=$K$113,IRR(($K$233:$S$233,T240)),0)</f>
        <v>1.18571867444621</v>
      </c>
      <c r="AB200" s="2834">
        <f>IF($Z200=$K$113,IRR(($K$233:$X$233,Y240)),0)</f>
        <v>1.1497262000959543</v>
      </c>
      <c r="AC200" s="1648"/>
      <c r="AD200" s="2838"/>
      <c r="AE200" s="2838"/>
      <c r="AF200" s="2575">
        <f>ProjStartFY+14</f>
        <v>32</v>
      </c>
      <c r="AG200" s="1476"/>
      <c r="AH200" s="2851">
        <f>Y176</f>
        <v>0</v>
      </c>
      <c r="AI200" s="2852">
        <f>AE176</f>
        <v>0</v>
      </c>
      <c r="AJ200" s="1476"/>
      <c r="AK200" s="1476"/>
      <c r="AL200" s="1476"/>
      <c r="AM200" s="1476"/>
      <c r="AN200" s="1142"/>
      <c r="AO200" s="1142"/>
      <c r="AP200" s="1741"/>
      <c r="AQ200" s="1582">
        <f t="shared" si="253"/>
        <v>22</v>
      </c>
      <c r="AR200" s="2850" t="e">
        <f>IF($AQ200=$AU$113,MIRR(($AU$233:$BC$233,BD238),FinR,ReinvR),0)</f>
        <v>#DIV/0!</v>
      </c>
      <c r="AS200" s="2834" t="e">
        <f>IF($AQ200=$AU$113,MIRR(($AU$233:$BH$233,BI238),FinR,ReinvR),0)</f>
        <v>#DIV/0!</v>
      </c>
      <c r="AT200" s="1116"/>
      <c r="AU200" s="1582">
        <f t="shared" si="254"/>
        <v>22</v>
      </c>
      <c r="AV200" s="2850" t="e">
        <f>IF($AU200=$AU$113,MIRR(($AU$233:$BC$233,BD240),FinR,ReinvR),0)</f>
        <v>#DIV/0!</v>
      </c>
      <c r="AW200" s="2834" t="e">
        <f>IF($AU200=$AU$113,MIRR(($AU$233:$BH$233,BI240),FinR,ReinvR),0)</f>
        <v>#DIV/0!</v>
      </c>
      <c r="AX200" s="1116"/>
      <c r="AY200" s="1582">
        <f t="shared" si="255"/>
        <v>22</v>
      </c>
      <c r="AZ200" s="1594">
        <f>IF($N200=$AU$113,$AU233+NPV(DiscRDE,(Calc!AV233:BC233,BD238)),0)</f>
        <v>0</v>
      </c>
      <c r="BA200" s="2037">
        <f>IF($N200=$AU$113,$AU233+NPV(DiscRDE,(Calc!AV233:BH233,BI238)),0)</f>
        <v>0</v>
      </c>
      <c r="BB200" s="1116"/>
      <c r="BC200" s="1582">
        <f t="shared" si="256"/>
        <v>22</v>
      </c>
      <c r="BD200" s="1594">
        <f>IF($N200=$AU$113,$AU233+NPV(DiscRDE,(Calc!AV233:BC233,BD240)),0)</f>
        <v>0</v>
      </c>
      <c r="BE200" s="2037">
        <f>IF($N200=$AU$113,$AU233+NPV(DiscRDE,(Calc!AV233:BH233,BI240)),0)</f>
        <v>0</v>
      </c>
      <c r="BF200" s="1116"/>
      <c r="BG200" s="1582">
        <f t="shared" si="257"/>
        <v>22</v>
      </c>
      <c r="BH200" s="2850" t="e">
        <f>IF($BG200=$AU$113,IRR(($AU$233:$BC$233,BD238)),0)</f>
        <v>#NUM!</v>
      </c>
      <c r="BI200" s="2834" t="e">
        <f>IF($BG200=$AU$113,IRR(($AU$233:$BH$233,BI238)),0)</f>
        <v>#NUM!</v>
      </c>
      <c r="BJ200" s="1476"/>
      <c r="BK200" s="1582">
        <f t="shared" si="258"/>
        <v>22</v>
      </c>
      <c r="BL200" s="2850" t="e">
        <f>IF($BG200=$AU$113,IRR(($AU$233:$BC$233,BD240)),0)</f>
        <v>#NUM!</v>
      </c>
      <c r="BM200" s="2834" t="e">
        <f>IF($BG200=$AU$113,IRR(($AU$233:$BH$233,BI240)),0)</f>
        <v>#NUM!</v>
      </c>
      <c r="BN200" s="2839"/>
      <c r="BO200" s="1070"/>
      <c r="BP200" s="1070"/>
      <c r="BQ200" s="1070"/>
      <c r="BR200" s="1070"/>
      <c r="BS200" s="1070"/>
      <c r="BT200" s="1070"/>
      <c r="BU200" s="1070"/>
      <c r="BV200" s="1070"/>
      <c r="BW200" s="1070"/>
    </row>
    <row r="201" spans="1:75" ht="15.6" outlineLevel="1" x14ac:dyDescent="0.3">
      <c r="A201" s="1070"/>
      <c r="B201" s="1070"/>
      <c r="C201" s="1070"/>
      <c r="D201" s="1527"/>
      <c r="E201" s="1142"/>
      <c r="F201" s="1582">
        <f t="shared" si="244"/>
        <v>23</v>
      </c>
      <c r="G201" s="2850">
        <f>IF($F201=$L$113,MIRR(($L$233:$T$233,U238),FinR,ReinvR),0)</f>
        <v>0.60512795601618707</v>
      </c>
      <c r="H201" s="2834">
        <f>IF($F201=$L$113,MIRR(($L$233:$Y$233,Z238),FinR,ReinvR),0)</f>
        <v>0.45242878312381785</v>
      </c>
      <c r="I201" s="2834"/>
      <c r="J201" s="1582">
        <f t="shared" si="245"/>
        <v>23</v>
      </c>
      <c r="K201" s="2850">
        <f>IF($J201=$L$113,MIRR(($L$233:$T$233,U240),FinR,ReinvR),0)</f>
        <v>0.73482194999599804</v>
      </c>
      <c r="L201" s="2834">
        <f>IF($J201=$L$113,MIRR(($L$233:$Y$233,Z240),FinR,ReinvR),0)</f>
        <v>0.45252525541337207</v>
      </c>
      <c r="M201" s="2840"/>
      <c r="N201" s="1582">
        <f t="shared" si="246"/>
        <v>23</v>
      </c>
      <c r="O201" s="1594">
        <f>IF($N201=$L$113,$L233+NPV(DiscR,(Calc!M233:T233,U238)),0)</f>
        <v>245657.65001705755</v>
      </c>
      <c r="P201" s="2037">
        <f>IF($N201=$L$113,$L233+NPV(DiscR,(Calc!M233:Y233,Z238)),0)</f>
        <v>349816.59905666887</v>
      </c>
      <c r="Q201" s="1476"/>
      <c r="R201" s="1582">
        <f t="shared" si="247"/>
        <v>23</v>
      </c>
      <c r="S201" s="1594">
        <f>IF($R201=$L$113,$L233+NPV(DiscR,(Calc!M233:T233,U240)),0)</f>
        <v>486950.7770411669</v>
      </c>
      <c r="T201" s="2037">
        <f>IF($R201=$L$113,$L233+NPV(DiscR,(Calc!M233:Y233,Z240)),0)</f>
        <v>350106.38803415181</v>
      </c>
      <c r="U201" s="2837"/>
      <c r="V201" s="1582">
        <f t="shared" si="248"/>
        <v>23</v>
      </c>
      <c r="W201" s="2850">
        <f>IF($V201=$L$113,IRR(($L$233:$T$233,U238)),0)</f>
        <v>1.7929634980441564</v>
      </c>
      <c r="X201" s="2834">
        <f>IF($V201=$L$113,IRR(($L$233:$Y$233,Z238)),0)</f>
        <v>1.793709957337994</v>
      </c>
      <c r="Y201" s="1476"/>
      <c r="Z201" s="1582">
        <f t="shared" si="249"/>
        <v>23</v>
      </c>
      <c r="AA201" s="2850">
        <f>IF($Z201=$L$113,IRR(($L$233:$T$233,U240)),0)</f>
        <v>1.8016858456953573</v>
      </c>
      <c r="AB201" s="2834">
        <f>IF($Z201=$L$113,IRR(($L$233:$Y$233,Z240)),0)</f>
        <v>1.7937100833675403</v>
      </c>
      <c r="AC201" s="1648"/>
      <c r="AD201" s="2841"/>
      <c r="AE201" s="2841"/>
      <c r="AF201" s="2575" t="e">
        <f>DefExitFY+14</f>
        <v>#VALUE!</v>
      </c>
      <c r="AG201" s="1476"/>
      <c r="AH201" s="2851" t="e">
        <f t="shared" ref="AH201:AH203" si="259">Y177</f>
        <v>#VALUE!</v>
      </c>
      <c r="AI201" s="2852" t="e">
        <f t="shared" ref="AI201:AI203" si="260">AE177</f>
        <v>#VALUE!</v>
      </c>
      <c r="AJ201" s="1476"/>
      <c r="AK201" s="1476"/>
      <c r="AL201" s="1476"/>
      <c r="AM201" s="1476"/>
      <c r="AN201" s="1142"/>
      <c r="AO201" s="1142"/>
      <c r="AP201" s="1741"/>
      <c r="AQ201" s="1582">
        <f t="shared" si="253"/>
        <v>23</v>
      </c>
      <c r="AR201" s="2850" t="e">
        <f>IF($AQ201=$AV$113,MIRR(($AV$233:$BD$233,BE238),FinR,ReinvR),0)</f>
        <v>#DIV/0!</v>
      </c>
      <c r="AS201" s="2834" t="e">
        <f>IF($AQ201=$AV$113,MIRR(($AV$233:$BI$233,BJ238),FinR,ReinvR),0)</f>
        <v>#DIV/0!</v>
      </c>
      <c r="AT201" s="1116"/>
      <c r="AU201" s="1582">
        <f t="shared" si="254"/>
        <v>23</v>
      </c>
      <c r="AV201" s="2850" t="e">
        <f>IF($AU201=$AV$113,MIRR(($AV$233:$BD$233,BE240),FinR,ReinvR),0)</f>
        <v>#DIV/0!</v>
      </c>
      <c r="AW201" s="2834" t="e">
        <f>IF($AU201=$AV$113,MIRR(($AV$233:$BI$233,BJ240),FinR,ReinvR),0)</f>
        <v>#DIV/0!</v>
      </c>
      <c r="AX201" s="1116"/>
      <c r="AY201" s="1582">
        <f t="shared" si="255"/>
        <v>23</v>
      </c>
      <c r="AZ201" s="1594">
        <f>IF($N201=$AV$113,$AV233+NPV(DiscRDE,(Calc!AW233:BD233,BE238)),0)</f>
        <v>0</v>
      </c>
      <c r="BA201" s="2037">
        <f>IF($N201=$AV$113,$AV233+NPV(DiscRDE,(Calc!AW233:BI233,BJ238)),0)</f>
        <v>0</v>
      </c>
      <c r="BB201" s="1116"/>
      <c r="BC201" s="1582">
        <f t="shared" si="256"/>
        <v>23</v>
      </c>
      <c r="BD201" s="1594">
        <f>IF($N201=$AV$113,$AV233+NPV(DiscRDE,(Calc!AW233:BD233,BE240)),0)</f>
        <v>0</v>
      </c>
      <c r="BE201" s="2037">
        <f>IF($N201=$AV$113,$AV233+NPV(DiscRDE,(Calc!AW233:BI233,BJ240)),0)</f>
        <v>0</v>
      </c>
      <c r="BF201" s="1116"/>
      <c r="BG201" s="1582">
        <f t="shared" si="257"/>
        <v>23</v>
      </c>
      <c r="BH201" s="2850" t="e">
        <f>IF($BG201=$AV$113,IRR(($AV$233:$BD$233,BE238)),0)</f>
        <v>#NUM!</v>
      </c>
      <c r="BI201" s="2834" t="e">
        <f>IF($BG201=$AV$113,IRR(($AV$233:$BI$233,BJ238)),0)</f>
        <v>#NUM!</v>
      </c>
      <c r="BJ201" s="1476"/>
      <c r="BK201" s="1582">
        <f t="shared" si="258"/>
        <v>23</v>
      </c>
      <c r="BL201" s="2850" t="e">
        <f>IF($BG201=$AV$113,IRR(($AV$233:$BD$233,BE240)),0)</f>
        <v>#NUM!</v>
      </c>
      <c r="BM201" s="2834" t="e">
        <f>IF($BG201=$AV$113,IRR(($AV$233:$BI$233,BJ240)),0)</f>
        <v>#NUM!</v>
      </c>
      <c r="BN201" s="2839"/>
      <c r="BO201" s="1070"/>
      <c r="BP201" s="1070"/>
      <c r="BQ201" s="1070"/>
      <c r="BR201" s="1070"/>
      <c r="BS201" s="1070"/>
      <c r="BT201" s="1070"/>
      <c r="BU201" s="1070"/>
      <c r="BV201" s="1070"/>
      <c r="BW201" s="1070"/>
    </row>
    <row r="202" spans="1:75" ht="15.6" outlineLevel="1" x14ac:dyDescent="0.3">
      <c r="A202" s="1070"/>
      <c r="B202" s="1070"/>
      <c r="C202" s="1070"/>
      <c r="D202" s="1527"/>
      <c r="E202" s="1142"/>
      <c r="F202" s="1582">
        <f t="shared" si="244"/>
        <v>24</v>
      </c>
      <c r="G202" s="2850" t="e">
        <f>IF($F202=$M$113,MIRR(($M$233:$U$233,V238),FinR,ReinvR),0)</f>
        <v>#DIV/0!</v>
      </c>
      <c r="H202" s="2834" t="e">
        <f>IF($F202=$M$113,MIRR(($M$233:$Z$233,AA238),FinR,ReinvR),0)</f>
        <v>#DIV/0!</v>
      </c>
      <c r="I202" s="2834"/>
      <c r="J202" s="1582">
        <f t="shared" si="245"/>
        <v>24</v>
      </c>
      <c r="K202" s="2850" t="e">
        <f>IF($J202=$M$113,MIRR(($M$233:$U$233,V240),FinR,ReinvR),0)</f>
        <v>#DIV/0!</v>
      </c>
      <c r="L202" s="2834" t="e">
        <f>IF($J202=$M$113,MIRR(($M$233:$Z$233,AA240),FinR,ReinvR),0)</f>
        <v>#DIV/0!</v>
      </c>
      <c r="M202" s="2840"/>
      <c r="N202" s="1582">
        <f t="shared" si="246"/>
        <v>24</v>
      </c>
      <c r="O202" s="1594">
        <f>IF($N202=$M$113,$M233+NPV(DiscR,(Calc!N233:U233,V238)),0)</f>
        <v>330669.28349692462</v>
      </c>
      <c r="P202" s="2037">
        <f>IF($N202=$M$113,$M233+NPV(DiscR,(Calc!N233:Z233,AA238)),0)</f>
        <v>415922.30525375163</v>
      </c>
      <c r="Q202" s="1476"/>
      <c r="R202" s="1582">
        <f t="shared" si="247"/>
        <v>24</v>
      </c>
      <c r="S202" s="1594">
        <f>IF($R202=$M$113,$M233+NPV(DiscR,(Calc!N233:U233,V240)),0)</f>
        <v>601595.16835461964</v>
      </c>
      <c r="T202" s="2037">
        <f>IF($R202=$M$113,$M233+NPV(DiscR,(Calc!N233:Z233,AA240)),0)</f>
        <v>415922.30525375163</v>
      </c>
      <c r="U202" s="2837"/>
      <c r="V202" s="1582">
        <f t="shared" si="248"/>
        <v>24</v>
      </c>
      <c r="W202" s="2850" t="e">
        <f>IF($V202=$M$113,IRR(($M$233:$U$233,V238)),0)</f>
        <v>#NUM!</v>
      </c>
      <c r="X202" s="2834" t="e">
        <f>IF($V202=$M$113,IRR(($M$233:$Z$233,AA238)),0)</f>
        <v>#NUM!</v>
      </c>
      <c r="Y202" s="1476"/>
      <c r="Z202" s="1582">
        <f t="shared" si="249"/>
        <v>24</v>
      </c>
      <c r="AA202" s="2850" t="e">
        <f>IF($Z202=$M$113,IRR(($M$233:$U$233,V240)),0)</f>
        <v>#NUM!</v>
      </c>
      <c r="AB202" s="2834" t="e">
        <f>IF($Z202=$M$113,IRR(($M$233:$Z$233,AA240)),0)</f>
        <v>#NUM!</v>
      </c>
      <c r="AC202" s="1648"/>
      <c r="AD202" s="1476"/>
      <c r="AE202" s="1476"/>
      <c r="AF202" s="2575">
        <f>CurrentFY+14</f>
        <v>32</v>
      </c>
      <c r="AG202" s="1476"/>
      <c r="AH202" s="2851">
        <f t="shared" si="259"/>
        <v>0</v>
      </c>
      <c r="AI202" s="2852">
        <f t="shared" si="260"/>
        <v>0</v>
      </c>
      <c r="AJ202" s="1476"/>
      <c r="AK202" s="1476"/>
      <c r="AL202" s="1476"/>
      <c r="AM202" s="1476"/>
      <c r="AN202" s="1142"/>
      <c r="AO202" s="1142"/>
      <c r="AP202" s="1741"/>
      <c r="AQ202" s="1582">
        <f t="shared" si="253"/>
        <v>24</v>
      </c>
      <c r="AR202" s="2850" t="e">
        <f>IF($AQ202=$AW$113,MIRR(($AW$233:$BE$233,BF238),FinR,ReinvR),0)</f>
        <v>#DIV/0!</v>
      </c>
      <c r="AS202" s="2834" t="e">
        <f>IF($AQ202=$AW$113,MIRR(($AW$233:$BJ$233,BK238),FinR,ReinvR),0)</f>
        <v>#DIV/0!</v>
      </c>
      <c r="AT202" s="1116"/>
      <c r="AU202" s="1582">
        <f t="shared" si="254"/>
        <v>24</v>
      </c>
      <c r="AV202" s="2850" t="e">
        <f>IF($AU202=$AW$113,MIRR(($AW$233:$BE$233,BF240),FinR,ReinvR),0)</f>
        <v>#DIV/0!</v>
      </c>
      <c r="AW202" s="2834" t="e">
        <f>IF($AU202=$AW$113,MIRR(($AW$233:$BJ$233,BK240),FinR,ReinvR),0)</f>
        <v>#DIV/0!</v>
      </c>
      <c r="AX202" s="1116"/>
      <c r="AY202" s="1582">
        <f t="shared" si="255"/>
        <v>24</v>
      </c>
      <c r="AZ202" s="1594">
        <f>IF($N202=$AW$113,$AW233+NPV(DiscRDE,(Calc!AX233:BE233,BF238)),0)</f>
        <v>0</v>
      </c>
      <c r="BA202" s="2037">
        <f>IF($N202=$AW$113,$AW233+NPV(DiscRDE,(Calc!AX233:BJ233,BK238)),0)</f>
        <v>0</v>
      </c>
      <c r="BB202" s="1116"/>
      <c r="BC202" s="1582">
        <f t="shared" si="256"/>
        <v>24</v>
      </c>
      <c r="BD202" s="1594">
        <f>IF($N202=$AW$113,$AW233+NPV(DiscRDE,(Calc!AX233:BE233,BF240)),0)</f>
        <v>0</v>
      </c>
      <c r="BE202" s="2037">
        <f>IF($N202=$AW$113,$AW233+NPV(DiscRDE,(Calc!AX233:BJ233,BK240)),0)</f>
        <v>0</v>
      </c>
      <c r="BF202" s="1116"/>
      <c r="BG202" s="1582">
        <f t="shared" si="257"/>
        <v>24</v>
      </c>
      <c r="BH202" s="2850" t="e">
        <f>IF($BG202=$AW$113,IRR(($AW$233:$BE$233,BF238)),0)</f>
        <v>#NUM!</v>
      </c>
      <c r="BI202" s="2834" t="e">
        <f>IF($BG202=$AW$113,IRR(($AW$233:$BJ$233,BK238)),0)</f>
        <v>#NUM!</v>
      </c>
      <c r="BJ202" s="1476"/>
      <c r="BK202" s="1582">
        <f t="shared" si="258"/>
        <v>24</v>
      </c>
      <c r="BL202" s="2850" t="e">
        <f>IF($BG202=$AW$113,IRR(($AW$233:$BE$233,BF240)),0)</f>
        <v>#NUM!</v>
      </c>
      <c r="BM202" s="2834" t="e">
        <f>IF($BG202=$AW$113,IRR(($AW$233:$BJ$233,BK240)),0)</f>
        <v>#NUM!</v>
      </c>
      <c r="BN202" s="2839"/>
      <c r="BO202" s="1070"/>
      <c r="BP202" s="1070"/>
      <c r="BQ202" s="1070"/>
      <c r="BR202" s="1070"/>
      <c r="BS202" s="1070"/>
      <c r="BT202" s="1070"/>
      <c r="BU202" s="1070"/>
      <c r="BV202" s="1070"/>
      <c r="BW202" s="1070"/>
    </row>
    <row r="203" spans="1:75" ht="15.6" outlineLevel="1" x14ac:dyDescent="0.3">
      <c r="A203" s="1070"/>
      <c r="B203" s="1070"/>
      <c r="C203" s="1070"/>
      <c r="D203" s="1527"/>
      <c r="E203" s="1142"/>
      <c r="F203" s="1582">
        <f t="shared" si="244"/>
        <v>25</v>
      </c>
      <c r="G203" s="2850" t="e">
        <f>IF($F203=$N$113,MIRR(($N$233:$V$233,W238),FinR,ReinvR),0)</f>
        <v>#DIV/0!</v>
      </c>
      <c r="H203" s="2834" t="e">
        <f>IF($F203=$N$113,MIRR(($N$233:$AA$233,AB238),FinR,ReinvR),0)</f>
        <v>#DIV/0!</v>
      </c>
      <c r="I203" s="2834"/>
      <c r="J203" s="1582">
        <f t="shared" si="245"/>
        <v>25</v>
      </c>
      <c r="K203" s="2850" t="e">
        <f>IF($J203=$N$113,MIRR(($N$233:$V$233,W240),FinR,ReinvR),0)</f>
        <v>#DIV/0!</v>
      </c>
      <c r="L203" s="2834" t="e">
        <f>IF($J203=$N$113,MIRR(($N$233:$AA$233,AB240),FinR,ReinvR),0)</f>
        <v>#DIV/0!</v>
      </c>
      <c r="M203" s="2840"/>
      <c r="N203" s="1582">
        <f t="shared" si="246"/>
        <v>25</v>
      </c>
      <c r="O203" s="1594">
        <f>IF($N203=$N$113,$N233+NPV(DiscR,(Calc!O233:V233,W238)),0)</f>
        <v>405178.95679317368</v>
      </c>
      <c r="P203" s="2037">
        <f>IF($N203=$N$113,$N233+NPV(DiscR,(Calc!O233:AA233,AB238)),0)</f>
        <v>463815.02543301432</v>
      </c>
      <c r="Q203" s="1476"/>
      <c r="R203" s="1582">
        <f t="shared" si="247"/>
        <v>25</v>
      </c>
      <c r="S203" s="1594">
        <f>IF($R203=$N$113,$N233+NPV(DiscR,(Calc!O233:V233,W240)),0)</f>
        <v>714355.91454794817</v>
      </c>
      <c r="T203" s="2037">
        <f>IF($R203=$N$113,$N233+NPV(DiscR,(Calc!O233:AA233,AB240)),0)</f>
        <v>463815.02543301432</v>
      </c>
      <c r="U203" s="2837"/>
      <c r="V203" s="1582">
        <f t="shared" si="248"/>
        <v>25</v>
      </c>
      <c r="W203" s="2850" t="e">
        <f>IF($V203=$N$113,IRR(($N$233:$V$233,W238)),0)</f>
        <v>#NUM!</v>
      </c>
      <c r="X203" s="2834" t="e">
        <f>IF($V203=$N$113,IRR(($N$233:$AA$233,AB238)),0)</f>
        <v>#NUM!</v>
      </c>
      <c r="Y203" s="1476"/>
      <c r="Z203" s="1582">
        <f t="shared" si="249"/>
        <v>25</v>
      </c>
      <c r="AA203" s="2850" t="e">
        <f>IF($Z203=$N$113,IRR(($N$233:$V$233,W240)),0)</f>
        <v>#NUM!</v>
      </c>
      <c r="AB203" s="2834" t="e">
        <f>IF($Z203=$N$113,IRR(($N$233:$AA$233,AB240)),0)</f>
        <v>#NUM!</v>
      </c>
      <c r="AC203" s="1648"/>
      <c r="AD203" s="1476"/>
      <c r="AE203" s="1476"/>
      <c r="AF203" s="2789" t="e">
        <f>ASRFY+14</f>
        <v>#VALUE!</v>
      </c>
      <c r="AG203" s="2810"/>
      <c r="AH203" s="2853" t="e">
        <f t="shared" si="259"/>
        <v>#VALUE!</v>
      </c>
      <c r="AI203" s="2854" t="e">
        <f t="shared" si="260"/>
        <v>#VALUE!</v>
      </c>
      <c r="AJ203" s="1476"/>
      <c r="AK203" s="1476"/>
      <c r="AL203" s="1476"/>
      <c r="AM203" s="1476"/>
      <c r="AN203" s="1142"/>
      <c r="AO203" s="1142"/>
      <c r="AP203" s="1741"/>
      <c r="AQ203" s="1582">
        <f t="shared" si="253"/>
        <v>25</v>
      </c>
      <c r="AR203" s="2850" t="e">
        <f>IF($AQ203=$AX$113,MIRR(($AX$233:$BF$233,BG238),FinR,ReinvR),0)</f>
        <v>#DIV/0!</v>
      </c>
      <c r="AS203" s="2834" t="e">
        <f>IF($AQ203=$AX$113,MIRR(($AX$233:$BK$233,BL238),FinR,ReinvR),0)</f>
        <v>#DIV/0!</v>
      </c>
      <c r="AT203" s="1116"/>
      <c r="AU203" s="1582">
        <f t="shared" si="254"/>
        <v>25</v>
      </c>
      <c r="AV203" s="2850" t="e">
        <f>IF($AU203=$AX$113,MIRR(($AX$233:$BF$233,BG240),FinR,ReinvR),0)</f>
        <v>#DIV/0!</v>
      </c>
      <c r="AW203" s="2834" t="e">
        <f>IF($AU203=$AX$113,MIRR(($AX$233:$BK$233,BL240),FinR,ReinvR),0)</f>
        <v>#DIV/0!</v>
      </c>
      <c r="AX203" s="1116"/>
      <c r="AY203" s="1582">
        <f t="shared" si="255"/>
        <v>25</v>
      </c>
      <c r="AZ203" s="1594">
        <f>IF($N203=$AX$113,$AX233+NPV(DiscRDE,(Calc!AY233:BF233,BG238)),0)</f>
        <v>0</v>
      </c>
      <c r="BA203" s="2037">
        <f>IF($N203=$AX$113,$AX233+NPV(DiscRDE,(Calc!AY233:BK233,BL238)),0)</f>
        <v>0</v>
      </c>
      <c r="BB203" s="1116"/>
      <c r="BC203" s="1582">
        <f t="shared" si="256"/>
        <v>25</v>
      </c>
      <c r="BD203" s="1594">
        <f>IF($N203=$AX$113,$AX233+NPV(DiscRDE,(Calc!AY233:BF233,BG240)),0)</f>
        <v>0</v>
      </c>
      <c r="BE203" s="2037">
        <f>IF($N203=$AX$113,$AX233+NPV(DiscRDE,(Calc!AY233:BK233,BL240)),0)</f>
        <v>0</v>
      </c>
      <c r="BF203" s="1116"/>
      <c r="BG203" s="1582">
        <f t="shared" si="257"/>
        <v>25</v>
      </c>
      <c r="BH203" s="2850" t="e">
        <f>IF($BG203=$AX$113,IRR(($AX$233:$BF$233,BG238)),0)</f>
        <v>#NUM!</v>
      </c>
      <c r="BI203" s="2834" t="e">
        <f>IF($BG203=$AX$113,IRR(($AX$233:$BK$233,BL238)),0)</f>
        <v>#NUM!</v>
      </c>
      <c r="BJ203" s="1476"/>
      <c r="BK203" s="1582">
        <f t="shared" si="258"/>
        <v>25</v>
      </c>
      <c r="BL203" s="2850" t="e">
        <f>IF($BG203=$AX$113,IRR(($AX$233:$BF$233,BG240)),0)</f>
        <v>#NUM!</v>
      </c>
      <c r="BM203" s="2834" t="e">
        <f>IF($BG203=$AX$113,IRR(($AX$233:$BK$233,BL240)),0)</f>
        <v>#NUM!</v>
      </c>
      <c r="BN203" s="2839"/>
      <c r="BO203" s="1070"/>
      <c r="BP203" s="1070"/>
      <c r="BQ203" s="1070"/>
      <c r="BR203" s="1070"/>
      <c r="BS203" s="1070"/>
      <c r="BT203" s="1070"/>
      <c r="BU203" s="1070"/>
      <c r="BV203" s="1070"/>
      <c r="BW203" s="1070"/>
    </row>
    <row r="204" spans="1:75" outlineLevel="1" x14ac:dyDescent="0.3">
      <c r="A204" s="1070"/>
      <c r="B204" s="1070"/>
      <c r="C204" s="1070"/>
      <c r="D204" s="1527"/>
      <c r="E204" s="1142"/>
      <c r="F204" s="1582">
        <f t="shared" si="244"/>
        <v>26</v>
      </c>
      <c r="G204" s="2850" t="e">
        <f>IF($F204=$O$113,MIRR(($O$233:$W$233,X238),FinR,ReinvR),0)</f>
        <v>#DIV/0!</v>
      </c>
      <c r="H204" s="2834" t="e">
        <f>IF($F204=$O$113,MIRR(($O$233:$AB$233,AC238),FinR,ReinvR),0)</f>
        <v>#DIV/0!</v>
      </c>
      <c r="I204" s="2834"/>
      <c r="J204" s="1582">
        <f t="shared" si="245"/>
        <v>26</v>
      </c>
      <c r="K204" s="2850" t="e">
        <f>IF($J204=$O$113,MIRR(($O$233:$W$233,X240),FinR,ReinvR),0)</f>
        <v>#DIV/0!</v>
      </c>
      <c r="L204" s="2834" t="e">
        <f>IF($J204=$O$113,MIRR(($O$233:$AB$233,AC240),FinR,ReinvR),0)</f>
        <v>#DIV/0!</v>
      </c>
      <c r="M204" s="2840"/>
      <c r="N204" s="1582">
        <f t="shared" si="246"/>
        <v>26</v>
      </c>
      <c r="O204" s="1594">
        <f>IF($N204=$O$113,$O233+NPV(DiscR,(Calc!P233:W233,X238)),0)</f>
        <v>491663.64138446748</v>
      </c>
      <c r="P204" s="2037">
        <f>IF($N204=$O$113,$O233+NPV(DiscR,(Calc!P233:AB233,AC238)),0)</f>
        <v>501330.74595980207</v>
      </c>
      <c r="Q204" s="1476"/>
      <c r="R204" s="1582">
        <f t="shared" si="247"/>
        <v>26</v>
      </c>
      <c r="S204" s="1594">
        <f>IF($R204=$O$113,$O233+NPV(DiscR,(Calc!P233:W233,X240)),0)</f>
        <v>944891.8094436347</v>
      </c>
      <c r="T204" s="2037">
        <f>IF($R204=$O$113,$O233+NPV(DiscR,(Calc!P233:AB233,AC240)),0)</f>
        <v>501330.74595980207</v>
      </c>
      <c r="U204" s="2837"/>
      <c r="V204" s="1582">
        <f t="shared" si="248"/>
        <v>26</v>
      </c>
      <c r="W204" s="2850" t="e">
        <f>IF($V204=$O$113,IRR(($O$233:$W$233,X238)),0)</f>
        <v>#NUM!</v>
      </c>
      <c r="X204" s="2834" t="e">
        <f>IF($V204=$O$113,IRR(($O$233:$AB$233,AC238)),0)</f>
        <v>#NUM!</v>
      </c>
      <c r="Y204" s="1476"/>
      <c r="Z204" s="1582">
        <f t="shared" si="249"/>
        <v>26</v>
      </c>
      <c r="AA204" s="2850" t="e">
        <f>IF($Z204=$O$113,IRR(($O$233:$W$233,X240)),0)</f>
        <v>#NUM!</v>
      </c>
      <c r="AB204" s="2834" t="e">
        <f>IF($Z204=$O$113,IRR(($O$233:$AB$233,AC240)),0)</f>
        <v>#NUM!</v>
      </c>
      <c r="AC204" s="1648"/>
      <c r="AD204" s="1476"/>
      <c r="AE204" s="1476"/>
      <c r="AF204" s="1476"/>
      <c r="AG204" s="1476"/>
      <c r="AH204" s="1476"/>
      <c r="AI204" s="1476"/>
      <c r="AJ204" s="1476"/>
      <c r="AK204" s="1476"/>
      <c r="AL204" s="1476"/>
      <c r="AM204" s="1476"/>
      <c r="AN204" s="1142"/>
      <c r="AO204" s="1142"/>
      <c r="AP204" s="1741"/>
      <c r="AQ204" s="1582">
        <f t="shared" si="253"/>
        <v>26</v>
      </c>
      <c r="AR204" s="2850" t="e">
        <f>IF($AQ204=$AY$113,MIRR(($AY$233:$BG$233,BH238),FinR,ReinvR),0)</f>
        <v>#DIV/0!</v>
      </c>
      <c r="AS204" s="2834" t="e">
        <f>IF($AQ204=$AY$113,MIRR(($AY$233:$BL$233,BM238),FinR,ReinvR),0)</f>
        <v>#DIV/0!</v>
      </c>
      <c r="AT204" s="1116"/>
      <c r="AU204" s="1582">
        <f t="shared" si="254"/>
        <v>26</v>
      </c>
      <c r="AV204" s="2850" t="e">
        <f>IF($AU204=$AY$113,MIRR(($AY$233:$BG$233,BH240),FinR,ReinvR),0)</f>
        <v>#DIV/0!</v>
      </c>
      <c r="AW204" s="2834" t="e">
        <f>IF($AU204=$AY$113,MIRR(($AY$233:$BL$233,BM240),FinR,ReinvR),0)</f>
        <v>#DIV/0!</v>
      </c>
      <c r="AX204" s="1116"/>
      <c r="AY204" s="1582">
        <f t="shared" si="255"/>
        <v>26</v>
      </c>
      <c r="AZ204" s="1594">
        <f>IF($N204=$AY$113,$AY233+NPV(DiscRDE,(Calc!AZ233:BG233,BH238)),0)</f>
        <v>0</v>
      </c>
      <c r="BA204" s="2037">
        <f>IF($N204=$AY$113,$AY233+NPV(DiscRDE,(Calc!AZ233:BL233,BM238)),0)</f>
        <v>0</v>
      </c>
      <c r="BB204" s="1116"/>
      <c r="BC204" s="1582">
        <f t="shared" si="256"/>
        <v>26</v>
      </c>
      <c r="BD204" s="1594">
        <f>IF($N204=$AY$113,$AY233+NPV(DiscRDE,(Calc!AZ233:BG233,BH240)),0)</f>
        <v>0</v>
      </c>
      <c r="BE204" s="2037">
        <f>IF($N204=$AY$113,$AY233+NPV(DiscRDE,(Calc!AZ233:BL233,BM240)),0)</f>
        <v>0</v>
      </c>
      <c r="BF204" s="1116"/>
      <c r="BG204" s="1582">
        <f t="shared" si="257"/>
        <v>26</v>
      </c>
      <c r="BH204" s="2850" t="e">
        <f>IF($BG204=$AY$113,IRR(($AY$233:$BG$233,BH238)),0)</f>
        <v>#NUM!</v>
      </c>
      <c r="BI204" s="2834" t="e">
        <f>IF($BG204=$AY$113,IRR(($AY$233:$BL$233,BM238)),0)</f>
        <v>#NUM!</v>
      </c>
      <c r="BJ204" s="1476"/>
      <c r="BK204" s="1582">
        <f t="shared" si="258"/>
        <v>26</v>
      </c>
      <c r="BL204" s="2850" t="e">
        <f>IF($BG204=$AY$113,IRR(($AY$233:$BG$233,BH240)),0)</f>
        <v>#NUM!</v>
      </c>
      <c r="BM204" s="2834" t="e">
        <f>IF($BG204=$AY$113,IRR(($AY$233:$BL$233,BM240)),0)</f>
        <v>#NUM!</v>
      </c>
      <c r="BN204" s="2839"/>
      <c r="BO204" s="1070"/>
      <c r="BP204" s="1070"/>
      <c r="BQ204" s="1070"/>
      <c r="BR204" s="1070"/>
      <c r="BS204" s="1070"/>
      <c r="BT204" s="1070"/>
      <c r="BU204" s="1070"/>
      <c r="BV204" s="1070"/>
      <c r="BW204" s="1070"/>
    </row>
    <row r="205" spans="1:75" outlineLevel="1" x14ac:dyDescent="0.3">
      <c r="A205" s="1070"/>
      <c r="B205" s="1070"/>
      <c r="C205" s="1070"/>
      <c r="D205" s="1527"/>
      <c r="E205" s="1142"/>
      <c r="F205" s="1582">
        <f t="shared" si="244"/>
        <v>27</v>
      </c>
      <c r="G205" s="2850" t="e">
        <f>IF($F205=$P$113,MIRR(($P$233:$X$233,Y238),FinR,ReinvR),0)</f>
        <v>#DIV/0!</v>
      </c>
      <c r="H205" s="2834" t="e">
        <f>IF($F205=$P$113,MIRR(($P$233:$AC$233,AD238),FinR,ReinvR),0)</f>
        <v>#DIV/0!</v>
      </c>
      <c r="I205" s="2834"/>
      <c r="J205" s="1582">
        <f t="shared" si="245"/>
        <v>27</v>
      </c>
      <c r="K205" s="2850" t="e">
        <f>IF($J205=$P$113,MIRR(($P$233:$X$233,Y240),FinR,ReinvR),0)</f>
        <v>#DIV/0!</v>
      </c>
      <c r="L205" s="2834" t="e">
        <f>IF($J205=$P$113,MIRR(($P$233:$AC$233,AD240),FinR,ReinvR),0)</f>
        <v>#DIV/0!</v>
      </c>
      <c r="M205" s="2840"/>
      <c r="N205" s="1582">
        <f t="shared" si="246"/>
        <v>27</v>
      </c>
      <c r="O205" s="1594">
        <f>IF($N205=$P$113,$P233+NPV(DiscR,(Calc!Q233:X233,Y238)),0)</f>
        <v>523842.44278082962</v>
      </c>
      <c r="P205" s="2037">
        <f>IF($N205=$P$113,$P233+NPV(DiscR,(Calc!Q233:AC233,AD238)),0)</f>
        <v>523907.0403840295</v>
      </c>
      <c r="Q205" s="1476"/>
      <c r="R205" s="1582">
        <f t="shared" si="247"/>
        <v>27</v>
      </c>
      <c r="S205" s="1594">
        <f>IF($R205=$P$113,$P233+NPV(DiscR,(Calc!Q233:X233,Y240)),0)</f>
        <v>610562.62825470418</v>
      </c>
      <c r="T205" s="2037">
        <f>IF($R205=$P$113,$P233+NPV(DiscR,(Calc!Q233:AC233,AD240)),0)</f>
        <v>523907.0403840295</v>
      </c>
      <c r="U205" s="2837"/>
      <c r="V205" s="1582">
        <f t="shared" si="248"/>
        <v>27</v>
      </c>
      <c r="W205" s="2850" t="e">
        <f>IF($V205=$P$113,IRR(($P$233:$X$233,Y238)),0)</f>
        <v>#NUM!</v>
      </c>
      <c r="X205" s="2834" t="e">
        <f>IF($V205=$P$113,IRR(($P$233:$AC$233,AD238)),0)</f>
        <v>#NUM!</v>
      </c>
      <c r="Y205" s="1476"/>
      <c r="Z205" s="1582">
        <f t="shared" si="249"/>
        <v>27</v>
      </c>
      <c r="AA205" s="2850" t="e">
        <f>IF($Z205=$P$113,IRR(($P$233:$X$233,Y240)),0)</f>
        <v>#NUM!</v>
      </c>
      <c r="AB205" s="2834" t="e">
        <f>IF($Z205=$P$113,IRR(($P$233:$AC$233,AD240)),0)</f>
        <v>#NUM!</v>
      </c>
      <c r="AC205" s="1648"/>
      <c r="AD205" s="1476"/>
      <c r="AE205" s="1476"/>
      <c r="AF205" s="1476"/>
      <c r="AG205" s="1476"/>
      <c r="AH205" s="1476"/>
      <c r="AI205" s="1476"/>
      <c r="AJ205" s="1476"/>
      <c r="AK205" s="1476"/>
      <c r="AL205" s="1476"/>
      <c r="AM205" s="1476"/>
      <c r="AN205" s="1142"/>
      <c r="AO205" s="1142"/>
      <c r="AP205" s="1741"/>
      <c r="AQ205" s="1582">
        <f t="shared" si="253"/>
        <v>27</v>
      </c>
      <c r="AR205" s="2850" t="e">
        <f>IF($AQ205=$AZ$113,MIRR(($AZ$233:$BH$233,BI238),FinR,ReinvR),0)</f>
        <v>#DIV/0!</v>
      </c>
      <c r="AS205" s="2834" t="e">
        <f>IF($AQ205=$AZ$113,MIRR(($AZ$233:$BM$233,BN238),FinR,ReinvR),0)</f>
        <v>#DIV/0!</v>
      </c>
      <c r="AT205" s="1116"/>
      <c r="AU205" s="1582">
        <f t="shared" si="254"/>
        <v>27</v>
      </c>
      <c r="AV205" s="2850" t="e">
        <f>IF($AU205=$AZ$113,MIRR(($AZ$233:$BH$233,BI240),FinR,ReinvR),0)</f>
        <v>#DIV/0!</v>
      </c>
      <c r="AW205" s="2834" t="e">
        <f>IF($AU205=$AZ$113,MIRR(($AZ$233:$BM$233,BN240),FinR,ReinvR),0)</f>
        <v>#DIV/0!</v>
      </c>
      <c r="AX205" s="1116"/>
      <c r="AY205" s="1582">
        <f t="shared" si="255"/>
        <v>27</v>
      </c>
      <c r="AZ205" s="1594">
        <f>IF($N205=$AZ$113,$AZ233+NPV(DiscRDE,(Calc!BA233:BH233,BI238)),0)</f>
        <v>0</v>
      </c>
      <c r="BA205" s="2037">
        <f>IF($N205=$AZ$113,$AZ233+NPV(DiscRDE,(Calc!BA233:BM233,BN238)),0)</f>
        <v>0</v>
      </c>
      <c r="BB205" s="1116"/>
      <c r="BC205" s="1582">
        <f t="shared" si="256"/>
        <v>27</v>
      </c>
      <c r="BD205" s="1594">
        <f>IF($N205=$AZ$113,$AZ233+NPV(DiscRDE,(Calc!BA233:BH233,BI240)),0)</f>
        <v>0</v>
      </c>
      <c r="BE205" s="2037">
        <f>IF($N205=$AZ$113,$AZ233+NPV(DiscRDE,(Calc!BA233:BM233,BN240)),0)</f>
        <v>0</v>
      </c>
      <c r="BF205" s="1116"/>
      <c r="BG205" s="1582">
        <f t="shared" si="257"/>
        <v>27</v>
      </c>
      <c r="BH205" s="2850" t="e">
        <f>IF($BG205=$AZ$113,IRR(($AZ$233:$BH$233,BI238)),0)</f>
        <v>#NUM!</v>
      </c>
      <c r="BI205" s="2834" t="e">
        <f>IF($BG205=$AZ$113,IRR(($AZ$233:$BM$233,BN238)),0)</f>
        <v>#NUM!</v>
      </c>
      <c r="BJ205" s="1476"/>
      <c r="BK205" s="1582">
        <f t="shared" si="258"/>
        <v>27</v>
      </c>
      <c r="BL205" s="2850" t="e">
        <f>IF($BG205=$AZ$113,IRR(($AZ$233:$BH$233,BI240)),0)</f>
        <v>#NUM!</v>
      </c>
      <c r="BM205" s="2834" t="e">
        <f>IF($BG205=$AZ$113,IRR(($AZ$233:$BM$233,BN240)),0)</f>
        <v>#NUM!</v>
      </c>
      <c r="BN205" s="2839"/>
      <c r="BO205" s="1070"/>
      <c r="BP205" s="1070"/>
      <c r="BQ205" s="1070"/>
      <c r="BR205" s="1070"/>
      <c r="BS205" s="1070"/>
      <c r="BT205" s="1070"/>
      <c r="BU205" s="1070"/>
      <c r="BV205" s="1070"/>
      <c r="BW205" s="1070"/>
    </row>
    <row r="206" spans="1:75" outlineLevel="1" x14ac:dyDescent="0.3">
      <c r="A206" s="1070"/>
      <c r="B206" s="1070"/>
      <c r="C206" s="1070"/>
      <c r="D206" s="1527"/>
      <c r="E206" s="1142"/>
      <c r="F206" s="1582">
        <f t="shared" si="244"/>
        <v>28</v>
      </c>
      <c r="G206" s="2850" t="e">
        <f>IF($F206=$Q$113,MIRR(($Q$233:$Y$233,Z238),FinR,ReinvR),0)</f>
        <v>#DIV/0!</v>
      </c>
      <c r="H206" s="2834" t="e">
        <f>IF($F206=$Q$113,MIRR(($Q$233:$AD$233,AE238),FinR,ReinvR),0)</f>
        <v>#DIV/0!</v>
      </c>
      <c r="I206" s="2834"/>
      <c r="J206" s="1582">
        <f t="shared" si="245"/>
        <v>28</v>
      </c>
      <c r="K206" s="2850" t="e">
        <f>IF($J206=$Q$113,MIRR(($Q$233:$Y$233,Z240),FinR,ReinvR),0)</f>
        <v>#DIV/0!</v>
      </c>
      <c r="L206" s="2834" t="e">
        <f>IF($J206=$Q$113,MIRR(($Q$233:$AD$233,AE240),FinR,ReinvR),0)</f>
        <v>#DIV/0!</v>
      </c>
      <c r="M206" s="2840"/>
      <c r="N206" s="1582">
        <f t="shared" si="246"/>
        <v>28</v>
      </c>
      <c r="O206" s="1594">
        <f>IF($N206=$Q$113,$Q233+NPV(DiscR,(Calc!R233:Y233,Z238)),0)</f>
        <v>532855.97901935875</v>
      </c>
      <c r="P206" s="2037">
        <f>IF($N206=$Q$113,$Q233+NPV(DiscR,(Calc!R233:AD233,AE238)),0)</f>
        <v>532855.97901935875</v>
      </c>
      <c r="Q206" s="1476"/>
      <c r="R206" s="1582">
        <f t="shared" si="247"/>
        <v>28</v>
      </c>
      <c r="S206" s="1594">
        <f>IF($R206=$Q$113,$Q233+NPV(DiscR,(Calc!R233:Y233,Z240)),0)</f>
        <v>533438.84816207737</v>
      </c>
      <c r="T206" s="2037">
        <f>IF($R206=$Q$113,$Q233+NPV(DiscR,(Calc!R233:AD233,AE240)),0)</f>
        <v>532855.97901935875</v>
      </c>
      <c r="U206" s="2837"/>
      <c r="V206" s="1582">
        <f t="shared" si="248"/>
        <v>28</v>
      </c>
      <c r="W206" s="2850" t="e">
        <f>IF($V206=$Q$113,IRR(($Q$233:$Y$233,Z238)),0)</f>
        <v>#NUM!</v>
      </c>
      <c r="X206" s="2834" t="e">
        <f>IF($V206=$Q$113,IRR(($Q$233:$AD$233,AE238)),0)</f>
        <v>#NUM!</v>
      </c>
      <c r="Y206" s="1476"/>
      <c r="Z206" s="1582">
        <f t="shared" si="249"/>
        <v>28</v>
      </c>
      <c r="AA206" s="2850" t="e">
        <f>IF($Z206=$Q$113,IRR(($Q$233:$Y$233,Z240)),0)</f>
        <v>#NUM!</v>
      </c>
      <c r="AB206" s="2834" t="e">
        <f>IF($Z206=$Q$113,IRR(($Q$233:$AD$233,AE240)),0)</f>
        <v>#NUM!</v>
      </c>
      <c r="AC206" s="1648"/>
      <c r="AD206" s="1476"/>
      <c r="AE206" s="1476"/>
      <c r="AF206" s="3394" t="s">
        <v>1714</v>
      </c>
      <c r="AG206" s="3395"/>
      <c r="AH206" s="3395"/>
      <c r="AI206" s="3396"/>
      <c r="AJ206" s="1476"/>
      <c r="AK206" s="1476"/>
      <c r="AL206" s="1476"/>
      <c r="AM206" s="1476"/>
      <c r="AN206" s="1142"/>
      <c r="AO206" s="1142"/>
      <c r="AP206" s="1741"/>
      <c r="AQ206" s="1582">
        <f t="shared" si="253"/>
        <v>28</v>
      </c>
      <c r="AR206" s="2850" t="e">
        <f>IF($AQ206=$BA$113,MIRR(($BA$233:$BI$233,BJ238),FinR,ReinvR),0)</f>
        <v>#DIV/0!</v>
      </c>
      <c r="AS206" s="2834" t="e">
        <f>IF($AQ206=$BA$113,MIRR(($BA$233:$BN$233,BO238),FinR,ReinvR),0)</f>
        <v>#DIV/0!</v>
      </c>
      <c r="AT206" s="1116"/>
      <c r="AU206" s="1582">
        <f t="shared" si="254"/>
        <v>28</v>
      </c>
      <c r="AV206" s="2850" t="e">
        <f>IF($AU206=$BA$113,MIRR(($BA$233:$BI$233,BJ240),FinR,ReinvR),0)</f>
        <v>#DIV/0!</v>
      </c>
      <c r="AW206" s="2834" t="e">
        <f>IF($AU206=$BA$113,MIRR(($BA$233:$BN$233,BO240),FinR,ReinvR),0)</f>
        <v>#DIV/0!</v>
      </c>
      <c r="AX206" s="1116"/>
      <c r="AY206" s="1582">
        <f t="shared" si="255"/>
        <v>28</v>
      </c>
      <c r="AZ206" s="1594">
        <f>IF($N206=$BA$113,$BA233+NPV(DiscRDE,(Calc!BB233:BI233,BJ238)),0)</f>
        <v>0</v>
      </c>
      <c r="BA206" s="2037">
        <f>IF($N206=$BA$113,$BA233+NPV(DiscRDE,(Calc!BB233:BN233,BO238)),0)</f>
        <v>0</v>
      </c>
      <c r="BB206" s="1116"/>
      <c r="BC206" s="1582">
        <f t="shared" si="256"/>
        <v>28</v>
      </c>
      <c r="BD206" s="1594">
        <f>IF($N206=$BA$113,$BA233+NPV(DiscRDE,(Calc!BB233:BI233,BJ240)),0)</f>
        <v>0</v>
      </c>
      <c r="BE206" s="2037">
        <f>IF($N206=$BA$113,$BA233+NPV(DiscRDE,(Calc!BB233:BN233,BO240)),0)</f>
        <v>0</v>
      </c>
      <c r="BF206" s="1116"/>
      <c r="BG206" s="1582">
        <f t="shared" si="257"/>
        <v>28</v>
      </c>
      <c r="BH206" s="2850" t="e">
        <f>IF($BG206=$BA$113,IRR(($BA$233:$BI$233,BJ238)),0)</f>
        <v>#NUM!</v>
      </c>
      <c r="BI206" s="2834" t="e">
        <f>IF($BG206=$BA$113,IRR(($BA$233:$BN$233,BO238)),0)</f>
        <v>#NUM!</v>
      </c>
      <c r="BJ206" s="1476"/>
      <c r="BK206" s="1582">
        <f t="shared" si="258"/>
        <v>28</v>
      </c>
      <c r="BL206" s="2850" t="e">
        <f>IF($BG206=$BA$113,IRR(($BA$233:$BI$233,BJ240)),0)</f>
        <v>#NUM!</v>
      </c>
      <c r="BM206" s="2834" t="e">
        <f>IF($BG206=$BA$113,IRR(($BA$233:$BN$233,BO240)),0)</f>
        <v>#NUM!</v>
      </c>
      <c r="BN206" s="2839"/>
      <c r="BO206" s="1070"/>
      <c r="BP206" s="1070"/>
      <c r="BQ206" s="1070"/>
      <c r="BR206" s="1070"/>
      <c r="BS206" s="1070"/>
      <c r="BT206" s="1070"/>
      <c r="BU206" s="1070"/>
      <c r="BV206" s="1070"/>
      <c r="BW206" s="1070"/>
    </row>
    <row r="207" spans="1:75" outlineLevel="1" x14ac:dyDescent="0.3">
      <c r="A207" s="1070"/>
      <c r="B207" s="1070"/>
      <c r="C207" s="1070"/>
      <c r="D207" s="1527"/>
      <c r="E207" s="1142"/>
      <c r="F207" s="1582">
        <f t="shared" si="244"/>
        <v>29</v>
      </c>
      <c r="G207" s="2850" t="e">
        <f>IF($F207=$R$113,MIRR(($R$233:$Z$233,AA238),FinR,ReinvR),0)</f>
        <v>#DIV/0!</v>
      </c>
      <c r="H207" s="2834" t="e">
        <f>IF($F207=$R$113,MIRR(($R$233:$AE$233,AF238),FinR,ReinvR),0)</f>
        <v>#DIV/0!</v>
      </c>
      <c r="I207" s="2834"/>
      <c r="J207" s="1582">
        <f t="shared" si="245"/>
        <v>29</v>
      </c>
      <c r="K207" s="2850" t="e">
        <f>IF($J207=$R$113,MIRR(($R$233:$Z$233,AA240),FinR,ReinvR),0)</f>
        <v>#DIV/0!</v>
      </c>
      <c r="L207" s="2834" t="e">
        <f>IF($J207=$R$113,MIRR(($R$233:$AE$233,AF240),FinR,ReinvR),0)</f>
        <v>#DIV/0!</v>
      </c>
      <c r="M207" s="2840"/>
      <c r="N207" s="1582">
        <f t="shared" si="246"/>
        <v>29</v>
      </c>
      <c r="O207" s="1594">
        <f>IF($N207=$R$113,$R233+NPV(DiscR,(Calc!S233:Z233,AA238)),0)</f>
        <v>532075.60885515402</v>
      </c>
      <c r="P207" s="2037">
        <f>IF($N207=$R$113,$R233+NPV(DiscR,(Calc!S233:AE233,AF238)),0)</f>
        <v>532075.60885515402</v>
      </c>
      <c r="Q207" s="1476"/>
      <c r="R207" s="1582">
        <f t="shared" si="247"/>
        <v>29</v>
      </c>
      <c r="S207" s="1594">
        <f>IF($R207=$R$113,$R233+NPV(DiscR,(Calc!S233:Z233,AA240)),0)</f>
        <v>532075.60885515402</v>
      </c>
      <c r="T207" s="2037">
        <f>IF($R207=$R$113,$R233+NPV(DiscR,(Calc!S233:AE233,AF240)),0)</f>
        <v>532075.60885515402</v>
      </c>
      <c r="U207" s="2837"/>
      <c r="V207" s="1582">
        <f t="shared" si="248"/>
        <v>29</v>
      </c>
      <c r="W207" s="2850" t="e">
        <f>IF($V207=$R$113,IRR(($R$233:$Z$233,AA238)),0)</f>
        <v>#NUM!</v>
      </c>
      <c r="X207" s="2834" t="e">
        <f>IF($V207=$R$113,IRR(($R$233:$AE$233,AF238)),0)</f>
        <v>#NUM!</v>
      </c>
      <c r="Y207" s="1476"/>
      <c r="Z207" s="1582">
        <f t="shared" si="249"/>
        <v>29</v>
      </c>
      <c r="AA207" s="2850" t="e">
        <f>IF($Z207=$R$113,IRR(($R$233:$Z$233,AA240)),0)</f>
        <v>#NUM!</v>
      </c>
      <c r="AB207" s="2834" t="e">
        <f>IF($Z207=$R$113,IRR(($R$233:$AE$233,AF240)),0)</f>
        <v>#NUM!</v>
      </c>
      <c r="AC207" s="1648"/>
      <c r="AD207" s="1476"/>
      <c r="AE207" s="1476"/>
      <c r="AF207" s="2842" t="s">
        <v>1461</v>
      </c>
      <c r="AG207" s="2656" t="s">
        <v>726</v>
      </c>
      <c r="AH207" s="2656" t="s">
        <v>1712</v>
      </c>
      <c r="AI207" s="2656" t="s">
        <v>1713</v>
      </c>
      <c r="AJ207" s="1476"/>
      <c r="AK207" s="1476"/>
      <c r="AL207" s="1476"/>
      <c r="AM207" s="1476"/>
      <c r="AN207" s="1142"/>
      <c r="AO207" s="1142"/>
      <c r="AP207" s="1741"/>
      <c r="AQ207" s="1582">
        <f t="shared" si="253"/>
        <v>29</v>
      </c>
      <c r="AR207" s="2850" t="e">
        <f>IF($AQ207=$BB$113,MIRR(($BB$233:$BJ$233,BK238),FinR,ReinvR),0)</f>
        <v>#DIV/0!</v>
      </c>
      <c r="AS207" s="2834" t="e">
        <f>IF($AQ207=$BB$113,MIRR(($BB$233:$BO$233,BP238),FinR,ReinvR),0)</f>
        <v>#DIV/0!</v>
      </c>
      <c r="AT207" s="1116"/>
      <c r="AU207" s="1582">
        <f t="shared" si="254"/>
        <v>29</v>
      </c>
      <c r="AV207" s="2850" t="e">
        <f>IF($AU207=$BB$113,MIRR(($BB$233:$BJ$233,BK240),FinR,ReinvR),0)</f>
        <v>#DIV/0!</v>
      </c>
      <c r="AW207" s="2834" t="e">
        <f>IF($AU207=$BB$113,MIRR(($BB$233:$BO$233,BP240),FinR,ReinvR),0)</f>
        <v>#DIV/0!</v>
      </c>
      <c r="AX207" s="1116"/>
      <c r="AY207" s="1582">
        <f t="shared" si="255"/>
        <v>29</v>
      </c>
      <c r="AZ207" s="1594">
        <f>IF($N207=$BB$113,$BB233+NPV(DiscRDE,(Calc!BC233:BJ233,BK238)),0)</f>
        <v>0</v>
      </c>
      <c r="BA207" s="2037">
        <f>IF($N207=$BB$113,$BB233+NPV(DiscRDE,(Calc!BC233:BO233,BP238)),0)</f>
        <v>0</v>
      </c>
      <c r="BB207" s="1116"/>
      <c r="BC207" s="1582">
        <f t="shared" si="256"/>
        <v>29</v>
      </c>
      <c r="BD207" s="1594">
        <f>IF($N207=$BB$113,$BB233+NPV(DiscRDE,(Calc!BC233:BJ233,BK240)),0)</f>
        <v>0</v>
      </c>
      <c r="BE207" s="2037">
        <f>IF($N207=$BB$113,$BB233+NPV(DiscRDE,(Calc!BC233:BO233,BP240)),0)</f>
        <v>0</v>
      </c>
      <c r="BF207" s="1116"/>
      <c r="BG207" s="1582">
        <f t="shared" si="257"/>
        <v>29</v>
      </c>
      <c r="BH207" s="2850" t="e">
        <f>IF($BG207=$BB$113,IRR(($BB$233:$BJ$233,BK238)),0)</f>
        <v>#NUM!</v>
      </c>
      <c r="BI207" s="2834" t="e">
        <f>IF($BG207=$BB$113,IRR(($BB$233:$BO$233,BP238)),0)</f>
        <v>#NUM!</v>
      </c>
      <c r="BJ207" s="1476"/>
      <c r="BK207" s="1582">
        <f t="shared" si="258"/>
        <v>29</v>
      </c>
      <c r="BL207" s="2850" t="e">
        <f>IF($BG207=$BB$113,IRR(($BB$233:$BJ$233,BK240)),0)</f>
        <v>#NUM!</v>
      </c>
      <c r="BM207" s="2834" t="e">
        <f>IF($BG207=$BB$113,IRR(($BB$233:$BO$233,BP240)),0)</f>
        <v>#NUM!</v>
      </c>
      <c r="BN207" s="2839"/>
      <c r="BO207" s="1070"/>
      <c r="BP207" s="1070"/>
      <c r="BQ207" s="1070"/>
      <c r="BR207" s="1070"/>
      <c r="BS207" s="1070"/>
      <c r="BT207" s="1070"/>
      <c r="BU207" s="1070"/>
      <c r="BV207" s="1070"/>
      <c r="BW207" s="1070"/>
    </row>
    <row r="208" spans="1:75" ht="15.6" outlineLevel="1" x14ac:dyDescent="0.3">
      <c r="A208" s="1070"/>
      <c r="B208" s="1070"/>
      <c r="C208" s="1070"/>
      <c r="D208" s="1527"/>
      <c r="E208" s="1142"/>
      <c r="F208" s="1582">
        <f t="shared" si="244"/>
        <v>30</v>
      </c>
      <c r="G208" s="2850" t="e">
        <f>IF($F208=$S$113,MIRR(($S$233:$AA$233,AB238),FinR,ReinvR),0)</f>
        <v>#DIV/0!</v>
      </c>
      <c r="H208" s="2834" t="e">
        <f>IF($F208=$S$113,MIRR(($S$233:$AF$233,AG238),FinR,ReinvR),0)</f>
        <v>#DIV/0!</v>
      </c>
      <c r="I208" s="2834"/>
      <c r="J208" s="1582">
        <f t="shared" si="245"/>
        <v>30</v>
      </c>
      <c r="K208" s="2850" t="e">
        <f>IF($J208=$S$113,MIRR(($S$233:$AA$233,AB240),FinR,ReinvR),0)</f>
        <v>#DIV/0!</v>
      </c>
      <c r="L208" s="2834" t="e">
        <f>IF($J208=$S$113,MIRR(($S$233:$AF$233,AG240),FinR,ReinvR),0)</f>
        <v>#DIV/0!</v>
      </c>
      <c r="M208" s="2840"/>
      <c r="N208" s="1582">
        <f t="shared" si="246"/>
        <v>30</v>
      </c>
      <c r="O208" s="1594">
        <f>IF($N208=$S$113,$S233+NPV(DiscR,(Calc!T233:AA233,AB238)),0)</f>
        <v>524658.05492474721</v>
      </c>
      <c r="P208" s="2037">
        <f>IF($N208=$S$113,$S233+NPV(DiscR,(Calc!T233:AF233,AG238)),0)</f>
        <v>524658.05492474721</v>
      </c>
      <c r="Q208" s="1476"/>
      <c r="R208" s="1582">
        <f t="shared" si="247"/>
        <v>30</v>
      </c>
      <c r="S208" s="1594">
        <f>IF($R208=$S$113,$S233+NPV(DiscR,(Calc!T233:AA233,AB240)),0)</f>
        <v>524658.05492474721</v>
      </c>
      <c r="T208" s="2037">
        <f>IF($R208=$S$113,$S233+NPV(DiscR,(Calc!T233:AF233,AG240)),0)</f>
        <v>524658.05492474721</v>
      </c>
      <c r="U208" s="2837"/>
      <c r="V208" s="1582">
        <f t="shared" si="248"/>
        <v>30</v>
      </c>
      <c r="W208" s="2850" t="e">
        <f>IF($V208=$S$113,IRR(($S$233:$AA$233,AB238)),0)</f>
        <v>#NUM!</v>
      </c>
      <c r="X208" s="2834" t="e">
        <f>IF($V208=$S$113,IRR(($S$233:$AF$233,AG238)),0)</f>
        <v>#NUM!</v>
      </c>
      <c r="Y208" s="1476"/>
      <c r="Z208" s="1582">
        <f t="shared" si="249"/>
        <v>30</v>
      </c>
      <c r="AA208" s="2850" t="e">
        <f>IF($Z208=$S$113,IRR(($S$233:$AA$233,AB240)),0)</f>
        <v>#NUM!</v>
      </c>
      <c r="AB208" s="2834" t="e">
        <f>IF($Z208=$S$113,IRR(($S$233:$AF$233,AG240)),0)</f>
        <v>#NUM!</v>
      </c>
      <c r="AC208" s="1648"/>
      <c r="AD208" s="1476"/>
      <c r="AE208" s="1476"/>
      <c r="AF208" s="2847" t="e">
        <f>DefExitFY+9</f>
        <v>#VALUE!</v>
      </c>
      <c r="AG208" s="2848" t="e">
        <f>AS176</f>
        <v>#VALUE!</v>
      </c>
      <c r="AH208" s="2848" t="e">
        <f>AU176</f>
        <v>#VALUE!</v>
      </c>
      <c r="AI208" s="2849" t="e">
        <f>BB176</f>
        <v>#VALUE!</v>
      </c>
      <c r="AJ208" s="1476"/>
      <c r="AK208" s="1476"/>
      <c r="AL208" s="1476"/>
      <c r="AM208" s="1476"/>
      <c r="AN208" s="1142"/>
      <c r="AO208" s="1142"/>
      <c r="AP208" s="1741"/>
      <c r="AQ208" s="1582">
        <f t="shared" si="253"/>
        <v>30</v>
      </c>
      <c r="AR208" s="2850" t="e">
        <f>IF($AQ208=$BC$113,MIRR(($BC$233:$BK$233,BL238),FinR,ReinvR),0)</f>
        <v>#DIV/0!</v>
      </c>
      <c r="AS208" s="2834" t="e">
        <f>IF($AQ208=$BC$113,MIRR(($BC$233:$BP$233,BQ238),FinR,ReinvR),0)</f>
        <v>#DIV/0!</v>
      </c>
      <c r="AT208" s="1116"/>
      <c r="AU208" s="1582">
        <f t="shared" si="254"/>
        <v>30</v>
      </c>
      <c r="AV208" s="2850" t="e">
        <f>IF($AU208=$BC$113,MIRR(($BC$233:$BK$233,BL240),FinR,ReinvR),0)</f>
        <v>#DIV/0!</v>
      </c>
      <c r="AW208" s="2834" t="e">
        <f>IF($AU208=$BC$113,MIRR(($BC$233:$BP$233,BQ240),FinR,ReinvR),0)</f>
        <v>#DIV/0!</v>
      </c>
      <c r="AX208" s="1116"/>
      <c r="AY208" s="1582">
        <f t="shared" si="255"/>
        <v>30</v>
      </c>
      <c r="AZ208" s="1594">
        <f>IF($N208=$BC$113,$BC233+NPV(DiscRDE,(Calc!BD233:BK233,BL238)),0)</f>
        <v>0</v>
      </c>
      <c r="BA208" s="2037">
        <f>IF($N208=$BC$113,$BC233+NPV(DiscRDE,(Calc!BD233:BP233,BQ238)),0)</f>
        <v>0</v>
      </c>
      <c r="BB208" s="1116"/>
      <c r="BC208" s="1582">
        <f t="shared" si="256"/>
        <v>30</v>
      </c>
      <c r="BD208" s="1594">
        <f>IF($N208=$BC$113,$BC233+NPV(DiscRDE,(Calc!BD233:BK233,BL240)),0)</f>
        <v>0</v>
      </c>
      <c r="BE208" s="2037">
        <f>IF($N208=$BC$113,$BC233+NPV(DiscRDE,(Calc!BD233:BP233,BQ240)),0)</f>
        <v>0</v>
      </c>
      <c r="BF208" s="1116"/>
      <c r="BG208" s="1582">
        <f t="shared" si="257"/>
        <v>30</v>
      </c>
      <c r="BH208" s="2850" t="e">
        <f>IF($BG208=$BC$113,IRR(($BC$233:$BK$233,BL238)),0)</f>
        <v>#NUM!</v>
      </c>
      <c r="BI208" s="2834" t="e">
        <f>IF($BG208=$BC$113,IRR(($BC$233:$BP$233,BQ238)),0)</f>
        <v>#NUM!</v>
      </c>
      <c r="BJ208" s="1476"/>
      <c r="BK208" s="1582">
        <f t="shared" si="258"/>
        <v>30</v>
      </c>
      <c r="BL208" s="2850" t="e">
        <f>IF($BG208=$BC$113,IRR(($BC$233:$BK$233,BL240)),0)</f>
        <v>#NUM!</v>
      </c>
      <c r="BM208" s="2834" t="e">
        <f>IF($BG208=$BC$113,IRR(($BC$233:$BP$233,BQ240)),0)</f>
        <v>#NUM!</v>
      </c>
      <c r="BN208" s="2839"/>
      <c r="BO208" s="1070"/>
      <c r="BP208" s="1070"/>
      <c r="BQ208" s="1070"/>
      <c r="BR208" s="1070"/>
      <c r="BS208" s="1070"/>
      <c r="BT208" s="1070"/>
      <c r="BU208" s="1070"/>
      <c r="BV208" s="1070"/>
      <c r="BW208" s="1070"/>
    </row>
    <row r="209" spans="1:75" ht="15.6" outlineLevel="1" x14ac:dyDescent="0.3">
      <c r="A209" s="1070"/>
      <c r="B209" s="1070"/>
      <c r="C209" s="1070"/>
      <c r="D209" s="1527"/>
      <c r="E209" s="1142"/>
      <c r="F209" s="1582"/>
      <c r="G209" s="2834"/>
      <c r="H209" s="2834"/>
      <c r="I209" s="2834"/>
      <c r="J209" s="2834"/>
      <c r="K209" s="2834"/>
      <c r="L209" s="2834"/>
      <c r="M209" s="2840"/>
      <c r="N209" s="2840"/>
      <c r="O209" s="2840"/>
      <c r="P209" s="2840"/>
      <c r="Q209" s="2840"/>
      <c r="R209" s="2840"/>
      <c r="S209" s="2840"/>
      <c r="T209" s="2840"/>
      <c r="U209" s="2837"/>
      <c r="V209" s="2836"/>
      <c r="W209" s="2836"/>
      <c r="X209" s="2836"/>
      <c r="Y209" s="2836"/>
      <c r="Z209" s="2836"/>
      <c r="AA209" s="1476"/>
      <c r="AB209" s="1476"/>
      <c r="AC209" s="1648"/>
      <c r="AD209" s="1476"/>
      <c r="AE209" s="1476"/>
      <c r="AF209" s="2788" t="e">
        <f>DefExitFY+14</f>
        <v>#VALUE!</v>
      </c>
      <c r="AG209" s="2810"/>
      <c r="AH209" s="2853" t="e">
        <f>AW176</f>
        <v>#VALUE!</v>
      </c>
      <c r="AI209" s="2854" t="e">
        <f>BC176</f>
        <v>#VALUE!</v>
      </c>
      <c r="AJ209" s="1476"/>
      <c r="AK209" s="1476"/>
      <c r="AL209" s="1476"/>
      <c r="AM209" s="1476"/>
      <c r="AN209" s="1142"/>
      <c r="AO209" s="1142"/>
      <c r="AP209" s="1741"/>
      <c r="AQ209" s="1116"/>
      <c r="AR209" s="1116"/>
      <c r="AS209" s="1116"/>
      <c r="AT209" s="1116"/>
      <c r="AU209" s="1116"/>
      <c r="AV209" s="1116"/>
      <c r="AW209" s="1116"/>
      <c r="AX209" s="1116"/>
      <c r="AY209" s="1116"/>
      <c r="AZ209" s="1116"/>
      <c r="BA209" s="1116"/>
      <c r="BB209" s="1116"/>
      <c r="BC209" s="1082"/>
      <c r="BD209" s="1116"/>
      <c r="BE209" s="1116"/>
      <c r="BF209" s="1116"/>
      <c r="BG209" s="1082"/>
      <c r="BH209" s="1082"/>
      <c r="BI209" s="1082"/>
      <c r="BJ209" s="1082"/>
      <c r="BK209" s="1082"/>
      <c r="BL209" s="1082"/>
      <c r="BM209" s="1082"/>
      <c r="BN209" s="1478"/>
      <c r="BO209" s="1070"/>
      <c r="BP209" s="1070"/>
      <c r="BQ209" s="1070"/>
      <c r="BR209" s="1070"/>
      <c r="BS209" s="1070"/>
      <c r="BT209" s="1070"/>
      <c r="BU209" s="1070"/>
      <c r="BV209" s="1070"/>
      <c r="BW209" s="1070"/>
    </row>
    <row r="210" spans="1:75" outlineLevel="1" x14ac:dyDescent="0.3">
      <c r="A210" s="1070"/>
      <c r="B210" s="1070"/>
      <c r="C210" s="1070"/>
      <c r="D210" s="1527"/>
      <c r="E210" s="1142"/>
      <c r="F210" s="1582"/>
      <c r="G210" s="2834"/>
      <c r="H210" s="2834"/>
      <c r="I210" s="2834"/>
      <c r="J210" s="2834"/>
      <c r="K210" s="2834"/>
      <c r="L210" s="2834"/>
      <c r="M210" s="2840"/>
      <c r="N210" s="2837"/>
      <c r="O210" s="2837"/>
      <c r="P210" s="2837"/>
      <c r="Q210" s="2840"/>
      <c r="R210" s="2837"/>
      <c r="S210" s="2837"/>
      <c r="T210" s="2837"/>
      <c r="U210" s="2837"/>
      <c r="V210" s="2837"/>
      <c r="W210" s="2837"/>
      <c r="X210" s="2837"/>
      <c r="Y210" s="2836"/>
      <c r="Z210" s="2836"/>
      <c r="AA210" s="1476"/>
      <c r="AB210" s="1476"/>
      <c r="AC210" s="1648"/>
      <c r="AD210" s="1476"/>
      <c r="AE210" s="1476"/>
      <c r="AF210" s="1476"/>
      <c r="AG210" s="1476"/>
      <c r="AH210" s="1476"/>
      <c r="AI210" s="1476"/>
      <c r="AJ210" s="1476"/>
      <c r="AK210" s="1476"/>
      <c r="AL210" s="1476"/>
      <c r="AM210" s="1476"/>
      <c r="AN210" s="1142"/>
      <c r="AO210" s="1142"/>
      <c r="AP210" s="1741"/>
      <c r="AQ210" s="1116"/>
      <c r="AR210" s="1116"/>
      <c r="AS210" s="1116"/>
      <c r="AT210" s="1116"/>
      <c r="AU210" s="1116"/>
      <c r="AV210" s="1116"/>
      <c r="AW210" s="1116"/>
      <c r="AX210" s="1116"/>
      <c r="AY210" s="1116"/>
      <c r="AZ210" s="1116"/>
      <c r="BA210" s="1116"/>
      <c r="BB210" s="1116"/>
      <c r="BC210" s="1082"/>
      <c r="BD210" s="1116"/>
      <c r="BE210" s="1116"/>
      <c r="BF210" s="1116"/>
      <c r="BG210" s="1082"/>
      <c r="BH210" s="1082"/>
      <c r="BI210" s="1082"/>
      <c r="BJ210" s="1082"/>
      <c r="BK210" s="1082"/>
      <c r="BL210" s="1082"/>
      <c r="BM210" s="1082"/>
      <c r="BN210" s="1478"/>
      <c r="BO210" s="1070"/>
      <c r="BP210" s="1070"/>
      <c r="BQ210" s="1070"/>
      <c r="BR210" s="1070"/>
      <c r="BS210" s="1070"/>
      <c r="BT210" s="1070"/>
      <c r="BU210" s="1070"/>
      <c r="BV210" s="1070"/>
      <c r="BW210" s="1070"/>
    </row>
    <row r="211" spans="1:75" outlineLevel="1" x14ac:dyDescent="0.3">
      <c r="A211" s="1070"/>
      <c r="B211" s="1070"/>
      <c r="C211" s="1070"/>
      <c r="D211" s="1527"/>
      <c r="E211" s="1142"/>
      <c r="F211" s="2835" t="s">
        <v>1715</v>
      </c>
      <c r="G211" s="1476"/>
      <c r="H211" s="1476"/>
      <c r="I211" s="1082"/>
      <c r="J211" s="2835" t="s">
        <v>1700</v>
      </c>
      <c r="K211" s="1476"/>
      <c r="L211" s="1476"/>
      <c r="M211" s="1082"/>
      <c r="N211" s="2835" t="s">
        <v>1378</v>
      </c>
      <c r="O211" s="1476"/>
      <c r="P211" s="1476"/>
      <c r="Q211" s="2836"/>
      <c r="R211" s="2835" t="s">
        <v>1708</v>
      </c>
      <c r="S211" s="1476"/>
      <c r="T211" s="1476"/>
      <c r="U211" s="2837"/>
      <c r="V211" s="2835" t="s">
        <v>1716</v>
      </c>
      <c r="W211" s="1476"/>
      <c r="X211" s="1476"/>
      <c r="Y211" s="2836"/>
      <c r="Z211" s="2837"/>
      <c r="AA211" s="1116"/>
      <c r="AB211" s="1116"/>
      <c r="AC211" s="1742"/>
      <c r="AD211" s="1142"/>
      <c r="AE211" s="1070"/>
      <c r="AF211" s="1070"/>
      <c r="AG211" s="1142"/>
      <c r="AH211" s="1142"/>
      <c r="AI211" s="1142"/>
      <c r="AJ211" s="1564"/>
      <c r="AK211" s="1142"/>
      <c r="AL211" s="1142"/>
      <c r="AM211" s="1142"/>
      <c r="AN211" s="1142"/>
      <c r="AO211" s="1142"/>
      <c r="AP211" s="1741"/>
      <c r="AQ211" s="2835" t="s">
        <v>1715</v>
      </c>
      <c r="AR211" s="1476"/>
      <c r="AS211" s="1476"/>
      <c r="AT211" s="1476"/>
      <c r="AU211" s="2835" t="s">
        <v>1700</v>
      </c>
      <c r="AV211" s="1476"/>
      <c r="AW211" s="1476"/>
      <c r="AX211" s="1476"/>
      <c r="AY211" s="2835" t="s">
        <v>1716</v>
      </c>
      <c r="AZ211" s="1476"/>
      <c r="BA211" s="1116"/>
      <c r="BB211" s="1116"/>
      <c r="BC211" s="1116"/>
      <c r="BD211" s="1116"/>
      <c r="BE211" s="1082"/>
      <c r="BF211" s="1082"/>
      <c r="BG211" s="1082"/>
      <c r="BH211" s="1082"/>
      <c r="BI211" s="1082"/>
      <c r="BJ211" s="1082"/>
      <c r="BK211" s="1082"/>
      <c r="BL211" s="1082"/>
      <c r="BM211" s="1082"/>
      <c r="BN211" s="1478"/>
      <c r="BO211" s="1070"/>
      <c r="BP211" s="1070"/>
      <c r="BQ211" s="1070"/>
      <c r="BR211" s="1070"/>
      <c r="BS211" s="1070"/>
      <c r="BT211" s="1070"/>
      <c r="BU211" s="1070"/>
      <c r="BV211" s="1070"/>
      <c r="BW211" s="1070"/>
    </row>
    <row r="212" spans="1:75" outlineLevel="1" x14ac:dyDescent="0.3">
      <c r="A212" s="1070"/>
      <c r="B212" s="1070"/>
      <c r="C212" s="1070"/>
      <c r="D212" s="1527"/>
      <c r="E212" s="1142"/>
      <c r="F212" s="1692" t="s">
        <v>1381</v>
      </c>
      <c r="G212" s="1582">
        <v>10</v>
      </c>
      <c r="H212" s="1582">
        <v>15</v>
      </c>
      <c r="I212" s="1082"/>
      <c r="J212" s="1692" t="s">
        <v>1381</v>
      </c>
      <c r="K212" s="1582">
        <v>10</v>
      </c>
      <c r="L212" s="1582">
        <v>15</v>
      </c>
      <c r="M212" s="1082"/>
      <c r="N212" s="1692" t="s">
        <v>1381</v>
      </c>
      <c r="O212" s="1582">
        <v>10</v>
      </c>
      <c r="P212" s="1582">
        <v>15</v>
      </c>
      <c r="Q212" s="2836"/>
      <c r="R212" s="1692" t="s">
        <v>1381</v>
      </c>
      <c r="S212" s="1582">
        <v>10</v>
      </c>
      <c r="T212" s="1582">
        <v>15</v>
      </c>
      <c r="U212" s="2837"/>
      <c r="V212" s="1692" t="s">
        <v>1381</v>
      </c>
      <c r="W212" s="1582"/>
      <c r="X212" s="1476"/>
      <c r="Y212" s="2836"/>
      <c r="Z212" s="2837"/>
      <c r="AA212" s="1116"/>
      <c r="AB212" s="1116"/>
      <c r="AC212" s="1742"/>
      <c r="AD212" s="1142"/>
      <c r="AE212" s="1070"/>
      <c r="AF212" s="1070"/>
      <c r="AG212" s="1142"/>
      <c r="AH212" s="1142"/>
      <c r="AI212" s="1142"/>
      <c r="AJ212" s="1564"/>
      <c r="AK212" s="1142"/>
      <c r="AL212" s="1142"/>
      <c r="AM212" s="1142"/>
      <c r="AN212" s="1142"/>
      <c r="AO212" s="1142"/>
      <c r="AP212" s="1741"/>
      <c r="AQ212" s="1692" t="s">
        <v>1381</v>
      </c>
      <c r="AR212" s="1582">
        <v>10</v>
      </c>
      <c r="AS212" s="1582">
        <v>15</v>
      </c>
      <c r="AT212" s="1476"/>
      <c r="AU212" s="1692" t="s">
        <v>1381</v>
      </c>
      <c r="AV212" s="1582">
        <v>10</v>
      </c>
      <c r="AW212" s="1582">
        <v>15</v>
      </c>
      <c r="AX212" s="1476"/>
      <c r="AY212" s="1692" t="s">
        <v>1381</v>
      </c>
      <c r="AZ212" s="1582">
        <v>10</v>
      </c>
      <c r="BA212" s="1116"/>
      <c r="BB212" s="1116"/>
      <c r="BC212" s="1116"/>
      <c r="BD212" s="1116"/>
      <c r="BE212" s="1116"/>
      <c r="BF212" s="1116"/>
      <c r="BG212" s="1082"/>
      <c r="BH212" s="1082"/>
      <c r="BI212" s="1082"/>
      <c r="BJ212" s="1082"/>
      <c r="BK212" s="1082"/>
      <c r="BL212" s="1082"/>
      <c r="BM212" s="1082"/>
      <c r="BN212" s="1478"/>
      <c r="BO212" s="1070"/>
      <c r="BP212" s="1070"/>
      <c r="BQ212" s="1070"/>
      <c r="BR212" s="1070"/>
      <c r="BS212" s="1070"/>
      <c r="BT212" s="1070"/>
      <c r="BU212" s="1070"/>
      <c r="BV212" s="1070"/>
      <c r="BW212" s="1070"/>
    </row>
    <row r="213" spans="1:75" outlineLevel="1" x14ac:dyDescent="0.3">
      <c r="A213" s="1070"/>
      <c r="B213" s="1070"/>
      <c r="C213" s="1070"/>
      <c r="D213" s="1527"/>
      <c r="E213" s="1142"/>
      <c r="F213" s="2843">
        <f>$G$113</f>
        <v>18</v>
      </c>
      <c r="G213" s="2855">
        <f>IF($F213=$G$113,SUM($G$236:$P$236)/SUM($G$234:$P$234),0)</f>
        <v>6.999354029413654</v>
      </c>
      <c r="H213" s="2856">
        <f>IF($F213=$G$113,SUM($G$236:$U$236)/SUM($G$234:$U$234),0)</f>
        <v>28.329794387132377</v>
      </c>
      <c r="I213" s="1082"/>
      <c r="J213" s="2843">
        <f>$G$113</f>
        <v>18</v>
      </c>
      <c r="K213" s="2855">
        <f>IF($J213=$G$113,SUM($G$236:$P$236)/SUM($G$235:$P$235),0)</f>
        <v>2.9944012267133724</v>
      </c>
      <c r="L213" s="2856">
        <f>IF($J213=$G$113,SUM($G$236:$U$236)/SUM($G$235:$U$235),0)</f>
        <v>9.6401398588075651</v>
      </c>
      <c r="M213" s="1082"/>
      <c r="N213" s="2843">
        <f>$G$113</f>
        <v>18</v>
      </c>
      <c r="O213" s="1590">
        <f>IF($N213=$G$113,$G233+NPV(DiscRDE,(Calc!H$233:O$233,P238)),0)</f>
        <v>21754.779690810261</v>
      </c>
      <c r="P213" s="2846">
        <f>IF($N213=$G$113,$G233+NPV(DiscRDE,(Calc!H$233:T$233,U238)),0)</f>
        <v>101683.22203437473</v>
      </c>
      <c r="Q213" s="2836"/>
      <c r="R213" s="2843">
        <f>$G$113</f>
        <v>18</v>
      </c>
      <c r="S213" s="1590">
        <f>IF($R213=$G$113,$G233+NPV(DiscRDE,(Calc!H$233:O$233,P240)),0)</f>
        <v>156812.43363929371</v>
      </c>
      <c r="T213" s="2846">
        <f>IF($R213=$G$113,$G233+NPV(DiscRDE,(Calc!H$233:T$233,U240)),0)</f>
        <v>221648.55117813702</v>
      </c>
      <c r="U213" s="2837"/>
      <c r="V213" s="2843">
        <f>$G$113</f>
        <v>18</v>
      </c>
      <c r="W213" s="2857">
        <f>IF(SUM(G233)&gt;0,"&lt;1",IF(SUM(G233:H233)&gt;0,1+(-SUM(G233)/H233),IF(SUM(G233:I233)&gt;0,2+(-SUM(G233:H233)/I233),IF(SUM(G233:J233)&gt;0,3+(-SUM(G233:I233)/J233),IF(SUM(G233:K233)&gt;0,4+(-SUM(G233:J233)/K233),IF(SUM(G233:L233)&gt;0,5+(-SUM(G233:K233)/L233),IF(SUM(G233:M233)&gt;0,6+(-SUM(G233:L233)/M233),IF(SUM(G233:N233)&gt;0,7+(-SUM(G233:M233)/N233),IF(SUM(G233:O233)&gt;0,8+(-SUM(G233:N233)/O233),IF(SUM(G233:P233)&gt;0,9+(-SUM(G233:O233)/P233),IF(SUM(G233:Q233)&gt;0,10+(-SUM(G233:P233)/Q233),IF(SUM(G233:R233)&gt;0,11+(-SUM(G233:Q233)/R233),IF(SUM(G233:S233)&gt;0,12+(-SUM(G233:R233)/S233),IF(SUM(G233:T233)&gt;0,13+(-SUM(G233:S233)/T233),IF(SUM(G233:U233)&gt;0,14+(-SUM(G233:T233)/U233),IF(SUM(G233:V233)&gt;0,15+(-SUM(G233:U233)/V233),"&gt;16"))))))))))))))))</f>
        <v>7.9653642283748729</v>
      </c>
      <c r="X213" s="1476"/>
      <c r="Y213" s="2836"/>
      <c r="Z213" s="2837"/>
      <c r="AA213" s="2858"/>
      <c r="AB213" s="2858"/>
      <c r="AC213" s="1742"/>
      <c r="AD213" s="1142"/>
      <c r="AE213" s="1070"/>
      <c r="AF213" s="1070"/>
      <c r="AG213" s="1142"/>
      <c r="AH213" s="1142"/>
      <c r="AI213" s="1142"/>
      <c r="AJ213" s="1564"/>
      <c r="AK213" s="1142"/>
      <c r="AL213" s="1142"/>
      <c r="AM213" s="1142"/>
      <c r="AN213" s="1142"/>
      <c r="AO213" s="1142"/>
      <c r="AP213" s="1741"/>
      <c r="AQ213" s="2843">
        <f>$G$113</f>
        <v>18</v>
      </c>
      <c r="AR213" s="2855" t="e">
        <f>IF($AQ213=$AQ$113,SUM($AQ$236:$AZ$236)/SUM($AQ$234:$AZ$234),0)</f>
        <v>#DIV/0!</v>
      </c>
      <c r="AS213" s="2856" t="e">
        <f>IF($AQ213=$AQ$113,SUM($AQ$236:$BE$236)/SUM($AQ$234:$BE$234),0)</f>
        <v>#DIV/0!</v>
      </c>
      <c r="AT213" s="1476"/>
      <c r="AU213" s="2843">
        <f>$G$113</f>
        <v>18</v>
      </c>
      <c r="AV213" s="2855" t="e">
        <f>IF($AU213=$AQ$113,SUM($AQ$236:$AZ$236)/SUM($AQ$235:$AZ$235),0)</f>
        <v>#DIV/0!</v>
      </c>
      <c r="AW213" s="2856" t="e">
        <f>IF($AU213=$AQ$113,SUM($AQ$236:$BE$236)/SUM($AQ$235:$BE$235),0)</f>
        <v>#DIV/0!</v>
      </c>
      <c r="AX213" s="1476"/>
      <c r="AY213" s="2843">
        <f>$G$113</f>
        <v>18</v>
      </c>
      <c r="AZ213" s="2857" t="str">
        <f>IF(SUM(AQ233)&gt;0,"&lt;1",IF(SUM(AQ233:AR233)&gt;0,1+(-SUM(AQ233)/AR233),IF(SUM(AQ233:AS233)&gt;0,2+(-SUM(AQ233:AR233)/AS233),IF(SUM(AQ233:AT233)&gt;0,3+(-SUM(AQ233:AS233)/AT233),IF(SUM(AQ233:AU233)&gt;0,4+(-SUM(AQ233:AT233)/AU233),IF(SUM(AQ233:AV233)&gt;0,5+(-SUM(AQ233:AU233)/AV233),IF(SUM(AQ233:AW233)&gt;0,6+(-SUM(AQ233:AV233)/AW233),IF(SUM(AQ233:AX233)&gt;0,7+(-SUM(AQ233:AW233)/AX233),IF(SUM(AQ233:AY233)&gt;0,8+(-SUM(AQ233:AX233)/AY233),IF(SUM(AQ233:AZ233)&gt;0,9+(-SUM(AQ233:AY233)/AZ233),IF(SUM(AQ233:BA233)&gt;0,10+(-SUM(AQ233:AZ233)/BA233),IF(SUM(AQ233:BB233)&gt;0,11+(-SUM(AQ233:BA233)/BB233),IF(SUM(AQ233:BC233)&gt;0,12+(-SUM(AQ233:BB233)/BC233),IF(SUM(AQ233:BD233)&gt;0,13+(-SUM(AQ233:BC233)/BD233),IF(SUM(AQ233:BE233)&gt;0,14+(-SUM(AQ233:BD233)/BE233),IF(SUM(AQ233:BF233)&gt;0,15+(-SUM(AQ233:BE233)/BF233),"&gt;16"))))))))))))))))</f>
        <v>&gt;16</v>
      </c>
      <c r="BA213" s="1116"/>
      <c r="BB213" s="1116"/>
      <c r="BC213" s="1116"/>
      <c r="BD213" s="1116"/>
      <c r="BE213" s="1116"/>
      <c r="BF213" s="1116"/>
      <c r="BG213" s="1082"/>
      <c r="BH213" s="1082"/>
      <c r="BI213" s="1082"/>
      <c r="BJ213" s="1082"/>
      <c r="BK213" s="1082"/>
      <c r="BL213" s="1082"/>
      <c r="BM213" s="1082"/>
      <c r="BN213" s="1478"/>
      <c r="BO213" s="1070"/>
      <c r="BP213" s="1070"/>
      <c r="BQ213" s="1070"/>
      <c r="BR213" s="1070"/>
      <c r="BS213" s="1070"/>
      <c r="BT213" s="1070"/>
      <c r="BU213" s="1070"/>
      <c r="BV213" s="1070"/>
      <c r="BW213" s="1070"/>
    </row>
    <row r="214" spans="1:75" outlineLevel="1" x14ac:dyDescent="0.3">
      <c r="A214" s="1070"/>
      <c r="B214" s="1070"/>
      <c r="C214" s="1070"/>
      <c r="D214" s="1527"/>
      <c r="E214" s="1142"/>
      <c r="F214" s="1582">
        <f t="shared" ref="F214:F225" si="261">F213+1</f>
        <v>19</v>
      </c>
      <c r="G214" s="2778">
        <f>IF($F214=$H$113,SUM($H$236:$Q$236)/SUM($H$234:$Q$234),0)</f>
        <v>12.674167103455334</v>
      </c>
      <c r="H214" s="1212">
        <f>IF($F214=$H$113,SUM($H$236:$V$236)/SUM($H$234:$V$234),0)</f>
        <v>41.375953058275371</v>
      </c>
      <c r="I214" s="1082"/>
      <c r="J214" s="1582">
        <f t="shared" ref="J214:J225" si="262">J213+1</f>
        <v>19</v>
      </c>
      <c r="K214" s="2778">
        <f>IF($J214=$H$113,SUM($H$236:$Q$236)/SUM($H$235:$Q$235),0)</f>
        <v>4.6637964884642713</v>
      </c>
      <c r="L214" s="1212">
        <f>IF($J214=$H$113,SUM($H$236:$V$236)/SUM($H$235:$V$235),0)</f>
        <v>11.772053173337127</v>
      </c>
      <c r="M214" s="1082"/>
      <c r="N214" s="1582">
        <f t="shared" ref="N214:N225" si="263">N213+1</f>
        <v>19</v>
      </c>
      <c r="O214" s="1594">
        <f>IF($N214=$H$113,$H233+NPV(DiscRDE,(Calc!I233:P233,Q238)),0)</f>
        <v>49131.501836628995</v>
      </c>
      <c r="P214" s="2037">
        <f>IF($N214=$H$113,$H233+NPV(DiscRDE,(Calc!I233:U233,V238)),0)</f>
        <v>138266.63581472976</v>
      </c>
      <c r="Q214" s="2836"/>
      <c r="R214" s="1582">
        <f t="shared" ref="R214:R225" si="264">R213+1</f>
        <v>19</v>
      </c>
      <c r="S214" s="1594">
        <f>IF($R214=$H$113,$H233+NPV(DiscRDE,(Calc!I233:P233,Q240)),0)</f>
        <v>205662.05809596562</v>
      </c>
      <c r="T214" s="2037">
        <f>IF($R214=$H$113,$H233+NPV(DiscRDE,(Calc!I233:U233,V240)),0)</f>
        <v>272964.68275607895</v>
      </c>
      <c r="U214" s="2837"/>
      <c r="V214" s="1582">
        <f t="shared" ref="V214:V225" si="265">V213+1</f>
        <v>19</v>
      </c>
      <c r="W214" s="2859">
        <f>IF(SUM(H233)&gt;0,"&lt;1",IF(SUM(H233:I233)&gt;0,1+(-SUM(H233)/I233),IF(SUM(H233:J233)&gt;0,2+(-SUM(H233:I233)/J233),IF(SUM(H233:K233)&gt;0,3+(-SUM(H233:J233)/K233),IF(SUM(H233:L233)&gt;0,4+(-SUM(H233:K233)/L233),IF(SUM(H233:M233)&gt;0,5+(-SUM(H233:L233)/M233),IF(SUM(H233:N233)&gt;0,6+(-SUM(H233:M233)/N233),IF(SUM(H233:O233)&gt;0,7+(-SUM(H233:N233)/O233),IF(SUM(H233:P233)&gt;0,8+(-SUM(H233:O233)/P233),IF(SUM(H233:Q233)&gt;0,9+(-SUM(H233:P233)/Q233),IF(SUM(H233:R233)&gt;0,10+(-SUM(H233:Q233)/R233),IF(SUM(H233:S233)&gt;0,11+(-SUM(H233:R233)/S233),IF(SUM(H233:T233)&gt;0,12+(-SUM(H233:S233)/T233),IF(SUM(H233:U233)&gt;0,13+(-SUM(H233:T233)/U233),IF(SUM(H233:V233)&gt;0,14+(-SUM(H233:U233)/V233),IF(SUM(H233:W233)&gt;0,15+(-SUM(H233:V233)/W233),"&gt;16"))))))))))))))))</f>
        <v>6.835483299012111</v>
      </c>
      <c r="X214" s="2834"/>
      <c r="Y214" s="2836"/>
      <c r="Z214" s="2837"/>
      <c r="AA214" s="2858"/>
      <c r="AB214" s="2858"/>
      <c r="AC214" s="1742"/>
      <c r="AD214" s="1142"/>
      <c r="AE214" s="1070"/>
      <c r="AF214" s="1070"/>
      <c r="AG214" s="1142"/>
      <c r="AH214" s="1142"/>
      <c r="AI214" s="1142"/>
      <c r="AJ214" s="1564"/>
      <c r="AK214" s="1142"/>
      <c r="AL214" s="1142"/>
      <c r="AM214" s="1142"/>
      <c r="AN214" s="1142"/>
      <c r="AO214" s="1142"/>
      <c r="AP214" s="1741"/>
      <c r="AQ214" s="1582">
        <f t="shared" ref="AQ214:AQ225" si="266">AQ213+1</f>
        <v>19</v>
      </c>
      <c r="AR214" s="2778" t="e">
        <f>IF($AQ214=$AR$113,SUM($AR$236:$BA$236)/SUM($AR$234:$BA$234),0)</f>
        <v>#DIV/0!</v>
      </c>
      <c r="AS214" s="1212" t="e">
        <f>IF($AQ214=$AR$113,SUM($AR$236:$BF$236)/SUM($AR$234:$BF$234),0)</f>
        <v>#DIV/0!</v>
      </c>
      <c r="AT214" s="1476"/>
      <c r="AU214" s="1582">
        <f t="shared" ref="AU214:AU225" si="267">AU213+1</f>
        <v>19</v>
      </c>
      <c r="AV214" s="2778" t="e">
        <f>IF($AU214=$AR$113,SUM($AR$236:$BA$236)/SUM($AR$235:$BA$235),0)</f>
        <v>#DIV/0!</v>
      </c>
      <c r="AW214" s="1212" t="e">
        <f>IF($AU214=$AR$113,SUM($AR$236:$BF$236)/SUM($AR$235:$BF$235),0)</f>
        <v>#DIV/0!</v>
      </c>
      <c r="AX214" s="1476"/>
      <c r="AY214" s="1582">
        <f t="shared" ref="AY214:AY225" si="268">AY213+1</f>
        <v>19</v>
      </c>
      <c r="AZ214" s="2859" t="str">
        <f>IF(SUM(AR233)&gt;0,"&lt;1",IF(SUM(AR233:AS233)&gt;0,1+(-SUM(AR233)/AS233),IF(SUM(AR233:AT233)&gt;0,2+(-SUM(AR233:AS233)/AT233),IF(SUM(AR233:AU233)&gt;0,3+(-SUM(AR233:AT233)/AU233),IF(SUM(AR233:AV233)&gt;0,4+(-SUM(AR233:AU233)/AV233),IF(SUM(AR233:AW233)&gt;0,5+(-SUM(AR233:AV233)/AW233),IF(SUM(AR233:AX233)&gt;0,6+(-SUM(AR233:AW233)/AX233),IF(SUM(AR233:AY233)&gt;0,7+(-SUM(AR233:AX233)/AY233),IF(SUM(AR233:AZ233)&gt;0,8+(-SUM(AR233:AY233)/AZ233),IF(SUM(AR233:BA233)&gt;0,9+(-SUM(AR233:AZ233)/BA233),IF(SUM(AR233:BB233)&gt;0,10+(-SUM(AR233:BA233)/BB233),IF(SUM(AR233:BC233)&gt;0,11+(-SUM(AR233:BB233)/BC233),IF(SUM(AR233:BD233)&gt;0,12+(-SUM(AR233:BC233)/BD233),IF(SUM(AR233:BE233)&gt;0,13+(-SUM(AR233:BD233)/BE233),IF(SUM(AR233:BF233)&gt;0,14+(-SUM(AR233:BE233)/BF233),IF(SUM(AR233:BG233)&gt;0,15+(-SUM(AR233:BF233)/BG233),"&gt;16"))))))))))))))))</f>
        <v>&gt;16</v>
      </c>
      <c r="BA214" s="1116"/>
      <c r="BB214" s="1116"/>
      <c r="BC214" s="1116"/>
      <c r="BD214" s="1116"/>
      <c r="BE214" s="1116"/>
      <c r="BF214" s="1116"/>
      <c r="BG214" s="1082"/>
      <c r="BH214" s="1082"/>
      <c r="BI214" s="1082"/>
      <c r="BJ214" s="1082"/>
      <c r="BK214" s="1082"/>
      <c r="BL214" s="1082"/>
      <c r="BM214" s="1082"/>
      <c r="BN214" s="1478"/>
      <c r="BO214" s="1070"/>
      <c r="BP214" s="1070"/>
      <c r="BQ214" s="1070"/>
      <c r="BR214" s="1070"/>
      <c r="BS214" s="1070"/>
      <c r="BT214" s="1070"/>
      <c r="BU214" s="1070"/>
      <c r="BV214" s="1070"/>
      <c r="BW214" s="1070"/>
    </row>
    <row r="215" spans="1:75" outlineLevel="1" x14ac:dyDescent="0.3">
      <c r="A215" s="1070"/>
      <c r="B215" s="1070"/>
      <c r="C215" s="1070"/>
      <c r="D215" s="1527"/>
      <c r="E215" s="1142"/>
      <c r="F215" s="1582">
        <f t="shared" si="261"/>
        <v>20</v>
      </c>
      <c r="G215" s="2778">
        <f>IF($F215=$I$113,SUM($I$236:$R$236)/SUM($I$234:$R$234),0)</f>
        <v>20.161037272815459</v>
      </c>
      <c r="H215" s="1212">
        <f>IF($F215=$I$113,SUM($I$236:$W$236)/SUM($I$234:$W$234),0)</f>
        <v>58.083499796561469</v>
      </c>
      <c r="I215" s="1082"/>
      <c r="J215" s="1582">
        <f t="shared" si="262"/>
        <v>20</v>
      </c>
      <c r="K215" s="2778">
        <f>IF($J215=$I$113,SUM($I$236:$R$236)/SUM($I$235:$R$235),0)</f>
        <v>6.5074829008988129</v>
      </c>
      <c r="L215" s="1212">
        <f>IF($J215=$I$113,SUM($I$236:$W$236)/SUM($I$235:$W$235),0)</f>
        <v>13.998258013944078</v>
      </c>
      <c r="M215" s="1082"/>
      <c r="N215" s="1582">
        <f t="shared" si="263"/>
        <v>20</v>
      </c>
      <c r="O215" s="1594">
        <f>IF($N215=$I$113,$I233+NPV(DiscRDE,(Calc!J233:Q233,R238)),0)</f>
        <v>81747.999527065316</v>
      </c>
      <c r="P215" s="2037">
        <f>IF($N215=$I$113,$I233+NPV(DiscRDE,(Calc!J233:V233,W238)),0)</f>
        <v>182282.95747102628</v>
      </c>
      <c r="Q215" s="2836"/>
      <c r="R215" s="1582">
        <f t="shared" si="264"/>
        <v>20</v>
      </c>
      <c r="S215" s="1594">
        <f>IF($R215=$I$113,$I233+NPV(DiscRDE,(Calc!J233:Q233,R240)),0)</f>
        <v>250924.01350128721</v>
      </c>
      <c r="T215" s="2037">
        <f>IF($R215=$I$113,$I233+NPV(DiscRDE,(Calc!J233:V233,W240)),0)</f>
        <v>335998.54795700236</v>
      </c>
      <c r="U215" s="2837"/>
      <c r="V215" s="1582">
        <f t="shared" si="265"/>
        <v>20</v>
      </c>
      <c r="W215" s="2859">
        <f>IF(SUM(I233)&gt;0,"&lt;1",IF(SUM(I233:J233)&gt;0,1+(-SUM(I233)/J233),IF(SUM(I233:K233)&gt;0,2+(-SUM(I233:J233)/K233),IF(SUM(I233:L233)&gt;0,3+(-SUM(I233:K233)/L233),IF(SUM(I233:M233)&gt;0,4+(-SUM(I233:L233)/M233),IF(SUM(I233:N233)&gt;0,5+(-SUM(I233:M233)/N233),IF(SUM(I233:O233)&gt;0,6+(-SUM(I233:N233)/O233),IF(SUM(I233:P233)&gt;0,7+(-SUM(I233:O233)/P233),IF(SUM(I233:Q233)&gt;0,8+(-SUM(I233:P233)/Q233),IF(SUM(I233:R233)&gt;0,9+(-SUM(I233:Q233)/R233),IF(SUM(I233:S233)&gt;0,10+(-SUM(I233:R233)/S233),IF(SUM(I233:T233)&gt;0,11+(-SUM(I233:S233)/T233),IF(SUM(I233:U233)&gt;0,12+(-SUM(I233:T233)/U233),IF(SUM(I233:V233)&gt;0,13+(-SUM(I233:U233)/V233),IF(SUM(I233:W233)&gt;0,14+(-SUM(I233:V233)/W233),IF(SUM(I233:X233)&gt;0,15+(-SUM(I233:W233)/X233),"&gt;16"))))))))))))))))</f>
        <v>5.7205262778656376</v>
      </c>
      <c r="X215" s="2834"/>
      <c r="Y215" s="2836"/>
      <c r="Z215" s="2837"/>
      <c r="AA215" s="2858"/>
      <c r="AB215" s="2858"/>
      <c r="AC215" s="1742"/>
      <c r="AD215" s="1142"/>
      <c r="AE215" s="1070"/>
      <c r="AF215" s="1070"/>
      <c r="AG215" s="1142"/>
      <c r="AH215" s="1142"/>
      <c r="AI215" s="1142"/>
      <c r="AJ215" s="1564"/>
      <c r="AK215" s="1142"/>
      <c r="AL215" s="1142"/>
      <c r="AM215" s="1142"/>
      <c r="AN215" s="1142"/>
      <c r="AO215" s="1142"/>
      <c r="AP215" s="1741"/>
      <c r="AQ215" s="1582">
        <f t="shared" si="266"/>
        <v>20</v>
      </c>
      <c r="AR215" s="2778" t="e">
        <f>IF($AQ215=$AS$113,SUM($AS$236:$BB$236)/SUM($AS$234:$BB$234),0)</f>
        <v>#DIV/0!</v>
      </c>
      <c r="AS215" s="1212" t="e">
        <f>IF($AQ215=$AS$113,SUM($AS$236:$BG$236)/SUM($AS$234:$BG$234),0)</f>
        <v>#DIV/0!</v>
      </c>
      <c r="AT215" s="1476"/>
      <c r="AU215" s="1582">
        <f t="shared" si="267"/>
        <v>20</v>
      </c>
      <c r="AV215" s="2778" t="e">
        <f>IF($AU215=$AS$113,SUM($AS$236:$BB$236)/SUM($AS$235:$BB$235),0)</f>
        <v>#DIV/0!</v>
      </c>
      <c r="AW215" s="1212" t="e">
        <f>IF($AU215=$AS$113,SUM($AS$236:$BG$236)/SUM($AS$235:$BG$235),0)</f>
        <v>#DIV/0!</v>
      </c>
      <c r="AX215" s="1476"/>
      <c r="AY215" s="1582">
        <f t="shared" si="268"/>
        <v>20</v>
      </c>
      <c r="AZ215" s="2859" t="str">
        <f>IF(SUM(AS233)&gt;0,"&lt;1",IF(SUM(AS233:AT233)&gt;0,1+(-SUM(AS233)/AT233),IF(SUM(AS233:AU233)&gt;0,2+(-SUM(AS233:AT233)/AU233),IF(SUM(AS233:AV233)&gt;0,3+(-SUM(AS233:AU233)/AV233),IF(SUM(AS233:AW233)&gt;0,4+(-SUM(AS233:AV233)/AW233),IF(SUM(AS233:AX233)&gt;0,5+(-SUM(AS233:AW233)/AX233),IF(SUM(AS233:AY233)&gt;0,6+(-SUM(AS233:AX233)/AY233),IF(SUM(AS233:AZ233)&gt;0,7+(-SUM(AS233:AY233)/AZ233),IF(SUM(AS233:BA233)&gt;0,8+(-SUM(AS233:AZ233)/BA233),IF(SUM(AS233:BB233)&gt;0,9+(-SUM(AS233:BA233)/BB233),IF(SUM(AS233:BC233)&gt;0,10+(-SUM(AS233:BB233)/BC233),IF(SUM(AS233:BD233)&gt;0,11+(-SUM(AS233:BC233)/BD233),IF(SUM(AS233:BE233)&gt;0,12+(-SUM(AS233:BD233)/BE233),IF(SUM(AS233:BF233)&gt;0,13+(-SUM(AS233:BE233)/BF233),IF(SUM(AS233:BG233)&gt;0,14+(-SUM(AS233:BF233)/BG233),IF(SUM(AS233:BH233)&gt;0,15+(-SUM(AS233:BG233)/BH233),"&gt;16"))))))))))))))))</f>
        <v>&gt;16</v>
      </c>
      <c r="BA215" s="1116"/>
      <c r="BB215" s="1116"/>
      <c r="BC215" s="1116"/>
      <c r="BD215" s="1116"/>
      <c r="BE215" s="1116"/>
      <c r="BF215" s="1116"/>
      <c r="BG215" s="1082"/>
      <c r="BH215" s="1082"/>
      <c r="BI215" s="1082"/>
      <c r="BJ215" s="1082"/>
      <c r="BK215" s="1082"/>
      <c r="BL215" s="1082"/>
      <c r="BM215" s="1082"/>
      <c r="BN215" s="1478"/>
      <c r="BO215" s="1070"/>
      <c r="BP215" s="1070"/>
      <c r="BQ215" s="1070"/>
      <c r="BR215" s="1070"/>
      <c r="BS215" s="1070"/>
      <c r="BT215" s="1070"/>
      <c r="BU215" s="1070"/>
      <c r="BV215" s="1070"/>
      <c r="BW215" s="1070"/>
    </row>
    <row r="216" spans="1:75" outlineLevel="1" x14ac:dyDescent="0.3">
      <c r="A216" s="1070"/>
      <c r="B216" s="1070"/>
      <c r="C216" s="1070"/>
      <c r="D216" s="1527"/>
      <c r="E216" s="1142"/>
      <c r="F216" s="1582">
        <f t="shared" si="261"/>
        <v>21</v>
      </c>
      <c r="G216" s="2778">
        <f>IF($F216=$J$113,SUM($J$236:$S$236)/SUM($J$234:$S$234),0)</f>
        <v>44.309334950316931</v>
      </c>
      <c r="H216" s="1212">
        <f>IF($F216=$J$113,SUM($J$236:$X$236)/SUM($J$234:$X$234),0)</f>
        <v>117.34344510307791</v>
      </c>
      <c r="I216" s="1082"/>
      <c r="J216" s="1582">
        <f t="shared" si="262"/>
        <v>21</v>
      </c>
      <c r="K216" s="2778">
        <f>IF($J216=$J$113,SUM($J$236:$S$236)/SUM($J$235:$S$235),0)</f>
        <v>9.7111769190110593</v>
      </c>
      <c r="L216" s="1212">
        <f>IF($J216=$J$113,SUM($J$236:$X$236)/SUM($J$235:$X$235),0)</f>
        <v>19.695296011700549</v>
      </c>
      <c r="M216" s="1082"/>
      <c r="N216" s="1582">
        <f t="shared" si="263"/>
        <v>21</v>
      </c>
      <c r="O216" s="1594">
        <f>IF($N216=$J$113,$J233+NPV(DiscRDE,(Calc!K233:R233,S238)),0)</f>
        <v>127506.9876804558</v>
      </c>
      <c r="P216" s="2037">
        <f>IF($N216=$J$113,$J233+NPV(DiscRDE,(Calc!K233:W233,X238)),0)</f>
        <v>247318.81614757419</v>
      </c>
      <c r="Q216" s="2836"/>
      <c r="R216" s="1582">
        <f t="shared" si="264"/>
        <v>21</v>
      </c>
      <c r="S216" s="1594">
        <f>IF($R216=$J$113,$J233+NPV(DiscRDE,(Calc!K233:R233,S240)),0)</f>
        <v>319914.10886599444</v>
      </c>
      <c r="T216" s="2037">
        <f>IF($R216=$J$113,$J233+NPV(DiscRDE,(Calc!K233:W233,X240)),0)</f>
        <v>472653.31708845554</v>
      </c>
      <c r="U216" s="2837"/>
      <c r="V216" s="1582">
        <f t="shared" si="265"/>
        <v>21</v>
      </c>
      <c r="W216" s="2859">
        <f>IF(SUM(J233)&gt;0,"&lt;1",IF(SUM(J233:K233)&gt;0,1+(-SUM(J233)/K233),IF(SUM(J233:L233)&gt;0,2+(-SUM(J233:K233)/L233),IF(SUM(J233:M233)&gt;0,3+(-SUM(J233:L233)/M233),IF(SUM(J233:N233)&gt;0,4+(-SUM(J233:M233)/N233),IF(SUM(J233:O233)&gt;0,5+(-SUM(J233:N233)/O233),IF(SUM(J233:P233)&gt;0,6+(-SUM(J233:O233)/P233),IF(SUM(J233:Q233)&gt;0,7+(-SUM(J233:P233)/Q233),IF(SUM(J233:R233)&gt;0,8+(-SUM(J233:Q233)/R233),IF(SUM(J233:S233)&gt;0,9+(-SUM(J233:R233)/S233),IF(SUM(J233:T233)&gt;0,10+(-SUM(J233:S233)/T233),IF(SUM(J233:U233)&gt;0,11+(-SUM(J233:T233)/U233),IF(SUM(J233:V233)&gt;0,12+(-SUM(J233:U233)/V233),IF(SUM(J233:W233)&gt;0,13+(-SUM(J233:V233)/W233),IF(SUM(J233:X233)&gt;0,14+(-SUM(J233:W233)/X233),IF(SUM(J233:Y233)&gt;0,15+(-SUM(J233:X233)/Y233),"&gt;16"))))))))))))))))</f>
        <v>4.4405736106783014</v>
      </c>
      <c r="X216" s="2834"/>
      <c r="Y216" s="2836"/>
      <c r="Z216" s="2837"/>
      <c r="AA216" s="2858"/>
      <c r="AB216" s="2858"/>
      <c r="AC216" s="1742"/>
      <c r="AD216" s="1142"/>
      <c r="AE216" s="1070"/>
      <c r="AF216" s="1070"/>
      <c r="AG216" s="1142"/>
      <c r="AH216" s="1142"/>
      <c r="AI216" s="1142"/>
      <c r="AJ216" s="1564"/>
      <c r="AK216" s="1142"/>
      <c r="AL216" s="1142"/>
      <c r="AM216" s="1142"/>
      <c r="AN216" s="1142"/>
      <c r="AO216" s="1142"/>
      <c r="AP216" s="1741"/>
      <c r="AQ216" s="1582">
        <f t="shared" si="266"/>
        <v>21</v>
      </c>
      <c r="AR216" s="2778" t="e">
        <f>IF($AQ216=$AT$113,SUM($AT$236:$BC$236)/SUM($AT$234:$BC$234),0)</f>
        <v>#DIV/0!</v>
      </c>
      <c r="AS216" s="1212" t="e">
        <f>IF($AQ216=$AT$113,SUM($AT$236:$BH$236)/SUM($AT$234:$BH$234),0)</f>
        <v>#DIV/0!</v>
      </c>
      <c r="AT216" s="1476"/>
      <c r="AU216" s="1582">
        <f t="shared" si="267"/>
        <v>21</v>
      </c>
      <c r="AV216" s="2778" t="e">
        <f>IF($AU216=$AT$113,SUM($AT$236:$BC$236)/SUM($AT$235:$BC$235),0)</f>
        <v>#DIV/0!</v>
      </c>
      <c r="AW216" s="1212" t="e">
        <f>IF($AU216=$AT$113,SUM($AT$236:$BH$236)/SUM($AT$235:$BH$235),0)</f>
        <v>#DIV/0!</v>
      </c>
      <c r="AX216" s="1476"/>
      <c r="AY216" s="1582">
        <f t="shared" si="268"/>
        <v>21</v>
      </c>
      <c r="AZ216" s="2859" t="str">
        <f>IF(SUM(AT233)&gt;0,"&lt;1",IF(SUM(AT233:AU233)&gt;0,1+(-SUM(AT233)/AU233),IF(SUM(AT233:AV233)&gt;0,2+(-SUM(AT233:AU233)/AV233),IF(SUM(AT233:AW233)&gt;0,3+(-SUM(AT233:AV233)/AW233),IF(SUM(AT233:AX233)&gt;0,4+(-SUM(AT233:AW233)/AX233),IF(SUM(AT233:AY233)&gt;0,5+(-SUM(AT233:AX233)/AY233),IF(SUM(AT233:AZ233)&gt;0,6+(-SUM(AT233:AY233)/AZ233),IF(SUM(AT233:BA233)&gt;0,7+(-SUM(AT233:AZ233)/BA233),IF(SUM(AT233:BB233)&gt;0,8+(-SUM(AT233:BA233)/BB233),IF(SUM(AT233:BC233)&gt;0,9+(-SUM(AT233:BB233)/BC233),IF(SUM(AT233:BD233)&gt;0,10+(-SUM(AT233:BC233)/BD233),IF(SUM(AT233:BE233)&gt;0,11+(-SUM(AT233:BD233)/BE233),IF(SUM(AT233:BF233)&gt;0,12+(-SUM(AT233:BE233)/BF233),IF(SUM(AT233:BG233)&gt;0,13+(-SUM(AT233:BF233)/BG233),IF(SUM(AT233:BH233)&gt;0,14+(-SUM(AT233:BG233)/BH233),IF(SUM(AT233:BI233)&gt;0,15+(-SUM(AT233:BH233)/BI233),"&gt;16"))))))))))))))))</f>
        <v>&gt;16</v>
      </c>
      <c r="BA216" s="1116"/>
      <c r="BB216" s="1116"/>
      <c r="BC216" s="1116"/>
      <c r="BD216" s="1116"/>
      <c r="BE216" s="1116"/>
      <c r="BF216" s="1116"/>
      <c r="BG216" s="1082"/>
      <c r="BH216" s="1082"/>
      <c r="BI216" s="1082"/>
      <c r="BJ216" s="1082"/>
      <c r="BK216" s="1082"/>
      <c r="BL216" s="1082"/>
      <c r="BM216" s="1082"/>
      <c r="BN216" s="1478"/>
      <c r="BO216" s="1070"/>
      <c r="BP216" s="1070"/>
      <c r="BQ216" s="1070"/>
      <c r="BR216" s="1070"/>
      <c r="BS216" s="1070"/>
      <c r="BT216" s="1070"/>
      <c r="BU216" s="1070"/>
      <c r="BV216" s="1070"/>
      <c r="BW216" s="1070"/>
    </row>
    <row r="217" spans="1:75" outlineLevel="1" x14ac:dyDescent="0.3">
      <c r="A217" s="1070"/>
      <c r="B217" s="1070"/>
      <c r="C217" s="1070"/>
      <c r="D217" s="1527"/>
      <c r="E217" s="1142"/>
      <c r="F217" s="1582">
        <f t="shared" si="261"/>
        <v>22</v>
      </c>
      <c r="G217" s="2778">
        <f>IF($F217=$K$113,SUM($K$236:$T$236)/SUM($K$234:$T$234),0)</f>
        <v>143.2453353699091</v>
      </c>
      <c r="H217" s="1212">
        <f>IF($F217=$K$113,SUM($K$236:$Y$236)/SUM($K$234:$Y$234),0)</f>
        <v>305.4487272363167</v>
      </c>
      <c r="I217" s="1082"/>
      <c r="J217" s="1582">
        <f t="shared" si="262"/>
        <v>22</v>
      </c>
      <c r="K217" s="2778">
        <f>IF($J217=$K$113,SUM($K$236:$T$236)/SUM($K$235:$T$235),0)</f>
        <v>13.997240117737654</v>
      </c>
      <c r="L217" s="1212">
        <f>IF($J217=$K$113,SUM($K$236:$Y$236)/SUM($K$235:$Y$235),0)</f>
        <v>23.676206166750902</v>
      </c>
      <c r="M217" s="1082"/>
      <c r="N217" s="1582">
        <f t="shared" si="263"/>
        <v>22</v>
      </c>
      <c r="O217" s="1594">
        <f>IF($N217=$K$113,$K233+NPV(DiscRDE,(Calc!L233:S233,T238)),0)</f>
        <v>181932.48994294836</v>
      </c>
      <c r="P217" s="2037">
        <f>IF($N217=$K$113,$K233+NPV(DiscRDE,(Calc!L233:X233,Y238)),0)</f>
        <v>299215.15146593627</v>
      </c>
      <c r="Q217" s="2836"/>
      <c r="R217" s="1582">
        <f t="shared" si="264"/>
        <v>22</v>
      </c>
      <c r="S217" s="1594">
        <f>IF($R217=$K$113,$K233+NPV(DiscRDE,(Calc!L233:S233,T240)),0)</f>
        <v>385901.28739886638</v>
      </c>
      <c r="T217" s="2037">
        <f>IF($R217=$K$113,$K233+NPV(DiscRDE,(Calc!L233:X233,Y240)),0)</f>
        <v>342330.41016429948</v>
      </c>
      <c r="U217" s="2837"/>
      <c r="V217" s="1582">
        <f t="shared" si="265"/>
        <v>22</v>
      </c>
      <c r="W217" s="2859">
        <f>IF(SUM(K233)&gt;0,"&lt;1",IF(SUM(K233:L233)&gt;0,1+(-SUM(K233)/L233),IF(SUM(K233:M233)&gt;0,2+(-SUM(K233:L233)/M233),IF(SUM(K233:N233)&gt;0,3+(-SUM(K233:M233)/N233),IF(SUM(K233:O233)&gt;0,4+(-SUM(K233:N233)/O233),IF(SUM(K233:P233)&gt;0,5+(-SUM(K233:O233)/P233),IF(SUM(K233:Q233)&gt;0,6+(-SUM(K233:P233)/Q233),IF(SUM(K233:R233)&gt;0,7+(-SUM(K233:Q233)/R233),IF(SUM(K233:S233)&gt;0,8+(-SUM(K233:R233)/S233),IF(SUM(K233:T233)&gt;0,9+(-SUM(K233:S233)/T233),IF(SUM(K233:U233)&gt;0,10+(-SUM(K233:T233)/U233),IF(SUM(K233:V233)&gt;0,11+(-SUM(K233:U233)/V233),IF(SUM(K233:W233)&gt;0,12+(-SUM(K233:V233)/W233),IF(SUM(K233:X233)&gt;0,13+(-SUM(K233:W233)/X233),IF(SUM(K233:Y233)&gt;0,14+(-SUM(K233:X233)/Y233),IF(SUM(K233:Z233)&gt;0,15+(-SUM(K233:Y233)/Z233),"&gt;16"))))))))))))))))</f>
        <v>3.1503541155873243</v>
      </c>
      <c r="X217" s="2834"/>
      <c r="Y217" s="2836"/>
      <c r="Z217" s="2837"/>
      <c r="AA217" s="2858"/>
      <c r="AB217" s="2858"/>
      <c r="AC217" s="1742"/>
      <c r="AD217" s="1142"/>
      <c r="AE217" s="1070"/>
      <c r="AF217" s="1070"/>
      <c r="AG217" s="1142"/>
      <c r="AH217" s="1142"/>
      <c r="AI217" s="1142"/>
      <c r="AJ217" s="1564"/>
      <c r="AK217" s="1142"/>
      <c r="AL217" s="1142"/>
      <c r="AM217" s="1142"/>
      <c r="AN217" s="1142"/>
      <c r="AO217" s="1142"/>
      <c r="AP217" s="1741"/>
      <c r="AQ217" s="1582">
        <f t="shared" si="266"/>
        <v>22</v>
      </c>
      <c r="AR217" s="2778" t="e">
        <f>IF($AQ217=$AU$113,SUM($AU$236:$BD$236)/SUM($AU$234:$BD$234),0)</f>
        <v>#DIV/0!</v>
      </c>
      <c r="AS217" s="1212" t="e">
        <f>IF($AQ217=$AU$113,SUM($AU$236:$BI$236)/SUM($AU$234:$BI$234),0)</f>
        <v>#DIV/0!</v>
      </c>
      <c r="AT217" s="1476"/>
      <c r="AU217" s="1582">
        <f t="shared" si="267"/>
        <v>22</v>
      </c>
      <c r="AV217" s="2778" t="e">
        <f>IF($AU217=$AU$113,SUM($AU$236:$BD$236)/SUM($AU$235:$BD$235),0)</f>
        <v>#DIV/0!</v>
      </c>
      <c r="AW217" s="1212" t="e">
        <f>IF($AU217=$AU$113,SUM($AU$236:$BI$236)/SUM($AU$235:$BI$235),0)</f>
        <v>#DIV/0!</v>
      </c>
      <c r="AX217" s="1476"/>
      <c r="AY217" s="1582">
        <f t="shared" si="268"/>
        <v>22</v>
      </c>
      <c r="AZ217" s="2859" t="str">
        <f>IF(SUM(AU233)&gt;0,"&lt;1",IF(SUM(AU233:AV233)&gt;0,1+(-SUM(AU233)/AV233),IF(SUM(AU233:AW233)&gt;0,2+(-SUM(AU233:AV233)/AW233),IF(SUM(AU233:AX233)&gt;0,3+(-SUM(AU233:AW233)/AX233),IF(SUM(AU233:AY233)&gt;0,4+(-SUM(AU233:AX233)/AY233),IF(SUM(AU233:AZ233)&gt;0,5+(-SUM(AU233:AY233)/AZ233),IF(SUM(AU233:BA233)&gt;0,6+(-SUM(AU233:AZ233)/BA233),IF(SUM(AU233:BB233)&gt;0,7+(-SUM(AU233:BA233)/BB233),IF(SUM(AU233:BC233)&gt;0,8+(-SUM(AU233:BB233)/BC233),IF(SUM(AU233:BD233)&gt;0,9+(-SUM(AU233:BC233)/BD233),IF(SUM(AU233:BE233)&gt;0,10+(-SUM(AU233:BD233)/BE233),IF(SUM(AU233:BF233)&gt;0,11+(-SUM(AU233:BE233)/BF233),IF(SUM(AU233:BG233)&gt;0,12+(-SUM(AU233:BF233)/BG233),IF(SUM(AU233:BH233)&gt;0,13+(-SUM(AU233:BG233)/BH233),IF(SUM(AU233:BI233)&gt;0,14+(-SUM(AU233:BH233)/BI233),IF(SUM(AU233:BJ233)&gt;0,15+(-SUM(AU233:BI233)/BJ233),"&gt;16"))))))))))))))))</f>
        <v>&gt;16</v>
      </c>
      <c r="BA217" s="1116"/>
      <c r="BB217" s="1116"/>
      <c r="BC217" s="1116"/>
      <c r="BD217" s="1116"/>
      <c r="BE217" s="1116"/>
      <c r="BF217" s="1116"/>
      <c r="BG217" s="1082"/>
      <c r="BH217" s="1082"/>
      <c r="BI217" s="1082"/>
      <c r="BJ217" s="1082"/>
      <c r="BK217" s="1082"/>
      <c r="BL217" s="1082"/>
      <c r="BM217" s="1082"/>
      <c r="BN217" s="1478"/>
      <c r="BO217" s="1070"/>
      <c r="BP217" s="1070"/>
      <c r="BQ217" s="1070"/>
      <c r="BR217" s="1070"/>
      <c r="BS217" s="1070"/>
      <c r="BT217" s="1070"/>
      <c r="BU217" s="1070"/>
      <c r="BV217" s="1070"/>
      <c r="BW217" s="1070"/>
    </row>
    <row r="218" spans="1:75" outlineLevel="1" x14ac:dyDescent="0.3">
      <c r="A218" s="1070"/>
      <c r="B218" s="1070"/>
      <c r="C218" s="1070"/>
      <c r="D218" s="1527"/>
      <c r="E218" s="1142"/>
      <c r="F218" s="1582">
        <f t="shared" si="261"/>
        <v>23</v>
      </c>
      <c r="G218" s="2778">
        <f>IF($F218=$L$113,SUM($L$236:$U$236)/SUM($L$234:$U$234),0)</f>
        <v>343.54304119685258</v>
      </c>
      <c r="H218" s="1212">
        <f>IF($F218=$L$113,SUM($L$236:$Z$236)/SUM($L$234:$Z$234),0)</f>
        <v>594.20025761340537</v>
      </c>
      <c r="I218" s="1082"/>
      <c r="J218" s="1582">
        <f t="shared" si="262"/>
        <v>23</v>
      </c>
      <c r="K218" s="2778">
        <f>IF($J218=$L$113,SUM($L$236:$U$236)/SUM($L$235:$U$235),0)</f>
        <v>18.243670068369664</v>
      </c>
      <c r="L218" s="1212">
        <f>IF($J218=$L$113,SUM($L$236:$Z$236)/SUM($L$235:$Z$235),0)</f>
        <v>27.142226024358855</v>
      </c>
      <c r="M218" s="1082"/>
      <c r="N218" s="1582">
        <f t="shared" si="263"/>
        <v>23</v>
      </c>
      <c r="O218" s="1594">
        <f>IF($N218=$L$113,$L233+NPV(DiscRDE,(Calc!M233:T233,U238)),0)</f>
        <v>245657.65001705755</v>
      </c>
      <c r="P218" s="2037">
        <f>IF($N218=$L$113,$L233+NPV(DiscRDE,(Calc!M233:Y233,Z238)),0)</f>
        <v>349816.59905666887</v>
      </c>
      <c r="Q218" s="2836"/>
      <c r="R218" s="1582">
        <f t="shared" si="264"/>
        <v>23</v>
      </c>
      <c r="S218" s="1594">
        <f>IF($R218=$L$113,$L233+NPV(DiscRDE,(Calc!M233:T233,U240)),0)</f>
        <v>486950.7770411669</v>
      </c>
      <c r="T218" s="2037">
        <f>IF($R218=$L$113,$L233+NPV(DiscRDE,(Calc!M233:Y233,Z240)),0)</f>
        <v>350106.38803415181</v>
      </c>
      <c r="U218" s="2837"/>
      <c r="V218" s="1582">
        <f t="shared" si="265"/>
        <v>23</v>
      </c>
      <c r="W218" s="2859">
        <f>IF(SUM(L233)&gt;0,"&lt;1",IF(SUM(L233:M233)&gt;0,1+(-SUM(L233)/M233),IF(SUM(L233:N233)&gt;0,2+(-SUM(L233:M233)/N233),IF(SUM(L233:O233)&gt;0,3+(-SUM(L233:N233)/O233),IF(SUM(L233:P233)&gt;0,4+(-SUM(L233:O233)/P233),IF(SUM(L233:Q233)&gt;0,5+(-SUM(L233:P233)/Q233),IF(SUM(L233:R233)&gt;0,6+(-SUM(L233:Q233)/R233),IF(SUM(L233:S233)&gt;0,7+(-SUM(L233:R233)/S233),IF(SUM(L233:T233)&gt;0,8+(-SUM(L233:S233)/T233),IF(SUM(L233:U233)&gt;0,9+(-SUM(L233:T233)/U233),IF(SUM(L233:V233)&gt;0,10+(-SUM(L233:U233)/V233),IF(SUM(L233:W233)&gt;0,11+(-SUM(L233:V233)/W233),IF(SUM(L233:X233)&gt;0,12+(-SUM(L233:W233)/X233),IF(SUM(L233:Y233)&gt;0,13+(-SUM(L233:X233)/Y233),IF(SUM(L233:Z233)&gt;0,14+(-SUM(L233:Y233)/Z233),IF(SUM(L233:AA233)&gt;0,15+(-SUM(L233:Z233)/AA233),"&gt;16"))))))))))))))))</f>
        <v>1.9405055501920656</v>
      </c>
      <c r="X218" s="2834"/>
      <c r="Y218" s="2836"/>
      <c r="Z218" s="2837"/>
      <c r="AA218" s="2858"/>
      <c r="AB218" s="2858"/>
      <c r="AC218" s="1742"/>
      <c r="AD218" s="1142"/>
      <c r="AE218" s="1070"/>
      <c r="AF218" s="1070"/>
      <c r="AG218" s="1142"/>
      <c r="AH218" s="1142"/>
      <c r="AI218" s="1142"/>
      <c r="AJ218" s="1564"/>
      <c r="AK218" s="1142"/>
      <c r="AL218" s="1142"/>
      <c r="AM218" s="1142"/>
      <c r="AN218" s="1142"/>
      <c r="AO218" s="1142"/>
      <c r="AP218" s="1741"/>
      <c r="AQ218" s="1582">
        <f t="shared" si="266"/>
        <v>23</v>
      </c>
      <c r="AR218" s="2778" t="e">
        <f>IF($AQ218=$AV$113,SUM($AV$236:$BE$236)/SUM($AV$234:$BE$234),0)</f>
        <v>#DIV/0!</v>
      </c>
      <c r="AS218" s="1212" t="e">
        <f>IF($AQ218=$AV$113,SUM($AV$236:$BJ$236)/SUM($AV$234:$BJ$234),0)</f>
        <v>#DIV/0!</v>
      </c>
      <c r="AT218" s="1476"/>
      <c r="AU218" s="1582">
        <f t="shared" si="267"/>
        <v>23</v>
      </c>
      <c r="AV218" s="2778" t="e">
        <f>IF($AU218=$AV$113,SUM($AV$236:$BE$236)/SUM($AV$235:$BE$235),0)</f>
        <v>#DIV/0!</v>
      </c>
      <c r="AW218" s="1212" t="e">
        <f>IF($AU218=$AV$113,SUM($AV$236:$BJ$236)/SUM($AV$235:$BJ$235),0)</f>
        <v>#DIV/0!</v>
      </c>
      <c r="AX218" s="1476"/>
      <c r="AY218" s="1582">
        <f t="shared" si="268"/>
        <v>23</v>
      </c>
      <c r="AZ218" s="2859" t="str">
        <f>IF(SUM(AV233)&gt;0,"&lt;1",IF(SUM(AV233:AW233)&gt;0,1+(-SUM(AV233)/AW233),IF(SUM(AV233:AX233)&gt;0,2+(-SUM(AV233:AW233)/AX233),IF(SUM(AV233:AY233)&gt;0,3+(-SUM(AV233:AX233)/AY233),IF(SUM(AV233:AZ233)&gt;0,4+(-SUM(AV233:AY233)/AZ233),IF(SUM(AV233:BA233)&gt;0,5+(-SUM(AV233:AZ233)/BA233),IF(SUM(AV233:BB233)&gt;0,6+(-SUM(AV233:BA233)/BB233),IF(SUM(AV233:BC233)&gt;0,7+(-SUM(AV233:BB233)/BC233),IF(SUM(AV233:BD233)&gt;0,8+(-SUM(AV233:BC233)/BD233),IF(SUM(AV233:BE233)&gt;0,9+(-SUM(AV233:BD233)/BE233),IF(SUM(AV233:BF233)&gt;0,10+(-SUM(AV233:BE233)/BF233),IF(SUM(AV233:BG233)&gt;0,11+(-SUM(AV233:BF233)/BG233),IF(SUM(AV233:BH233)&gt;0,12+(-SUM(AV233:BG233)/BH233),IF(SUM(AV233:BI233)&gt;0,13+(-SUM(AV233:BH233)/BI233),IF(SUM(AV233:BJ233)&gt;0,14+(-SUM(AV233:BI233)/BJ233),IF(SUM(AV233:BK233)&gt;0,15+(-SUM(AV233:BJ233)/BK233),"&gt;16"))))))))))))))))</f>
        <v>&gt;16</v>
      </c>
      <c r="BA218" s="1116"/>
      <c r="BB218" s="1116"/>
      <c r="BC218" s="1116"/>
      <c r="BD218" s="1116"/>
      <c r="BE218" s="1116"/>
      <c r="BF218" s="1116"/>
      <c r="BG218" s="1082"/>
      <c r="BH218" s="1082"/>
      <c r="BI218" s="1082"/>
      <c r="BJ218" s="1082"/>
      <c r="BK218" s="1082"/>
      <c r="BL218" s="1082"/>
      <c r="BM218" s="1082"/>
      <c r="BN218" s="1478"/>
      <c r="BO218" s="1070"/>
      <c r="BP218" s="1070"/>
      <c r="BQ218" s="1070"/>
      <c r="BR218" s="1070"/>
      <c r="BS218" s="1070"/>
      <c r="BT218" s="1070"/>
      <c r="BU218" s="1070"/>
      <c r="BV218" s="1070"/>
      <c r="BW218" s="1070"/>
    </row>
    <row r="219" spans="1:75" outlineLevel="1" x14ac:dyDescent="0.3">
      <c r="A219" s="1070"/>
      <c r="B219" s="1070"/>
      <c r="C219" s="1070"/>
      <c r="D219" s="1527"/>
      <c r="E219" s="1142"/>
      <c r="F219" s="1582">
        <f t="shared" si="261"/>
        <v>24</v>
      </c>
      <c r="G219" s="2778">
        <f>IF($F219=$M$113,SUM($M$236:$V$236)/SUM($M$234:$V$234),0)</f>
        <v>967.52225358541455</v>
      </c>
      <c r="H219" s="1212">
        <f>IF($F219=$M$113,SUM($M$236:$AA$236)/SUM($M$234:$AA$234),0)</f>
        <v>1392.9884691400016</v>
      </c>
      <c r="I219" s="1082"/>
      <c r="J219" s="1582">
        <f t="shared" si="262"/>
        <v>24</v>
      </c>
      <c r="K219" s="2778">
        <f>IF($J219=$M$113,SUM($M$236:$V$236)/SUM($M$235:$V$235),0)</f>
        <v>29.960888992911769</v>
      </c>
      <c r="L219" s="1212">
        <f>IF($J219=$M$113,SUM($M$236:$AA$236)/SUM($M$235:$AA$235),0)</f>
        <v>39.881114996247746</v>
      </c>
      <c r="M219" s="1082"/>
      <c r="N219" s="1582">
        <f t="shared" si="263"/>
        <v>24</v>
      </c>
      <c r="O219" s="1594">
        <f>IF($N219=$M$113,$M233+NPV(DiscRDE,(Calc!N233:U233,V238)),0)</f>
        <v>330669.28349692462</v>
      </c>
      <c r="P219" s="2037">
        <f>IF($N219=$M$113,$M233+NPV(DiscRDE,(Calc!N233:Z233,AA238)),0)</f>
        <v>415922.30525375163</v>
      </c>
      <c r="Q219" s="2836"/>
      <c r="R219" s="1582">
        <f t="shared" si="264"/>
        <v>24</v>
      </c>
      <c r="S219" s="1594">
        <f>IF($R219=$M$113,$M233+NPV(DiscRDE,(Calc!N233:U233,V240)),0)</f>
        <v>601595.16835461964</v>
      </c>
      <c r="T219" s="2037">
        <f>IF($R219=$M$113,$M233+NPV(DiscRDE,(Calc!N233:Z233,AA240)),0)</f>
        <v>415922.30525375163</v>
      </c>
      <c r="U219" s="2837"/>
      <c r="V219" s="1582">
        <f t="shared" si="265"/>
        <v>24</v>
      </c>
      <c r="W219" s="2859" t="str">
        <f>IF(SUM(M233)&gt;0,"&lt;1",IF(SUM(M233:N233)&gt;0,1+(-SUM(M233)/N233),IF(SUM(M233:O233)&gt;0,2+(-SUM(M233:N233)/O233),IF(SUM(M233:P233)&gt;0,3+(-SUM(M233:O233)/P233),IF(SUM(M233:Q233)&gt;0,4+(-SUM(M233:P233)/Q233),IF(SUM(M233:R233)&gt;0,5+(-SUM(M233:Q233)/R233),IF(SUM(M233:S233)&gt;0,6+(-SUM(M233:R233)/S233),IF(SUM(M233:T233)&gt;0,7+(-SUM(M233:S233)/T233),IF(SUM(M233:U233)&gt;0,8+(-SUM(M233:T233)/U233),IF(SUM(M233:V233)&gt;0,9+(-SUM(M233:U233)/V233),IF(SUM(M233:W233)&gt;0,10+(-SUM(M233:V233)/W233),IF(SUM(M233:X233)&gt;0,11+(-SUM(M233:W233)/X233),IF(SUM(M233:Y233)&gt;0,12+(-SUM(M233:X233)/Y233),IF(SUM(M233:Z233)&gt;0,13+(-SUM(M233:Y233)/Z233),IF(SUM(M233:AA233)&gt;0,14+(-SUM(M233:Z233)/AA233),IF(SUM(M233:AB233)&gt;0,15+(-SUM(M233:AA233)/AB233),"&gt;16"))))))))))))))))</f>
        <v>&lt;1</v>
      </c>
      <c r="X219" s="2834"/>
      <c r="Y219" s="2836"/>
      <c r="Z219" s="2837"/>
      <c r="AA219" s="2858"/>
      <c r="AB219" s="2858"/>
      <c r="AC219" s="1742"/>
      <c r="AD219" s="1142"/>
      <c r="AE219" s="1070"/>
      <c r="AF219" s="1070"/>
      <c r="AG219" s="1142"/>
      <c r="AH219" s="1142"/>
      <c r="AI219" s="1142"/>
      <c r="AJ219" s="1564"/>
      <c r="AK219" s="1142"/>
      <c r="AL219" s="1142"/>
      <c r="AM219" s="1142"/>
      <c r="AN219" s="1142"/>
      <c r="AO219" s="1142"/>
      <c r="AP219" s="1741"/>
      <c r="AQ219" s="1582">
        <f t="shared" si="266"/>
        <v>24</v>
      </c>
      <c r="AR219" s="2778" t="e">
        <f>IF($AQ219=$AW$113,SUM($AW$236:$BF$236)/SUM($AW$234:$BF$234),0)</f>
        <v>#DIV/0!</v>
      </c>
      <c r="AS219" s="1212" t="e">
        <f>IF($AQ219=$AW$113,SUM($AW$236:$BK$236)/SUM($AW$234:$BK$234),0)</f>
        <v>#DIV/0!</v>
      </c>
      <c r="AT219" s="1476"/>
      <c r="AU219" s="1582">
        <f t="shared" si="267"/>
        <v>24</v>
      </c>
      <c r="AV219" s="2778" t="e">
        <f>IF($AU219=$AW$113,SUM($AW$236:$BF$236)/SUM($AW$235:$BF$235),0)</f>
        <v>#DIV/0!</v>
      </c>
      <c r="AW219" s="1212" t="e">
        <f>IF($AU219=$AW$113,SUM($AW$236:$BK$236)/SUM($AW$235:$BK$235),0)</f>
        <v>#DIV/0!</v>
      </c>
      <c r="AX219" s="1476"/>
      <c r="AY219" s="1582">
        <f t="shared" si="268"/>
        <v>24</v>
      </c>
      <c r="AZ219" s="2859" t="str">
        <f>IF(SUM(AW233)&gt;0,"&lt;1",IF(SUM(AW233:AX233)&gt;0,1+(-SUM(AW233)/AX233),IF(SUM(AW233:AY233)&gt;0,2+(-SUM(AW233:AX233)/AY233),IF(SUM(AW233:AZ233)&gt;0,3+(-SUM(AW233:AY233)/AZ233),IF(SUM(AW233:BA233)&gt;0,4+(-SUM(AW233:AZ233)/BA233),IF(SUM(AW233:BB233)&gt;0,5+(-SUM(AW233:BA233)/BB233),IF(SUM(AW233:BC233)&gt;0,6+(-SUM(AW233:BB233)/BC233),IF(SUM(AW233:BD233)&gt;0,7+(-SUM(AW233:BC233)/BD233),IF(SUM(AW233:BE233)&gt;0,8+(-SUM(AW233:BD233)/BE233),IF(SUM(AW233:BF233)&gt;0,9+(-SUM(AW233:BE233)/BF233),IF(SUM(AW233:BG233)&gt;0,10+(-SUM(AW233:BF233)/BG233),IF(SUM(AW233:BH233)&gt;0,11+(-SUM(AW233:BG233)/BH233),IF(SUM(AW233:BI233)&gt;0,12+(-SUM(AW233:BH233)/BI233),IF(SUM(AW233:BJ233)&gt;0,13+(-SUM(AW233:BI233)/BJ233),IF(SUM(AW233:BK233)&gt;0,14+(-SUM(AW233:BJ233)/BK233),IF(SUM(AW233:BL233)&gt;0,15+(-SUM(AW233:BK233)/BL233),"&gt;16"))))))))))))))))</f>
        <v>&gt;16</v>
      </c>
      <c r="BA219" s="1116"/>
      <c r="BB219" s="1116"/>
      <c r="BC219" s="1116"/>
      <c r="BD219" s="1116"/>
      <c r="BE219" s="1116"/>
      <c r="BF219" s="1116"/>
      <c r="BG219" s="1082"/>
      <c r="BH219" s="1082"/>
      <c r="BI219" s="1082"/>
      <c r="BJ219" s="1082"/>
      <c r="BK219" s="1082"/>
      <c r="BL219" s="1082"/>
      <c r="BM219" s="1082"/>
      <c r="BN219" s="1478"/>
      <c r="BO219" s="1070"/>
      <c r="BP219" s="1070"/>
      <c r="BQ219" s="1070"/>
      <c r="BR219" s="1070"/>
      <c r="BS219" s="1070"/>
      <c r="BT219" s="1070"/>
      <c r="BU219" s="1070"/>
      <c r="BV219" s="1070"/>
      <c r="BW219" s="1070"/>
    </row>
    <row r="220" spans="1:75" outlineLevel="1" x14ac:dyDescent="0.3">
      <c r="A220" s="1070"/>
      <c r="B220" s="1070"/>
      <c r="C220" s="1070"/>
      <c r="D220" s="1527"/>
      <c r="E220" s="1142"/>
      <c r="F220" s="1582">
        <f t="shared" si="261"/>
        <v>25</v>
      </c>
      <c r="G220" s="2778">
        <f>IF($F220=$N$113,SUM($N$236:$W$236)/SUM($N$234:$W$234),0)</f>
        <v>1405.6700587569783</v>
      </c>
      <c r="H220" s="1212">
        <f>IF($F220=$N$113,SUM($N$236:$AB$236)/SUM($N$234:$AB$234),0)</f>
        <v>1697.7898844302158</v>
      </c>
      <c r="I220" s="1082"/>
      <c r="J220" s="1582">
        <f t="shared" si="262"/>
        <v>25</v>
      </c>
      <c r="K220" s="2778">
        <f>IF($J220=$N$113,SUM($N$236:$W$236)/SUM($N$235:$W$235),0)</f>
        <v>32.656464164141717</v>
      </c>
      <c r="L220" s="1212">
        <f>IF($J220=$N$113,SUM($N$236:$AB$236)/SUM($N$235:$AB$235),0)</f>
        <v>42.648939491800625</v>
      </c>
      <c r="M220" s="1082"/>
      <c r="N220" s="1582">
        <f t="shared" si="263"/>
        <v>25</v>
      </c>
      <c r="O220" s="1594">
        <f>IF($N220=$N$113,$N233+NPV(DiscRDE,(Calc!O233:V233,W238)),0)</f>
        <v>405178.95679317368</v>
      </c>
      <c r="P220" s="2037">
        <f>IF($N220=$N$113,$N233+NPV(DiscRDE,(Calc!O233:AA233,AB238)),0)</f>
        <v>463815.02543301432</v>
      </c>
      <c r="Q220" s="2836"/>
      <c r="R220" s="1582">
        <f t="shared" si="264"/>
        <v>25</v>
      </c>
      <c r="S220" s="1594">
        <f>IF($R220=$N$113,$N233+NPV(DiscRDE,(Calc!O233:V233,W240)),0)</f>
        <v>714355.91454794817</v>
      </c>
      <c r="T220" s="2037">
        <f>IF($R220=$N$113,$N233+NPV(DiscRDE,(Calc!O233:AA233,AB240)),0)</f>
        <v>463815.02543301432</v>
      </c>
      <c r="U220" s="2837"/>
      <c r="V220" s="1582">
        <f t="shared" si="265"/>
        <v>25</v>
      </c>
      <c r="W220" s="2859" t="str">
        <f>IF(SUM(N233)&gt;0,"&lt;1",IF(SUM(N233:O233)&gt;0,1+(-SUM(N233)/O233),IF(SUM(N233:P233)&gt;0,2+(-SUM(N233:O233)/P233),IF(SUM(N233:Q233)&gt;0,3+(-SUM(N233:P233)/Q233),IF(SUM(N233:R233)&gt;0,4+(-SUM(N233:Q233)/R233),IF(SUM(N233:S233)&gt;0,5+(-SUM(N233:R233)/S233),IF(SUM(N233:T233)&gt;0,6+(-SUM(N233:S233)/T233),IF(SUM(N233:U233)&gt;0,7+(-SUM(N233:T233)/U233),IF(SUM(N233:V233)&gt;0,8+(-SUM(N233:U233)/V233),IF(SUM(N233:W233)&gt;0,9+(-SUM(N233:V233)/W233),IF(SUM(N233:X233)&gt;0,10+(-SUM(N233:W233)/X233),IF(SUM(N233:Y233)&gt;0,11+(-SUM(N233:X233)/Y233),IF(SUM(N233:Z233)&gt;0,12+(-SUM(N233:Y233)/Z233),IF(SUM(N233:AA233)&gt;0,13+(-SUM(N233:Z233)/AA233),IF(SUM(N233:AB233)&gt;0,14+(-SUM(N233:AA233)/AB233),IF(SUM(N233:AC233)&gt;0,15+(-SUM(N233:AB233)/AC233),"&gt;16"))))))))))))))))</f>
        <v>&lt;1</v>
      </c>
      <c r="X220" s="2834"/>
      <c r="Y220" s="2836"/>
      <c r="Z220" s="2837"/>
      <c r="AA220" s="2858"/>
      <c r="AB220" s="2858"/>
      <c r="AC220" s="1742"/>
      <c r="AD220" s="1142"/>
      <c r="AE220" s="1070"/>
      <c r="AF220" s="1070"/>
      <c r="AG220" s="1142"/>
      <c r="AH220" s="1142"/>
      <c r="AI220" s="1142"/>
      <c r="AJ220" s="1564"/>
      <c r="AK220" s="1142"/>
      <c r="AL220" s="1142"/>
      <c r="AM220" s="1142"/>
      <c r="AN220" s="1142"/>
      <c r="AO220" s="1142"/>
      <c r="AP220" s="1741"/>
      <c r="AQ220" s="1582">
        <f t="shared" si="266"/>
        <v>25</v>
      </c>
      <c r="AR220" s="2778" t="e">
        <f>IF($AQ220=$AX$113,SUM($AX$236:$BG$236)/SUM($AX$234:$BG$234),0)</f>
        <v>#DIV/0!</v>
      </c>
      <c r="AS220" s="1212" t="e">
        <f>IF($AQ220=$AX$113,SUM($AX$236:$BL$236)/SUM($AX$234:$BL$234),0)</f>
        <v>#DIV/0!</v>
      </c>
      <c r="AT220" s="1476"/>
      <c r="AU220" s="1582">
        <f t="shared" si="267"/>
        <v>25</v>
      </c>
      <c r="AV220" s="2778" t="e">
        <f>IF($AU220=$AX$113,SUM($AX$236:$BG$236)/SUM($AX$235:$BG$235),0)</f>
        <v>#DIV/0!</v>
      </c>
      <c r="AW220" s="1212" t="e">
        <f>IF($AU220=$AX$113,SUM($AX$236:$BL$236)/SUM($AX$235:$BL$235),0)</f>
        <v>#DIV/0!</v>
      </c>
      <c r="AX220" s="1476"/>
      <c r="AY220" s="1582">
        <f t="shared" si="268"/>
        <v>25</v>
      </c>
      <c r="AZ220" s="2859" t="str">
        <f>IF(SUM(AX233)&gt;0,"&lt;1",IF(SUM(AX233:AY233)&gt;0,1+(-SUM(AX233)/AY233),IF(SUM(AX233:AZ233)&gt;0,2+(-SUM(AX233:AY233)/AZ233),IF(SUM(AX233:BA233)&gt;0,3+(-SUM(AX233:AZ233)/BA233),IF(SUM(AX233:BB233)&gt;0,4+(-SUM(AX233:BA233)/BB233),IF(SUM(AX233:BC233)&gt;0,5+(-SUM(AX233:BB233)/BC233),IF(SUM(AX233:BD233)&gt;0,6+(-SUM(AX233:BC233)/BD233),IF(SUM(AX233:BE233)&gt;0,7+(-SUM(AX233:BD233)/BE233),IF(SUM(AX233:BF233)&gt;0,8+(-SUM(AX233:BE233)/BF233),IF(SUM(AX233:BG233)&gt;0,9+(-SUM(AX233:BF233)/BG233),IF(SUM(AX233:BH233)&gt;0,10+(-SUM(AX233:BG233)/BH233),IF(SUM(AX233:BI233)&gt;0,11+(-SUM(AX233:BH233)/BI233),IF(SUM(AX233:BJ233)&gt;0,12+(-SUM(AX233:BI233)/BJ233),IF(SUM(AX233:BK233)&gt;0,13+(-SUM(AX233:BJ233)/BK233),IF(SUM(AX233:BL233)&gt;0,14+(-SUM(AX233:BK233)/BL233),IF(SUM(AX233:BM233)&gt;0,15+(-SUM(AX233:BL233)/BM233),"&gt;16"))))))))))))))))</f>
        <v>&gt;16</v>
      </c>
      <c r="BA220" s="1116"/>
      <c r="BB220" s="1116"/>
      <c r="BC220" s="1116"/>
      <c r="BD220" s="1116"/>
      <c r="BE220" s="1116"/>
      <c r="BF220" s="1116"/>
      <c r="BG220" s="1082"/>
      <c r="BH220" s="1082"/>
      <c r="BI220" s="1082"/>
      <c r="BJ220" s="1082"/>
      <c r="BK220" s="1082"/>
      <c r="BL220" s="1082"/>
      <c r="BM220" s="1082"/>
      <c r="BN220" s="1478"/>
      <c r="BO220" s="1070"/>
      <c r="BP220" s="1070"/>
      <c r="BQ220" s="1070"/>
      <c r="BR220" s="1070"/>
      <c r="BS220" s="1070"/>
      <c r="BT220" s="1070"/>
      <c r="BU220" s="1070"/>
      <c r="BV220" s="1070"/>
      <c r="BW220" s="1070"/>
    </row>
    <row r="221" spans="1:75" outlineLevel="1" x14ac:dyDescent="0.3">
      <c r="A221" s="1070"/>
      <c r="B221" s="1070"/>
      <c r="C221" s="1070"/>
      <c r="D221" s="1527"/>
      <c r="E221" s="1142"/>
      <c r="F221" s="1582">
        <f t="shared" si="261"/>
        <v>26</v>
      </c>
      <c r="G221" s="2778">
        <f>IF($F221=$O$113,SUM($O$236:$X$236)/SUM($O$234:$X$234),0)</f>
        <v>2169.0115758087009</v>
      </c>
      <c r="H221" s="1212">
        <f>IF($F221=$O$113,SUM($O$236:$AC$236)/SUM($O$234:$AC$234),0)</f>
        <v>2169.0115758087009</v>
      </c>
      <c r="I221" s="1082"/>
      <c r="J221" s="1582">
        <f t="shared" si="262"/>
        <v>26</v>
      </c>
      <c r="K221" s="2778">
        <f>IF($F221=$O$113,SUM($O$236:$X$236)/SUM($O$235:$X$235),0)</f>
        <v>42.164170128945337</v>
      </c>
      <c r="L221" s="1212">
        <f>IF($J221=$O$113,SUM($O$236:$AC$236)/SUM($O$235:$AC$235),0)</f>
        <v>44.635455454000684</v>
      </c>
      <c r="M221" s="1082"/>
      <c r="N221" s="1582">
        <f t="shared" si="263"/>
        <v>26</v>
      </c>
      <c r="O221" s="1594">
        <f>IF($N221=$O$113,$O233+NPV(DiscRDE,(Calc!P233:W233,X238)),0)</f>
        <v>491663.64138446748</v>
      </c>
      <c r="P221" s="2037">
        <f>IF($N221=$O$113,$O233+NPV(DiscRDE,(Calc!P233:AB233,AC238)),0)</f>
        <v>501330.74595980207</v>
      </c>
      <c r="Q221" s="2836"/>
      <c r="R221" s="1582">
        <f t="shared" si="264"/>
        <v>26</v>
      </c>
      <c r="S221" s="1594">
        <f>IF($R221=$O$113,$O233+NPV(DiscRDE,(Calc!P233:W233,X240)),0)</f>
        <v>944891.8094436347</v>
      </c>
      <c r="T221" s="2037">
        <f>IF($R221=$O$113,$O233+NPV(DiscRDE,(Calc!P233:AB233,AC240)),0)</f>
        <v>501330.74595980207</v>
      </c>
      <c r="U221" s="2837"/>
      <c r="V221" s="1582">
        <f t="shared" si="265"/>
        <v>26</v>
      </c>
      <c r="W221" s="2859" t="str">
        <f>IF(SUM(O233)&gt;0,"&lt;1",IF(SUM(O233:P233)&gt;0,1+(-SUM(O233)/P233),IF(SUM(O233:Q233)&gt;0,2+(-SUM(O233:P233)/Q233),IF(SUM(O233:R233)&gt;0,3+(-SUM(O233:Q233)/R233),IF(SUM(O233:S233)&gt;0,4+(-SUM(O233:R233)/S233),IF(SUM(O233:T233)&gt;0,5+(-SUM(O233:S233)/T233),IF(SUM(O233:U233)&gt;0,6+(-SUM(O233:T233)/U233),IF(SUM(O233:V233)&gt;0,7+(-SUM(O233:U233)/V233),IF(SUM(O233:W233)&gt;0,8+(-SUM(O233:V233)/W233),IF(SUM(O233:X233)&gt;0,9+(-SUM(O233:W233)/X233),IF(SUM(O233:Y233)&gt;0,10+(-SUM(O233:X233)/Y233),IF(SUM(O233:Z233)&gt;0,11+(-SUM(O233:Y233)/Z233),IF(SUM(O233:AA233)&gt;0,12+(-SUM(O233:Z233)/AA233),IF(SUM(O233:AB233)&gt;0,13+(-SUM(O233:AA233)/AB233),IF(SUM(O233:AC233)&gt;0,14+(-SUM(O233:AB233)/AC233),IF(SUM(O233:AD233)&gt;0,15+(-SUM(O233:AC233)/AD233),"&gt;16"))))))))))))))))</f>
        <v>&lt;1</v>
      </c>
      <c r="X221" s="2834"/>
      <c r="Y221" s="2836"/>
      <c r="Z221" s="2837"/>
      <c r="AA221" s="2858"/>
      <c r="AB221" s="2858"/>
      <c r="AC221" s="1742"/>
      <c r="AD221" s="1142"/>
      <c r="AE221" s="1070"/>
      <c r="AF221" s="1070"/>
      <c r="AG221" s="1142"/>
      <c r="AH221" s="1142"/>
      <c r="AI221" s="1142"/>
      <c r="AJ221" s="1564"/>
      <c r="AK221" s="1142"/>
      <c r="AL221" s="1142"/>
      <c r="AM221" s="1142"/>
      <c r="AN221" s="1142"/>
      <c r="AO221" s="1142"/>
      <c r="AP221" s="1741"/>
      <c r="AQ221" s="1582">
        <f t="shared" si="266"/>
        <v>26</v>
      </c>
      <c r="AR221" s="2778" t="e">
        <f>IF($AQ221=$AY$113,SUM($AY$236:$BH$236)/SUM($AY$234:$BH$234),0)</f>
        <v>#DIV/0!</v>
      </c>
      <c r="AS221" s="1212" t="e">
        <f>IF($AQ221=$AY$113,SUM($AY$236:$BM$236)/SUM($AY$234:$BM$234),0)</f>
        <v>#DIV/0!</v>
      </c>
      <c r="AT221" s="1476"/>
      <c r="AU221" s="1582">
        <f t="shared" si="267"/>
        <v>26</v>
      </c>
      <c r="AV221" s="2778" t="e">
        <f>IF($AU221=$AY$113,SUM($AY$236:$BH$236)/SUM($AY$235:$BH$235),0)</f>
        <v>#DIV/0!</v>
      </c>
      <c r="AW221" s="1212" t="e">
        <f>IF($AU221=$AY$113,SUM($AY$236:$BM$236)/SUM($AY$235:$BM$235),0)</f>
        <v>#DIV/0!</v>
      </c>
      <c r="AX221" s="1476"/>
      <c r="AY221" s="1582">
        <f t="shared" si="268"/>
        <v>26</v>
      </c>
      <c r="AZ221" s="2859" t="str">
        <f>IF(SUM(AY233)&gt;0,"&lt;1",IF(SUM(AY233:AZ233)&gt;0,1+(-SUM(AY233)/AZ233),IF(SUM(AY233:BA233)&gt;0,2+(-SUM(AY233:AZ233)/BA233),IF(SUM(AY233:BB233)&gt;0,3+(-SUM(AY233:BA233)/BB233),IF(SUM(AY233:BC233)&gt;0,4+(-SUM(AY233:BB233)/BC233),IF(SUM(AY233:BD233)&gt;0,5+(-SUM(AY233:BC233)/BD233),IF(SUM(AY233:BE233)&gt;0,6+(-SUM(AY233:BD233)/BE233),IF(SUM(AY233:BF233)&gt;0,7+(-SUM(AY233:BE233)/BF233),IF(SUM(AY233:BG233)&gt;0,8+(-SUM(AY233:BF233)/BG233),IF(SUM(AY233:BH233)&gt;0,9+(-SUM(AY233:BG233)/BH233),IF(SUM(AY233:BI233)&gt;0,10+(-SUM(AY233:BH233)/BI233),IF(SUM(AY233:BJ233)&gt;0,11+(-SUM(AY233:BI233)/BJ233),IF(SUM(AY233:BK233)&gt;0,12+(-SUM(AY233:BJ233)/BK233),IF(SUM(AY233:BL233)&gt;0,13+(-SUM(AY233:BK233)/BL233),IF(SUM(AY233:BM233)&gt;0,14+(-SUM(AY233:BL233)/BM233),IF(SUM(AY233:BN233)&gt;0,15+(-SUM(AY233:BM233)/BN233),"&gt;16"))))))))))))))))</f>
        <v>&gt;16</v>
      </c>
      <c r="BA221" s="1116"/>
      <c r="BB221" s="1116"/>
      <c r="BC221" s="1116"/>
      <c r="BD221" s="1116"/>
      <c r="BE221" s="1116"/>
      <c r="BF221" s="1116"/>
      <c r="BG221" s="1082"/>
      <c r="BH221" s="1082"/>
      <c r="BI221" s="1082"/>
      <c r="BJ221" s="1082"/>
      <c r="BK221" s="1082"/>
      <c r="BL221" s="1082"/>
      <c r="BM221" s="1082"/>
      <c r="BN221" s="1478"/>
      <c r="BO221" s="1070"/>
      <c r="BP221" s="1070"/>
      <c r="BQ221" s="1070"/>
      <c r="BR221" s="1070"/>
      <c r="BS221" s="1070"/>
      <c r="BT221" s="1070"/>
      <c r="BU221" s="1070"/>
      <c r="BV221" s="1070"/>
      <c r="BW221" s="1070"/>
    </row>
    <row r="222" spans="1:75" outlineLevel="1" x14ac:dyDescent="0.3">
      <c r="A222" s="1070"/>
      <c r="B222" s="1070"/>
      <c r="C222" s="1070"/>
      <c r="D222" s="1527"/>
      <c r="E222" s="1142"/>
      <c r="F222" s="1582">
        <f t="shared" si="261"/>
        <v>27</v>
      </c>
      <c r="G222" s="2778">
        <f>IF($F222=$P$113,SUM($P$236:$Y$236)/SUM($P$234:$Y$234),0)</f>
        <v>3056.3756164949632</v>
      </c>
      <c r="H222" s="1212">
        <f>IF($F222=$P$113,SUM($P$236:$AD$236)/SUM($P$234:$AD$234),0)</f>
        <v>3056.3756164949632</v>
      </c>
      <c r="I222" s="1082"/>
      <c r="J222" s="1582">
        <f t="shared" si="262"/>
        <v>27</v>
      </c>
      <c r="K222" s="2778">
        <f>IF($F222=$P$113,SUM($P$236:$Y$236)/SUM($P$235:$Y$235),0)</f>
        <v>44.930887277871598</v>
      </c>
      <c r="L222" s="1212">
        <f>IF($J222=$P$113,SUM($P$236:$AD$236)/SUM($P$235:$AD$235),0)</f>
        <v>46.372870260211478</v>
      </c>
      <c r="M222" s="1082"/>
      <c r="N222" s="1582">
        <f t="shared" si="263"/>
        <v>27</v>
      </c>
      <c r="O222" s="1594">
        <f>IF($N222=$P$113,$P233+NPV(DiscRDE,(Calc!Q233:X233,Y238)),0)</f>
        <v>523842.44278082962</v>
      </c>
      <c r="P222" s="2037">
        <f>IF($N222=$P$113,$P233+NPV(DiscRDE,(Calc!Q233:AC233,AD238)),0)</f>
        <v>523907.0403840295</v>
      </c>
      <c r="Q222" s="2836"/>
      <c r="R222" s="1582">
        <f t="shared" si="264"/>
        <v>27</v>
      </c>
      <c r="S222" s="1594">
        <f>IF($R222=$P$113,$P233+NPV(DiscRDE,(Calc!Q233:X233,Y240)),0)</f>
        <v>610562.62825470418</v>
      </c>
      <c r="T222" s="2037">
        <f>IF($R222=$P$113,$P233+NPV(DiscRDE,(Calc!Q233:AC233,AD240)),0)</f>
        <v>523907.0403840295</v>
      </c>
      <c r="U222" s="2837"/>
      <c r="V222" s="1582">
        <f t="shared" si="265"/>
        <v>27</v>
      </c>
      <c r="W222" s="2859" t="str">
        <f>IF(SUM(P233)&gt;0,"&lt;1",IF(SUM(P233:Q233)&gt;0,1+(-SUM(P233)/Q233),IF(SUM(P233:R233)&gt;0,2+(-SUM(P233:Q233)/R233),IF(SUM(P233:S233)&gt;0,3+(-SUM(P233:R233)/S233),IF(SUM(P233:T233)&gt;0,4+(-SUM(P233:S233)/T233),IF(SUM(P233:U233)&gt;0,5+(-SUM(P233:T233)/U233),IF(SUM(P233:V233)&gt;0,6+(-SUM(P233:U233)/V233),IF(SUM(P233:W233)&gt;0,7+(-SUM(P233:V233)/W233),IF(SUM(P233:X233)&gt;0,8+(-SUM(P233:W233)/X233),IF(SUM(P233:Y233)&gt;0,9+(-SUM(P233:X233)/Y233),IF(SUM(P233:Z233)&gt;0,10+(-SUM(P233:Y233)/Z233),IF(SUM(P233:AA233)&gt;0,11+(-SUM(P233:Z233)/AA233),IF(SUM(P233:AB233)&gt;0,12+(-SUM(P233:AA233)/AB233),IF(SUM(P233:AC233)&gt;0,13+(-SUM(P233:AB233)/AC233),IF(SUM(P233:AD233)&gt;0,14+(-SUM(P233:AC233)/AD233),IF(SUM(P233:AE233)&gt;0,15+(-SUM(P233:AD233)/AE233),"&gt;16"))))))))))))))))</f>
        <v>&lt;1</v>
      </c>
      <c r="X222" s="2834"/>
      <c r="Y222" s="2836"/>
      <c r="Z222" s="2837"/>
      <c r="AA222" s="2858"/>
      <c r="AB222" s="2858"/>
      <c r="AC222" s="1742"/>
      <c r="AD222" s="1142"/>
      <c r="AE222" s="1070"/>
      <c r="AF222" s="1070"/>
      <c r="AG222" s="1142"/>
      <c r="AH222" s="1142"/>
      <c r="AI222" s="1142"/>
      <c r="AJ222" s="1564"/>
      <c r="AK222" s="1142"/>
      <c r="AL222" s="1142"/>
      <c r="AM222" s="1142"/>
      <c r="AN222" s="1142"/>
      <c r="AO222" s="1142"/>
      <c r="AP222" s="1741"/>
      <c r="AQ222" s="1582">
        <f t="shared" si="266"/>
        <v>27</v>
      </c>
      <c r="AR222" s="2778" t="e">
        <f>IF($AQ222=$AZ$113,SUM($AZ$236:$BI$236)/SUM($AZ$234:$BI$234),0)</f>
        <v>#DIV/0!</v>
      </c>
      <c r="AS222" s="1212" t="e">
        <f>IF($AQ222=$AZ$113,SUM($AZ$236:$BN$236)/SUM($AZ$234:$BN$234),0)</f>
        <v>#DIV/0!</v>
      </c>
      <c r="AT222" s="1476"/>
      <c r="AU222" s="1582">
        <f t="shared" si="267"/>
        <v>27</v>
      </c>
      <c r="AV222" s="2778" t="e">
        <f>IF($AU222=$AZ$113,SUM($AZ$236:$BI$236)/SUM($AZ$235:$BI$235),0)</f>
        <v>#DIV/0!</v>
      </c>
      <c r="AW222" s="1212" t="e">
        <f>IF($AU222=$AZ$113,SUM($AZ$236:$BN$236)/SUM($AZ$235:$BN$235),0)</f>
        <v>#DIV/0!</v>
      </c>
      <c r="AX222" s="1476"/>
      <c r="AY222" s="1582">
        <f t="shared" si="268"/>
        <v>27</v>
      </c>
      <c r="AZ222" s="2859" t="str">
        <f>IF(SUM(AZ233)&gt;0,"&lt;1",IF(SUM(AZ233:BA233)&gt;0,1+(-SUM(AZ233)/BA233),IF(SUM(AZ233:BB233)&gt;0,2+(-SUM(AZ233:BA233)/BB233),IF(SUM(AZ233:BC233)&gt;0,3+(-SUM(AZ233:BB233)/BC233),IF(SUM(AZ233:BD233)&gt;0,4+(-SUM(AZ233:BC233)/BD233),IF(SUM(AZ233:BE233)&gt;0,5+(-SUM(AZ233:BD233)/BE233),IF(SUM(AZ233:BF233)&gt;0,6+(-SUM(AZ233:BE233)/BF233),IF(SUM(AZ233:BG233)&gt;0,7+(-SUM(AZ233:BF233)/BG233),IF(SUM(AZ233:BH233)&gt;0,8+(-SUM(AZ233:BG233)/BH233),IF(SUM(AZ233:BI233)&gt;0,9+(-SUM(AZ233:BH233)/BI233),IF(SUM(AZ233:BJ233)&gt;0,10+(-SUM(AZ233:BI233)/BJ233),IF(SUM(AZ233:BK233)&gt;0,11+(-SUM(AZ233:BJ233)/BK233),IF(SUM(AZ233:BL233)&gt;0,12+(-SUM(AZ233:BK233)/BL233),IF(SUM(AZ233:BM233)&gt;0,13+(-SUM(AZ233:BL233)/BM233),IF(SUM(AZ233:BN233)&gt;0,14+(-SUM(AZ233:BM233)/BN233),IF(SUM(AZ233:BO233)&gt;0,15+(-SUM(AZ233:BN233)/BO233),"&gt;16"))))))))))))))))</f>
        <v>&gt;16</v>
      </c>
      <c r="BA222" s="1116"/>
      <c r="BB222" s="1116"/>
      <c r="BC222" s="1116"/>
      <c r="BD222" s="1116"/>
      <c r="BE222" s="1116"/>
      <c r="BF222" s="1116"/>
      <c r="BG222" s="1082"/>
      <c r="BH222" s="1082"/>
      <c r="BI222" s="1082"/>
      <c r="BJ222" s="1082"/>
      <c r="BK222" s="1082"/>
      <c r="BL222" s="1082"/>
      <c r="BM222" s="1082"/>
      <c r="BN222" s="1478"/>
      <c r="BO222" s="1070"/>
      <c r="BP222" s="1070"/>
      <c r="BQ222" s="1070"/>
      <c r="BR222" s="1070"/>
      <c r="BS222" s="1070"/>
      <c r="BT222" s="1070"/>
      <c r="BU222" s="1070"/>
      <c r="BV222" s="1070"/>
      <c r="BW222" s="1070"/>
    </row>
    <row r="223" spans="1:75" outlineLevel="1" x14ac:dyDescent="0.3">
      <c r="A223" s="1070"/>
      <c r="B223" s="1070"/>
      <c r="C223" s="1070"/>
      <c r="D223" s="1527"/>
      <c r="E223" s="1142"/>
      <c r="F223" s="1582">
        <f t="shared" si="261"/>
        <v>28</v>
      </c>
      <c r="G223" s="2778">
        <f>IF($F223=$Q$113,SUM($Q$236:$Z$236)/SUM($Q$234:$Z$234),0)</f>
        <v>5644.5955701412704</v>
      </c>
      <c r="H223" s="1212">
        <f>IF($F223=$Q$113,SUM($Q$236:$AE$236)/SUM($Q$234:$AE$234),0)</f>
        <v>5644.5955701412704</v>
      </c>
      <c r="I223" s="1082"/>
      <c r="J223" s="1582">
        <f t="shared" si="262"/>
        <v>28</v>
      </c>
      <c r="K223" s="2778">
        <f>IF($F223=$Q$113,SUM($Q$236:$Z$236)/SUM($Q$235:$Z$235),0)</f>
        <v>48.699807856433708</v>
      </c>
      <c r="L223" s="1212">
        <f>IF($J223=$Q$113,SUM($Q$236:$AE$236)/SUM($Q$235:$AE$235),0)</f>
        <v>48.699807856433708</v>
      </c>
      <c r="M223" s="1082"/>
      <c r="N223" s="1582">
        <f t="shared" si="263"/>
        <v>28</v>
      </c>
      <c r="O223" s="1594">
        <f>IF($N223=$Q$113,$Q233+NPV(DiscRDE,(Calc!R233:Y233,Z238)),0)</f>
        <v>532855.97901935875</v>
      </c>
      <c r="P223" s="2037">
        <f>IF($N223=$Q$113,$Q233+NPV(DiscRDE,(Calc!R233:AD233,AE238)),0)</f>
        <v>532855.97901935875</v>
      </c>
      <c r="Q223" s="2836"/>
      <c r="R223" s="1582">
        <f t="shared" si="264"/>
        <v>28</v>
      </c>
      <c r="S223" s="1594">
        <f>IF($R223=$Q$113,$Q233+NPV(DiscRDE,(Calc!R233:Y233,Z240)),0)</f>
        <v>533438.84816207737</v>
      </c>
      <c r="T223" s="2037">
        <f>IF($R223=$Q$113,$Q233+NPV(DiscRDE,(Calc!R233:AD233,AE240)),0)</f>
        <v>532855.97901935875</v>
      </c>
      <c r="U223" s="2837"/>
      <c r="V223" s="1582">
        <f t="shared" si="265"/>
        <v>28</v>
      </c>
      <c r="W223" s="2859" t="str">
        <f>IF(SUM(Q233)&gt;0,"&lt;1",IF(SUM(Q233:R233)&gt;0,1+(-SUM(Q233)/R233),IF(SUM(Q233:S233)&gt;0,2+(-SUM(Q233:R233)/S233),IF(SUM(Q233:T233)&gt;0,3+(-SUM(Q233:S233)/T233),IF(SUM(Q233:U233)&gt;0,4+(-SUM(Q233:T233)/U233),IF(SUM(Q233:V233)&gt;0,5+(-SUM(Q233:U233)/V233),IF(SUM(Q233:W233)&gt;0,6+(-SUM(Q233:V233)/W233),IF(SUM(Q233:X233)&gt;0,7+(-SUM(Q233:W233)/X233),IF(SUM(Q233:Y233)&gt;0,8+(-SUM(Q233:X233)/Y233),IF(SUM(Q233:Z233)&gt;0,9+(-SUM(Q233:Y233)/Z233),IF(SUM(Q233:AA233)&gt;0,10+(-SUM(Q233:Z233)/AA233),IF(SUM(Q233:AB233)&gt;0,11+(-SUM(Q233:AA233)/AB233),IF(SUM(Q233:AC233)&gt;0,12+(-SUM(Q233:AB233)/AC233),IF(SUM(Q233:AD233)&gt;0,13+(-SUM(Q233:AC233)/AD233),IF(SUM(Q233:AE233)&gt;0,14+(-SUM(Q233:AD233)/AE233),IF(SUM(Q233:AF233)&gt;0,15+(-SUM(Q233:AE233)/AF233),"&gt;16"))))))))))))))))</f>
        <v>&lt;1</v>
      </c>
      <c r="X223" s="2834"/>
      <c r="Y223" s="2836"/>
      <c r="Z223" s="2837"/>
      <c r="AA223" s="2858"/>
      <c r="AB223" s="2858"/>
      <c r="AC223" s="1742"/>
      <c r="AD223" s="1142"/>
      <c r="AE223" s="1070"/>
      <c r="AF223" s="1070"/>
      <c r="AG223" s="1142"/>
      <c r="AH223" s="1142"/>
      <c r="AI223" s="1142"/>
      <c r="AJ223" s="1564"/>
      <c r="AK223" s="1142"/>
      <c r="AL223" s="1142"/>
      <c r="AM223" s="1142"/>
      <c r="AN223" s="1142"/>
      <c r="AO223" s="1142"/>
      <c r="AP223" s="1741"/>
      <c r="AQ223" s="1582">
        <f t="shared" si="266"/>
        <v>28</v>
      </c>
      <c r="AR223" s="2778" t="e">
        <f>IF($AQ223=$BA$113,SUM($BA$236:$BJ$236)/SUM($BA$234:$BJ$234),0)</f>
        <v>#DIV/0!</v>
      </c>
      <c r="AS223" s="1212" t="e">
        <f>IF($AQ223=$BA$113,SUM($BA$236:$BO$236)/SUM($BA$234:$BO$234),0)</f>
        <v>#DIV/0!</v>
      </c>
      <c r="AT223" s="1476"/>
      <c r="AU223" s="1582">
        <f t="shared" si="267"/>
        <v>28</v>
      </c>
      <c r="AV223" s="2778" t="e">
        <f>IF($AU223=$BA$113,SUM($BA$236:$BJ$236)/SUM($BA$235:$BJ$235),0)</f>
        <v>#DIV/0!</v>
      </c>
      <c r="AW223" s="1212" t="e">
        <f>IF($AU223=$BA$113,SUM($BA$236:$BO$236)/SUM($BA$235:$BO$235),0)</f>
        <v>#DIV/0!</v>
      </c>
      <c r="AX223" s="1476"/>
      <c r="AY223" s="1582">
        <f t="shared" si="268"/>
        <v>28</v>
      </c>
      <c r="AZ223" s="2859" t="str">
        <f>IF(SUM(BA233)&gt;0,"&lt;1",IF(SUM(BA233:BB233)&gt;0,1+(-SUM(BA233)/BB233),IF(SUM(BA233:BC233)&gt;0,2+(-SUM(BA233:BB233)/BC233),IF(SUM(BA233:BD233)&gt;0,3+(-SUM(BA233:BC233)/BD233),IF(SUM(BA233:BE233)&gt;0,4+(-SUM(BA233:BD233)/BE233),IF(SUM(BA233:BF233)&gt;0,5+(-SUM(BA233:BE233)/BF233),IF(SUM(BA233:BG233)&gt;0,6+(-SUM(BA233:BF233)/BG233),IF(SUM(BA233:BH233)&gt;0,7+(-SUM(BA233:BG233)/BH233),IF(SUM(BA233:BI233)&gt;0,8+(-SUM(BA233:BH233)/BI233),IF(SUM(BA233:BJ233)&gt;0,9+(-SUM(BA233:BI233)/BJ233),IF(SUM(BA233:BK233)&gt;0,10+(-SUM(BA233:BJ233)/BK233),IF(SUM(BA233:BL233)&gt;0,11+(-SUM(BA233:BK233)/BL233),IF(SUM(BA233:BM233)&gt;0,12+(-SUM(BA233:BL233)/BM233),IF(SUM(BA233:BN233)&gt;0,13+(-SUM(BA233:BM233)/BN233),IF(SUM(BA233:BO233)&gt;0,14+(-SUM(BA233:BN233)/BO233),IF(SUM(BA233:BP233)&gt;0,15+(-SUM(BA233:BO233)/BP233),"&gt;16"))))))))))))))))</f>
        <v>&gt;16</v>
      </c>
      <c r="BA223" s="1116"/>
      <c r="BB223" s="1116"/>
      <c r="BC223" s="1116"/>
      <c r="BD223" s="1116"/>
      <c r="BE223" s="1116"/>
      <c r="BF223" s="1116"/>
      <c r="BG223" s="1082"/>
      <c r="BH223" s="1082"/>
      <c r="BI223" s="1082"/>
      <c r="BJ223" s="1082"/>
      <c r="BK223" s="1082"/>
      <c r="BL223" s="1082"/>
      <c r="BM223" s="1082"/>
      <c r="BN223" s="1478"/>
      <c r="BO223" s="1070"/>
      <c r="BP223" s="1070"/>
      <c r="BQ223" s="1070"/>
      <c r="BR223" s="1070"/>
      <c r="BS223" s="1070"/>
      <c r="BT223" s="1070"/>
      <c r="BU223" s="1070"/>
      <c r="BV223" s="1070"/>
      <c r="BW223" s="1070"/>
    </row>
    <row r="224" spans="1:75" outlineLevel="1" x14ac:dyDescent="0.3">
      <c r="A224" s="1070"/>
      <c r="B224" s="1070"/>
      <c r="C224" s="1070"/>
      <c r="D224" s="1527"/>
      <c r="E224" s="1142"/>
      <c r="F224" s="1582">
        <f t="shared" si="261"/>
        <v>29</v>
      </c>
      <c r="G224" s="2778" t="e">
        <f>IF($F224=$R$113,SUM($R$236:$AA$236)/SUM($R$234:$AA$234),0)</f>
        <v>#DIV/0!</v>
      </c>
      <c r="H224" s="1212" t="e">
        <f>IF($F224=$R$113,SUM($R$236:$AF$236)/SUM($R$234:$AF$234),0)</f>
        <v>#DIV/0!</v>
      </c>
      <c r="I224" s="1082"/>
      <c r="J224" s="1582">
        <f t="shared" si="262"/>
        <v>29</v>
      </c>
      <c r="K224" s="2778">
        <f>IF($F224=$R$113,SUM($R$236:$AA$236)/SUM($R$235:$AA$235),0)</f>
        <v>51.894372202146329</v>
      </c>
      <c r="L224" s="1212">
        <f>IF($J224=$R$113,SUM($R$236:$AF$236)/SUM($R$235:$AF$235),0)</f>
        <v>51.894372202146329</v>
      </c>
      <c r="M224" s="1082"/>
      <c r="N224" s="1582">
        <f t="shared" si="263"/>
        <v>29</v>
      </c>
      <c r="O224" s="1594">
        <f>IF($N224=$R$113,$R233+NPV(DiscRDE,(Calc!S233:Z233,AA238)),0)</f>
        <v>532075.60885515402</v>
      </c>
      <c r="P224" s="2037">
        <f>IF($N224=$R$113,$R233+NPV(DiscRDE,(Calc!S233:AE233,AF238)),0)</f>
        <v>532075.60885515402</v>
      </c>
      <c r="Q224" s="2836"/>
      <c r="R224" s="1582">
        <f t="shared" si="264"/>
        <v>29</v>
      </c>
      <c r="S224" s="1594">
        <f>IF($R224=$R$113,$R233+NPV(DiscRDE,(Calc!S233:Z233,AA240)),0)</f>
        <v>532075.60885515402</v>
      </c>
      <c r="T224" s="2037">
        <f>IF($R224=$R$113,$R233+NPV(DiscRDE,(Calc!S233:AE233,AF240)),0)</f>
        <v>532075.60885515402</v>
      </c>
      <c r="U224" s="2837"/>
      <c r="V224" s="1582">
        <f t="shared" si="265"/>
        <v>29</v>
      </c>
      <c r="W224" s="2859" t="str">
        <f>IF(SUM(R233)&gt;0,"&lt;1",IF(SUM(R233:S233)&gt;0,1+(-SUM(R233)/S233),IF(SUM(R233:T233)&gt;0,2+(-SUM(R233:S233)/T233),IF(SUM(R233:U233)&gt;0,3+(-SUM(R233:T233)/U233),IF(SUM(R233:V233)&gt;0,4+(-SUM(R233:U233)/V233),IF(SUM(R233:W233)&gt;0,5+(-SUM(R233:V233)/W233),IF(SUM(R233:X233)&gt;0,6+(-SUM(R233:W233)/X233),IF(SUM(R233:Y233)&gt;0,7+(-SUM(R233:X233)/Y233),IF(SUM(R233:Z233)&gt;0,8+(-SUM(R233:Y233)/Z233),IF(SUM(R233:AA233)&gt;0,9+(-SUM(R233:Z233)/AA233),IF(SUM(R233:AB233)&gt;0,10+(-SUM(R233:AA233)/AB233),IF(SUM(R233:AC233)&gt;0,11+(-SUM(R233:AB233)/AC233),IF(SUM(R233:AD233)&gt;0,12+(-SUM(R233:AC233)/AD233),IF(SUM(R233:AE233)&gt;0,13+(-SUM(R233:AD233)/AE233),IF(SUM(R233:AF233)&gt;0,14+(-SUM(R233:AE233)/AF233),IF(SUM(R233:AG233)&gt;0,15+(-SUM(R233:AF233)/AG233),"&gt;16"))))))))))))))))</f>
        <v>&lt;1</v>
      </c>
      <c r="X224" s="2834"/>
      <c r="Y224" s="2836"/>
      <c r="Z224" s="2837"/>
      <c r="AA224" s="2858"/>
      <c r="AB224" s="2858"/>
      <c r="AC224" s="1742"/>
      <c r="AD224" s="1142"/>
      <c r="AE224" s="1070"/>
      <c r="AF224" s="1070"/>
      <c r="AG224" s="1142"/>
      <c r="AH224" s="1142"/>
      <c r="AI224" s="1142"/>
      <c r="AJ224" s="1564"/>
      <c r="AK224" s="1142"/>
      <c r="AL224" s="1142"/>
      <c r="AM224" s="1142"/>
      <c r="AN224" s="1142"/>
      <c r="AO224" s="1142"/>
      <c r="AP224" s="1741"/>
      <c r="AQ224" s="1582">
        <f t="shared" si="266"/>
        <v>29</v>
      </c>
      <c r="AR224" s="2778" t="e">
        <f>IF($AQ224=$BB$113,SUM($BB$236:$BK$236)/SUM($BB$234:$BK$234),0)</f>
        <v>#DIV/0!</v>
      </c>
      <c r="AS224" s="1212" t="e">
        <f>IF($AQ224=$BB$113,SUM($BB$236:$BP$236)/SUM($BB$234:$BP$234),0)</f>
        <v>#DIV/0!</v>
      </c>
      <c r="AT224" s="1476"/>
      <c r="AU224" s="1582">
        <f t="shared" si="267"/>
        <v>29</v>
      </c>
      <c r="AV224" s="2778" t="e">
        <f>IF($AU224=$BB$113,SUM($BB$236:$BK$236)/SUM($BB$235:$BK$235),0)</f>
        <v>#DIV/0!</v>
      </c>
      <c r="AW224" s="1212" t="e">
        <f>IF($AU224=$BB$113,SUM($BB$236:$BP$236)/SUM($BB$235:$BP$235),0)</f>
        <v>#DIV/0!</v>
      </c>
      <c r="AX224" s="1476"/>
      <c r="AY224" s="1582">
        <f t="shared" si="268"/>
        <v>29</v>
      </c>
      <c r="AZ224" s="2859" t="str">
        <f>IF(SUM(BB233)&gt;0,"&lt;1",IF(SUM(BB233:BC233)&gt;0,1+(-SUM(BB233)/BC233),IF(SUM(BB233:BD233)&gt;0,2+(-SUM(BB233:BC233)/BD233),IF(SUM(BB233:BE233)&gt;0,3+(-SUM(BB233:BD233)/BE233),IF(SUM(BB233:BF233)&gt;0,4+(-SUM(BB233:BE233)/BF233),IF(SUM(BB233:BG233)&gt;0,5+(-SUM(BB233:BF233)/BG233),IF(SUM(BB233:BH233)&gt;0,6+(-SUM(BB233:BG233)/BH233),IF(SUM(BB233:BI233)&gt;0,7+(-SUM(BB233:BH233)/BI233),IF(SUM(BB233:BJ233)&gt;0,8+(-SUM(BB233:BI233)/BJ233),IF(SUM(BB233:BK233)&gt;0,9+(-SUM(BB233:BJ233)/BK233),IF(SUM(BB233:BL233)&gt;0,10+(-SUM(BB233:BK233)/BL233),IF(SUM(BB233:BM233)&gt;0,11+(-SUM(BB233:BL233)/BM233),IF(SUM(BB233:BN233)&gt;0,12+(-SUM(BB233:BM233)/BN233),IF(SUM(BB233:BO233)&gt;0,13+(-SUM(BB233:BN233)/BO233),IF(SUM(BB233:BP233)&gt;0,14+(-SUM(BB233:BO233)/BP233),IF(SUM(BB233:BQ233)&gt;0,15+(-SUM(BB233:BP233)/BQ233),"&gt;16"))))))))))))))))</f>
        <v>&gt;16</v>
      </c>
      <c r="BA224" s="1116"/>
      <c r="BB224" s="1116"/>
      <c r="BC224" s="1116"/>
      <c r="BD224" s="1116"/>
      <c r="BE224" s="1116"/>
      <c r="BF224" s="1116"/>
      <c r="BG224" s="1082"/>
      <c r="BH224" s="1082"/>
      <c r="BI224" s="1082"/>
      <c r="BJ224" s="1082"/>
      <c r="BK224" s="1082"/>
      <c r="BL224" s="1082"/>
      <c r="BM224" s="1082"/>
      <c r="BN224" s="1478"/>
      <c r="BO224" s="1070"/>
      <c r="BP224" s="1070"/>
      <c r="BQ224" s="1070"/>
      <c r="BR224" s="1070"/>
      <c r="BS224" s="1070"/>
      <c r="BT224" s="1070"/>
      <c r="BU224" s="1070"/>
      <c r="BV224" s="1070"/>
      <c r="BW224" s="1070"/>
    </row>
    <row r="225" spans="1:75" outlineLevel="1" x14ac:dyDescent="0.3">
      <c r="A225" s="1070"/>
      <c r="B225" s="1070"/>
      <c r="C225" s="1070"/>
      <c r="D225" s="1527"/>
      <c r="E225" s="1142"/>
      <c r="F225" s="1582">
        <f t="shared" si="261"/>
        <v>30</v>
      </c>
      <c r="G225" s="2778" t="e">
        <f>IF($F225=$S$113,SUM($S$236:$AB$236)/SUM($S$234:$AB$234),0)</f>
        <v>#DIV/0!</v>
      </c>
      <c r="H225" s="1212" t="e">
        <f>IF($F225=$S$113,SUM($S$236:$AG$236)/SUM($S$234:$AG$234),0)</f>
        <v>#DIV/0!</v>
      </c>
      <c r="I225" s="1082"/>
      <c r="J225" s="1582">
        <f t="shared" si="262"/>
        <v>30</v>
      </c>
      <c r="K225" s="2778">
        <f>IF($F225=$S$113,SUM($S$236:$AB$236)/SUM($S$235:$AB$235),0)</f>
        <v>54.470082130752871</v>
      </c>
      <c r="L225" s="1212">
        <f>IF($J225=$S$113,SUM($S$236:$AG$236)/SUM($S$235:$AG$235),0)</f>
        <v>54.470082130752871</v>
      </c>
      <c r="M225" s="1082"/>
      <c r="N225" s="1582">
        <f t="shared" si="263"/>
        <v>30</v>
      </c>
      <c r="O225" s="1594">
        <f>IF($N225=$S$113,$S233+NPV(DiscRDE,(Calc!T233:AA233,AB238)),0)</f>
        <v>524658.05492474721</v>
      </c>
      <c r="P225" s="2037">
        <f>IF($N225=$S$113,$S233+NPV(DiscRDE,(Calc!T233:AF233,AG238)),0)</f>
        <v>524658.05492474721</v>
      </c>
      <c r="Q225" s="2836"/>
      <c r="R225" s="1582">
        <f t="shared" si="264"/>
        <v>30</v>
      </c>
      <c r="S225" s="1594">
        <f>IF($R225=$S$113,$S233+NPV(DiscRDE,(Calc!T233:AA233,AB240)),0)</f>
        <v>524658.05492474721</v>
      </c>
      <c r="T225" s="2037">
        <f>IF($R225=$S$113,$S233+NPV(DiscRDE,(Calc!T233:AF233,AG240)),0)</f>
        <v>524658.05492474721</v>
      </c>
      <c r="U225" s="2837"/>
      <c r="V225" s="1582">
        <f t="shared" si="265"/>
        <v>30</v>
      </c>
      <c r="W225" s="2859" t="str">
        <f>IF(SUM(S233)&gt;0,"&lt;1",IF(SUM(S233:T233)&gt;0,1+(-SUM(S233)/T233),IF(SUM(S233:U233)&gt;0,2+(-SUM(S233:T233)/U233),IF(SUM(S233:V233)&gt;0,3+(-SUM(S233:U233)/V233),IF(SUM(S233:W233)&gt;0,4+(-SUM(S233:V233)/W233),IF(SUM(S233:X233)&gt;0,5+(-SUM(S233:W233)/X233),IF(SUM(S233:Y233)&gt;0,6+(-SUM(S233:X233)/Y233),IF(SUM(S233:Z233)&gt;0,7+(-SUM(S233:Y233)/Z233),IF(SUM(S233:AA233)&gt;0,8+(-SUM(S233:Z233)/AA233),IF(SUM(S233:AB233)&gt;0,9+(-SUM(S233:AA233)/AB233),IF(SUM(S233:AC233)&gt;0,10+(-SUM(S233:AB233)/AC233),IF(SUM(S233:AD233)&gt;0,11+(-SUM(S233:AC233)/AD233),IF(SUM(S233:AE233)&gt;0,12+(-SUM(S233:AD233)/AE233),IF(SUM(S233:AF233)&gt;0,13+(-SUM(S233:AE233)/AF233),IF(SUM(S233:AG233)&gt;0,14+(-SUM(S233:AF233)/AG233),IF(SUM(S233:AH233)&gt;0,15+(-SUM(S233:AG233)/AH233),"&gt;16"))))))))))))))))</f>
        <v>&lt;1</v>
      </c>
      <c r="X225" s="2834"/>
      <c r="Y225" s="2836"/>
      <c r="Z225" s="2837"/>
      <c r="AA225" s="2858"/>
      <c r="AB225" s="2858"/>
      <c r="AC225" s="1742"/>
      <c r="AD225" s="1142"/>
      <c r="AE225" s="1070"/>
      <c r="AF225" s="1070"/>
      <c r="AG225" s="1142"/>
      <c r="AH225" s="1142"/>
      <c r="AI225" s="1142"/>
      <c r="AJ225" s="1564"/>
      <c r="AK225" s="1142"/>
      <c r="AL225" s="1142"/>
      <c r="AM225" s="1142"/>
      <c r="AN225" s="1142"/>
      <c r="AO225" s="1142"/>
      <c r="AP225" s="1741"/>
      <c r="AQ225" s="1582">
        <f t="shared" si="266"/>
        <v>30</v>
      </c>
      <c r="AR225" s="2778" t="e">
        <f>IF($AQ225=$BC$113,SUM($BC$236:$BL$236)/SUM($BC$234:$BL$234),0)</f>
        <v>#DIV/0!</v>
      </c>
      <c r="AS225" s="1212" t="e">
        <f>IF($AQ225=$BC$113,SUM($BC$236:$BQ$236)/SUM($BC$234:$BQ$234),0)</f>
        <v>#DIV/0!</v>
      </c>
      <c r="AT225" s="1476"/>
      <c r="AU225" s="1582">
        <f t="shared" si="267"/>
        <v>30</v>
      </c>
      <c r="AV225" s="2778" t="e">
        <f>IF($AU225=$BC$113,SUM($BC$236:$BL$236)/SUM($BC$235:$BL$235),0)</f>
        <v>#DIV/0!</v>
      </c>
      <c r="AW225" s="1212" t="e">
        <f>IF($AU225=$BC$113,SUM($BC$236:$BQ$236)/SUM($BC$235:$BQ$235),0)</f>
        <v>#DIV/0!</v>
      </c>
      <c r="AX225" s="1476"/>
      <c r="AY225" s="1582">
        <f t="shared" si="268"/>
        <v>30</v>
      </c>
      <c r="AZ225" s="2859" t="str">
        <f>IF(SUM(BC233)&gt;0,"&lt;1",IF(SUM(BC233:BD233)&gt;0,1+(-SUM(BC233)/BD233),IF(SUM(BC233:BE233)&gt;0,2+(-SUM(BC233:BD233)/BE233),IF(SUM(BC233:BF233)&gt;0,3+(-SUM(BC233:BE233)/BF233),IF(SUM(BC233:BG233)&gt;0,4+(-SUM(BC233:BF233)/BG233),IF(SUM(BC233:BH233)&gt;0,5+(-SUM(BC233:BG233)/BH233),IF(SUM(BC233:BI233)&gt;0,6+(-SUM(BC233:BH233)/BI233),IF(SUM(BC233:BJ233)&gt;0,7+(-SUM(BC233:BI233)/BJ233),IF(SUM(BC233:BK233)&gt;0,8+(-SUM(BC233:BJ233)/BK233),IF(SUM(BC233:BL233)&gt;0,9+(-SUM(BC233:BK233)/BL233),IF(SUM(BC233:BM233)&gt;0,10+(-SUM(BC233:BL233)/BM233),IF(SUM(BC233:BN233)&gt;0,11+(-SUM(BC233:BM233)/BN233),IF(SUM(BC233:BO233)&gt;0,12+(-SUM(BC233:BN233)/BO233),IF(SUM(BC233:BP233)&gt;0,13+(-SUM(BC233:BO233)/BP233),IF(SUM(BC233:BQ233)&gt;0,14+(-SUM(BC233:BP233)/BQ233),IF(SUM(BC233:BR233)&gt;0,15+(-SUM(BC233:BQ233)/BR233),"&gt;16"))))))))))))))))</f>
        <v>&gt;16</v>
      </c>
      <c r="BA225" s="1116"/>
      <c r="BB225" s="1116"/>
      <c r="BC225" s="1116"/>
      <c r="BD225" s="1116"/>
      <c r="BE225" s="1116"/>
      <c r="BF225" s="1116"/>
      <c r="BG225" s="1082"/>
      <c r="BH225" s="1082"/>
      <c r="BI225" s="1082"/>
      <c r="BJ225" s="1082"/>
      <c r="BK225" s="1082"/>
      <c r="BL225" s="1082"/>
      <c r="BM225" s="1082"/>
      <c r="BN225" s="1478"/>
      <c r="BO225" s="1070"/>
      <c r="BP225" s="1070"/>
      <c r="BQ225" s="1070"/>
      <c r="BR225" s="1070"/>
      <c r="BS225" s="1070"/>
      <c r="BT225" s="1070"/>
      <c r="BU225" s="1070"/>
      <c r="BV225" s="1070"/>
      <c r="BW225" s="1070"/>
    </row>
    <row r="226" spans="1:75" outlineLevel="1" x14ac:dyDescent="0.3">
      <c r="A226" s="1070"/>
      <c r="B226" s="1070"/>
      <c r="C226" s="1070"/>
      <c r="D226" s="1527"/>
      <c r="E226" s="1142"/>
      <c r="F226" s="1692"/>
      <c r="G226" s="1564"/>
      <c r="H226" s="1564"/>
      <c r="I226" s="1564"/>
      <c r="J226" s="1564"/>
      <c r="K226" s="1564"/>
      <c r="L226" s="1564"/>
      <c r="M226" s="2836"/>
      <c r="N226" s="1555"/>
      <c r="O226" s="2836"/>
      <c r="P226" s="2837"/>
      <c r="Q226" s="2836"/>
      <c r="R226" s="1555"/>
      <c r="S226" s="1070"/>
      <c r="T226" s="1070"/>
      <c r="U226" s="2837"/>
      <c r="V226" s="2837"/>
      <c r="W226" s="2837"/>
      <c r="X226" s="2837"/>
      <c r="Y226" s="2837"/>
      <c r="Z226" s="2860"/>
      <c r="AA226" s="1142"/>
      <c r="AB226" s="1142"/>
      <c r="AC226" s="1742"/>
      <c r="AD226" s="1142"/>
      <c r="AE226" s="1142"/>
      <c r="AF226" s="1142"/>
      <c r="AG226" s="1142"/>
      <c r="AH226" s="1142"/>
      <c r="AI226" s="1142"/>
      <c r="AJ226" s="1564"/>
      <c r="AK226" s="1142"/>
      <c r="AL226" s="1142"/>
      <c r="AM226" s="1142"/>
      <c r="AN226" s="1142"/>
      <c r="AO226" s="1142"/>
      <c r="AP226" s="1741"/>
      <c r="AQ226" s="1116"/>
      <c r="AR226" s="1116"/>
      <c r="AS226" s="1116"/>
      <c r="AT226" s="1116"/>
      <c r="AU226" s="1116"/>
      <c r="AV226" s="1116"/>
      <c r="AW226" s="1116"/>
      <c r="AX226" s="1116"/>
      <c r="AY226" s="1116"/>
      <c r="AZ226" s="1116"/>
      <c r="BA226" s="1116"/>
      <c r="BB226" s="1116"/>
      <c r="BC226" s="1116"/>
      <c r="BD226" s="1116"/>
      <c r="BE226" s="1116"/>
      <c r="BF226" s="1116"/>
      <c r="BG226" s="1082"/>
      <c r="BH226" s="1082"/>
      <c r="BI226" s="1082"/>
      <c r="BJ226" s="1082"/>
      <c r="BK226" s="1082"/>
      <c r="BL226" s="1082"/>
      <c r="BM226" s="1082"/>
      <c r="BN226" s="1478"/>
      <c r="BO226" s="1070"/>
      <c r="BP226" s="1070"/>
      <c r="BQ226" s="1070"/>
      <c r="BR226" s="1070"/>
      <c r="BS226" s="1070"/>
      <c r="BT226" s="1070"/>
      <c r="BU226" s="1070"/>
      <c r="BV226" s="1070"/>
      <c r="BW226" s="1070"/>
    </row>
    <row r="227" spans="1:75" ht="15" outlineLevel="1" thickBot="1" x14ac:dyDescent="0.35">
      <c r="A227" s="1070"/>
      <c r="B227" s="1070"/>
      <c r="C227" s="1070"/>
      <c r="D227" s="1710"/>
      <c r="E227" s="1515"/>
      <c r="F227" s="2861"/>
      <c r="G227" s="1515"/>
      <c r="H227" s="1515"/>
      <c r="I227" s="1515"/>
      <c r="J227" s="1515"/>
      <c r="K227" s="1515"/>
      <c r="L227" s="1515"/>
      <c r="M227" s="1515"/>
      <c r="N227" s="1507"/>
      <c r="O227" s="1507"/>
      <c r="P227" s="1507"/>
      <c r="Q227" s="1507"/>
      <c r="R227" s="1507"/>
      <c r="S227" s="1515"/>
      <c r="T227" s="1515"/>
      <c r="U227" s="1515"/>
      <c r="V227" s="1515"/>
      <c r="W227" s="1515"/>
      <c r="X227" s="1515"/>
      <c r="Y227" s="1515"/>
      <c r="Z227" s="1515"/>
      <c r="AA227" s="1515"/>
      <c r="AB227" s="1515"/>
      <c r="AC227" s="2862"/>
      <c r="AD227" s="1515"/>
      <c r="AE227" s="1515"/>
      <c r="AF227" s="1515"/>
      <c r="AG227" s="1515"/>
      <c r="AH227" s="1515"/>
      <c r="AI227" s="1515"/>
      <c r="AJ227" s="1711"/>
      <c r="AK227" s="1515"/>
      <c r="AL227" s="1515"/>
      <c r="AM227" s="1515"/>
      <c r="AN227" s="1515"/>
      <c r="AO227" s="1515"/>
      <c r="AP227" s="2863"/>
      <c r="AQ227" s="2861"/>
      <c r="AR227" s="1515"/>
      <c r="AS227" s="1515"/>
      <c r="AT227" s="1515"/>
      <c r="AU227" s="1515"/>
      <c r="AV227" s="1515"/>
      <c r="AW227" s="1515"/>
      <c r="AX227" s="1515"/>
      <c r="AY227" s="1515"/>
      <c r="AZ227" s="1515"/>
      <c r="BA227" s="1515"/>
      <c r="BB227" s="1515"/>
      <c r="BC227" s="1515"/>
      <c r="BD227" s="1515"/>
      <c r="BE227" s="1515"/>
      <c r="BF227" s="1515"/>
      <c r="BG227" s="1515"/>
      <c r="BH227" s="1515"/>
      <c r="BI227" s="1515"/>
      <c r="BJ227" s="1515"/>
      <c r="BK227" s="1515"/>
      <c r="BL227" s="1515"/>
      <c r="BM227" s="1515"/>
      <c r="BN227" s="1516"/>
      <c r="BO227" s="1070"/>
      <c r="BP227" s="1070"/>
      <c r="BQ227" s="1070"/>
      <c r="BR227" s="1070"/>
      <c r="BS227" s="1070"/>
      <c r="BT227" s="1070"/>
      <c r="BU227" s="1070"/>
      <c r="BV227" s="1070"/>
      <c r="BW227" s="1070"/>
    </row>
    <row r="228" spans="1:75" x14ac:dyDescent="0.3">
      <c r="A228" s="1070"/>
      <c r="B228" s="1070"/>
      <c r="C228" s="1070"/>
      <c r="D228" s="1142"/>
      <c r="E228" s="1142"/>
      <c r="F228" s="1142"/>
      <c r="G228" s="1142"/>
      <c r="H228" s="1142"/>
      <c r="I228" s="1142"/>
      <c r="J228" s="1142"/>
      <c r="K228" s="1142"/>
      <c r="L228" s="1142"/>
      <c r="M228" s="1142"/>
      <c r="N228" s="1142"/>
      <c r="O228" s="1142"/>
      <c r="P228" s="1142"/>
      <c r="Q228" s="1142"/>
      <c r="R228" s="1142"/>
      <c r="S228" s="1142"/>
      <c r="T228" s="1142"/>
      <c r="U228" s="1142"/>
      <c r="V228" s="1142"/>
      <c r="W228" s="1142"/>
      <c r="X228" s="1142"/>
      <c r="Y228" s="1142"/>
      <c r="Z228" s="1142"/>
      <c r="AA228" s="1142"/>
      <c r="AB228" s="1142"/>
      <c r="AC228" s="1142"/>
      <c r="AD228" s="1142"/>
      <c r="AE228" s="1142"/>
      <c r="AF228" s="1142"/>
      <c r="AG228" s="1142"/>
      <c r="AH228" s="1142"/>
      <c r="AI228" s="1142"/>
      <c r="AJ228" s="1564"/>
      <c r="AK228" s="1142"/>
      <c r="AL228" s="1142"/>
      <c r="AM228" s="1142"/>
      <c r="AN228" s="1142"/>
      <c r="AO228" s="1142"/>
      <c r="AP228" s="1142"/>
      <c r="AQ228" s="1745"/>
      <c r="AR228" s="1142"/>
      <c r="AS228" s="1142"/>
      <c r="AT228" s="1142"/>
      <c r="AU228" s="1142"/>
      <c r="AV228" s="1142"/>
      <c r="AW228" s="1142"/>
      <c r="AX228" s="1142"/>
      <c r="AY228" s="1142"/>
      <c r="AZ228" s="1142"/>
      <c r="BA228" s="1142"/>
      <c r="BB228" s="1142"/>
      <c r="BC228" s="1142"/>
      <c r="BD228" s="2834"/>
      <c r="BE228" s="2834"/>
      <c r="BF228" s="2834"/>
      <c r="BG228" s="2834"/>
      <c r="BH228" s="1070"/>
      <c r="BI228" s="1070"/>
      <c r="BJ228" s="1070"/>
      <c r="BK228" s="1070"/>
      <c r="BL228" s="1070"/>
      <c r="BM228" s="1070"/>
      <c r="BN228" s="1070"/>
      <c r="BO228" s="1070"/>
      <c r="BP228" s="1070"/>
      <c r="BQ228" s="1070"/>
      <c r="BR228" s="1070"/>
      <c r="BS228" s="1070"/>
      <c r="BT228" s="1070"/>
      <c r="BU228" s="1070"/>
      <c r="BV228" s="1070"/>
      <c r="BW228" s="1070"/>
    </row>
    <row r="229" spans="1:75" ht="15" thickBot="1" x14ac:dyDescent="0.35">
      <c r="A229" s="1070"/>
      <c r="B229" s="1070"/>
      <c r="C229" s="1070"/>
      <c r="D229" s="1142"/>
      <c r="E229" s="1142"/>
      <c r="F229" s="1142"/>
      <c r="G229" s="1142"/>
      <c r="H229" s="1142"/>
      <c r="I229" s="1142"/>
      <c r="J229" s="1142"/>
      <c r="K229" s="1142"/>
      <c r="L229" s="1142"/>
      <c r="M229" s="1142"/>
      <c r="N229" s="1142"/>
      <c r="O229" s="1142"/>
      <c r="P229" s="1142"/>
      <c r="Q229" s="1142"/>
      <c r="R229" s="1142"/>
      <c r="S229" s="1142"/>
      <c r="T229" s="1142"/>
      <c r="U229" s="1142"/>
      <c r="V229" s="1142"/>
      <c r="W229" s="1142"/>
      <c r="X229" s="1142"/>
      <c r="Y229" s="1142"/>
      <c r="Z229" s="1142"/>
      <c r="AA229" s="1142"/>
      <c r="AB229" s="1142"/>
      <c r="AC229" s="1142"/>
      <c r="AD229" s="1142"/>
      <c r="AE229" s="1142"/>
      <c r="AF229" s="1142"/>
      <c r="AG229" s="1142"/>
      <c r="AH229" s="1142"/>
      <c r="AI229" s="1142"/>
      <c r="AJ229" s="1564"/>
      <c r="AK229" s="1142"/>
      <c r="AL229" s="1070"/>
      <c r="AM229" s="1070"/>
      <c r="AN229" s="1070"/>
      <c r="AO229" s="1070"/>
      <c r="AP229" s="1070"/>
      <c r="AQ229" s="1070"/>
      <c r="AR229" s="1070"/>
      <c r="AS229" s="1070"/>
      <c r="AT229" s="1070"/>
      <c r="AU229" s="1070"/>
      <c r="AV229" s="1070"/>
      <c r="AW229" s="1070"/>
      <c r="AX229" s="1070"/>
      <c r="AY229" s="1070"/>
      <c r="AZ229" s="1070"/>
      <c r="BA229" s="1070"/>
      <c r="BB229" s="1070"/>
      <c r="BC229" s="1070"/>
      <c r="BD229" s="1070"/>
      <c r="BE229" s="1070"/>
      <c r="BF229" s="1070"/>
      <c r="BG229" s="1070"/>
      <c r="BH229" s="1070"/>
      <c r="BI229" s="1070"/>
      <c r="BJ229" s="1070"/>
      <c r="BK229" s="1070"/>
      <c r="BL229" s="1070"/>
      <c r="BM229" s="1070"/>
      <c r="BN229" s="1070"/>
      <c r="BO229" s="1070"/>
      <c r="BP229" s="1070"/>
      <c r="BQ229" s="1070"/>
      <c r="BR229" s="1070"/>
      <c r="BS229" s="1070"/>
      <c r="BT229" s="1070"/>
      <c r="BU229" s="1070"/>
      <c r="BV229" s="1070"/>
      <c r="BW229" s="1070"/>
    </row>
    <row r="230" spans="1:75" outlineLevel="1" x14ac:dyDescent="0.3">
      <c r="A230" s="1468"/>
      <c r="B230" s="1469"/>
      <c r="C230" s="1469"/>
      <c r="D230" s="1469"/>
      <c r="E230" s="1469"/>
      <c r="F230" s="1469"/>
      <c r="G230" s="1469"/>
      <c r="H230" s="1469"/>
      <c r="I230" s="1469"/>
      <c r="J230" s="1469"/>
      <c r="K230" s="1469"/>
      <c r="L230" s="1469"/>
      <c r="M230" s="1469"/>
      <c r="N230" s="1469"/>
      <c r="O230" s="1469"/>
      <c r="P230" s="1469"/>
      <c r="Q230" s="1469"/>
      <c r="R230" s="1469"/>
      <c r="S230" s="1469"/>
      <c r="T230" s="1469"/>
      <c r="U230" s="1469"/>
      <c r="V230" s="1469"/>
      <c r="W230" s="1469"/>
      <c r="X230" s="1469"/>
      <c r="Y230" s="1469"/>
      <c r="Z230" s="1469"/>
      <c r="AA230" s="1469"/>
      <c r="AB230" s="1469"/>
      <c r="AC230" s="1469"/>
      <c r="AD230" s="1469"/>
      <c r="AE230" s="1469"/>
      <c r="AF230" s="1469"/>
      <c r="AG230" s="1469"/>
      <c r="AH230" s="1469"/>
      <c r="AI230" s="1469"/>
      <c r="AJ230" s="1470"/>
      <c r="AK230" s="1469"/>
      <c r="AL230" s="1469"/>
      <c r="AM230" s="1469"/>
      <c r="AN230" s="1469"/>
      <c r="AO230" s="1469"/>
      <c r="AP230" s="1469"/>
      <c r="AQ230" s="1469"/>
      <c r="AR230" s="1469"/>
      <c r="AS230" s="1469"/>
      <c r="AT230" s="1469"/>
      <c r="AU230" s="1469"/>
      <c r="AV230" s="1469"/>
      <c r="AW230" s="1469"/>
      <c r="AX230" s="1469"/>
      <c r="AY230" s="1469"/>
      <c r="AZ230" s="1469"/>
      <c r="BA230" s="1469"/>
      <c r="BB230" s="1469"/>
      <c r="BC230" s="1469"/>
      <c r="BD230" s="1469"/>
      <c r="BE230" s="1469"/>
      <c r="BF230" s="1469"/>
      <c r="BG230" s="1469"/>
      <c r="BH230" s="1469"/>
      <c r="BI230" s="1469"/>
      <c r="BJ230" s="1469"/>
      <c r="BK230" s="1469"/>
      <c r="BL230" s="1469"/>
      <c r="BM230" s="1469"/>
      <c r="BN230" s="1469"/>
      <c r="BO230" s="1469"/>
      <c r="BP230" s="1469"/>
      <c r="BQ230" s="1469"/>
      <c r="BR230" s="1469"/>
      <c r="BS230" s="1469"/>
      <c r="BT230" s="1473"/>
      <c r="BU230" s="1070"/>
      <c r="BV230" s="1070"/>
      <c r="BW230" s="1070"/>
    </row>
    <row r="231" spans="1:75" ht="18" outlineLevel="1" x14ac:dyDescent="0.3">
      <c r="A231" s="1474"/>
      <c r="B231" s="1479" t="s">
        <v>1351</v>
      </c>
      <c r="C231" s="1480"/>
      <c r="D231" s="1254"/>
      <c r="E231" s="1254"/>
      <c r="F231" s="1481"/>
      <c r="G231" s="1482">
        <f t="shared" ref="G231:AI231" si="269">G113</f>
        <v>18</v>
      </c>
      <c r="H231" s="1483">
        <f t="shared" si="269"/>
        <v>19</v>
      </c>
      <c r="I231" s="1483">
        <f t="shared" si="269"/>
        <v>20</v>
      </c>
      <c r="J231" s="1483">
        <f t="shared" si="269"/>
        <v>21</v>
      </c>
      <c r="K231" s="1483">
        <f t="shared" si="269"/>
        <v>22</v>
      </c>
      <c r="L231" s="1483">
        <f t="shared" si="269"/>
        <v>23</v>
      </c>
      <c r="M231" s="1483">
        <f t="shared" si="269"/>
        <v>24</v>
      </c>
      <c r="N231" s="1483">
        <f t="shared" si="269"/>
        <v>25</v>
      </c>
      <c r="O231" s="1483">
        <f t="shared" si="269"/>
        <v>26</v>
      </c>
      <c r="P231" s="1483">
        <f t="shared" si="269"/>
        <v>27</v>
      </c>
      <c r="Q231" s="1483">
        <f t="shared" si="269"/>
        <v>28</v>
      </c>
      <c r="R231" s="1483">
        <f t="shared" si="269"/>
        <v>29</v>
      </c>
      <c r="S231" s="1483">
        <f t="shared" si="269"/>
        <v>30</v>
      </c>
      <c r="T231" s="1483">
        <f t="shared" si="269"/>
        <v>31</v>
      </c>
      <c r="U231" s="1483">
        <f t="shared" si="269"/>
        <v>32</v>
      </c>
      <c r="V231" s="1483">
        <f t="shared" si="269"/>
        <v>33</v>
      </c>
      <c r="W231" s="1483">
        <f t="shared" si="269"/>
        <v>34</v>
      </c>
      <c r="X231" s="1483">
        <f t="shared" si="269"/>
        <v>35</v>
      </c>
      <c r="Y231" s="1483">
        <f t="shared" si="269"/>
        <v>36</v>
      </c>
      <c r="Z231" s="1483">
        <f t="shared" si="269"/>
        <v>37</v>
      </c>
      <c r="AA231" s="1483">
        <f t="shared" si="269"/>
        <v>38</v>
      </c>
      <c r="AB231" s="1483">
        <f t="shared" si="269"/>
        <v>39</v>
      </c>
      <c r="AC231" s="1483">
        <f t="shared" si="269"/>
        <v>40</v>
      </c>
      <c r="AD231" s="1483">
        <f t="shared" si="269"/>
        <v>41</v>
      </c>
      <c r="AE231" s="1483">
        <f t="shared" si="269"/>
        <v>42</v>
      </c>
      <c r="AF231" s="1483">
        <f t="shared" si="269"/>
        <v>43</v>
      </c>
      <c r="AG231" s="1483">
        <f t="shared" si="269"/>
        <v>44</v>
      </c>
      <c r="AH231" s="1483">
        <f t="shared" si="269"/>
        <v>45</v>
      </c>
      <c r="AI231" s="1484">
        <f t="shared" si="269"/>
        <v>46</v>
      </c>
      <c r="AJ231" s="1476"/>
      <c r="AK231" s="1116"/>
      <c r="AL231" s="1116"/>
      <c r="AM231" s="1479" t="s">
        <v>1351</v>
      </c>
      <c r="AN231" s="1218"/>
      <c r="AO231" s="1218"/>
      <c r="AP231" s="2864"/>
      <c r="AQ231" s="1482">
        <f t="shared" ref="AQ231:BS231" si="270">AQ113</f>
        <v>18</v>
      </c>
      <c r="AR231" s="1483">
        <f t="shared" si="270"/>
        <v>19</v>
      </c>
      <c r="AS231" s="1483">
        <f t="shared" si="270"/>
        <v>20</v>
      </c>
      <c r="AT231" s="1483">
        <f t="shared" si="270"/>
        <v>21</v>
      </c>
      <c r="AU231" s="1483">
        <f t="shared" si="270"/>
        <v>22</v>
      </c>
      <c r="AV231" s="1483">
        <f t="shared" si="270"/>
        <v>23</v>
      </c>
      <c r="AW231" s="1483">
        <f t="shared" si="270"/>
        <v>24</v>
      </c>
      <c r="AX231" s="1483">
        <f t="shared" si="270"/>
        <v>25</v>
      </c>
      <c r="AY231" s="1483">
        <f t="shared" si="270"/>
        <v>26</v>
      </c>
      <c r="AZ231" s="1483">
        <f t="shared" si="270"/>
        <v>27</v>
      </c>
      <c r="BA231" s="1483">
        <f t="shared" si="270"/>
        <v>28</v>
      </c>
      <c r="BB231" s="1483">
        <f t="shared" si="270"/>
        <v>29</v>
      </c>
      <c r="BC231" s="1483">
        <f t="shared" si="270"/>
        <v>30</v>
      </c>
      <c r="BD231" s="1483">
        <f t="shared" si="270"/>
        <v>31</v>
      </c>
      <c r="BE231" s="1483">
        <f t="shared" si="270"/>
        <v>32</v>
      </c>
      <c r="BF231" s="1483">
        <f t="shared" si="270"/>
        <v>33</v>
      </c>
      <c r="BG231" s="1483">
        <f t="shared" si="270"/>
        <v>34</v>
      </c>
      <c r="BH231" s="1483">
        <f t="shared" si="270"/>
        <v>35</v>
      </c>
      <c r="BI231" s="1483">
        <f t="shared" si="270"/>
        <v>36</v>
      </c>
      <c r="BJ231" s="1483">
        <f t="shared" si="270"/>
        <v>37</v>
      </c>
      <c r="BK231" s="1483">
        <f t="shared" si="270"/>
        <v>38</v>
      </c>
      <c r="BL231" s="1483">
        <f t="shared" si="270"/>
        <v>39</v>
      </c>
      <c r="BM231" s="1483">
        <f t="shared" si="270"/>
        <v>40</v>
      </c>
      <c r="BN231" s="1483">
        <f t="shared" si="270"/>
        <v>41</v>
      </c>
      <c r="BO231" s="1483">
        <f t="shared" si="270"/>
        <v>42</v>
      </c>
      <c r="BP231" s="1483">
        <f t="shared" si="270"/>
        <v>43</v>
      </c>
      <c r="BQ231" s="1483">
        <f t="shared" si="270"/>
        <v>44</v>
      </c>
      <c r="BR231" s="1483">
        <f t="shared" si="270"/>
        <v>45</v>
      </c>
      <c r="BS231" s="1484">
        <f t="shared" si="270"/>
        <v>46</v>
      </c>
      <c r="BT231" s="1478"/>
      <c r="BU231" s="1070"/>
      <c r="BV231" s="1070"/>
      <c r="BW231" s="1070"/>
    </row>
    <row r="232" spans="1:75" ht="15.6" outlineLevel="1" x14ac:dyDescent="0.3">
      <c r="A232" s="1474"/>
      <c r="B232" s="1207"/>
      <c r="C232" s="1116"/>
      <c r="D232" s="1116"/>
      <c r="E232" s="1116"/>
      <c r="F232" s="1116"/>
      <c r="G232" s="1485"/>
      <c r="H232" s="1486"/>
      <c r="I232" s="1486"/>
      <c r="J232" s="1486"/>
      <c r="K232" s="1486"/>
      <c r="L232" s="1486"/>
      <c r="M232" s="1486"/>
      <c r="N232" s="1486"/>
      <c r="O232" s="1486"/>
      <c r="P232" s="1486"/>
      <c r="Q232" s="1486"/>
      <c r="R232" s="1486"/>
      <c r="S232" s="1486"/>
      <c r="T232" s="1486"/>
      <c r="U232" s="1486"/>
      <c r="V232" s="1486"/>
      <c r="W232" s="1486"/>
      <c r="X232" s="1486"/>
      <c r="Y232" s="1486"/>
      <c r="Z232" s="1486"/>
      <c r="AA232" s="1486"/>
      <c r="AB232" s="1486"/>
      <c r="AC232" s="1486"/>
      <c r="AD232" s="1486"/>
      <c r="AE232" s="1486"/>
      <c r="AF232" s="1486"/>
      <c r="AG232" s="1486"/>
      <c r="AH232" s="1486"/>
      <c r="AI232" s="1487"/>
      <c r="AJ232" s="1486"/>
      <c r="AK232" s="1398"/>
      <c r="AL232" s="1488"/>
      <c r="AM232" s="2010"/>
      <c r="AN232" s="1488"/>
      <c r="AO232" s="1488"/>
      <c r="AP232" s="2865"/>
      <c r="AQ232" s="1485"/>
      <c r="AR232" s="1486"/>
      <c r="AS232" s="1486"/>
      <c r="AT232" s="1486"/>
      <c r="AU232" s="1486"/>
      <c r="AV232" s="1486"/>
      <c r="AW232" s="1486"/>
      <c r="AX232" s="1486"/>
      <c r="AY232" s="1486"/>
      <c r="AZ232" s="1486"/>
      <c r="BA232" s="1486"/>
      <c r="BB232" s="1486"/>
      <c r="BC232" s="1486"/>
      <c r="BD232" s="1486"/>
      <c r="BE232" s="1486"/>
      <c r="BF232" s="1486"/>
      <c r="BG232" s="1486"/>
      <c r="BH232" s="1486"/>
      <c r="BI232" s="1486"/>
      <c r="BJ232" s="1486"/>
      <c r="BK232" s="1486"/>
      <c r="BL232" s="1486"/>
      <c r="BM232" s="1486"/>
      <c r="BN232" s="1486"/>
      <c r="BO232" s="1486"/>
      <c r="BP232" s="1486"/>
      <c r="BQ232" s="1486"/>
      <c r="BR232" s="1486"/>
      <c r="BS232" s="1487"/>
      <c r="BT232" s="1478"/>
      <c r="BU232" s="1070"/>
      <c r="BV232" s="1070"/>
      <c r="BW232" s="1070"/>
    </row>
    <row r="233" spans="1:75" outlineLevel="1" x14ac:dyDescent="0.3">
      <c r="A233" s="1474"/>
      <c r="B233" s="1207" t="s">
        <v>1353</v>
      </c>
      <c r="C233" s="1491"/>
      <c r="D233" s="1352"/>
      <c r="E233" s="1267"/>
      <c r="F233" s="1352"/>
      <c r="G233" s="1492">
        <f t="shared" ref="G233:AI233" si="271">+G145</f>
        <v>-3620.4629005348552</v>
      </c>
      <c r="H233" s="3072">
        <f t="shared" si="271"/>
        <v>-3204.4552826870922</v>
      </c>
      <c r="I233" s="3072">
        <f t="shared" si="271"/>
        <v>-7803.7495606967441</v>
      </c>
      <c r="J233" s="3072">
        <f t="shared" si="271"/>
        <v>-8089.9399176158076</v>
      </c>
      <c r="K233" s="3072">
        <f t="shared" si="271"/>
        <v>-4941.0791143955921</v>
      </c>
      <c r="L233" s="3072">
        <f t="shared" si="271"/>
        <v>-11854.970729202269</v>
      </c>
      <c r="M233" s="3072">
        <f t="shared" si="271"/>
        <v>12604.891833739101</v>
      </c>
      <c r="N233" s="3072">
        <f t="shared" si="271"/>
        <v>27875.246337534263</v>
      </c>
      <c r="O233" s="3072">
        <f t="shared" si="271"/>
        <v>45759.406495428702</v>
      </c>
      <c r="P233" s="1493">
        <f t="shared" si="271"/>
        <v>60554.015149804225</v>
      </c>
      <c r="Q233" s="1493">
        <f t="shared" si="271"/>
        <v>70181.536536616142</v>
      </c>
      <c r="R233" s="1493">
        <f t="shared" si="271"/>
        <v>75851.213268417327</v>
      </c>
      <c r="S233" s="1493">
        <f t="shared" si="271"/>
        <v>86267.037747031369</v>
      </c>
      <c r="T233" s="1493">
        <f t="shared" si="271"/>
        <v>91450.793717653636</v>
      </c>
      <c r="U233" s="1493">
        <f t="shared" si="271"/>
        <v>108185.41002448402</v>
      </c>
      <c r="V233" s="1493">
        <f t="shared" si="271"/>
        <v>121471.45797752988</v>
      </c>
      <c r="W233" s="1493">
        <f t="shared" si="271"/>
        <v>138621.58594132177</v>
      </c>
      <c r="X233" s="1493">
        <f t="shared" si="271"/>
        <v>203207.92308032681</v>
      </c>
      <c r="Y233" s="1493">
        <f t="shared" si="271"/>
        <v>38881.583319830817</v>
      </c>
      <c r="Z233" s="1493">
        <f t="shared" si="271"/>
        <v>261.33333333333337</v>
      </c>
      <c r="AA233" s="1493">
        <f t="shared" si="271"/>
        <v>0</v>
      </c>
      <c r="AB233" s="1493">
        <f t="shared" si="271"/>
        <v>0</v>
      </c>
      <c r="AC233" s="1493">
        <f t="shared" si="271"/>
        <v>0</v>
      </c>
      <c r="AD233" s="1493">
        <f t="shared" si="271"/>
        <v>0</v>
      </c>
      <c r="AE233" s="1493">
        <f t="shared" si="271"/>
        <v>0</v>
      </c>
      <c r="AF233" s="1493">
        <f t="shared" si="271"/>
        <v>0</v>
      </c>
      <c r="AG233" s="1493">
        <f t="shared" si="271"/>
        <v>0</v>
      </c>
      <c r="AH233" s="1493">
        <f t="shared" si="271"/>
        <v>0</v>
      </c>
      <c r="AI233" s="1494">
        <f t="shared" si="271"/>
        <v>0</v>
      </c>
      <c r="AJ233" s="1352"/>
      <c r="AK233" s="1116"/>
      <c r="AL233" s="1116"/>
      <c r="AM233" s="1207" t="str">
        <f>B233</f>
        <v>Free Cash Flow (FCF)</v>
      </c>
      <c r="AN233" s="1116"/>
      <c r="AO233" s="1116"/>
      <c r="AP233" s="1624"/>
      <c r="AQ233" s="1492">
        <f t="shared" ref="AQ233:BS233" si="272">+AQ145</f>
        <v>0</v>
      </c>
      <c r="AR233" s="1493">
        <f t="shared" si="272"/>
        <v>0</v>
      </c>
      <c r="AS233" s="1493">
        <f t="shared" si="272"/>
        <v>0</v>
      </c>
      <c r="AT233" s="1493">
        <f t="shared" si="272"/>
        <v>0</v>
      </c>
      <c r="AU233" s="1493">
        <f t="shared" si="272"/>
        <v>0</v>
      </c>
      <c r="AV233" s="1493">
        <f t="shared" si="272"/>
        <v>0</v>
      </c>
      <c r="AW233" s="1493">
        <f t="shared" si="272"/>
        <v>0</v>
      </c>
      <c r="AX233" s="1493">
        <f t="shared" si="272"/>
        <v>0</v>
      </c>
      <c r="AY233" s="1493">
        <f t="shared" si="272"/>
        <v>0</v>
      </c>
      <c r="AZ233" s="1493">
        <f t="shared" si="272"/>
        <v>0</v>
      </c>
      <c r="BA233" s="1493">
        <f t="shared" si="272"/>
        <v>0</v>
      </c>
      <c r="BB233" s="1493">
        <f t="shared" si="272"/>
        <v>0</v>
      </c>
      <c r="BC233" s="1493">
        <f t="shared" si="272"/>
        <v>0</v>
      </c>
      <c r="BD233" s="1493">
        <f t="shared" si="272"/>
        <v>0</v>
      </c>
      <c r="BE233" s="1493">
        <f t="shared" si="272"/>
        <v>0</v>
      </c>
      <c r="BF233" s="1493">
        <f t="shared" si="272"/>
        <v>0</v>
      </c>
      <c r="BG233" s="1493">
        <f t="shared" si="272"/>
        <v>0</v>
      </c>
      <c r="BH233" s="1493">
        <f t="shared" si="272"/>
        <v>0</v>
      </c>
      <c r="BI233" s="1493">
        <f t="shared" si="272"/>
        <v>0</v>
      </c>
      <c r="BJ233" s="1493">
        <f t="shared" si="272"/>
        <v>0</v>
      </c>
      <c r="BK233" s="1493">
        <f t="shared" si="272"/>
        <v>0</v>
      </c>
      <c r="BL233" s="1493">
        <f t="shared" si="272"/>
        <v>0</v>
      </c>
      <c r="BM233" s="1493">
        <f t="shared" si="272"/>
        <v>0</v>
      </c>
      <c r="BN233" s="1493">
        <f t="shared" si="272"/>
        <v>0</v>
      </c>
      <c r="BO233" s="1493">
        <f t="shared" si="272"/>
        <v>0</v>
      </c>
      <c r="BP233" s="1493">
        <f t="shared" si="272"/>
        <v>0</v>
      </c>
      <c r="BQ233" s="1493">
        <f t="shared" si="272"/>
        <v>0</v>
      </c>
      <c r="BR233" s="1493">
        <f t="shared" si="272"/>
        <v>0</v>
      </c>
      <c r="BS233" s="1494">
        <f t="shared" si="272"/>
        <v>0</v>
      </c>
      <c r="BT233" s="1478"/>
      <c r="BU233" s="1070"/>
      <c r="BV233" s="1070"/>
      <c r="BW233" s="1070"/>
    </row>
    <row r="234" spans="1:75" outlineLevel="1" x14ac:dyDescent="0.3">
      <c r="A234" s="1474"/>
      <c r="B234" s="1207" t="s">
        <v>1354</v>
      </c>
      <c r="C234" s="1491"/>
      <c r="D234" s="1352"/>
      <c r="E234" s="1267"/>
      <c r="F234" s="1493"/>
      <c r="G234" s="1492">
        <f t="shared" ref="G234:AI234" si="273">+G136</f>
        <v>4828.4206951872993</v>
      </c>
      <c r="H234" s="1493">
        <f t="shared" si="273"/>
        <v>3450.6323370654059</v>
      </c>
      <c r="I234" s="1493">
        <f t="shared" si="273"/>
        <v>8338.541056523256</v>
      </c>
      <c r="J234" s="1493">
        <f t="shared" si="273"/>
        <v>7736.0276633552903</v>
      </c>
      <c r="K234" s="1493">
        <f t="shared" si="273"/>
        <v>2362.6098811049887</v>
      </c>
      <c r="L234" s="1493">
        <f t="shared" si="273"/>
        <v>1451.8026343507922</v>
      </c>
      <c r="M234" s="1493">
        <f t="shared" si="273"/>
        <v>205.83868703780806</v>
      </c>
      <c r="N234" s="1493">
        <f t="shared" si="273"/>
        <v>209.9554607785642</v>
      </c>
      <c r="O234" s="1493">
        <f t="shared" si="273"/>
        <v>214.1545699941355</v>
      </c>
      <c r="P234" s="1493">
        <f t="shared" si="273"/>
        <v>218.43766139401816</v>
      </c>
      <c r="Q234" s="1493">
        <f t="shared" si="273"/>
        <v>222.80641462189857</v>
      </c>
      <c r="R234" s="1493">
        <f t="shared" si="273"/>
        <v>0</v>
      </c>
      <c r="S234" s="1493">
        <f t="shared" si="273"/>
        <v>0</v>
      </c>
      <c r="T234" s="1493">
        <f t="shared" si="273"/>
        <v>0</v>
      </c>
      <c r="U234" s="1493">
        <f t="shared" si="273"/>
        <v>0</v>
      </c>
      <c r="V234" s="1493">
        <f t="shared" si="273"/>
        <v>0</v>
      </c>
      <c r="W234" s="1493">
        <f t="shared" si="273"/>
        <v>0</v>
      </c>
      <c r="X234" s="1493">
        <f t="shared" si="273"/>
        <v>0</v>
      </c>
      <c r="Y234" s="1493">
        <f t="shared" si="273"/>
        <v>0</v>
      </c>
      <c r="Z234" s="1493">
        <f t="shared" si="273"/>
        <v>0</v>
      </c>
      <c r="AA234" s="1493">
        <f t="shared" si="273"/>
        <v>0</v>
      </c>
      <c r="AB234" s="1493">
        <f t="shared" si="273"/>
        <v>0</v>
      </c>
      <c r="AC234" s="1493">
        <f t="shared" si="273"/>
        <v>0</v>
      </c>
      <c r="AD234" s="1493">
        <f t="shared" si="273"/>
        <v>0</v>
      </c>
      <c r="AE234" s="1493">
        <f t="shared" si="273"/>
        <v>0</v>
      </c>
      <c r="AF234" s="1493">
        <f t="shared" si="273"/>
        <v>0</v>
      </c>
      <c r="AG234" s="1493">
        <f t="shared" si="273"/>
        <v>0</v>
      </c>
      <c r="AH234" s="1493">
        <f t="shared" si="273"/>
        <v>0</v>
      </c>
      <c r="AI234" s="1494">
        <f t="shared" si="273"/>
        <v>0</v>
      </c>
      <c r="AJ234" s="1212"/>
      <c r="AK234" s="1116"/>
      <c r="AL234" s="1116"/>
      <c r="AM234" s="1207" t="str">
        <f t="shared" ref="AM234:AM240" si="274">B234</f>
        <v>R&amp;D Exp (used for ROI calculation)</v>
      </c>
      <c r="AN234" s="1116"/>
      <c r="AO234" s="1116"/>
      <c r="AP234" s="1624"/>
      <c r="AQ234" s="1492">
        <f t="shared" ref="AQ234:BS234" si="275">+AQ136</f>
        <v>0</v>
      </c>
      <c r="AR234" s="1493">
        <f t="shared" si="275"/>
        <v>0</v>
      </c>
      <c r="AS234" s="1493">
        <f t="shared" si="275"/>
        <v>0</v>
      </c>
      <c r="AT234" s="1493">
        <f t="shared" si="275"/>
        <v>0</v>
      </c>
      <c r="AU234" s="1493">
        <f t="shared" si="275"/>
        <v>0</v>
      </c>
      <c r="AV234" s="1493">
        <f t="shared" si="275"/>
        <v>0</v>
      </c>
      <c r="AW234" s="1493">
        <f t="shared" si="275"/>
        <v>0</v>
      </c>
      <c r="AX234" s="1493">
        <f t="shared" si="275"/>
        <v>0</v>
      </c>
      <c r="AY234" s="1493">
        <f t="shared" si="275"/>
        <v>0</v>
      </c>
      <c r="AZ234" s="1493">
        <f t="shared" si="275"/>
        <v>0</v>
      </c>
      <c r="BA234" s="1493">
        <f t="shared" si="275"/>
        <v>0</v>
      </c>
      <c r="BB234" s="1493">
        <f t="shared" si="275"/>
        <v>0</v>
      </c>
      <c r="BC234" s="1493">
        <f t="shared" si="275"/>
        <v>0</v>
      </c>
      <c r="BD234" s="1493">
        <f t="shared" si="275"/>
        <v>0</v>
      </c>
      <c r="BE234" s="1493">
        <f t="shared" si="275"/>
        <v>0</v>
      </c>
      <c r="BF234" s="1493">
        <f t="shared" si="275"/>
        <v>0</v>
      </c>
      <c r="BG234" s="1493">
        <f t="shared" si="275"/>
        <v>0</v>
      </c>
      <c r="BH234" s="1493">
        <f t="shared" si="275"/>
        <v>0</v>
      </c>
      <c r="BI234" s="1493">
        <f t="shared" si="275"/>
        <v>0</v>
      </c>
      <c r="BJ234" s="1493">
        <f t="shared" si="275"/>
        <v>0</v>
      </c>
      <c r="BK234" s="1493">
        <f t="shared" si="275"/>
        <v>0</v>
      </c>
      <c r="BL234" s="1493">
        <f t="shared" si="275"/>
        <v>0</v>
      </c>
      <c r="BM234" s="1493">
        <f t="shared" si="275"/>
        <v>0</v>
      </c>
      <c r="BN234" s="1493">
        <f t="shared" si="275"/>
        <v>0</v>
      </c>
      <c r="BO234" s="1493">
        <f t="shared" si="275"/>
        <v>0</v>
      </c>
      <c r="BP234" s="1493">
        <f t="shared" si="275"/>
        <v>0</v>
      </c>
      <c r="BQ234" s="1493">
        <f t="shared" si="275"/>
        <v>0</v>
      </c>
      <c r="BR234" s="1493">
        <f t="shared" si="275"/>
        <v>0</v>
      </c>
      <c r="BS234" s="1494">
        <f t="shared" si="275"/>
        <v>0</v>
      </c>
      <c r="BT234" s="1478"/>
      <c r="BU234" s="1070"/>
      <c r="BV234" s="1070"/>
      <c r="BW234" s="1070"/>
    </row>
    <row r="235" spans="1:75" outlineLevel="1" x14ac:dyDescent="0.3">
      <c r="A235" s="1474"/>
      <c r="B235" s="1207" t="s">
        <v>1355</v>
      </c>
      <c r="C235" s="1491"/>
      <c r="D235" s="1352"/>
      <c r="E235" s="1267"/>
      <c r="F235" s="1493"/>
      <c r="G235" s="1492">
        <f t="shared" ref="G235:AI235" si="276">+G135+G136+G143</f>
        <v>5028.4206951872993</v>
      </c>
      <c r="H235" s="1493">
        <f t="shared" si="276"/>
        <v>4450.6323370654063</v>
      </c>
      <c r="I235" s="1493">
        <f t="shared" si="276"/>
        <v>10838.541056523256</v>
      </c>
      <c r="J235" s="1493">
        <f t="shared" si="276"/>
        <v>11236.027663355289</v>
      </c>
      <c r="K235" s="1493">
        <f t="shared" si="276"/>
        <v>6862.6098811049887</v>
      </c>
      <c r="L235" s="1493">
        <f t="shared" si="276"/>
        <v>17818.478969509386</v>
      </c>
      <c r="M235" s="1493">
        <f t="shared" si="276"/>
        <v>2966.7424838271418</v>
      </c>
      <c r="N235" s="1493">
        <f t="shared" si="276"/>
        <v>2600.0535780250061</v>
      </c>
      <c r="O235" s="1493">
        <f t="shared" si="276"/>
        <v>2766.5631468322613</v>
      </c>
      <c r="P235" s="1493">
        <f t="shared" si="276"/>
        <v>3257.2432967263517</v>
      </c>
      <c r="Q235" s="1493">
        <f t="shared" si="276"/>
        <v>3541.0448835870761</v>
      </c>
      <c r="R235" s="1493">
        <f t="shared" si="276"/>
        <v>3050.0688733689444</v>
      </c>
      <c r="S235" s="1493">
        <f t="shared" si="276"/>
        <v>3490.0843722877039</v>
      </c>
      <c r="T235" s="1493">
        <f t="shared" si="276"/>
        <v>3645.5505733740542</v>
      </c>
      <c r="U235" s="1493">
        <f t="shared" si="276"/>
        <v>4374.2113367796792</v>
      </c>
      <c r="V235" s="1493">
        <f t="shared" si="276"/>
        <v>4900.2970676550003</v>
      </c>
      <c r="W235" s="1493">
        <f t="shared" si="276"/>
        <v>5623.3232420398217</v>
      </c>
      <c r="X235" s="1493">
        <f t="shared" si="276"/>
        <v>-933.33333333333337</v>
      </c>
      <c r="Y235" s="1493">
        <f t="shared" si="276"/>
        <v>-933.33333333333337</v>
      </c>
      <c r="Z235" s="1493">
        <f t="shared" si="276"/>
        <v>-933.33333333333337</v>
      </c>
      <c r="AA235" s="1493">
        <f t="shared" si="276"/>
        <v>0</v>
      </c>
      <c r="AB235" s="1493">
        <f t="shared" si="276"/>
        <v>0</v>
      </c>
      <c r="AC235" s="1493">
        <f t="shared" si="276"/>
        <v>0</v>
      </c>
      <c r="AD235" s="1493">
        <f t="shared" si="276"/>
        <v>0</v>
      </c>
      <c r="AE235" s="1493">
        <f t="shared" si="276"/>
        <v>0</v>
      </c>
      <c r="AF235" s="1493">
        <f t="shared" si="276"/>
        <v>0</v>
      </c>
      <c r="AG235" s="1493">
        <f t="shared" si="276"/>
        <v>0</v>
      </c>
      <c r="AH235" s="1493">
        <f t="shared" si="276"/>
        <v>0</v>
      </c>
      <c r="AI235" s="1494">
        <f t="shared" si="276"/>
        <v>0</v>
      </c>
      <c r="AJ235" s="1212"/>
      <c r="AK235" s="1116"/>
      <c r="AL235" s="1116"/>
      <c r="AM235" s="1207" t="str">
        <f t="shared" si="274"/>
        <v>R&amp;D, SGA &amp; Cap Exp (used for ROI calculation)</v>
      </c>
      <c r="AN235" s="1116"/>
      <c r="AO235" s="1116"/>
      <c r="AP235" s="1624"/>
      <c r="AQ235" s="1492">
        <f t="shared" ref="AQ235:BS235" si="277">+AQ135+AQ136+AQ143</f>
        <v>0</v>
      </c>
      <c r="AR235" s="1493">
        <f t="shared" si="277"/>
        <v>0</v>
      </c>
      <c r="AS235" s="1493">
        <f t="shared" si="277"/>
        <v>0</v>
      </c>
      <c r="AT235" s="1493">
        <f t="shared" si="277"/>
        <v>0</v>
      </c>
      <c r="AU235" s="1493">
        <f t="shared" si="277"/>
        <v>0</v>
      </c>
      <c r="AV235" s="1493">
        <f t="shared" si="277"/>
        <v>0</v>
      </c>
      <c r="AW235" s="1493">
        <f t="shared" si="277"/>
        <v>0</v>
      </c>
      <c r="AX235" s="1493">
        <f t="shared" si="277"/>
        <v>0</v>
      </c>
      <c r="AY235" s="1493">
        <f t="shared" si="277"/>
        <v>0</v>
      </c>
      <c r="AZ235" s="1493">
        <f t="shared" si="277"/>
        <v>0</v>
      </c>
      <c r="BA235" s="1493">
        <f t="shared" si="277"/>
        <v>0</v>
      </c>
      <c r="BB235" s="1493">
        <f t="shared" si="277"/>
        <v>0</v>
      </c>
      <c r="BC235" s="1493">
        <f t="shared" si="277"/>
        <v>0</v>
      </c>
      <c r="BD235" s="1493">
        <f t="shared" si="277"/>
        <v>0</v>
      </c>
      <c r="BE235" s="1493">
        <f t="shared" si="277"/>
        <v>0</v>
      </c>
      <c r="BF235" s="1493">
        <f t="shared" si="277"/>
        <v>0</v>
      </c>
      <c r="BG235" s="1493">
        <f t="shared" si="277"/>
        <v>0</v>
      </c>
      <c r="BH235" s="1493">
        <f t="shared" si="277"/>
        <v>0</v>
      </c>
      <c r="BI235" s="1493">
        <f t="shared" si="277"/>
        <v>0</v>
      </c>
      <c r="BJ235" s="1493">
        <f t="shared" si="277"/>
        <v>0</v>
      </c>
      <c r="BK235" s="1493">
        <f t="shared" si="277"/>
        <v>0</v>
      </c>
      <c r="BL235" s="1493">
        <f t="shared" si="277"/>
        <v>0</v>
      </c>
      <c r="BM235" s="1493">
        <f t="shared" si="277"/>
        <v>0</v>
      </c>
      <c r="BN235" s="1493">
        <f t="shared" si="277"/>
        <v>0</v>
      </c>
      <c r="BO235" s="1493">
        <f t="shared" si="277"/>
        <v>0</v>
      </c>
      <c r="BP235" s="1493">
        <f t="shared" si="277"/>
        <v>0</v>
      </c>
      <c r="BQ235" s="1493">
        <f t="shared" si="277"/>
        <v>0</v>
      </c>
      <c r="BR235" s="1493">
        <f t="shared" si="277"/>
        <v>0</v>
      </c>
      <c r="BS235" s="1494">
        <f t="shared" si="277"/>
        <v>0</v>
      </c>
      <c r="BT235" s="1478"/>
      <c r="BU235" s="1070"/>
      <c r="BV235" s="1070"/>
      <c r="BW235" s="1070"/>
    </row>
    <row r="236" spans="1:75" outlineLevel="1" x14ac:dyDescent="0.3">
      <c r="A236" s="1474"/>
      <c r="B236" s="1207" t="s">
        <v>1356</v>
      </c>
      <c r="C236" s="1491"/>
      <c r="D236" s="1352"/>
      <c r="E236" s="1267"/>
      <c r="F236" s="1493"/>
      <c r="G236" s="1492">
        <f t="shared" ref="G236:AI236" si="278">+G137</f>
        <v>-5028.4206951872993</v>
      </c>
      <c r="H236" s="1493">
        <f t="shared" si="278"/>
        <v>-4450.6323370654063</v>
      </c>
      <c r="I236" s="1493">
        <f t="shared" si="278"/>
        <v>-10838.541056523256</v>
      </c>
      <c r="J236" s="1493">
        <f t="shared" si="278"/>
        <v>-11236.027663355289</v>
      </c>
      <c r="K236" s="1493">
        <f t="shared" si="278"/>
        <v>-6862.6098811049887</v>
      </c>
      <c r="L236" s="1493">
        <f t="shared" si="278"/>
        <v>7005.3233542734397</v>
      </c>
      <c r="M236" s="1493">
        <f t="shared" si="278"/>
        <v>22969.761070214634</v>
      </c>
      <c r="N236" s="1493">
        <f t="shared" si="278"/>
        <v>47622.198990705387</v>
      </c>
      <c r="O236" s="1493">
        <f t="shared" si="278"/>
        <v>72959.615107254707</v>
      </c>
      <c r="P236" s="1493">
        <f t="shared" si="278"/>
        <v>90955.53388407013</v>
      </c>
      <c r="Q236" s="1493">
        <f t="shared" si="278"/>
        <v>101262.01754717228</v>
      </c>
      <c r="R236" s="1493">
        <f t="shared" si="278"/>
        <v>108741.57849390154</v>
      </c>
      <c r="S236" s="1493">
        <f t="shared" si="278"/>
        <v>125838.7721014273</v>
      </c>
      <c r="T236" s="1493">
        <f t="shared" si="278"/>
        <v>129347.9803452237</v>
      </c>
      <c r="U236" s="1493">
        <f t="shared" si="278"/>
        <v>160054.74142751325</v>
      </c>
      <c r="V236" s="1493">
        <f t="shared" si="278"/>
        <v>176650.66693991574</v>
      </c>
      <c r="W236" s="1493">
        <f t="shared" si="278"/>
        <v>202969.25329796318</v>
      </c>
      <c r="X236" s="1493">
        <f t="shared" si="278"/>
        <v>252787.09082071079</v>
      </c>
      <c r="Y236" s="1493">
        <f t="shared" si="278"/>
        <v>0</v>
      </c>
      <c r="Z236" s="1493">
        <f t="shared" si="278"/>
        <v>0</v>
      </c>
      <c r="AA236" s="1493">
        <f t="shared" si="278"/>
        <v>0</v>
      </c>
      <c r="AB236" s="1493">
        <f t="shared" si="278"/>
        <v>0</v>
      </c>
      <c r="AC236" s="1493">
        <f t="shared" si="278"/>
        <v>0</v>
      </c>
      <c r="AD236" s="1493">
        <f t="shared" si="278"/>
        <v>0</v>
      </c>
      <c r="AE236" s="1493">
        <f t="shared" si="278"/>
        <v>0</v>
      </c>
      <c r="AF236" s="1493">
        <f t="shared" si="278"/>
        <v>0</v>
      </c>
      <c r="AG236" s="1493">
        <f t="shared" si="278"/>
        <v>0</v>
      </c>
      <c r="AH236" s="1493">
        <f t="shared" si="278"/>
        <v>0</v>
      </c>
      <c r="AI236" s="1494">
        <f t="shared" si="278"/>
        <v>0</v>
      </c>
      <c r="AJ236" s="1212"/>
      <c r="AK236" s="1116"/>
      <c r="AL236" s="1116"/>
      <c r="AM236" s="1207" t="str">
        <f t="shared" si="274"/>
        <v>OIBT (used for ROI calculation)</v>
      </c>
      <c r="AN236" s="1116"/>
      <c r="AO236" s="1116"/>
      <c r="AP236" s="1624"/>
      <c r="AQ236" s="1492">
        <f t="shared" ref="AQ236:BS236" si="279">+AQ137</f>
        <v>0</v>
      </c>
      <c r="AR236" s="1493">
        <f t="shared" si="279"/>
        <v>0</v>
      </c>
      <c r="AS236" s="1493">
        <f t="shared" si="279"/>
        <v>0</v>
      </c>
      <c r="AT236" s="1493">
        <f t="shared" si="279"/>
        <v>0</v>
      </c>
      <c r="AU236" s="1493">
        <f t="shared" si="279"/>
        <v>0</v>
      </c>
      <c r="AV236" s="1493">
        <f t="shared" si="279"/>
        <v>0</v>
      </c>
      <c r="AW236" s="1493">
        <f t="shared" si="279"/>
        <v>0</v>
      </c>
      <c r="AX236" s="1493">
        <f t="shared" si="279"/>
        <v>0</v>
      </c>
      <c r="AY236" s="1493">
        <f t="shared" si="279"/>
        <v>0</v>
      </c>
      <c r="AZ236" s="1493">
        <f t="shared" si="279"/>
        <v>0</v>
      </c>
      <c r="BA236" s="1493">
        <f t="shared" si="279"/>
        <v>0</v>
      </c>
      <c r="BB236" s="1493">
        <f t="shared" si="279"/>
        <v>0</v>
      </c>
      <c r="BC236" s="1493">
        <f t="shared" si="279"/>
        <v>0</v>
      </c>
      <c r="BD236" s="1493">
        <f t="shared" si="279"/>
        <v>0</v>
      </c>
      <c r="BE236" s="1493">
        <f t="shared" si="279"/>
        <v>0</v>
      </c>
      <c r="BF236" s="1493">
        <f t="shared" si="279"/>
        <v>0</v>
      </c>
      <c r="BG236" s="1493">
        <f t="shared" si="279"/>
        <v>0</v>
      </c>
      <c r="BH236" s="1493">
        <f t="shared" si="279"/>
        <v>0</v>
      </c>
      <c r="BI236" s="1493">
        <f t="shared" si="279"/>
        <v>0</v>
      </c>
      <c r="BJ236" s="1493">
        <f t="shared" si="279"/>
        <v>0</v>
      </c>
      <c r="BK236" s="1493">
        <f t="shared" si="279"/>
        <v>0</v>
      </c>
      <c r="BL236" s="1493">
        <f t="shared" si="279"/>
        <v>0</v>
      </c>
      <c r="BM236" s="1493">
        <f t="shared" si="279"/>
        <v>0</v>
      </c>
      <c r="BN236" s="1493">
        <f t="shared" si="279"/>
        <v>0</v>
      </c>
      <c r="BO236" s="1493">
        <f t="shared" si="279"/>
        <v>0</v>
      </c>
      <c r="BP236" s="1493">
        <f t="shared" si="279"/>
        <v>0</v>
      </c>
      <c r="BQ236" s="1493">
        <f t="shared" si="279"/>
        <v>0</v>
      </c>
      <c r="BR236" s="1493">
        <f t="shared" si="279"/>
        <v>0</v>
      </c>
      <c r="BS236" s="1494">
        <f t="shared" si="279"/>
        <v>0</v>
      </c>
      <c r="BT236" s="1478"/>
      <c r="BU236" s="1070"/>
      <c r="BV236" s="1070"/>
      <c r="BW236" s="1070"/>
    </row>
    <row r="237" spans="1:75" outlineLevel="1" x14ac:dyDescent="0.3">
      <c r="A237" s="1474"/>
      <c r="B237" s="1207" t="s">
        <v>1357</v>
      </c>
      <c r="C237" s="1491"/>
      <c r="D237" s="1352"/>
      <c r="E237" s="1267"/>
      <c r="F237" s="1493"/>
      <c r="G237" s="3083"/>
      <c r="H237" s="3084"/>
      <c r="I237" s="3084"/>
      <c r="J237" s="3084"/>
      <c r="K237" s="3084"/>
      <c r="L237" s="3084"/>
      <c r="M237" s="3084"/>
      <c r="N237" s="3084"/>
      <c r="O237" s="3084"/>
      <c r="P237" s="3084"/>
      <c r="Q237" s="3084"/>
      <c r="R237" s="3084"/>
      <c r="S237" s="3084"/>
      <c r="T237" s="3084"/>
      <c r="U237" s="3084"/>
      <c r="V237" s="3084"/>
      <c r="W237" s="3084"/>
      <c r="X237" s="3084"/>
      <c r="Y237" s="3084"/>
      <c r="Z237" s="3084"/>
      <c r="AA237" s="3084"/>
      <c r="AB237" s="3084"/>
      <c r="AC237" s="3084"/>
      <c r="AD237" s="3084"/>
      <c r="AE237" s="3084"/>
      <c r="AF237" s="3084"/>
      <c r="AG237" s="3084"/>
      <c r="AH237" s="3084"/>
      <c r="AI237" s="3085"/>
      <c r="AJ237" s="1212"/>
      <c r="AK237" s="1116"/>
      <c r="AL237" s="1116"/>
      <c r="AM237" s="1207" t="str">
        <f t="shared" si="274"/>
        <v>Undepreciated (Undp) Capital</v>
      </c>
      <c r="AN237" s="1116"/>
      <c r="AO237" s="1116"/>
      <c r="AP237" s="1624"/>
      <c r="AQ237" s="3083"/>
      <c r="AR237" s="3084"/>
      <c r="AS237" s="3084"/>
      <c r="AT237" s="3084"/>
      <c r="AU237" s="3084"/>
      <c r="AV237" s="3084"/>
      <c r="AW237" s="3084"/>
      <c r="AX237" s="3084"/>
      <c r="AY237" s="3084"/>
      <c r="AZ237" s="3084"/>
      <c r="BA237" s="3084"/>
      <c r="BB237" s="3084"/>
      <c r="BC237" s="3084"/>
      <c r="BD237" s="3084"/>
      <c r="BE237" s="3084"/>
      <c r="BF237" s="3084"/>
      <c r="BG237" s="3084"/>
      <c r="BH237" s="3084"/>
      <c r="BI237" s="3084"/>
      <c r="BJ237" s="3084"/>
      <c r="BK237" s="3084"/>
      <c r="BL237" s="3084"/>
      <c r="BM237" s="3084"/>
      <c r="BN237" s="3084"/>
      <c r="BO237" s="3084"/>
      <c r="BP237" s="3084"/>
      <c r="BQ237" s="3084"/>
      <c r="BR237" s="3084"/>
      <c r="BS237" s="3085"/>
      <c r="BT237" s="1478"/>
      <c r="BU237" s="1070"/>
      <c r="BV237" s="1070"/>
      <c r="BW237" s="1070"/>
    </row>
    <row r="238" spans="1:75" outlineLevel="1" x14ac:dyDescent="0.3">
      <c r="A238" s="1474"/>
      <c r="B238" s="1207" t="s">
        <v>1358</v>
      </c>
      <c r="C238" s="1491"/>
      <c r="D238" s="1352"/>
      <c r="E238" s="1267"/>
      <c r="F238" s="1493"/>
      <c r="G238" s="1492">
        <f t="shared" ref="G238:AI238" si="280">G233+G237</f>
        <v>-3620.4629005348552</v>
      </c>
      <c r="H238" s="1493">
        <f t="shared" si="280"/>
        <v>-3204.4552826870922</v>
      </c>
      <c r="I238" s="1493">
        <f t="shared" si="280"/>
        <v>-7803.7495606967441</v>
      </c>
      <c r="J238" s="1493">
        <f t="shared" si="280"/>
        <v>-8089.9399176158076</v>
      </c>
      <c r="K238" s="1493">
        <f t="shared" si="280"/>
        <v>-4941.0791143955921</v>
      </c>
      <c r="L238" s="1493">
        <f t="shared" si="280"/>
        <v>-11854.970729202269</v>
      </c>
      <c r="M238" s="1493">
        <f t="shared" si="280"/>
        <v>12604.891833739101</v>
      </c>
      <c r="N238" s="1493">
        <f t="shared" si="280"/>
        <v>27875.246337534263</v>
      </c>
      <c r="O238" s="1493">
        <f t="shared" si="280"/>
        <v>45759.406495428702</v>
      </c>
      <c r="P238" s="1493">
        <f t="shared" si="280"/>
        <v>60554.015149804225</v>
      </c>
      <c r="Q238" s="1493">
        <f t="shared" si="280"/>
        <v>70181.536536616142</v>
      </c>
      <c r="R238" s="1493">
        <f t="shared" si="280"/>
        <v>75851.213268417327</v>
      </c>
      <c r="S238" s="1493">
        <f t="shared" si="280"/>
        <v>86267.037747031369</v>
      </c>
      <c r="T238" s="1493">
        <f t="shared" si="280"/>
        <v>91450.793717653636</v>
      </c>
      <c r="U238" s="1493">
        <f t="shared" si="280"/>
        <v>108185.41002448402</v>
      </c>
      <c r="V238" s="1493">
        <f t="shared" si="280"/>
        <v>121471.45797752988</v>
      </c>
      <c r="W238" s="1493">
        <f t="shared" si="280"/>
        <v>138621.58594132177</v>
      </c>
      <c r="X238" s="1493">
        <f t="shared" si="280"/>
        <v>203207.92308032681</v>
      </c>
      <c r="Y238" s="1493">
        <f t="shared" si="280"/>
        <v>38881.583319830817</v>
      </c>
      <c r="Z238" s="1493">
        <f t="shared" si="280"/>
        <v>261.33333333333337</v>
      </c>
      <c r="AA238" s="1493">
        <f t="shared" si="280"/>
        <v>0</v>
      </c>
      <c r="AB238" s="1493">
        <f t="shared" si="280"/>
        <v>0</v>
      </c>
      <c r="AC238" s="1493">
        <f t="shared" si="280"/>
        <v>0</v>
      </c>
      <c r="AD238" s="1493">
        <f t="shared" si="280"/>
        <v>0</v>
      </c>
      <c r="AE238" s="1493">
        <f t="shared" si="280"/>
        <v>0</v>
      </c>
      <c r="AF238" s="1493">
        <f t="shared" si="280"/>
        <v>0</v>
      </c>
      <c r="AG238" s="1493">
        <f t="shared" si="280"/>
        <v>0</v>
      </c>
      <c r="AH238" s="1493">
        <f t="shared" si="280"/>
        <v>0</v>
      </c>
      <c r="AI238" s="1494">
        <f t="shared" si="280"/>
        <v>0</v>
      </c>
      <c r="AJ238" s="1212"/>
      <c r="AK238" s="1116"/>
      <c r="AL238" s="1116"/>
      <c r="AM238" s="1207" t="str">
        <f t="shared" si="274"/>
        <v>Free Cash Flow (FCF) + Undp Capital</v>
      </c>
      <c r="AN238" s="1116"/>
      <c r="AO238" s="1116"/>
      <c r="AP238" s="1624"/>
      <c r="AQ238" s="1492">
        <f t="shared" ref="AQ238:BS238" si="281">AQ233+AQ237</f>
        <v>0</v>
      </c>
      <c r="AR238" s="1493">
        <f t="shared" si="281"/>
        <v>0</v>
      </c>
      <c r="AS238" s="1493">
        <f t="shared" si="281"/>
        <v>0</v>
      </c>
      <c r="AT238" s="1493">
        <f t="shared" si="281"/>
        <v>0</v>
      </c>
      <c r="AU238" s="1493">
        <f t="shared" si="281"/>
        <v>0</v>
      </c>
      <c r="AV238" s="1493">
        <f t="shared" si="281"/>
        <v>0</v>
      </c>
      <c r="AW238" s="1493">
        <f t="shared" si="281"/>
        <v>0</v>
      </c>
      <c r="AX238" s="1493">
        <f t="shared" si="281"/>
        <v>0</v>
      </c>
      <c r="AY238" s="1493">
        <f t="shared" si="281"/>
        <v>0</v>
      </c>
      <c r="AZ238" s="1493">
        <f t="shared" si="281"/>
        <v>0</v>
      </c>
      <c r="BA238" s="1493">
        <f t="shared" si="281"/>
        <v>0</v>
      </c>
      <c r="BB238" s="1493">
        <f t="shared" si="281"/>
        <v>0</v>
      </c>
      <c r="BC238" s="1493">
        <f t="shared" si="281"/>
        <v>0</v>
      </c>
      <c r="BD238" s="1493">
        <f t="shared" si="281"/>
        <v>0</v>
      </c>
      <c r="BE238" s="1493">
        <f t="shared" si="281"/>
        <v>0</v>
      </c>
      <c r="BF238" s="1493">
        <f t="shared" si="281"/>
        <v>0</v>
      </c>
      <c r="BG238" s="1493">
        <f t="shared" si="281"/>
        <v>0</v>
      </c>
      <c r="BH238" s="1493">
        <f t="shared" si="281"/>
        <v>0</v>
      </c>
      <c r="BI238" s="1493">
        <f t="shared" si="281"/>
        <v>0</v>
      </c>
      <c r="BJ238" s="1493">
        <f t="shared" si="281"/>
        <v>0</v>
      </c>
      <c r="BK238" s="1493">
        <f t="shared" si="281"/>
        <v>0</v>
      </c>
      <c r="BL238" s="1493">
        <f t="shared" si="281"/>
        <v>0</v>
      </c>
      <c r="BM238" s="1493">
        <f t="shared" si="281"/>
        <v>0</v>
      </c>
      <c r="BN238" s="1493">
        <f t="shared" si="281"/>
        <v>0</v>
      </c>
      <c r="BO238" s="1493">
        <f t="shared" si="281"/>
        <v>0</v>
      </c>
      <c r="BP238" s="1493">
        <f t="shared" si="281"/>
        <v>0</v>
      </c>
      <c r="BQ238" s="1493">
        <f t="shared" si="281"/>
        <v>0</v>
      </c>
      <c r="BR238" s="1493">
        <f t="shared" si="281"/>
        <v>0</v>
      </c>
      <c r="BS238" s="1494">
        <f t="shared" si="281"/>
        <v>0</v>
      </c>
      <c r="BT238" s="1478"/>
      <c r="BU238" s="1070"/>
      <c r="BV238" s="1070"/>
      <c r="BW238" s="1070"/>
    </row>
    <row r="239" spans="1:75" outlineLevel="1" x14ac:dyDescent="0.3">
      <c r="A239" s="1474"/>
      <c r="B239" s="1207" t="s">
        <v>1359</v>
      </c>
      <c r="C239" s="1491"/>
      <c r="D239" s="1352"/>
      <c r="E239" s="1267"/>
      <c r="F239" s="1493"/>
      <c r="G239" s="1492">
        <f t="shared" ref="G239:AI239" si="282">G233*(1+GrowthR)/(DiscR-GrowthR)</f>
        <v>-28406.708911888862</v>
      </c>
      <c r="H239" s="1493">
        <f t="shared" si="282"/>
        <v>-25142.649141083341</v>
      </c>
      <c r="I239" s="1493">
        <f t="shared" si="282"/>
        <v>-61229.41963008215</v>
      </c>
      <c r="J239" s="1493">
        <f t="shared" si="282"/>
        <v>-63474.913199754796</v>
      </c>
      <c r="K239" s="1493">
        <f t="shared" si="282"/>
        <v>-38768.466897565413</v>
      </c>
      <c r="L239" s="1493">
        <f t="shared" si="282"/>
        <v>-93015.924182971634</v>
      </c>
      <c r="M239" s="1493">
        <f t="shared" si="282"/>
        <v>98899.920541645246</v>
      </c>
      <c r="N239" s="1493">
        <f t="shared" si="282"/>
        <v>218713.47126373037</v>
      </c>
      <c r="O239" s="1493">
        <f t="shared" si="282"/>
        <v>359035.34327182517</v>
      </c>
      <c r="P239" s="1493">
        <f t="shared" si="282"/>
        <v>475116.11886769469</v>
      </c>
      <c r="Q239" s="1493">
        <f t="shared" si="282"/>
        <v>550655.13282575749</v>
      </c>
      <c r="R239" s="1493">
        <f t="shared" si="282"/>
        <v>595140.28872142825</v>
      </c>
      <c r="S239" s="1493">
        <f t="shared" si="282"/>
        <v>676864.45001516922</v>
      </c>
      <c r="T239" s="1493">
        <f t="shared" si="282"/>
        <v>717536.99686159007</v>
      </c>
      <c r="U239" s="1493">
        <f t="shared" si="282"/>
        <v>848839.37096133619</v>
      </c>
      <c r="V239" s="1493">
        <f t="shared" si="282"/>
        <v>953083.74720831122</v>
      </c>
      <c r="W239" s="1493">
        <f t="shared" si="282"/>
        <v>1087646.2896934478</v>
      </c>
      <c r="X239" s="1493">
        <f t="shared" si="282"/>
        <v>1594400.6272456411</v>
      </c>
      <c r="Y239" s="1493">
        <f t="shared" si="282"/>
        <v>305070.88450944179</v>
      </c>
      <c r="Z239" s="1493">
        <f t="shared" si="282"/>
        <v>2050.461538461539</v>
      </c>
      <c r="AA239" s="1493">
        <f t="shared" si="282"/>
        <v>0</v>
      </c>
      <c r="AB239" s="1493">
        <f t="shared" si="282"/>
        <v>0</v>
      </c>
      <c r="AC239" s="1493">
        <f t="shared" si="282"/>
        <v>0</v>
      </c>
      <c r="AD239" s="1493">
        <f t="shared" si="282"/>
        <v>0</v>
      </c>
      <c r="AE239" s="1493">
        <f t="shared" si="282"/>
        <v>0</v>
      </c>
      <c r="AF239" s="1493">
        <f t="shared" si="282"/>
        <v>0</v>
      </c>
      <c r="AG239" s="1493">
        <f t="shared" si="282"/>
        <v>0</v>
      </c>
      <c r="AH239" s="1493">
        <f t="shared" si="282"/>
        <v>0</v>
      </c>
      <c r="AI239" s="1494">
        <f t="shared" si="282"/>
        <v>0</v>
      </c>
      <c r="AJ239" s="1212"/>
      <c r="AK239" s="1116"/>
      <c r="AL239" s="1116"/>
      <c r="AM239" s="1207" t="str">
        <f t="shared" si="274"/>
        <v>Terminal Value</v>
      </c>
      <c r="AN239" s="1116"/>
      <c r="AO239" s="1116"/>
      <c r="AP239" s="1624"/>
      <c r="AQ239" s="1492">
        <f t="shared" ref="AQ239:BS239" si="283">AQ233*(1+GrowthR)/(DiscR-GrowthR)</f>
        <v>0</v>
      </c>
      <c r="AR239" s="1493">
        <f t="shared" si="283"/>
        <v>0</v>
      </c>
      <c r="AS239" s="1493">
        <f t="shared" si="283"/>
        <v>0</v>
      </c>
      <c r="AT239" s="1493">
        <f t="shared" si="283"/>
        <v>0</v>
      </c>
      <c r="AU239" s="1493">
        <f t="shared" si="283"/>
        <v>0</v>
      </c>
      <c r="AV239" s="1493">
        <f t="shared" si="283"/>
        <v>0</v>
      </c>
      <c r="AW239" s="1493">
        <f t="shared" si="283"/>
        <v>0</v>
      </c>
      <c r="AX239" s="1493">
        <f t="shared" si="283"/>
        <v>0</v>
      </c>
      <c r="AY239" s="1493">
        <f t="shared" si="283"/>
        <v>0</v>
      </c>
      <c r="AZ239" s="1493">
        <f t="shared" si="283"/>
        <v>0</v>
      </c>
      <c r="BA239" s="1493">
        <f t="shared" si="283"/>
        <v>0</v>
      </c>
      <c r="BB239" s="1493">
        <f t="shared" si="283"/>
        <v>0</v>
      </c>
      <c r="BC239" s="1493">
        <f t="shared" si="283"/>
        <v>0</v>
      </c>
      <c r="BD239" s="1493">
        <f t="shared" si="283"/>
        <v>0</v>
      </c>
      <c r="BE239" s="1493">
        <f t="shared" si="283"/>
        <v>0</v>
      </c>
      <c r="BF239" s="1493">
        <f t="shared" si="283"/>
        <v>0</v>
      </c>
      <c r="BG239" s="1493">
        <f t="shared" si="283"/>
        <v>0</v>
      </c>
      <c r="BH239" s="1493">
        <f t="shared" si="283"/>
        <v>0</v>
      </c>
      <c r="BI239" s="1493">
        <f t="shared" si="283"/>
        <v>0</v>
      </c>
      <c r="BJ239" s="1493">
        <f t="shared" si="283"/>
        <v>0</v>
      </c>
      <c r="BK239" s="1493">
        <f t="shared" si="283"/>
        <v>0</v>
      </c>
      <c r="BL239" s="1493">
        <f t="shared" si="283"/>
        <v>0</v>
      </c>
      <c r="BM239" s="1493">
        <f t="shared" si="283"/>
        <v>0</v>
      </c>
      <c r="BN239" s="1493">
        <f t="shared" si="283"/>
        <v>0</v>
      </c>
      <c r="BO239" s="1493">
        <f t="shared" si="283"/>
        <v>0</v>
      </c>
      <c r="BP239" s="1493">
        <f t="shared" si="283"/>
        <v>0</v>
      </c>
      <c r="BQ239" s="1493">
        <f t="shared" si="283"/>
        <v>0</v>
      </c>
      <c r="BR239" s="1493">
        <f t="shared" si="283"/>
        <v>0</v>
      </c>
      <c r="BS239" s="1494">
        <f t="shared" si="283"/>
        <v>0</v>
      </c>
      <c r="BT239" s="1478"/>
      <c r="BU239" s="1070"/>
      <c r="BV239" s="1070"/>
      <c r="BW239" s="1070"/>
    </row>
    <row r="240" spans="1:75" outlineLevel="1" x14ac:dyDescent="0.3">
      <c r="A240" s="1474"/>
      <c r="B240" s="1207" t="s">
        <v>1360</v>
      </c>
      <c r="C240" s="1491"/>
      <c r="D240" s="1352"/>
      <c r="E240" s="1267"/>
      <c r="F240" s="1493"/>
      <c r="G240" s="1492">
        <f t="shared" ref="G240:AI240" si="284">G233+G237+G239</f>
        <v>-32027.171812423716</v>
      </c>
      <c r="H240" s="1493">
        <f t="shared" si="284"/>
        <v>-28347.104423770434</v>
      </c>
      <c r="I240" s="1493">
        <f t="shared" si="284"/>
        <v>-69033.169190778892</v>
      </c>
      <c r="J240" s="1493">
        <f t="shared" si="284"/>
        <v>-71564.8531173706</v>
      </c>
      <c r="K240" s="1493">
        <f t="shared" si="284"/>
        <v>-43709.546011961007</v>
      </c>
      <c r="L240" s="1493">
        <f t="shared" si="284"/>
        <v>-104870.8949121739</v>
      </c>
      <c r="M240" s="1493">
        <f t="shared" si="284"/>
        <v>111504.81237538435</v>
      </c>
      <c r="N240" s="1493">
        <f t="shared" si="284"/>
        <v>246588.71760126465</v>
      </c>
      <c r="O240" s="1493">
        <f t="shared" si="284"/>
        <v>404794.74976725387</v>
      </c>
      <c r="P240" s="3072">
        <f t="shared" si="284"/>
        <v>535670.13401749893</v>
      </c>
      <c r="Q240" s="1493">
        <f t="shared" si="284"/>
        <v>620836.66936237365</v>
      </c>
      <c r="R240" s="1493">
        <f t="shared" si="284"/>
        <v>670991.50198984554</v>
      </c>
      <c r="S240" s="1493">
        <f t="shared" si="284"/>
        <v>763131.48776220065</v>
      </c>
      <c r="T240" s="1493">
        <f t="shared" si="284"/>
        <v>808987.79057924368</v>
      </c>
      <c r="U240" s="1493">
        <f t="shared" si="284"/>
        <v>957024.78098582022</v>
      </c>
      <c r="V240" s="1493">
        <f t="shared" si="284"/>
        <v>1074555.2051858411</v>
      </c>
      <c r="W240" s="1493">
        <f t="shared" si="284"/>
        <v>1226267.8756347694</v>
      </c>
      <c r="X240" s="1493">
        <f t="shared" si="284"/>
        <v>1797608.5503259678</v>
      </c>
      <c r="Y240" s="1493">
        <f t="shared" si="284"/>
        <v>343952.46782927262</v>
      </c>
      <c r="Z240" s="1493">
        <f t="shared" si="284"/>
        <v>2311.7948717948725</v>
      </c>
      <c r="AA240" s="1493">
        <f t="shared" si="284"/>
        <v>0</v>
      </c>
      <c r="AB240" s="1493">
        <f t="shared" si="284"/>
        <v>0</v>
      </c>
      <c r="AC240" s="1493">
        <f t="shared" si="284"/>
        <v>0</v>
      </c>
      <c r="AD240" s="1493">
        <f t="shared" si="284"/>
        <v>0</v>
      </c>
      <c r="AE240" s="1493">
        <f t="shared" si="284"/>
        <v>0</v>
      </c>
      <c r="AF240" s="1493">
        <f t="shared" si="284"/>
        <v>0</v>
      </c>
      <c r="AG240" s="1493">
        <f t="shared" si="284"/>
        <v>0</v>
      </c>
      <c r="AH240" s="1493">
        <f t="shared" si="284"/>
        <v>0</v>
      </c>
      <c r="AI240" s="1494">
        <f t="shared" si="284"/>
        <v>0</v>
      </c>
      <c r="AJ240" s="1212"/>
      <c r="AK240" s="1116"/>
      <c r="AL240" s="1116"/>
      <c r="AM240" s="1207" t="str">
        <f t="shared" si="274"/>
        <v>Free Cash Flow (FCF) + Undp Capital + TV</v>
      </c>
      <c r="AN240" s="1116"/>
      <c r="AO240" s="1116"/>
      <c r="AP240" s="1624"/>
      <c r="AQ240" s="1492">
        <f t="shared" ref="AQ240:BS240" si="285">AQ233+AQ237+AQ239</f>
        <v>0</v>
      </c>
      <c r="AR240" s="1493">
        <f t="shared" si="285"/>
        <v>0</v>
      </c>
      <c r="AS240" s="1493">
        <f t="shared" si="285"/>
        <v>0</v>
      </c>
      <c r="AT240" s="1493">
        <f t="shared" si="285"/>
        <v>0</v>
      </c>
      <c r="AU240" s="1493">
        <f t="shared" si="285"/>
        <v>0</v>
      </c>
      <c r="AV240" s="1493">
        <f t="shared" si="285"/>
        <v>0</v>
      </c>
      <c r="AW240" s="1493">
        <f t="shared" si="285"/>
        <v>0</v>
      </c>
      <c r="AX240" s="1493">
        <f t="shared" si="285"/>
        <v>0</v>
      </c>
      <c r="AY240" s="1493">
        <f t="shared" si="285"/>
        <v>0</v>
      </c>
      <c r="AZ240" s="1493">
        <f t="shared" si="285"/>
        <v>0</v>
      </c>
      <c r="BA240" s="1493">
        <f t="shared" si="285"/>
        <v>0</v>
      </c>
      <c r="BB240" s="1493">
        <f t="shared" si="285"/>
        <v>0</v>
      </c>
      <c r="BC240" s="1493">
        <f t="shared" si="285"/>
        <v>0</v>
      </c>
      <c r="BD240" s="1493">
        <f t="shared" si="285"/>
        <v>0</v>
      </c>
      <c r="BE240" s="1493">
        <f t="shared" si="285"/>
        <v>0</v>
      </c>
      <c r="BF240" s="1493">
        <f t="shared" si="285"/>
        <v>0</v>
      </c>
      <c r="BG240" s="1493">
        <f t="shared" si="285"/>
        <v>0</v>
      </c>
      <c r="BH240" s="1493">
        <f t="shared" si="285"/>
        <v>0</v>
      </c>
      <c r="BI240" s="1493">
        <f t="shared" si="285"/>
        <v>0</v>
      </c>
      <c r="BJ240" s="1493">
        <f t="shared" si="285"/>
        <v>0</v>
      </c>
      <c r="BK240" s="1493">
        <f t="shared" si="285"/>
        <v>0</v>
      </c>
      <c r="BL240" s="1493">
        <f t="shared" si="285"/>
        <v>0</v>
      </c>
      <c r="BM240" s="1493">
        <f t="shared" si="285"/>
        <v>0</v>
      </c>
      <c r="BN240" s="1493">
        <f t="shared" si="285"/>
        <v>0</v>
      </c>
      <c r="BO240" s="1493">
        <f t="shared" si="285"/>
        <v>0</v>
      </c>
      <c r="BP240" s="1493">
        <f t="shared" si="285"/>
        <v>0</v>
      </c>
      <c r="BQ240" s="1493">
        <f t="shared" si="285"/>
        <v>0</v>
      </c>
      <c r="BR240" s="1493">
        <f t="shared" si="285"/>
        <v>0</v>
      </c>
      <c r="BS240" s="1494">
        <f t="shared" si="285"/>
        <v>0</v>
      </c>
      <c r="BT240" s="1478"/>
      <c r="BU240" s="1070"/>
      <c r="BV240" s="1070"/>
      <c r="BW240" s="1070"/>
    </row>
    <row r="241" spans="1:75" outlineLevel="1" x14ac:dyDescent="0.3">
      <c r="A241" s="1527"/>
      <c r="B241" s="1150"/>
      <c r="C241" s="1498"/>
      <c r="D241" s="1499"/>
      <c r="E241" s="1284"/>
      <c r="F241" s="1500"/>
      <c r="G241" s="2866"/>
      <c r="H241" s="2867"/>
      <c r="I241" s="2867"/>
      <c r="J241" s="2867"/>
      <c r="K241" s="2867"/>
      <c r="L241" s="2867"/>
      <c r="M241" s="2867"/>
      <c r="N241" s="2868"/>
      <c r="O241" s="2868"/>
      <c r="P241" s="2868"/>
      <c r="Q241" s="2868"/>
      <c r="R241" s="2868"/>
      <c r="S241" s="2868"/>
      <c r="T241" s="2868"/>
      <c r="U241" s="2868"/>
      <c r="V241" s="2868"/>
      <c r="W241" s="2868"/>
      <c r="X241" s="2868"/>
      <c r="Y241" s="2868"/>
      <c r="Z241" s="2868"/>
      <c r="AA241" s="2868"/>
      <c r="AB241" s="2868"/>
      <c r="AC241" s="2868"/>
      <c r="AD241" s="2868"/>
      <c r="AE241" s="2868"/>
      <c r="AF241" s="2868"/>
      <c r="AG241" s="2868"/>
      <c r="AH241" s="2868"/>
      <c r="AI241" s="2869"/>
      <c r="AJ241" s="2870"/>
      <c r="AK241" s="1142"/>
      <c r="AL241" s="1142"/>
      <c r="AM241" s="1184"/>
      <c r="AN241" s="1201"/>
      <c r="AO241" s="1201"/>
      <c r="AP241" s="2871"/>
      <c r="AQ241" s="2872"/>
      <c r="AR241" s="2867"/>
      <c r="AS241" s="2867"/>
      <c r="AT241" s="2867"/>
      <c r="AU241" s="2867"/>
      <c r="AV241" s="2867"/>
      <c r="AW241" s="2867"/>
      <c r="AX241" s="2868"/>
      <c r="AY241" s="2868"/>
      <c r="AZ241" s="2868"/>
      <c r="BA241" s="2868"/>
      <c r="BB241" s="2868"/>
      <c r="BC241" s="2868"/>
      <c r="BD241" s="2868"/>
      <c r="BE241" s="2868"/>
      <c r="BF241" s="2868"/>
      <c r="BG241" s="2868"/>
      <c r="BH241" s="2868"/>
      <c r="BI241" s="2868"/>
      <c r="BJ241" s="2868"/>
      <c r="BK241" s="2868"/>
      <c r="BL241" s="2868"/>
      <c r="BM241" s="2868"/>
      <c r="BN241" s="2868"/>
      <c r="BO241" s="2868"/>
      <c r="BP241" s="2868"/>
      <c r="BQ241" s="2868"/>
      <c r="BR241" s="2868"/>
      <c r="BS241" s="2869"/>
      <c r="BT241" s="1478"/>
      <c r="BU241" s="1070"/>
      <c r="BV241" s="1070"/>
      <c r="BW241" s="1070"/>
    </row>
    <row r="242" spans="1:75" outlineLevel="1" x14ac:dyDescent="0.3">
      <c r="A242" s="1527"/>
      <c r="B242" s="1070"/>
      <c r="C242" s="1070"/>
      <c r="D242" s="1070"/>
      <c r="E242" s="1070"/>
      <c r="F242" s="1070"/>
      <c r="G242" s="1070"/>
      <c r="H242" s="1530"/>
      <c r="I242" s="1530"/>
      <c r="J242" s="1530"/>
      <c r="K242" s="1530"/>
      <c r="L242" s="1530"/>
      <c r="M242" s="1530"/>
      <c r="N242" s="1529"/>
      <c r="O242" s="1529"/>
      <c r="P242" s="1529"/>
      <c r="Q242" s="1529"/>
      <c r="R242" s="1529"/>
      <c r="S242" s="1529"/>
      <c r="T242" s="1529"/>
      <c r="U242" s="1529"/>
      <c r="V242" s="1529"/>
      <c r="W242" s="1529"/>
      <c r="X242" s="1529"/>
      <c r="Y242" s="1529"/>
      <c r="Z242" s="1529"/>
      <c r="AA242" s="1529"/>
      <c r="AB242" s="1529"/>
      <c r="AC242" s="1529"/>
      <c r="AD242" s="1529"/>
      <c r="AE242" s="1529"/>
      <c r="AF242" s="1529"/>
      <c r="AG242" s="1529"/>
      <c r="AH242" s="1529"/>
      <c r="AI242" s="1529"/>
      <c r="AJ242" s="2870"/>
      <c r="AK242" s="1142"/>
      <c r="AL242" s="1142"/>
      <c r="AM242" s="1142"/>
      <c r="AN242" s="1142"/>
      <c r="AO242" s="1142"/>
      <c r="AP242" s="1142"/>
      <c r="AQ242" s="1530"/>
      <c r="AR242" s="1530"/>
      <c r="AS242" s="1530"/>
      <c r="AT242" s="1530"/>
      <c r="AU242" s="1530"/>
      <c r="AV242" s="1530"/>
      <c r="AW242" s="1530"/>
      <c r="AX242" s="1529"/>
      <c r="AY242" s="1529"/>
      <c r="AZ242" s="1529"/>
      <c r="BA242" s="1529"/>
      <c r="BB242" s="1529"/>
      <c r="BC242" s="1529"/>
      <c r="BD242" s="1529"/>
      <c r="BE242" s="1529"/>
      <c r="BF242" s="1529"/>
      <c r="BG242" s="1529"/>
      <c r="BH242" s="1529"/>
      <c r="BI242" s="1529"/>
      <c r="BJ242" s="1529"/>
      <c r="BK242" s="1529"/>
      <c r="BL242" s="1529"/>
      <c r="BM242" s="1529"/>
      <c r="BN242" s="1529"/>
      <c r="BO242" s="1529"/>
      <c r="BP242" s="1529"/>
      <c r="BQ242" s="1529"/>
      <c r="BR242" s="1529"/>
      <c r="BS242" s="1529"/>
      <c r="BT242" s="1478"/>
      <c r="BU242" s="1070"/>
      <c r="BV242" s="1070"/>
      <c r="BW242" s="1070"/>
    </row>
    <row r="243" spans="1:75" outlineLevel="1" x14ac:dyDescent="0.3">
      <c r="A243" s="1527"/>
      <c r="B243" s="1116"/>
      <c r="C243" s="1491"/>
      <c r="D243" s="1352"/>
      <c r="E243" s="1267"/>
      <c r="F243" s="1493"/>
      <c r="G243" s="1493"/>
      <c r="H243" s="1493"/>
      <c r="I243" s="1493"/>
      <c r="J243" s="1493"/>
      <c r="K243" s="1493"/>
      <c r="L243" s="1493"/>
      <c r="M243" s="1493"/>
      <c r="N243" s="1493"/>
      <c r="O243" s="1493"/>
      <c r="P243" s="1493"/>
      <c r="Q243" s="1493"/>
      <c r="R243" s="1493"/>
      <c r="S243" s="1493"/>
      <c r="T243" s="1493"/>
      <c r="U243" s="1493"/>
      <c r="V243" s="1493"/>
      <c r="W243" s="1493"/>
      <c r="X243" s="1493"/>
      <c r="Y243" s="1493"/>
      <c r="Z243" s="1493"/>
      <c r="AA243" s="1493"/>
      <c r="AB243" s="1493"/>
      <c r="AC243" s="1493"/>
      <c r="AD243" s="1493"/>
      <c r="AE243" s="1493"/>
      <c r="AF243" s="1493"/>
      <c r="AG243" s="1493"/>
      <c r="AH243" s="1493"/>
      <c r="AI243" s="1493"/>
      <c r="AJ243" s="2870"/>
      <c r="AK243" s="1142"/>
      <c r="AL243" s="1142"/>
      <c r="AM243" s="1142"/>
      <c r="AN243" s="1142"/>
      <c r="AO243" s="1142"/>
      <c r="AP243" s="1142"/>
      <c r="AQ243" s="1530"/>
      <c r="AR243" s="1530"/>
      <c r="AS243" s="1530"/>
      <c r="AT243" s="1530"/>
      <c r="AU243" s="1530"/>
      <c r="AV243" s="1530"/>
      <c r="AW243" s="1530"/>
      <c r="AX243" s="1529"/>
      <c r="AY243" s="1529"/>
      <c r="AZ243" s="1529"/>
      <c r="BA243" s="1529"/>
      <c r="BB243" s="1529"/>
      <c r="BC243" s="1529"/>
      <c r="BD243" s="1529"/>
      <c r="BE243" s="1529"/>
      <c r="BF243" s="1529"/>
      <c r="BG243" s="1529"/>
      <c r="BH243" s="1529"/>
      <c r="BI243" s="1529"/>
      <c r="BJ243" s="1529"/>
      <c r="BK243" s="1529"/>
      <c r="BL243" s="1529"/>
      <c r="BM243" s="1529"/>
      <c r="BN243" s="1529"/>
      <c r="BO243" s="1529"/>
      <c r="BP243" s="1529"/>
      <c r="BQ243" s="1529"/>
      <c r="BR243" s="1529"/>
      <c r="BS243" s="1529"/>
      <c r="BT243" s="1478"/>
      <c r="BU243" s="1070"/>
      <c r="BV243" s="1070"/>
      <c r="BW243" s="1070"/>
    </row>
    <row r="244" spans="1:75" outlineLevel="1" x14ac:dyDescent="0.3">
      <c r="A244" s="1527"/>
      <c r="B244" s="1569" t="s">
        <v>1717</v>
      </c>
      <c r="C244" s="1159"/>
      <c r="D244" s="1159"/>
      <c r="E244" s="1159"/>
      <c r="F244" s="1159"/>
      <c r="G244" s="1482">
        <f>G113</f>
        <v>18</v>
      </c>
      <c r="H244" s="1483">
        <f t="shared" ref="H244:AI244" si="286">H113</f>
        <v>19</v>
      </c>
      <c r="I244" s="1483">
        <f t="shared" si="286"/>
        <v>20</v>
      </c>
      <c r="J244" s="1483">
        <f t="shared" si="286"/>
        <v>21</v>
      </c>
      <c r="K244" s="1483">
        <f t="shared" si="286"/>
        <v>22</v>
      </c>
      <c r="L244" s="1483">
        <f t="shared" si="286"/>
        <v>23</v>
      </c>
      <c r="M244" s="1483">
        <f t="shared" si="286"/>
        <v>24</v>
      </c>
      <c r="N244" s="1483">
        <f t="shared" si="286"/>
        <v>25</v>
      </c>
      <c r="O244" s="1483">
        <f t="shared" si="286"/>
        <v>26</v>
      </c>
      <c r="P244" s="1483">
        <f t="shared" si="286"/>
        <v>27</v>
      </c>
      <c r="Q244" s="1483">
        <f t="shared" si="286"/>
        <v>28</v>
      </c>
      <c r="R244" s="1483">
        <f t="shared" si="286"/>
        <v>29</v>
      </c>
      <c r="S244" s="1483">
        <f t="shared" si="286"/>
        <v>30</v>
      </c>
      <c r="T244" s="1483">
        <f t="shared" si="286"/>
        <v>31</v>
      </c>
      <c r="U244" s="1483">
        <f t="shared" si="286"/>
        <v>32</v>
      </c>
      <c r="V244" s="1483">
        <f t="shared" si="286"/>
        <v>33</v>
      </c>
      <c r="W244" s="1483">
        <f t="shared" si="286"/>
        <v>34</v>
      </c>
      <c r="X244" s="1483">
        <f t="shared" si="286"/>
        <v>35</v>
      </c>
      <c r="Y244" s="1483">
        <f t="shared" si="286"/>
        <v>36</v>
      </c>
      <c r="Z244" s="1483">
        <f t="shared" si="286"/>
        <v>37</v>
      </c>
      <c r="AA244" s="1483">
        <f t="shared" si="286"/>
        <v>38</v>
      </c>
      <c r="AB244" s="1483">
        <f t="shared" si="286"/>
        <v>39</v>
      </c>
      <c r="AC244" s="1483">
        <f t="shared" si="286"/>
        <v>40</v>
      </c>
      <c r="AD244" s="1483">
        <f t="shared" si="286"/>
        <v>41</v>
      </c>
      <c r="AE244" s="1483">
        <f t="shared" si="286"/>
        <v>42</v>
      </c>
      <c r="AF244" s="1483">
        <f t="shared" si="286"/>
        <v>43</v>
      </c>
      <c r="AG244" s="1483">
        <f t="shared" si="286"/>
        <v>44</v>
      </c>
      <c r="AH244" s="1483">
        <f t="shared" si="286"/>
        <v>45</v>
      </c>
      <c r="AI244" s="1484">
        <f t="shared" si="286"/>
        <v>46</v>
      </c>
      <c r="AJ244" s="1476"/>
      <c r="AK244" s="1142"/>
      <c r="AL244" s="1142"/>
      <c r="AM244" s="1569" t="s">
        <v>1717</v>
      </c>
      <c r="AN244" s="1159"/>
      <c r="AO244" s="2873"/>
      <c r="AP244" s="2874"/>
      <c r="AQ244" s="1482">
        <f>AQ113</f>
        <v>18</v>
      </c>
      <c r="AR244" s="1483">
        <f t="shared" ref="AR244:BS244" si="287">AR113</f>
        <v>19</v>
      </c>
      <c r="AS244" s="1483">
        <f t="shared" si="287"/>
        <v>20</v>
      </c>
      <c r="AT244" s="1483">
        <f t="shared" si="287"/>
        <v>21</v>
      </c>
      <c r="AU244" s="1483">
        <f t="shared" si="287"/>
        <v>22</v>
      </c>
      <c r="AV244" s="1483">
        <f t="shared" si="287"/>
        <v>23</v>
      </c>
      <c r="AW244" s="1483">
        <f t="shared" si="287"/>
        <v>24</v>
      </c>
      <c r="AX244" s="1483">
        <f t="shared" si="287"/>
        <v>25</v>
      </c>
      <c r="AY244" s="1483">
        <f t="shared" si="287"/>
        <v>26</v>
      </c>
      <c r="AZ244" s="1483">
        <f t="shared" si="287"/>
        <v>27</v>
      </c>
      <c r="BA244" s="1483">
        <f t="shared" si="287"/>
        <v>28</v>
      </c>
      <c r="BB244" s="1483">
        <f t="shared" si="287"/>
        <v>29</v>
      </c>
      <c r="BC244" s="1483">
        <f t="shared" si="287"/>
        <v>30</v>
      </c>
      <c r="BD244" s="1483">
        <f t="shared" si="287"/>
        <v>31</v>
      </c>
      <c r="BE244" s="1483">
        <f t="shared" si="287"/>
        <v>32</v>
      </c>
      <c r="BF244" s="1483">
        <f t="shared" si="287"/>
        <v>33</v>
      </c>
      <c r="BG244" s="1483">
        <f t="shared" si="287"/>
        <v>34</v>
      </c>
      <c r="BH244" s="1483">
        <f t="shared" si="287"/>
        <v>35</v>
      </c>
      <c r="BI244" s="1483">
        <f t="shared" si="287"/>
        <v>36</v>
      </c>
      <c r="BJ244" s="1483">
        <f t="shared" si="287"/>
        <v>37</v>
      </c>
      <c r="BK244" s="1483">
        <f t="shared" si="287"/>
        <v>38</v>
      </c>
      <c r="BL244" s="1483">
        <f t="shared" si="287"/>
        <v>39</v>
      </c>
      <c r="BM244" s="1483">
        <f t="shared" si="287"/>
        <v>40</v>
      </c>
      <c r="BN244" s="1483">
        <f t="shared" si="287"/>
        <v>41</v>
      </c>
      <c r="BO244" s="1483">
        <f t="shared" si="287"/>
        <v>42</v>
      </c>
      <c r="BP244" s="1483">
        <f t="shared" si="287"/>
        <v>43</v>
      </c>
      <c r="BQ244" s="1483">
        <f t="shared" si="287"/>
        <v>44</v>
      </c>
      <c r="BR244" s="1483">
        <f t="shared" si="287"/>
        <v>45</v>
      </c>
      <c r="BS244" s="1484">
        <f t="shared" si="287"/>
        <v>46</v>
      </c>
      <c r="BT244" s="1478"/>
      <c r="BU244" s="1070"/>
      <c r="BV244" s="1070"/>
      <c r="BW244" s="1070"/>
    </row>
    <row r="245" spans="1:75" outlineLevel="1" x14ac:dyDescent="0.3">
      <c r="A245" s="1527"/>
      <c r="B245" s="1149"/>
      <c r="C245" s="2875"/>
      <c r="D245" s="1142"/>
      <c r="E245" s="1142"/>
      <c r="F245" s="2876" t="s">
        <v>1718</v>
      </c>
      <c r="G245" s="1741"/>
      <c r="H245" s="1142"/>
      <c r="I245" s="1142"/>
      <c r="J245" s="1142"/>
      <c r="K245" s="1142"/>
      <c r="L245" s="1142"/>
      <c r="M245" s="1142"/>
      <c r="N245" s="1142"/>
      <c r="O245" s="1142"/>
      <c r="P245" s="1142"/>
      <c r="Q245" s="1142"/>
      <c r="R245" s="1142"/>
      <c r="S245" s="1142"/>
      <c r="T245" s="1142"/>
      <c r="U245" s="1142"/>
      <c r="V245" s="1142"/>
      <c r="W245" s="1142"/>
      <c r="X245" s="1142"/>
      <c r="Y245" s="1142"/>
      <c r="Z245" s="1142"/>
      <c r="AA245" s="1142"/>
      <c r="AB245" s="1142"/>
      <c r="AC245" s="1142"/>
      <c r="AD245" s="1142"/>
      <c r="AE245" s="1142"/>
      <c r="AF245" s="1142"/>
      <c r="AG245" s="1142"/>
      <c r="AH245" s="1142"/>
      <c r="AI245" s="1437"/>
      <c r="AJ245" s="1476"/>
      <c r="AK245" s="1142"/>
      <c r="AL245" s="1142"/>
      <c r="AM245" s="1149"/>
      <c r="AN245" s="1142"/>
      <c r="AO245" s="1742"/>
      <c r="AP245" s="2877" t="s">
        <v>1718</v>
      </c>
      <c r="AQ245" s="1142"/>
      <c r="AR245" s="1142"/>
      <c r="AS245" s="1142"/>
      <c r="AT245" s="1142"/>
      <c r="AU245" s="1142"/>
      <c r="AV245" s="1142"/>
      <c r="AW245" s="1142"/>
      <c r="AX245" s="1142"/>
      <c r="AY245" s="1142"/>
      <c r="AZ245" s="1142"/>
      <c r="BA245" s="1142"/>
      <c r="BB245" s="1142"/>
      <c r="BC245" s="1142"/>
      <c r="BD245" s="1142"/>
      <c r="BE245" s="1142"/>
      <c r="BF245" s="1142"/>
      <c r="BG245" s="1142"/>
      <c r="BH245" s="1142"/>
      <c r="BI245" s="1142"/>
      <c r="BJ245" s="1142"/>
      <c r="BK245" s="1142"/>
      <c r="BL245" s="1142"/>
      <c r="BM245" s="1142"/>
      <c r="BN245" s="1142"/>
      <c r="BO245" s="1142"/>
      <c r="BP245" s="1142"/>
      <c r="BQ245" s="1142"/>
      <c r="BR245" s="1142"/>
      <c r="BS245" s="1437"/>
      <c r="BT245" s="1478"/>
      <c r="BU245" s="1070"/>
      <c r="BV245" s="1070"/>
      <c r="BW245" s="1070"/>
    </row>
    <row r="246" spans="1:75" outlineLevel="1" x14ac:dyDescent="0.3">
      <c r="A246" s="1527"/>
      <c r="B246" s="1149" t="s">
        <v>1719</v>
      </c>
      <c r="C246" s="2878"/>
      <c r="D246" s="1142"/>
      <c r="E246" s="1142"/>
      <c r="F246" s="2879">
        <f>Input!D76</f>
        <v>55</v>
      </c>
      <c r="G246" s="2880">
        <f t="shared" ref="G246:AI246" si="288">G127*($F$246/360)</f>
        <v>0</v>
      </c>
      <c r="H246" s="1709">
        <f t="shared" si="288"/>
        <v>0</v>
      </c>
      <c r="I246" s="1709">
        <f t="shared" si="288"/>
        <v>0</v>
      </c>
      <c r="J246" s="1709">
        <f t="shared" si="288"/>
        <v>0</v>
      </c>
      <c r="K246" s="1709">
        <f t="shared" si="288"/>
        <v>0</v>
      </c>
      <c r="L246" s="1709">
        <f t="shared" si="288"/>
        <v>2546.3783591136003</v>
      </c>
      <c r="M246" s="1709">
        <f t="shared" si="288"/>
        <v>5892.4447772757258</v>
      </c>
      <c r="N246" s="1709">
        <f t="shared" si="288"/>
        <v>11232.82867004439</v>
      </c>
      <c r="O246" s="1709">
        <f t="shared" si="288"/>
        <v>16854.290904233068</v>
      </c>
      <c r="P246" s="1709">
        <f t="shared" si="288"/>
        <v>20982.660999477121</v>
      </c>
      <c r="Q246" s="1709">
        <f t="shared" si="288"/>
        <v>23354.390297286744</v>
      </c>
      <c r="R246" s="1709">
        <f t="shared" si="288"/>
        <v>25322.086630960697</v>
      </c>
      <c r="S246" s="1709">
        <f t="shared" si="288"/>
        <v>29056.786081660044</v>
      </c>
      <c r="T246" s="1709">
        <f t="shared" si="288"/>
        <v>30376.329455078147</v>
      </c>
      <c r="U246" s="1709">
        <f t="shared" si="288"/>
        <v>36560.950132132049</v>
      </c>
      <c r="V246" s="1709">
        <f t="shared" si="288"/>
        <v>41026.183959005917</v>
      </c>
      <c r="W246" s="1709">
        <f t="shared" si="288"/>
        <v>47162.980192210431</v>
      </c>
      <c r="X246" s="1709">
        <f t="shared" si="288"/>
        <v>38620.249986497482</v>
      </c>
      <c r="Y246" s="1709">
        <f t="shared" si="288"/>
        <v>0</v>
      </c>
      <c r="Z246" s="1709">
        <f t="shared" si="288"/>
        <v>0</v>
      </c>
      <c r="AA246" s="1709">
        <f t="shared" si="288"/>
        <v>0</v>
      </c>
      <c r="AB246" s="1709">
        <f t="shared" si="288"/>
        <v>0</v>
      </c>
      <c r="AC246" s="1709">
        <f t="shared" si="288"/>
        <v>0</v>
      </c>
      <c r="AD246" s="1709">
        <f t="shared" si="288"/>
        <v>0</v>
      </c>
      <c r="AE246" s="1709">
        <f t="shared" si="288"/>
        <v>0</v>
      </c>
      <c r="AF246" s="1709">
        <f t="shared" si="288"/>
        <v>0</v>
      </c>
      <c r="AG246" s="1709">
        <f t="shared" si="288"/>
        <v>0</v>
      </c>
      <c r="AH246" s="1709">
        <f t="shared" si="288"/>
        <v>0</v>
      </c>
      <c r="AI246" s="2881">
        <f t="shared" si="288"/>
        <v>0</v>
      </c>
      <c r="AJ246" s="1476"/>
      <c r="AK246" s="1142"/>
      <c r="AL246" s="1142"/>
      <c r="AM246" s="1149" t="str">
        <f>B246</f>
        <v>Receivables</v>
      </c>
      <c r="AN246" s="1142"/>
      <c r="AO246" s="1742"/>
      <c r="AP246" s="2882">
        <f>Input!D76</f>
        <v>55</v>
      </c>
      <c r="AQ246" s="1709">
        <f t="shared" ref="AQ246:BS246" si="289">AQ127*($AP$246/360)</f>
        <v>0</v>
      </c>
      <c r="AR246" s="1709">
        <f t="shared" si="289"/>
        <v>0</v>
      </c>
      <c r="AS246" s="1709">
        <f t="shared" si="289"/>
        <v>0</v>
      </c>
      <c r="AT246" s="1709">
        <f t="shared" si="289"/>
        <v>0</v>
      </c>
      <c r="AU246" s="1709">
        <f t="shared" si="289"/>
        <v>0</v>
      </c>
      <c r="AV246" s="1709">
        <f t="shared" si="289"/>
        <v>0</v>
      </c>
      <c r="AW246" s="1709">
        <f t="shared" si="289"/>
        <v>0</v>
      </c>
      <c r="AX246" s="1709">
        <f t="shared" si="289"/>
        <v>0</v>
      </c>
      <c r="AY246" s="1709">
        <f t="shared" si="289"/>
        <v>0</v>
      </c>
      <c r="AZ246" s="1709">
        <f t="shared" si="289"/>
        <v>0</v>
      </c>
      <c r="BA246" s="1709">
        <f t="shared" si="289"/>
        <v>0</v>
      </c>
      <c r="BB246" s="1709">
        <f t="shared" si="289"/>
        <v>0</v>
      </c>
      <c r="BC246" s="1709">
        <f t="shared" si="289"/>
        <v>0</v>
      </c>
      <c r="BD246" s="1709">
        <f t="shared" si="289"/>
        <v>0</v>
      </c>
      <c r="BE246" s="1709">
        <f t="shared" si="289"/>
        <v>0</v>
      </c>
      <c r="BF246" s="1709">
        <f t="shared" si="289"/>
        <v>0</v>
      </c>
      <c r="BG246" s="1709">
        <f t="shared" si="289"/>
        <v>0</v>
      </c>
      <c r="BH246" s="1709">
        <f t="shared" si="289"/>
        <v>0</v>
      </c>
      <c r="BI246" s="1709">
        <f t="shared" si="289"/>
        <v>0</v>
      </c>
      <c r="BJ246" s="1709">
        <f t="shared" si="289"/>
        <v>0</v>
      </c>
      <c r="BK246" s="1709">
        <f t="shared" si="289"/>
        <v>0</v>
      </c>
      <c r="BL246" s="1709">
        <f t="shared" si="289"/>
        <v>0</v>
      </c>
      <c r="BM246" s="1709">
        <f t="shared" si="289"/>
        <v>0</v>
      </c>
      <c r="BN246" s="1709">
        <f t="shared" si="289"/>
        <v>0</v>
      </c>
      <c r="BO246" s="1709">
        <f t="shared" si="289"/>
        <v>0</v>
      </c>
      <c r="BP246" s="1709">
        <f t="shared" si="289"/>
        <v>0</v>
      </c>
      <c r="BQ246" s="1709">
        <f t="shared" si="289"/>
        <v>0</v>
      </c>
      <c r="BR246" s="1709">
        <f t="shared" si="289"/>
        <v>0</v>
      </c>
      <c r="BS246" s="2881">
        <f t="shared" si="289"/>
        <v>0</v>
      </c>
      <c r="BT246" s="1478"/>
      <c r="BU246" s="1070"/>
      <c r="BV246" s="1070"/>
      <c r="BW246" s="1070"/>
    </row>
    <row r="247" spans="1:75" outlineLevel="1" x14ac:dyDescent="0.3">
      <c r="A247" s="1527"/>
      <c r="B247" s="1149" t="s">
        <v>675</v>
      </c>
      <c r="C247" s="1082"/>
      <c r="D247" s="1142"/>
      <c r="E247" s="1142"/>
      <c r="F247" s="2882"/>
      <c r="G247" s="2883">
        <f>-G246</f>
        <v>0</v>
      </c>
      <c r="H247" s="2884">
        <f>G246-H246</f>
        <v>0</v>
      </c>
      <c r="I247" s="2884">
        <f t="shared" ref="I247:AI247" si="290">H246-I246</f>
        <v>0</v>
      </c>
      <c r="J247" s="2884">
        <f t="shared" si="290"/>
        <v>0</v>
      </c>
      <c r="K247" s="2884">
        <f t="shared" si="290"/>
        <v>0</v>
      </c>
      <c r="L247" s="2884">
        <f t="shared" si="290"/>
        <v>-2546.3783591136003</v>
      </c>
      <c r="M247" s="2884">
        <f t="shared" si="290"/>
        <v>-3346.0664181621255</v>
      </c>
      <c r="N247" s="2884">
        <f t="shared" si="290"/>
        <v>-5340.3838927686638</v>
      </c>
      <c r="O247" s="2884">
        <f t="shared" si="290"/>
        <v>-5621.4622341886788</v>
      </c>
      <c r="P247" s="2884">
        <f t="shared" si="290"/>
        <v>-4128.3700952440522</v>
      </c>
      <c r="Q247" s="2884">
        <f t="shared" si="290"/>
        <v>-2371.7292978096229</v>
      </c>
      <c r="R247" s="2884">
        <f t="shared" si="290"/>
        <v>-1967.6963336739536</v>
      </c>
      <c r="S247" s="2884">
        <f t="shared" si="290"/>
        <v>-3734.6994506993469</v>
      </c>
      <c r="T247" s="2884">
        <f t="shared" si="290"/>
        <v>-1319.5433734181024</v>
      </c>
      <c r="U247" s="2884">
        <f t="shared" si="290"/>
        <v>-6184.6206770539029</v>
      </c>
      <c r="V247" s="2884">
        <f t="shared" si="290"/>
        <v>-4465.2338268738677</v>
      </c>
      <c r="W247" s="2884">
        <f t="shared" si="290"/>
        <v>-6136.7962332045136</v>
      </c>
      <c r="X247" s="2884">
        <f t="shared" si="290"/>
        <v>8542.7302057129491</v>
      </c>
      <c r="Y247" s="2884">
        <f t="shared" si="290"/>
        <v>38620.249986497482</v>
      </c>
      <c r="Z247" s="2884">
        <f t="shared" si="290"/>
        <v>0</v>
      </c>
      <c r="AA247" s="2884">
        <f t="shared" si="290"/>
        <v>0</v>
      </c>
      <c r="AB247" s="2884">
        <f t="shared" si="290"/>
        <v>0</v>
      </c>
      <c r="AC247" s="2884">
        <f t="shared" si="290"/>
        <v>0</v>
      </c>
      <c r="AD247" s="2884">
        <f t="shared" si="290"/>
        <v>0</v>
      </c>
      <c r="AE247" s="2884">
        <f t="shared" si="290"/>
        <v>0</v>
      </c>
      <c r="AF247" s="2884">
        <f t="shared" si="290"/>
        <v>0</v>
      </c>
      <c r="AG247" s="2884">
        <f t="shared" si="290"/>
        <v>0</v>
      </c>
      <c r="AH247" s="2884">
        <f t="shared" si="290"/>
        <v>0</v>
      </c>
      <c r="AI247" s="2885">
        <f t="shared" si="290"/>
        <v>0</v>
      </c>
      <c r="AJ247" s="1476"/>
      <c r="AK247" s="1142"/>
      <c r="AL247" s="1142"/>
      <c r="AM247" s="1149" t="str">
        <f>B247</f>
        <v>Receivables - (Use) / Source</v>
      </c>
      <c r="AN247" s="1142"/>
      <c r="AO247" s="1742"/>
      <c r="AP247" s="2041"/>
      <c r="AQ247" s="2884">
        <f>-AQ246</f>
        <v>0</v>
      </c>
      <c r="AR247" s="2884">
        <f>AQ246-AR246</f>
        <v>0</v>
      </c>
      <c r="AS247" s="2884">
        <f t="shared" ref="AS247:BS247" si="291">AR246-AS246</f>
        <v>0</v>
      </c>
      <c r="AT247" s="2884">
        <f t="shared" si="291"/>
        <v>0</v>
      </c>
      <c r="AU247" s="2884">
        <f t="shared" si="291"/>
        <v>0</v>
      </c>
      <c r="AV247" s="2884">
        <f t="shared" si="291"/>
        <v>0</v>
      </c>
      <c r="AW247" s="2884">
        <f t="shared" si="291"/>
        <v>0</v>
      </c>
      <c r="AX247" s="2884">
        <f t="shared" si="291"/>
        <v>0</v>
      </c>
      <c r="AY247" s="2884">
        <f t="shared" si="291"/>
        <v>0</v>
      </c>
      <c r="AZ247" s="2884">
        <f t="shared" si="291"/>
        <v>0</v>
      </c>
      <c r="BA247" s="2884">
        <f t="shared" si="291"/>
        <v>0</v>
      </c>
      <c r="BB247" s="2884">
        <f t="shared" si="291"/>
        <v>0</v>
      </c>
      <c r="BC247" s="2884">
        <f t="shared" si="291"/>
        <v>0</v>
      </c>
      <c r="BD247" s="2884">
        <f t="shared" si="291"/>
        <v>0</v>
      </c>
      <c r="BE247" s="2884">
        <f t="shared" si="291"/>
        <v>0</v>
      </c>
      <c r="BF247" s="2884">
        <f t="shared" si="291"/>
        <v>0</v>
      </c>
      <c r="BG247" s="2884">
        <f t="shared" si="291"/>
        <v>0</v>
      </c>
      <c r="BH247" s="2884">
        <f t="shared" si="291"/>
        <v>0</v>
      </c>
      <c r="BI247" s="2884">
        <f t="shared" si="291"/>
        <v>0</v>
      </c>
      <c r="BJ247" s="2884">
        <f t="shared" si="291"/>
        <v>0</v>
      </c>
      <c r="BK247" s="2884">
        <f t="shared" si="291"/>
        <v>0</v>
      </c>
      <c r="BL247" s="2884">
        <f t="shared" si="291"/>
        <v>0</v>
      </c>
      <c r="BM247" s="2884">
        <f t="shared" si="291"/>
        <v>0</v>
      </c>
      <c r="BN247" s="2884">
        <f t="shared" si="291"/>
        <v>0</v>
      </c>
      <c r="BO247" s="2884">
        <f t="shared" si="291"/>
        <v>0</v>
      </c>
      <c r="BP247" s="2884">
        <f t="shared" si="291"/>
        <v>0</v>
      </c>
      <c r="BQ247" s="2884">
        <f t="shared" si="291"/>
        <v>0</v>
      </c>
      <c r="BR247" s="2884">
        <f t="shared" si="291"/>
        <v>0</v>
      </c>
      <c r="BS247" s="2885">
        <f t="shared" si="291"/>
        <v>0</v>
      </c>
      <c r="BT247" s="1478"/>
      <c r="BU247" s="1070"/>
      <c r="BV247" s="1070"/>
      <c r="BW247" s="1070"/>
    </row>
    <row r="248" spans="1:75" outlineLevel="1" x14ac:dyDescent="0.3">
      <c r="A248" s="1527"/>
      <c r="B248" s="1149"/>
      <c r="C248" s="1082"/>
      <c r="D248" s="1142"/>
      <c r="E248" s="1142"/>
      <c r="F248" s="2882"/>
      <c r="G248" s="1741"/>
      <c r="H248" s="1142"/>
      <c r="I248" s="1142"/>
      <c r="J248" s="1142"/>
      <c r="K248" s="1142"/>
      <c r="L248" s="1142"/>
      <c r="M248" s="1142"/>
      <c r="N248" s="1142"/>
      <c r="O248" s="1142"/>
      <c r="P248" s="1142"/>
      <c r="Q248" s="1142"/>
      <c r="R248" s="1142"/>
      <c r="S248" s="1142"/>
      <c r="T248" s="1142"/>
      <c r="U248" s="1142"/>
      <c r="V248" s="1142"/>
      <c r="W248" s="1142"/>
      <c r="X248" s="1142"/>
      <c r="Y248" s="1142"/>
      <c r="Z248" s="1142"/>
      <c r="AA248" s="1142"/>
      <c r="AB248" s="1142"/>
      <c r="AC248" s="1142"/>
      <c r="AD248" s="1142"/>
      <c r="AE248" s="1142"/>
      <c r="AF248" s="1142"/>
      <c r="AG248" s="1142"/>
      <c r="AH248" s="1142"/>
      <c r="AI248" s="1437"/>
      <c r="AJ248" s="1476"/>
      <c r="AK248" s="1142"/>
      <c r="AL248" s="1142"/>
      <c r="AM248" s="1149"/>
      <c r="AN248" s="1142"/>
      <c r="AO248" s="1742"/>
      <c r="AP248" s="2041"/>
      <c r="AQ248" s="1142"/>
      <c r="AR248" s="1142"/>
      <c r="AS248" s="1142"/>
      <c r="AT248" s="1142"/>
      <c r="AU248" s="1142"/>
      <c r="AV248" s="1142"/>
      <c r="AW248" s="1142"/>
      <c r="AX248" s="1142"/>
      <c r="AY248" s="1142"/>
      <c r="AZ248" s="1142"/>
      <c r="BA248" s="1142"/>
      <c r="BB248" s="1142"/>
      <c r="BC248" s="1142"/>
      <c r="BD248" s="1142"/>
      <c r="BE248" s="1142"/>
      <c r="BF248" s="1142"/>
      <c r="BG248" s="1142"/>
      <c r="BH248" s="1142"/>
      <c r="BI248" s="1142"/>
      <c r="BJ248" s="1142"/>
      <c r="BK248" s="1142"/>
      <c r="BL248" s="1142"/>
      <c r="BM248" s="1142"/>
      <c r="BN248" s="1142"/>
      <c r="BO248" s="1142"/>
      <c r="BP248" s="1142"/>
      <c r="BQ248" s="1142"/>
      <c r="BR248" s="1142"/>
      <c r="BS248" s="1437"/>
      <c r="BT248" s="1478"/>
      <c r="BU248" s="1070"/>
      <c r="BV248" s="1070"/>
      <c r="BW248" s="1070"/>
    </row>
    <row r="249" spans="1:75" outlineLevel="1" x14ac:dyDescent="0.3">
      <c r="A249" s="1527"/>
      <c r="B249" s="1149" t="s">
        <v>1720</v>
      </c>
      <c r="C249" s="2878"/>
      <c r="D249" s="1142"/>
      <c r="E249" s="1142"/>
      <c r="F249" s="2879">
        <f>Input!D77</f>
        <v>55</v>
      </c>
      <c r="G249" s="2880">
        <f>Calc!G131*(Calc!$F$249/360)</f>
        <v>0</v>
      </c>
      <c r="H249" s="1709">
        <f>Calc!H131*(Calc!$F$249/360)</f>
        <v>0</v>
      </c>
      <c r="I249" s="1709">
        <f>Calc!I131*(Calc!$F$249/360)</f>
        <v>0</v>
      </c>
      <c r="J249" s="1709">
        <f>Calc!J131*(Calc!$F$249/360)</f>
        <v>0</v>
      </c>
      <c r="K249" s="1709">
        <f>Calc!K131*(Calc!$F$249/360)</f>
        <v>0</v>
      </c>
      <c r="L249" s="1709">
        <f>Calc!L131*(Calc!$F$249/360)</f>
        <v>750.14930038752004</v>
      </c>
      <c r="M249" s="1709">
        <f>Calc!M131*(Calc!$F$249/360)</f>
        <v>1787.3308083711947</v>
      </c>
      <c r="N249" s="1709">
        <f>Calc!N131*(Calc!$F$249/360)</f>
        <v>3417.3919350068759</v>
      </c>
      <c r="O249" s="1709">
        <f>Calc!O131*(Calc!$F$249/360)</f>
        <v>5142.4210783771896</v>
      </c>
      <c r="P249" s="1709">
        <f>Calc!P131*(Calc!$F$249/360)</f>
        <v>6446.4496709295117</v>
      </c>
      <c r="Q249" s="1709">
        <f>Calc!Q131*(Calc!$F$249/360)</f>
        <v>7200.2187222170269</v>
      </c>
      <c r="R249" s="1709">
        <f>Calc!R131*(Calc!$F$249/360)</f>
        <v>8100.2145794795588</v>
      </c>
      <c r="S249" s="1709">
        <f>Calc!S131*(Calc!$F$249/360)</f>
        <v>9155.6181944721029</v>
      </c>
      <c r="T249" s="1709">
        <f>Calc!T131*(Calc!$F$249/360)</f>
        <v>9915.2807499220071</v>
      </c>
      <c r="U249" s="1709">
        <f>Calc!U131*(Calc!$F$249/360)</f>
        <v>11297.267533883594</v>
      </c>
      <c r="V249" s="1709">
        <f>Calc!V131*(Calc!$F$249/360)</f>
        <v>13146.638531923354</v>
      </c>
      <c r="W249" s="1709">
        <f>Calc!W131*(Calc!$F$249/360)</f>
        <v>15152.077294895153</v>
      </c>
      <c r="X249" s="1709">
        <f>Calc!X131*(Calc!$F$249/360)</f>
        <v>0</v>
      </c>
      <c r="Y249" s="1709">
        <f>Calc!Y131*(Calc!$F$249/360)</f>
        <v>0</v>
      </c>
      <c r="Z249" s="1709">
        <f>Calc!Z131*(Calc!$F$249/360)</f>
        <v>0</v>
      </c>
      <c r="AA249" s="1709">
        <f>Calc!AA131*(Calc!$F$249/360)</f>
        <v>0</v>
      </c>
      <c r="AB249" s="1709">
        <f>Calc!AB131*(Calc!$F$249/360)</f>
        <v>0</v>
      </c>
      <c r="AC249" s="1709">
        <f>Calc!AC131*(Calc!$F$249/360)</f>
        <v>0</v>
      </c>
      <c r="AD249" s="1709">
        <f>Calc!AD131*(Calc!$F$249/360)</f>
        <v>0</v>
      </c>
      <c r="AE249" s="1709">
        <f>Calc!AE131*(Calc!$F$249/360)</f>
        <v>0</v>
      </c>
      <c r="AF249" s="1709">
        <f>Calc!AF131*(Calc!$F$249/360)</f>
        <v>0</v>
      </c>
      <c r="AG249" s="1709">
        <f>Calc!AG131*(Calc!$F$249/360)</f>
        <v>0</v>
      </c>
      <c r="AH249" s="1709">
        <f>Calc!AH131*(Calc!$F$249/360)</f>
        <v>0</v>
      </c>
      <c r="AI249" s="2881">
        <f>Calc!AI131*(Calc!$F$249/360)</f>
        <v>0</v>
      </c>
      <c r="AJ249" s="1476"/>
      <c r="AK249" s="1142"/>
      <c r="AL249" s="1142"/>
      <c r="AM249" s="1149" t="str">
        <f t="shared" ref="AM249:AM250" si="292">B249</f>
        <v>Payables</v>
      </c>
      <c r="AN249" s="1142"/>
      <c r="AO249" s="1742"/>
      <c r="AP249" s="2882">
        <f>Input!D77</f>
        <v>55</v>
      </c>
      <c r="AQ249" s="1709">
        <f>Calc!AQ131*(Calc!$AP$249/360)</f>
        <v>0</v>
      </c>
      <c r="AR249" s="1709">
        <f>Calc!AR131*(Calc!$AP$249/360)</f>
        <v>0</v>
      </c>
      <c r="AS249" s="1709">
        <f>Calc!AS131*(Calc!$AP$249/360)</f>
        <v>0</v>
      </c>
      <c r="AT249" s="1709">
        <f>Calc!AT131*(Calc!$AP$249/360)</f>
        <v>0</v>
      </c>
      <c r="AU249" s="1709">
        <f>Calc!AU131*(Calc!$AP$249/360)</f>
        <v>0</v>
      </c>
      <c r="AV249" s="1709">
        <f>Calc!AV131*(Calc!$AP$249/360)</f>
        <v>0</v>
      </c>
      <c r="AW249" s="1709">
        <f>Calc!AW131*(Calc!$AP$249/360)</f>
        <v>0</v>
      </c>
      <c r="AX249" s="1709">
        <f>Calc!AX131*(Calc!$AP$249/360)</f>
        <v>0</v>
      </c>
      <c r="AY249" s="1709">
        <f>Calc!AY131*(Calc!$AP$249/360)</f>
        <v>0</v>
      </c>
      <c r="AZ249" s="1709">
        <f>Calc!AZ131*(Calc!$AP$249/360)</f>
        <v>0</v>
      </c>
      <c r="BA249" s="1709">
        <f>Calc!BA131*(Calc!$AP$249/360)</f>
        <v>0</v>
      </c>
      <c r="BB249" s="1709">
        <f>Calc!BB131*(Calc!$AP$249/360)</f>
        <v>0</v>
      </c>
      <c r="BC249" s="1709">
        <f>Calc!BC131*(Calc!$AP$249/360)</f>
        <v>0</v>
      </c>
      <c r="BD249" s="1709">
        <f>Calc!BD131*(Calc!$AP$249/360)</f>
        <v>0</v>
      </c>
      <c r="BE249" s="1709">
        <f>Calc!BE131*(Calc!$AP$249/360)</f>
        <v>0</v>
      </c>
      <c r="BF249" s="1709">
        <f>Calc!BF131*(Calc!$AP$249/360)</f>
        <v>0</v>
      </c>
      <c r="BG249" s="1709">
        <f>Calc!BG131*(Calc!$AP$249/360)</f>
        <v>0</v>
      </c>
      <c r="BH249" s="1709">
        <f>Calc!BH131*(Calc!$AP$249/360)</f>
        <v>0</v>
      </c>
      <c r="BI249" s="1709">
        <f>Calc!BI131*(Calc!$AP$249/360)</f>
        <v>0</v>
      </c>
      <c r="BJ249" s="1709">
        <f>Calc!BJ131*(Calc!$AP$249/360)</f>
        <v>0</v>
      </c>
      <c r="BK249" s="1709">
        <f>Calc!BK131*(Calc!$AP$249/360)</f>
        <v>0</v>
      </c>
      <c r="BL249" s="1709">
        <f>Calc!BL131*(Calc!$AP$249/360)</f>
        <v>0</v>
      </c>
      <c r="BM249" s="1709">
        <f>Calc!BM131*(Calc!$AP$249/360)</f>
        <v>0</v>
      </c>
      <c r="BN249" s="1709">
        <f>Calc!BN131*(Calc!$AP$249/360)</f>
        <v>0</v>
      </c>
      <c r="BO249" s="1709">
        <f>Calc!BO131*(Calc!$AP$249/360)</f>
        <v>0</v>
      </c>
      <c r="BP249" s="1709">
        <f>Calc!BP131*(Calc!$AP$249/360)</f>
        <v>0</v>
      </c>
      <c r="BQ249" s="1709">
        <f>Calc!BQ131*(Calc!$AP$249/360)</f>
        <v>0</v>
      </c>
      <c r="BR249" s="1709">
        <f>Calc!BR131*(Calc!$AP$249/360)</f>
        <v>0</v>
      </c>
      <c r="BS249" s="2881">
        <f>Calc!BS131*(Calc!$AP$249/360)</f>
        <v>0</v>
      </c>
      <c r="BT249" s="1478"/>
      <c r="BU249" s="1070"/>
      <c r="BV249" s="1070"/>
      <c r="BW249" s="1070"/>
    </row>
    <row r="250" spans="1:75" outlineLevel="1" x14ac:dyDescent="0.3">
      <c r="A250" s="1527"/>
      <c r="B250" s="1149" t="s">
        <v>450</v>
      </c>
      <c r="C250" s="1082"/>
      <c r="D250" s="1142"/>
      <c r="E250" s="1142"/>
      <c r="F250" s="2882"/>
      <c r="G250" s="2883">
        <f>-G249</f>
        <v>0</v>
      </c>
      <c r="H250" s="2884">
        <f>G249-H249</f>
        <v>0</v>
      </c>
      <c r="I250" s="2884">
        <f t="shared" ref="I250:AI250" si="293">H249-I249</f>
        <v>0</v>
      </c>
      <c r="J250" s="2884">
        <f t="shared" si="293"/>
        <v>0</v>
      </c>
      <c r="K250" s="2884">
        <f t="shared" si="293"/>
        <v>0</v>
      </c>
      <c r="L250" s="2884">
        <f t="shared" si="293"/>
        <v>-750.14930038752004</v>
      </c>
      <c r="M250" s="2884">
        <f t="shared" si="293"/>
        <v>-1037.1815079836747</v>
      </c>
      <c r="N250" s="2884">
        <f t="shared" si="293"/>
        <v>-1630.0611266356811</v>
      </c>
      <c r="O250" s="2884">
        <f t="shared" si="293"/>
        <v>-1725.0291433703137</v>
      </c>
      <c r="P250" s="2884">
        <f t="shared" si="293"/>
        <v>-1304.0285925523222</v>
      </c>
      <c r="Q250" s="2884">
        <f t="shared" si="293"/>
        <v>-753.76905128751514</v>
      </c>
      <c r="R250" s="2884">
        <f t="shared" si="293"/>
        <v>-899.9958572625319</v>
      </c>
      <c r="S250" s="2884">
        <f t="shared" si="293"/>
        <v>-1055.4036149925441</v>
      </c>
      <c r="T250" s="2884">
        <f t="shared" si="293"/>
        <v>-759.66255544990418</v>
      </c>
      <c r="U250" s="2884">
        <f t="shared" si="293"/>
        <v>-1381.9867839615872</v>
      </c>
      <c r="V250" s="2884">
        <f t="shared" si="293"/>
        <v>-1849.3709980397598</v>
      </c>
      <c r="W250" s="2884">
        <f t="shared" si="293"/>
        <v>-2005.4387629717985</v>
      </c>
      <c r="X250" s="2884">
        <f t="shared" si="293"/>
        <v>15152.077294895153</v>
      </c>
      <c r="Y250" s="2884">
        <f t="shared" si="293"/>
        <v>0</v>
      </c>
      <c r="Z250" s="2884">
        <f t="shared" si="293"/>
        <v>0</v>
      </c>
      <c r="AA250" s="2884">
        <f t="shared" si="293"/>
        <v>0</v>
      </c>
      <c r="AB250" s="2884">
        <f t="shared" si="293"/>
        <v>0</v>
      </c>
      <c r="AC250" s="2884">
        <f t="shared" si="293"/>
        <v>0</v>
      </c>
      <c r="AD250" s="2884">
        <f t="shared" si="293"/>
        <v>0</v>
      </c>
      <c r="AE250" s="2884">
        <f t="shared" si="293"/>
        <v>0</v>
      </c>
      <c r="AF250" s="2884">
        <f t="shared" si="293"/>
        <v>0</v>
      </c>
      <c r="AG250" s="2884">
        <f t="shared" si="293"/>
        <v>0</v>
      </c>
      <c r="AH250" s="2884">
        <f t="shared" si="293"/>
        <v>0</v>
      </c>
      <c r="AI250" s="2885">
        <f t="shared" si="293"/>
        <v>0</v>
      </c>
      <c r="AJ250" s="1476"/>
      <c r="AK250" s="1142"/>
      <c r="AL250" s="1142"/>
      <c r="AM250" s="1149" t="str">
        <f t="shared" si="292"/>
        <v>Payables - Use / (Source)</v>
      </c>
      <c r="AN250" s="1142"/>
      <c r="AO250" s="1742"/>
      <c r="AP250" s="2041"/>
      <c r="AQ250" s="2884">
        <f>-AQ249</f>
        <v>0</v>
      </c>
      <c r="AR250" s="2884">
        <f>AQ249-AR249</f>
        <v>0</v>
      </c>
      <c r="AS250" s="2884">
        <f t="shared" ref="AS250:BS250" si="294">AR249-AS249</f>
        <v>0</v>
      </c>
      <c r="AT250" s="2884">
        <f t="shared" si="294"/>
        <v>0</v>
      </c>
      <c r="AU250" s="2884">
        <f t="shared" si="294"/>
        <v>0</v>
      </c>
      <c r="AV250" s="2884">
        <f t="shared" si="294"/>
        <v>0</v>
      </c>
      <c r="AW250" s="2884">
        <f t="shared" si="294"/>
        <v>0</v>
      </c>
      <c r="AX250" s="2884">
        <f t="shared" si="294"/>
        <v>0</v>
      </c>
      <c r="AY250" s="2884">
        <f t="shared" si="294"/>
        <v>0</v>
      </c>
      <c r="AZ250" s="2884">
        <f t="shared" si="294"/>
        <v>0</v>
      </c>
      <c r="BA250" s="2884">
        <f t="shared" si="294"/>
        <v>0</v>
      </c>
      <c r="BB250" s="2884">
        <f t="shared" si="294"/>
        <v>0</v>
      </c>
      <c r="BC250" s="2884">
        <f t="shared" si="294"/>
        <v>0</v>
      </c>
      <c r="BD250" s="2884">
        <f t="shared" si="294"/>
        <v>0</v>
      </c>
      <c r="BE250" s="2884">
        <f t="shared" si="294"/>
        <v>0</v>
      </c>
      <c r="BF250" s="2884">
        <f t="shared" si="294"/>
        <v>0</v>
      </c>
      <c r="BG250" s="2884">
        <f t="shared" si="294"/>
        <v>0</v>
      </c>
      <c r="BH250" s="2884">
        <f t="shared" si="294"/>
        <v>0</v>
      </c>
      <c r="BI250" s="2884">
        <f t="shared" si="294"/>
        <v>0</v>
      </c>
      <c r="BJ250" s="2884">
        <f t="shared" si="294"/>
        <v>0</v>
      </c>
      <c r="BK250" s="2884">
        <f t="shared" si="294"/>
        <v>0</v>
      </c>
      <c r="BL250" s="2884">
        <f t="shared" si="294"/>
        <v>0</v>
      </c>
      <c r="BM250" s="2884">
        <f t="shared" si="294"/>
        <v>0</v>
      </c>
      <c r="BN250" s="2884">
        <f t="shared" si="294"/>
        <v>0</v>
      </c>
      <c r="BO250" s="2884">
        <f t="shared" si="294"/>
        <v>0</v>
      </c>
      <c r="BP250" s="2884">
        <f t="shared" si="294"/>
        <v>0</v>
      </c>
      <c r="BQ250" s="2884">
        <f t="shared" si="294"/>
        <v>0</v>
      </c>
      <c r="BR250" s="2884">
        <f t="shared" si="294"/>
        <v>0</v>
      </c>
      <c r="BS250" s="2885">
        <f t="shared" si="294"/>
        <v>0</v>
      </c>
      <c r="BT250" s="1478"/>
      <c r="BU250" s="1070"/>
      <c r="BV250" s="1070"/>
      <c r="BW250" s="1070"/>
    </row>
    <row r="251" spans="1:75" outlineLevel="1" x14ac:dyDescent="0.3">
      <c r="A251" s="1527"/>
      <c r="B251" s="1149"/>
      <c r="C251" s="1082"/>
      <c r="D251" s="1142"/>
      <c r="E251" s="1142"/>
      <c r="F251" s="2882"/>
      <c r="G251" s="1741"/>
      <c r="H251" s="1142"/>
      <c r="I251" s="1142"/>
      <c r="J251" s="1142"/>
      <c r="K251" s="1142"/>
      <c r="L251" s="1142"/>
      <c r="M251" s="1142"/>
      <c r="N251" s="1142"/>
      <c r="O251" s="1142"/>
      <c r="P251" s="1142"/>
      <c r="Q251" s="1142"/>
      <c r="R251" s="1142"/>
      <c r="S251" s="1142"/>
      <c r="T251" s="1142"/>
      <c r="U251" s="1142"/>
      <c r="V251" s="1142"/>
      <c r="W251" s="1142"/>
      <c r="X251" s="1142"/>
      <c r="Y251" s="1142"/>
      <c r="Z251" s="1142"/>
      <c r="AA251" s="1142"/>
      <c r="AB251" s="1142"/>
      <c r="AC251" s="1142"/>
      <c r="AD251" s="1142"/>
      <c r="AE251" s="1142"/>
      <c r="AF251" s="1142"/>
      <c r="AG251" s="1142"/>
      <c r="AH251" s="1142"/>
      <c r="AI251" s="1437"/>
      <c r="AJ251" s="1476"/>
      <c r="AK251" s="1142"/>
      <c r="AL251" s="1142"/>
      <c r="AM251" s="1149"/>
      <c r="AN251" s="1142"/>
      <c r="AO251" s="1742"/>
      <c r="AP251" s="2041"/>
      <c r="AQ251" s="1142"/>
      <c r="AR251" s="1142"/>
      <c r="AS251" s="1142"/>
      <c r="AT251" s="1142"/>
      <c r="AU251" s="1142"/>
      <c r="AV251" s="1142"/>
      <c r="AW251" s="1142"/>
      <c r="AX251" s="1142"/>
      <c r="AY251" s="1142"/>
      <c r="AZ251" s="1142"/>
      <c r="BA251" s="1142"/>
      <c r="BB251" s="1142"/>
      <c r="BC251" s="1142"/>
      <c r="BD251" s="1142"/>
      <c r="BE251" s="1142"/>
      <c r="BF251" s="1142"/>
      <c r="BG251" s="1142"/>
      <c r="BH251" s="1142"/>
      <c r="BI251" s="1142"/>
      <c r="BJ251" s="1142"/>
      <c r="BK251" s="1142"/>
      <c r="BL251" s="1142"/>
      <c r="BM251" s="1142"/>
      <c r="BN251" s="1142"/>
      <c r="BO251" s="1142"/>
      <c r="BP251" s="1142"/>
      <c r="BQ251" s="1142"/>
      <c r="BR251" s="1142"/>
      <c r="BS251" s="1437"/>
      <c r="BT251" s="1478"/>
      <c r="BU251" s="1070"/>
      <c r="BV251" s="1070"/>
      <c r="BW251" s="1070"/>
    </row>
    <row r="252" spans="1:75" outlineLevel="1" x14ac:dyDescent="0.3">
      <c r="A252" s="1527"/>
      <c r="B252" s="1149" t="s">
        <v>1721</v>
      </c>
      <c r="C252" s="2878"/>
      <c r="D252" s="1142"/>
      <c r="E252" s="1142"/>
      <c r="F252" s="2879">
        <f>Input!D78</f>
        <v>100</v>
      </c>
      <c r="G252" s="2880">
        <f>Calc!G131*(Calc!$F$252/360)</f>
        <v>0</v>
      </c>
      <c r="H252" s="1709">
        <f>Calc!H131*(Calc!$F$252/360)</f>
        <v>0</v>
      </c>
      <c r="I252" s="1709">
        <f>Calc!I131*(Calc!$F$252/360)</f>
        <v>0</v>
      </c>
      <c r="J252" s="1709">
        <f>Calc!J131*(Calc!$F$252/360)</f>
        <v>0</v>
      </c>
      <c r="K252" s="1709">
        <f>Calc!K131*(Calc!$F$252/360)</f>
        <v>0</v>
      </c>
      <c r="L252" s="1709">
        <f>Calc!L131*(Calc!$F$252/360)</f>
        <v>1363.9078188864</v>
      </c>
      <c r="M252" s="1709">
        <f>Calc!M131*(Calc!$F$252/360)</f>
        <v>3249.6923788567178</v>
      </c>
      <c r="N252" s="1709">
        <f>Calc!N131*(Calc!$F$252/360)</f>
        <v>6213.4398818306827</v>
      </c>
      <c r="O252" s="1709">
        <f>Calc!O131*(Calc!$F$252/360)</f>
        <v>9349.8565061403442</v>
      </c>
      <c r="P252" s="1709">
        <f>Calc!P131*(Calc!$F$252/360)</f>
        <v>11720.817583508204</v>
      </c>
      <c r="Q252" s="1709">
        <f>Calc!Q131*(Calc!$F$252/360)</f>
        <v>13091.30676766732</v>
      </c>
      <c r="R252" s="1709">
        <f>Calc!R131*(Calc!$F$252/360)</f>
        <v>14727.662871781014</v>
      </c>
      <c r="S252" s="1709">
        <f>Calc!S131*(Calc!$F$252/360)</f>
        <v>16646.578535403823</v>
      </c>
      <c r="T252" s="1709">
        <f>Calc!T131*(Calc!$F$252/360)</f>
        <v>18027.783181676376</v>
      </c>
      <c r="U252" s="1709">
        <f>Calc!U131*(Calc!$F$252/360)</f>
        <v>20540.486425242896</v>
      </c>
      <c r="V252" s="1709">
        <f>Calc!V131*(Calc!$F$252/360)</f>
        <v>23902.979148951552</v>
      </c>
      <c r="W252" s="1709">
        <f>Calc!W131*(Calc!$F$252/360)</f>
        <v>27549.231445263915</v>
      </c>
      <c r="X252" s="1709">
        <f>Calc!X131*(Calc!$F$252/360)</f>
        <v>0</v>
      </c>
      <c r="Y252" s="1709">
        <f>Calc!Y131*(Calc!$F$252/360)</f>
        <v>0</v>
      </c>
      <c r="Z252" s="1709">
        <f>Calc!Z131*(Calc!$F$252/360)</f>
        <v>0</v>
      </c>
      <c r="AA252" s="1709">
        <f>Calc!AA131*(Calc!$F$252/360)</f>
        <v>0</v>
      </c>
      <c r="AB252" s="1709">
        <f>Calc!AB131*(Calc!$F$252/360)</f>
        <v>0</v>
      </c>
      <c r="AC252" s="1709">
        <f>Calc!AC131*(Calc!$F$252/360)</f>
        <v>0</v>
      </c>
      <c r="AD252" s="1709">
        <f>Calc!AD131*(Calc!$F$252/360)</f>
        <v>0</v>
      </c>
      <c r="AE252" s="1709">
        <f>Calc!AE131*(Calc!$F$252/360)</f>
        <v>0</v>
      </c>
      <c r="AF252" s="1709">
        <f>Calc!AF131*(Calc!$F$252/360)</f>
        <v>0</v>
      </c>
      <c r="AG252" s="1709">
        <f>Calc!AG131*(Calc!$F$252/360)</f>
        <v>0</v>
      </c>
      <c r="AH252" s="1709">
        <f>Calc!AH131*(Calc!$F$252/360)</f>
        <v>0</v>
      </c>
      <c r="AI252" s="2881">
        <f>Calc!AI131*(Calc!$F$252/360)</f>
        <v>0</v>
      </c>
      <c r="AJ252" s="1476"/>
      <c r="AK252" s="1142"/>
      <c r="AL252" s="1142"/>
      <c r="AM252" s="1149" t="str">
        <f t="shared" ref="AM252:AM253" si="295">B252</f>
        <v>Inventories</v>
      </c>
      <c r="AN252" s="1142"/>
      <c r="AO252" s="1742"/>
      <c r="AP252" s="2882">
        <f>Input!D78</f>
        <v>100</v>
      </c>
      <c r="AQ252" s="1709">
        <f>Calc!AQ131*(Calc!$AP$252/360)</f>
        <v>0</v>
      </c>
      <c r="AR252" s="1709">
        <f>Calc!AR131*(Calc!$AP$252/360)</f>
        <v>0</v>
      </c>
      <c r="AS252" s="1709">
        <f>Calc!AS131*(Calc!$AP$252/360)</f>
        <v>0</v>
      </c>
      <c r="AT252" s="1709">
        <f>Calc!AT131*(Calc!$AP$252/360)</f>
        <v>0</v>
      </c>
      <c r="AU252" s="1709">
        <f>Calc!AU131*(Calc!$AP$252/360)</f>
        <v>0</v>
      </c>
      <c r="AV252" s="1709">
        <f>Calc!AV131*(Calc!$AP$252/360)</f>
        <v>0</v>
      </c>
      <c r="AW252" s="1709">
        <f>Calc!AW131*(Calc!$AP$252/360)</f>
        <v>0</v>
      </c>
      <c r="AX252" s="1709">
        <f>Calc!AX131*(Calc!$AP$252/360)</f>
        <v>0</v>
      </c>
      <c r="AY252" s="1709">
        <f>Calc!AY131*(Calc!$AP$252/360)</f>
        <v>0</v>
      </c>
      <c r="AZ252" s="1709">
        <f>Calc!AZ131*(Calc!$AP$252/360)</f>
        <v>0</v>
      </c>
      <c r="BA252" s="1709">
        <f>Calc!BA131*(Calc!$AP$252/360)</f>
        <v>0</v>
      </c>
      <c r="BB252" s="1709">
        <f>Calc!BB131*(Calc!$AP$252/360)</f>
        <v>0</v>
      </c>
      <c r="BC252" s="1709">
        <f>Calc!BC131*(Calc!$AP$252/360)</f>
        <v>0</v>
      </c>
      <c r="BD252" s="1709">
        <f>Calc!BD131*(Calc!$AP$252/360)</f>
        <v>0</v>
      </c>
      <c r="BE252" s="1709">
        <f>Calc!BE131*(Calc!$AP$252/360)</f>
        <v>0</v>
      </c>
      <c r="BF252" s="1709">
        <f>Calc!BF131*(Calc!$AP$252/360)</f>
        <v>0</v>
      </c>
      <c r="BG252" s="1709">
        <f>Calc!BG131*(Calc!$AP$252/360)</f>
        <v>0</v>
      </c>
      <c r="BH252" s="1709">
        <f>Calc!BH131*(Calc!$AP$252/360)</f>
        <v>0</v>
      </c>
      <c r="BI252" s="1709">
        <f>Calc!BI131*(Calc!$AP$252/360)</f>
        <v>0</v>
      </c>
      <c r="BJ252" s="1709">
        <f>Calc!BJ131*(Calc!$AP$252/360)</f>
        <v>0</v>
      </c>
      <c r="BK252" s="1709">
        <f>Calc!BK131*(Calc!$AP$252/360)</f>
        <v>0</v>
      </c>
      <c r="BL252" s="1709">
        <f>Calc!BL131*(Calc!$AP$252/360)</f>
        <v>0</v>
      </c>
      <c r="BM252" s="1709">
        <f>Calc!BM131*(Calc!$AP$252/360)</f>
        <v>0</v>
      </c>
      <c r="BN252" s="1709">
        <f>Calc!BN131*(Calc!$AP$252/360)</f>
        <v>0</v>
      </c>
      <c r="BO252" s="1709">
        <f>Calc!BO131*(Calc!$AP$252/360)</f>
        <v>0</v>
      </c>
      <c r="BP252" s="1709">
        <f>Calc!BP131*(Calc!$AP$252/360)</f>
        <v>0</v>
      </c>
      <c r="BQ252" s="1709">
        <f>Calc!BQ131*(Calc!$AP$252/360)</f>
        <v>0</v>
      </c>
      <c r="BR252" s="1709">
        <f>Calc!BR131*(Calc!$AP$252/360)</f>
        <v>0</v>
      </c>
      <c r="BS252" s="2881">
        <f>Calc!BS131*(Calc!$AP$252/360)</f>
        <v>0</v>
      </c>
      <c r="BT252" s="1478"/>
      <c r="BU252" s="1070"/>
      <c r="BV252" s="1070"/>
      <c r="BW252" s="1070"/>
    </row>
    <row r="253" spans="1:75" outlineLevel="1" x14ac:dyDescent="0.3">
      <c r="A253" s="1527"/>
      <c r="B253" s="1149" t="s">
        <v>676</v>
      </c>
      <c r="C253" s="1142"/>
      <c r="D253" s="1142"/>
      <c r="E253" s="1142"/>
      <c r="F253" s="2876"/>
      <c r="G253" s="2883">
        <f>-G252</f>
        <v>0</v>
      </c>
      <c r="H253" s="2884">
        <f>G252-H252</f>
        <v>0</v>
      </c>
      <c r="I253" s="2884">
        <f t="shared" ref="I253:AI253" si="296">H252-I252</f>
        <v>0</v>
      </c>
      <c r="J253" s="2884">
        <f t="shared" si="296"/>
        <v>0</v>
      </c>
      <c r="K253" s="2884">
        <f t="shared" si="296"/>
        <v>0</v>
      </c>
      <c r="L253" s="2884">
        <f t="shared" si="296"/>
        <v>-1363.9078188864</v>
      </c>
      <c r="M253" s="2884">
        <f t="shared" si="296"/>
        <v>-1885.7845599703178</v>
      </c>
      <c r="N253" s="2884">
        <f t="shared" si="296"/>
        <v>-2963.7475029739649</v>
      </c>
      <c r="O253" s="2884">
        <f t="shared" si="296"/>
        <v>-3136.4166243096615</v>
      </c>
      <c r="P253" s="2884">
        <f t="shared" si="296"/>
        <v>-2370.9610773678596</v>
      </c>
      <c r="Q253" s="2884">
        <f t="shared" si="296"/>
        <v>-1370.4891841591161</v>
      </c>
      <c r="R253" s="2884">
        <f t="shared" si="296"/>
        <v>-1636.3561041136945</v>
      </c>
      <c r="S253" s="2884">
        <f t="shared" si="296"/>
        <v>-1918.915663622809</v>
      </c>
      <c r="T253" s="2884">
        <f t="shared" si="296"/>
        <v>-1381.2046462725521</v>
      </c>
      <c r="U253" s="2884">
        <f t="shared" si="296"/>
        <v>-2512.7032435665205</v>
      </c>
      <c r="V253" s="2884">
        <f t="shared" si="296"/>
        <v>-3362.4927237086558</v>
      </c>
      <c r="W253" s="2884">
        <f t="shared" si="296"/>
        <v>-3646.2522963123629</v>
      </c>
      <c r="X253" s="2884">
        <f t="shared" si="296"/>
        <v>27549.231445263915</v>
      </c>
      <c r="Y253" s="2884">
        <f t="shared" si="296"/>
        <v>0</v>
      </c>
      <c r="Z253" s="2884">
        <f t="shared" si="296"/>
        <v>0</v>
      </c>
      <c r="AA253" s="2884">
        <f t="shared" si="296"/>
        <v>0</v>
      </c>
      <c r="AB253" s="2884">
        <f t="shared" si="296"/>
        <v>0</v>
      </c>
      <c r="AC253" s="2884">
        <f t="shared" si="296"/>
        <v>0</v>
      </c>
      <c r="AD253" s="2884">
        <f t="shared" si="296"/>
        <v>0</v>
      </c>
      <c r="AE253" s="2884">
        <f t="shared" si="296"/>
        <v>0</v>
      </c>
      <c r="AF253" s="2884">
        <f t="shared" si="296"/>
        <v>0</v>
      </c>
      <c r="AG253" s="2884">
        <f t="shared" si="296"/>
        <v>0</v>
      </c>
      <c r="AH253" s="2884">
        <f t="shared" si="296"/>
        <v>0</v>
      </c>
      <c r="AI253" s="2885">
        <f t="shared" si="296"/>
        <v>0</v>
      </c>
      <c r="AJ253" s="1476"/>
      <c r="AK253" s="1142"/>
      <c r="AL253" s="1142"/>
      <c r="AM253" s="1149" t="str">
        <f t="shared" si="295"/>
        <v>Inventories - (Use) / Source</v>
      </c>
      <c r="AN253" s="1142"/>
      <c r="AO253" s="1742"/>
      <c r="AP253" s="2876"/>
      <c r="AQ253" s="2884">
        <f>-AQ252</f>
        <v>0</v>
      </c>
      <c r="AR253" s="2884">
        <f>AQ252-AR252</f>
        <v>0</v>
      </c>
      <c r="AS253" s="2884">
        <f t="shared" ref="AS253:BS253" si="297">AR252-AS252</f>
        <v>0</v>
      </c>
      <c r="AT253" s="2884">
        <f t="shared" si="297"/>
        <v>0</v>
      </c>
      <c r="AU253" s="2884">
        <f t="shared" si="297"/>
        <v>0</v>
      </c>
      <c r="AV253" s="2884">
        <f t="shared" si="297"/>
        <v>0</v>
      </c>
      <c r="AW253" s="2884">
        <f t="shared" si="297"/>
        <v>0</v>
      </c>
      <c r="AX253" s="2884">
        <f t="shared" si="297"/>
        <v>0</v>
      </c>
      <c r="AY253" s="2884">
        <f t="shared" si="297"/>
        <v>0</v>
      </c>
      <c r="AZ253" s="2884">
        <f t="shared" si="297"/>
        <v>0</v>
      </c>
      <c r="BA253" s="2884">
        <f t="shared" si="297"/>
        <v>0</v>
      </c>
      <c r="BB253" s="2884">
        <f t="shared" si="297"/>
        <v>0</v>
      </c>
      <c r="BC253" s="2884">
        <f t="shared" si="297"/>
        <v>0</v>
      </c>
      <c r="BD253" s="2884">
        <f t="shared" si="297"/>
        <v>0</v>
      </c>
      <c r="BE253" s="2884">
        <f t="shared" si="297"/>
        <v>0</v>
      </c>
      <c r="BF253" s="2884">
        <f t="shared" si="297"/>
        <v>0</v>
      </c>
      <c r="BG253" s="2884">
        <f t="shared" si="297"/>
        <v>0</v>
      </c>
      <c r="BH253" s="2884">
        <f t="shared" si="297"/>
        <v>0</v>
      </c>
      <c r="BI253" s="2884">
        <f t="shared" si="297"/>
        <v>0</v>
      </c>
      <c r="BJ253" s="2884">
        <f t="shared" si="297"/>
        <v>0</v>
      </c>
      <c r="BK253" s="2884">
        <f t="shared" si="297"/>
        <v>0</v>
      </c>
      <c r="BL253" s="2884">
        <f t="shared" si="297"/>
        <v>0</v>
      </c>
      <c r="BM253" s="2884">
        <f t="shared" si="297"/>
        <v>0</v>
      </c>
      <c r="BN253" s="2884">
        <f t="shared" si="297"/>
        <v>0</v>
      </c>
      <c r="BO253" s="2884">
        <f t="shared" si="297"/>
        <v>0</v>
      </c>
      <c r="BP253" s="2884">
        <f t="shared" si="297"/>
        <v>0</v>
      </c>
      <c r="BQ253" s="2884">
        <f t="shared" si="297"/>
        <v>0</v>
      </c>
      <c r="BR253" s="2884">
        <f t="shared" si="297"/>
        <v>0</v>
      </c>
      <c r="BS253" s="2885">
        <f t="shared" si="297"/>
        <v>0</v>
      </c>
      <c r="BT253" s="1478"/>
      <c r="BU253" s="1070"/>
      <c r="BV253" s="1070"/>
      <c r="BW253" s="1070"/>
    </row>
    <row r="254" spans="1:75" outlineLevel="1" x14ac:dyDescent="0.3">
      <c r="A254" s="1527"/>
      <c r="B254" s="2886" t="s">
        <v>1722</v>
      </c>
      <c r="C254" s="1142"/>
      <c r="D254" s="1142"/>
      <c r="E254" s="1142"/>
      <c r="F254" s="1142"/>
      <c r="G254" s="1741"/>
      <c r="H254" s="1142"/>
      <c r="I254" s="1142"/>
      <c r="J254" s="1142"/>
      <c r="K254" s="1142"/>
      <c r="L254" s="1142"/>
      <c r="M254" s="1142"/>
      <c r="N254" s="1142"/>
      <c r="O254" s="1142"/>
      <c r="P254" s="1142"/>
      <c r="Q254" s="1142"/>
      <c r="R254" s="1142"/>
      <c r="S254" s="1142"/>
      <c r="T254" s="1142"/>
      <c r="U254" s="1142"/>
      <c r="V254" s="1142"/>
      <c r="W254" s="1142"/>
      <c r="X254" s="1142"/>
      <c r="Y254" s="1142"/>
      <c r="Z254" s="1142"/>
      <c r="AA254" s="1142"/>
      <c r="AB254" s="1142"/>
      <c r="AC254" s="1142"/>
      <c r="AD254" s="1142"/>
      <c r="AE254" s="1142"/>
      <c r="AF254" s="1142"/>
      <c r="AG254" s="1142"/>
      <c r="AH254" s="1142"/>
      <c r="AI254" s="1437"/>
      <c r="AJ254" s="1476"/>
      <c r="AK254" s="1142"/>
      <c r="AL254" s="1142"/>
      <c r="AM254" s="1149"/>
      <c r="AN254" s="1142"/>
      <c r="AO254" s="1742"/>
      <c r="AP254" s="2876"/>
      <c r="AQ254" s="1142"/>
      <c r="AR254" s="1142"/>
      <c r="AS254" s="1142"/>
      <c r="AT254" s="1142"/>
      <c r="AU254" s="1142"/>
      <c r="AV254" s="1142"/>
      <c r="AW254" s="1142"/>
      <c r="AX254" s="1142"/>
      <c r="AY254" s="1142"/>
      <c r="AZ254" s="1142"/>
      <c r="BA254" s="1142"/>
      <c r="BB254" s="1142"/>
      <c r="BC254" s="1142"/>
      <c r="BD254" s="1142"/>
      <c r="BE254" s="1142"/>
      <c r="BF254" s="1142"/>
      <c r="BG254" s="1142"/>
      <c r="BH254" s="1142"/>
      <c r="BI254" s="1142"/>
      <c r="BJ254" s="1142"/>
      <c r="BK254" s="1142"/>
      <c r="BL254" s="1142"/>
      <c r="BM254" s="1142"/>
      <c r="BN254" s="1142"/>
      <c r="BO254" s="1142"/>
      <c r="BP254" s="1142"/>
      <c r="BQ254" s="1142"/>
      <c r="BR254" s="1142"/>
      <c r="BS254" s="1437"/>
      <c r="BT254" s="1478"/>
      <c r="BU254" s="1070"/>
      <c r="BV254" s="1070"/>
      <c r="BW254" s="1070"/>
    </row>
    <row r="255" spans="1:75" outlineLevel="1" x14ac:dyDescent="0.3">
      <c r="A255" s="1527"/>
      <c r="B255" s="1184" t="s">
        <v>1723</v>
      </c>
      <c r="C255" s="1201"/>
      <c r="D255" s="1201"/>
      <c r="E255" s="1201"/>
      <c r="F255" s="1201"/>
      <c r="G255" s="2887">
        <f>G247-G250+G253</f>
        <v>0</v>
      </c>
      <c r="H255" s="2888">
        <f>H247-H250+H253</f>
        <v>0</v>
      </c>
      <c r="I255" s="2888">
        <f t="shared" ref="I255:AI255" si="298">I247-I250+I253</f>
        <v>0</v>
      </c>
      <c r="J255" s="2888">
        <f t="shared" si="298"/>
        <v>0</v>
      </c>
      <c r="K255" s="2888">
        <f t="shared" si="298"/>
        <v>0</v>
      </c>
      <c r="L255" s="2888">
        <f t="shared" si="298"/>
        <v>-3160.13687761248</v>
      </c>
      <c r="M255" s="2888">
        <f t="shared" si="298"/>
        <v>-4194.6694701487686</v>
      </c>
      <c r="N255" s="2888">
        <f t="shared" si="298"/>
        <v>-6674.0702691069473</v>
      </c>
      <c r="O255" s="2888">
        <f t="shared" si="298"/>
        <v>-7032.8497151280262</v>
      </c>
      <c r="P255" s="2888">
        <f t="shared" si="298"/>
        <v>-5195.3025800595897</v>
      </c>
      <c r="Q255" s="2888">
        <f t="shared" si="298"/>
        <v>-2988.4494306812239</v>
      </c>
      <c r="R255" s="2888">
        <f t="shared" si="298"/>
        <v>-2704.0565805251163</v>
      </c>
      <c r="S255" s="2888">
        <f t="shared" si="298"/>
        <v>-4598.2114993296118</v>
      </c>
      <c r="T255" s="2888">
        <f t="shared" si="298"/>
        <v>-1941.0854642407503</v>
      </c>
      <c r="U255" s="2888">
        <f t="shared" si="298"/>
        <v>-7315.3371366588362</v>
      </c>
      <c r="V255" s="2888">
        <f t="shared" si="298"/>
        <v>-5978.3555525427637</v>
      </c>
      <c r="W255" s="2888">
        <f t="shared" si="298"/>
        <v>-7777.6097665450779</v>
      </c>
      <c r="X255" s="2888">
        <f t="shared" si="298"/>
        <v>20939.884356081711</v>
      </c>
      <c r="Y255" s="2888">
        <f t="shared" si="298"/>
        <v>38620.249986497482</v>
      </c>
      <c r="Z255" s="2888">
        <f t="shared" si="298"/>
        <v>0</v>
      </c>
      <c r="AA255" s="2888">
        <f t="shared" si="298"/>
        <v>0</v>
      </c>
      <c r="AB255" s="2888">
        <f t="shared" si="298"/>
        <v>0</v>
      </c>
      <c r="AC255" s="2888">
        <f t="shared" si="298"/>
        <v>0</v>
      </c>
      <c r="AD255" s="2888">
        <f t="shared" si="298"/>
        <v>0</v>
      </c>
      <c r="AE255" s="2888">
        <f t="shared" si="298"/>
        <v>0</v>
      </c>
      <c r="AF255" s="2888">
        <f t="shared" si="298"/>
        <v>0</v>
      </c>
      <c r="AG255" s="2888">
        <f t="shared" si="298"/>
        <v>0</v>
      </c>
      <c r="AH255" s="2888">
        <f t="shared" si="298"/>
        <v>0</v>
      </c>
      <c r="AI255" s="2889">
        <f t="shared" si="298"/>
        <v>0</v>
      </c>
      <c r="AJ255" s="1476"/>
      <c r="AK255" s="1142"/>
      <c r="AL255" s="1142"/>
      <c r="AM255" s="1184"/>
      <c r="AN255" s="1201"/>
      <c r="AO255" s="2871"/>
      <c r="AP255" s="2890"/>
      <c r="AQ255" s="2888">
        <f>AQ247-AQ250+AQ253</f>
        <v>0</v>
      </c>
      <c r="AR255" s="2888">
        <f>AR247-AR250+AR253</f>
        <v>0</v>
      </c>
      <c r="AS255" s="2888">
        <f t="shared" ref="AS255:BS255" si="299">AS247-AS250+AS253</f>
        <v>0</v>
      </c>
      <c r="AT255" s="2888">
        <f t="shared" si="299"/>
        <v>0</v>
      </c>
      <c r="AU255" s="2888">
        <f t="shared" si="299"/>
        <v>0</v>
      </c>
      <c r="AV255" s="2888">
        <f t="shared" si="299"/>
        <v>0</v>
      </c>
      <c r="AW255" s="2888">
        <f t="shared" si="299"/>
        <v>0</v>
      </c>
      <c r="AX255" s="2888">
        <f t="shared" si="299"/>
        <v>0</v>
      </c>
      <c r="AY255" s="2888">
        <f t="shared" si="299"/>
        <v>0</v>
      </c>
      <c r="AZ255" s="2888">
        <f t="shared" si="299"/>
        <v>0</v>
      </c>
      <c r="BA255" s="2888">
        <f t="shared" si="299"/>
        <v>0</v>
      </c>
      <c r="BB255" s="2888">
        <f t="shared" si="299"/>
        <v>0</v>
      </c>
      <c r="BC255" s="2888">
        <f t="shared" si="299"/>
        <v>0</v>
      </c>
      <c r="BD255" s="2888">
        <f t="shared" si="299"/>
        <v>0</v>
      </c>
      <c r="BE255" s="2888">
        <f t="shared" si="299"/>
        <v>0</v>
      </c>
      <c r="BF255" s="2888">
        <f t="shared" si="299"/>
        <v>0</v>
      </c>
      <c r="BG255" s="2888">
        <f t="shared" si="299"/>
        <v>0</v>
      </c>
      <c r="BH255" s="2888">
        <f t="shared" si="299"/>
        <v>0</v>
      </c>
      <c r="BI255" s="2888">
        <f t="shared" si="299"/>
        <v>0</v>
      </c>
      <c r="BJ255" s="2888">
        <f t="shared" si="299"/>
        <v>0</v>
      </c>
      <c r="BK255" s="2888">
        <f t="shared" si="299"/>
        <v>0</v>
      </c>
      <c r="BL255" s="2888">
        <f t="shared" si="299"/>
        <v>0</v>
      </c>
      <c r="BM255" s="2888">
        <f t="shared" si="299"/>
        <v>0</v>
      </c>
      <c r="BN255" s="2888">
        <f t="shared" si="299"/>
        <v>0</v>
      </c>
      <c r="BO255" s="2888">
        <f t="shared" si="299"/>
        <v>0</v>
      </c>
      <c r="BP255" s="2888">
        <f t="shared" si="299"/>
        <v>0</v>
      </c>
      <c r="BQ255" s="2888">
        <f t="shared" si="299"/>
        <v>0</v>
      </c>
      <c r="BR255" s="2888">
        <f t="shared" si="299"/>
        <v>0</v>
      </c>
      <c r="BS255" s="2889">
        <f t="shared" si="299"/>
        <v>0</v>
      </c>
      <c r="BT255" s="1478"/>
      <c r="BU255" s="1070"/>
      <c r="BV255" s="1070"/>
      <c r="BW255" s="1070"/>
    </row>
    <row r="256" spans="1:75" ht="15" outlineLevel="1" thickBot="1" x14ac:dyDescent="0.35">
      <c r="A256" s="1710"/>
      <c r="B256" s="1507"/>
      <c r="C256" s="1508"/>
      <c r="D256" s="1509"/>
      <c r="E256" s="1510"/>
      <c r="F256" s="1511"/>
      <c r="G256" s="1512"/>
      <c r="H256" s="1512"/>
      <c r="I256" s="1512"/>
      <c r="J256" s="2891"/>
      <c r="K256" s="2891"/>
      <c r="L256" s="2891"/>
      <c r="M256" s="2891"/>
      <c r="N256" s="2892"/>
      <c r="O256" s="2892"/>
      <c r="P256" s="2892"/>
      <c r="Q256" s="2892"/>
      <c r="R256" s="2892"/>
      <c r="S256" s="2892"/>
      <c r="T256" s="2892"/>
      <c r="U256" s="2892"/>
      <c r="V256" s="2892"/>
      <c r="W256" s="2892"/>
      <c r="X256" s="2892"/>
      <c r="Y256" s="2892"/>
      <c r="Z256" s="2892"/>
      <c r="AA256" s="2892"/>
      <c r="AB256" s="2892"/>
      <c r="AC256" s="2892"/>
      <c r="AD256" s="2892"/>
      <c r="AE256" s="2892"/>
      <c r="AF256" s="2892"/>
      <c r="AG256" s="2892"/>
      <c r="AH256" s="2892"/>
      <c r="AI256" s="2892"/>
      <c r="AJ256" s="1515"/>
      <c r="AK256" s="1515"/>
      <c r="AL256" s="1515"/>
      <c r="AM256" s="1515"/>
      <c r="AN256" s="1515"/>
      <c r="AO256" s="1515"/>
      <c r="AP256" s="1515"/>
      <c r="AQ256" s="2891"/>
      <c r="AR256" s="2891"/>
      <c r="AS256" s="2891"/>
      <c r="AT256" s="2891"/>
      <c r="AU256" s="2891"/>
      <c r="AV256" s="2891"/>
      <c r="AW256" s="2891"/>
      <c r="AX256" s="2892"/>
      <c r="AY256" s="2892"/>
      <c r="AZ256" s="2892"/>
      <c r="BA256" s="2892"/>
      <c r="BB256" s="2892"/>
      <c r="BC256" s="2892"/>
      <c r="BD256" s="2892"/>
      <c r="BE256" s="2892"/>
      <c r="BF256" s="2892"/>
      <c r="BG256" s="2892"/>
      <c r="BH256" s="2892"/>
      <c r="BI256" s="2892"/>
      <c r="BJ256" s="2892"/>
      <c r="BK256" s="2892"/>
      <c r="BL256" s="2892"/>
      <c r="BM256" s="2892"/>
      <c r="BN256" s="2892"/>
      <c r="BO256" s="2892"/>
      <c r="BP256" s="2892"/>
      <c r="BQ256" s="2892"/>
      <c r="BR256" s="2892"/>
      <c r="BS256" s="2892"/>
      <c r="BT256" s="1516"/>
      <c r="BU256" s="1070"/>
      <c r="BV256" s="1070"/>
      <c r="BW256" s="1070"/>
    </row>
    <row r="257" spans="1:75" s="1236" customFormat="1" x14ac:dyDescent="0.3">
      <c r="A257" s="1116"/>
      <c r="B257" s="1116"/>
      <c r="C257" s="1491"/>
      <c r="D257" s="1352"/>
      <c r="E257" s="1267"/>
      <c r="F257" s="1493"/>
      <c r="G257" s="1532"/>
      <c r="H257" s="1532"/>
      <c r="I257" s="1532"/>
      <c r="J257" s="1532"/>
      <c r="K257" s="1532"/>
      <c r="L257" s="1532"/>
      <c r="M257" s="1532"/>
      <c r="N257" s="1493"/>
      <c r="O257" s="1493"/>
      <c r="P257" s="1493"/>
      <c r="Q257" s="1493"/>
      <c r="R257" s="1493"/>
      <c r="S257" s="1493"/>
      <c r="T257" s="1493"/>
      <c r="U257" s="1493"/>
      <c r="V257" s="1493"/>
      <c r="W257" s="1493"/>
      <c r="X257" s="1493"/>
      <c r="Y257" s="1493"/>
      <c r="Z257" s="1493"/>
      <c r="AA257" s="1493"/>
      <c r="AB257" s="1493"/>
      <c r="AC257" s="1493"/>
      <c r="AD257" s="1493"/>
      <c r="AE257" s="1493"/>
      <c r="AF257" s="1493"/>
      <c r="AG257" s="1493"/>
      <c r="AH257" s="1493"/>
      <c r="AI257" s="1493"/>
      <c r="AJ257" s="1116"/>
      <c r="AK257" s="1116"/>
      <c r="AL257" s="1116"/>
      <c r="AM257" s="1116"/>
      <c r="AN257" s="1116"/>
      <c r="AO257" s="1116"/>
      <c r="AP257" s="1116"/>
      <c r="AQ257" s="1532"/>
      <c r="AR257" s="1532"/>
      <c r="AS257" s="1532"/>
      <c r="AT257" s="1532"/>
      <c r="AU257" s="1532"/>
      <c r="AV257" s="1532"/>
      <c r="AW257" s="1532"/>
      <c r="AX257" s="1493"/>
      <c r="AY257" s="1493"/>
      <c r="AZ257" s="1493"/>
      <c r="BA257" s="1493"/>
      <c r="BB257" s="1493"/>
      <c r="BC257" s="1493"/>
      <c r="BD257" s="1493"/>
      <c r="BE257" s="1493"/>
      <c r="BF257" s="1493"/>
      <c r="BG257" s="1493"/>
      <c r="BH257" s="1493"/>
      <c r="BI257" s="1493"/>
      <c r="BJ257" s="1493"/>
      <c r="BK257" s="1493"/>
      <c r="BL257" s="1493"/>
      <c r="BM257" s="1493"/>
      <c r="BN257" s="1493"/>
      <c r="BO257" s="1493"/>
      <c r="BP257" s="1493"/>
      <c r="BQ257" s="1493"/>
      <c r="BR257" s="1493"/>
      <c r="BS257" s="1493"/>
      <c r="BT257" s="1116"/>
      <c r="BU257" s="1082"/>
      <c r="BV257" s="1082"/>
      <c r="BW257" s="1082"/>
    </row>
    <row r="258" spans="1:75" ht="15" outlineLevel="1" thickBot="1" x14ac:dyDescent="0.35">
      <c r="A258" s="1070"/>
      <c r="B258" s="1070"/>
      <c r="C258" s="1070"/>
      <c r="D258" s="1070"/>
      <c r="E258" s="1070"/>
      <c r="F258" s="1070"/>
      <c r="G258" s="1070"/>
      <c r="H258" s="1070"/>
      <c r="I258" s="1070"/>
      <c r="J258" s="1070"/>
      <c r="K258" s="1070"/>
      <c r="L258" s="1070"/>
      <c r="M258" s="1070"/>
      <c r="N258" s="1070"/>
      <c r="O258" s="1070"/>
      <c r="P258" s="1070"/>
      <c r="Q258" s="1070"/>
      <c r="R258" s="1070"/>
      <c r="S258" s="1070"/>
      <c r="T258" s="1070"/>
      <c r="U258" s="1070"/>
      <c r="V258" s="1070"/>
      <c r="W258" s="1070"/>
      <c r="X258" s="1070"/>
      <c r="Y258" s="1070"/>
      <c r="Z258" s="1070"/>
      <c r="AA258" s="1070"/>
      <c r="AB258" s="1070"/>
      <c r="AC258" s="1070"/>
      <c r="AD258" s="1070"/>
      <c r="AE258" s="1070"/>
      <c r="AF258" s="1070"/>
      <c r="AG258" s="1070"/>
      <c r="AH258" s="1070"/>
      <c r="AI258" s="1070"/>
      <c r="AJ258" s="1070"/>
      <c r="AK258" s="1070"/>
      <c r="AL258" s="1070"/>
      <c r="AM258" s="1070"/>
      <c r="AN258" s="1070"/>
      <c r="AO258" s="1070"/>
      <c r="AP258" s="1070"/>
      <c r="AQ258" s="1070"/>
      <c r="AR258" s="1070"/>
      <c r="AS258" s="1070"/>
      <c r="AT258" s="1070"/>
      <c r="AU258" s="1070"/>
      <c r="AV258" s="1070"/>
      <c r="AW258" s="1070"/>
      <c r="AX258" s="1070"/>
      <c r="AY258" s="1070"/>
      <c r="AZ258" s="1070"/>
      <c r="BA258" s="1070"/>
      <c r="BB258" s="1070"/>
      <c r="BC258" s="1070"/>
      <c r="BD258" s="1070"/>
      <c r="BE258" s="1070"/>
      <c r="BF258" s="1070"/>
      <c r="BG258" s="1070"/>
      <c r="BH258" s="1070"/>
      <c r="BI258" s="1070"/>
      <c r="BJ258" s="1070"/>
      <c r="BK258" s="1070"/>
      <c r="BL258" s="1070"/>
      <c r="BM258" s="1070"/>
      <c r="BN258" s="1070"/>
      <c r="BO258" s="1070"/>
      <c r="BP258" s="1070"/>
      <c r="BQ258" s="1070"/>
      <c r="BR258" s="1070"/>
      <c r="BS258" s="1070"/>
      <c r="BT258" s="1070"/>
      <c r="BU258" s="1070"/>
      <c r="BV258" s="1070"/>
      <c r="BW258" s="1070"/>
    </row>
    <row r="259" spans="1:75" outlineLevel="1" x14ac:dyDescent="0.3">
      <c r="A259" s="1070"/>
      <c r="B259" s="1070"/>
      <c r="C259" s="1070"/>
      <c r="D259" s="1517"/>
      <c r="E259" s="1472"/>
      <c r="F259" s="2893"/>
      <c r="G259" s="1472"/>
      <c r="H259" s="1472"/>
      <c r="I259" s="1472"/>
      <c r="J259" s="1472"/>
      <c r="K259" s="1472"/>
      <c r="L259" s="1472"/>
      <c r="M259" s="1472"/>
      <c r="N259" s="1472"/>
      <c r="O259" s="1472"/>
      <c r="P259" s="1472"/>
      <c r="Q259" s="1472"/>
      <c r="R259" s="1472"/>
      <c r="S259" s="1472"/>
      <c r="T259" s="1472"/>
      <c r="U259" s="1472"/>
      <c r="V259" s="1472"/>
      <c r="W259" s="1472"/>
      <c r="X259" s="1472"/>
      <c r="Y259" s="1473"/>
      <c r="Z259" s="1517"/>
      <c r="AA259" s="1472"/>
      <c r="AB259" s="1472"/>
      <c r="AC259" s="1518" t="s">
        <v>1724</v>
      </c>
      <c r="AD259" s="1472"/>
      <c r="AE259" s="2893"/>
      <c r="AF259" s="1472"/>
      <c r="AG259" s="1472"/>
      <c r="AH259" s="1473"/>
      <c r="AI259" s="1070"/>
      <c r="AJ259" s="1070"/>
      <c r="AK259" s="1070"/>
      <c r="AL259" s="1070"/>
      <c r="AM259" s="1070"/>
      <c r="AN259" s="1070"/>
      <c r="AO259" s="1070"/>
      <c r="AP259" s="1070"/>
      <c r="AQ259" s="1070"/>
      <c r="AR259" s="1070"/>
      <c r="AS259" s="1070"/>
      <c r="AT259" s="1070"/>
      <c r="AU259" s="1070"/>
      <c r="AV259" s="1070"/>
      <c r="AW259" s="1070"/>
      <c r="AX259" s="1070"/>
      <c r="AY259" s="1070"/>
      <c r="AZ259" s="1070"/>
      <c r="BA259" s="1070"/>
      <c r="BB259" s="1070"/>
      <c r="BC259" s="1070"/>
      <c r="BD259" s="1070"/>
      <c r="BE259" s="1070"/>
      <c r="BF259" s="1070"/>
      <c r="BG259" s="1070"/>
      <c r="BH259" s="1070"/>
      <c r="BI259" s="1070"/>
      <c r="BJ259" s="1070"/>
      <c r="BK259" s="1070"/>
      <c r="BL259" s="1070"/>
      <c r="BM259" s="1070"/>
      <c r="BN259" s="1070"/>
      <c r="BO259" s="1070"/>
      <c r="BP259" s="1070"/>
      <c r="BQ259" s="1070"/>
      <c r="BR259" s="1070"/>
      <c r="BS259" s="1070"/>
      <c r="BT259" s="1070"/>
      <c r="BU259" s="1070"/>
      <c r="BV259" s="1070"/>
      <c r="BW259" s="1070"/>
    </row>
    <row r="260" spans="1:75" outlineLevel="1" x14ac:dyDescent="0.3">
      <c r="A260" s="1070"/>
      <c r="B260" s="1070"/>
      <c r="C260" s="1070"/>
      <c r="D260" s="1527"/>
      <c r="E260" s="1142"/>
      <c r="F260" s="1745"/>
      <c r="G260" s="1142"/>
      <c r="H260" s="1745" t="s">
        <v>1134</v>
      </c>
      <c r="I260" s="1142"/>
      <c r="J260" s="1142"/>
      <c r="K260" s="1142"/>
      <c r="L260" s="1142"/>
      <c r="M260" s="1142"/>
      <c r="N260" s="3202" t="s">
        <v>49</v>
      </c>
      <c r="O260" s="3202"/>
      <c r="P260" s="3202"/>
      <c r="Q260" s="3202"/>
      <c r="R260" s="3202"/>
      <c r="S260" s="1142"/>
      <c r="T260" s="3397" t="str">
        <f>Comp</f>
        <v>Def Exit</v>
      </c>
      <c r="U260" s="3397"/>
      <c r="V260" s="3397"/>
      <c r="W260" s="3397"/>
      <c r="X260" s="3397"/>
      <c r="Y260" s="1478"/>
      <c r="Z260" s="1527"/>
      <c r="AA260" s="1142"/>
      <c r="AB260" s="1142"/>
      <c r="AC260" s="1142"/>
      <c r="AD260" s="1142"/>
      <c r="AE260" s="1745"/>
      <c r="AF260" s="1142"/>
      <c r="AG260" s="1142"/>
      <c r="AH260" s="1478"/>
      <c r="AI260" s="1070"/>
      <c r="AJ260" s="1070"/>
      <c r="AK260" s="1070"/>
      <c r="AL260" s="1070"/>
      <c r="AM260" s="1070"/>
      <c r="AN260" s="1070"/>
      <c r="AO260" s="1070"/>
      <c r="AP260" s="1070"/>
      <c r="AQ260" s="1070"/>
      <c r="AR260" s="1070"/>
      <c r="AS260" s="1070"/>
      <c r="AT260" s="1070"/>
      <c r="AU260" s="1070"/>
      <c r="AV260" s="1070"/>
      <c r="AW260" s="1070"/>
      <c r="AX260" s="1070"/>
      <c r="AY260" s="1070"/>
      <c r="AZ260" s="1070"/>
      <c r="BA260" s="1070"/>
      <c r="BB260" s="1070"/>
      <c r="BC260" s="1070"/>
      <c r="BD260" s="1070"/>
      <c r="BE260" s="1070"/>
      <c r="BF260" s="1070"/>
      <c r="BG260" s="1070"/>
      <c r="BH260" s="1070"/>
      <c r="BI260" s="1070"/>
      <c r="BJ260" s="1070"/>
      <c r="BK260" s="1070"/>
      <c r="BL260" s="1070"/>
      <c r="BM260" s="1070"/>
      <c r="BN260" s="1070"/>
      <c r="BO260" s="1070"/>
      <c r="BP260" s="1070"/>
      <c r="BQ260" s="1070"/>
      <c r="BR260" s="1070"/>
      <c r="BS260" s="1070"/>
      <c r="BT260" s="1070"/>
      <c r="BU260" s="1070"/>
      <c r="BV260" s="1070"/>
      <c r="BW260" s="1070"/>
    </row>
    <row r="261" spans="1:75" ht="15" outlineLevel="1" x14ac:dyDescent="0.3">
      <c r="A261" s="1070"/>
      <c r="B261" s="1070"/>
      <c r="C261" s="1070"/>
      <c r="D261" s="1527"/>
      <c r="E261" s="1142"/>
      <c r="F261" s="1745"/>
      <c r="G261" s="1142"/>
      <c r="H261" s="1745" t="s">
        <v>1682</v>
      </c>
      <c r="I261" s="1142"/>
      <c r="J261" s="1142"/>
      <c r="K261" s="1142"/>
      <c r="L261" s="1142"/>
      <c r="M261" s="1742"/>
      <c r="N261" s="2894" t="s">
        <v>1725</v>
      </c>
      <c r="O261" s="2894" t="s">
        <v>1726</v>
      </c>
      <c r="P261" s="2894" t="s">
        <v>1727</v>
      </c>
      <c r="Q261" s="2894" t="s">
        <v>1728</v>
      </c>
      <c r="R261" s="2895" t="s">
        <v>1729</v>
      </c>
      <c r="S261" s="1742"/>
      <c r="T261" s="2896" t="s">
        <v>1725</v>
      </c>
      <c r="U261" s="2896" t="s">
        <v>1726</v>
      </c>
      <c r="V261" s="2896" t="s">
        <v>1727</v>
      </c>
      <c r="W261" s="2896" t="s">
        <v>1728</v>
      </c>
      <c r="X261" s="2897" t="s">
        <v>1729</v>
      </c>
      <c r="Y261" s="1478"/>
      <c r="Z261" s="1527"/>
      <c r="AA261" s="1142"/>
      <c r="AB261" s="1142"/>
      <c r="AC261" s="2898" t="s">
        <v>1730</v>
      </c>
      <c r="AD261" s="2899"/>
      <c r="AE261" s="2900"/>
      <c r="AF261" s="1146"/>
      <c r="AG261" s="2901">
        <f>(HLOOKUP(3,$B$114:$AK$127,14,0)/HLOOKUP(2,$B$114:$AK$127,14,0))^(1/2)-1</f>
        <v>0.36673940105184566</v>
      </c>
      <c r="AH261" s="1478"/>
      <c r="AI261" s="1070"/>
      <c r="AJ261" s="1070"/>
      <c r="AK261" s="1070"/>
      <c r="AL261" s="1070"/>
      <c r="AM261" s="1070"/>
      <c r="AN261" s="1070"/>
      <c r="AO261" s="1070"/>
      <c r="AP261" s="1070"/>
      <c r="AQ261" s="1070"/>
      <c r="AR261" s="1070"/>
      <c r="AS261" s="1070"/>
      <c r="AT261" s="1070"/>
      <c r="AU261" s="1070"/>
      <c r="AV261" s="1070"/>
      <c r="AW261" s="1070"/>
      <c r="AX261" s="1070"/>
      <c r="AY261" s="1070"/>
      <c r="AZ261" s="1070"/>
      <c r="BA261" s="1070"/>
      <c r="BB261" s="1070"/>
      <c r="BC261" s="1070"/>
      <c r="BD261" s="1070"/>
      <c r="BE261" s="1070"/>
      <c r="BF261" s="1070"/>
      <c r="BG261" s="1070"/>
      <c r="BH261" s="1070"/>
      <c r="BI261" s="1070"/>
      <c r="BJ261" s="1070"/>
      <c r="BK261" s="1070"/>
      <c r="BL261" s="1070"/>
      <c r="BM261" s="1070"/>
      <c r="BN261" s="1070"/>
      <c r="BO261" s="1070"/>
      <c r="BP261" s="1070"/>
      <c r="BQ261" s="1070"/>
      <c r="BR261" s="1070"/>
      <c r="BS261" s="1070"/>
      <c r="BT261" s="1070"/>
      <c r="BU261" s="1070"/>
      <c r="BV261" s="1070"/>
      <c r="BW261" s="1070"/>
    </row>
    <row r="262" spans="1:75" ht="15" outlineLevel="1" thickBot="1" x14ac:dyDescent="0.35">
      <c r="A262" s="1070"/>
      <c r="B262" s="1070"/>
      <c r="C262" s="1070"/>
      <c r="D262" s="1527"/>
      <c r="E262" s="1142"/>
      <c r="F262" s="1745"/>
      <c r="G262" s="1142"/>
      <c r="H262" s="1070"/>
      <c r="I262" s="1142"/>
      <c r="J262" s="1142"/>
      <c r="K262" s="1142"/>
      <c r="L262" s="1142"/>
      <c r="M262" s="2902" t="s">
        <v>1731</v>
      </c>
      <c r="N262" s="1564" t="str">
        <f>Input!E63</f>
        <v>N/A</v>
      </c>
      <c r="O262" s="1564" t="e">
        <f>N262+1</f>
        <v>#VALUE!</v>
      </c>
      <c r="P262" s="1564" t="e">
        <f>O262+1</f>
        <v>#VALUE!</v>
      </c>
      <c r="Q262" s="1564" t="e">
        <f>P262+1</f>
        <v>#VALUE!</v>
      </c>
      <c r="R262" s="2832" t="e">
        <f>Q262+1</f>
        <v>#VALUE!</v>
      </c>
      <c r="S262" s="1742"/>
      <c r="T262" s="1476" t="e">
        <f>LaunchOrigFY</f>
        <v>#VALUE!</v>
      </c>
      <c r="U262" s="1476" t="e">
        <f>T262+1</f>
        <v>#VALUE!</v>
      </c>
      <c r="V262" s="1476" t="e">
        <f>U262+1</f>
        <v>#VALUE!</v>
      </c>
      <c r="W262" s="1476" t="e">
        <f>V262+1</f>
        <v>#VALUE!</v>
      </c>
      <c r="X262" s="1648" t="e">
        <f>W262+1</f>
        <v>#VALUE!</v>
      </c>
      <c r="Y262" s="1478"/>
      <c r="Z262" s="1710"/>
      <c r="AA262" s="1515"/>
      <c r="AB262" s="1515"/>
      <c r="AC262" s="1515"/>
      <c r="AD262" s="1515"/>
      <c r="AE262" s="2861"/>
      <c r="AF262" s="1515"/>
      <c r="AG262" s="1515"/>
      <c r="AH262" s="1516"/>
      <c r="AI262" s="1070"/>
      <c r="AJ262" s="1070"/>
      <c r="AK262" s="1070"/>
      <c r="AL262" s="1070"/>
      <c r="AM262" s="1070"/>
      <c r="AN262" s="1070"/>
      <c r="AO262" s="1070"/>
      <c r="AP262" s="1070"/>
      <c r="AQ262" s="1070"/>
      <c r="AR262" s="1070"/>
      <c r="AS262" s="1070"/>
      <c r="AT262" s="1070"/>
      <c r="AU262" s="1070"/>
      <c r="AV262" s="1070"/>
      <c r="AW262" s="1070"/>
      <c r="AX262" s="1070"/>
      <c r="AY262" s="1070"/>
      <c r="AZ262" s="1070"/>
      <c r="BA262" s="1070"/>
      <c r="BB262" s="1070"/>
      <c r="BC262" s="1070"/>
      <c r="BD262" s="1070"/>
      <c r="BE262" s="1070"/>
      <c r="BF262" s="1070"/>
      <c r="BG262" s="1070"/>
      <c r="BH262" s="1070"/>
      <c r="BI262" s="1070"/>
      <c r="BJ262" s="1070"/>
      <c r="BK262" s="1070"/>
      <c r="BL262" s="1070"/>
      <c r="BM262" s="1070"/>
      <c r="BN262" s="1070"/>
      <c r="BO262" s="1070"/>
      <c r="BP262" s="1070"/>
      <c r="BQ262" s="1070"/>
      <c r="BR262" s="1070"/>
      <c r="BS262" s="1070"/>
      <c r="BT262" s="1070"/>
      <c r="BU262" s="1070"/>
      <c r="BV262" s="1070"/>
      <c r="BW262" s="1070"/>
    </row>
    <row r="263" spans="1:75" outlineLevel="1" x14ac:dyDescent="0.3">
      <c r="A263" s="1070"/>
      <c r="B263" s="1070"/>
      <c r="C263" s="1070"/>
      <c r="D263" s="1527"/>
      <c r="E263" s="1142"/>
      <c r="F263" s="1745"/>
      <c r="G263" s="1142"/>
      <c r="H263" s="1142"/>
      <c r="I263" s="1142"/>
      <c r="J263" s="1142"/>
      <c r="K263" s="1142"/>
      <c r="L263" s="1142"/>
      <c r="M263" s="2902" t="s">
        <v>1732</v>
      </c>
      <c r="N263" s="2903" t="str">
        <f>Input!D63</f>
        <v>N/A</v>
      </c>
      <c r="O263" s="1564" t="s">
        <v>1137</v>
      </c>
      <c r="P263" s="1564" t="s">
        <v>1137</v>
      </c>
      <c r="Q263" s="1564" t="s">
        <v>1137</v>
      </c>
      <c r="R263" s="2832" t="s">
        <v>1137</v>
      </c>
      <c r="S263" s="1742"/>
      <c r="T263" s="2841" t="str">
        <f>Input!F63</f>
        <v>N/A</v>
      </c>
      <c r="U263" s="1476" t="s">
        <v>1137</v>
      </c>
      <c r="V263" s="1476" t="s">
        <v>1137</v>
      </c>
      <c r="W263" s="1476" t="s">
        <v>1137</v>
      </c>
      <c r="X263" s="1648" t="s">
        <v>1137</v>
      </c>
      <c r="Y263" s="1478"/>
      <c r="Z263" s="1142"/>
      <c r="AA263" s="1142"/>
      <c r="AB263" s="1142"/>
      <c r="AC263" s="1142"/>
      <c r="AD263" s="1142"/>
      <c r="AE263" s="1142"/>
      <c r="AF263" s="1142"/>
      <c r="AG263" s="1142"/>
      <c r="AH263" s="1142"/>
      <c r="AI263" s="1070"/>
      <c r="AJ263" s="1070"/>
      <c r="AK263" s="1070"/>
      <c r="AL263" s="1070"/>
      <c r="AM263" s="1070"/>
      <c r="AN263" s="1070"/>
      <c r="AO263" s="1070"/>
      <c r="AP263" s="1070"/>
      <c r="AQ263" s="1070"/>
      <c r="AR263" s="1070"/>
      <c r="AS263" s="1070"/>
      <c r="AT263" s="1070"/>
      <c r="AU263" s="1070"/>
      <c r="AV263" s="1070"/>
      <c r="AW263" s="1070"/>
      <c r="AX263" s="1070"/>
      <c r="AY263" s="1070"/>
      <c r="AZ263" s="1070"/>
      <c r="BA263" s="1070"/>
      <c r="BB263" s="1070"/>
      <c r="BC263" s="1070"/>
      <c r="BD263" s="1070"/>
      <c r="BE263" s="1070"/>
      <c r="BF263" s="1070"/>
      <c r="BG263" s="1070"/>
      <c r="BH263" s="1070"/>
      <c r="BI263" s="1070"/>
      <c r="BJ263" s="1070"/>
      <c r="BK263" s="1070"/>
      <c r="BL263" s="1070"/>
      <c r="BM263" s="1070"/>
      <c r="BN263" s="1070"/>
      <c r="BO263" s="1070"/>
      <c r="BP263" s="1070"/>
      <c r="BQ263" s="1070"/>
      <c r="BR263" s="1070"/>
      <c r="BS263" s="1070"/>
      <c r="BT263" s="1070"/>
      <c r="BU263" s="1070"/>
      <c r="BV263" s="1070"/>
      <c r="BW263" s="1070"/>
    </row>
    <row r="264" spans="1:75" outlineLevel="1" x14ac:dyDescent="0.3">
      <c r="A264" s="1070"/>
      <c r="B264" s="1070"/>
      <c r="C264" s="1070"/>
      <c r="D264" s="1527"/>
      <c r="E264" s="1142"/>
      <c r="F264" s="1745"/>
      <c r="G264" s="1142"/>
      <c r="H264" s="3205" t="s">
        <v>1733</v>
      </c>
      <c r="I264" s="3205"/>
      <c r="J264" s="3205"/>
      <c r="K264" s="3205"/>
      <c r="L264" s="1142"/>
      <c r="M264" s="2902" t="s">
        <v>1734</v>
      </c>
      <c r="N264" s="1564" t="s">
        <v>1148</v>
      </c>
      <c r="O264" s="1564" t="s">
        <v>1148</v>
      </c>
      <c r="P264" s="1564" t="s">
        <v>1148</v>
      </c>
      <c r="Q264" s="1564" t="s">
        <v>1148</v>
      </c>
      <c r="R264" s="2832" t="e">
        <f>VLOOKUP(N263,$H$266:$J$277,3,0)</f>
        <v>#N/A</v>
      </c>
      <c r="S264" s="1742"/>
      <c r="T264" s="1476" t="s">
        <v>1148</v>
      </c>
      <c r="U264" s="1476" t="s">
        <v>1148</v>
      </c>
      <c r="V264" s="1476" t="s">
        <v>1148</v>
      </c>
      <c r="W264" s="1476" t="s">
        <v>1148</v>
      </c>
      <c r="X264" s="1648" t="e">
        <f>VLOOKUP(T263,$H$266:$J$277,3,0)</f>
        <v>#N/A</v>
      </c>
      <c r="Y264" s="1478"/>
      <c r="Z264" s="1142"/>
      <c r="AA264" s="1142"/>
      <c r="AB264" s="1142"/>
      <c r="AC264" s="1142"/>
      <c r="AD264" s="1142"/>
      <c r="AE264" s="1142"/>
      <c r="AF264" s="1142"/>
      <c r="AG264" s="1142"/>
      <c r="AH264" s="1142"/>
      <c r="AI264" s="1070"/>
      <c r="AJ264" s="1070"/>
      <c r="AK264" s="1070"/>
      <c r="AL264" s="1070"/>
      <c r="AM264" s="1070"/>
      <c r="AN264" s="1070"/>
      <c r="AO264" s="1070"/>
      <c r="AP264" s="1070"/>
      <c r="AQ264" s="1070"/>
      <c r="AR264" s="1070"/>
      <c r="AS264" s="1070"/>
      <c r="AT264" s="1070"/>
      <c r="AU264" s="1070"/>
      <c r="AV264" s="1070"/>
      <c r="AW264" s="1070"/>
      <c r="AX264" s="1070"/>
      <c r="AY264" s="1070"/>
      <c r="AZ264" s="1070"/>
      <c r="BA264" s="1070"/>
      <c r="BB264" s="1070"/>
      <c r="BC264" s="1070"/>
      <c r="BD264" s="1070"/>
      <c r="BE264" s="1070"/>
      <c r="BF264" s="1070"/>
      <c r="BG264" s="1070"/>
      <c r="BH264" s="1070"/>
      <c r="BI264" s="1070"/>
      <c r="BJ264" s="1070"/>
      <c r="BK264" s="1070"/>
      <c r="BL264" s="1070"/>
      <c r="BM264" s="1070"/>
      <c r="BN264" s="1070"/>
      <c r="BO264" s="1070"/>
      <c r="BP264" s="1070"/>
      <c r="BQ264" s="1070"/>
      <c r="BR264" s="1070"/>
      <c r="BS264" s="1070"/>
      <c r="BT264" s="1070"/>
      <c r="BU264" s="1070"/>
      <c r="BV264" s="1070"/>
      <c r="BW264" s="1070"/>
    </row>
    <row r="265" spans="1:75" outlineLevel="1" x14ac:dyDescent="0.3">
      <c r="A265" s="1070"/>
      <c r="B265" s="1070"/>
      <c r="C265" s="1070"/>
      <c r="D265" s="1527"/>
      <c r="E265" s="1142"/>
      <c r="F265" s="1142"/>
      <c r="G265" s="1142"/>
      <c r="H265" s="2894" t="s">
        <v>1432</v>
      </c>
      <c r="I265" s="2894" t="s">
        <v>1735</v>
      </c>
      <c r="J265" s="2894" t="s">
        <v>1736</v>
      </c>
      <c r="K265" s="2894" t="s">
        <v>1027</v>
      </c>
      <c r="L265" s="1142"/>
      <c r="M265" s="2902" t="s">
        <v>1737</v>
      </c>
      <c r="N265" s="1564">
        <f>IF(N$262=G$113,G127,IF(N$262=H113,H127,IF(N$262=I113,I127,IF(N$262=J113,J127,IF(N$262=K113,K127,IF(N$262=L113,L127,IF(N$262=M113,M127,IF(N$262=N113,N127,IF(N$262=O113,O127,IF(N$262=P113,P127,IF(N$262=Q113,Q127,0)))))))))))</f>
        <v>0</v>
      </c>
      <c r="O265" s="1564" t="e">
        <f>IF(O$262=H$113,H127,IF(O$262=I113,I127,IF(O$262=J113,J127,IF(O$262=K113,K127,IF(O$262=L113,L127,IF(O$262=M113,M127,IF(O$262=N113,N127,IF(O$262=O113,O127,IF(O$262=P113,P127,IF(O$262=Q113,Q127,IF(O$262=R113,R127,0)))))))))))</f>
        <v>#VALUE!</v>
      </c>
      <c r="P265" s="1564" t="e">
        <f>IF(P$262=I$113,I127,IF(P$262=J113,J127,IF(P$262=K113,K127,IF(P$262=L113,L127,IF(P$262=M113,M127,IF(P$262=N113,N127,IF(P$262=O113,O127,IF(P$262=P113,P127,IF(P$262=Q113,Q127,IF(P$262=R113,R127,IF(P$262=S113,S127,0)))))))))))</f>
        <v>#VALUE!</v>
      </c>
      <c r="Q265" s="1564" t="e">
        <f>IF(Q$262=J$113,J127,IF(Q$262=K113,K127,IF(Q$262=L113,L127,IF(Q$262=M113,M127,IF(Q$262=N113,N127,IF(Q$262=O113,O127,IF(Q$262=P113,P127,IF(Q$262=Q113,Q127,IF(Q$262=R113,R127,IF(Q$262=S113,S127,IF(Q$262=T113,T127,0)))))))))))</f>
        <v>#VALUE!</v>
      </c>
      <c r="R265" s="2832" t="e">
        <f>IF(R$262=K$113,K127,IF(R$262=L113,L127,IF(R$262=M113,M127,IF(R$262=N113,N127,IF(R$262=O113,O127,IF(R$262=P113,P127,IF(R$262=Q113,Q127,IF(R$262=R113,R127,IF(R$262=S113,S127,IF(R$262=T113,T127,IF(R$262=U113,U127,0)))))))))))</f>
        <v>#VALUE!</v>
      </c>
      <c r="S265" s="1742"/>
      <c r="T265" s="1476" t="e">
        <f>IF(T$262=AQ$113,AQ127,IF(T$262=AR113,AR127,IF(T$262=AS113,AS127,IF(T$262=AT113,AT127,IF(T$262=AU113,AU127,IF(T$262=AV113,AV127,IF(T$262=AW113,AW127,IF(T$262=AX113,AX127,IF(T$262=AY113,AY127,IF(T$262=AZ113,AZ127,IF(T$262=BA113,BA127,0)))))))))))</f>
        <v>#VALUE!</v>
      </c>
      <c r="U265" s="1476" t="e">
        <f>IF(U$262=AR$113,AR127,IF(U$262=AS113,AS127,IF(U$262=AT113,AT127,IF(U$262=AU113,AU127,IF(U$262=AV113,AV127,IF(U$262=AW113,AW127,IF(U$262=AX113,AX127,IF(U$262=AY113,AY127,IF(U$262=AZ113,AZ127,IF(U$262=BA113,BA127,IF(U$262=BB113,BB127,0)))))))))))</f>
        <v>#VALUE!</v>
      </c>
      <c r="V265" s="1476" t="e">
        <f>IF(V$262=AS$113,AS127,IF(V$262=AT113,AT127,IF(V$262=AU113,AU127,IF(V$262=AV113,AV127,IF(V$262=AW113,AW127,IF(V$262=AX113,AX127,IF(V$262=AY113,AY127,IF(V$262=AZ113,AZ127,IF(V$262=BA113,BA127,IF(V$262=BB113,BB127,IF(V$262=BC113,BC127,0)))))))))))</f>
        <v>#VALUE!</v>
      </c>
      <c r="W265" s="1476" t="e">
        <f>IF(W$262=AT$113,AT127,IF(W$262=AU113,AU127,IF(W$262=AV113,AV127,IF(W$262=AW113,AW127,IF(W$262=AX113,AX127,IF(W$262=AY113,AY127,IF(W$262=AZ113,AZ127,IF(W$262=BA113,BA127,IF(W$262=BB113,BB127,IF(W$262=BC113,BC127,IF(W$262=BD113,BD127,0)))))))))))</f>
        <v>#VALUE!</v>
      </c>
      <c r="X265" s="1648" t="e">
        <f>IF(X$262=AU$113,AU127,IF(X$262=AV113,AV127,IF(X$262=AW113,AW127,IF(X$262=AX113,AX127,IF(X$262=AY113,AY127,IF(X$262=AZ113,AZ127,IF(X$262=BA113,BA127,IF(X$262=BB113,BB127,IF(X$262=BC113,BC127,IF(X$262=BD113,BD127,IF(X$262=BE113,BE127,0)))))))))))</f>
        <v>#VALUE!</v>
      </c>
      <c r="Y265" s="1478"/>
      <c r="Z265" s="1142"/>
      <c r="AA265" s="1142"/>
      <c r="AB265" s="1142"/>
      <c r="AC265" s="1142"/>
      <c r="AD265" s="1142"/>
      <c r="AE265" s="1142"/>
      <c r="AF265" s="1142"/>
      <c r="AG265" s="1142"/>
      <c r="AH265" s="1142"/>
      <c r="AI265" s="1070"/>
      <c r="AJ265" s="1070"/>
      <c r="AK265" s="1070"/>
      <c r="AL265" s="1070"/>
      <c r="AM265" s="1070"/>
      <c r="AN265" s="1070"/>
      <c r="AO265" s="1070"/>
      <c r="AP265" s="1070"/>
      <c r="AQ265" s="1070"/>
      <c r="AR265" s="1070"/>
      <c r="AS265" s="1070"/>
      <c r="AT265" s="1070"/>
      <c r="AU265" s="1070"/>
      <c r="AV265" s="1070"/>
      <c r="AW265" s="1070"/>
      <c r="AX265" s="1070"/>
      <c r="AY265" s="1070"/>
      <c r="AZ265" s="1070"/>
      <c r="BA265" s="1070"/>
      <c r="BB265" s="1070"/>
      <c r="BC265" s="1070"/>
      <c r="BD265" s="1070"/>
      <c r="BE265" s="1070"/>
      <c r="BF265" s="1070"/>
      <c r="BG265" s="1070"/>
      <c r="BH265" s="1070"/>
      <c r="BI265" s="1070"/>
      <c r="BJ265" s="1070"/>
      <c r="BK265" s="1070"/>
      <c r="BL265" s="1070"/>
      <c r="BM265" s="1070"/>
      <c r="BN265" s="1070"/>
      <c r="BO265" s="1070"/>
      <c r="BP265" s="1070"/>
      <c r="BQ265" s="1070"/>
      <c r="BR265" s="1070"/>
      <c r="BS265" s="1070"/>
      <c r="BT265" s="1070"/>
      <c r="BU265" s="1070"/>
      <c r="BV265" s="1070"/>
      <c r="BW265" s="1070"/>
    </row>
    <row r="266" spans="1:75" outlineLevel="1" x14ac:dyDescent="0.3">
      <c r="A266" s="1070"/>
      <c r="B266" s="1070"/>
      <c r="C266" s="1070"/>
      <c r="D266" s="1527"/>
      <c r="E266" s="1142"/>
      <c r="F266" s="1142"/>
      <c r="G266" s="1142"/>
      <c r="H266" s="1564" t="s">
        <v>1137</v>
      </c>
      <c r="I266" s="1564" t="s">
        <v>1138</v>
      </c>
      <c r="J266" s="1564" t="s">
        <v>1148</v>
      </c>
      <c r="K266" s="1564">
        <v>1</v>
      </c>
      <c r="L266" s="1142"/>
      <c r="M266" s="2904" t="s">
        <v>1137</v>
      </c>
      <c r="N266" s="1565"/>
      <c r="O266" s="1565"/>
      <c r="P266" s="1565"/>
      <c r="Q266" s="1565"/>
      <c r="R266" s="2905" t="e">
        <f t="shared" ref="R266:R277" si="300">IF($K266&lt;=$R$278,(K266/$K$278)*$R$265,0)</f>
        <v>#N/A</v>
      </c>
      <c r="S266" s="1742"/>
      <c r="T266" s="2038"/>
      <c r="U266" s="2038"/>
      <c r="V266" s="2038"/>
      <c r="W266" s="2038"/>
      <c r="X266" s="2906" t="e">
        <f t="shared" ref="X266:X277" si="301">IF($K266&lt;=$X$278,(K266/$K$278)*$X$265,0)</f>
        <v>#N/A</v>
      </c>
      <c r="Y266" s="1478"/>
      <c r="Z266" s="1142"/>
      <c r="AA266" s="1142"/>
      <c r="AB266" s="1142"/>
      <c r="AC266" s="1142"/>
      <c r="AD266" s="1142"/>
      <c r="AE266" s="1142"/>
      <c r="AF266" s="1142"/>
      <c r="AG266" s="1142"/>
      <c r="AH266" s="1142"/>
      <c r="AI266" s="1070"/>
      <c r="AJ266" s="1070"/>
      <c r="AK266" s="1070"/>
      <c r="AL266" s="1070"/>
      <c r="AM266" s="1070"/>
      <c r="AN266" s="1070"/>
      <c r="AO266" s="1070"/>
      <c r="AP266" s="1070"/>
      <c r="AQ266" s="1070"/>
      <c r="AR266" s="1070"/>
      <c r="AS266" s="1070"/>
      <c r="AT266" s="1070"/>
      <c r="AU266" s="1070"/>
      <c r="AV266" s="1070"/>
      <c r="AW266" s="1070"/>
      <c r="AX266" s="1070"/>
      <c r="AY266" s="1070"/>
      <c r="AZ266" s="1070"/>
      <c r="BA266" s="1070"/>
      <c r="BB266" s="1070"/>
      <c r="BC266" s="1070"/>
      <c r="BD266" s="1070"/>
      <c r="BE266" s="1070"/>
      <c r="BF266" s="1070"/>
      <c r="BG266" s="1070"/>
      <c r="BH266" s="1070"/>
      <c r="BI266" s="1070"/>
      <c r="BJ266" s="1070"/>
      <c r="BK266" s="1070"/>
      <c r="BL266" s="1070"/>
      <c r="BM266" s="1070"/>
      <c r="BN266" s="1070"/>
      <c r="BO266" s="1070"/>
      <c r="BP266" s="1070"/>
      <c r="BQ266" s="1070"/>
      <c r="BR266" s="1070"/>
      <c r="BS266" s="1070"/>
      <c r="BT266" s="1070"/>
      <c r="BU266" s="1070"/>
      <c r="BV266" s="1070"/>
      <c r="BW266" s="1070"/>
    </row>
    <row r="267" spans="1:75" outlineLevel="1" x14ac:dyDescent="0.3">
      <c r="A267" s="1070"/>
      <c r="B267" s="1070"/>
      <c r="C267" s="1070"/>
      <c r="D267" s="1527"/>
      <c r="E267" s="1142"/>
      <c r="F267" s="1142"/>
      <c r="G267" s="1142"/>
      <c r="H267" s="1564" t="s">
        <v>1138</v>
      </c>
      <c r="I267" s="1564" t="s">
        <v>1139</v>
      </c>
      <c r="J267" s="1564" t="s">
        <v>1137</v>
      </c>
      <c r="K267" s="1564">
        <f>K266+1</f>
        <v>2</v>
      </c>
      <c r="L267" s="1142"/>
      <c r="M267" s="2907" t="str">
        <f t="shared" ref="M267:M277" si="302">VLOOKUP(M266,$H$266:$I$277,2,0)</f>
        <v>Nov</v>
      </c>
      <c r="N267" s="1564"/>
      <c r="O267" s="1564"/>
      <c r="P267" s="1564"/>
      <c r="Q267" s="1564"/>
      <c r="R267" s="2908" t="e">
        <f t="shared" si="300"/>
        <v>#N/A</v>
      </c>
      <c r="S267" s="1742"/>
      <c r="T267" s="1476"/>
      <c r="U267" s="1476"/>
      <c r="V267" s="1476"/>
      <c r="W267" s="1476"/>
      <c r="X267" s="2909" t="e">
        <f t="shared" si="301"/>
        <v>#N/A</v>
      </c>
      <c r="Y267" s="1478"/>
      <c r="Z267" s="1070"/>
      <c r="AA267" s="1070"/>
      <c r="AB267" s="1070"/>
      <c r="AC267" s="1070"/>
      <c r="AD267" s="1070"/>
      <c r="AE267" s="1070"/>
      <c r="AF267" s="1070"/>
      <c r="AG267" s="1070"/>
      <c r="AH267" s="1070"/>
      <c r="AI267" s="1070"/>
      <c r="AJ267" s="1070"/>
      <c r="AK267" s="1070"/>
      <c r="AL267" s="1070"/>
      <c r="AM267" s="1070"/>
      <c r="AN267" s="1070"/>
      <c r="AO267" s="1070"/>
      <c r="AP267" s="1070"/>
      <c r="AQ267" s="1070"/>
      <c r="AR267" s="1070"/>
      <c r="AS267" s="1070"/>
      <c r="AT267" s="1070"/>
      <c r="AU267" s="1070"/>
      <c r="AV267" s="1070"/>
      <c r="AW267" s="1070"/>
      <c r="AX267" s="1070"/>
      <c r="AY267" s="1070"/>
      <c r="AZ267" s="1070"/>
      <c r="BA267" s="1070"/>
      <c r="BB267" s="1070"/>
      <c r="BC267" s="1070"/>
      <c r="BD267" s="1070"/>
      <c r="BE267" s="1070"/>
      <c r="BF267" s="1070"/>
      <c r="BG267" s="1070"/>
      <c r="BH267" s="1070"/>
      <c r="BI267" s="1070"/>
      <c r="BJ267" s="1070"/>
      <c r="BK267" s="1070"/>
      <c r="BL267" s="1070"/>
      <c r="BM267" s="1070"/>
      <c r="BN267" s="1070"/>
      <c r="BO267" s="1070"/>
      <c r="BP267" s="1070"/>
      <c r="BQ267" s="1070"/>
      <c r="BR267" s="1070"/>
      <c r="BS267" s="1070"/>
      <c r="BT267" s="1070"/>
      <c r="BU267" s="1070"/>
      <c r="BV267" s="1070"/>
      <c r="BW267" s="1070"/>
    </row>
    <row r="268" spans="1:75" outlineLevel="1" x14ac:dyDescent="0.3">
      <c r="A268" s="1070"/>
      <c r="B268" s="1070"/>
      <c r="C268" s="1070"/>
      <c r="D268" s="1527"/>
      <c r="E268" s="1142"/>
      <c r="F268" s="1142"/>
      <c r="G268" s="1142"/>
      <c r="H268" s="1564" t="s">
        <v>1139</v>
      </c>
      <c r="I268" s="1564" t="s">
        <v>1140</v>
      </c>
      <c r="J268" s="1564" t="s">
        <v>1138</v>
      </c>
      <c r="K268" s="1564">
        <f t="shared" ref="K268:K277" si="303">K267+1</f>
        <v>3</v>
      </c>
      <c r="L268" s="1142"/>
      <c r="M268" s="2907" t="str">
        <f t="shared" si="302"/>
        <v>Dec</v>
      </c>
      <c r="N268" s="1564"/>
      <c r="O268" s="1564"/>
      <c r="P268" s="1564"/>
      <c r="Q268" s="1564"/>
      <c r="R268" s="2908" t="e">
        <f t="shared" si="300"/>
        <v>#N/A</v>
      </c>
      <c r="S268" s="1742"/>
      <c r="T268" s="1476"/>
      <c r="U268" s="1476"/>
      <c r="V268" s="1476"/>
      <c r="W268" s="1476"/>
      <c r="X268" s="2909" t="e">
        <f t="shared" si="301"/>
        <v>#N/A</v>
      </c>
      <c r="Y268" s="1478"/>
      <c r="Z268" s="1070"/>
      <c r="AA268" s="1070"/>
      <c r="AB268" s="1070"/>
      <c r="AC268" s="1070"/>
      <c r="AD268" s="1070"/>
      <c r="AE268" s="1070"/>
      <c r="AF268" s="1070"/>
      <c r="AG268" s="1070"/>
      <c r="AH268" s="1070"/>
      <c r="AI268" s="1070"/>
      <c r="AJ268" s="1070"/>
      <c r="AK268" s="1070"/>
      <c r="AL268" s="1070"/>
      <c r="AM268" s="1070"/>
      <c r="AN268" s="1070"/>
      <c r="AO268" s="1070"/>
      <c r="AP268" s="1070"/>
      <c r="AQ268" s="1070"/>
      <c r="AR268" s="1070"/>
      <c r="AS268" s="1070"/>
      <c r="AT268" s="1070"/>
      <c r="AU268" s="1070"/>
      <c r="AV268" s="1070"/>
      <c r="AW268" s="1070"/>
      <c r="AX268" s="1070"/>
      <c r="AY268" s="1070"/>
      <c r="AZ268" s="1070"/>
      <c r="BA268" s="1070"/>
      <c r="BB268" s="1070"/>
      <c r="BC268" s="1070"/>
      <c r="BD268" s="1070"/>
      <c r="BE268" s="1070"/>
      <c r="BF268" s="1070"/>
      <c r="BG268" s="1070"/>
      <c r="BH268" s="1070"/>
      <c r="BI268" s="1070"/>
      <c r="BJ268" s="1070"/>
      <c r="BK268" s="1070"/>
      <c r="BL268" s="1070"/>
      <c r="BM268" s="1070"/>
      <c r="BN268" s="1070"/>
      <c r="BO268" s="1070"/>
      <c r="BP268" s="1070"/>
      <c r="BQ268" s="1070"/>
      <c r="BR268" s="1070"/>
      <c r="BS268" s="1070"/>
      <c r="BT268" s="1070"/>
      <c r="BU268" s="1070"/>
      <c r="BV268" s="1070"/>
      <c r="BW268" s="1070"/>
    </row>
    <row r="269" spans="1:75" outlineLevel="1" x14ac:dyDescent="0.3">
      <c r="A269" s="1070"/>
      <c r="B269" s="1070"/>
      <c r="C269" s="1070"/>
      <c r="D269" s="1527"/>
      <c r="E269" s="1142"/>
      <c r="F269" s="1142"/>
      <c r="G269" s="1142"/>
      <c r="H269" s="1564" t="s">
        <v>1140</v>
      </c>
      <c r="I269" s="1564" t="s">
        <v>1141</v>
      </c>
      <c r="J269" s="1564" t="s">
        <v>1139</v>
      </c>
      <c r="K269" s="1564">
        <f t="shared" si="303"/>
        <v>4</v>
      </c>
      <c r="L269" s="1142"/>
      <c r="M269" s="2907" t="str">
        <f t="shared" si="302"/>
        <v>Jan</v>
      </c>
      <c r="N269" s="1564"/>
      <c r="O269" s="1564"/>
      <c r="P269" s="1564"/>
      <c r="Q269" s="1564"/>
      <c r="R269" s="2908" t="e">
        <f t="shared" si="300"/>
        <v>#N/A</v>
      </c>
      <c r="S269" s="1742"/>
      <c r="T269" s="1476"/>
      <c r="U269" s="1476"/>
      <c r="V269" s="1476"/>
      <c r="W269" s="1476"/>
      <c r="X269" s="2909" t="e">
        <f t="shared" si="301"/>
        <v>#N/A</v>
      </c>
      <c r="Y269" s="1478"/>
      <c r="Z269" s="1070"/>
      <c r="AA269" s="1070"/>
      <c r="AB269" s="1070"/>
      <c r="AC269" s="1070"/>
      <c r="AD269" s="1070"/>
      <c r="AE269" s="1070"/>
      <c r="AF269" s="1070"/>
      <c r="AG269" s="1070"/>
      <c r="AH269" s="1070"/>
      <c r="AI269" s="1070"/>
      <c r="AJ269" s="1070"/>
      <c r="AK269" s="1070"/>
      <c r="AL269" s="1070"/>
      <c r="AM269" s="1070"/>
      <c r="AN269" s="1070"/>
      <c r="AO269" s="1070"/>
      <c r="AP269" s="1070"/>
      <c r="AQ269" s="1070"/>
      <c r="AR269" s="1070"/>
      <c r="AS269" s="1070"/>
      <c r="AT269" s="1070"/>
      <c r="AU269" s="1070"/>
      <c r="AV269" s="1070"/>
      <c r="AW269" s="1070"/>
      <c r="AX269" s="1070"/>
      <c r="AY269" s="1070"/>
      <c r="AZ269" s="1070"/>
      <c r="BA269" s="1070"/>
      <c r="BB269" s="1070"/>
      <c r="BC269" s="1070"/>
      <c r="BD269" s="1070"/>
      <c r="BE269" s="1070"/>
      <c r="BF269" s="1070"/>
      <c r="BG269" s="1070"/>
      <c r="BH269" s="1070"/>
      <c r="BI269" s="1070"/>
      <c r="BJ269" s="1070"/>
      <c r="BK269" s="1070"/>
      <c r="BL269" s="1070"/>
      <c r="BM269" s="1070"/>
      <c r="BN269" s="1070"/>
      <c r="BO269" s="1070"/>
      <c r="BP269" s="1070"/>
      <c r="BQ269" s="1070"/>
      <c r="BR269" s="1070"/>
      <c r="BS269" s="1070"/>
      <c r="BT269" s="1070"/>
      <c r="BU269" s="1070"/>
      <c r="BV269" s="1070"/>
      <c r="BW269" s="1070"/>
    </row>
    <row r="270" spans="1:75" outlineLevel="1" x14ac:dyDescent="0.3">
      <c r="A270" s="1070"/>
      <c r="B270" s="1070"/>
      <c r="C270" s="1070"/>
      <c r="D270" s="1527"/>
      <c r="E270" s="1142"/>
      <c r="F270" s="1142"/>
      <c r="G270" s="1142"/>
      <c r="H270" s="1564" t="s">
        <v>1141</v>
      </c>
      <c r="I270" s="1564" t="s">
        <v>1142</v>
      </c>
      <c r="J270" s="1564" t="s">
        <v>1140</v>
      </c>
      <c r="K270" s="1564">
        <f t="shared" si="303"/>
        <v>5</v>
      </c>
      <c r="L270" s="1142"/>
      <c r="M270" s="2907" t="str">
        <f t="shared" si="302"/>
        <v>Feb</v>
      </c>
      <c r="N270" s="1564"/>
      <c r="O270" s="1564"/>
      <c r="P270" s="1564"/>
      <c r="Q270" s="1564"/>
      <c r="R270" s="2908" t="e">
        <f t="shared" si="300"/>
        <v>#N/A</v>
      </c>
      <c r="S270" s="1742"/>
      <c r="T270" s="1476"/>
      <c r="U270" s="1476"/>
      <c r="V270" s="1476"/>
      <c r="W270" s="1476"/>
      <c r="X270" s="2909" t="e">
        <f t="shared" si="301"/>
        <v>#N/A</v>
      </c>
      <c r="Y270" s="1478"/>
      <c r="Z270" s="1070"/>
      <c r="AA270" s="1070"/>
      <c r="AB270" s="1070"/>
      <c r="AC270" s="1070"/>
      <c r="AD270" s="1070"/>
      <c r="AE270" s="1070"/>
      <c r="AF270" s="1070"/>
      <c r="AG270" s="1070"/>
      <c r="AH270" s="1070"/>
      <c r="AI270" s="1070"/>
      <c r="AJ270" s="1070"/>
      <c r="AK270" s="1070"/>
      <c r="AL270" s="1070"/>
      <c r="AM270" s="1070"/>
      <c r="AN270" s="1070"/>
      <c r="AO270" s="1070"/>
      <c r="AP270" s="1070"/>
      <c r="AQ270" s="1070"/>
      <c r="AR270" s="1070"/>
      <c r="AS270" s="1070"/>
      <c r="AT270" s="1070"/>
      <c r="AU270" s="1070"/>
      <c r="AV270" s="1070"/>
      <c r="AW270" s="1070"/>
      <c r="AX270" s="1070"/>
      <c r="AY270" s="1070"/>
      <c r="AZ270" s="1070"/>
      <c r="BA270" s="1070"/>
      <c r="BB270" s="1070"/>
      <c r="BC270" s="1070"/>
      <c r="BD270" s="1070"/>
      <c r="BE270" s="1070"/>
      <c r="BF270" s="1070"/>
      <c r="BG270" s="1070"/>
      <c r="BH270" s="1070"/>
      <c r="BI270" s="1070"/>
      <c r="BJ270" s="1070"/>
      <c r="BK270" s="1070"/>
      <c r="BL270" s="1070"/>
      <c r="BM270" s="1070"/>
      <c r="BN270" s="1070"/>
      <c r="BO270" s="1070"/>
      <c r="BP270" s="1070"/>
      <c r="BQ270" s="1070"/>
      <c r="BR270" s="1070"/>
      <c r="BS270" s="1070"/>
      <c r="BT270" s="1070"/>
      <c r="BU270" s="1070"/>
      <c r="BV270" s="1070"/>
      <c r="BW270" s="1070"/>
    </row>
    <row r="271" spans="1:75" outlineLevel="1" x14ac:dyDescent="0.3">
      <c r="A271" s="1070"/>
      <c r="B271" s="1070"/>
      <c r="C271" s="1070"/>
      <c r="D271" s="1527"/>
      <c r="E271" s="1142"/>
      <c r="F271" s="1142"/>
      <c r="G271" s="1142"/>
      <c r="H271" s="1564" t="s">
        <v>1142</v>
      </c>
      <c r="I271" s="1564" t="s">
        <v>1143</v>
      </c>
      <c r="J271" s="1564" t="s">
        <v>1141</v>
      </c>
      <c r="K271" s="1564">
        <f t="shared" si="303"/>
        <v>6</v>
      </c>
      <c r="L271" s="1142"/>
      <c r="M271" s="2907" t="str">
        <f t="shared" si="302"/>
        <v>Mar</v>
      </c>
      <c r="N271" s="1564"/>
      <c r="O271" s="1564"/>
      <c r="P271" s="1564"/>
      <c r="Q271" s="1564"/>
      <c r="R271" s="2908" t="e">
        <f t="shared" si="300"/>
        <v>#N/A</v>
      </c>
      <c r="S271" s="1742"/>
      <c r="T271" s="1476"/>
      <c r="U271" s="1476"/>
      <c r="V271" s="1476"/>
      <c r="W271" s="1476"/>
      <c r="X271" s="2909" t="e">
        <f t="shared" si="301"/>
        <v>#N/A</v>
      </c>
      <c r="Y271" s="1478"/>
      <c r="Z271" s="1070"/>
      <c r="AA271" s="1070"/>
      <c r="AB271" s="1070"/>
      <c r="AC271" s="1070"/>
      <c r="AD271" s="1070"/>
      <c r="AE271" s="1070"/>
      <c r="AF271" s="1070"/>
      <c r="AG271" s="1070"/>
      <c r="AH271" s="1070"/>
      <c r="AI271" s="1070"/>
      <c r="AJ271" s="1070"/>
      <c r="AK271" s="1070"/>
      <c r="AL271" s="1070"/>
      <c r="AM271" s="1070"/>
      <c r="AN271" s="1070"/>
      <c r="AO271" s="1070"/>
      <c r="AP271" s="1070"/>
      <c r="AQ271" s="1070"/>
      <c r="AR271" s="1070"/>
      <c r="AS271" s="1070"/>
      <c r="AT271" s="1070"/>
      <c r="AU271" s="1070"/>
      <c r="AV271" s="1070"/>
      <c r="AW271" s="1070"/>
      <c r="AX271" s="1070"/>
      <c r="AY271" s="1070"/>
      <c r="AZ271" s="1070"/>
      <c r="BA271" s="1070"/>
      <c r="BB271" s="1070"/>
      <c r="BC271" s="1070"/>
      <c r="BD271" s="1070"/>
      <c r="BE271" s="1070"/>
      <c r="BF271" s="1070"/>
      <c r="BG271" s="1070"/>
      <c r="BH271" s="1070"/>
      <c r="BI271" s="1070"/>
      <c r="BJ271" s="1070"/>
      <c r="BK271" s="1070"/>
      <c r="BL271" s="1070"/>
      <c r="BM271" s="1070"/>
      <c r="BN271" s="1070"/>
      <c r="BO271" s="1070"/>
      <c r="BP271" s="1070"/>
      <c r="BQ271" s="1070"/>
      <c r="BR271" s="1070"/>
      <c r="BS271" s="1070"/>
      <c r="BT271" s="1070"/>
      <c r="BU271" s="1070"/>
      <c r="BV271" s="1070"/>
      <c r="BW271" s="1070"/>
    </row>
    <row r="272" spans="1:75" outlineLevel="1" x14ac:dyDescent="0.3">
      <c r="A272" s="1070"/>
      <c r="B272" s="1070"/>
      <c r="C272" s="1070"/>
      <c r="D272" s="1527"/>
      <c r="E272" s="1142"/>
      <c r="F272" s="1142"/>
      <c r="G272" s="1142"/>
      <c r="H272" s="1564" t="s">
        <v>1143</v>
      </c>
      <c r="I272" s="1564" t="s">
        <v>1144</v>
      </c>
      <c r="J272" s="1564" t="s">
        <v>1142</v>
      </c>
      <c r="K272" s="1564">
        <f t="shared" si="303"/>
        <v>7</v>
      </c>
      <c r="L272" s="1142"/>
      <c r="M272" s="2907" t="str">
        <f t="shared" si="302"/>
        <v>Apr</v>
      </c>
      <c r="N272" s="1564"/>
      <c r="O272" s="1564"/>
      <c r="P272" s="1564"/>
      <c r="Q272" s="1564"/>
      <c r="R272" s="2908" t="e">
        <f t="shared" si="300"/>
        <v>#N/A</v>
      </c>
      <c r="S272" s="1742"/>
      <c r="T272" s="1476"/>
      <c r="U272" s="1476"/>
      <c r="V272" s="1476"/>
      <c r="W272" s="1476"/>
      <c r="X272" s="2909" t="e">
        <f t="shared" si="301"/>
        <v>#N/A</v>
      </c>
      <c r="Y272" s="1478"/>
      <c r="Z272" s="1070"/>
      <c r="AA272" s="1070"/>
      <c r="AB272" s="1070"/>
      <c r="AC272" s="1070"/>
      <c r="AD272" s="1070"/>
      <c r="AE272" s="1070"/>
      <c r="AF272" s="1070"/>
      <c r="AG272" s="1070"/>
      <c r="AH272" s="1070"/>
      <c r="AI272" s="1070"/>
      <c r="AJ272" s="1070"/>
      <c r="AK272" s="1070"/>
      <c r="AL272" s="1070"/>
      <c r="AM272" s="1070"/>
      <c r="AN272" s="1070"/>
      <c r="AO272" s="1070"/>
      <c r="AP272" s="1070"/>
      <c r="AQ272" s="1070"/>
      <c r="AR272" s="1070"/>
      <c r="AS272" s="1070"/>
      <c r="AT272" s="1070"/>
      <c r="AU272" s="1070"/>
      <c r="AV272" s="1070"/>
      <c r="AW272" s="1070"/>
      <c r="AX272" s="1070"/>
      <c r="AY272" s="1070"/>
      <c r="AZ272" s="1070"/>
      <c r="BA272" s="1070"/>
      <c r="BB272" s="1070"/>
      <c r="BC272" s="1070"/>
      <c r="BD272" s="1070"/>
      <c r="BE272" s="1070"/>
      <c r="BF272" s="1070"/>
      <c r="BG272" s="1070"/>
      <c r="BH272" s="1070"/>
      <c r="BI272" s="1070"/>
      <c r="BJ272" s="1070"/>
      <c r="BK272" s="1070"/>
      <c r="BL272" s="1070"/>
      <c r="BM272" s="1070"/>
      <c r="BN272" s="1070"/>
      <c r="BO272" s="1070"/>
      <c r="BP272" s="1070"/>
      <c r="BQ272" s="1070"/>
      <c r="BR272" s="1070"/>
      <c r="BS272" s="1070"/>
      <c r="BT272" s="1070"/>
      <c r="BU272" s="1070"/>
      <c r="BV272" s="1070"/>
      <c r="BW272" s="1070"/>
    </row>
    <row r="273" spans="1:75" outlineLevel="1" x14ac:dyDescent="0.3">
      <c r="A273" s="1070"/>
      <c r="B273" s="1070"/>
      <c r="C273" s="1070"/>
      <c r="D273" s="1527"/>
      <c r="E273" s="1142"/>
      <c r="F273" s="1142"/>
      <c r="G273" s="1142"/>
      <c r="H273" s="1564" t="s">
        <v>1144</v>
      </c>
      <c r="I273" s="1564" t="s">
        <v>1145</v>
      </c>
      <c r="J273" s="1564" t="s">
        <v>1143</v>
      </c>
      <c r="K273" s="1564">
        <f t="shared" si="303"/>
        <v>8</v>
      </c>
      <c r="L273" s="1142"/>
      <c r="M273" s="2907" t="str">
        <f t="shared" si="302"/>
        <v>May</v>
      </c>
      <c r="N273" s="1564"/>
      <c r="O273" s="1564"/>
      <c r="P273" s="1564"/>
      <c r="Q273" s="1564"/>
      <c r="R273" s="2908" t="e">
        <f t="shared" si="300"/>
        <v>#N/A</v>
      </c>
      <c r="S273" s="1742"/>
      <c r="T273" s="1476"/>
      <c r="U273" s="1476"/>
      <c r="V273" s="1476"/>
      <c r="W273" s="1476"/>
      <c r="X273" s="2909" t="e">
        <f t="shared" si="301"/>
        <v>#N/A</v>
      </c>
      <c r="Y273" s="1478"/>
      <c r="Z273" s="1070"/>
      <c r="AA273" s="1070"/>
      <c r="AB273" s="1070"/>
      <c r="AC273" s="1070"/>
      <c r="AD273" s="1070"/>
      <c r="AE273" s="1070"/>
      <c r="AF273" s="1070"/>
      <c r="AG273" s="1070"/>
      <c r="AH273" s="1070"/>
      <c r="AI273" s="1070"/>
      <c r="AJ273" s="1070"/>
      <c r="AK273" s="1070"/>
      <c r="AL273" s="1070"/>
      <c r="AM273" s="1070"/>
      <c r="AN273" s="1070"/>
      <c r="AO273" s="1070"/>
      <c r="AP273" s="1070"/>
      <c r="AQ273" s="1070"/>
      <c r="AR273" s="1070"/>
      <c r="AS273" s="1070"/>
      <c r="AT273" s="1070"/>
      <c r="AU273" s="1070"/>
      <c r="AV273" s="1070"/>
      <c r="AW273" s="1070"/>
      <c r="AX273" s="1070"/>
      <c r="AY273" s="1070"/>
      <c r="AZ273" s="1070"/>
      <c r="BA273" s="1070"/>
      <c r="BB273" s="1070"/>
      <c r="BC273" s="1070"/>
      <c r="BD273" s="1070"/>
      <c r="BE273" s="1070"/>
      <c r="BF273" s="1070"/>
      <c r="BG273" s="1070"/>
      <c r="BH273" s="1070"/>
      <c r="BI273" s="1070"/>
      <c r="BJ273" s="1070"/>
      <c r="BK273" s="1070"/>
      <c r="BL273" s="1070"/>
      <c r="BM273" s="1070"/>
      <c r="BN273" s="1070"/>
      <c r="BO273" s="1070"/>
      <c r="BP273" s="1070"/>
      <c r="BQ273" s="1070"/>
      <c r="BR273" s="1070"/>
      <c r="BS273" s="1070"/>
      <c r="BT273" s="1070"/>
      <c r="BU273" s="1070"/>
      <c r="BV273" s="1070"/>
      <c r="BW273" s="1070"/>
    </row>
    <row r="274" spans="1:75" outlineLevel="1" x14ac:dyDescent="0.3">
      <c r="A274" s="1070"/>
      <c r="B274" s="1070"/>
      <c r="C274" s="1070"/>
      <c r="D274" s="1527"/>
      <c r="E274" s="1142"/>
      <c r="F274" s="1142"/>
      <c r="G274" s="1142"/>
      <c r="H274" s="1564" t="s">
        <v>1145</v>
      </c>
      <c r="I274" s="1564" t="s">
        <v>1146</v>
      </c>
      <c r="J274" s="1564" t="s">
        <v>1144</v>
      </c>
      <c r="K274" s="1564">
        <f t="shared" si="303"/>
        <v>9</v>
      </c>
      <c r="L274" s="1142"/>
      <c r="M274" s="2907" t="str">
        <f t="shared" si="302"/>
        <v>Jun</v>
      </c>
      <c r="N274" s="1564"/>
      <c r="O274" s="1564"/>
      <c r="P274" s="1564"/>
      <c r="Q274" s="1564"/>
      <c r="R274" s="2908" t="e">
        <f t="shared" si="300"/>
        <v>#N/A</v>
      </c>
      <c r="S274" s="1742"/>
      <c r="T274" s="1476"/>
      <c r="U274" s="1476"/>
      <c r="V274" s="1476"/>
      <c r="W274" s="1476"/>
      <c r="X274" s="2909" t="e">
        <f t="shared" si="301"/>
        <v>#N/A</v>
      </c>
      <c r="Y274" s="1478"/>
      <c r="Z274" s="1070"/>
      <c r="AA274" s="1070"/>
      <c r="AB274" s="1070"/>
      <c r="AC274" s="1070"/>
      <c r="AD274" s="1070"/>
      <c r="AE274" s="1070"/>
      <c r="AF274" s="1070"/>
      <c r="AG274" s="1070"/>
      <c r="AH274" s="1070"/>
      <c r="AI274" s="1070"/>
      <c r="AJ274" s="1070"/>
      <c r="AK274" s="1070"/>
      <c r="AL274" s="1070"/>
      <c r="AM274" s="1070"/>
      <c r="AN274" s="1070"/>
      <c r="AO274" s="1070"/>
      <c r="AP274" s="1070"/>
      <c r="AQ274" s="1070"/>
      <c r="AR274" s="1070"/>
      <c r="AS274" s="1070"/>
      <c r="AT274" s="1070"/>
      <c r="AU274" s="1070"/>
      <c r="AV274" s="1070"/>
      <c r="AW274" s="1070"/>
      <c r="AX274" s="1070"/>
      <c r="AY274" s="1070"/>
      <c r="AZ274" s="1070"/>
      <c r="BA274" s="1070"/>
      <c r="BB274" s="1070"/>
      <c r="BC274" s="1070"/>
      <c r="BD274" s="1070"/>
      <c r="BE274" s="1070"/>
      <c r="BF274" s="1070"/>
      <c r="BG274" s="1070"/>
      <c r="BH274" s="1070"/>
      <c r="BI274" s="1070"/>
      <c r="BJ274" s="1070"/>
      <c r="BK274" s="1070"/>
      <c r="BL274" s="1070"/>
      <c r="BM274" s="1070"/>
      <c r="BN274" s="1070"/>
      <c r="BO274" s="1070"/>
      <c r="BP274" s="1070"/>
      <c r="BQ274" s="1070"/>
      <c r="BR274" s="1070"/>
      <c r="BS274" s="1070"/>
      <c r="BT274" s="1070"/>
      <c r="BU274" s="1070"/>
      <c r="BV274" s="1070"/>
      <c r="BW274" s="1070"/>
    </row>
    <row r="275" spans="1:75" outlineLevel="1" x14ac:dyDescent="0.3">
      <c r="A275" s="1070"/>
      <c r="B275" s="1070"/>
      <c r="C275" s="1070"/>
      <c r="D275" s="1527"/>
      <c r="E275" s="1142"/>
      <c r="F275" s="1142"/>
      <c r="G275" s="1142"/>
      <c r="H275" s="1564" t="s">
        <v>1146</v>
      </c>
      <c r="I275" s="1564" t="s">
        <v>1147</v>
      </c>
      <c r="J275" s="1564" t="s">
        <v>1145</v>
      </c>
      <c r="K275" s="1564">
        <f t="shared" si="303"/>
        <v>10</v>
      </c>
      <c r="L275" s="1142"/>
      <c r="M275" s="2907" t="str">
        <f t="shared" si="302"/>
        <v>Jul</v>
      </c>
      <c r="N275" s="1564"/>
      <c r="O275" s="1564"/>
      <c r="P275" s="1564"/>
      <c r="Q275" s="1564"/>
      <c r="R275" s="2908" t="e">
        <f t="shared" si="300"/>
        <v>#N/A</v>
      </c>
      <c r="S275" s="1742"/>
      <c r="T275" s="1476"/>
      <c r="U275" s="1476"/>
      <c r="V275" s="1476"/>
      <c r="W275" s="1476"/>
      <c r="X275" s="2909" t="e">
        <f t="shared" si="301"/>
        <v>#N/A</v>
      </c>
      <c r="Y275" s="1478"/>
      <c r="Z275" s="1070"/>
      <c r="AA275" s="1070"/>
      <c r="AB275" s="1070"/>
      <c r="AC275" s="1070"/>
      <c r="AD275" s="1070"/>
      <c r="AE275" s="1070"/>
      <c r="AF275" s="1070"/>
      <c r="AG275" s="1070"/>
      <c r="AH275" s="1070"/>
      <c r="AI275" s="1070"/>
      <c r="AJ275" s="1070"/>
      <c r="AK275" s="1070"/>
      <c r="AL275" s="1070"/>
      <c r="AM275" s="1070"/>
      <c r="AN275" s="1070"/>
      <c r="AO275" s="1070"/>
      <c r="AP275" s="1070"/>
      <c r="AQ275" s="1070"/>
      <c r="AR275" s="1070"/>
      <c r="AS275" s="1070"/>
      <c r="AT275" s="1070"/>
      <c r="AU275" s="1070"/>
      <c r="AV275" s="1070"/>
      <c r="AW275" s="1070"/>
      <c r="AX275" s="1070"/>
      <c r="AY275" s="1070"/>
      <c r="AZ275" s="1070"/>
      <c r="BA275" s="1070"/>
      <c r="BB275" s="1070"/>
      <c r="BC275" s="1070"/>
      <c r="BD275" s="1070"/>
      <c r="BE275" s="1070"/>
      <c r="BF275" s="1070"/>
      <c r="BG275" s="1070"/>
      <c r="BH275" s="1070"/>
      <c r="BI275" s="1070"/>
      <c r="BJ275" s="1070"/>
      <c r="BK275" s="1070"/>
      <c r="BL275" s="1070"/>
      <c r="BM275" s="1070"/>
      <c r="BN275" s="1070"/>
      <c r="BO275" s="1070"/>
      <c r="BP275" s="1070"/>
      <c r="BQ275" s="1070"/>
      <c r="BR275" s="1070"/>
      <c r="BS275" s="1070"/>
      <c r="BT275" s="1070"/>
      <c r="BU275" s="1070"/>
      <c r="BV275" s="1070"/>
      <c r="BW275" s="1070"/>
    </row>
    <row r="276" spans="1:75" outlineLevel="1" x14ac:dyDescent="0.3">
      <c r="A276" s="1070"/>
      <c r="B276" s="1070"/>
      <c r="C276" s="1070"/>
      <c r="D276" s="1527"/>
      <c r="E276" s="1142"/>
      <c r="F276" s="1142"/>
      <c r="G276" s="1142"/>
      <c r="H276" s="1564" t="s">
        <v>1147</v>
      </c>
      <c r="I276" s="1564" t="s">
        <v>1148</v>
      </c>
      <c r="J276" s="1564" t="s">
        <v>1146</v>
      </c>
      <c r="K276" s="1564">
        <f t="shared" si="303"/>
        <v>11</v>
      </c>
      <c r="L276" s="1142"/>
      <c r="M276" s="2907" t="str">
        <f t="shared" si="302"/>
        <v>Aug</v>
      </c>
      <c r="N276" s="1564"/>
      <c r="O276" s="1564"/>
      <c r="P276" s="1564"/>
      <c r="Q276" s="1564"/>
      <c r="R276" s="2908" t="e">
        <f t="shared" si="300"/>
        <v>#N/A</v>
      </c>
      <c r="S276" s="1742"/>
      <c r="T276" s="1476"/>
      <c r="U276" s="1476"/>
      <c r="V276" s="1476"/>
      <c r="W276" s="1476"/>
      <c r="X276" s="2909" t="e">
        <f t="shared" si="301"/>
        <v>#N/A</v>
      </c>
      <c r="Y276" s="1478"/>
      <c r="Z276" s="1070"/>
      <c r="AA276" s="1070"/>
      <c r="AB276" s="1070"/>
      <c r="AC276" s="1070"/>
      <c r="AD276" s="1070"/>
      <c r="AE276" s="1070"/>
      <c r="AF276" s="1070"/>
      <c r="AG276" s="1070"/>
      <c r="AH276" s="1070"/>
      <c r="AI276" s="1070"/>
      <c r="AJ276" s="1070"/>
      <c r="AK276" s="1070"/>
      <c r="AL276" s="1070"/>
      <c r="AM276" s="1070"/>
      <c r="AN276" s="1070"/>
      <c r="AO276" s="1070"/>
      <c r="AP276" s="1070"/>
      <c r="AQ276" s="1070"/>
      <c r="AR276" s="1070"/>
      <c r="AS276" s="1070"/>
      <c r="AT276" s="1070"/>
      <c r="AU276" s="1070"/>
      <c r="AV276" s="1070"/>
      <c r="AW276" s="1070"/>
      <c r="AX276" s="1070"/>
      <c r="AY276" s="1070"/>
      <c r="AZ276" s="1070"/>
      <c r="BA276" s="1070"/>
      <c r="BB276" s="1070"/>
      <c r="BC276" s="1070"/>
      <c r="BD276" s="1070"/>
      <c r="BE276" s="1070"/>
      <c r="BF276" s="1070"/>
      <c r="BG276" s="1070"/>
      <c r="BH276" s="1070"/>
      <c r="BI276" s="1070"/>
      <c r="BJ276" s="1070"/>
      <c r="BK276" s="1070"/>
      <c r="BL276" s="1070"/>
      <c r="BM276" s="1070"/>
      <c r="BN276" s="1070"/>
      <c r="BO276" s="1070"/>
      <c r="BP276" s="1070"/>
      <c r="BQ276" s="1070"/>
      <c r="BR276" s="1070"/>
      <c r="BS276" s="1070"/>
      <c r="BT276" s="1070"/>
      <c r="BU276" s="1070"/>
      <c r="BV276" s="1070"/>
      <c r="BW276" s="1070"/>
    </row>
    <row r="277" spans="1:75" outlineLevel="1" x14ac:dyDescent="0.3">
      <c r="A277" s="1070"/>
      <c r="B277" s="1070"/>
      <c r="C277" s="1070"/>
      <c r="D277" s="1527"/>
      <c r="E277" s="1142"/>
      <c r="F277" s="1142"/>
      <c r="G277" s="1142"/>
      <c r="H277" s="1564" t="s">
        <v>1148</v>
      </c>
      <c r="I277" s="1564" t="s">
        <v>1137</v>
      </c>
      <c r="J277" s="1564" t="s">
        <v>1147</v>
      </c>
      <c r="K277" s="1564">
        <f t="shared" si="303"/>
        <v>12</v>
      </c>
      <c r="L277" s="1142"/>
      <c r="M277" s="2910" t="str">
        <f t="shared" si="302"/>
        <v>Sep</v>
      </c>
      <c r="N277" s="2455"/>
      <c r="O277" s="2455"/>
      <c r="P277" s="2455"/>
      <c r="Q277" s="2455"/>
      <c r="R277" s="2911" t="e">
        <f t="shared" si="300"/>
        <v>#N/A</v>
      </c>
      <c r="S277" s="1742"/>
      <c r="T277" s="2810"/>
      <c r="U277" s="2810"/>
      <c r="V277" s="2810"/>
      <c r="W277" s="2810"/>
      <c r="X277" s="2912" t="e">
        <f t="shared" si="301"/>
        <v>#N/A</v>
      </c>
      <c r="Y277" s="1478"/>
      <c r="Z277" s="1070"/>
      <c r="AA277" s="1070"/>
      <c r="AB277" s="1070"/>
      <c r="AC277" s="1070"/>
      <c r="AD277" s="1070"/>
      <c r="AE277" s="1070"/>
      <c r="AF277" s="1070"/>
      <c r="AG277" s="1070"/>
      <c r="AH277" s="1070"/>
      <c r="AI277" s="1070"/>
      <c r="AJ277" s="1070"/>
      <c r="AK277" s="1070"/>
      <c r="AL277" s="1070"/>
      <c r="AM277" s="1070"/>
      <c r="AN277" s="1070"/>
      <c r="AO277" s="1070"/>
      <c r="AP277" s="1070"/>
      <c r="AQ277" s="1070"/>
      <c r="AR277" s="1070"/>
      <c r="AS277" s="1070"/>
      <c r="AT277" s="1070"/>
      <c r="AU277" s="1070"/>
      <c r="AV277" s="1070"/>
      <c r="AW277" s="1070"/>
      <c r="AX277" s="1070"/>
      <c r="AY277" s="1070"/>
      <c r="AZ277" s="1070"/>
      <c r="BA277" s="1070"/>
      <c r="BB277" s="1070"/>
      <c r="BC277" s="1070"/>
      <c r="BD277" s="1070"/>
      <c r="BE277" s="1070"/>
      <c r="BF277" s="1070"/>
      <c r="BG277" s="1070"/>
      <c r="BH277" s="1070"/>
      <c r="BI277" s="1070"/>
      <c r="BJ277" s="1070"/>
      <c r="BK277" s="1070"/>
      <c r="BL277" s="1070"/>
      <c r="BM277" s="1070"/>
      <c r="BN277" s="1070"/>
      <c r="BO277" s="1070"/>
      <c r="BP277" s="1070"/>
      <c r="BQ277" s="1070"/>
      <c r="BR277" s="1070"/>
      <c r="BS277" s="1070"/>
      <c r="BT277" s="1070"/>
      <c r="BU277" s="1070"/>
      <c r="BV277" s="1070"/>
      <c r="BW277" s="1070"/>
    </row>
    <row r="278" spans="1:75" outlineLevel="1" x14ac:dyDescent="0.3">
      <c r="A278" s="1070"/>
      <c r="B278" s="1070"/>
      <c r="C278" s="1070"/>
      <c r="D278" s="1527"/>
      <c r="E278" s="1142"/>
      <c r="F278" s="1142"/>
      <c r="G278" s="1142"/>
      <c r="H278" s="1564"/>
      <c r="I278" s="1564"/>
      <c r="J278" s="1564"/>
      <c r="K278" s="1564">
        <f>SUM(K266:K277)</f>
        <v>78</v>
      </c>
      <c r="L278" s="1142"/>
      <c r="M278" s="1164" t="s">
        <v>1738</v>
      </c>
      <c r="N278" s="2894"/>
      <c r="O278" s="2913" t="e">
        <f>SUM(N265:Q265,R266:R277)</f>
        <v>#VALUE!</v>
      </c>
      <c r="P278" s="1564"/>
      <c r="Q278" s="1564"/>
      <c r="R278" s="1142" t="e">
        <f>MATCH($R$264,$H$266:$H$277,0)</f>
        <v>#N/A</v>
      </c>
      <c r="S278" s="1709"/>
      <c r="T278" s="2914" t="str">
        <f>M278</f>
        <v>Total 16Q Revenues</v>
      </c>
      <c r="U278" s="2915" t="e">
        <f>SUM(T265:W265,X266:X277)</f>
        <v>#VALUE!</v>
      </c>
      <c r="V278" s="1476"/>
      <c r="W278" s="1476"/>
      <c r="X278" s="1116" t="e">
        <f>MATCH($X$264,$H$266:$H$277,0)</f>
        <v>#N/A</v>
      </c>
      <c r="Y278" s="1478"/>
      <c r="Z278" s="1070"/>
      <c r="AA278" s="1070"/>
      <c r="AB278" s="1070"/>
      <c r="AC278" s="1070"/>
      <c r="AD278" s="1070"/>
      <c r="AE278" s="1070"/>
      <c r="AF278" s="1070"/>
      <c r="AG278" s="1070"/>
      <c r="AH278" s="1070"/>
      <c r="AI278" s="1070"/>
      <c r="AJ278" s="1070"/>
      <c r="AK278" s="1070"/>
      <c r="AL278" s="1070"/>
      <c r="AM278" s="1070"/>
      <c r="AN278" s="1070"/>
      <c r="AO278" s="1070"/>
      <c r="AP278" s="1070"/>
      <c r="AQ278" s="1070"/>
      <c r="AR278" s="1070"/>
      <c r="AS278" s="1070"/>
      <c r="AT278" s="1070"/>
      <c r="AU278" s="1070"/>
      <c r="AV278" s="1070"/>
      <c r="AW278" s="1070"/>
      <c r="AX278" s="1070"/>
      <c r="AY278" s="1070"/>
      <c r="AZ278" s="1070"/>
      <c r="BA278" s="1070"/>
      <c r="BB278" s="1070"/>
      <c r="BC278" s="1070"/>
      <c r="BD278" s="1070"/>
      <c r="BE278" s="1070"/>
      <c r="BF278" s="1070"/>
      <c r="BG278" s="1070"/>
      <c r="BH278" s="1070"/>
      <c r="BI278" s="1070"/>
      <c r="BJ278" s="1070"/>
      <c r="BK278" s="1070"/>
      <c r="BL278" s="1070"/>
      <c r="BM278" s="1070"/>
      <c r="BN278" s="1070"/>
      <c r="BO278" s="1070"/>
      <c r="BP278" s="1070"/>
      <c r="BQ278" s="1070"/>
      <c r="BR278" s="1070"/>
      <c r="BS278" s="1070"/>
      <c r="BT278" s="1070"/>
      <c r="BU278" s="1070"/>
      <c r="BV278" s="1070"/>
      <c r="BW278" s="1070"/>
    </row>
    <row r="279" spans="1:75" outlineLevel="1" x14ac:dyDescent="0.3">
      <c r="A279" s="1070"/>
      <c r="B279" s="1070"/>
      <c r="C279" s="1070"/>
      <c r="D279" s="1527"/>
      <c r="E279" s="1142"/>
      <c r="F279" s="1142"/>
      <c r="G279" s="1142"/>
      <c r="H279" s="1564"/>
      <c r="I279" s="1564"/>
      <c r="J279" s="1564"/>
      <c r="K279" s="1564"/>
      <c r="L279" s="1142"/>
      <c r="M279" s="1745"/>
      <c r="N279" s="2916"/>
      <c r="O279" s="2917"/>
      <c r="P279" s="1564"/>
      <c r="Q279" s="1564"/>
      <c r="R279" s="1142"/>
      <c r="S279" s="1709"/>
      <c r="T279" s="2918"/>
      <c r="U279" s="2917"/>
      <c r="V279" s="1564"/>
      <c r="W279" s="1564"/>
      <c r="X279" s="1564"/>
      <c r="Y279" s="1478"/>
      <c r="Z279" s="1070"/>
      <c r="AA279" s="1070"/>
      <c r="AB279" s="1070"/>
      <c r="AC279" s="1070"/>
      <c r="AD279" s="1070"/>
      <c r="AE279" s="1070"/>
      <c r="AF279" s="1070"/>
      <c r="AG279" s="1070"/>
      <c r="AH279" s="1070"/>
      <c r="AI279" s="1070"/>
      <c r="AJ279" s="1070"/>
      <c r="AK279" s="1070"/>
      <c r="AL279" s="1070"/>
      <c r="AM279" s="1070"/>
      <c r="AN279" s="1070"/>
      <c r="AO279" s="1070"/>
      <c r="AP279" s="1070"/>
      <c r="AQ279" s="1070"/>
      <c r="AR279" s="1070"/>
      <c r="AS279" s="1070"/>
      <c r="AT279" s="1070"/>
      <c r="AU279" s="1070"/>
      <c r="AV279" s="1070"/>
      <c r="AW279" s="1070"/>
      <c r="AX279" s="1070"/>
      <c r="AY279" s="1070"/>
      <c r="AZ279" s="1070"/>
      <c r="BA279" s="1070"/>
      <c r="BB279" s="1070"/>
      <c r="BC279" s="1070"/>
      <c r="BD279" s="1070"/>
      <c r="BE279" s="1070"/>
      <c r="BF279" s="1070"/>
      <c r="BG279" s="1070"/>
      <c r="BH279" s="1070"/>
      <c r="BI279" s="1070"/>
      <c r="BJ279" s="1070"/>
      <c r="BK279" s="1070"/>
      <c r="BL279" s="1070"/>
      <c r="BM279" s="1070"/>
      <c r="BN279" s="1070"/>
      <c r="BO279" s="1070"/>
      <c r="BP279" s="1070"/>
      <c r="BQ279" s="1070"/>
      <c r="BR279" s="1070"/>
      <c r="BS279" s="1070"/>
      <c r="BT279" s="1070"/>
      <c r="BU279" s="1070"/>
      <c r="BV279" s="1070"/>
      <c r="BW279" s="1070"/>
    </row>
    <row r="280" spans="1:75" outlineLevel="1" x14ac:dyDescent="0.3">
      <c r="A280" s="1070"/>
      <c r="B280" s="1070"/>
      <c r="C280" s="1070"/>
      <c r="D280" s="1527"/>
      <c r="E280" s="1142"/>
      <c r="F280" s="1142"/>
      <c r="G280" s="1070"/>
      <c r="H280" s="1070"/>
      <c r="I280" s="1070"/>
      <c r="J280" s="1070"/>
      <c r="K280" s="1564"/>
      <c r="L280" s="1142"/>
      <c r="M280" s="1745"/>
      <c r="N280" s="2916"/>
      <c r="O280" s="2917"/>
      <c r="P280" s="1564"/>
      <c r="Q280" s="1564"/>
      <c r="R280" s="1142"/>
      <c r="S280" s="1709"/>
      <c r="T280" s="2918"/>
      <c r="U280" s="2917"/>
      <c r="V280" s="1564"/>
      <c r="W280" s="1564"/>
      <c r="X280" s="1564"/>
      <c r="Y280" s="1478"/>
      <c r="Z280" s="1070"/>
      <c r="AA280" s="1070"/>
      <c r="AB280" s="1070"/>
      <c r="AC280" s="1070"/>
      <c r="AD280" s="1070"/>
      <c r="AE280" s="1070"/>
      <c r="AF280" s="1070"/>
      <c r="AG280" s="1070"/>
      <c r="AH280" s="1070"/>
      <c r="AI280" s="1070"/>
      <c r="AJ280" s="1070"/>
      <c r="AK280" s="1070"/>
      <c r="AL280" s="1070"/>
      <c r="AM280" s="1070"/>
      <c r="AN280" s="1070"/>
      <c r="AO280" s="1070"/>
      <c r="AP280" s="1070"/>
      <c r="AQ280" s="1070"/>
      <c r="AR280" s="1070"/>
      <c r="AS280" s="1070"/>
      <c r="AT280" s="1070"/>
      <c r="AU280" s="1070"/>
      <c r="AV280" s="1070"/>
      <c r="AW280" s="1070"/>
      <c r="AX280" s="1070"/>
      <c r="AY280" s="1070"/>
      <c r="AZ280" s="1070"/>
      <c r="BA280" s="1070"/>
      <c r="BB280" s="1070"/>
      <c r="BC280" s="1070"/>
      <c r="BD280" s="1070"/>
      <c r="BE280" s="1070"/>
      <c r="BF280" s="1070"/>
      <c r="BG280" s="1070"/>
      <c r="BH280" s="1070"/>
      <c r="BI280" s="1070"/>
      <c r="BJ280" s="1070"/>
      <c r="BK280" s="1070"/>
      <c r="BL280" s="1070"/>
      <c r="BM280" s="1070"/>
      <c r="BN280" s="1070"/>
      <c r="BO280" s="1070"/>
      <c r="BP280" s="1070"/>
      <c r="BQ280" s="1070"/>
      <c r="BR280" s="1070"/>
      <c r="BS280" s="1070"/>
      <c r="BT280" s="1070"/>
      <c r="BU280" s="1070"/>
      <c r="BV280" s="1070"/>
      <c r="BW280" s="1070"/>
    </row>
    <row r="281" spans="1:75" ht="15" outlineLevel="1" thickBot="1" x14ac:dyDescent="0.35">
      <c r="A281" s="1070"/>
      <c r="B281" s="1070"/>
      <c r="C281" s="1070"/>
      <c r="D281" s="1710"/>
      <c r="E281" s="1515"/>
      <c r="F281" s="1515"/>
      <c r="G281" s="1515"/>
      <c r="H281" s="1515"/>
      <c r="I281" s="1515"/>
      <c r="J281" s="1515"/>
      <c r="K281" s="1515"/>
      <c r="L281" s="1515"/>
      <c r="M281" s="1515"/>
      <c r="N281" s="1515"/>
      <c r="O281" s="1515"/>
      <c r="P281" s="1515"/>
      <c r="Q281" s="1515"/>
      <c r="R281" s="1515"/>
      <c r="S281" s="1515"/>
      <c r="T281" s="1515"/>
      <c r="U281" s="1515"/>
      <c r="V281" s="1515"/>
      <c r="W281" s="1515"/>
      <c r="X281" s="1515"/>
      <c r="Y281" s="1516"/>
      <c r="Z281" s="1070"/>
      <c r="AA281" s="1070"/>
      <c r="AB281" s="1070"/>
      <c r="AC281" s="1070"/>
      <c r="AD281" s="1070"/>
      <c r="AE281" s="1070"/>
      <c r="AF281" s="1070"/>
      <c r="AG281" s="1070"/>
      <c r="AH281" s="1070"/>
      <c r="AI281" s="1070"/>
      <c r="AJ281" s="1070"/>
      <c r="AK281" s="1070"/>
      <c r="AL281" s="1070"/>
      <c r="AM281" s="1070"/>
      <c r="AN281" s="1070"/>
      <c r="AO281" s="1070"/>
      <c r="AP281" s="1070"/>
      <c r="AQ281" s="1070"/>
      <c r="AR281" s="1070"/>
      <c r="AS281" s="1070"/>
      <c r="AT281" s="1070"/>
      <c r="AU281" s="1070"/>
      <c r="AV281" s="1070"/>
      <c r="AW281" s="1070"/>
      <c r="AX281" s="1070"/>
      <c r="AY281" s="1070"/>
      <c r="AZ281" s="1070"/>
      <c r="BA281" s="1070"/>
      <c r="BB281" s="1070"/>
      <c r="BC281" s="1070"/>
      <c r="BD281" s="1070"/>
      <c r="BE281" s="1070"/>
      <c r="BF281" s="1070"/>
      <c r="BG281" s="1070"/>
      <c r="BH281" s="1070"/>
      <c r="BI281" s="1070"/>
      <c r="BJ281" s="1070"/>
      <c r="BK281" s="1070"/>
      <c r="BL281" s="1070"/>
      <c r="BM281" s="1070"/>
      <c r="BN281" s="1070"/>
      <c r="BO281" s="1070"/>
      <c r="BP281" s="1070"/>
      <c r="BQ281" s="1070"/>
      <c r="BR281" s="1070"/>
      <c r="BS281" s="1070"/>
      <c r="BT281" s="1070"/>
      <c r="BU281" s="1070"/>
      <c r="BV281" s="1070"/>
      <c r="BW281" s="1070"/>
    </row>
    <row r="282" spans="1:75" outlineLevel="1" x14ac:dyDescent="0.3">
      <c r="A282" s="1070"/>
      <c r="B282" s="1070"/>
      <c r="C282" s="1070"/>
      <c r="D282" s="1070"/>
      <c r="E282" s="1070"/>
      <c r="F282" s="1070"/>
      <c r="G282" s="1070"/>
      <c r="H282" s="1070"/>
      <c r="I282" s="1070"/>
      <c r="J282" s="1070"/>
      <c r="K282" s="1070"/>
      <c r="L282" s="1070"/>
      <c r="M282" s="1070"/>
      <c r="N282" s="1070"/>
      <c r="O282" s="1070"/>
      <c r="P282" s="1070"/>
      <c r="Q282" s="1070"/>
      <c r="R282" s="1070"/>
      <c r="S282" s="1070"/>
      <c r="T282" s="1070"/>
      <c r="U282" s="1070"/>
      <c r="V282" s="1070"/>
      <c r="W282" s="1070"/>
      <c r="X282" s="1070"/>
      <c r="Y282" s="1070"/>
      <c r="Z282" s="1070"/>
      <c r="AA282" s="1070"/>
      <c r="AB282" s="1070"/>
      <c r="AC282" s="1070"/>
      <c r="AD282" s="1070"/>
      <c r="AE282" s="1070"/>
      <c r="AF282" s="1070"/>
      <c r="AG282" s="1070"/>
      <c r="AH282" s="1070"/>
      <c r="AI282" s="1070"/>
      <c r="AJ282" s="1070"/>
      <c r="AK282" s="1070"/>
      <c r="AL282" s="1070"/>
      <c r="AM282" s="1070"/>
      <c r="AN282" s="1070"/>
      <c r="AO282" s="1070"/>
      <c r="AP282" s="1070"/>
      <c r="AQ282" s="1070"/>
      <c r="AR282" s="1070"/>
      <c r="AS282" s="1070"/>
      <c r="AT282" s="1070"/>
      <c r="AU282" s="1070"/>
      <c r="AV282" s="1070"/>
      <c r="AW282" s="1070"/>
      <c r="AX282" s="1070"/>
      <c r="AY282" s="1070"/>
      <c r="AZ282" s="1070"/>
      <c r="BA282" s="1070"/>
      <c r="BB282" s="1070"/>
      <c r="BC282" s="1070"/>
      <c r="BD282" s="1070"/>
      <c r="BE282" s="1070"/>
      <c r="BF282" s="1070"/>
      <c r="BG282" s="1070"/>
      <c r="BH282" s="1070"/>
      <c r="BI282" s="1070"/>
      <c r="BJ282" s="1070"/>
      <c r="BK282" s="1070"/>
      <c r="BL282" s="1070"/>
      <c r="BM282" s="1070"/>
      <c r="BN282" s="1070"/>
      <c r="BO282" s="1070"/>
      <c r="BP282" s="1070"/>
      <c r="BQ282" s="1070"/>
      <c r="BR282" s="1070"/>
      <c r="BS282" s="1070"/>
      <c r="BT282" s="1070"/>
      <c r="BU282" s="1070"/>
      <c r="BV282" s="1070"/>
      <c r="BW282" s="1070"/>
    </row>
    <row r="283" spans="1:75" x14ac:dyDescent="0.3">
      <c r="A283" s="1070"/>
      <c r="B283" s="1070"/>
      <c r="C283" s="1070"/>
      <c r="D283" s="1070"/>
      <c r="E283" s="1070"/>
      <c r="F283" s="1070"/>
      <c r="G283" s="1070"/>
      <c r="H283" s="1070"/>
      <c r="I283" s="1070"/>
      <c r="J283" s="1070"/>
      <c r="K283" s="1070"/>
      <c r="L283" s="1070"/>
      <c r="M283" s="1070"/>
      <c r="N283" s="1070"/>
      <c r="O283" s="1070"/>
      <c r="P283" s="1070"/>
      <c r="Q283" s="1070"/>
      <c r="R283" s="1070"/>
      <c r="S283" s="1070"/>
      <c r="T283" s="1070"/>
      <c r="U283" s="1070"/>
      <c r="V283" s="1070"/>
      <c r="W283" s="1070"/>
      <c r="X283" s="1070"/>
      <c r="Y283" s="1070"/>
      <c r="Z283" s="1070"/>
      <c r="AA283" s="1070"/>
      <c r="AB283" s="1070"/>
      <c r="AC283" s="1070"/>
      <c r="AD283" s="1070"/>
      <c r="AE283" s="1070"/>
      <c r="AF283" s="1070"/>
      <c r="AG283" s="1070"/>
      <c r="AH283" s="1070"/>
      <c r="AI283" s="1070"/>
      <c r="AJ283" s="2136"/>
      <c r="AK283" s="1070"/>
      <c r="AL283" s="1070"/>
      <c r="AM283" s="1070"/>
      <c r="AN283" s="1070"/>
      <c r="AO283" s="1070"/>
      <c r="AP283" s="1070"/>
      <c r="AQ283" s="1070"/>
      <c r="AR283" s="1070"/>
      <c r="AS283" s="1070"/>
      <c r="AT283" s="1070"/>
      <c r="AU283" s="1070"/>
      <c r="AV283" s="1070"/>
      <c r="AW283" s="1070"/>
      <c r="AX283" s="1070"/>
      <c r="AY283" s="1070"/>
      <c r="AZ283" s="1070"/>
      <c r="BA283" s="1070"/>
      <c r="BB283" s="1070"/>
      <c r="BC283" s="1070"/>
      <c r="BD283" s="1070"/>
      <c r="BE283" s="1070"/>
      <c r="BF283" s="1070"/>
      <c r="BG283" s="1070"/>
      <c r="BH283" s="1070"/>
      <c r="BI283" s="1070"/>
      <c r="BJ283" s="1070"/>
      <c r="BK283" s="1070"/>
      <c r="BL283" s="1070"/>
      <c r="BM283" s="1070"/>
      <c r="BN283" s="1070"/>
      <c r="BO283" s="1070"/>
      <c r="BP283" s="1070"/>
      <c r="BQ283" s="1070"/>
      <c r="BR283" s="1070"/>
      <c r="BS283" s="1070"/>
      <c r="BT283" s="1070"/>
      <c r="BU283" s="1070"/>
      <c r="BV283" s="1070"/>
      <c r="BW283" s="1070"/>
    </row>
    <row r="284" spans="1:75" ht="15" thickBot="1" x14ac:dyDescent="0.35">
      <c r="A284" s="1070"/>
      <c r="B284" s="1070"/>
      <c r="C284" s="1070"/>
      <c r="D284" s="1070"/>
      <c r="E284" s="1070"/>
      <c r="F284" s="1070"/>
      <c r="G284" s="1070"/>
      <c r="H284" s="1070"/>
      <c r="I284" s="1070"/>
      <c r="J284" s="1070"/>
      <c r="K284" s="1070"/>
      <c r="L284" s="1070"/>
      <c r="M284" s="1070"/>
      <c r="N284" s="1070"/>
      <c r="O284" s="1070"/>
      <c r="P284" s="1070"/>
      <c r="Q284" s="1070"/>
      <c r="R284" s="1070"/>
      <c r="S284" s="1070"/>
      <c r="T284" s="1070"/>
      <c r="U284" s="1070"/>
      <c r="V284" s="1070"/>
      <c r="W284" s="1070"/>
      <c r="X284" s="1070"/>
      <c r="Y284" s="1070"/>
      <c r="Z284" s="1070"/>
      <c r="AA284" s="1070"/>
      <c r="AB284" s="1070"/>
      <c r="AC284" s="1070"/>
      <c r="AD284" s="1070"/>
      <c r="AE284" s="1070"/>
      <c r="AF284" s="1070"/>
      <c r="AG284" s="1070"/>
      <c r="AH284" s="1070"/>
      <c r="AI284" s="1070"/>
      <c r="AJ284" s="2136"/>
      <c r="AK284" s="1070"/>
      <c r="AL284" s="1070"/>
      <c r="AM284" s="1070"/>
      <c r="AN284" s="1070"/>
      <c r="AO284" s="1070"/>
      <c r="AP284" s="1070"/>
      <c r="AQ284" s="1070"/>
      <c r="AR284" s="1070"/>
      <c r="AS284" s="1070"/>
      <c r="AT284" s="1070"/>
      <c r="AU284" s="1070"/>
      <c r="AV284" s="1070"/>
      <c r="AW284" s="1070"/>
      <c r="AX284" s="1070"/>
      <c r="AY284" s="1070"/>
      <c r="AZ284" s="1070"/>
      <c r="BA284" s="1070"/>
      <c r="BB284" s="1070"/>
      <c r="BC284" s="1070"/>
      <c r="BD284" s="1070"/>
      <c r="BE284" s="1070"/>
      <c r="BF284" s="1070"/>
      <c r="BG284" s="1070"/>
      <c r="BH284" s="1070"/>
      <c r="BI284" s="1070"/>
      <c r="BJ284" s="1070"/>
      <c r="BK284" s="1070"/>
      <c r="BL284" s="1070"/>
      <c r="BM284" s="1070"/>
      <c r="BN284" s="1070"/>
      <c r="BO284" s="1070"/>
      <c r="BP284" s="1070"/>
      <c r="BQ284" s="1070"/>
      <c r="BR284" s="1070"/>
      <c r="BS284" s="1070"/>
      <c r="BT284" s="1070"/>
      <c r="BU284" s="1070"/>
    </row>
    <row r="285" spans="1:75" x14ac:dyDescent="0.3">
      <c r="A285" s="1517"/>
      <c r="B285" s="1518" t="s">
        <v>1496</v>
      </c>
      <c r="C285" s="1519"/>
      <c r="D285" s="1520"/>
      <c r="E285" s="1521"/>
      <c r="F285" s="1522"/>
      <c r="G285" s="1523"/>
      <c r="H285" s="1523"/>
      <c r="I285" s="1523"/>
      <c r="J285" s="1523"/>
      <c r="K285" s="1523"/>
      <c r="L285" s="1523"/>
      <c r="M285" s="1523"/>
      <c r="N285" s="1522"/>
      <c r="O285" s="1522"/>
      <c r="P285" s="1522"/>
      <c r="Q285" s="1522"/>
      <c r="R285" s="1522"/>
      <c r="S285" s="1522"/>
      <c r="T285" s="1522"/>
      <c r="U285" s="1522"/>
      <c r="V285" s="1522"/>
      <c r="W285" s="1522"/>
      <c r="X285" s="1522"/>
      <c r="Y285" s="1522"/>
      <c r="Z285" s="1522"/>
      <c r="AA285" s="1522"/>
      <c r="AB285" s="1522"/>
      <c r="AC285" s="1522"/>
      <c r="AD285" s="1522"/>
      <c r="AE285" s="1522"/>
      <c r="AF285" s="1522"/>
      <c r="AG285" s="1522"/>
      <c r="AH285" s="1522"/>
      <c r="AI285" s="1522"/>
      <c r="AJ285" s="1472"/>
      <c r="AK285" s="1472"/>
      <c r="AL285" s="1472"/>
      <c r="AM285" s="1472"/>
      <c r="AN285" s="1472"/>
      <c r="AO285" s="1525"/>
      <c r="AP285" s="1472"/>
      <c r="AQ285" s="1472"/>
      <c r="AR285" s="1472"/>
      <c r="AS285" s="1472"/>
      <c r="AT285" s="1472"/>
      <c r="AU285" s="1472"/>
      <c r="AV285" s="1472"/>
      <c r="AW285" s="1472"/>
      <c r="AX285" s="1472"/>
      <c r="AY285" s="1472"/>
      <c r="AZ285" s="1472"/>
      <c r="BA285" s="1472"/>
      <c r="BB285" s="1472"/>
      <c r="BC285" s="1472"/>
      <c r="BD285" s="1472"/>
      <c r="BE285" s="1472"/>
      <c r="BF285" s="1472"/>
      <c r="BG285" s="1472"/>
      <c r="BH285" s="1472"/>
      <c r="BI285" s="1472"/>
      <c r="BJ285" s="1472"/>
      <c r="BK285" s="1472"/>
      <c r="BL285" s="1472"/>
      <c r="BM285" s="1472"/>
      <c r="BN285" s="1472"/>
      <c r="BO285" s="1472"/>
      <c r="BP285" s="1472"/>
      <c r="BQ285" s="1472"/>
      <c r="BR285" s="1472"/>
      <c r="BS285" s="1472"/>
      <c r="BT285" s="1472"/>
      <c r="BU285" s="1473"/>
      <c r="BV285" s="1070"/>
      <c r="BW285" s="1070"/>
    </row>
    <row r="286" spans="1:75" x14ac:dyDescent="0.3">
      <c r="A286" s="1527"/>
      <c r="B286" s="1142"/>
      <c r="C286" s="1142"/>
      <c r="D286" s="1352"/>
      <c r="E286" s="1528"/>
      <c r="F286" s="1529"/>
      <c r="G286" s="1530"/>
      <c r="H286" s="1530"/>
      <c r="I286" s="1530"/>
      <c r="J286" s="1530"/>
      <c r="K286" s="1530"/>
      <c r="L286" s="1530"/>
      <c r="M286" s="1530"/>
      <c r="N286" s="1529"/>
      <c r="O286" s="1529"/>
      <c r="P286" s="2018"/>
      <c r="Q286" s="1529"/>
      <c r="R286" s="1529"/>
      <c r="S286" s="1529"/>
      <c r="T286" s="1529"/>
      <c r="U286" s="1529"/>
      <c r="V286" s="1529"/>
      <c r="W286" s="1529"/>
      <c r="X286" s="1529"/>
      <c r="Y286" s="1529"/>
      <c r="Z286" s="1529"/>
      <c r="AA286" s="1529"/>
      <c r="AB286" s="1529"/>
      <c r="AC286" s="1529"/>
      <c r="AD286" s="1529"/>
      <c r="AE286" s="1529"/>
      <c r="AF286" s="1529"/>
      <c r="AG286" s="1529"/>
      <c r="AH286" s="1529"/>
      <c r="AI286" s="1529"/>
      <c r="AJ286" s="1142"/>
      <c r="AK286" s="1142"/>
      <c r="AL286" s="1142"/>
      <c r="AM286" s="1142"/>
      <c r="AN286" s="1142"/>
      <c r="AO286" s="1149"/>
      <c r="AP286" s="1142"/>
      <c r="AQ286" s="1142"/>
      <c r="AR286" s="1142"/>
      <c r="AS286" s="1142"/>
      <c r="AT286" s="1142"/>
      <c r="AU286" s="1142"/>
      <c r="AV286" s="1142"/>
      <c r="AW286" s="1142"/>
      <c r="AX286" s="1142"/>
      <c r="AY286" s="1142"/>
      <c r="AZ286" s="1142"/>
      <c r="BA286" s="1142"/>
      <c r="BB286" s="1142"/>
      <c r="BC286" s="1142"/>
      <c r="BD286" s="1142"/>
      <c r="BE286" s="1142"/>
      <c r="BF286" s="1142"/>
      <c r="BG286" s="1142"/>
      <c r="BH286" s="1142"/>
      <c r="BI286" s="1142"/>
      <c r="BJ286" s="1142"/>
      <c r="BK286" s="1142"/>
      <c r="BL286" s="1142"/>
      <c r="BM286" s="1142"/>
      <c r="BN286" s="1142"/>
      <c r="BO286" s="1142"/>
      <c r="BP286" s="1142"/>
      <c r="BQ286" s="1142"/>
      <c r="BR286" s="1142"/>
      <c r="BS286" s="1142"/>
      <c r="BT286" s="1142"/>
      <c r="BU286" s="1478"/>
      <c r="BV286" s="1070"/>
      <c r="BW286" s="1070"/>
    </row>
    <row r="287" spans="1:75" outlineLevel="1" x14ac:dyDescent="0.3">
      <c r="A287" s="1527"/>
      <c r="B287" s="1479" t="str">
        <f>"Discounted FCFs (Present Value at "&amp;Comp&amp;" FY)"</f>
        <v>Discounted FCFs (Present Value at Def Exit FY)</v>
      </c>
      <c r="C287" s="1159"/>
      <c r="D287" s="1322"/>
      <c r="E287" s="1323"/>
      <c r="F287" s="1534"/>
      <c r="G287" s="1534" t="s">
        <v>1363</v>
      </c>
      <c r="H287" s="1534" t="s">
        <v>1364</v>
      </c>
      <c r="I287" s="1533"/>
      <c r="J287" s="1533"/>
      <c r="K287" s="1533"/>
      <c r="L287" s="1533"/>
      <c r="M287" s="1533"/>
      <c r="N287" s="1535"/>
      <c r="O287" s="1535"/>
      <c r="P287" s="1535"/>
      <c r="Q287" s="1535"/>
      <c r="R287" s="1535"/>
      <c r="S287" s="1535"/>
      <c r="T287" s="1535"/>
      <c r="U287" s="1535"/>
      <c r="V287" s="1535"/>
      <c r="W287" s="1535"/>
      <c r="X287" s="1535"/>
      <c r="Y287" s="1535"/>
      <c r="Z287" s="1535"/>
      <c r="AA287" s="1535"/>
      <c r="AB287" s="1535"/>
      <c r="AC287" s="1535"/>
      <c r="AD287" s="1535"/>
      <c r="AE287" s="1535"/>
      <c r="AF287" s="1535"/>
      <c r="AG287" s="1535"/>
      <c r="AH287" s="1535"/>
      <c r="AI287" s="1535"/>
      <c r="AJ287" s="1186"/>
      <c r="AK287" s="1142"/>
      <c r="AL287" s="1142"/>
      <c r="AM287" s="1142"/>
      <c r="AN287" s="1142"/>
      <c r="AO287" s="1149"/>
      <c r="AP287" s="1142"/>
      <c r="AQ287" s="1479" t="str">
        <f>"Discounted FCFs (Present Value to "&amp;Comp&amp;" FY)"</f>
        <v>Discounted FCFs (Present Value to Def Exit FY)</v>
      </c>
      <c r="AR287" s="1533"/>
      <c r="AS287" s="1533"/>
      <c r="AT287" s="1533"/>
      <c r="AU287" s="1533"/>
      <c r="AV287" s="1533"/>
      <c r="AW287" s="1533"/>
      <c r="AX287" s="1535"/>
      <c r="AY287" s="1535"/>
      <c r="AZ287" s="1535"/>
      <c r="BA287" s="1535"/>
      <c r="BB287" s="1535"/>
      <c r="BC287" s="1535"/>
      <c r="BD287" s="1535"/>
      <c r="BE287" s="1535"/>
      <c r="BF287" s="1535"/>
      <c r="BG287" s="1535"/>
      <c r="BH287" s="1535"/>
      <c r="BI287" s="1535"/>
      <c r="BJ287" s="1535"/>
      <c r="BK287" s="1535"/>
      <c r="BL287" s="1535"/>
      <c r="BM287" s="1535"/>
      <c r="BN287" s="1535"/>
      <c r="BO287" s="1535"/>
      <c r="BP287" s="1535"/>
      <c r="BQ287" s="1535"/>
      <c r="BR287" s="1535"/>
      <c r="BS287" s="1535"/>
      <c r="BT287" s="1186"/>
      <c r="BU287" s="1478"/>
      <c r="BV287" s="1070"/>
      <c r="BW287" s="1070"/>
    </row>
    <row r="288" spans="1:75" outlineLevel="1" x14ac:dyDescent="0.3">
      <c r="A288" s="1527"/>
      <c r="B288" s="1149"/>
      <c r="C288" s="1536"/>
      <c r="D288" s="1352"/>
      <c r="E288" s="1528"/>
      <c r="F288" s="1070"/>
      <c r="G288" s="1538">
        <f t="shared" ref="G288:AI288" si="304">G113</f>
        <v>18</v>
      </c>
      <c r="H288" s="1539">
        <f t="shared" si="304"/>
        <v>19</v>
      </c>
      <c r="I288" s="1539">
        <f t="shared" si="304"/>
        <v>20</v>
      </c>
      <c r="J288" s="1539">
        <f t="shared" si="304"/>
        <v>21</v>
      </c>
      <c r="K288" s="1539">
        <f t="shared" si="304"/>
        <v>22</v>
      </c>
      <c r="L288" s="1539">
        <f t="shared" si="304"/>
        <v>23</v>
      </c>
      <c r="M288" s="1539">
        <f t="shared" si="304"/>
        <v>24</v>
      </c>
      <c r="N288" s="1539">
        <f t="shared" si="304"/>
        <v>25</v>
      </c>
      <c r="O288" s="1539">
        <f t="shared" si="304"/>
        <v>26</v>
      </c>
      <c r="P288" s="1539">
        <f t="shared" si="304"/>
        <v>27</v>
      </c>
      <c r="Q288" s="1539">
        <f t="shared" si="304"/>
        <v>28</v>
      </c>
      <c r="R288" s="1539">
        <f t="shared" si="304"/>
        <v>29</v>
      </c>
      <c r="S288" s="1539">
        <f t="shared" si="304"/>
        <v>30</v>
      </c>
      <c r="T288" s="1539">
        <f t="shared" si="304"/>
        <v>31</v>
      </c>
      <c r="U288" s="1539">
        <f t="shared" si="304"/>
        <v>32</v>
      </c>
      <c r="V288" s="1539">
        <f t="shared" si="304"/>
        <v>33</v>
      </c>
      <c r="W288" s="1539">
        <f t="shared" si="304"/>
        <v>34</v>
      </c>
      <c r="X288" s="1539">
        <f t="shared" si="304"/>
        <v>35</v>
      </c>
      <c r="Y288" s="1539">
        <f t="shared" si="304"/>
        <v>36</v>
      </c>
      <c r="Z288" s="1539">
        <f t="shared" si="304"/>
        <v>37</v>
      </c>
      <c r="AA288" s="1539">
        <f t="shared" si="304"/>
        <v>38</v>
      </c>
      <c r="AB288" s="1539">
        <f t="shared" si="304"/>
        <v>39</v>
      </c>
      <c r="AC288" s="1539">
        <f t="shared" si="304"/>
        <v>40</v>
      </c>
      <c r="AD288" s="1539">
        <f t="shared" si="304"/>
        <v>41</v>
      </c>
      <c r="AE288" s="1539">
        <f t="shared" si="304"/>
        <v>42</v>
      </c>
      <c r="AF288" s="1539">
        <f t="shared" si="304"/>
        <v>43</v>
      </c>
      <c r="AG288" s="1539">
        <f t="shared" si="304"/>
        <v>44</v>
      </c>
      <c r="AH288" s="1539">
        <f t="shared" si="304"/>
        <v>45</v>
      </c>
      <c r="AI288" s="1540">
        <f t="shared" si="304"/>
        <v>46</v>
      </c>
      <c r="AJ288" s="1541" t="e">
        <f>"FY"&amp;DefExitFY&amp;"-"&amp;DefExitFY+9</f>
        <v>#VALUE!</v>
      </c>
      <c r="AK288" s="1142"/>
      <c r="AL288" s="1142"/>
      <c r="AM288" s="1142"/>
      <c r="AN288" s="1142"/>
      <c r="AO288" s="1149"/>
      <c r="AP288" s="1142"/>
      <c r="AQ288" s="1542">
        <f t="shared" ref="AQ288:BS288" si="305">G113</f>
        <v>18</v>
      </c>
      <c r="AR288" s="1539">
        <f t="shared" si="305"/>
        <v>19</v>
      </c>
      <c r="AS288" s="1539">
        <f t="shared" si="305"/>
        <v>20</v>
      </c>
      <c r="AT288" s="1539">
        <f t="shared" si="305"/>
        <v>21</v>
      </c>
      <c r="AU288" s="1539">
        <f t="shared" si="305"/>
        <v>22</v>
      </c>
      <c r="AV288" s="1539">
        <f t="shared" si="305"/>
        <v>23</v>
      </c>
      <c r="AW288" s="1539">
        <f t="shared" si="305"/>
        <v>24</v>
      </c>
      <c r="AX288" s="1539">
        <f t="shared" si="305"/>
        <v>25</v>
      </c>
      <c r="AY288" s="1539">
        <f t="shared" si="305"/>
        <v>26</v>
      </c>
      <c r="AZ288" s="1539">
        <f t="shared" si="305"/>
        <v>27</v>
      </c>
      <c r="BA288" s="1539">
        <f t="shared" si="305"/>
        <v>28</v>
      </c>
      <c r="BB288" s="1539">
        <f t="shared" si="305"/>
        <v>29</v>
      </c>
      <c r="BC288" s="1539">
        <f t="shared" si="305"/>
        <v>30</v>
      </c>
      <c r="BD288" s="1539">
        <f t="shared" si="305"/>
        <v>31</v>
      </c>
      <c r="BE288" s="1539">
        <f t="shared" si="305"/>
        <v>32</v>
      </c>
      <c r="BF288" s="1539">
        <f t="shared" si="305"/>
        <v>33</v>
      </c>
      <c r="BG288" s="1539">
        <f t="shared" si="305"/>
        <v>34</v>
      </c>
      <c r="BH288" s="1539">
        <f t="shared" si="305"/>
        <v>35</v>
      </c>
      <c r="BI288" s="1539">
        <f t="shared" si="305"/>
        <v>36</v>
      </c>
      <c r="BJ288" s="1539">
        <f t="shared" si="305"/>
        <v>37</v>
      </c>
      <c r="BK288" s="1539">
        <f t="shared" si="305"/>
        <v>38</v>
      </c>
      <c r="BL288" s="1539">
        <f t="shared" si="305"/>
        <v>39</v>
      </c>
      <c r="BM288" s="1539">
        <f t="shared" si="305"/>
        <v>40</v>
      </c>
      <c r="BN288" s="1539">
        <f t="shared" si="305"/>
        <v>41</v>
      </c>
      <c r="BO288" s="1539">
        <f t="shared" si="305"/>
        <v>42</v>
      </c>
      <c r="BP288" s="1539">
        <f t="shared" si="305"/>
        <v>43</v>
      </c>
      <c r="BQ288" s="1539">
        <f t="shared" si="305"/>
        <v>44</v>
      </c>
      <c r="BR288" s="1539">
        <f t="shared" si="305"/>
        <v>45</v>
      </c>
      <c r="BS288" s="1540">
        <f t="shared" si="305"/>
        <v>46</v>
      </c>
      <c r="BT288" s="1541" t="e">
        <f>"FY"&amp;DefExitFY&amp;"-"&amp;DefExitFY+14</f>
        <v>#VALUE!</v>
      </c>
      <c r="BU288" s="1478"/>
      <c r="BV288" s="1070"/>
      <c r="BW288" s="1070"/>
    </row>
    <row r="289" spans="1:75" outlineLevel="1" x14ac:dyDescent="0.3">
      <c r="A289" s="1527"/>
      <c r="B289" s="1207" t="s">
        <v>690</v>
      </c>
      <c r="C289" s="1536"/>
      <c r="D289" s="1352"/>
      <c r="E289" s="1528"/>
      <c r="F289" s="1544"/>
      <c r="G289" s="1545" t="e">
        <f t="shared" ref="G289:AI289" si="306">-IF(AND(G301=1,G302=1),(G309/(1+DiscRDE)^G$304)-(G310/(1+DiscRDE)^G$304),0)</f>
        <v>#VALUE!</v>
      </c>
      <c r="H289" s="1546" t="e">
        <f t="shared" si="306"/>
        <v>#VALUE!</v>
      </c>
      <c r="I289" s="1546" t="e">
        <f t="shared" si="306"/>
        <v>#VALUE!</v>
      </c>
      <c r="J289" s="1546" t="e">
        <f t="shared" si="306"/>
        <v>#VALUE!</v>
      </c>
      <c r="K289" s="1546" t="e">
        <f t="shared" si="306"/>
        <v>#VALUE!</v>
      </c>
      <c r="L289" s="1546" t="e">
        <f t="shared" si="306"/>
        <v>#VALUE!</v>
      </c>
      <c r="M289" s="1546" t="e">
        <f t="shared" si="306"/>
        <v>#VALUE!</v>
      </c>
      <c r="N289" s="1546" t="e">
        <f t="shared" si="306"/>
        <v>#VALUE!</v>
      </c>
      <c r="O289" s="1546" t="e">
        <f t="shared" si="306"/>
        <v>#VALUE!</v>
      </c>
      <c r="P289" s="1546" t="e">
        <f t="shared" si="306"/>
        <v>#VALUE!</v>
      </c>
      <c r="Q289" s="1546" t="e">
        <f t="shared" si="306"/>
        <v>#VALUE!</v>
      </c>
      <c r="R289" s="1546" t="e">
        <f t="shared" si="306"/>
        <v>#VALUE!</v>
      </c>
      <c r="S289" s="1546" t="e">
        <f t="shared" si="306"/>
        <v>#VALUE!</v>
      </c>
      <c r="T289" s="1546" t="e">
        <f t="shared" si="306"/>
        <v>#VALUE!</v>
      </c>
      <c r="U289" s="1546" t="e">
        <f t="shared" si="306"/>
        <v>#VALUE!</v>
      </c>
      <c r="V289" s="1546" t="e">
        <f t="shared" si="306"/>
        <v>#VALUE!</v>
      </c>
      <c r="W289" s="1546" t="e">
        <f t="shared" si="306"/>
        <v>#VALUE!</v>
      </c>
      <c r="X289" s="1546" t="e">
        <f t="shared" si="306"/>
        <v>#VALUE!</v>
      </c>
      <c r="Y289" s="1546" t="e">
        <f t="shared" si="306"/>
        <v>#VALUE!</v>
      </c>
      <c r="Z289" s="1546" t="e">
        <f t="shared" si="306"/>
        <v>#VALUE!</v>
      </c>
      <c r="AA289" s="1546" t="e">
        <f t="shared" si="306"/>
        <v>#VALUE!</v>
      </c>
      <c r="AB289" s="1546" t="e">
        <f t="shared" si="306"/>
        <v>#VALUE!</v>
      </c>
      <c r="AC289" s="1546" t="e">
        <f t="shared" si="306"/>
        <v>#VALUE!</v>
      </c>
      <c r="AD289" s="1546" t="e">
        <f t="shared" si="306"/>
        <v>#VALUE!</v>
      </c>
      <c r="AE289" s="1546" t="e">
        <f t="shared" si="306"/>
        <v>#VALUE!</v>
      </c>
      <c r="AF289" s="1546" t="e">
        <f t="shared" si="306"/>
        <v>#VALUE!</v>
      </c>
      <c r="AG289" s="1546" t="e">
        <f t="shared" si="306"/>
        <v>#VALUE!</v>
      </c>
      <c r="AH289" s="1546" t="e">
        <f t="shared" si="306"/>
        <v>#VALUE!</v>
      </c>
      <c r="AI289" s="1546" t="e">
        <f t="shared" si="306"/>
        <v>#VALUE!</v>
      </c>
      <c r="AJ289" s="1547">
        <f t="shared" ref="AJ289:AJ298" si="307">SUMIF($G$303:$AI$303,TRUE,G289:AI289)</f>
        <v>0</v>
      </c>
      <c r="AK289" s="1142"/>
      <c r="AL289" s="1142"/>
      <c r="AM289" s="1142"/>
      <c r="AN289" s="1142"/>
      <c r="AO289" s="1207"/>
      <c r="AP289" s="1116"/>
      <c r="AQ289" s="1548" t="e">
        <f t="shared" ref="AQ289:BS289" si="308">-IF(AND(G301=1,G302=1),(G309/(1+DiscRDE)^G$304)-(G310/(1+DiscRDE)^G$304),0)</f>
        <v>#VALUE!</v>
      </c>
      <c r="AR289" s="1546" t="e">
        <f t="shared" si="308"/>
        <v>#VALUE!</v>
      </c>
      <c r="AS289" s="1546" t="e">
        <f t="shared" si="308"/>
        <v>#VALUE!</v>
      </c>
      <c r="AT289" s="1546" t="e">
        <f t="shared" si="308"/>
        <v>#VALUE!</v>
      </c>
      <c r="AU289" s="1546" t="e">
        <f t="shared" si="308"/>
        <v>#VALUE!</v>
      </c>
      <c r="AV289" s="1546" t="e">
        <f t="shared" si="308"/>
        <v>#VALUE!</v>
      </c>
      <c r="AW289" s="1546" t="e">
        <f t="shared" si="308"/>
        <v>#VALUE!</v>
      </c>
      <c r="AX289" s="1546" t="e">
        <f t="shared" si="308"/>
        <v>#VALUE!</v>
      </c>
      <c r="AY289" s="1546" t="e">
        <f t="shared" si="308"/>
        <v>#VALUE!</v>
      </c>
      <c r="AZ289" s="1546" t="e">
        <f t="shared" si="308"/>
        <v>#VALUE!</v>
      </c>
      <c r="BA289" s="1546" t="e">
        <f t="shared" si="308"/>
        <v>#VALUE!</v>
      </c>
      <c r="BB289" s="1546" t="e">
        <f t="shared" si="308"/>
        <v>#VALUE!</v>
      </c>
      <c r="BC289" s="1546" t="e">
        <f t="shared" si="308"/>
        <v>#VALUE!</v>
      </c>
      <c r="BD289" s="1546" t="e">
        <f t="shared" si="308"/>
        <v>#VALUE!</v>
      </c>
      <c r="BE289" s="1546" t="e">
        <f t="shared" si="308"/>
        <v>#VALUE!</v>
      </c>
      <c r="BF289" s="1546" t="e">
        <f t="shared" si="308"/>
        <v>#VALUE!</v>
      </c>
      <c r="BG289" s="1546" t="e">
        <f t="shared" si="308"/>
        <v>#VALUE!</v>
      </c>
      <c r="BH289" s="1546" t="e">
        <f t="shared" si="308"/>
        <v>#VALUE!</v>
      </c>
      <c r="BI289" s="1546" t="e">
        <f t="shared" si="308"/>
        <v>#VALUE!</v>
      </c>
      <c r="BJ289" s="1546" t="e">
        <f t="shared" si="308"/>
        <v>#VALUE!</v>
      </c>
      <c r="BK289" s="1546" t="e">
        <f t="shared" si="308"/>
        <v>#VALUE!</v>
      </c>
      <c r="BL289" s="1546" t="e">
        <f t="shared" si="308"/>
        <v>#VALUE!</v>
      </c>
      <c r="BM289" s="1546" t="e">
        <f t="shared" si="308"/>
        <v>#VALUE!</v>
      </c>
      <c r="BN289" s="1546" t="e">
        <f t="shared" si="308"/>
        <v>#VALUE!</v>
      </c>
      <c r="BO289" s="1546" t="e">
        <f t="shared" si="308"/>
        <v>#VALUE!</v>
      </c>
      <c r="BP289" s="1546" t="e">
        <f t="shared" si="308"/>
        <v>#VALUE!</v>
      </c>
      <c r="BQ289" s="1546" t="e">
        <f t="shared" si="308"/>
        <v>#VALUE!</v>
      </c>
      <c r="BR289" s="1546" t="e">
        <f t="shared" si="308"/>
        <v>#VALUE!</v>
      </c>
      <c r="BS289" s="1546" t="e">
        <f t="shared" si="308"/>
        <v>#VALUE!</v>
      </c>
      <c r="BT289" s="1547">
        <f t="shared" ref="BT289:BT298" si="309">SUMIF($AQ$303:$BS$303,TRUE,AQ289:BS289)</f>
        <v>0</v>
      </c>
      <c r="BU289" s="1478"/>
      <c r="BV289" s="1070"/>
      <c r="BW289" s="1070"/>
    </row>
    <row r="290" spans="1:75" outlineLevel="1" x14ac:dyDescent="0.3">
      <c r="A290" s="1527"/>
      <c r="B290" s="1207" t="s">
        <v>446</v>
      </c>
      <c r="C290" s="1536"/>
      <c r="D290" s="1352"/>
      <c r="E290" s="1528"/>
      <c r="F290" s="1544"/>
      <c r="G290" s="1545" t="e">
        <f t="shared" ref="G290:AI290" si="310">-IF(AND(G301=1,G302=1),(G311/(1+DiscRDE)^G$304)-(G312/(1+DiscRDE)^G$304),0)</f>
        <v>#VALUE!</v>
      </c>
      <c r="H290" s="1546" t="e">
        <f t="shared" si="310"/>
        <v>#VALUE!</v>
      </c>
      <c r="I290" s="1546" t="e">
        <f t="shared" si="310"/>
        <v>#VALUE!</v>
      </c>
      <c r="J290" s="1546" t="e">
        <f t="shared" si="310"/>
        <v>#VALUE!</v>
      </c>
      <c r="K290" s="1546" t="e">
        <f t="shared" si="310"/>
        <v>#VALUE!</v>
      </c>
      <c r="L290" s="1546" t="e">
        <f t="shared" si="310"/>
        <v>#VALUE!</v>
      </c>
      <c r="M290" s="1546" t="e">
        <f t="shared" si="310"/>
        <v>#VALUE!</v>
      </c>
      <c r="N290" s="1546" t="e">
        <f t="shared" si="310"/>
        <v>#VALUE!</v>
      </c>
      <c r="O290" s="1546" t="e">
        <f t="shared" si="310"/>
        <v>#VALUE!</v>
      </c>
      <c r="P290" s="1546" t="e">
        <f t="shared" si="310"/>
        <v>#VALUE!</v>
      </c>
      <c r="Q290" s="1546" t="e">
        <f t="shared" si="310"/>
        <v>#VALUE!</v>
      </c>
      <c r="R290" s="1546" t="e">
        <f t="shared" si="310"/>
        <v>#VALUE!</v>
      </c>
      <c r="S290" s="1546" t="e">
        <f t="shared" si="310"/>
        <v>#VALUE!</v>
      </c>
      <c r="T290" s="1546" t="e">
        <f t="shared" si="310"/>
        <v>#VALUE!</v>
      </c>
      <c r="U290" s="1546" t="e">
        <f t="shared" si="310"/>
        <v>#VALUE!</v>
      </c>
      <c r="V290" s="1546" t="e">
        <f t="shared" si="310"/>
        <v>#VALUE!</v>
      </c>
      <c r="W290" s="1546" t="e">
        <f t="shared" si="310"/>
        <v>#VALUE!</v>
      </c>
      <c r="X290" s="1546" t="e">
        <f t="shared" si="310"/>
        <v>#VALUE!</v>
      </c>
      <c r="Y290" s="1546" t="e">
        <f t="shared" si="310"/>
        <v>#VALUE!</v>
      </c>
      <c r="Z290" s="1546" t="e">
        <f t="shared" si="310"/>
        <v>#VALUE!</v>
      </c>
      <c r="AA290" s="1546" t="e">
        <f t="shared" si="310"/>
        <v>#VALUE!</v>
      </c>
      <c r="AB290" s="1546" t="e">
        <f t="shared" si="310"/>
        <v>#VALUE!</v>
      </c>
      <c r="AC290" s="1546" t="e">
        <f t="shared" si="310"/>
        <v>#VALUE!</v>
      </c>
      <c r="AD290" s="1546" t="e">
        <f t="shared" si="310"/>
        <v>#VALUE!</v>
      </c>
      <c r="AE290" s="1546" t="e">
        <f t="shared" si="310"/>
        <v>#VALUE!</v>
      </c>
      <c r="AF290" s="1546" t="e">
        <f t="shared" si="310"/>
        <v>#VALUE!</v>
      </c>
      <c r="AG290" s="1546" t="e">
        <f t="shared" si="310"/>
        <v>#VALUE!</v>
      </c>
      <c r="AH290" s="1546" t="e">
        <f t="shared" si="310"/>
        <v>#VALUE!</v>
      </c>
      <c r="AI290" s="1546" t="e">
        <f t="shared" si="310"/>
        <v>#VALUE!</v>
      </c>
      <c r="AJ290" s="1547">
        <f t="shared" si="307"/>
        <v>0</v>
      </c>
      <c r="AK290" s="1142"/>
      <c r="AL290" s="1142"/>
      <c r="AM290" s="1142"/>
      <c r="AN290" s="1142"/>
      <c r="AO290" s="1207"/>
      <c r="AP290" s="1116"/>
      <c r="AQ290" s="1548" t="e">
        <f t="shared" ref="AQ290:BS290" si="311">-IF(AND(G301=1,G302=1),(G311/(1+DiscRDE)^G$304)-(G312/(1+DiscRDE)^G$304),0)</f>
        <v>#VALUE!</v>
      </c>
      <c r="AR290" s="1546" t="e">
        <f t="shared" si="311"/>
        <v>#VALUE!</v>
      </c>
      <c r="AS290" s="1546" t="e">
        <f t="shared" si="311"/>
        <v>#VALUE!</v>
      </c>
      <c r="AT290" s="1546" t="e">
        <f t="shared" si="311"/>
        <v>#VALUE!</v>
      </c>
      <c r="AU290" s="1546" t="e">
        <f t="shared" si="311"/>
        <v>#VALUE!</v>
      </c>
      <c r="AV290" s="1546" t="e">
        <f t="shared" si="311"/>
        <v>#VALUE!</v>
      </c>
      <c r="AW290" s="1546" t="e">
        <f t="shared" si="311"/>
        <v>#VALUE!</v>
      </c>
      <c r="AX290" s="1546" t="e">
        <f t="shared" si="311"/>
        <v>#VALUE!</v>
      </c>
      <c r="AY290" s="1546" t="e">
        <f t="shared" si="311"/>
        <v>#VALUE!</v>
      </c>
      <c r="AZ290" s="1546" t="e">
        <f t="shared" si="311"/>
        <v>#VALUE!</v>
      </c>
      <c r="BA290" s="1546" t="e">
        <f t="shared" si="311"/>
        <v>#VALUE!</v>
      </c>
      <c r="BB290" s="1546" t="e">
        <f t="shared" si="311"/>
        <v>#VALUE!</v>
      </c>
      <c r="BC290" s="1546" t="e">
        <f t="shared" si="311"/>
        <v>#VALUE!</v>
      </c>
      <c r="BD290" s="1546" t="e">
        <f t="shared" si="311"/>
        <v>#VALUE!</v>
      </c>
      <c r="BE290" s="1546" t="e">
        <f t="shared" si="311"/>
        <v>#VALUE!</v>
      </c>
      <c r="BF290" s="1546" t="e">
        <f t="shared" si="311"/>
        <v>#VALUE!</v>
      </c>
      <c r="BG290" s="1546" t="e">
        <f t="shared" si="311"/>
        <v>#VALUE!</v>
      </c>
      <c r="BH290" s="1546" t="e">
        <f t="shared" si="311"/>
        <v>#VALUE!</v>
      </c>
      <c r="BI290" s="1546" t="e">
        <f t="shared" si="311"/>
        <v>#VALUE!</v>
      </c>
      <c r="BJ290" s="1546" t="e">
        <f t="shared" si="311"/>
        <v>#VALUE!</v>
      </c>
      <c r="BK290" s="1546" t="e">
        <f t="shared" si="311"/>
        <v>#VALUE!</v>
      </c>
      <c r="BL290" s="1546" t="e">
        <f t="shared" si="311"/>
        <v>#VALUE!</v>
      </c>
      <c r="BM290" s="1546" t="e">
        <f t="shared" si="311"/>
        <v>#VALUE!</v>
      </c>
      <c r="BN290" s="1546" t="e">
        <f t="shared" si="311"/>
        <v>#VALUE!</v>
      </c>
      <c r="BO290" s="1546" t="e">
        <f t="shared" si="311"/>
        <v>#VALUE!</v>
      </c>
      <c r="BP290" s="1546" t="e">
        <f t="shared" si="311"/>
        <v>#VALUE!</v>
      </c>
      <c r="BQ290" s="1546" t="e">
        <f t="shared" si="311"/>
        <v>#VALUE!</v>
      </c>
      <c r="BR290" s="1546" t="e">
        <f t="shared" si="311"/>
        <v>#VALUE!</v>
      </c>
      <c r="BS290" s="1546" t="e">
        <f t="shared" si="311"/>
        <v>#VALUE!</v>
      </c>
      <c r="BT290" s="1547">
        <f t="shared" si="309"/>
        <v>0</v>
      </c>
      <c r="BU290" s="1478"/>
      <c r="BV290" s="1070"/>
      <c r="BW290" s="1070"/>
    </row>
    <row r="291" spans="1:75" outlineLevel="1" x14ac:dyDescent="0.3">
      <c r="A291" s="1527"/>
      <c r="B291" s="1207" t="s">
        <v>1366</v>
      </c>
      <c r="C291" s="1536"/>
      <c r="D291" s="1352"/>
      <c r="E291" s="1528"/>
      <c r="F291" s="1544"/>
      <c r="G291" s="1545" t="e">
        <f t="shared" ref="G291:AI291" si="312">-IF(AND(G301=1,G302=1),(G313/(1+DiscRDE)^G$304)-(G314/(1+DiscRDE)^G$304),0)</f>
        <v>#VALUE!</v>
      </c>
      <c r="H291" s="1546" t="e">
        <f t="shared" si="312"/>
        <v>#VALUE!</v>
      </c>
      <c r="I291" s="1546" t="e">
        <f t="shared" si="312"/>
        <v>#VALUE!</v>
      </c>
      <c r="J291" s="1546" t="e">
        <f t="shared" si="312"/>
        <v>#VALUE!</v>
      </c>
      <c r="K291" s="1546" t="e">
        <f t="shared" si="312"/>
        <v>#VALUE!</v>
      </c>
      <c r="L291" s="1546" t="e">
        <f t="shared" si="312"/>
        <v>#VALUE!</v>
      </c>
      <c r="M291" s="1546" t="e">
        <f t="shared" si="312"/>
        <v>#VALUE!</v>
      </c>
      <c r="N291" s="1546" t="e">
        <f t="shared" si="312"/>
        <v>#VALUE!</v>
      </c>
      <c r="O291" s="1546" t="e">
        <f t="shared" si="312"/>
        <v>#VALUE!</v>
      </c>
      <c r="P291" s="1546" t="e">
        <f t="shared" si="312"/>
        <v>#VALUE!</v>
      </c>
      <c r="Q291" s="1546" t="e">
        <f t="shared" si="312"/>
        <v>#VALUE!</v>
      </c>
      <c r="R291" s="1546" t="e">
        <f t="shared" si="312"/>
        <v>#VALUE!</v>
      </c>
      <c r="S291" s="1546" t="e">
        <f t="shared" si="312"/>
        <v>#VALUE!</v>
      </c>
      <c r="T291" s="1546" t="e">
        <f t="shared" si="312"/>
        <v>#VALUE!</v>
      </c>
      <c r="U291" s="1546" t="e">
        <f t="shared" si="312"/>
        <v>#VALUE!</v>
      </c>
      <c r="V291" s="1546" t="e">
        <f t="shared" si="312"/>
        <v>#VALUE!</v>
      </c>
      <c r="W291" s="1546" t="e">
        <f t="shared" si="312"/>
        <v>#VALUE!</v>
      </c>
      <c r="X291" s="1546" t="e">
        <f t="shared" si="312"/>
        <v>#VALUE!</v>
      </c>
      <c r="Y291" s="1546" t="e">
        <f t="shared" si="312"/>
        <v>#VALUE!</v>
      </c>
      <c r="Z291" s="1546" t="e">
        <f t="shared" si="312"/>
        <v>#VALUE!</v>
      </c>
      <c r="AA291" s="1546" t="e">
        <f t="shared" si="312"/>
        <v>#VALUE!</v>
      </c>
      <c r="AB291" s="1546" t="e">
        <f t="shared" si="312"/>
        <v>#VALUE!</v>
      </c>
      <c r="AC291" s="1546" t="e">
        <f t="shared" si="312"/>
        <v>#VALUE!</v>
      </c>
      <c r="AD291" s="1546" t="e">
        <f t="shared" si="312"/>
        <v>#VALUE!</v>
      </c>
      <c r="AE291" s="1546" t="e">
        <f t="shared" si="312"/>
        <v>#VALUE!</v>
      </c>
      <c r="AF291" s="1546" t="e">
        <f t="shared" si="312"/>
        <v>#VALUE!</v>
      </c>
      <c r="AG291" s="1546" t="e">
        <f t="shared" si="312"/>
        <v>#VALUE!</v>
      </c>
      <c r="AH291" s="1546" t="e">
        <f t="shared" si="312"/>
        <v>#VALUE!</v>
      </c>
      <c r="AI291" s="1546" t="e">
        <f t="shared" si="312"/>
        <v>#VALUE!</v>
      </c>
      <c r="AJ291" s="1547">
        <f t="shared" si="307"/>
        <v>0</v>
      </c>
      <c r="AK291" s="1142"/>
      <c r="AL291" s="1142"/>
      <c r="AM291" s="1142"/>
      <c r="AN291" s="1142"/>
      <c r="AO291" s="1207"/>
      <c r="AP291" s="1116"/>
      <c r="AQ291" s="1548" t="e">
        <f t="shared" ref="AQ291:BS291" si="313">-IF(AND(G301=1,G302=1),(G313/(1+DiscRDE)^G$304)-(G314/(1+DiscRDE)^G$304),0)</f>
        <v>#VALUE!</v>
      </c>
      <c r="AR291" s="1546" t="e">
        <f t="shared" si="313"/>
        <v>#VALUE!</v>
      </c>
      <c r="AS291" s="1546" t="e">
        <f t="shared" si="313"/>
        <v>#VALUE!</v>
      </c>
      <c r="AT291" s="1546" t="e">
        <f t="shared" si="313"/>
        <v>#VALUE!</v>
      </c>
      <c r="AU291" s="1546" t="e">
        <f t="shared" si="313"/>
        <v>#VALUE!</v>
      </c>
      <c r="AV291" s="1546" t="e">
        <f t="shared" si="313"/>
        <v>#VALUE!</v>
      </c>
      <c r="AW291" s="1546" t="e">
        <f t="shared" si="313"/>
        <v>#VALUE!</v>
      </c>
      <c r="AX291" s="1546" t="e">
        <f t="shared" si="313"/>
        <v>#VALUE!</v>
      </c>
      <c r="AY291" s="1546" t="e">
        <f t="shared" si="313"/>
        <v>#VALUE!</v>
      </c>
      <c r="AZ291" s="1546" t="e">
        <f t="shared" si="313"/>
        <v>#VALUE!</v>
      </c>
      <c r="BA291" s="1546" t="e">
        <f t="shared" si="313"/>
        <v>#VALUE!</v>
      </c>
      <c r="BB291" s="1546" t="e">
        <f t="shared" si="313"/>
        <v>#VALUE!</v>
      </c>
      <c r="BC291" s="1546" t="e">
        <f t="shared" si="313"/>
        <v>#VALUE!</v>
      </c>
      <c r="BD291" s="1546" t="e">
        <f t="shared" si="313"/>
        <v>#VALUE!</v>
      </c>
      <c r="BE291" s="1546" t="e">
        <f t="shared" si="313"/>
        <v>#VALUE!</v>
      </c>
      <c r="BF291" s="1546" t="e">
        <f t="shared" si="313"/>
        <v>#VALUE!</v>
      </c>
      <c r="BG291" s="1546" t="e">
        <f t="shared" si="313"/>
        <v>#VALUE!</v>
      </c>
      <c r="BH291" s="1546" t="e">
        <f t="shared" si="313"/>
        <v>#VALUE!</v>
      </c>
      <c r="BI291" s="1546" t="e">
        <f t="shared" si="313"/>
        <v>#VALUE!</v>
      </c>
      <c r="BJ291" s="1546" t="e">
        <f t="shared" si="313"/>
        <v>#VALUE!</v>
      </c>
      <c r="BK291" s="1546" t="e">
        <f t="shared" si="313"/>
        <v>#VALUE!</v>
      </c>
      <c r="BL291" s="1546" t="e">
        <f t="shared" si="313"/>
        <v>#VALUE!</v>
      </c>
      <c r="BM291" s="1546" t="e">
        <f t="shared" si="313"/>
        <v>#VALUE!</v>
      </c>
      <c r="BN291" s="1546" t="e">
        <f t="shared" si="313"/>
        <v>#VALUE!</v>
      </c>
      <c r="BO291" s="1546" t="e">
        <f t="shared" si="313"/>
        <v>#VALUE!</v>
      </c>
      <c r="BP291" s="1546" t="e">
        <f t="shared" si="313"/>
        <v>#VALUE!</v>
      </c>
      <c r="BQ291" s="1546" t="e">
        <f t="shared" si="313"/>
        <v>#VALUE!</v>
      </c>
      <c r="BR291" s="1546" t="e">
        <f t="shared" si="313"/>
        <v>#VALUE!</v>
      </c>
      <c r="BS291" s="1546" t="e">
        <f t="shared" si="313"/>
        <v>#VALUE!</v>
      </c>
      <c r="BT291" s="1547">
        <f t="shared" si="309"/>
        <v>0</v>
      </c>
      <c r="BU291" s="1478"/>
      <c r="BV291" s="1070"/>
      <c r="BW291" s="1070"/>
    </row>
    <row r="292" spans="1:75" outlineLevel="1" x14ac:dyDescent="0.3">
      <c r="A292" s="1527"/>
      <c r="B292" s="1543" t="s">
        <v>1367</v>
      </c>
      <c r="C292" s="1536"/>
      <c r="D292" s="1352"/>
      <c r="E292" s="1528"/>
      <c r="F292" s="1493"/>
      <c r="G292" s="1545" t="e">
        <f>SUM(G289:G291)</f>
        <v>#VALUE!</v>
      </c>
      <c r="H292" s="1546" t="e">
        <f t="shared" ref="H292:AI292" si="314">SUM(H289:H291)</f>
        <v>#VALUE!</v>
      </c>
      <c r="I292" s="1546" t="e">
        <f t="shared" si="314"/>
        <v>#VALUE!</v>
      </c>
      <c r="J292" s="1546" t="e">
        <f t="shared" si="314"/>
        <v>#VALUE!</v>
      </c>
      <c r="K292" s="1546" t="e">
        <f t="shared" si="314"/>
        <v>#VALUE!</v>
      </c>
      <c r="L292" s="1546" t="e">
        <f t="shared" si="314"/>
        <v>#VALUE!</v>
      </c>
      <c r="M292" s="1546" t="e">
        <f t="shared" si="314"/>
        <v>#VALUE!</v>
      </c>
      <c r="N292" s="1546" t="e">
        <f t="shared" si="314"/>
        <v>#VALUE!</v>
      </c>
      <c r="O292" s="1546" t="e">
        <f t="shared" si="314"/>
        <v>#VALUE!</v>
      </c>
      <c r="P292" s="1546" t="e">
        <f t="shared" si="314"/>
        <v>#VALUE!</v>
      </c>
      <c r="Q292" s="1546" t="e">
        <f t="shared" si="314"/>
        <v>#VALUE!</v>
      </c>
      <c r="R292" s="1546" t="e">
        <f t="shared" si="314"/>
        <v>#VALUE!</v>
      </c>
      <c r="S292" s="1546" t="e">
        <f t="shared" si="314"/>
        <v>#VALUE!</v>
      </c>
      <c r="T292" s="1546" t="e">
        <f t="shared" si="314"/>
        <v>#VALUE!</v>
      </c>
      <c r="U292" s="1546" t="e">
        <f t="shared" si="314"/>
        <v>#VALUE!</v>
      </c>
      <c r="V292" s="1546" t="e">
        <f t="shared" si="314"/>
        <v>#VALUE!</v>
      </c>
      <c r="W292" s="1546" t="e">
        <f t="shared" si="314"/>
        <v>#VALUE!</v>
      </c>
      <c r="X292" s="1546" t="e">
        <f t="shared" si="314"/>
        <v>#VALUE!</v>
      </c>
      <c r="Y292" s="1546" t="e">
        <f t="shared" si="314"/>
        <v>#VALUE!</v>
      </c>
      <c r="Z292" s="1546" t="e">
        <f t="shared" si="314"/>
        <v>#VALUE!</v>
      </c>
      <c r="AA292" s="1546" t="e">
        <f t="shared" si="314"/>
        <v>#VALUE!</v>
      </c>
      <c r="AB292" s="1546" t="e">
        <f t="shared" si="314"/>
        <v>#VALUE!</v>
      </c>
      <c r="AC292" s="1546" t="e">
        <f t="shared" si="314"/>
        <v>#VALUE!</v>
      </c>
      <c r="AD292" s="1546" t="e">
        <f t="shared" si="314"/>
        <v>#VALUE!</v>
      </c>
      <c r="AE292" s="1546" t="e">
        <f t="shared" si="314"/>
        <v>#VALUE!</v>
      </c>
      <c r="AF292" s="1546" t="e">
        <f t="shared" si="314"/>
        <v>#VALUE!</v>
      </c>
      <c r="AG292" s="1546" t="e">
        <f t="shared" si="314"/>
        <v>#VALUE!</v>
      </c>
      <c r="AH292" s="1546" t="e">
        <f t="shared" si="314"/>
        <v>#VALUE!</v>
      </c>
      <c r="AI292" s="1546" t="e">
        <f t="shared" si="314"/>
        <v>#VALUE!</v>
      </c>
      <c r="AJ292" s="1547">
        <f t="shared" si="307"/>
        <v>0</v>
      </c>
      <c r="AK292" s="1142"/>
      <c r="AL292" s="1142"/>
      <c r="AM292" s="1142"/>
      <c r="AN292" s="1142"/>
      <c r="AO292" s="1207"/>
      <c r="AP292" s="1116"/>
      <c r="AQ292" s="1548" t="e">
        <f>SUM(AQ289:AQ291)</f>
        <v>#VALUE!</v>
      </c>
      <c r="AR292" s="1546" t="e">
        <f t="shared" ref="AR292:BS292" si="315">SUM(AR289:AR291)</f>
        <v>#VALUE!</v>
      </c>
      <c r="AS292" s="1546" t="e">
        <f t="shared" si="315"/>
        <v>#VALUE!</v>
      </c>
      <c r="AT292" s="1546" t="e">
        <f t="shared" si="315"/>
        <v>#VALUE!</v>
      </c>
      <c r="AU292" s="1546" t="e">
        <f t="shared" si="315"/>
        <v>#VALUE!</v>
      </c>
      <c r="AV292" s="1546" t="e">
        <f t="shared" si="315"/>
        <v>#VALUE!</v>
      </c>
      <c r="AW292" s="1546" t="e">
        <f t="shared" si="315"/>
        <v>#VALUE!</v>
      </c>
      <c r="AX292" s="1546" t="e">
        <f t="shared" si="315"/>
        <v>#VALUE!</v>
      </c>
      <c r="AY292" s="1546" t="e">
        <f t="shared" si="315"/>
        <v>#VALUE!</v>
      </c>
      <c r="AZ292" s="1546" t="e">
        <f t="shared" si="315"/>
        <v>#VALUE!</v>
      </c>
      <c r="BA292" s="1546" t="e">
        <f t="shared" si="315"/>
        <v>#VALUE!</v>
      </c>
      <c r="BB292" s="1546" t="e">
        <f t="shared" si="315"/>
        <v>#VALUE!</v>
      </c>
      <c r="BC292" s="1546" t="e">
        <f t="shared" si="315"/>
        <v>#VALUE!</v>
      </c>
      <c r="BD292" s="1546" t="e">
        <f t="shared" si="315"/>
        <v>#VALUE!</v>
      </c>
      <c r="BE292" s="1546" t="e">
        <f t="shared" si="315"/>
        <v>#VALUE!</v>
      </c>
      <c r="BF292" s="1546" t="e">
        <f t="shared" si="315"/>
        <v>#VALUE!</v>
      </c>
      <c r="BG292" s="1546" t="e">
        <f t="shared" si="315"/>
        <v>#VALUE!</v>
      </c>
      <c r="BH292" s="1546" t="e">
        <f t="shared" si="315"/>
        <v>#VALUE!</v>
      </c>
      <c r="BI292" s="1546" t="e">
        <f t="shared" si="315"/>
        <v>#VALUE!</v>
      </c>
      <c r="BJ292" s="1546" t="e">
        <f t="shared" si="315"/>
        <v>#VALUE!</v>
      </c>
      <c r="BK292" s="1546" t="e">
        <f t="shared" si="315"/>
        <v>#VALUE!</v>
      </c>
      <c r="BL292" s="1546" t="e">
        <f t="shared" si="315"/>
        <v>#VALUE!</v>
      </c>
      <c r="BM292" s="1546" t="e">
        <f t="shared" si="315"/>
        <v>#VALUE!</v>
      </c>
      <c r="BN292" s="1546" t="e">
        <f t="shared" si="315"/>
        <v>#VALUE!</v>
      </c>
      <c r="BO292" s="1546" t="e">
        <f t="shared" si="315"/>
        <v>#VALUE!</v>
      </c>
      <c r="BP292" s="1546" t="e">
        <f t="shared" si="315"/>
        <v>#VALUE!</v>
      </c>
      <c r="BQ292" s="1546" t="e">
        <f t="shared" si="315"/>
        <v>#VALUE!</v>
      </c>
      <c r="BR292" s="1546" t="e">
        <f t="shared" si="315"/>
        <v>#VALUE!</v>
      </c>
      <c r="BS292" s="1546" t="e">
        <f t="shared" si="315"/>
        <v>#VALUE!</v>
      </c>
      <c r="BT292" s="1549">
        <f t="shared" si="309"/>
        <v>0</v>
      </c>
      <c r="BU292" s="1478"/>
      <c r="BV292" s="1070"/>
      <c r="BW292" s="1070"/>
    </row>
    <row r="293" spans="1:75" outlineLevel="1" x14ac:dyDescent="0.3">
      <c r="A293" s="1527"/>
      <c r="B293" s="1543" t="s">
        <v>1368</v>
      </c>
      <c r="C293" s="1536"/>
      <c r="D293" s="1352"/>
      <c r="E293" s="1528"/>
      <c r="F293" s="1493"/>
      <c r="G293" s="1545" t="e">
        <f t="shared" ref="G293:K293" si="316">IF($P$318="Delay",G329-G328,G338-G337)</f>
        <v>#VALUE!</v>
      </c>
      <c r="H293" s="1546" t="e">
        <f t="shared" si="316"/>
        <v>#VALUE!</v>
      </c>
      <c r="I293" s="1546" t="e">
        <f t="shared" si="316"/>
        <v>#VALUE!</v>
      </c>
      <c r="J293" s="1546" t="e">
        <f t="shared" si="316"/>
        <v>#VALUE!</v>
      </c>
      <c r="K293" s="1546" t="e">
        <f t="shared" si="316"/>
        <v>#VALUE!</v>
      </c>
      <c r="L293" s="1546" t="e">
        <f>IF($P$318="Delay",L329-L328,L338-L337)</f>
        <v>#VALUE!</v>
      </c>
      <c r="M293" s="1546" t="e">
        <f t="shared" ref="M293:AI293" si="317">IF($P$318="Delay",M329-M328,M338-M337)</f>
        <v>#VALUE!</v>
      </c>
      <c r="N293" s="1546" t="e">
        <f t="shared" si="317"/>
        <v>#VALUE!</v>
      </c>
      <c r="O293" s="1546" t="e">
        <f t="shared" si="317"/>
        <v>#VALUE!</v>
      </c>
      <c r="P293" s="1546" t="e">
        <f t="shared" si="317"/>
        <v>#VALUE!</v>
      </c>
      <c r="Q293" s="1546" t="e">
        <f t="shared" si="317"/>
        <v>#VALUE!</v>
      </c>
      <c r="R293" s="1546" t="e">
        <f t="shared" si="317"/>
        <v>#VALUE!</v>
      </c>
      <c r="S293" s="1546" t="e">
        <f t="shared" si="317"/>
        <v>#VALUE!</v>
      </c>
      <c r="T293" s="1546" t="e">
        <f t="shared" si="317"/>
        <v>#VALUE!</v>
      </c>
      <c r="U293" s="1546" t="e">
        <f t="shared" si="317"/>
        <v>#VALUE!</v>
      </c>
      <c r="V293" s="1546" t="e">
        <f t="shared" si="317"/>
        <v>#VALUE!</v>
      </c>
      <c r="W293" s="1546" t="e">
        <f t="shared" si="317"/>
        <v>#VALUE!</v>
      </c>
      <c r="X293" s="1546" t="e">
        <f t="shared" si="317"/>
        <v>#VALUE!</v>
      </c>
      <c r="Y293" s="1546" t="e">
        <f t="shared" si="317"/>
        <v>#VALUE!</v>
      </c>
      <c r="Z293" s="1546" t="e">
        <f t="shared" si="317"/>
        <v>#VALUE!</v>
      </c>
      <c r="AA293" s="1546" t="e">
        <f t="shared" si="317"/>
        <v>#VALUE!</v>
      </c>
      <c r="AB293" s="1546" t="e">
        <f t="shared" si="317"/>
        <v>#VALUE!</v>
      </c>
      <c r="AC293" s="1546" t="e">
        <f t="shared" si="317"/>
        <v>#VALUE!</v>
      </c>
      <c r="AD293" s="1546" t="e">
        <f t="shared" si="317"/>
        <v>#VALUE!</v>
      </c>
      <c r="AE293" s="1546" t="e">
        <f t="shared" si="317"/>
        <v>#VALUE!</v>
      </c>
      <c r="AF293" s="1546" t="e">
        <f t="shared" si="317"/>
        <v>#VALUE!</v>
      </c>
      <c r="AG293" s="1546" t="e">
        <f t="shared" si="317"/>
        <v>#VALUE!</v>
      </c>
      <c r="AH293" s="1546" t="e">
        <f t="shared" si="317"/>
        <v>#VALUE!</v>
      </c>
      <c r="AI293" s="1546" t="e">
        <f t="shared" si="317"/>
        <v>#VALUE!</v>
      </c>
      <c r="AJ293" s="1547">
        <f t="shared" si="307"/>
        <v>0</v>
      </c>
      <c r="AK293" s="1116"/>
      <c r="AL293" s="1142"/>
      <c r="AM293" s="1142"/>
      <c r="AN293" s="1142"/>
      <c r="AO293" s="1207"/>
      <c r="AP293" s="1116"/>
      <c r="AQ293" s="1548" t="e">
        <f>IF($AZ$318="Delay",AQ329-AQ328,AQ338-AQ337)</f>
        <v>#VALUE!</v>
      </c>
      <c r="AR293" s="1546" t="e">
        <f t="shared" ref="AR293:BS293" si="318">IF($AZ$318="Delay",AR329-AR328,AR338-AR337)</f>
        <v>#VALUE!</v>
      </c>
      <c r="AS293" s="1546" t="e">
        <f t="shared" si="318"/>
        <v>#VALUE!</v>
      </c>
      <c r="AT293" s="1546" t="e">
        <f t="shared" si="318"/>
        <v>#VALUE!</v>
      </c>
      <c r="AU293" s="1546" t="e">
        <f t="shared" si="318"/>
        <v>#VALUE!</v>
      </c>
      <c r="AV293" s="1546" t="e">
        <f t="shared" si="318"/>
        <v>#VALUE!</v>
      </c>
      <c r="AW293" s="1546" t="e">
        <f t="shared" si="318"/>
        <v>#VALUE!</v>
      </c>
      <c r="AX293" s="1546" t="e">
        <f t="shared" si="318"/>
        <v>#VALUE!</v>
      </c>
      <c r="AY293" s="1546" t="e">
        <f t="shared" si="318"/>
        <v>#VALUE!</v>
      </c>
      <c r="AZ293" s="1546" t="e">
        <f t="shared" si="318"/>
        <v>#VALUE!</v>
      </c>
      <c r="BA293" s="1546" t="e">
        <f t="shared" si="318"/>
        <v>#VALUE!</v>
      </c>
      <c r="BB293" s="1546" t="e">
        <f t="shared" si="318"/>
        <v>#VALUE!</v>
      </c>
      <c r="BC293" s="1546" t="e">
        <f t="shared" si="318"/>
        <v>#VALUE!</v>
      </c>
      <c r="BD293" s="1546" t="e">
        <f t="shared" si="318"/>
        <v>#VALUE!</v>
      </c>
      <c r="BE293" s="1546" t="e">
        <f t="shared" si="318"/>
        <v>#VALUE!</v>
      </c>
      <c r="BF293" s="1546" t="e">
        <f t="shared" si="318"/>
        <v>#VALUE!</v>
      </c>
      <c r="BG293" s="1546" t="e">
        <f t="shared" si="318"/>
        <v>#VALUE!</v>
      </c>
      <c r="BH293" s="1546" t="e">
        <f t="shared" si="318"/>
        <v>#VALUE!</v>
      </c>
      <c r="BI293" s="1546" t="e">
        <f t="shared" si="318"/>
        <v>#VALUE!</v>
      </c>
      <c r="BJ293" s="1546" t="e">
        <f t="shared" si="318"/>
        <v>#VALUE!</v>
      </c>
      <c r="BK293" s="1546" t="e">
        <f t="shared" si="318"/>
        <v>#VALUE!</v>
      </c>
      <c r="BL293" s="1546" t="e">
        <f t="shared" si="318"/>
        <v>#VALUE!</v>
      </c>
      <c r="BM293" s="1546" t="e">
        <f t="shared" si="318"/>
        <v>#VALUE!</v>
      </c>
      <c r="BN293" s="1546" t="e">
        <f t="shared" si="318"/>
        <v>#VALUE!</v>
      </c>
      <c r="BO293" s="1546" t="e">
        <f t="shared" si="318"/>
        <v>#VALUE!</v>
      </c>
      <c r="BP293" s="1546" t="e">
        <f t="shared" si="318"/>
        <v>#VALUE!</v>
      </c>
      <c r="BQ293" s="1546" t="e">
        <f t="shared" si="318"/>
        <v>#VALUE!</v>
      </c>
      <c r="BR293" s="1546" t="e">
        <f t="shared" si="318"/>
        <v>#VALUE!</v>
      </c>
      <c r="BS293" s="1546" t="e">
        <f t="shared" si="318"/>
        <v>#VALUE!</v>
      </c>
      <c r="BT293" s="1547">
        <f t="shared" si="309"/>
        <v>0</v>
      </c>
      <c r="BU293" s="1550"/>
      <c r="BV293" s="1070"/>
      <c r="BW293" s="1070"/>
    </row>
    <row r="294" spans="1:75" outlineLevel="1" x14ac:dyDescent="0.3">
      <c r="A294" s="1527"/>
      <c r="B294" s="1543" t="s">
        <v>1369</v>
      </c>
      <c r="C294" s="1491"/>
      <c r="D294" s="1352"/>
      <c r="E294" s="1267"/>
      <c r="F294" s="1493"/>
      <c r="G294" s="1545" t="e">
        <f t="shared" ref="G294:AI294" si="319">(G343/(1+DiscRDE)^G$304)-(G344/(1+DiscRDE)^G$304)-G293</f>
        <v>#VALUE!</v>
      </c>
      <c r="H294" s="1546" t="e">
        <f t="shared" si="319"/>
        <v>#VALUE!</v>
      </c>
      <c r="I294" s="1546" t="e">
        <f t="shared" si="319"/>
        <v>#VALUE!</v>
      </c>
      <c r="J294" s="1546" t="e">
        <f t="shared" si="319"/>
        <v>#VALUE!</v>
      </c>
      <c r="K294" s="1546" t="e">
        <f t="shared" si="319"/>
        <v>#VALUE!</v>
      </c>
      <c r="L294" s="1546" t="e">
        <f t="shared" si="319"/>
        <v>#VALUE!</v>
      </c>
      <c r="M294" s="1546" t="e">
        <f t="shared" si="319"/>
        <v>#VALUE!</v>
      </c>
      <c r="N294" s="1546" t="e">
        <f t="shared" si="319"/>
        <v>#VALUE!</v>
      </c>
      <c r="O294" s="1546" t="e">
        <f t="shared" si="319"/>
        <v>#VALUE!</v>
      </c>
      <c r="P294" s="1546" t="e">
        <f t="shared" si="319"/>
        <v>#VALUE!</v>
      </c>
      <c r="Q294" s="1546" t="e">
        <f t="shared" si="319"/>
        <v>#VALUE!</v>
      </c>
      <c r="R294" s="1546" t="e">
        <f t="shared" si="319"/>
        <v>#VALUE!</v>
      </c>
      <c r="S294" s="1546" t="e">
        <f t="shared" si="319"/>
        <v>#VALUE!</v>
      </c>
      <c r="T294" s="1546" t="e">
        <f t="shared" si="319"/>
        <v>#VALUE!</v>
      </c>
      <c r="U294" s="1546" t="e">
        <f t="shared" si="319"/>
        <v>#VALUE!</v>
      </c>
      <c r="V294" s="1546" t="e">
        <f t="shared" si="319"/>
        <v>#VALUE!</v>
      </c>
      <c r="W294" s="1546" t="e">
        <f t="shared" si="319"/>
        <v>#VALUE!</v>
      </c>
      <c r="X294" s="1546" t="e">
        <f t="shared" si="319"/>
        <v>#VALUE!</v>
      </c>
      <c r="Y294" s="1546" t="e">
        <f t="shared" si="319"/>
        <v>#VALUE!</v>
      </c>
      <c r="Z294" s="1546" t="e">
        <f t="shared" si="319"/>
        <v>#VALUE!</v>
      </c>
      <c r="AA294" s="1546" t="e">
        <f t="shared" si="319"/>
        <v>#VALUE!</v>
      </c>
      <c r="AB294" s="1546" t="e">
        <f t="shared" si="319"/>
        <v>#VALUE!</v>
      </c>
      <c r="AC294" s="1546" t="e">
        <f t="shared" si="319"/>
        <v>#VALUE!</v>
      </c>
      <c r="AD294" s="1546" t="e">
        <f t="shared" si="319"/>
        <v>#VALUE!</v>
      </c>
      <c r="AE294" s="1546" t="e">
        <f t="shared" si="319"/>
        <v>#VALUE!</v>
      </c>
      <c r="AF294" s="1546" t="e">
        <f t="shared" si="319"/>
        <v>#VALUE!</v>
      </c>
      <c r="AG294" s="1546" t="e">
        <f t="shared" si="319"/>
        <v>#VALUE!</v>
      </c>
      <c r="AH294" s="1546" t="e">
        <f t="shared" si="319"/>
        <v>#VALUE!</v>
      </c>
      <c r="AI294" s="1546" t="e">
        <f t="shared" si="319"/>
        <v>#VALUE!</v>
      </c>
      <c r="AJ294" s="1547">
        <f t="shared" si="307"/>
        <v>0</v>
      </c>
      <c r="AK294" s="1116"/>
      <c r="AL294" s="1142"/>
      <c r="AM294" s="1142"/>
      <c r="AN294" s="1142"/>
      <c r="AO294" s="1207"/>
      <c r="AP294" s="1116"/>
      <c r="AQ294" s="1548" t="e">
        <f t="shared" ref="AQ294:BS294" si="320">(AQ343/(1+DiscRDE)^AQ$304)-(AQ344/(1+DiscRDE)^AQ$304)-AQ293</f>
        <v>#VALUE!</v>
      </c>
      <c r="AR294" s="1546" t="e">
        <f t="shared" si="320"/>
        <v>#VALUE!</v>
      </c>
      <c r="AS294" s="1546" t="e">
        <f t="shared" si="320"/>
        <v>#VALUE!</v>
      </c>
      <c r="AT294" s="1546" t="e">
        <f t="shared" si="320"/>
        <v>#VALUE!</v>
      </c>
      <c r="AU294" s="1546" t="e">
        <f t="shared" si="320"/>
        <v>#VALUE!</v>
      </c>
      <c r="AV294" s="1546" t="e">
        <f t="shared" si="320"/>
        <v>#VALUE!</v>
      </c>
      <c r="AW294" s="1546" t="e">
        <f t="shared" si="320"/>
        <v>#VALUE!</v>
      </c>
      <c r="AX294" s="1546" t="e">
        <f t="shared" si="320"/>
        <v>#VALUE!</v>
      </c>
      <c r="AY294" s="1546" t="e">
        <f t="shared" si="320"/>
        <v>#VALUE!</v>
      </c>
      <c r="AZ294" s="1546" t="e">
        <f t="shared" si="320"/>
        <v>#VALUE!</v>
      </c>
      <c r="BA294" s="1546" t="e">
        <f t="shared" si="320"/>
        <v>#VALUE!</v>
      </c>
      <c r="BB294" s="1546" t="e">
        <f t="shared" si="320"/>
        <v>#VALUE!</v>
      </c>
      <c r="BC294" s="1546" t="e">
        <f t="shared" si="320"/>
        <v>#VALUE!</v>
      </c>
      <c r="BD294" s="1546" t="e">
        <f t="shared" si="320"/>
        <v>#VALUE!</v>
      </c>
      <c r="BE294" s="1546" t="e">
        <f t="shared" si="320"/>
        <v>#VALUE!</v>
      </c>
      <c r="BF294" s="1546" t="e">
        <f t="shared" si="320"/>
        <v>#VALUE!</v>
      </c>
      <c r="BG294" s="1546" t="e">
        <f t="shared" si="320"/>
        <v>#VALUE!</v>
      </c>
      <c r="BH294" s="1546" t="e">
        <f t="shared" si="320"/>
        <v>#VALUE!</v>
      </c>
      <c r="BI294" s="1546" t="e">
        <f t="shared" si="320"/>
        <v>#VALUE!</v>
      </c>
      <c r="BJ294" s="1546" t="e">
        <f t="shared" si="320"/>
        <v>#VALUE!</v>
      </c>
      <c r="BK294" s="1546" t="e">
        <f t="shared" si="320"/>
        <v>#VALUE!</v>
      </c>
      <c r="BL294" s="1546" t="e">
        <f t="shared" si="320"/>
        <v>#VALUE!</v>
      </c>
      <c r="BM294" s="1546" t="e">
        <f t="shared" si="320"/>
        <v>#VALUE!</v>
      </c>
      <c r="BN294" s="1546" t="e">
        <f t="shared" si="320"/>
        <v>#VALUE!</v>
      </c>
      <c r="BO294" s="1546" t="e">
        <f t="shared" si="320"/>
        <v>#VALUE!</v>
      </c>
      <c r="BP294" s="1546" t="e">
        <f t="shared" si="320"/>
        <v>#VALUE!</v>
      </c>
      <c r="BQ294" s="1546" t="e">
        <f t="shared" si="320"/>
        <v>#VALUE!</v>
      </c>
      <c r="BR294" s="1546" t="e">
        <f t="shared" si="320"/>
        <v>#VALUE!</v>
      </c>
      <c r="BS294" s="1546" t="e">
        <f t="shared" si="320"/>
        <v>#VALUE!</v>
      </c>
      <c r="BT294" s="1547">
        <f t="shared" si="309"/>
        <v>0</v>
      </c>
      <c r="BU294" s="1550"/>
      <c r="BV294" s="1070"/>
      <c r="BW294" s="1070"/>
    </row>
    <row r="295" spans="1:75" outlineLevel="1" x14ac:dyDescent="0.3">
      <c r="A295" s="1527"/>
      <c r="B295" s="1543" t="s">
        <v>1370</v>
      </c>
      <c r="C295" s="1491"/>
      <c r="D295" s="1352"/>
      <c r="E295" s="1267"/>
      <c r="F295" s="1493"/>
      <c r="G295" s="1545" t="e">
        <f t="shared" ref="G295:AI295" si="321">(G347/(1+DiscRDE)^G$304)-(G348/(1+DiscRDE)^G$304)</f>
        <v>#VALUE!</v>
      </c>
      <c r="H295" s="1546" t="e">
        <f t="shared" si="321"/>
        <v>#VALUE!</v>
      </c>
      <c r="I295" s="1546" t="e">
        <f t="shared" si="321"/>
        <v>#VALUE!</v>
      </c>
      <c r="J295" s="1546" t="e">
        <f t="shared" si="321"/>
        <v>#VALUE!</v>
      </c>
      <c r="K295" s="1546" t="e">
        <f t="shared" si="321"/>
        <v>#VALUE!</v>
      </c>
      <c r="L295" s="1546" t="e">
        <f t="shared" si="321"/>
        <v>#VALUE!</v>
      </c>
      <c r="M295" s="1546" t="e">
        <f t="shared" si="321"/>
        <v>#VALUE!</v>
      </c>
      <c r="N295" s="1546" t="e">
        <f t="shared" si="321"/>
        <v>#VALUE!</v>
      </c>
      <c r="O295" s="1546" t="e">
        <f t="shared" si="321"/>
        <v>#VALUE!</v>
      </c>
      <c r="P295" s="1546" t="e">
        <f t="shared" si="321"/>
        <v>#VALUE!</v>
      </c>
      <c r="Q295" s="1546" t="e">
        <f t="shared" si="321"/>
        <v>#VALUE!</v>
      </c>
      <c r="R295" s="1546" t="e">
        <f t="shared" si="321"/>
        <v>#VALUE!</v>
      </c>
      <c r="S295" s="1546" t="e">
        <f t="shared" si="321"/>
        <v>#VALUE!</v>
      </c>
      <c r="T295" s="1546" t="e">
        <f t="shared" si="321"/>
        <v>#VALUE!</v>
      </c>
      <c r="U295" s="1546" t="e">
        <f t="shared" si="321"/>
        <v>#VALUE!</v>
      </c>
      <c r="V295" s="1546" t="e">
        <f t="shared" si="321"/>
        <v>#VALUE!</v>
      </c>
      <c r="W295" s="1546" t="e">
        <f t="shared" si="321"/>
        <v>#VALUE!</v>
      </c>
      <c r="X295" s="1546" t="e">
        <f t="shared" si="321"/>
        <v>#VALUE!</v>
      </c>
      <c r="Y295" s="1546" t="e">
        <f t="shared" si="321"/>
        <v>#VALUE!</v>
      </c>
      <c r="Z295" s="1546" t="e">
        <f t="shared" si="321"/>
        <v>#VALUE!</v>
      </c>
      <c r="AA295" s="1546" t="e">
        <f t="shared" si="321"/>
        <v>#VALUE!</v>
      </c>
      <c r="AB295" s="1546" t="e">
        <f t="shared" si="321"/>
        <v>#VALUE!</v>
      </c>
      <c r="AC295" s="1546" t="e">
        <f t="shared" si="321"/>
        <v>#VALUE!</v>
      </c>
      <c r="AD295" s="1546" t="e">
        <f t="shared" si="321"/>
        <v>#VALUE!</v>
      </c>
      <c r="AE295" s="1546" t="e">
        <f t="shared" si="321"/>
        <v>#VALUE!</v>
      </c>
      <c r="AF295" s="1546" t="e">
        <f t="shared" si="321"/>
        <v>#VALUE!</v>
      </c>
      <c r="AG295" s="1546" t="e">
        <f t="shared" si="321"/>
        <v>#VALUE!</v>
      </c>
      <c r="AH295" s="1546" t="e">
        <f t="shared" si="321"/>
        <v>#VALUE!</v>
      </c>
      <c r="AI295" s="1546" t="e">
        <f t="shared" si="321"/>
        <v>#VALUE!</v>
      </c>
      <c r="AJ295" s="1547">
        <f t="shared" si="307"/>
        <v>0</v>
      </c>
      <c r="AK295" s="2919">
        <f>SUM(AJ292:AJ295)</f>
        <v>0</v>
      </c>
      <c r="AL295" s="1142"/>
      <c r="AM295" s="1142"/>
      <c r="AN295" s="1142"/>
      <c r="AO295" s="1207"/>
      <c r="AP295" s="1116"/>
      <c r="AQ295" s="1548" t="e">
        <f t="shared" ref="AQ295:BS295" si="322">(AQ347/(1+DiscRDE)^AQ$304)-(AQ348/(1+DiscRDE)^AQ$304)</f>
        <v>#VALUE!</v>
      </c>
      <c r="AR295" s="1546" t="e">
        <f t="shared" si="322"/>
        <v>#VALUE!</v>
      </c>
      <c r="AS295" s="1546" t="e">
        <f t="shared" si="322"/>
        <v>#VALUE!</v>
      </c>
      <c r="AT295" s="1546" t="e">
        <f t="shared" si="322"/>
        <v>#VALUE!</v>
      </c>
      <c r="AU295" s="1546" t="e">
        <f t="shared" si="322"/>
        <v>#VALUE!</v>
      </c>
      <c r="AV295" s="1546" t="e">
        <f t="shared" si="322"/>
        <v>#VALUE!</v>
      </c>
      <c r="AW295" s="1546" t="e">
        <f t="shared" si="322"/>
        <v>#VALUE!</v>
      </c>
      <c r="AX295" s="1546" t="e">
        <f t="shared" si="322"/>
        <v>#VALUE!</v>
      </c>
      <c r="AY295" s="1546" t="e">
        <f t="shared" si="322"/>
        <v>#VALUE!</v>
      </c>
      <c r="AZ295" s="1546" t="e">
        <f t="shared" si="322"/>
        <v>#VALUE!</v>
      </c>
      <c r="BA295" s="1546" t="e">
        <f t="shared" si="322"/>
        <v>#VALUE!</v>
      </c>
      <c r="BB295" s="1546" t="e">
        <f t="shared" si="322"/>
        <v>#VALUE!</v>
      </c>
      <c r="BC295" s="1546" t="e">
        <f t="shared" si="322"/>
        <v>#VALUE!</v>
      </c>
      <c r="BD295" s="1546" t="e">
        <f t="shared" si="322"/>
        <v>#VALUE!</v>
      </c>
      <c r="BE295" s="1546" t="e">
        <f t="shared" si="322"/>
        <v>#VALUE!</v>
      </c>
      <c r="BF295" s="1546" t="e">
        <f t="shared" si="322"/>
        <v>#VALUE!</v>
      </c>
      <c r="BG295" s="1546" t="e">
        <f t="shared" si="322"/>
        <v>#VALUE!</v>
      </c>
      <c r="BH295" s="1546" t="e">
        <f t="shared" si="322"/>
        <v>#VALUE!</v>
      </c>
      <c r="BI295" s="1546" t="e">
        <f t="shared" si="322"/>
        <v>#VALUE!</v>
      </c>
      <c r="BJ295" s="1546" t="e">
        <f t="shared" si="322"/>
        <v>#VALUE!</v>
      </c>
      <c r="BK295" s="1546" t="e">
        <f t="shared" si="322"/>
        <v>#VALUE!</v>
      </c>
      <c r="BL295" s="1546" t="e">
        <f t="shared" si="322"/>
        <v>#VALUE!</v>
      </c>
      <c r="BM295" s="1546" t="e">
        <f t="shared" si="322"/>
        <v>#VALUE!</v>
      </c>
      <c r="BN295" s="1546" t="e">
        <f t="shared" si="322"/>
        <v>#VALUE!</v>
      </c>
      <c r="BO295" s="1546" t="e">
        <f t="shared" si="322"/>
        <v>#VALUE!</v>
      </c>
      <c r="BP295" s="1546" t="e">
        <f t="shared" si="322"/>
        <v>#VALUE!</v>
      </c>
      <c r="BQ295" s="1546" t="e">
        <f t="shared" si="322"/>
        <v>#VALUE!</v>
      </c>
      <c r="BR295" s="1546" t="e">
        <f t="shared" si="322"/>
        <v>#VALUE!</v>
      </c>
      <c r="BS295" s="1546" t="e">
        <f t="shared" si="322"/>
        <v>#VALUE!</v>
      </c>
      <c r="BT295" s="1547">
        <f t="shared" si="309"/>
        <v>0</v>
      </c>
      <c r="BU295" s="2031">
        <f>SUM(BT292:BT295)</f>
        <v>0</v>
      </c>
      <c r="BV295" s="1070"/>
      <c r="BW295" s="1070"/>
    </row>
    <row r="296" spans="1:75" outlineLevel="1" x14ac:dyDescent="0.3">
      <c r="A296" s="1527"/>
      <c r="B296" s="2920" t="s">
        <v>1739</v>
      </c>
      <c r="C296" s="1491"/>
      <c r="D296" s="1352"/>
      <c r="E296" s="1267"/>
      <c r="F296" s="1531">
        <f>Input!D69</f>
        <v>0.15</v>
      </c>
      <c r="G296" s="1545" t="e">
        <f t="shared" ref="G296:AI296" si="323">((G233/(1+DiscRDE)^G$304)-(AQ233/(1+DiscRDE)^G$304))-((G233/(1+$F$296)^G$304)-(AQ233/(1+$F$296)^G$304))</f>
        <v>#VALUE!</v>
      </c>
      <c r="H296" s="1546" t="e">
        <f t="shared" si="323"/>
        <v>#VALUE!</v>
      </c>
      <c r="I296" s="1546" t="e">
        <f t="shared" si="323"/>
        <v>#VALUE!</v>
      </c>
      <c r="J296" s="1546" t="e">
        <f t="shared" si="323"/>
        <v>#VALUE!</v>
      </c>
      <c r="K296" s="1546" t="e">
        <f t="shared" si="323"/>
        <v>#VALUE!</v>
      </c>
      <c r="L296" s="1546" t="e">
        <f t="shared" si="323"/>
        <v>#VALUE!</v>
      </c>
      <c r="M296" s="1546" t="e">
        <f t="shared" si="323"/>
        <v>#VALUE!</v>
      </c>
      <c r="N296" s="1546" t="e">
        <f t="shared" si="323"/>
        <v>#VALUE!</v>
      </c>
      <c r="O296" s="1546" t="e">
        <f t="shared" si="323"/>
        <v>#VALUE!</v>
      </c>
      <c r="P296" s="1546" t="e">
        <f t="shared" si="323"/>
        <v>#VALUE!</v>
      </c>
      <c r="Q296" s="1546" t="e">
        <f t="shared" si="323"/>
        <v>#VALUE!</v>
      </c>
      <c r="R296" s="1546" t="e">
        <f t="shared" si="323"/>
        <v>#VALUE!</v>
      </c>
      <c r="S296" s="1546" t="e">
        <f t="shared" si="323"/>
        <v>#VALUE!</v>
      </c>
      <c r="T296" s="1546" t="e">
        <f t="shared" si="323"/>
        <v>#VALUE!</v>
      </c>
      <c r="U296" s="1546" t="e">
        <f t="shared" si="323"/>
        <v>#VALUE!</v>
      </c>
      <c r="V296" s="1546" t="e">
        <f t="shared" si="323"/>
        <v>#VALUE!</v>
      </c>
      <c r="W296" s="1546" t="e">
        <f t="shared" si="323"/>
        <v>#VALUE!</v>
      </c>
      <c r="X296" s="1546" t="e">
        <f t="shared" si="323"/>
        <v>#VALUE!</v>
      </c>
      <c r="Y296" s="1546" t="e">
        <f t="shared" si="323"/>
        <v>#VALUE!</v>
      </c>
      <c r="Z296" s="1546" t="e">
        <f t="shared" si="323"/>
        <v>#VALUE!</v>
      </c>
      <c r="AA296" s="1546" t="e">
        <f t="shared" si="323"/>
        <v>#VALUE!</v>
      </c>
      <c r="AB296" s="1546" t="e">
        <f t="shared" si="323"/>
        <v>#VALUE!</v>
      </c>
      <c r="AC296" s="1546" t="e">
        <f t="shared" si="323"/>
        <v>#VALUE!</v>
      </c>
      <c r="AD296" s="1546" t="e">
        <f t="shared" si="323"/>
        <v>#VALUE!</v>
      </c>
      <c r="AE296" s="1546" t="e">
        <f t="shared" si="323"/>
        <v>#VALUE!</v>
      </c>
      <c r="AF296" s="1546" t="e">
        <f t="shared" si="323"/>
        <v>#VALUE!</v>
      </c>
      <c r="AG296" s="1546" t="e">
        <f t="shared" si="323"/>
        <v>#VALUE!</v>
      </c>
      <c r="AH296" s="1546" t="e">
        <f t="shared" si="323"/>
        <v>#VALUE!</v>
      </c>
      <c r="AI296" s="1546" t="e">
        <f t="shared" si="323"/>
        <v>#VALUE!</v>
      </c>
      <c r="AJ296" s="1547">
        <f t="shared" si="307"/>
        <v>0</v>
      </c>
      <c r="AK296" s="1082"/>
      <c r="AL296" s="1142"/>
      <c r="AM296" s="1142"/>
      <c r="AN296" s="1142"/>
      <c r="AO296" s="1149"/>
      <c r="AP296" s="1142"/>
      <c r="AQ296" s="1548" t="e">
        <f t="shared" ref="AQ296:BS296" si="324">((G233/(1+DiscRDE)^AQ$304)-(AQ233/(1+DiscRDE)^AQ$304))-((G233/(1+$F$296)^AQ$304)-(AQ233/(1+$F$296)^AQ$304))</f>
        <v>#VALUE!</v>
      </c>
      <c r="AR296" s="1546" t="e">
        <f t="shared" si="324"/>
        <v>#VALUE!</v>
      </c>
      <c r="AS296" s="1546" t="e">
        <f t="shared" si="324"/>
        <v>#VALUE!</v>
      </c>
      <c r="AT296" s="1546" t="e">
        <f t="shared" si="324"/>
        <v>#VALUE!</v>
      </c>
      <c r="AU296" s="1546" t="e">
        <f t="shared" si="324"/>
        <v>#VALUE!</v>
      </c>
      <c r="AV296" s="1546" t="e">
        <f t="shared" si="324"/>
        <v>#VALUE!</v>
      </c>
      <c r="AW296" s="1546" t="e">
        <f t="shared" si="324"/>
        <v>#VALUE!</v>
      </c>
      <c r="AX296" s="1546" t="e">
        <f t="shared" si="324"/>
        <v>#VALUE!</v>
      </c>
      <c r="AY296" s="1546" t="e">
        <f t="shared" si="324"/>
        <v>#VALUE!</v>
      </c>
      <c r="AZ296" s="1546" t="e">
        <f t="shared" si="324"/>
        <v>#VALUE!</v>
      </c>
      <c r="BA296" s="1546" t="e">
        <f t="shared" si="324"/>
        <v>#VALUE!</v>
      </c>
      <c r="BB296" s="1546" t="e">
        <f t="shared" si="324"/>
        <v>#VALUE!</v>
      </c>
      <c r="BC296" s="1546" t="e">
        <f t="shared" si="324"/>
        <v>#VALUE!</v>
      </c>
      <c r="BD296" s="1546" t="e">
        <f t="shared" si="324"/>
        <v>#VALUE!</v>
      </c>
      <c r="BE296" s="1546" t="e">
        <f t="shared" si="324"/>
        <v>#VALUE!</v>
      </c>
      <c r="BF296" s="1546" t="e">
        <f t="shared" si="324"/>
        <v>#VALUE!</v>
      </c>
      <c r="BG296" s="1546" t="e">
        <f t="shared" si="324"/>
        <v>#VALUE!</v>
      </c>
      <c r="BH296" s="1546" t="e">
        <f t="shared" si="324"/>
        <v>#VALUE!</v>
      </c>
      <c r="BI296" s="1546" t="e">
        <f t="shared" si="324"/>
        <v>#VALUE!</v>
      </c>
      <c r="BJ296" s="1546" t="e">
        <f t="shared" si="324"/>
        <v>#VALUE!</v>
      </c>
      <c r="BK296" s="1546" t="e">
        <f t="shared" si="324"/>
        <v>#VALUE!</v>
      </c>
      <c r="BL296" s="1546" t="e">
        <f t="shared" si="324"/>
        <v>#VALUE!</v>
      </c>
      <c r="BM296" s="1546" t="e">
        <f t="shared" si="324"/>
        <v>#VALUE!</v>
      </c>
      <c r="BN296" s="1546" t="e">
        <f t="shared" si="324"/>
        <v>#VALUE!</v>
      </c>
      <c r="BO296" s="1546" t="e">
        <f t="shared" si="324"/>
        <v>#VALUE!</v>
      </c>
      <c r="BP296" s="1546" t="e">
        <f t="shared" si="324"/>
        <v>#VALUE!</v>
      </c>
      <c r="BQ296" s="1546" t="e">
        <f t="shared" si="324"/>
        <v>#VALUE!</v>
      </c>
      <c r="BR296" s="1546" t="e">
        <f t="shared" si="324"/>
        <v>#VALUE!</v>
      </c>
      <c r="BS296" s="1546" t="e">
        <f t="shared" si="324"/>
        <v>#VALUE!</v>
      </c>
      <c r="BT296" s="1549">
        <f t="shared" si="309"/>
        <v>0</v>
      </c>
      <c r="BU296" s="2029"/>
      <c r="BV296" s="1070"/>
      <c r="BW296" s="1070"/>
    </row>
    <row r="297" spans="1:75" outlineLevel="1" x14ac:dyDescent="0.3">
      <c r="A297" s="1527"/>
      <c r="B297" s="2920" t="s">
        <v>1740</v>
      </c>
      <c r="C297" s="1491"/>
      <c r="D297" s="1352"/>
      <c r="E297" s="1267"/>
      <c r="F297" s="1493"/>
      <c r="G297" s="1545" t="e">
        <f t="shared" ref="G297:AI297" si="325">((IF(G231=DefExitFY+9,G238,G233)/(1+DiscRDE)^G$304)-(IF(DefExitFY+9=AQ231,AQ238,AQ233)/(1+DiscRDE)^G$304))-SUM(G292:G296)</f>
        <v>#VALUE!</v>
      </c>
      <c r="H297" s="1556" t="e">
        <f t="shared" si="325"/>
        <v>#VALUE!</v>
      </c>
      <c r="I297" s="1556" t="e">
        <f t="shared" si="325"/>
        <v>#VALUE!</v>
      </c>
      <c r="J297" s="1556" t="e">
        <f t="shared" si="325"/>
        <v>#VALUE!</v>
      </c>
      <c r="K297" s="1556" t="e">
        <f t="shared" si="325"/>
        <v>#VALUE!</v>
      </c>
      <c r="L297" s="1556" t="e">
        <f t="shared" si="325"/>
        <v>#VALUE!</v>
      </c>
      <c r="M297" s="1556" t="e">
        <f t="shared" si="325"/>
        <v>#VALUE!</v>
      </c>
      <c r="N297" s="1556" t="e">
        <f t="shared" si="325"/>
        <v>#VALUE!</v>
      </c>
      <c r="O297" s="1556" t="e">
        <f t="shared" si="325"/>
        <v>#VALUE!</v>
      </c>
      <c r="P297" s="1556" t="e">
        <f t="shared" si="325"/>
        <v>#VALUE!</v>
      </c>
      <c r="Q297" s="1556" t="e">
        <f t="shared" si="325"/>
        <v>#VALUE!</v>
      </c>
      <c r="R297" s="1556" t="e">
        <f t="shared" si="325"/>
        <v>#VALUE!</v>
      </c>
      <c r="S297" s="1556" t="e">
        <f t="shared" si="325"/>
        <v>#VALUE!</v>
      </c>
      <c r="T297" s="1556" t="e">
        <f t="shared" si="325"/>
        <v>#VALUE!</v>
      </c>
      <c r="U297" s="1556" t="e">
        <f t="shared" si="325"/>
        <v>#VALUE!</v>
      </c>
      <c r="V297" s="1556" t="e">
        <f t="shared" si="325"/>
        <v>#VALUE!</v>
      </c>
      <c r="W297" s="1556" t="e">
        <f t="shared" si="325"/>
        <v>#VALUE!</v>
      </c>
      <c r="X297" s="1556" t="e">
        <f t="shared" si="325"/>
        <v>#VALUE!</v>
      </c>
      <c r="Y297" s="1556" t="e">
        <f t="shared" si="325"/>
        <v>#VALUE!</v>
      </c>
      <c r="Z297" s="1556" t="e">
        <f t="shared" si="325"/>
        <v>#VALUE!</v>
      </c>
      <c r="AA297" s="1556" t="e">
        <f t="shared" si="325"/>
        <v>#VALUE!</v>
      </c>
      <c r="AB297" s="1556" t="e">
        <f t="shared" si="325"/>
        <v>#VALUE!</v>
      </c>
      <c r="AC297" s="1556" t="e">
        <f t="shared" si="325"/>
        <v>#VALUE!</v>
      </c>
      <c r="AD297" s="1556" t="e">
        <f t="shared" si="325"/>
        <v>#VALUE!</v>
      </c>
      <c r="AE297" s="1556" t="e">
        <f t="shared" si="325"/>
        <v>#VALUE!</v>
      </c>
      <c r="AF297" s="1556" t="e">
        <f t="shared" si="325"/>
        <v>#VALUE!</v>
      </c>
      <c r="AG297" s="1556" t="e">
        <f t="shared" si="325"/>
        <v>#VALUE!</v>
      </c>
      <c r="AH297" s="1556" t="e">
        <f t="shared" si="325"/>
        <v>#VALUE!</v>
      </c>
      <c r="AI297" s="1556" t="e">
        <f t="shared" si="325"/>
        <v>#VALUE!</v>
      </c>
      <c r="AJ297" s="1547">
        <f t="shared" si="307"/>
        <v>0</v>
      </c>
      <c r="AK297" s="2919" t="e">
        <f>(H177-G177)-AK295</f>
        <v>#VALUE!</v>
      </c>
      <c r="AL297" s="1142"/>
      <c r="AM297" s="1142"/>
      <c r="AN297" s="1142"/>
      <c r="AO297" s="1149"/>
      <c r="AP297" s="1142"/>
      <c r="AQ297" s="1548" t="e">
        <f t="shared" ref="AQ297:BS297" si="326">((IF(AQ231=DefExitFY+14,G238,G233)/(1+DiscRDE)^AQ$304)-(IF(DefExitFY+14=AQ231,AQ238,AQ233)/(1+DiscRDE)^AQ$304))-SUM(AQ292:AQ296)</f>
        <v>#VALUE!</v>
      </c>
      <c r="AR297" s="1556" t="e">
        <f t="shared" si="326"/>
        <v>#VALUE!</v>
      </c>
      <c r="AS297" s="1556" t="e">
        <f t="shared" si="326"/>
        <v>#VALUE!</v>
      </c>
      <c r="AT297" s="1556" t="e">
        <f t="shared" si="326"/>
        <v>#VALUE!</v>
      </c>
      <c r="AU297" s="1556" t="e">
        <f t="shared" si="326"/>
        <v>#VALUE!</v>
      </c>
      <c r="AV297" s="1556" t="e">
        <f t="shared" si="326"/>
        <v>#VALUE!</v>
      </c>
      <c r="AW297" s="1556" t="e">
        <f t="shared" si="326"/>
        <v>#VALUE!</v>
      </c>
      <c r="AX297" s="1556" t="e">
        <f t="shared" si="326"/>
        <v>#VALUE!</v>
      </c>
      <c r="AY297" s="1556" t="e">
        <f t="shared" si="326"/>
        <v>#VALUE!</v>
      </c>
      <c r="AZ297" s="1556" t="e">
        <f t="shared" si="326"/>
        <v>#VALUE!</v>
      </c>
      <c r="BA297" s="1556" t="e">
        <f t="shared" si="326"/>
        <v>#VALUE!</v>
      </c>
      <c r="BB297" s="1556" t="e">
        <f t="shared" si="326"/>
        <v>#VALUE!</v>
      </c>
      <c r="BC297" s="1556" t="e">
        <f t="shared" si="326"/>
        <v>#VALUE!</v>
      </c>
      <c r="BD297" s="1556" t="e">
        <f t="shared" si="326"/>
        <v>#VALUE!</v>
      </c>
      <c r="BE297" s="1556" t="e">
        <f t="shared" si="326"/>
        <v>#VALUE!</v>
      </c>
      <c r="BF297" s="1556" t="e">
        <f t="shared" si="326"/>
        <v>#VALUE!</v>
      </c>
      <c r="BG297" s="1556" t="e">
        <f t="shared" si="326"/>
        <v>#VALUE!</v>
      </c>
      <c r="BH297" s="1556" t="e">
        <f t="shared" si="326"/>
        <v>#VALUE!</v>
      </c>
      <c r="BI297" s="1556" t="e">
        <f t="shared" si="326"/>
        <v>#VALUE!</v>
      </c>
      <c r="BJ297" s="1556" t="e">
        <f t="shared" si="326"/>
        <v>#VALUE!</v>
      </c>
      <c r="BK297" s="1556" t="e">
        <f t="shared" si="326"/>
        <v>#VALUE!</v>
      </c>
      <c r="BL297" s="1556" t="e">
        <f t="shared" si="326"/>
        <v>#VALUE!</v>
      </c>
      <c r="BM297" s="1556" t="e">
        <f t="shared" si="326"/>
        <v>#VALUE!</v>
      </c>
      <c r="BN297" s="1556" t="e">
        <f t="shared" si="326"/>
        <v>#VALUE!</v>
      </c>
      <c r="BO297" s="1556" t="e">
        <f t="shared" si="326"/>
        <v>#VALUE!</v>
      </c>
      <c r="BP297" s="1556" t="e">
        <f t="shared" si="326"/>
        <v>#VALUE!</v>
      </c>
      <c r="BQ297" s="1556" t="e">
        <f t="shared" si="326"/>
        <v>#VALUE!</v>
      </c>
      <c r="BR297" s="1556" t="e">
        <f t="shared" si="326"/>
        <v>#VALUE!</v>
      </c>
      <c r="BS297" s="1556" t="e">
        <f t="shared" si="326"/>
        <v>#VALUE!</v>
      </c>
      <c r="BT297" s="1547">
        <f t="shared" si="309"/>
        <v>0</v>
      </c>
      <c r="BU297" s="2031" t="e">
        <f>(M177-L177)-BU295</f>
        <v>#VALUE!</v>
      </c>
      <c r="BV297" s="1070"/>
      <c r="BW297" s="1070"/>
    </row>
    <row r="298" spans="1:75" outlineLevel="1" x14ac:dyDescent="0.3">
      <c r="A298" s="1527"/>
      <c r="B298" s="1434" t="s">
        <v>1501</v>
      </c>
      <c r="C298" s="1232"/>
      <c r="D298" s="1232"/>
      <c r="E298" s="1232"/>
      <c r="F298" s="1557"/>
      <c r="G298" s="1558" t="e">
        <f t="shared" ref="G298:AI298" si="327">SUM(G292:G297)</f>
        <v>#VALUE!</v>
      </c>
      <c r="H298" s="1559" t="e">
        <f t="shared" si="327"/>
        <v>#VALUE!</v>
      </c>
      <c r="I298" s="1559" t="e">
        <f t="shared" si="327"/>
        <v>#VALUE!</v>
      </c>
      <c r="J298" s="1559" t="e">
        <f t="shared" si="327"/>
        <v>#VALUE!</v>
      </c>
      <c r="K298" s="1559" t="e">
        <f t="shared" si="327"/>
        <v>#VALUE!</v>
      </c>
      <c r="L298" s="1559" t="e">
        <f t="shared" si="327"/>
        <v>#VALUE!</v>
      </c>
      <c r="M298" s="1559" t="e">
        <f t="shared" si="327"/>
        <v>#VALUE!</v>
      </c>
      <c r="N298" s="1559" t="e">
        <f t="shared" si="327"/>
        <v>#VALUE!</v>
      </c>
      <c r="O298" s="1559" t="e">
        <f t="shared" si="327"/>
        <v>#VALUE!</v>
      </c>
      <c r="P298" s="1559" t="e">
        <f t="shared" si="327"/>
        <v>#VALUE!</v>
      </c>
      <c r="Q298" s="1559" t="e">
        <f t="shared" si="327"/>
        <v>#VALUE!</v>
      </c>
      <c r="R298" s="1559" t="e">
        <f t="shared" si="327"/>
        <v>#VALUE!</v>
      </c>
      <c r="S298" s="1559" t="e">
        <f t="shared" si="327"/>
        <v>#VALUE!</v>
      </c>
      <c r="T298" s="1559" t="e">
        <f t="shared" si="327"/>
        <v>#VALUE!</v>
      </c>
      <c r="U298" s="1559" t="e">
        <f t="shared" si="327"/>
        <v>#VALUE!</v>
      </c>
      <c r="V298" s="1559" t="e">
        <f t="shared" si="327"/>
        <v>#VALUE!</v>
      </c>
      <c r="W298" s="1559" t="e">
        <f t="shared" si="327"/>
        <v>#VALUE!</v>
      </c>
      <c r="X298" s="1559" t="e">
        <f t="shared" si="327"/>
        <v>#VALUE!</v>
      </c>
      <c r="Y298" s="1559" t="e">
        <f t="shared" si="327"/>
        <v>#VALUE!</v>
      </c>
      <c r="Z298" s="1559" t="e">
        <f t="shared" si="327"/>
        <v>#VALUE!</v>
      </c>
      <c r="AA298" s="1559" t="e">
        <f t="shared" si="327"/>
        <v>#VALUE!</v>
      </c>
      <c r="AB298" s="1559" t="e">
        <f t="shared" si="327"/>
        <v>#VALUE!</v>
      </c>
      <c r="AC298" s="1559" t="e">
        <f t="shared" si="327"/>
        <v>#VALUE!</v>
      </c>
      <c r="AD298" s="1559" t="e">
        <f t="shared" si="327"/>
        <v>#VALUE!</v>
      </c>
      <c r="AE298" s="1559" t="e">
        <f t="shared" si="327"/>
        <v>#VALUE!</v>
      </c>
      <c r="AF298" s="1559" t="e">
        <f t="shared" si="327"/>
        <v>#VALUE!</v>
      </c>
      <c r="AG298" s="1559" t="e">
        <f t="shared" si="327"/>
        <v>#VALUE!</v>
      </c>
      <c r="AH298" s="1559" t="e">
        <f t="shared" si="327"/>
        <v>#VALUE!</v>
      </c>
      <c r="AI298" s="1559" t="e">
        <f t="shared" si="327"/>
        <v>#VALUE!</v>
      </c>
      <c r="AJ298" s="1560">
        <f t="shared" si="307"/>
        <v>0</v>
      </c>
      <c r="AK298" s="1116"/>
      <c r="AL298" s="1142"/>
      <c r="AM298" s="1142"/>
      <c r="AN298" s="1142"/>
      <c r="AO298" s="1149"/>
      <c r="AP298" s="1142"/>
      <c r="AQ298" s="1561" t="e">
        <f t="shared" ref="AQ298:BS298" si="328">SUM(AQ292:AQ297)</f>
        <v>#VALUE!</v>
      </c>
      <c r="AR298" s="1559" t="e">
        <f t="shared" si="328"/>
        <v>#VALUE!</v>
      </c>
      <c r="AS298" s="1559" t="e">
        <f t="shared" si="328"/>
        <v>#VALUE!</v>
      </c>
      <c r="AT298" s="1559" t="e">
        <f t="shared" si="328"/>
        <v>#VALUE!</v>
      </c>
      <c r="AU298" s="1559" t="e">
        <f t="shared" si="328"/>
        <v>#VALUE!</v>
      </c>
      <c r="AV298" s="1559" t="e">
        <f t="shared" si="328"/>
        <v>#VALUE!</v>
      </c>
      <c r="AW298" s="1559" t="e">
        <f t="shared" si="328"/>
        <v>#VALUE!</v>
      </c>
      <c r="AX298" s="1559" t="e">
        <f t="shared" si="328"/>
        <v>#VALUE!</v>
      </c>
      <c r="AY298" s="1559" t="e">
        <f t="shared" si="328"/>
        <v>#VALUE!</v>
      </c>
      <c r="AZ298" s="1559" t="e">
        <f t="shared" si="328"/>
        <v>#VALUE!</v>
      </c>
      <c r="BA298" s="1559" t="e">
        <f t="shared" si="328"/>
        <v>#VALUE!</v>
      </c>
      <c r="BB298" s="1559" t="e">
        <f t="shared" si="328"/>
        <v>#VALUE!</v>
      </c>
      <c r="BC298" s="1559" t="e">
        <f t="shared" si="328"/>
        <v>#VALUE!</v>
      </c>
      <c r="BD298" s="1559" t="e">
        <f t="shared" si="328"/>
        <v>#VALUE!</v>
      </c>
      <c r="BE298" s="1559" t="e">
        <f t="shared" si="328"/>
        <v>#VALUE!</v>
      </c>
      <c r="BF298" s="1559" t="e">
        <f t="shared" si="328"/>
        <v>#VALUE!</v>
      </c>
      <c r="BG298" s="1559" t="e">
        <f t="shared" si="328"/>
        <v>#VALUE!</v>
      </c>
      <c r="BH298" s="1559" t="e">
        <f t="shared" si="328"/>
        <v>#VALUE!</v>
      </c>
      <c r="BI298" s="1559" t="e">
        <f t="shared" si="328"/>
        <v>#VALUE!</v>
      </c>
      <c r="BJ298" s="1559" t="e">
        <f t="shared" si="328"/>
        <v>#VALUE!</v>
      </c>
      <c r="BK298" s="1559" t="e">
        <f t="shared" si="328"/>
        <v>#VALUE!</v>
      </c>
      <c r="BL298" s="1559" t="e">
        <f t="shared" si="328"/>
        <v>#VALUE!</v>
      </c>
      <c r="BM298" s="1559" t="e">
        <f t="shared" si="328"/>
        <v>#VALUE!</v>
      </c>
      <c r="BN298" s="1559" t="e">
        <f t="shared" si="328"/>
        <v>#VALUE!</v>
      </c>
      <c r="BO298" s="1559" t="e">
        <f t="shared" si="328"/>
        <v>#VALUE!</v>
      </c>
      <c r="BP298" s="1559" t="e">
        <f t="shared" si="328"/>
        <v>#VALUE!</v>
      </c>
      <c r="BQ298" s="1559" t="e">
        <f t="shared" si="328"/>
        <v>#VALUE!</v>
      </c>
      <c r="BR298" s="1559" t="e">
        <f t="shared" si="328"/>
        <v>#VALUE!</v>
      </c>
      <c r="BS298" s="1559" t="e">
        <f t="shared" si="328"/>
        <v>#VALUE!</v>
      </c>
      <c r="BT298" s="1560">
        <f t="shared" si="309"/>
        <v>0</v>
      </c>
      <c r="BU298" s="1554"/>
      <c r="BV298" s="1070"/>
      <c r="BW298" s="1070"/>
    </row>
    <row r="299" spans="1:75" outlineLevel="1" x14ac:dyDescent="0.3">
      <c r="A299" s="1527"/>
      <c r="B299" s="1142"/>
      <c r="C299" s="1142"/>
      <c r="D299" s="1142"/>
      <c r="E299" s="1142"/>
      <c r="F299" s="1142"/>
      <c r="G299" s="2036"/>
      <c r="H299" s="2036"/>
      <c r="I299" s="2036"/>
      <c r="J299" s="2036"/>
      <c r="K299" s="2036"/>
      <c r="L299" s="2036"/>
      <c r="M299" s="2036"/>
      <c r="N299" s="2036"/>
      <c r="O299" s="2036"/>
      <c r="P299" s="2036"/>
      <c r="Q299" s="2036"/>
      <c r="R299" s="2036"/>
      <c r="S299" s="2036"/>
      <c r="T299" s="2036"/>
      <c r="U299" s="2036"/>
      <c r="V299" s="2036"/>
      <c r="W299" s="2036"/>
      <c r="X299" s="2036"/>
      <c r="Y299" s="2036"/>
      <c r="Z299" s="2036"/>
      <c r="AA299" s="2036"/>
      <c r="AB299" s="2036"/>
      <c r="AC299" s="2036"/>
      <c r="AD299" s="2036"/>
      <c r="AE299" s="2036"/>
      <c r="AF299" s="2036"/>
      <c r="AG299" s="2036"/>
      <c r="AH299" s="2036"/>
      <c r="AI299" s="2036"/>
      <c r="AJ299" s="2036"/>
      <c r="AK299" s="1142"/>
      <c r="AL299" s="1142"/>
      <c r="AM299" s="1142"/>
      <c r="AN299" s="1142"/>
      <c r="AO299" s="1149"/>
      <c r="AP299" s="1142"/>
      <c r="AQ299" s="1116"/>
      <c r="AR299" s="1116"/>
      <c r="AS299" s="1116"/>
      <c r="AT299" s="1116"/>
      <c r="AU299" s="1116"/>
      <c r="AV299" s="1116"/>
      <c r="AW299" s="1116"/>
      <c r="AX299" s="1116"/>
      <c r="AY299" s="1116"/>
      <c r="AZ299" s="1116"/>
      <c r="BA299" s="1116"/>
      <c r="BB299" s="1116"/>
      <c r="BC299" s="1116"/>
      <c r="BD299" s="1116"/>
      <c r="BE299" s="1116"/>
      <c r="BF299" s="1116"/>
      <c r="BG299" s="1116"/>
      <c r="BH299" s="1116"/>
      <c r="BI299" s="1116"/>
      <c r="BJ299" s="1116"/>
      <c r="BK299" s="1116"/>
      <c r="BL299" s="1116"/>
      <c r="BM299" s="1116"/>
      <c r="BN299" s="1116"/>
      <c r="BO299" s="1116"/>
      <c r="BP299" s="1116"/>
      <c r="BQ299" s="1116"/>
      <c r="BR299" s="1116"/>
      <c r="BS299" s="1116"/>
      <c r="BT299" s="1560"/>
      <c r="BU299" s="1478"/>
      <c r="BV299" s="1070"/>
      <c r="BW299" s="1070"/>
    </row>
    <row r="300" spans="1:75" outlineLevel="1" x14ac:dyDescent="0.3">
      <c r="A300" s="1474"/>
      <c r="B300" s="1479" t="s">
        <v>1373</v>
      </c>
      <c r="C300" s="1218"/>
      <c r="D300" s="1218"/>
      <c r="E300" s="1218"/>
      <c r="F300" s="1218"/>
      <c r="G300" s="2038"/>
      <c r="H300" s="2038"/>
      <c r="I300" s="2038"/>
      <c r="J300" s="2038"/>
      <c r="K300" s="2038"/>
      <c r="L300" s="2038"/>
      <c r="M300" s="2038"/>
      <c r="N300" s="2038"/>
      <c r="O300" s="2038"/>
      <c r="P300" s="2038"/>
      <c r="Q300" s="2038"/>
      <c r="R300" s="2038"/>
      <c r="S300" s="2038"/>
      <c r="T300" s="2038"/>
      <c r="U300" s="2038"/>
      <c r="V300" s="2038"/>
      <c r="W300" s="2038"/>
      <c r="X300" s="2038"/>
      <c r="Y300" s="2038"/>
      <c r="Z300" s="2038"/>
      <c r="AA300" s="2038"/>
      <c r="AB300" s="2038"/>
      <c r="AC300" s="2038"/>
      <c r="AD300" s="2038"/>
      <c r="AE300" s="2038"/>
      <c r="AF300" s="2038"/>
      <c r="AG300" s="2038"/>
      <c r="AH300" s="2038"/>
      <c r="AI300" s="2039"/>
      <c r="AJ300" s="1564"/>
      <c r="AK300" s="1142"/>
      <c r="AL300" s="1142"/>
      <c r="AM300" s="1142"/>
      <c r="AN300" s="1142"/>
      <c r="AO300" s="1567"/>
      <c r="AP300" s="1568"/>
      <c r="AQ300" s="1569" t="s">
        <v>1373</v>
      </c>
      <c r="AR300" s="1159"/>
      <c r="AS300" s="1159"/>
      <c r="AT300" s="1159"/>
      <c r="AU300" s="1159"/>
      <c r="AV300" s="1159"/>
      <c r="AW300" s="1159"/>
      <c r="AX300" s="1159"/>
      <c r="AY300" s="1159"/>
      <c r="AZ300" s="1159"/>
      <c r="BA300" s="1159"/>
      <c r="BB300" s="1159"/>
      <c r="BC300" s="1159"/>
      <c r="BD300" s="1159"/>
      <c r="BE300" s="1159"/>
      <c r="BF300" s="1159"/>
      <c r="BG300" s="1159"/>
      <c r="BH300" s="1159"/>
      <c r="BI300" s="1159"/>
      <c r="BJ300" s="1159"/>
      <c r="BK300" s="1159"/>
      <c r="BL300" s="1159"/>
      <c r="BM300" s="1159"/>
      <c r="BN300" s="1159"/>
      <c r="BO300" s="1159"/>
      <c r="BP300" s="1159"/>
      <c r="BQ300" s="1159"/>
      <c r="BR300" s="1159"/>
      <c r="BS300" s="1186"/>
      <c r="BT300" s="1142"/>
      <c r="BU300" s="1478"/>
      <c r="BV300" s="1070"/>
      <c r="BW300" s="1070"/>
    </row>
    <row r="301" spans="1:75" outlineLevel="1" x14ac:dyDescent="0.3">
      <c r="A301" s="1474"/>
      <c r="B301" s="1207" t="s">
        <v>1374</v>
      </c>
      <c r="C301" s="1116"/>
      <c r="D301" s="1116"/>
      <c r="E301" s="1116"/>
      <c r="F301" s="1116"/>
      <c r="G301" s="1570" t="e">
        <f>IF(LaunchFY="NA",2,IF((LaunchFY+3)&gt;Calc!G288,1,0))</f>
        <v>#VALUE!</v>
      </c>
      <c r="H301" s="1571" t="e">
        <f>IF(LaunchFY="NA",2,IF((LaunchFY+3)&gt;Calc!H288,1,0))</f>
        <v>#VALUE!</v>
      </c>
      <c r="I301" s="1571" t="e">
        <f>IF(LaunchFY="NA",2,IF((LaunchFY+3)&gt;Calc!I288,1,0))</f>
        <v>#VALUE!</v>
      </c>
      <c r="J301" s="1571" t="e">
        <f>IF(LaunchFY="NA",2,IF((LaunchFY+3)&gt;Calc!J288,1,0))</f>
        <v>#VALUE!</v>
      </c>
      <c r="K301" s="1571" t="e">
        <f>IF(LaunchFY="NA",2,IF((LaunchFY+3)&gt;Calc!K288,1,0))</f>
        <v>#VALUE!</v>
      </c>
      <c r="L301" s="1571" t="e">
        <f>IF(LaunchFY="NA",2,IF((LaunchFY+3)&gt;Calc!L288,1,0))</f>
        <v>#VALUE!</v>
      </c>
      <c r="M301" s="1571" t="e">
        <f>IF(LaunchFY="NA",2,IF((LaunchFY+3)&gt;Calc!M288,1,0))</f>
        <v>#VALUE!</v>
      </c>
      <c r="N301" s="1571" t="e">
        <f>IF(LaunchFY="NA",2,IF((LaunchFY+3)&gt;Calc!N288,1,0))</f>
        <v>#VALUE!</v>
      </c>
      <c r="O301" s="1571" t="e">
        <f>IF(LaunchFY="NA",2,IF((LaunchFY+3)&gt;Calc!O288,1,0))</f>
        <v>#VALUE!</v>
      </c>
      <c r="P301" s="1571" t="e">
        <f>IF(LaunchFY="NA",2,IF((LaunchFY+3)&gt;Calc!P288,1,0))</f>
        <v>#VALUE!</v>
      </c>
      <c r="Q301" s="1571" t="e">
        <f>IF(LaunchFY="NA",2,IF((LaunchFY+3)&gt;Calc!Q288,1,0))</f>
        <v>#VALUE!</v>
      </c>
      <c r="R301" s="1571" t="e">
        <f>IF(LaunchFY="NA",2,IF((LaunchFY+3)&gt;Calc!R288,1,0))</f>
        <v>#VALUE!</v>
      </c>
      <c r="S301" s="1571" t="e">
        <f>IF(LaunchFY="NA",2,IF((LaunchFY+3)&gt;Calc!S288,1,0))</f>
        <v>#VALUE!</v>
      </c>
      <c r="T301" s="1571" t="e">
        <f>IF(LaunchFY="NA",2,IF((LaunchFY+3)&gt;Calc!T288,1,0))</f>
        <v>#VALUE!</v>
      </c>
      <c r="U301" s="1571" t="e">
        <f>IF(LaunchFY="NA",2,IF((LaunchFY+3)&gt;Calc!U288,1,0))</f>
        <v>#VALUE!</v>
      </c>
      <c r="V301" s="1571" t="e">
        <f>IF(LaunchFY="NA",2,IF((LaunchFY+3)&gt;Calc!V288,1,0))</f>
        <v>#VALUE!</v>
      </c>
      <c r="W301" s="1571" t="e">
        <f>IF(LaunchFY="NA",2,IF((LaunchFY+3)&gt;Calc!W288,1,0))</f>
        <v>#VALUE!</v>
      </c>
      <c r="X301" s="1571" t="e">
        <f>IF(LaunchFY="NA",2,IF((LaunchFY+3)&gt;Calc!X288,1,0))</f>
        <v>#VALUE!</v>
      </c>
      <c r="Y301" s="1571" t="e">
        <f>IF(LaunchFY="NA",2,IF((LaunchFY+3)&gt;Calc!Y288,1,0))</f>
        <v>#VALUE!</v>
      </c>
      <c r="Z301" s="1571" t="e">
        <f>IF(LaunchFY="NA",2,IF((LaunchFY+3)&gt;Calc!Z288,1,0))</f>
        <v>#VALUE!</v>
      </c>
      <c r="AA301" s="1571" t="e">
        <f>IF(LaunchFY="NA",2,IF((LaunchFY+3)&gt;Calc!AA288,1,0))</f>
        <v>#VALUE!</v>
      </c>
      <c r="AB301" s="1571" t="e">
        <f>IF(LaunchFY="NA",2,IF((LaunchFY+3)&gt;Calc!AB288,1,0))</f>
        <v>#VALUE!</v>
      </c>
      <c r="AC301" s="1571" t="e">
        <f>IF(LaunchFY="NA",2,IF((LaunchFY+3)&gt;Calc!AC288,1,0))</f>
        <v>#VALUE!</v>
      </c>
      <c r="AD301" s="1571" t="e">
        <f>IF(LaunchFY="NA",2,IF((LaunchFY+3)&gt;Calc!AD288,1,0))</f>
        <v>#VALUE!</v>
      </c>
      <c r="AE301" s="1571" t="e">
        <f>IF(LaunchFY="NA",2,IF((LaunchFY+3)&gt;Calc!AE288,1,0))</f>
        <v>#VALUE!</v>
      </c>
      <c r="AF301" s="1571" t="e">
        <f>IF(LaunchFY="NA",2,IF((LaunchFY+3)&gt;Calc!AF288,1,0))</f>
        <v>#VALUE!</v>
      </c>
      <c r="AG301" s="1571" t="e">
        <f>IF(LaunchFY="NA",2,IF((LaunchFY+3)&gt;Calc!AG288,1,0))</f>
        <v>#VALUE!</v>
      </c>
      <c r="AH301" s="1571" t="e">
        <f>IF(LaunchFY="NA",2,IF((LaunchFY+3)&gt;Calc!AH288,1,0))</f>
        <v>#VALUE!</v>
      </c>
      <c r="AI301" s="1572" t="e">
        <f>IF(LaunchFY="NA",2,IF((LaunchFY+3)&gt;Calc!AI288,1,0))</f>
        <v>#VALUE!</v>
      </c>
      <c r="AJ301" s="1564"/>
      <c r="AK301" s="1142"/>
      <c r="AL301" s="1142"/>
      <c r="AM301" s="1142"/>
      <c r="AN301" s="1142"/>
      <c r="AO301" s="1149"/>
      <c r="AP301" s="1437"/>
      <c r="AQ301" s="1573"/>
      <c r="AR301" s="1571"/>
      <c r="AS301" s="1571"/>
      <c r="AT301" s="1571"/>
      <c r="AU301" s="1571"/>
      <c r="AV301" s="1571"/>
      <c r="AW301" s="1571"/>
      <c r="AX301" s="1571"/>
      <c r="AY301" s="1571"/>
      <c r="AZ301" s="1571"/>
      <c r="BA301" s="1571"/>
      <c r="BB301" s="1571"/>
      <c r="BC301" s="1571"/>
      <c r="BD301" s="1571"/>
      <c r="BE301" s="1571"/>
      <c r="BF301" s="1571"/>
      <c r="BG301" s="1571"/>
      <c r="BH301" s="1571"/>
      <c r="BI301" s="1571"/>
      <c r="BJ301" s="1571"/>
      <c r="BK301" s="1571"/>
      <c r="BL301" s="1571"/>
      <c r="BM301" s="1571"/>
      <c r="BN301" s="1571"/>
      <c r="BO301" s="1571"/>
      <c r="BP301" s="1571"/>
      <c r="BQ301" s="1571"/>
      <c r="BR301" s="1571"/>
      <c r="BS301" s="1572"/>
      <c r="BT301" s="1142"/>
      <c r="BU301" s="1478"/>
      <c r="BV301" s="1070"/>
      <c r="BW301" s="1070"/>
    </row>
    <row r="302" spans="1:75" outlineLevel="1" x14ac:dyDescent="0.3">
      <c r="A302" s="1474"/>
      <c r="B302" s="1207" t="str">
        <f>Comp&amp;" Start Marker"</f>
        <v>Def Exit Start Marker</v>
      </c>
      <c r="C302" s="1116"/>
      <c r="D302" s="1116"/>
      <c r="E302" s="1116"/>
      <c r="F302" s="1116"/>
      <c r="G302" s="1574" t="e">
        <f>IF(LaunchOrigFY="NA",2,IF(Calc!G288&gt;=DefExitFY,1,0))</f>
        <v>#VALUE!</v>
      </c>
      <c r="H302" s="1556" t="e">
        <f>IF(LaunchOrigFY="NA",2,IF(Calc!H288&gt;=DefExitFY,1,0))</f>
        <v>#VALUE!</v>
      </c>
      <c r="I302" s="1556" t="e">
        <f>IF(LaunchOrigFY="NA",2,IF(Calc!I288&gt;=DefExitFY,1,0))</f>
        <v>#VALUE!</v>
      </c>
      <c r="J302" s="1556" t="e">
        <f>IF(LaunchOrigFY="NA",2,IF(Calc!J288&gt;=DefExitFY,1,0))</f>
        <v>#VALUE!</v>
      </c>
      <c r="K302" s="1556" t="e">
        <f>IF(LaunchOrigFY="NA",2,IF(Calc!K288&gt;=DefExitFY,1,0))</f>
        <v>#VALUE!</v>
      </c>
      <c r="L302" s="1556" t="e">
        <f>IF(LaunchOrigFY="NA",2,IF(Calc!L288&gt;=DefExitFY,1,0))</f>
        <v>#VALUE!</v>
      </c>
      <c r="M302" s="1556" t="e">
        <f>IF(LaunchOrigFY="NA",2,IF(Calc!M288&gt;=DefExitFY,1,0))</f>
        <v>#VALUE!</v>
      </c>
      <c r="N302" s="1556" t="e">
        <f>IF(LaunchOrigFY="NA",2,IF(Calc!N288&gt;=DefExitFY,1,0))</f>
        <v>#VALUE!</v>
      </c>
      <c r="O302" s="1556" t="e">
        <f>IF(LaunchOrigFY="NA",2,IF(Calc!O288&gt;=DefExitFY,1,0))</f>
        <v>#VALUE!</v>
      </c>
      <c r="P302" s="1556" t="e">
        <f>IF(LaunchOrigFY="NA",2,IF(Calc!P288&gt;=DefExitFY,1,0))</f>
        <v>#VALUE!</v>
      </c>
      <c r="Q302" s="1556" t="e">
        <f>IF(LaunchOrigFY="NA",2,IF(Calc!Q288&gt;=DefExitFY,1,0))</f>
        <v>#VALUE!</v>
      </c>
      <c r="R302" s="1556" t="e">
        <f>IF(LaunchOrigFY="NA",2,IF(Calc!R288&gt;=DefExitFY,1,0))</f>
        <v>#VALUE!</v>
      </c>
      <c r="S302" s="1556" t="e">
        <f>IF(LaunchOrigFY="NA",2,IF(Calc!S288&gt;=DefExitFY,1,0))</f>
        <v>#VALUE!</v>
      </c>
      <c r="T302" s="1556" t="e">
        <f>IF(LaunchOrigFY="NA",2,IF(Calc!T288&gt;=DefExitFY,1,0))</f>
        <v>#VALUE!</v>
      </c>
      <c r="U302" s="1556" t="e">
        <f>IF(LaunchOrigFY="NA",2,IF(Calc!U288&gt;=DefExitFY,1,0))</f>
        <v>#VALUE!</v>
      </c>
      <c r="V302" s="1556" t="e">
        <f>IF(LaunchOrigFY="NA",2,IF(Calc!V288&gt;=DefExitFY,1,0))</f>
        <v>#VALUE!</v>
      </c>
      <c r="W302" s="1556" t="e">
        <f>IF(LaunchOrigFY="NA",2,IF(Calc!W288&gt;=DefExitFY,1,0))</f>
        <v>#VALUE!</v>
      </c>
      <c r="X302" s="1556" t="e">
        <f>IF(LaunchOrigFY="NA",2,IF(Calc!X288&gt;=DefExitFY,1,0))</f>
        <v>#VALUE!</v>
      </c>
      <c r="Y302" s="1556" t="e">
        <f>IF(LaunchOrigFY="NA",2,IF(Calc!Y288&gt;=DefExitFY,1,0))</f>
        <v>#VALUE!</v>
      </c>
      <c r="Z302" s="1556" t="e">
        <f>IF(LaunchOrigFY="NA",2,IF(Calc!Z288&gt;=DefExitFY,1,0))</f>
        <v>#VALUE!</v>
      </c>
      <c r="AA302" s="1556" t="e">
        <f>IF(LaunchOrigFY="NA",2,IF(Calc!AA288&gt;=DefExitFY,1,0))</f>
        <v>#VALUE!</v>
      </c>
      <c r="AB302" s="1556" t="e">
        <f>IF(LaunchOrigFY="NA",2,IF(Calc!AB288&gt;=DefExitFY,1,0))</f>
        <v>#VALUE!</v>
      </c>
      <c r="AC302" s="1556" t="e">
        <f>IF(LaunchOrigFY="NA",2,IF(Calc!AC288&gt;=DefExitFY,1,0))</f>
        <v>#VALUE!</v>
      </c>
      <c r="AD302" s="1556" t="e">
        <f>IF(LaunchOrigFY="NA",2,IF(Calc!AD288&gt;=DefExitFY,1,0))</f>
        <v>#VALUE!</v>
      </c>
      <c r="AE302" s="1556" t="e">
        <f>IF(LaunchOrigFY="NA",2,IF(Calc!AE288&gt;=DefExitFY,1,0))</f>
        <v>#VALUE!</v>
      </c>
      <c r="AF302" s="1556" t="e">
        <f>IF(LaunchOrigFY="NA",2,IF(Calc!AF288&gt;=DefExitFY,1,0))</f>
        <v>#VALUE!</v>
      </c>
      <c r="AG302" s="1556" t="e">
        <f>IF(LaunchOrigFY="NA",2,IF(Calc!AG288&gt;=DefExitFY,1,0))</f>
        <v>#VALUE!</v>
      </c>
      <c r="AH302" s="1556" t="e">
        <f>IF(LaunchOrigFY="NA",2,IF(Calc!AH288&gt;=DefExitFY,1,0))</f>
        <v>#VALUE!</v>
      </c>
      <c r="AI302" s="1575" t="e">
        <f>IF(LaunchOrigFY="NA",2,IF(Calc!AI288&gt;=DefExitFY,1,0))</f>
        <v>#VALUE!</v>
      </c>
      <c r="AJ302" s="1564"/>
      <c r="AK302" s="1142"/>
      <c r="AL302" s="1142"/>
      <c r="AM302" s="1142"/>
      <c r="AN302" s="1142"/>
      <c r="AO302" s="1149"/>
      <c r="AP302" s="1437"/>
      <c r="AQ302" s="1577"/>
      <c r="AR302" s="1556"/>
      <c r="AS302" s="1556"/>
      <c r="AT302" s="1556"/>
      <c r="AU302" s="1556"/>
      <c r="AV302" s="1556"/>
      <c r="AW302" s="1556"/>
      <c r="AX302" s="1556"/>
      <c r="AY302" s="1556"/>
      <c r="AZ302" s="1556"/>
      <c r="BA302" s="1556"/>
      <c r="BB302" s="1556"/>
      <c r="BC302" s="1556"/>
      <c r="BD302" s="1556"/>
      <c r="BE302" s="1556"/>
      <c r="BF302" s="1556"/>
      <c r="BG302" s="1556"/>
      <c r="BH302" s="1556"/>
      <c r="BI302" s="1556"/>
      <c r="BJ302" s="1556"/>
      <c r="BK302" s="1556"/>
      <c r="BL302" s="1556"/>
      <c r="BM302" s="1556"/>
      <c r="BN302" s="1556"/>
      <c r="BO302" s="1556"/>
      <c r="BP302" s="1556"/>
      <c r="BQ302" s="1556"/>
      <c r="BR302" s="1556"/>
      <c r="BS302" s="1575"/>
      <c r="BT302" s="1142"/>
      <c r="BU302" s="1478"/>
      <c r="BV302" s="1070"/>
      <c r="BW302" s="1070"/>
    </row>
    <row r="303" spans="1:75" outlineLevel="1" x14ac:dyDescent="0.3">
      <c r="A303" s="1474"/>
      <c r="B303" s="1207" t="s">
        <v>1377</v>
      </c>
      <c r="C303" s="1116"/>
      <c r="D303" s="1116"/>
      <c r="E303" s="1116"/>
      <c r="F303" s="1116"/>
      <c r="G303" s="1574" t="e">
        <f>AND(G288&gt;=DefExitFY,G288&lt;=DefExitFY+9)</f>
        <v>#VALUE!</v>
      </c>
      <c r="H303" s="1556" t="e">
        <f t="shared" ref="H303:AI303" si="329">AND(H288&gt;=DefExitFY,H288&lt;=DefExitFY+9)</f>
        <v>#VALUE!</v>
      </c>
      <c r="I303" s="1556" t="e">
        <f t="shared" si="329"/>
        <v>#VALUE!</v>
      </c>
      <c r="J303" s="1556" t="e">
        <f t="shared" si="329"/>
        <v>#VALUE!</v>
      </c>
      <c r="K303" s="1556" t="e">
        <f t="shared" si="329"/>
        <v>#VALUE!</v>
      </c>
      <c r="L303" s="1556" t="e">
        <f t="shared" si="329"/>
        <v>#VALUE!</v>
      </c>
      <c r="M303" s="1556" t="e">
        <f t="shared" si="329"/>
        <v>#VALUE!</v>
      </c>
      <c r="N303" s="1556" t="e">
        <f t="shared" si="329"/>
        <v>#VALUE!</v>
      </c>
      <c r="O303" s="1556" t="e">
        <f t="shared" si="329"/>
        <v>#VALUE!</v>
      </c>
      <c r="P303" s="1556" t="e">
        <f t="shared" si="329"/>
        <v>#VALUE!</v>
      </c>
      <c r="Q303" s="1556" t="e">
        <f t="shared" si="329"/>
        <v>#VALUE!</v>
      </c>
      <c r="R303" s="1556" t="e">
        <f t="shared" si="329"/>
        <v>#VALUE!</v>
      </c>
      <c r="S303" s="1556" t="e">
        <f t="shared" si="329"/>
        <v>#VALUE!</v>
      </c>
      <c r="T303" s="1556" t="e">
        <f t="shared" si="329"/>
        <v>#VALUE!</v>
      </c>
      <c r="U303" s="1556" t="e">
        <f t="shared" si="329"/>
        <v>#VALUE!</v>
      </c>
      <c r="V303" s="1556" t="e">
        <f t="shared" si="329"/>
        <v>#VALUE!</v>
      </c>
      <c r="W303" s="1556" t="e">
        <f t="shared" si="329"/>
        <v>#VALUE!</v>
      </c>
      <c r="X303" s="1556" t="e">
        <f t="shared" si="329"/>
        <v>#VALUE!</v>
      </c>
      <c r="Y303" s="1556" t="e">
        <f t="shared" si="329"/>
        <v>#VALUE!</v>
      </c>
      <c r="Z303" s="1556" t="e">
        <f t="shared" si="329"/>
        <v>#VALUE!</v>
      </c>
      <c r="AA303" s="1556" t="e">
        <f t="shared" si="329"/>
        <v>#VALUE!</v>
      </c>
      <c r="AB303" s="1556" t="e">
        <f t="shared" si="329"/>
        <v>#VALUE!</v>
      </c>
      <c r="AC303" s="1556" t="e">
        <f t="shared" si="329"/>
        <v>#VALUE!</v>
      </c>
      <c r="AD303" s="1556" t="e">
        <f t="shared" si="329"/>
        <v>#VALUE!</v>
      </c>
      <c r="AE303" s="1556" t="e">
        <f t="shared" si="329"/>
        <v>#VALUE!</v>
      </c>
      <c r="AF303" s="1556" t="e">
        <f t="shared" si="329"/>
        <v>#VALUE!</v>
      </c>
      <c r="AG303" s="1556" t="e">
        <f t="shared" si="329"/>
        <v>#VALUE!</v>
      </c>
      <c r="AH303" s="1556" t="e">
        <f t="shared" si="329"/>
        <v>#VALUE!</v>
      </c>
      <c r="AI303" s="1575" t="e">
        <f t="shared" si="329"/>
        <v>#VALUE!</v>
      </c>
      <c r="AJ303" s="1564"/>
      <c r="AK303" s="1142"/>
      <c r="AL303" s="1142"/>
      <c r="AM303" s="1142"/>
      <c r="AN303" s="1142"/>
      <c r="AO303" s="1149" t="s">
        <v>1379</v>
      </c>
      <c r="AP303" s="1437"/>
      <c r="AQ303" s="1577" t="e">
        <f t="shared" ref="AQ303:BS303" si="330">AND(AQ288&gt;=DefExitFY,AQ288&lt;=DefExitFY+14)</f>
        <v>#VALUE!</v>
      </c>
      <c r="AR303" s="1556" t="e">
        <f t="shared" si="330"/>
        <v>#VALUE!</v>
      </c>
      <c r="AS303" s="1556" t="e">
        <f t="shared" si="330"/>
        <v>#VALUE!</v>
      </c>
      <c r="AT303" s="1556" t="e">
        <f t="shared" si="330"/>
        <v>#VALUE!</v>
      </c>
      <c r="AU303" s="1556" t="e">
        <f t="shared" si="330"/>
        <v>#VALUE!</v>
      </c>
      <c r="AV303" s="1556" t="e">
        <f t="shared" si="330"/>
        <v>#VALUE!</v>
      </c>
      <c r="AW303" s="1556" t="e">
        <f t="shared" si="330"/>
        <v>#VALUE!</v>
      </c>
      <c r="AX303" s="1556" t="e">
        <f t="shared" si="330"/>
        <v>#VALUE!</v>
      </c>
      <c r="AY303" s="1556" t="e">
        <f t="shared" si="330"/>
        <v>#VALUE!</v>
      </c>
      <c r="AZ303" s="1556" t="e">
        <f t="shared" si="330"/>
        <v>#VALUE!</v>
      </c>
      <c r="BA303" s="1556" t="e">
        <f t="shared" si="330"/>
        <v>#VALUE!</v>
      </c>
      <c r="BB303" s="1556" t="e">
        <f t="shared" si="330"/>
        <v>#VALUE!</v>
      </c>
      <c r="BC303" s="1556" t="e">
        <f t="shared" si="330"/>
        <v>#VALUE!</v>
      </c>
      <c r="BD303" s="1556" t="e">
        <f t="shared" si="330"/>
        <v>#VALUE!</v>
      </c>
      <c r="BE303" s="1556" t="e">
        <f t="shared" si="330"/>
        <v>#VALUE!</v>
      </c>
      <c r="BF303" s="1556" t="e">
        <f t="shared" si="330"/>
        <v>#VALUE!</v>
      </c>
      <c r="BG303" s="1556" t="e">
        <f t="shared" si="330"/>
        <v>#VALUE!</v>
      </c>
      <c r="BH303" s="1556" t="e">
        <f t="shared" si="330"/>
        <v>#VALUE!</v>
      </c>
      <c r="BI303" s="1556" t="e">
        <f t="shared" si="330"/>
        <v>#VALUE!</v>
      </c>
      <c r="BJ303" s="1556" t="e">
        <f t="shared" si="330"/>
        <v>#VALUE!</v>
      </c>
      <c r="BK303" s="1556" t="e">
        <f t="shared" si="330"/>
        <v>#VALUE!</v>
      </c>
      <c r="BL303" s="1556" t="e">
        <f t="shared" si="330"/>
        <v>#VALUE!</v>
      </c>
      <c r="BM303" s="1556" t="e">
        <f t="shared" si="330"/>
        <v>#VALUE!</v>
      </c>
      <c r="BN303" s="1556" t="e">
        <f t="shared" si="330"/>
        <v>#VALUE!</v>
      </c>
      <c r="BO303" s="1556" t="e">
        <f t="shared" si="330"/>
        <v>#VALUE!</v>
      </c>
      <c r="BP303" s="1556" t="e">
        <f t="shared" si="330"/>
        <v>#VALUE!</v>
      </c>
      <c r="BQ303" s="1556" t="e">
        <f t="shared" si="330"/>
        <v>#VALUE!</v>
      </c>
      <c r="BR303" s="1556" t="e">
        <f t="shared" si="330"/>
        <v>#VALUE!</v>
      </c>
      <c r="BS303" s="1575" t="e">
        <f t="shared" si="330"/>
        <v>#VALUE!</v>
      </c>
      <c r="BT303" s="1142"/>
      <c r="BU303" s="1478"/>
      <c r="BV303" s="1070"/>
      <c r="BW303" s="1070"/>
    </row>
    <row r="304" spans="1:75" outlineLevel="1" x14ac:dyDescent="0.3">
      <c r="A304" s="1474"/>
      <c r="B304" s="1207" t="s">
        <v>1380</v>
      </c>
      <c r="C304" s="1116"/>
      <c r="D304" s="1116"/>
      <c r="E304" s="1116"/>
      <c r="F304" s="1116"/>
      <c r="G304" s="1581" t="e">
        <f>IF(G288=DefExitFY,0,IF(G288&gt;DefExitFY,F304+1,))</f>
        <v>#VALUE!</v>
      </c>
      <c r="H304" s="1116" t="e">
        <f t="shared" ref="H304:AI304" si="331">IF(H288=DefExitFY,0,IF(H288&gt;DefExitFY,G304+1,"x"))</f>
        <v>#VALUE!</v>
      </c>
      <c r="I304" s="1116" t="e">
        <f t="shared" si="331"/>
        <v>#VALUE!</v>
      </c>
      <c r="J304" s="1116" t="e">
        <f t="shared" si="331"/>
        <v>#VALUE!</v>
      </c>
      <c r="K304" s="1116" t="e">
        <f t="shared" si="331"/>
        <v>#VALUE!</v>
      </c>
      <c r="L304" s="1116" t="e">
        <f t="shared" si="331"/>
        <v>#VALUE!</v>
      </c>
      <c r="M304" s="1116" t="e">
        <f t="shared" si="331"/>
        <v>#VALUE!</v>
      </c>
      <c r="N304" s="1116" t="e">
        <f t="shared" si="331"/>
        <v>#VALUE!</v>
      </c>
      <c r="O304" s="1116" t="e">
        <f t="shared" si="331"/>
        <v>#VALUE!</v>
      </c>
      <c r="P304" s="1116" t="e">
        <f t="shared" si="331"/>
        <v>#VALUE!</v>
      </c>
      <c r="Q304" s="1116" t="e">
        <f t="shared" si="331"/>
        <v>#VALUE!</v>
      </c>
      <c r="R304" s="1116" t="e">
        <f t="shared" si="331"/>
        <v>#VALUE!</v>
      </c>
      <c r="S304" s="1116" t="e">
        <f t="shared" si="331"/>
        <v>#VALUE!</v>
      </c>
      <c r="T304" s="1116" t="e">
        <f t="shared" si="331"/>
        <v>#VALUE!</v>
      </c>
      <c r="U304" s="1116" t="e">
        <f t="shared" si="331"/>
        <v>#VALUE!</v>
      </c>
      <c r="V304" s="1116" t="e">
        <f t="shared" si="331"/>
        <v>#VALUE!</v>
      </c>
      <c r="W304" s="1116" t="e">
        <f t="shared" si="331"/>
        <v>#VALUE!</v>
      </c>
      <c r="X304" s="1116" t="e">
        <f t="shared" si="331"/>
        <v>#VALUE!</v>
      </c>
      <c r="Y304" s="1116" t="e">
        <f t="shared" si="331"/>
        <v>#VALUE!</v>
      </c>
      <c r="Z304" s="1116" t="e">
        <f t="shared" si="331"/>
        <v>#VALUE!</v>
      </c>
      <c r="AA304" s="1116" t="e">
        <f t="shared" si="331"/>
        <v>#VALUE!</v>
      </c>
      <c r="AB304" s="1116" t="e">
        <f t="shared" si="331"/>
        <v>#VALUE!</v>
      </c>
      <c r="AC304" s="1116" t="e">
        <f t="shared" si="331"/>
        <v>#VALUE!</v>
      </c>
      <c r="AD304" s="1116" t="e">
        <f t="shared" si="331"/>
        <v>#VALUE!</v>
      </c>
      <c r="AE304" s="1116" t="e">
        <f t="shared" si="331"/>
        <v>#VALUE!</v>
      </c>
      <c r="AF304" s="1116" t="e">
        <f t="shared" si="331"/>
        <v>#VALUE!</v>
      </c>
      <c r="AG304" s="1116" t="e">
        <f t="shared" si="331"/>
        <v>#VALUE!</v>
      </c>
      <c r="AH304" s="1116" t="e">
        <f t="shared" si="331"/>
        <v>#VALUE!</v>
      </c>
      <c r="AI304" s="1477" t="e">
        <f t="shared" si="331"/>
        <v>#VALUE!</v>
      </c>
      <c r="AJ304" s="1564"/>
      <c r="AK304" s="1142"/>
      <c r="AL304" s="1142"/>
      <c r="AM304" s="1142"/>
      <c r="AN304" s="1142"/>
      <c r="AO304" s="1149"/>
      <c r="AP304" s="1437"/>
      <c r="AQ304" s="1207" t="e">
        <f t="shared" ref="AQ304:BS304" si="332">IF(AQ288=DefExitFY,0,IF(AQ288&gt;DefExitFY,AP304+1,))</f>
        <v>#VALUE!</v>
      </c>
      <c r="AR304" s="1116" t="e">
        <f t="shared" si="332"/>
        <v>#VALUE!</v>
      </c>
      <c r="AS304" s="1116" t="e">
        <f t="shared" si="332"/>
        <v>#VALUE!</v>
      </c>
      <c r="AT304" s="1116" t="e">
        <f t="shared" si="332"/>
        <v>#VALUE!</v>
      </c>
      <c r="AU304" s="1116" t="e">
        <f t="shared" si="332"/>
        <v>#VALUE!</v>
      </c>
      <c r="AV304" s="1116" t="e">
        <f t="shared" si="332"/>
        <v>#VALUE!</v>
      </c>
      <c r="AW304" s="1116" t="e">
        <f t="shared" si="332"/>
        <v>#VALUE!</v>
      </c>
      <c r="AX304" s="1116" t="e">
        <f t="shared" si="332"/>
        <v>#VALUE!</v>
      </c>
      <c r="AY304" s="1116" t="e">
        <f t="shared" si="332"/>
        <v>#VALUE!</v>
      </c>
      <c r="AZ304" s="1116" t="e">
        <f t="shared" si="332"/>
        <v>#VALUE!</v>
      </c>
      <c r="BA304" s="1116" t="e">
        <f t="shared" si="332"/>
        <v>#VALUE!</v>
      </c>
      <c r="BB304" s="1116" t="e">
        <f t="shared" si="332"/>
        <v>#VALUE!</v>
      </c>
      <c r="BC304" s="1116" t="e">
        <f t="shared" si="332"/>
        <v>#VALUE!</v>
      </c>
      <c r="BD304" s="1116" t="e">
        <f t="shared" si="332"/>
        <v>#VALUE!</v>
      </c>
      <c r="BE304" s="1116" t="e">
        <f t="shared" si="332"/>
        <v>#VALUE!</v>
      </c>
      <c r="BF304" s="1116" t="e">
        <f t="shared" si="332"/>
        <v>#VALUE!</v>
      </c>
      <c r="BG304" s="1116" t="e">
        <f t="shared" si="332"/>
        <v>#VALUE!</v>
      </c>
      <c r="BH304" s="1116" t="e">
        <f t="shared" si="332"/>
        <v>#VALUE!</v>
      </c>
      <c r="BI304" s="1116" t="e">
        <f t="shared" si="332"/>
        <v>#VALUE!</v>
      </c>
      <c r="BJ304" s="1116" t="e">
        <f t="shared" si="332"/>
        <v>#VALUE!</v>
      </c>
      <c r="BK304" s="1116" t="e">
        <f t="shared" si="332"/>
        <v>#VALUE!</v>
      </c>
      <c r="BL304" s="1116" t="e">
        <f t="shared" si="332"/>
        <v>#VALUE!</v>
      </c>
      <c r="BM304" s="1116" t="e">
        <f t="shared" si="332"/>
        <v>#VALUE!</v>
      </c>
      <c r="BN304" s="1116" t="e">
        <f t="shared" si="332"/>
        <v>#VALUE!</v>
      </c>
      <c r="BO304" s="1116" t="e">
        <f t="shared" si="332"/>
        <v>#VALUE!</v>
      </c>
      <c r="BP304" s="1116" t="e">
        <f t="shared" si="332"/>
        <v>#VALUE!</v>
      </c>
      <c r="BQ304" s="1116" t="e">
        <f t="shared" si="332"/>
        <v>#VALUE!</v>
      </c>
      <c r="BR304" s="1116" t="e">
        <f t="shared" si="332"/>
        <v>#VALUE!</v>
      </c>
      <c r="BS304" s="1477" t="e">
        <f t="shared" si="332"/>
        <v>#VALUE!</v>
      </c>
      <c r="BT304" s="1142"/>
      <c r="BU304" s="1478"/>
      <c r="BV304" s="1070"/>
      <c r="BW304" s="1070"/>
    </row>
    <row r="305" spans="1:75" outlineLevel="1" x14ac:dyDescent="0.3">
      <c r="A305" s="1474"/>
      <c r="B305" s="1150" t="str">
        <f>Comp&amp;" Time Horizon Marker (10yrs)"</f>
        <v>Def Exit Time Horizon Marker (10yrs)</v>
      </c>
      <c r="C305" s="1232"/>
      <c r="D305" s="1232"/>
      <c r="E305" s="1232"/>
      <c r="F305" s="1232"/>
      <c r="G305" s="1588" t="e">
        <f t="shared" ref="G305:AI305" si="333">IF(AND(G288&gt;=DefExitFY,G288&lt;=DefExitFY+9),1,0)</f>
        <v>#VALUE!</v>
      </c>
      <c r="H305" s="1232" t="e">
        <f t="shared" si="333"/>
        <v>#VALUE!</v>
      </c>
      <c r="I305" s="1232" t="e">
        <f t="shared" si="333"/>
        <v>#VALUE!</v>
      </c>
      <c r="J305" s="1232" t="e">
        <f t="shared" si="333"/>
        <v>#VALUE!</v>
      </c>
      <c r="K305" s="1232" t="e">
        <f t="shared" si="333"/>
        <v>#VALUE!</v>
      </c>
      <c r="L305" s="1232" t="e">
        <f t="shared" si="333"/>
        <v>#VALUE!</v>
      </c>
      <c r="M305" s="1232" t="e">
        <f t="shared" si="333"/>
        <v>#VALUE!</v>
      </c>
      <c r="N305" s="1232" t="e">
        <f t="shared" si="333"/>
        <v>#VALUE!</v>
      </c>
      <c r="O305" s="1232" t="e">
        <f t="shared" si="333"/>
        <v>#VALUE!</v>
      </c>
      <c r="P305" s="1232" t="e">
        <f t="shared" si="333"/>
        <v>#VALUE!</v>
      </c>
      <c r="Q305" s="1232" t="e">
        <f t="shared" si="333"/>
        <v>#VALUE!</v>
      </c>
      <c r="R305" s="1232" t="e">
        <f t="shared" si="333"/>
        <v>#VALUE!</v>
      </c>
      <c r="S305" s="1232" t="e">
        <f t="shared" si="333"/>
        <v>#VALUE!</v>
      </c>
      <c r="T305" s="1232" t="e">
        <f t="shared" si="333"/>
        <v>#VALUE!</v>
      </c>
      <c r="U305" s="1232" t="e">
        <f t="shared" si="333"/>
        <v>#VALUE!</v>
      </c>
      <c r="V305" s="1232" t="e">
        <f t="shared" si="333"/>
        <v>#VALUE!</v>
      </c>
      <c r="W305" s="1232" t="e">
        <f t="shared" si="333"/>
        <v>#VALUE!</v>
      </c>
      <c r="X305" s="1232" t="e">
        <f t="shared" si="333"/>
        <v>#VALUE!</v>
      </c>
      <c r="Y305" s="1232" t="e">
        <f t="shared" si="333"/>
        <v>#VALUE!</v>
      </c>
      <c r="Z305" s="1232" t="e">
        <f t="shared" si="333"/>
        <v>#VALUE!</v>
      </c>
      <c r="AA305" s="1232" t="e">
        <f t="shared" si="333"/>
        <v>#VALUE!</v>
      </c>
      <c r="AB305" s="1232" t="e">
        <f t="shared" si="333"/>
        <v>#VALUE!</v>
      </c>
      <c r="AC305" s="1232" t="e">
        <f t="shared" si="333"/>
        <v>#VALUE!</v>
      </c>
      <c r="AD305" s="1232" t="e">
        <f t="shared" si="333"/>
        <v>#VALUE!</v>
      </c>
      <c r="AE305" s="1232" t="e">
        <f t="shared" si="333"/>
        <v>#VALUE!</v>
      </c>
      <c r="AF305" s="1232" t="e">
        <f t="shared" si="333"/>
        <v>#VALUE!</v>
      </c>
      <c r="AG305" s="1232" t="e">
        <f t="shared" si="333"/>
        <v>#VALUE!</v>
      </c>
      <c r="AH305" s="1232" t="e">
        <f t="shared" si="333"/>
        <v>#VALUE!</v>
      </c>
      <c r="AI305" s="1435" t="e">
        <f t="shared" si="333"/>
        <v>#VALUE!</v>
      </c>
      <c r="AJ305" s="1564"/>
      <c r="AK305" s="1142"/>
      <c r="AL305" s="1142"/>
      <c r="AM305" s="1142"/>
      <c r="AN305" s="1142"/>
      <c r="AO305" s="1592" t="str">
        <f>Comp&amp;" Time Horizon Marker (15yrs)"</f>
        <v>Def Exit Time Horizon Marker (15yrs)</v>
      </c>
      <c r="AP305" s="1593"/>
      <c r="AQ305" s="1150" t="e">
        <f t="shared" ref="AQ305:BS305" si="334">IF(AND(G288&gt;=DefExitFY,G288&lt;=DefExitFY+14),1,0)</f>
        <v>#VALUE!</v>
      </c>
      <c r="AR305" s="1232" t="e">
        <f t="shared" si="334"/>
        <v>#VALUE!</v>
      </c>
      <c r="AS305" s="1232" t="e">
        <f t="shared" si="334"/>
        <v>#VALUE!</v>
      </c>
      <c r="AT305" s="1232" t="e">
        <f t="shared" si="334"/>
        <v>#VALUE!</v>
      </c>
      <c r="AU305" s="1232" t="e">
        <f t="shared" si="334"/>
        <v>#VALUE!</v>
      </c>
      <c r="AV305" s="1232" t="e">
        <f t="shared" si="334"/>
        <v>#VALUE!</v>
      </c>
      <c r="AW305" s="1232" t="e">
        <f t="shared" si="334"/>
        <v>#VALUE!</v>
      </c>
      <c r="AX305" s="1232" t="e">
        <f t="shared" si="334"/>
        <v>#VALUE!</v>
      </c>
      <c r="AY305" s="1232" t="e">
        <f t="shared" si="334"/>
        <v>#VALUE!</v>
      </c>
      <c r="AZ305" s="1232" t="e">
        <f t="shared" si="334"/>
        <v>#VALUE!</v>
      </c>
      <c r="BA305" s="1232" t="e">
        <f t="shared" si="334"/>
        <v>#VALUE!</v>
      </c>
      <c r="BB305" s="1232" t="e">
        <f t="shared" si="334"/>
        <v>#VALUE!</v>
      </c>
      <c r="BC305" s="1232" t="e">
        <f t="shared" si="334"/>
        <v>#VALUE!</v>
      </c>
      <c r="BD305" s="1232" t="e">
        <f t="shared" si="334"/>
        <v>#VALUE!</v>
      </c>
      <c r="BE305" s="1232" t="e">
        <f t="shared" si="334"/>
        <v>#VALUE!</v>
      </c>
      <c r="BF305" s="1232" t="e">
        <f t="shared" si="334"/>
        <v>#VALUE!</v>
      </c>
      <c r="BG305" s="1232" t="e">
        <f t="shared" si="334"/>
        <v>#VALUE!</v>
      </c>
      <c r="BH305" s="1232" t="e">
        <f t="shared" si="334"/>
        <v>#VALUE!</v>
      </c>
      <c r="BI305" s="1232" t="e">
        <f t="shared" si="334"/>
        <v>#VALUE!</v>
      </c>
      <c r="BJ305" s="1232" t="e">
        <f t="shared" si="334"/>
        <v>#VALUE!</v>
      </c>
      <c r="BK305" s="1232" t="e">
        <f t="shared" si="334"/>
        <v>#VALUE!</v>
      </c>
      <c r="BL305" s="1232" t="e">
        <f t="shared" si="334"/>
        <v>#VALUE!</v>
      </c>
      <c r="BM305" s="1232" t="e">
        <f t="shared" si="334"/>
        <v>#VALUE!</v>
      </c>
      <c r="BN305" s="1232" t="e">
        <f t="shared" si="334"/>
        <v>#VALUE!</v>
      </c>
      <c r="BO305" s="1232" t="e">
        <f t="shared" si="334"/>
        <v>#VALUE!</v>
      </c>
      <c r="BP305" s="1232" t="e">
        <f t="shared" si="334"/>
        <v>#VALUE!</v>
      </c>
      <c r="BQ305" s="1232" t="e">
        <f t="shared" si="334"/>
        <v>#VALUE!</v>
      </c>
      <c r="BR305" s="1232" t="e">
        <f t="shared" si="334"/>
        <v>#VALUE!</v>
      </c>
      <c r="BS305" s="1435" t="e">
        <f t="shared" si="334"/>
        <v>#VALUE!</v>
      </c>
      <c r="BT305" s="1142"/>
      <c r="BU305" s="1478"/>
      <c r="BV305" s="1070"/>
      <c r="BW305" s="1070"/>
    </row>
    <row r="306" spans="1:75" outlineLevel="1" x14ac:dyDescent="0.3">
      <c r="A306" s="1527"/>
      <c r="B306" s="1142"/>
      <c r="C306" s="1142"/>
      <c r="D306" s="1142"/>
      <c r="E306" s="1142"/>
      <c r="F306" s="1142"/>
      <c r="G306" s="1142"/>
      <c r="H306" s="1142"/>
      <c r="I306" s="1142"/>
      <c r="J306" s="1142"/>
      <c r="K306" s="1142"/>
      <c r="L306" s="1142"/>
      <c r="M306" s="1142"/>
      <c r="N306" s="1142"/>
      <c r="O306" s="1142"/>
      <c r="P306" s="1142"/>
      <c r="Q306" s="1142"/>
      <c r="R306" s="1142"/>
      <c r="S306" s="1142"/>
      <c r="T306" s="1142"/>
      <c r="U306" s="1142"/>
      <c r="V306" s="1142"/>
      <c r="W306" s="1142"/>
      <c r="X306" s="1142"/>
      <c r="Y306" s="1142"/>
      <c r="Z306" s="1142"/>
      <c r="AA306" s="1142"/>
      <c r="AB306" s="1142"/>
      <c r="AC306" s="1142"/>
      <c r="AD306" s="1142"/>
      <c r="AE306" s="1142"/>
      <c r="AF306" s="1142"/>
      <c r="AG306" s="1142"/>
      <c r="AH306" s="1142"/>
      <c r="AI306" s="1142"/>
      <c r="AJ306" s="1564"/>
      <c r="AK306" s="1142"/>
      <c r="AL306" s="1142"/>
      <c r="AM306" s="1142"/>
      <c r="AN306" s="1142"/>
      <c r="AO306" s="1149"/>
      <c r="AP306" s="1142"/>
      <c r="AQ306" s="1142"/>
      <c r="AR306" s="1142"/>
      <c r="AS306" s="1142"/>
      <c r="AT306" s="1142"/>
      <c r="AU306" s="1142"/>
      <c r="AV306" s="1142"/>
      <c r="AW306" s="1142"/>
      <c r="AX306" s="1142"/>
      <c r="AY306" s="1142"/>
      <c r="AZ306" s="1142"/>
      <c r="BA306" s="1142"/>
      <c r="BB306" s="1142"/>
      <c r="BC306" s="1142"/>
      <c r="BD306" s="1142"/>
      <c r="BE306" s="1142"/>
      <c r="BF306" s="1142"/>
      <c r="BG306" s="1142"/>
      <c r="BH306" s="1142"/>
      <c r="BI306" s="1142"/>
      <c r="BJ306" s="1142"/>
      <c r="BK306" s="1142"/>
      <c r="BL306" s="1142"/>
      <c r="BM306" s="1142"/>
      <c r="BN306" s="1142"/>
      <c r="BO306" s="1142"/>
      <c r="BP306" s="1142"/>
      <c r="BQ306" s="1142"/>
      <c r="BR306" s="1142"/>
      <c r="BS306" s="1142"/>
      <c r="BT306" s="1142"/>
      <c r="BU306" s="1478"/>
      <c r="BV306" s="1070"/>
      <c r="BW306" s="1070"/>
    </row>
    <row r="307" spans="1:75" outlineLevel="1" x14ac:dyDescent="0.3">
      <c r="A307" s="1474"/>
      <c r="B307" s="1479" t="s">
        <v>1384</v>
      </c>
      <c r="C307" s="1159"/>
      <c r="D307" s="1159"/>
      <c r="E307" s="1159"/>
      <c r="F307" s="1159"/>
      <c r="G307" s="1159"/>
      <c r="H307" s="1159"/>
      <c r="I307" s="1159"/>
      <c r="J307" s="1159"/>
      <c r="K307" s="1159"/>
      <c r="L307" s="1159"/>
      <c r="M307" s="1159"/>
      <c r="N307" s="1159"/>
      <c r="O307" s="1159"/>
      <c r="P307" s="1159"/>
      <c r="Q307" s="1159"/>
      <c r="R307" s="1159"/>
      <c r="S307" s="1159"/>
      <c r="T307" s="1159"/>
      <c r="U307" s="1159"/>
      <c r="V307" s="1159"/>
      <c r="W307" s="1159"/>
      <c r="X307" s="1159"/>
      <c r="Y307" s="1159"/>
      <c r="Z307" s="1159"/>
      <c r="AA307" s="1159"/>
      <c r="AB307" s="1159"/>
      <c r="AC307" s="1159"/>
      <c r="AD307" s="1159"/>
      <c r="AE307" s="1159"/>
      <c r="AF307" s="1159"/>
      <c r="AG307" s="1159"/>
      <c r="AH307" s="1159"/>
      <c r="AI307" s="1186"/>
      <c r="AJ307" s="1564"/>
      <c r="AK307" s="1142"/>
      <c r="AL307" s="1142"/>
      <c r="AM307" s="1142"/>
      <c r="AN307" s="1142"/>
      <c r="AO307" s="1147"/>
      <c r="AP307" s="1159"/>
      <c r="AQ307" s="1159"/>
      <c r="AR307" s="1159"/>
      <c r="AS307" s="1159"/>
      <c r="AT307" s="1159"/>
      <c r="AU307" s="1159"/>
      <c r="AV307" s="1159"/>
      <c r="AW307" s="1159"/>
      <c r="AX307" s="1159"/>
      <c r="AY307" s="1159"/>
      <c r="AZ307" s="1159"/>
      <c r="BA307" s="1159"/>
      <c r="BB307" s="1159"/>
      <c r="BC307" s="1159"/>
      <c r="BD307" s="1159"/>
      <c r="BE307" s="1159"/>
      <c r="BF307" s="1159"/>
      <c r="BG307" s="1159"/>
      <c r="BH307" s="1159"/>
      <c r="BI307" s="1159"/>
      <c r="BJ307" s="1159"/>
      <c r="BK307" s="1159"/>
      <c r="BL307" s="1159"/>
      <c r="BM307" s="1159"/>
      <c r="BN307" s="1159"/>
      <c r="BO307" s="1159"/>
      <c r="BP307" s="1159"/>
      <c r="BQ307" s="1159"/>
      <c r="BR307" s="1159"/>
      <c r="BS307" s="1186"/>
      <c r="BT307" s="1142"/>
      <c r="BU307" s="1478"/>
      <c r="BV307" s="1070"/>
      <c r="BW307" s="1070"/>
    </row>
    <row r="308" spans="1:75" outlineLevel="1" x14ac:dyDescent="0.3">
      <c r="A308" s="1474"/>
      <c r="B308" s="1598" t="s">
        <v>1385</v>
      </c>
      <c r="C308" s="1142"/>
      <c r="D308" s="1142"/>
      <c r="E308" s="1142"/>
      <c r="F308" s="1142"/>
      <c r="G308" s="1142"/>
      <c r="H308" s="1142"/>
      <c r="I308" s="1142"/>
      <c r="J308" s="1142"/>
      <c r="K308" s="1142"/>
      <c r="L308" s="1142"/>
      <c r="M308" s="1142"/>
      <c r="N308" s="1142"/>
      <c r="O308" s="1142"/>
      <c r="P308" s="1142"/>
      <c r="Q308" s="1142"/>
      <c r="R308" s="1142"/>
      <c r="S308" s="1142"/>
      <c r="T308" s="1142"/>
      <c r="U308" s="1142"/>
      <c r="V308" s="1142"/>
      <c r="W308" s="1142"/>
      <c r="X308" s="1142"/>
      <c r="Y308" s="1142"/>
      <c r="Z308" s="1142"/>
      <c r="AA308" s="1142"/>
      <c r="AB308" s="1142"/>
      <c r="AC308" s="1142"/>
      <c r="AD308" s="1142"/>
      <c r="AE308" s="1142"/>
      <c r="AF308" s="1142"/>
      <c r="AG308" s="1142"/>
      <c r="AH308" s="1142"/>
      <c r="AI308" s="1437"/>
      <c r="AJ308" s="1564"/>
      <c r="AK308" s="1142"/>
      <c r="AL308" s="1142"/>
      <c r="AM308" s="1142"/>
      <c r="AN308" s="1142"/>
      <c r="AO308" s="1149"/>
      <c r="AP308" s="1142"/>
      <c r="AQ308" s="1142"/>
      <c r="AR308" s="1142"/>
      <c r="AS308" s="1142"/>
      <c r="AT308" s="1142"/>
      <c r="AU308" s="1142"/>
      <c r="AV308" s="1142"/>
      <c r="AW308" s="1142"/>
      <c r="AX308" s="1142"/>
      <c r="AY308" s="1142"/>
      <c r="AZ308" s="1142"/>
      <c r="BA308" s="1142"/>
      <c r="BB308" s="1142"/>
      <c r="BC308" s="1142"/>
      <c r="BD308" s="1142"/>
      <c r="BE308" s="1142"/>
      <c r="BF308" s="1142"/>
      <c r="BG308" s="1142"/>
      <c r="BH308" s="1142"/>
      <c r="BI308" s="1142"/>
      <c r="BJ308" s="1142"/>
      <c r="BK308" s="1142"/>
      <c r="BL308" s="1142"/>
      <c r="BM308" s="1142"/>
      <c r="BN308" s="1142"/>
      <c r="BO308" s="1142"/>
      <c r="BP308" s="1142"/>
      <c r="BQ308" s="1142"/>
      <c r="BR308" s="1142"/>
      <c r="BS308" s="1437"/>
      <c r="BT308" s="1142"/>
      <c r="BU308" s="1478"/>
      <c r="BV308" s="1070"/>
      <c r="BW308" s="1070"/>
    </row>
    <row r="309" spans="1:75" outlineLevel="1" x14ac:dyDescent="0.3">
      <c r="A309" s="1474"/>
      <c r="B309" s="1599" t="s">
        <v>690</v>
      </c>
      <c r="C309" s="1222" t="str">
        <f>Comp&amp;" (Act/Proj)"</f>
        <v>Def Exit (Act/Proj)</v>
      </c>
      <c r="D309" s="1222"/>
      <c r="E309" s="1222"/>
      <c r="F309" s="1222"/>
      <c r="G309" s="1600">
        <f t="shared" ref="G309:AI309" si="335">((G135)*(1-$BU$140))</f>
        <v>200</v>
      </c>
      <c r="H309" s="1601">
        <f t="shared" si="335"/>
        <v>1000</v>
      </c>
      <c r="I309" s="1601">
        <f t="shared" si="335"/>
        <v>2500</v>
      </c>
      <c r="J309" s="1601">
        <f t="shared" si="335"/>
        <v>3500</v>
      </c>
      <c r="K309" s="1601">
        <f t="shared" si="335"/>
        <v>4500</v>
      </c>
      <c r="L309" s="1601">
        <f t="shared" si="335"/>
        <v>3300.0096684919295</v>
      </c>
      <c r="M309" s="1601">
        <f t="shared" si="335"/>
        <v>3694.2371301226672</v>
      </c>
      <c r="N309" s="1601">
        <f t="shared" si="335"/>
        <v>3323.4314505797752</v>
      </c>
      <c r="O309" s="1601">
        <f t="shared" si="335"/>
        <v>3485.7419101714595</v>
      </c>
      <c r="P309" s="1601">
        <f t="shared" si="335"/>
        <v>3972.1389686656671</v>
      </c>
      <c r="Q309" s="1601">
        <f t="shared" si="335"/>
        <v>4251.5718022985111</v>
      </c>
      <c r="R309" s="1601">
        <f t="shared" si="335"/>
        <v>3983.4022067022779</v>
      </c>
      <c r="S309" s="1601">
        <f t="shared" si="335"/>
        <v>4423.4177056210374</v>
      </c>
      <c r="T309" s="1601">
        <f t="shared" si="335"/>
        <v>4578.8839067073877</v>
      </c>
      <c r="U309" s="1601">
        <f t="shared" si="335"/>
        <v>5307.5446701130122</v>
      </c>
      <c r="V309" s="1601">
        <f t="shared" si="335"/>
        <v>5833.6304009883333</v>
      </c>
      <c r="W309" s="1601">
        <f t="shared" si="335"/>
        <v>6556.6565753731547</v>
      </c>
      <c r="X309" s="1601">
        <f t="shared" si="335"/>
        <v>0</v>
      </c>
      <c r="Y309" s="1601">
        <f t="shared" si="335"/>
        <v>0</v>
      </c>
      <c r="Z309" s="1601">
        <f t="shared" si="335"/>
        <v>0</v>
      </c>
      <c r="AA309" s="1601">
        <f t="shared" si="335"/>
        <v>0</v>
      </c>
      <c r="AB309" s="1601">
        <f t="shared" si="335"/>
        <v>0</v>
      </c>
      <c r="AC309" s="1601">
        <f t="shared" si="335"/>
        <v>0</v>
      </c>
      <c r="AD309" s="1601">
        <f t="shared" si="335"/>
        <v>0</v>
      </c>
      <c r="AE309" s="1601">
        <f t="shared" si="335"/>
        <v>0</v>
      </c>
      <c r="AF309" s="1601">
        <f t="shared" si="335"/>
        <v>0</v>
      </c>
      <c r="AG309" s="1601">
        <f t="shared" si="335"/>
        <v>0</v>
      </c>
      <c r="AH309" s="1601">
        <f t="shared" si="335"/>
        <v>0</v>
      </c>
      <c r="AI309" s="1602">
        <f t="shared" si="335"/>
        <v>0</v>
      </c>
      <c r="AJ309" s="1564"/>
      <c r="AK309" s="1142"/>
      <c r="AL309" s="1142"/>
      <c r="AM309" s="1142"/>
      <c r="AN309" s="1142"/>
      <c r="AO309" s="1149"/>
      <c r="AP309" s="1142"/>
      <c r="AQ309" s="1142"/>
      <c r="AR309" s="1142"/>
      <c r="AS309" s="1142"/>
      <c r="AT309" s="1142"/>
      <c r="AU309" s="1142"/>
      <c r="AV309" s="1142"/>
      <c r="AW309" s="1142"/>
      <c r="AX309" s="1142"/>
      <c r="AY309" s="1142"/>
      <c r="AZ309" s="1142"/>
      <c r="BA309" s="1142"/>
      <c r="BB309" s="1142"/>
      <c r="BC309" s="1142"/>
      <c r="BD309" s="1142"/>
      <c r="BE309" s="1142"/>
      <c r="BF309" s="1142"/>
      <c r="BG309" s="1142"/>
      <c r="BH309" s="1142"/>
      <c r="BI309" s="1142"/>
      <c r="BJ309" s="1142"/>
      <c r="BK309" s="1142"/>
      <c r="BL309" s="1142"/>
      <c r="BM309" s="1142"/>
      <c r="BN309" s="1142"/>
      <c r="BO309" s="1142"/>
      <c r="BP309" s="1142"/>
      <c r="BQ309" s="1142"/>
      <c r="BR309" s="1142"/>
      <c r="BS309" s="1437"/>
      <c r="BT309" s="1142"/>
      <c r="BU309" s="1478"/>
      <c r="BV309" s="1070"/>
      <c r="BW309" s="1070"/>
    </row>
    <row r="310" spans="1:75" outlineLevel="1" x14ac:dyDescent="0.3">
      <c r="A310" s="1474"/>
      <c r="B310" s="1207"/>
      <c r="C310" s="1116" t="str">
        <f>Comp&amp;" Commitment"</f>
        <v>Def Exit Commitment</v>
      </c>
      <c r="D310" s="1116"/>
      <c r="E310" s="1116"/>
      <c r="F310" s="1116"/>
      <c r="G310" s="1603">
        <f t="shared" ref="G310:AI310" si="336">((AQ135)*(1-$BU$140))</f>
        <v>0</v>
      </c>
      <c r="H310" s="1604">
        <f t="shared" si="336"/>
        <v>0</v>
      </c>
      <c r="I310" s="1604">
        <f t="shared" si="336"/>
        <v>0</v>
      </c>
      <c r="J310" s="1604">
        <f t="shared" si="336"/>
        <v>0</v>
      </c>
      <c r="K310" s="1604">
        <f t="shared" si="336"/>
        <v>0</v>
      </c>
      <c r="L310" s="1604">
        <f t="shared" si="336"/>
        <v>0</v>
      </c>
      <c r="M310" s="1604">
        <f t="shared" si="336"/>
        <v>0</v>
      </c>
      <c r="N310" s="1604">
        <f t="shared" si="336"/>
        <v>0</v>
      </c>
      <c r="O310" s="1604">
        <f t="shared" si="336"/>
        <v>0</v>
      </c>
      <c r="P310" s="1604">
        <f t="shared" si="336"/>
        <v>0</v>
      </c>
      <c r="Q310" s="1604">
        <f t="shared" si="336"/>
        <v>0</v>
      </c>
      <c r="R310" s="1604">
        <f t="shared" si="336"/>
        <v>0</v>
      </c>
      <c r="S310" s="1604">
        <f t="shared" si="336"/>
        <v>0</v>
      </c>
      <c r="T310" s="1604">
        <f t="shared" si="336"/>
        <v>0</v>
      </c>
      <c r="U310" s="1604">
        <f t="shared" si="336"/>
        <v>0</v>
      </c>
      <c r="V310" s="1604">
        <f t="shared" si="336"/>
        <v>0</v>
      </c>
      <c r="W310" s="1604">
        <f t="shared" si="336"/>
        <v>0</v>
      </c>
      <c r="X310" s="1604">
        <f t="shared" si="336"/>
        <v>0</v>
      </c>
      <c r="Y310" s="1604">
        <f t="shared" si="336"/>
        <v>0</v>
      </c>
      <c r="Z310" s="1604">
        <f t="shared" si="336"/>
        <v>0</v>
      </c>
      <c r="AA310" s="1604">
        <f t="shared" si="336"/>
        <v>0</v>
      </c>
      <c r="AB310" s="1604">
        <f t="shared" si="336"/>
        <v>0</v>
      </c>
      <c r="AC310" s="1604">
        <f t="shared" si="336"/>
        <v>0</v>
      </c>
      <c r="AD310" s="1604">
        <f t="shared" si="336"/>
        <v>0</v>
      </c>
      <c r="AE310" s="1604">
        <f t="shared" si="336"/>
        <v>0</v>
      </c>
      <c r="AF310" s="1604">
        <f t="shared" si="336"/>
        <v>0</v>
      </c>
      <c r="AG310" s="1604">
        <f t="shared" si="336"/>
        <v>0</v>
      </c>
      <c r="AH310" s="1604">
        <f t="shared" si="336"/>
        <v>0</v>
      </c>
      <c r="AI310" s="1605">
        <f t="shared" si="336"/>
        <v>0</v>
      </c>
      <c r="AJ310" s="1564"/>
      <c r="AK310" s="1142"/>
      <c r="AL310" s="1142"/>
      <c r="AM310" s="1142"/>
      <c r="AN310" s="1142"/>
      <c r="AO310" s="1149"/>
      <c r="AP310" s="1142"/>
      <c r="AQ310" s="1142"/>
      <c r="AR310" s="1142"/>
      <c r="AS310" s="1142"/>
      <c r="AT310" s="1142"/>
      <c r="AU310" s="1142"/>
      <c r="AV310" s="1142"/>
      <c r="AW310" s="1142"/>
      <c r="AX310" s="1142"/>
      <c r="AY310" s="1142"/>
      <c r="AZ310" s="1142"/>
      <c r="BA310" s="1142"/>
      <c r="BB310" s="1142"/>
      <c r="BC310" s="1142"/>
      <c r="BD310" s="1142"/>
      <c r="BE310" s="1142"/>
      <c r="BF310" s="1142"/>
      <c r="BG310" s="1142"/>
      <c r="BH310" s="1142"/>
      <c r="BI310" s="1142"/>
      <c r="BJ310" s="1142"/>
      <c r="BK310" s="1142"/>
      <c r="BL310" s="1142"/>
      <c r="BM310" s="1142"/>
      <c r="BN310" s="1142"/>
      <c r="BO310" s="1142"/>
      <c r="BP310" s="1142"/>
      <c r="BQ310" s="1142"/>
      <c r="BR310" s="1142"/>
      <c r="BS310" s="1437"/>
      <c r="BT310" s="1142"/>
      <c r="BU310" s="1478"/>
      <c r="BV310" s="1070"/>
      <c r="BW310" s="1070"/>
    </row>
    <row r="311" spans="1:75" outlineLevel="1" x14ac:dyDescent="0.3">
      <c r="A311" s="1474"/>
      <c r="B311" s="1207" t="s">
        <v>446</v>
      </c>
      <c r="C311" s="1116" t="str">
        <f>Comp&amp;"  (Act/Proj)"</f>
        <v>Def Exit  (Act/Proj)</v>
      </c>
      <c r="D311" s="1116"/>
      <c r="E311" s="1116"/>
      <c r="F311" s="1116"/>
      <c r="G311" s="1603">
        <f t="shared" ref="G311:AI311" si="337">((G136)*(1-$BU$140))</f>
        <v>4828.4206951872993</v>
      </c>
      <c r="H311" s="1604">
        <f t="shared" si="337"/>
        <v>3450.6323370654059</v>
      </c>
      <c r="I311" s="1604">
        <f t="shared" si="337"/>
        <v>8338.541056523256</v>
      </c>
      <c r="J311" s="1604">
        <f t="shared" si="337"/>
        <v>7736.0276633552903</v>
      </c>
      <c r="K311" s="1604">
        <f t="shared" si="337"/>
        <v>2362.6098811049887</v>
      </c>
      <c r="L311" s="1604">
        <f t="shared" si="337"/>
        <v>1451.8026343507922</v>
      </c>
      <c r="M311" s="1604">
        <f t="shared" si="337"/>
        <v>205.83868703780806</v>
      </c>
      <c r="N311" s="1604">
        <f t="shared" si="337"/>
        <v>209.9554607785642</v>
      </c>
      <c r="O311" s="1604">
        <f t="shared" si="337"/>
        <v>214.1545699941355</v>
      </c>
      <c r="P311" s="1604">
        <f t="shared" si="337"/>
        <v>218.43766139401816</v>
      </c>
      <c r="Q311" s="1604">
        <f t="shared" si="337"/>
        <v>222.80641462189857</v>
      </c>
      <c r="R311" s="1604">
        <f t="shared" si="337"/>
        <v>0</v>
      </c>
      <c r="S311" s="1604">
        <f t="shared" si="337"/>
        <v>0</v>
      </c>
      <c r="T311" s="1604">
        <f t="shared" si="337"/>
        <v>0</v>
      </c>
      <c r="U311" s="1604">
        <f t="shared" si="337"/>
        <v>0</v>
      </c>
      <c r="V311" s="1604">
        <f t="shared" si="337"/>
        <v>0</v>
      </c>
      <c r="W311" s="1604">
        <f t="shared" si="337"/>
        <v>0</v>
      </c>
      <c r="X311" s="1604">
        <f t="shared" si="337"/>
        <v>0</v>
      </c>
      <c r="Y311" s="1604">
        <f t="shared" si="337"/>
        <v>0</v>
      </c>
      <c r="Z311" s="1604">
        <f t="shared" si="337"/>
        <v>0</v>
      </c>
      <c r="AA311" s="1604">
        <f t="shared" si="337"/>
        <v>0</v>
      </c>
      <c r="AB311" s="1604">
        <f t="shared" si="337"/>
        <v>0</v>
      </c>
      <c r="AC311" s="1604">
        <f t="shared" si="337"/>
        <v>0</v>
      </c>
      <c r="AD311" s="1604">
        <f t="shared" si="337"/>
        <v>0</v>
      </c>
      <c r="AE311" s="1604">
        <f t="shared" si="337"/>
        <v>0</v>
      </c>
      <c r="AF311" s="1604">
        <f t="shared" si="337"/>
        <v>0</v>
      </c>
      <c r="AG311" s="1604">
        <f t="shared" si="337"/>
        <v>0</v>
      </c>
      <c r="AH311" s="1604">
        <f t="shared" si="337"/>
        <v>0</v>
      </c>
      <c r="AI311" s="1605">
        <f t="shared" si="337"/>
        <v>0</v>
      </c>
      <c r="AJ311" s="1564"/>
      <c r="AK311" s="1142"/>
      <c r="AL311" s="1142"/>
      <c r="AM311" s="1142"/>
      <c r="AN311" s="1142"/>
      <c r="AO311" s="1149"/>
      <c r="AP311" s="1142"/>
      <c r="AQ311" s="1142"/>
      <c r="AR311" s="1142"/>
      <c r="AS311" s="1142"/>
      <c r="AT311" s="1142"/>
      <c r="AU311" s="1142"/>
      <c r="AV311" s="1142"/>
      <c r="AW311" s="1142"/>
      <c r="AX311" s="1142"/>
      <c r="AY311" s="1142"/>
      <c r="AZ311" s="1142"/>
      <c r="BA311" s="1142"/>
      <c r="BB311" s="1142"/>
      <c r="BC311" s="1142"/>
      <c r="BD311" s="1142"/>
      <c r="BE311" s="1142"/>
      <c r="BF311" s="1142"/>
      <c r="BG311" s="1142"/>
      <c r="BH311" s="1142"/>
      <c r="BI311" s="1142"/>
      <c r="BJ311" s="1142"/>
      <c r="BK311" s="1142"/>
      <c r="BL311" s="1142"/>
      <c r="BM311" s="1142"/>
      <c r="BN311" s="1142"/>
      <c r="BO311" s="1142"/>
      <c r="BP311" s="1142"/>
      <c r="BQ311" s="1142"/>
      <c r="BR311" s="1142"/>
      <c r="BS311" s="1437"/>
      <c r="BT311" s="1142"/>
      <c r="BU311" s="1478"/>
      <c r="BV311" s="1070"/>
      <c r="BW311" s="1070"/>
    </row>
    <row r="312" spans="1:75" outlineLevel="1" x14ac:dyDescent="0.3">
      <c r="A312" s="1474"/>
      <c r="B312" s="1207"/>
      <c r="C312" s="1116" t="str">
        <f>Comp&amp;" Commitment"</f>
        <v>Def Exit Commitment</v>
      </c>
      <c r="D312" s="1116"/>
      <c r="E312" s="1116"/>
      <c r="F312" s="1116"/>
      <c r="G312" s="1603">
        <f t="shared" ref="G312:AI312" si="338">((AQ136)*(1-$BU$140))</f>
        <v>0</v>
      </c>
      <c r="H312" s="1604">
        <f t="shared" si="338"/>
        <v>0</v>
      </c>
      <c r="I312" s="1604">
        <f t="shared" si="338"/>
        <v>0</v>
      </c>
      <c r="J312" s="1604">
        <f t="shared" si="338"/>
        <v>0</v>
      </c>
      <c r="K312" s="1604">
        <f t="shared" si="338"/>
        <v>0</v>
      </c>
      <c r="L312" s="1604">
        <f t="shared" si="338"/>
        <v>0</v>
      </c>
      <c r="M312" s="1604">
        <f t="shared" si="338"/>
        <v>0</v>
      </c>
      <c r="N312" s="1604">
        <f t="shared" si="338"/>
        <v>0</v>
      </c>
      <c r="O312" s="1604">
        <f t="shared" si="338"/>
        <v>0</v>
      </c>
      <c r="P312" s="1604">
        <f t="shared" si="338"/>
        <v>0</v>
      </c>
      <c r="Q312" s="1604">
        <f t="shared" si="338"/>
        <v>0</v>
      </c>
      <c r="R312" s="1604">
        <f t="shared" si="338"/>
        <v>0</v>
      </c>
      <c r="S312" s="1604">
        <f t="shared" si="338"/>
        <v>0</v>
      </c>
      <c r="T312" s="1604">
        <f t="shared" si="338"/>
        <v>0</v>
      </c>
      <c r="U312" s="1604">
        <f t="shared" si="338"/>
        <v>0</v>
      </c>
      <c r="V312" s="1604">
        <f t="shared" si="338"/>
        <v>0</v>
      </c>
      <c r="W312" s="1604">
        <f t="shared" si="338"/>
        <v>0</v>
      </c>
      <c r="X312" s="1604">
        <f t="shared" si="338"/>
        <v>0</v>
      </c>
      <c r="Y312" s="1604">
        <f t="shared" si="338"/>
        <v>0</v>
      </c>
      <c r="Z312" s="1604">
        <f t="shared" si="338"/>
        <v>0</v>
      </c>
      <c r="AA312" s="1604">
        <f t="shared" si="338"/>
        <v>0</v>
      </c>
      <c r="AB312" s="1604">
        <f t="shared" si="338"/>
        <v>0</v>
      </c>
      <c r="AC312" s="1604">
        <f t="shared" si="338"/>
        <v>0</v>
      </c>
      <c r="AD312" s="1604">
        <f t="shared" si="338"/>
        <v>0</v>
      </c>
      <c r="AE312" s="1604">
        <f t="shared" si="338"/>
        <v>0</v>
      </c>
      <c r="AF312" s="1604">
        <f t="shared" si="338"/>
        <v>0</v>
      </c>
      <c r="AG312" s="1604">
        <f t="shared" si="338"/>
        <v>0</v>
      </c>
      <c r="AH312" s="1604">
        <f t="shared" si="338"/>
        <v>0</v>
      </c>
      <c r="AI312" s="1605">
        <f t="shared" si="338"/>
        <v>0</v>
      </c>
      <c r="AJ312" s="1564"/>
      <c r="AK312" s="1142"/>
      <c r="AL312" s="1142"/>
      <c r="AM312" s="1142"/>
      <c r="AN312" s="1142"/>
      <c r="AO312" s="1149"/>
      <c r="AP312" s="1142"/>
      <c r="AQ312" s="1142"/>
      <c r="AR312" s="1142"/>
      <c r="AS312" s="1142"/>
      <c r="AT312" s="1142"/>
      <c r="AU312" s="1142"/>
      <c r="AV312" s="1142"/>
      <c r="AW312" s="1142"/>
      <c r="AX312" s="1142"/>
      <c r="AY312" s="1142"/>
      <c r="AZ312" s="1142"/>
      <c r="BA312" s="1142"/>
      <c r="BB312" s="1142"/>
      <c r="BC312" s="1142"/>
      <c r="BD312" s="1142"/>
      <c r="BE312" s="1142"/>
      <c r="BF312" s="1142"/>
      <c r="BG312" s="1142"/>
      <c r="BH312" s="1142"/>
      <c r="BI312" s="1142"/>
      <c r="BJ312" s="1142"/>
      <c r="BK312" s="1142"/>
      <c r="BL312" s="1142"/>
      <c r="BM312" s="1142"/>
      <c r="BN312" s="1142"/>
      <c r="BO312" s="1142"/>
      <c r="BP312" s="1142"/>
      <c r="BQ312" s="1142"/>
      <c r="BR312" s="1142"/>
      <c r="BS312" s="1437"/>
      <c r="BT312" s="1142"/>
      <c r="BU312" s="1478"/>
      <c r="BV312" s="1070"/>
      <c r="BW312" s="1070"/>
    </row>
    <row r="313" spans="1:75" outlineLevel="1" x14ac:dyDescent="0.3">
      <c r="A313" s="1474"/>
      <c r="B313" s="1207" t="s">
        <v>1366</v>
      </c>
      <c r="C313" s="1116" t="str">
        <f>Comp&amp;"  (Act/Proj)"</f>
        <v>Def Exit  (Act/Proj)</v>
      </c>
      <c r="D313" s="1116"/>
      <c r="E313" s="1116"/>
      <c r="F313" s="1116"/>
      <c r="G313" s="1603">
        <f t="shared" ref="G313:AI313" si="339">G143</f>
        <v>0</v>
      </c>
      <c r="H313" s="1604">
        <f t="shared" si="339"/>
        <v>0</v>
      </c>
      <c r="I313" s="1604">
        <f t="shared" si="339"/>
        <v>0</v>
      </c>
      <c r="J313" s="1604">
        <f t="shared" si="339"/>
        <v>0</v>
      </c>
      <c r="K313" s="1604">
        <f t="shared" si="339"/>
        <v>0</v>
      </c>
      <c r="L313" s="1604">
        <f t="shared" si="339"/>
        <v>13066.666666666666</v>
      </c>
      <c r="M313" s="1604">
        <f t="shared" si="339"/>
        <v>-933.33333333333337</v>
      </c>
      <c r="N313" s="1604">
        <f t="shared" si="339"/>
        <v>-933.33333333333337</v>
      </c>
      <c r="O313" s="1604">
        <f t="shared" si="339"/>
        <v>-933.33333333333337</v>
      </c>
      <c r="P313" s="1604">
        <f t="shared" si="339"/>
        <v>-933.33333333333337</v>
      </c>
      <c r="Q313" s="1604">
        <f t="shared" si="339"/>
        <v>-933.33333333333337</v>
      </c>
      <c r="R313" s="1604">
        <f t="shared" si="339"/>
        <v>-933.33333333333337</v>
      </c>
      <c r="S313" s="1604">
        <f t="shared" si="339"/>
        <v>-933.33333333333337</v>
      </c>
      <c r="T313" s="1604">
        <f t="shared" si="339"/>
        <v>-933.33333333333337</v>
      </c>
      <c r="U313" s="1604">
        <f t="shared" si="339"/>
        <v>-933.33333333333337</v>
      </c>
      <c r="V313" s="1604">
        <f t="shared" si="339"/>
        <v>-933.33333333333337</v>
      </c>
      <c r="W313" s="1604">
        <f t="shared" si="339"/>
        <v>-933.33333333333337</v>
      </c>
      <c r="X313" s="1604">
        <f t="shared" si="339"/>
        <v>-933.33333333333337</v>
      </c>
      <c r="Y313" s="1604">
        <f t="shared" si="339"/>
        <v>-933.33333333333337</v>
      </c>
      <c r="Z313" s="1604">
        <f t="shared" si="339"/>
        <v>-933.33333333333337</v>
      </c>
      <c r="AA313" s="1604">
        <f t="shared" si="339"/>
        <v>0</v>
      </c>
      <c r="AB313" s="1604">
        <f t="shared" si="339"/>
        <v>0</v>
      </c>
      <c r="AC313" s="1604">
        <f t="shared" si="339"/>
        <v>0</v>
      </c>
      <c r="AD313" s="1604">
        <f t="shared" si="339"/>
        <v>0</v>
      </c>
      <c r="AE313" s="1604">
        <f t="shared" si="339"/>
        <v>0</v>
      </c>
      <c r="AF313" s="1604">
        <f t="shared" si="339"/>
        <v>0</v>
      </c>
      <c r="AG313" s="1604">
        <f t="shared" si="339"/>
        <v>0</v>
      </c>
      <c r="AH313" s="1604">
        <f t="shared" si="339"/>
        <v>0</v>
      </c>
      <c r="AI313" s="1605">
        <f t="shared" si="339"/>
        <v>0</v>
      </c>
      <c r="AJ313" s="1564"/>
      <c r="AK313" s="1142"/>
      <c r="AL313" s="1142"/>
      <c r="AM313" s="1142"/>
      <c r="AN313" s="1142"/>
      <c r="AO313" s="1149"/>
      <c r="AP313" s="1142"/>
      <c r="AQ313" s="1142"/>
      <c r="AR313" s="1142"/>
      <c r="AS313" s="1142"/>
      <c r="AT313" s="1142"/>
      <c r="AU313" s="1142"/>
      <c r="AV313" s="1142"/>
      <c r="AW313" s="1142"/>
      <c r="AX313" s="1142"/>
      <c r="AY313" s="1142"/>
      <c r="AZ313" s="1142"/>
      <c r="BA313" s="1142"/>
      <c r="BB313" s="1142"/>
      <c r="BC313" s="1142"/>
      <c r="BD313" s="1142"/>
      <c r="BE313" s="1142"/>
      <c r="BF313" s="1142"/>
      <c r="BG313" s="1142"/>
      <c r="BH313" s="1142"/>
      <c r="BI313" s="1142"/>
      <c r="BJ313" s="1142"/>
      <c r="BK313" s="1142"/>
      <c r="BL313" s="1142"/>
      <c r="BM313" s="1142"/>
      <c r="BN313" s="1142"/>
      <c r="BO313" s="1142"/>
      <c r="BP313" s="1142"/>
      <c r="BQ313" s="1142"/>
      <c r="BR313" s="1142"/>
      <c r="BS313" s="1437"/>
      <c r="BT313" s="1142"/>
      <c r="BU313" s="1478"/>
      <c r="BV313" s="1070"/>
      <c r="BW313" s="1070"/>
    </row>
    <row r="314" spans="1:75" outlineLevel="1" x14ac:dyDescent="0.3">
      <c r="A314" s="1474"/>
      <c r="B314" s="1606"/>
      <c r="C314" s="1226" t="str">
        <f>Comp&amp;" Commitment"</f>
        <v>Def Exit Commitment</v>
      </c>
      <c r="D314" s="1226"/>
      <c r="E314" s="1226"/>
      <c r="F314" s="1226"/>
      <c r="G314" s="1607">
        <f t="shared" ref="G314:AI314" si="340">AQ143</f>
        <v>0</v>
      </c>
      <c r="H314" s="1608">
        <f t="shared" si="340"/>
        <v>0</v>
      </c>
      <c r="I314" s="1608">
        <f t="shared" si="340"/>
        <v>0</v>
      </c>
      <c r="J314" s="1608">
        <f t="shared" si="340"/>
        <v>0</v>
      </c>
      <c r="K314" s="1608">
        <f t="shared" si="340"/>
        <v>0</v>
      </c>
      <c r="L314" s="1608">
        <f t="shared" si="340"/>
        <v>0</v>
      </c>
      <c r="M314" s="1608">
        <f t="shared" si="340"/>
        <v>0</v>
      </c>
      <c r="N314" s="1608">
        <f t="shared" si="340"/>
        <v>0</v>
      </c>
      <c r="O314" s="1608">
        <f t="shared" si="340"/>
        <v>0</v>
      </c>
      <c r="P314" s="1608">
        <f t="shared" si="340"/>
        <v>0</v>
      </c>
      <c r="Q314" s="1608">
        <f t="shared" si="340"/>
        <v>0</v>
      </c>
      <c r="R314" s="1608">
        <f t="shared" si="340"/>
        <v>0</v>
      </c>
      <c r="S314" s="1608">
        <f t="shared" si="340"/>
        <v>0</v>
      </c>
      <c r="T314" s="1608">
        <f t="shared" si="340"/>
        <v>0</v>
      </c>
      <c r="U314" s="1608">
        <f t="shared" si="340"/>
        <v>0</v>
      </c>
      <c r="V314" s="1608">
        <f t="shared" si="340"/>
        <v>0</v>
      </c>
      <c r="W314" s="1608">
        <f t="shared" si="340"/>
        <v>0</v>
      </c>
      <c r="X314" s="1608">
        <f t="shared" si="340"/>
        <v>0</v>
      </c>
      <c r="Y314" s="1608">
        <f t="shared" si="340"/>
        <v>0</v>
      </c>
      <c r="Z314" s="1608">
        <f t="shared" si="340"/>
        <v>0</v>
      </c>
      <c r="AA314" s="1608">
        <f t="shared" si="340"/>
        <v>0</v>
      </c>
      <c r="AB314" s="1608">
        <f t="shared" si="340"/>
        <v>0</v>
      </c>
      <c r="AC314" s="1608">
        <f t="shared" si="340"/>
        <v>0</v>
      </c>
      <c r="AD314" s="1608">
        <f t="shared" si="340"/>
        <v>0</v>
      </c>
      <c r="AE314" s="1608">
        <f t="shared" si="340"/>
        <v>0</v>
      </c>
      <c r="AF314" s="1608">
        <f t="shared" si="340"/>
        <v>0</v>
      </c>
      <c r="AG314" s="1608">
        <f t="shared" si="340"/>
        <v>0</v>
      </c>
      <c r="AH314" s="1608">
        <f t="shared" si="340"/>
        <v>0</v>
      </c>
      <c r="AI314" s="1609">
        <f t="shared" si="340"/>
        <v>0</v>
      </c>
      <c r="AJ314" s="1564"/>
      <c r="AK314" s="1142"/>
      <c r="AL314" s="1142"/>
      <c r="AM314" s="1142"/>
      <c r="AN314" s="1142"/>
      <c r="AO314" s="1149"/>
      <c r="AP314" s="1142"/>
      <c r="AQ314" s="1142"/>
      <c r="AR314" s="1142"/>
      <c r="AS314" s="1142"/>
      <c r="AT314" s="1142"/>
      <c r="AU314" s="1142"/>
      <c r="AV314" s="1142"/>
      <c r="AW314" s="1142"/>
      <c r="AX314" s="1142"/>
      <c r="AY314" s="1142"/>
      <c r="AZ314" s="1142"/>
      <c r="BA314" s="1142"/>
      <c r="BB314" s="1142"/>
      <c r="BC314" s="1142"/>
      <c r="BD314" s="1142"/>
      <c r="BE314" s="1142"/>
      <c r="BF314" s="1142"/>
      <c r="BG314" s="1142"/>
      <c r="BH314" s="1142"/>
      <c r="BI314" s="1142"/>
      <c r="BJ314" s="1142"/>
      <c r="BK314" s="1142"/>
      <c r="BL314" s="1142"/>
      <c r="BM314" s="1142"/>
      <c r="BN314" s="1142"/>
      <c r="BO314" s="1142"/>
      <c r="BP314" s="1142"/>
      <c r="BQ314" s="1142"/>
      <c r="BR314" s="1142"/>
      <c r="BS314" s="1437"/>
      <c r="BT314" s="1142"/>
      <c r="BU314" s="1478"/>
      <c r="BV314" s="1070"/>
      <c r="BW314" s="1070"/>
    </row>
    <row r="315" spans="1:75" outlineLevel="1" x14ac:dyDescent="0.3">
      <c r="A315" s="1474"/>
      <c r="B315" s="1598"/>
      <c r="C315" s="1142"/>
      <c r="D315" s="1142"/>
      <c r="E315" s="1142"/>
      <c r="F315" s="1142"/>
      <c r="G315" s="1142"/>
      <c r="H315" s="1142"/>
      <c r="I315" s="1142"/>
      <c r="J315" s="1142"/>
      <c r="K315" s="1142"/>
      <c r="L315" s="1142"/>
      <c r="M315" s="1142"/>
      <c r="N315" s="1142"/>
      <c r="O315" s="1142"/>
      <c r="P315" s="1142"/>
      <c r="Q315" s="1142"/>
      <c r="R315" s="1142"/>
      <c r="S315" s="1142"/>
      <c r="T315" s="1142"/>
      <c r="U315" s="1142"/>
      <c r="V315" s="1142"/>
      <c r="W315" s="1142"/>
      <c r="X315" s="1142"/>
      <c r="Y315" s="1142"/>
      <c r="Z315" s="1142"/>
      <c r="AA315" s="1142"/>
      <c r="AB315" s="1142"/>
      <c r="AC315" s="1142"/>
      <c r="AD315" s="1142"/>
      <c r="AE315" s="1142"/>
      <c r="AF315" s="1142"/>
      <c r="AG315" s="1142"/>
      <c r="AH315" s="1142"/>
      <c r="AI315" s="1437"/>
      <c r="AJ315" s="1564"/>
      <c r="AK315" s="1142"/>
      <c r="AL315" s="1142"/>
      <c r="AM315" s="1142"/>
      <c r="AN315" s="1142"/>
      <c r="AO315" s="1149"/>
      <c r="AP315" s="1142"/>
      <c r="AQ315" s="1142"/>
      <c r="AR315" s="1142"/>
      <c r="AS315" s="1142"/>
      <c r="AT315" s="1142"/>
      <c r="AU315" s="1142"/>
      <c r="AV315" s="1142"/>
      <c r="AW315" s="1142"/>
      <c r="AX315" s="1142"/>
      <c r="AY315" s="1142"/>
      <c r="AZ315" s="1142"/>
      <c r="BA315" s="1142"/>
      <c r="BB315" s="1142"/>
      <c r="BC315" s="1142"/>
      <c r="BD315" s="1142"/>
      <c r="BE315" s="1142"/>
      <c r="BF315" s="1142"/>
      <c r="BG315" s="1142"/>
      <c r="BH315" s="1142"/>
      <c r="BI315" s="1142"/>
      <c r="BJ315" s="1142"/>
      <c r="BK315" s="1142"/>
      <c r="BL315" s="1142"/>
      <c r="BM315" s="1142"/>
      <c r="BN315" s="1142"/>
      <c r="BO315" s="1142"/>
      <c r="BP315" s="1142"/>
      <c r="BQ315" s="1142"/>
      <c r="BR315" s="1142"/>
      <c r="BS315" s="1437"/>
      <c r="BT315" s="1142"/>
      <c r="BU315" s="1478"/>
      <c r="BV315" s="1070"/>
      <c r="BW315" s="1070"/>
    </row>
    <row r="316" spans="1:75" outlineLevel="1" x14ac:dyDescent="0.3">
      <c r="A316" s="1474"/>
      <c r="B316" s="1598" t="str">
        <f>"Launch Delay: (Based on "&amp;Comp&amp;" Scenario - 10yrs)"</f>
        <v>Launch Delay: (Based on Def Exit Scenario - 10yrs)</v>
      </c>
      <c r="C316" s="1142"/>
      <c r="D316" s="1142"/>
      <c r="E316" s="1142"/>
      <c r="F316" s="1142"/>
      <c r="G316" s="2921"/>
      <c r="H316" s="2921"/>
      <c r="I316" s="1142"/>
      <c r="J316" s="1142"/>
      <c r="K316" s="1142"/>
      <c r="L316" s="1142"/>
      <c r="M316" s="1142"/>
      <c r="N316" s="1142"/>
      <c r="O316" s="2884"/>
      <c r="P316" s="1142"/>
      <c r="Q316" s="1142"/>
      <c r="R316" s="1142"/>
      <c r="S316" s="1142"/>
      <c r="T316" s="1142"/>
      <c r="U316" s="1142"/>
      <c r="V316" s="1142"/>
      <c r="W316" s="1142"/>
      <c r="X316" s="1142"/>
      <c r="Y316" s="1142"/>
      <c r="Z316" s="1142"/>
      <c r="AA316" s="1142"/>
      <c r="AB316" s="1142"/>
      <c r="AC316" s="1142"/>
      <c r="AD316" s="1142"/>
      <c r="AE316" s="1142"/>
      <c r="AF316" s="1142"/>
      <c r="AG316" s="1142"/>
      <c r="AH316" s="1142"/>
      <c r="AI316" s="1437"/>
      <c r="AJ316" s="1564"/>
      <c r="AK316" s="1142"/>
      <c r="AL316" s="1142"/>
      <c r="AM316" s="1142"/>
      <c r="AN316" s="1142"/>
      <c r="AO316" s="1598" t="str">
        <f>"Launch Delay: (Based on "&amp;Comp&amp;" Scenario - 15yrs)"</f>
        <v>Launch Delay: (Based on Def Exit Scenario - 15yrs)</v>
      </c>
      <c r="AP316" s="1116"/>
      <c r="AQ316" s="1116"/>
      <c r="AR316" s="1116"/>
      <c r="AS316" s="1116"/>
      <c r="AT316" s="1116"/>
      <c r="AU316" s="1116"/>
      <c r="AV316" s="1116"/>
      <c r="AW316" s="1116"/>
      <c r="AX316" s="1116"/>
      <c r="AY316" s="1116"/>
      <c r="AZ316" s="1116"/>
      <c r="BA316" s="1116"/>
      <c r="BB316" s="1116"/>
      <c r="BC316" s="1116"/>
      <c r="BD316" s="1116"/>
      <c r="BE316" s="1116"/>
      <c r="BF316" s="1116"/>
      <c r="BG316" s="1116"/>
      <c r="BH316" s="1116"/>
      <c r="BI316" s="1116"/>
      <c r="BJ316" s="1116"/>
      <c r="BK316" s="1116"/>
      <c r="BL316" s="1116"/>
      <c r="BM316" s="1116"/>
      <c r="BN316" s="1116"/>
      <c r="BO316" s="1116"/>
      <c r="BP316" s="1116"/>
      <c r="BQ316" s="1116"/>
      <c r="BR316" s="1116"/>
      <c r="BS316" s="1477"/>
      <c r="BT316" s="1142"/>
      <c r="BU316" s="1478"/>
      <c r="BV316" s="1070"/>
      <c r="BW316" s="1070"/>
    </row>
    <row r="317" spans="1:75" outlineLevel="1" x14ac:dyDescent="0.3">
      <c r="A317" s="1474"/>
      <c r="B317" s="1207"/>
      <c r="C317" s="1116"/>
      <c r="D317" s="1116"/>
      <c r="E317" s="1116"/>
      <c r="F317" s="1116"/>
      <c r="G317" s="1611" t="s">
        <v>49</v>
      </c>
      <c r="H317" s="1611" t="str">
        <f>Comp</f>
        <v>Def Exit</v>
      </c>
      <c r="I317" s="1611"/>
      <c r="J317" s="1611" t="s">
        <v>1392</v>
      </c>
      <c r="K317" s="1611" t="s">
        <v>1393</v>
      </c>
      <c r="L317" s="1611" t="s">
        <v>1394</v>
      </c>
      <c r="M317" s="1116"/>
      <c r="N317" s="1116"/>
      <c r="O317" s="1229" t="s">
        <v>1392</v>
      </c>
      <c r="P317" s="1612"/>
      <c r="Q317" s="1116"/>
      <c r="R317" s="1116"/>
      <c r="S317" s="1116"/>
      <c r="T317" s="1116"/>
      <c r="U317" s="1116"/>
      <c r="V317" s="1116"/>
      <c r="W317" s="1116"/>
      <c r="X317" s="1116"/>
      <c r="Y317" s="1116"/>
      <c r="Z317" s="1116"/>
      <c r="AA317" s="1116"/>
      <c r="AB317" s="1116"/>
      <c r="AC317" s="1116"/>
      <c r="AD317" s="1116"/>
      <c r="AE317" s="1116"/>
      <c r="AF317" s="1116"/>
      <c r="AG317" s="1116"/>
      <c r="AH317" s="1116"/>
      <c r="AI317" s="1477"/>
      <c r="AJ317" s="1476"/>
      <c r="AK317" s="1142"/>
      <c r="AL317" s="1142"/>
      <c r="AM317" s="1142"/>
      <c r="AN317" s="1142"/>
      <c r="AO317" s="1207"/>
      <c r="AP317" s="1116"/>
      <c r="AQ317" s="1611" t="s">
        <v>49</v>
      </c>
      <c r="AR317" s="1611" t="str">
        <f>Comp</f>
        <v>Def Exit</v>
      </c>
      <c r="AS317" s="1611"/>
      <c r="AT317" s="1611" t="s">
        <v>1392</v>
      </c>
      <c r="AU317" s="1611" t="s">
        <v>1393</v>
      </c>
      <c r="AV317" s="1611" t="s">
        <v>1394</v>
      </c>
      <c r="AW317" s="1116"/>
      <c r="AX317" s="1116"/>
      <c r="AY317" s="1229" t="s">
        <v>1392</v>
      </c>
      <c r="AZ317" s="1612"/>
      <c r="BA317" s="1116"/>
      <c r="BB317" s="1116"/>
      <c r="BC317" s="1116"/>
      <c r="BD317" s="1116"/>
      <c r="BE317" s="1116"/>
      <c r="BF317" s="1116"/>
      <c r="BG317" s="1116"/>
      <c r="BH317" s="1116"/>
      <c r="BI317" s="1116"/>
      <c r="BJ317" s="1116"/>
      <c r="BK317" s="1116"/>
      <c r="BL317" s="1116"/>
      <c r="BM317" s="1116"/>
      <c r="BN317" s="1116"/>
      <c r="BO317" s="1116"/>
      <c r="BP317" s="1116"/>
      <c r="BQ317" s="1116"/>
      <c r="BR317" s="1116"/>
      <c r="BS317" s="1477"/>
      <c r="BT317" s="1142"/>
      <c r="BU317" s="1478"/>
      <c r="BV317" s="1070"/>
      <c r="BW317" s="1070"/>
    </row>
    <row r="318" spans="1:75" outlineLevel="1" x14ac:dyDescent="0.3">
      <c r="A318" s="1474"/>
      <c r="B318" s="1207"/>
      <c r="C318" s="1229" t="s">
        <v>1395</v>
      </c>
      <c r="D318" s="1222"/>
      <c r="E318" s="1222"/>
      <c r="F318" s="1222"/>
      <c r="G318" s="1617" t="str">
        <f>IFERROR(IF(Input!$D$63="Feb",DATE("20"&amp;Input!$E$63,VLOOKUP(Input!$D$63,FT_PPD_DD!$Y$84:$Z$97,2,0),28),DATE("20"&amp;Input!$E$63,VLOOKUP(Input!$D$63,FT_PPD_DD!$Y$84:$Z$97,2,0),30)),"No")</f>
        <v>No</v>
      </c>
      <c r="H318" s="1617" t="str">
        <f>IFERROR(IF(Input!$F$63="Feb",DATE("20"&amp;Input!$H$63,VLOOKUP(Input!$F$63,FT_PPD_DD!$Y$84:$Z$97,2,0),28),DATE("20"&amp;Input!$H$63,VLOOKUP(Input!$F$63,FT_PPD_DD!$Y$84:$Z$97,2,0),30)),"No")</f>
        <v>No</v>
      </c>
      <c r="I318" s="1618"/>
      <c r="J318" s="1619" t="e">
        <f>ABS(ROUND((G318-H318)/365,2))</f>
        <v>#VALUE!</v>
      </c>
      <c r="K318" s="1620" t="e">
        <f>ROUNDDOWN(J318,0)</f>
        <v>#VALUE!</v>
      </c>
      <c r="L318" s="1620" t="e">
        <f>J318-ROUNDDOWN(J318,0)</f>
        <v>#VALUE!</v>
      </c>
      <c r="M318" s="1621"/>
      <c r="N318" s="1116"/>
      <c r="O318" s="1622" t="e">
        <f>ROUND((G318-H318)/365,2)</f>
        <v>#VALUE!</v>
      </c>
      <c r="P318" s="1623" t="e">
        <f>IF(O318&gt;=0,"Delay","Earlier")</f>
        <v>#VALUE!</v>
      </c>
      <c r="Q318" s="1116"/>
      <c r="R318" s="1116"/>
      <c r="S318" s="1116"/>
      <c r="T318" s="1116"/>
      <c r="U318" s="1116"/>
      <c r="V318" s="1116"/>
      <c r="W318" s="1116"/>
      <c r="X318" s="1116"/>
      <c r="Y318" s="1116"/>
      <c r="Z318" s="1116"/>
      <c r="AA318" s="1116"/>
      <c r="AB318" s="1116"/>
      <c r="AC318" s="1116"/>
      <c r="AD318" s="1116"/>
      <c r="AE318" s="1116"/>
      <c r="AF318" s="1116"/>
      <c r="AG318" s="1116"/>
      <c r="AH318" s="1116"/>
      <c r="AI318" s="1477"/>
      <c r="AJ318" s="1476"/>
      <c r="AK318" s="1142"/>
      <c r="AL318" s="1142"/>
      <c r="AM318" s="1142"/>
      <c r="AN318" s="1142"/>
      <c r="AO318" s="1207"/>
      <c r="AP318" s="2922"/>
      <c r="AQ318" s="1617" t="str">
        <f>IFERROR(IF(Input!$D$63="Feb",DATE("20"&amp;Input!$E$63,VLOOKUP(Input!$D$63,FT_PPD_DD!$Y$84:$Z$97,2,0),28),DATE("20"&amp;Input!$E$63,VLOOKUP(Input!$D$63,FT_PPD_DD!$Y$84:$Z$97,2,0),30)),"No")</f>
        <v>No</v>
      </c>
      <c r="AR318" s="1617" t="str">
        <f>IFERROR(IF(Input!$F$63="Feb",DATE("20"&amp;Input!$H$63,VLOOKUP(Input!$F$63,FT_PPD_DD!$Y$84:$Z$97,2,0),28),DATE("20"&amp;Input!$H$63,VLOOKUP(Input!$F$63,FT_PPD_DD!$Y$84:$Z$97,2,0),30)),"No")</f>
        <v>No</v>
      </c>
      <c r="AS318" s="1618"/>
      <c r="AT318" s="1619" t="e">
        <f>ABS(ROUND((AQ318-AR318)/365,2))</f>
        <v>#VALUE!</v>
      </c>
      <c r="AU318" s="1620" t="e">
        <f>ROUNDDOWN(AT318,0)</f>
        <v>#VALUE!</v>
      </c>
      <c r="AV318" s="1620" t="e">
        <f>AT318-ROUNDDOWN(AT318,0)</f>
        <v>#VALUE!</v>
      </c>
      <c r="AW318" s="1621"/>
      <c r="AX318" s="1116"/>
      <c r="AY318" s="1622" t="e">
        <f>ROUND((AQ318-AR318)/365,2)</f>
        <v>#VALUE!</v>
      </c>
      <c r="AZ318" s="1623" t="e">
        <f>IF(AY318&gt;=0,"Delay","Earlier")</f>
        <v>#VALUE!</v>
      </c>
      <c r="BA318" s="1116"/>
      <c r="BB318" s="1116"/>
      <c r="BC318" s="1116"/>
      <c r="BD318" s="1116"/>
      <c r="BE318" s="1116"/>
      <c r="BF318" s="1116"/>
      <c r="BG318" s="1116"/>
      <c r="BH318" s="1116"/>
      <c r="BI318" s="1116"/>
      <c r="BJ318" s="1116"/>
      <c r="BK318" s="1116"/>
      <c r="BL318" s="1116"/>
      <c r="BM318" s="1116"/>
      <c r="BN318" s="1116"/>
      <c r="BO318" s="1116"/>
      <c r="BP318" s="1116"/>
      <c r="BQ318" s="1116"/>
      <c r="BR318" s="1116"/>
      <c r="BS318" s="1477"/>
      <c r="BT318" s="1142"/>
      <c r="BU318" s="1478"/>
      <c r="BV318" s="1070"/>
      <c r="BW318" s="1070"/>
    </row>
    <row r="319" spans="1:75" outlineLevel="1" x14ac:dyDescent="0.3">
      <c r="A319" s="1474"/>
      <c r="B319" s="1207"/>
      <c r="C319" s="1581" t="s">
        <v>1396</v>
      </c>
      <c r="D319" s="1116"/>
      <c r="E319" s="1116"/>
      <c r="F319" s="1116"/>
      <c r="G319" s="1600" t="e">
        <f t="shared" ref="G319:AI319" si="341">IF(G305=1,IF(LaunchOrigFY&lt;=AQ113,IF(AQ113=DefExitFY+9,AQ238,AQ233),0),0)</f>
        <v>#VALUE!</v>
      </c>
      <c r="H319" s="1601" t="e">
        <f t="shared" si="341"/>
        <v>#VALUE!</v>
      </c>
      <c r="I319" s="1601" t="e">
        <f t="shared" si="341"/>
        <v>#VALUE!</v>
      </c>
      <c r="J319" s="1601" t="e">
        <f t="shared" si="341"/>
        <v>#VALUE!</v>
      </c>
      <c r="K319" s="1601" t="e">
        <f t="shared" si="341"/>
        <v>#VALUE!</v>
      </c>
      <c r="L319" s="1601" t="e">
        <f t="shared" si="341"/>
        <v>#VALUE!</v>
      </c>
      <c r="M319" s="1601" t="e">
        <f t="shared" si="341"/>
        <v>#VALUE!</v>
      </c>
      <c r="N319" s="1601" t="e">
        <f t="shared" si="341"/>
        <v>#VALUE!</v>
      </c>
      <c r="O319" s="1601" t="e">
        <f t="shared" si="341"/>
        <v>#VALUE!</v>
      </c>
      <c r="P319" s="1601" t="e">
        <f t="shared" si="341"/>
        <v>#VALUE!</v>
      </c>
      <c r="Q319" s="1601" t="e">
        <f t="shared" si="341"/>
        <v>#VALUE!</v>
      </c>
      <c r="R319" s="1601" t="e">
        <f t="shared" si="341"/>
        <v>#VALUE!</v>
      </c>
      <c r="S319" s="1601" t="e">
        <f t="shared" si="341"/>
        <v>#VALUE!</v>
      </c>
      <c r="T319" s="1601" t="e">
        <f t="shared" si="341"/>
        <v>#VALUE!</v>
      </c>
      <c r="U319" s="1601" t="e">
        <f t="shared" si="341"/>
        <v>#VALUE!</v>
      </c>
      <c r="V319" s="1601" t="e">
        <f t="shared" si="341"/>
        <v>#VALUE!</v>
      </c>
      <c r="W319" s="1601" t="e">
        <f t="shared" si="341"/>
        <v>#VALUE!</v>
      </c>
      <c r="X319" s="1601" t="e">
        <f t="shared" si="341"/>
        <v>#VALUE!</v>
      </c>
      <c r="Y319" s="1601" t="e">
        <f t="shared" si="341"/>
        <v>#VALUE!</v>
      </c>
      <c r="Z319" s="1601" t="e">
        <f t="shared" si="341"/>
        <v>#VALUE!</v>
      </c>
      <c r="AA319" s="1601" t="e">
        <f t="shared" si="341"/>
        <v>#VALUE!</v>
      </c>
      <c r="AB319" s="1601" t="e">
        <f t="shared" si="341"/>
        <v>#VALUE!</v>
      </c>
      <c r="AC319" s="1601" t="e">
        <f t="shared" si="341"/>
        <v>#VALUE!</v>
      </c>
      <c r="AD319" s="1601" t="e">
        <f t="shared" si="341"/>
        <v>#VALUE!</v>
      </c>
      <c r="AE319" s="1601" t="e">
        <f t="shared" si="341"/>
        <v>#VALUE!</v>
      </c>
      <c r="AF319" s="1601" t="e">
        <f t="shared" si="341"/>
        <v>#VALUE!</v>
      </c>
      <c r="AG319" s="1601" t="e">
        <f t="shared" si="341"/>
        <v>#VALUE!</v>
      </c>
      <c r="AH319" s="1601" t="e">
        <f t="shared" si="341"/>
        <v>#VALUE!</v>
      </c>
      <c r="AI319" s="1602" t="e">
        <f t="shared" si="341"/>
        <v>#VALUE!</v>
      </c>
      <c r="AJ319" s="1476"/>
      <c r="AK319" s="1142"/>
      <c r="AL319" s="1142"/>
      <c r="AM319" s="1142"/>
      <c r="AN319" s="1142"/>
      <c r="AO319" s="1207"/>
      <c r="AP319" s="1116"/>
      <c r="AQ319" s="1600" t="e">
        <f t="shared" ref="AQ319:BS319" si="342">IF(AQ305=1,IF(LaunchOrigFY&lt;=AQ113,IF(AQ113=DefExitFY+14,AQ238,AQ233),0),0)</f>
        <v>#VALUE!</v>
      </c>
      <c r="AR319" s="1601" t="e">
        <f t="shared" si="342"/>
        <v>#VALUE!</v>
      </c>
      <c r="AS319" s="1601" t="e">
        <f t="shared" si="342"/>
        <v>#VALUE!</v>
      </c>
      <c r="AT319" s="1601" t="e">
        <f t="shared" si="342"/>
        <v>#VALUE!</v>
      </c>
      <c r="AU319" s="1601" t="e">
        <f t="shared" si="342"/>
        <v>#VALUE!</v>
      </c>
      <c r="AV319" s="1601" t="e">
        <f t="shared" si="342"/>
        <v>#VALUE!</v>
      </c>
      <c r="AW319" s="1601" t="e">
        <f t="shared" si="342"/>
        <v>#VALUE!</v>
      </c>
      <c r="AX319" s="1601" t="e">
        <f t="shared" si="342"/>
        <v>#VALUE!</v>
      </c>
      <c r="AY319" s="1601" t="e">
        <f t="shared" si="342"/>
        <v>#VALUE!</v>
      </c>
      <c r="AZ319" s="1601" t="e">
        <f t="shared" si="342"/>
        <v>#VALUE!</v>
      </c>
      <c r="BA319" s="1601" t="e">
        <f t="shared" si="342"/>
        <v>#VALUE!</v>
      </c>
      <c r="BB319" s="1601" t="e">
        <f t="shared" si="342"/>
        <v>#VALUE!</v>
      </c>
      <c r="BC319" s="1601" t="e">
        <f t="shared" si="342"/>
        <v>#VALUE!</v>
      </c>
      <c r="BD319" s="1601" t="e">
        <f t="shared" si="342"/>
        <v>#VALUE!</v>
      </c>
      <c r="BE319" s="1601" t="e">
        <f t="shared" si="342"/>
        <v>#VALUE!</v>
      </c>
      <c r="BF319" s="1601" t="e">
        <f t="shared" si="342"/>
        <v>#VALUE!</v>
      </c>
      <c r="BG319" s="1601" t="e">
        <f t="shared" si="342"/>
        <v>#VALUE!</v>
      </c>
      <c r="BH319" s="1601" t="e">
        <f t="shared" si="342"/>
        <v>#VALUE!</v>
      </c>
      <c r="BI319" s="1601" t="e">
        <f t="shared" si="342"/>
        <v>#VALUE!</v>
      </c>
      <c r="BJ319" s="1601" t="e">
        <f t="shared" si="342"/>
        <v>#VALUE!</v>
      </c>
      <c r="BK319" s="1601" t="e">
        <f t="shared" si="342"/>
        <v>#VALUE!</v>
      </c>
      <c r="BL319" s="1601" t="e">
        <f t="shared" si="342"/>
        <v>#VALUE!</v>
      </c>
      <c r="BM319" s="1601" t="e">
        <f t="shared" si="342"/>
        <v>#VALUE!</v>
      </c>
      <c r="BN319" s="1601" t="e">
        <f t="shared" si="342"/>
        <v>#VALUE!</v>
      </c>
      <c r="BO319" s="1601" t="e">
        <f t="shared" si="342"/>
        <v>#VALUE!</v>
      </c>
      <c r="BP319" s="1601" t="e">
        <f t="shared" si="342"/>
        <v>#VALUE!</v>
      </c>
      <c r="BQ319" s="1601" t="e">
        <f t="shared" si="342"/>
        <v>#VALUE!</v>
      </c>
      <c r="BR319" s="1601" t="e">
        <f t="shared" si="342"/>
        <v>#VALUE!</v>
      </c>
      <c r="BS319" s="1602" t="e">
        <f t="shared" si="342"/>
        <v>#VALUE!</v>
      </c>
      <c r="BT319" s="1142"/>
      <c r="BU319" s="1478"/>
      <c r="BV319" s="1070"/>
      <c r="BW319" s="1070"/>
    </row>
    <row r="320" spans="1:75" outlineLevel="1" x14ac:dyDescent="0.3">
      <c r="A320" s="1474"/>
      <c r="B320" s="1207"/>
      <c r="C320" s="1625" t="s">
        <v>1397</v>
      </c>
      <c r="D320" s="1226"/>
      <c r="E320" s="1226"/>
      <c r="F320" s="1623"/>
      <c r="G320" s="1607" t="e">
        <f t="shared" ref="G320:J320" si="343">$L$318*G319</f>
        <v>#VALUE!</v>
      </c>
      <c r="H320" s="1608" t="e">
        <f t="shared" si="343"/>
        <v>#VALUE!</v>
      </c>
      <c r="I320" s="1608" t="e">
        <f t="shared" si="343"/>
        <v>#VALUE!</v>
      </c>
      <c r="J320" s="1608" t="e">
        <f t="shared" si="343"/>
        <v>#VALUE!</v>
      </c>
      <c r="K320" s="1608" t="e">
        <f>$L$318*K319</f>
        <v>#VALUE!</v>
      </c>
      <c r="L320" s="1608" t="e">
        <f t="shared" ref="L320:AI320" si="344">$L$318*L319</f>
        <v>#VALUE!</v>
      </c>
      <c r="M320" s="1608" t="e">
        <f t="shared" si="344"/>
        <v>#VALUE!</v>
      </c>
      <c r="N320" s="1608" t="e">
        <f t="shared" si="344"/>
        <v>#VALUE!</v>
      </c>
      <c r="O320" s="1608" t="e">
        <f t="shared" si="344"/>
        <v>#VALUE!</v>
      </c>
      <c r="P320" s="1608" t="e">
        <f t="shared" si="344"/>
        <v>#VALUE!</v>
      </c>
      <c r="Q320" s="1608" t="e">
        <f t="shared" si="344"/>
        <v>#VALUE!</v>
      </c>
      <c r="R320" s="1608" t="e">
        <f t="shared" si="344"/>
        <v>#VALUE!</v>
      </c>
      <c r="S320" s="1608" t="e">
        <f t="shared" si="344"/>
        <v>#VALUE!</v>
      </c>
      <c r="T320" s="1608" t="e">
        <f t="shared" si="344"/>
        <v>#VALUE!</v>
      </c>
      <c r="U320" s="1608" t="e">
        <f t="shared" si="344"/>
        <v>#VALUE!</v>
      </c>
      <c r="V320" s="1608" t="e">
        <f t="shared" si="344"/>
        <v>#VALUE!</v>
      </c>
      <c r="W320" s="1608" t="e">
        <f t="shared" si="344"/>
        <v>#VALUE!</v>
      </c>
      <c r="X320" s="1608" t="e">
        <f t="shared" si="344"/>
        <v>#VALUE!</v>
      </c>
      <c r="Y320" s="1608" t="e">
        <f t="shared" si="344"/>
        <v>#VALUE!</v>
      </c>
      <c r="Z320" s="1608" t="e">
        <f t="shared" si="344"/>
        <v>#VALUE!</v>
      </c>
      <c r="AA320" s="1608" t="e">
        <f t="shared" si="344"/>
        <v>#VALUE!</v>
      </c>
      <c r="AB320" s="1608" t="e">
        <f t="shared" si="344"/>
        <v>#VALUE!</v>
      </c>
      <c r="AC320" s="1608" t="e">
        <f t="shared" si="344"/>
        <v>#VALUE!</v>
      </c>
      <c r="AD320" s="1608" t="e">
        <f t="shared" si="344"/>
        <v>#VALUE!</v>
      </c>
      <c r="AE320" s="1608" t="e">
        <f t="shared" si="344"/>
        <v>#VALUE!</v>
      </c>
      <c r="AF320" s="1608" t="e">
        <f t="shared" si="344"/>
        <v>#VALUE!</v>
      </c>
      <c r="AG320" s="1608" t="e">
        <f t="shared" si="344"/>
        <v>#VALUE!</v>
      </c>
      <c r="AH320" s="1608" t="e">
        <f t="shared" si="344"/>
        <v>#VALUE!</v>
      </c>
      <c r="AI320" s="1609" t="e">
        <f t="shared" si="344"/>
        <v>#VALUE!</v>
      </c>
      <c r="AJ320" s="1476"/>
      <c r="AK320" s="1142"/>
      <c r="AL320" s="1142"/>
      <c r="AM320" s="1142"/>
      <c r="AN320" s="1142"/>
      <c r="AO320" s="1207"/>
      <c r="AP320" s="1116"/>
      <c r="AQ320" s="1607" t="e">
        <f>$AV$318*AQ319</f>
        <v>#VALUE!</v>
      </c>
      <c r="AR320" s="1608" t="e">
        <f t="shared" ref="AR320:BS320" si="345">$AV$318*AR319</f>
        <v>#VALUE!</v>
      </c>
      <c r="AS320" s="1608" t="e">
        <f t="shared" si="345"/>
        <v>#VALUE!</v>
      </c>
      <c r="AT320" s="1608" t="e">
        <f t="shared" si="345"/>
        <v>#VALUE!</v>
      </c>
      <c r="AU320" s="1608" t="e">
        <f t="shared" si="345"/>
        <v>#VALUE!</v>
      </c>
      <c r="AV320" s="1608" t="e">
        <f t="shared" si="345"/>
        <v>#VALUE!</v>
      </c>
      <c r="AW320" s="1608" t="e">
        <f t="shared" si="345"/>
        <v>#VALUE!</v>
      </c>
      <c r="AX320" s="1608" t="e">
        <f t="shared" si="345"/>
        <v>#VALUE!</v>
      </c>
      <c r="AY320" s="1608" t="e">
        <f t="shared" si="345"/>
        <v>#VALUE!</v>
      </c>
      <c r="AZ320" s="1608" t="e">
        <f t="shared" si="345"/>
        <v>#VALUE!</v>
      </c>
      <c r="BA320" s="1608" t="e">
        <f t="shared" si="345"/>
        <v>#VALUE!</v>
      </c>
      <c r="BB320" s="1608" t="e">
        <f t="shared" si="345"/>
        <v>#VALUE!</v>
      </c>
      <c r="BC320" s="1608" t="e">
        <f t="shared" si="345"/>
        <v>#VALUE!</v>
      </c>
      <c r="BD320" s="1608" t="e">
        <f t="shared" si="345"/>
        <v>#VALUE!</v>
      </c>
      <c r="BE320" s="1608" t="e">
        <f t="shared" si="345"/>
        <v>#VALUE!</v>
      </c>
      <c r="BF320" s="1608" t="e">
        <f t="shared" si="345"/>
        <v>#VALUE!</v>
      </c>
      <c r="BG320" s="1608" t="e">
        <f t="shared" si="345"/>
        <v>#VALUE!</v>
      </c>
      <c r="BH320" s="1608" t="e">
        <f t="shared" si="345"/>
        <v>#VALUE!</v>
      </c>
      <c r="BI320" s="1608" t="e">
        <f t="shared" si="345"/>
        <v>#VALUE!</v>
      </c>
      <c r="BJ320" s="1608" t="e">
        <f t="shared" si="345"/>
        <v>#VALUE!</v>
      </c>
      <c r="BK320" s="1608" t="e">
        <f t="shared" si="345"/>
        <v>#VALUE!</v>
      </c>
      <c r="BL320" s="1608" t="e">
        <f t="shared" si="345"/>
        <v>#VALUE!</v>
      </c>
      <c r="BM320" s="1608" t="e">
        <f t="shared" si="345"/>
        <v>#VALUE!</v>
      </c>
      <c r="BN320" s="1608" t="e">
        <f t="shared" si="345"/>
        <v>#VALUE!</v>
      </c>
      <c r="BO320" s="1608" t="e">
        <f t="shared" si="345"/>
        <v>#VALUE!</v>
      </c>
      <c r="BP320" s="1608" t="e">
        <f t="shared" si="345"/>
        <v>#VALUE!</v>
      </c>
      <c r="BQ320" s="1608" t="e">
        <f t="shared" si="345"/>
        <v>#VALUE!</v>
      </c>
      <c r="BR320" s="1608" t="e">
        <f t="shared" si="345"/>
        <v>#VALUE!</v>
      </c>
      <c r="BS320" s="1609" t="e">
        <f t="shared" si="345"/>
        <v>#VALUE!</v>
      </c>
      <c r="BT320" s="1142"/>
      <c r="BU320" s="1478"/>
      <c r="BV320" s="1070"/>
      <c r="BW320" s="1070"/>
    </row>
    <row r="321" spans="1:75" outlineLevel="1" x14ac:dyDescent="0.3">
      <c r="A321" s="1474"/>
      <c r="B321" s="1207"/>
      <c r="C321" s="1116"/>
      <c r="D321" s="1116"/>
      <c r="E321" s="1116"/>
      <c r="F321" s="1116"/>
      <c r="G321" s="1116"/>
      <c r="H321" s="1116"/>
      <c r="I321" s="1116"/>
      <c r="J321" s="1116"/>
      <c r="K321" s="1116"/>
      <c r="L321" s="1116"/>
      <c r="M321" s="1116"/>
      <c r="N321" s="1116"/>
      <c r="O321" s="1116"/>
      <c r="P321" s="1116"/>
      <c r="Q321" s="1116"/>
      <c r="R321" s="1116"/>
      <c r="S321" s="1116"/>
      <c r="T321" s="1116"/>
      <c r="U321" s="1116"/>
      <c r="V321" s="1116"/>
      <c r="W321" s="1116"/>
      <c r="X321" s="1116"/>
      <c r="Y321" s="1116"/>
      <c r="Z321" s="1116"/>
      <c r="AA321" s="1116"/>
      <c r="AB321" s="1116"/>
      <c r="AC321" s="1116"/>
      <c r="AD321" s="1116"/>
      <c r="AE321" s="1116"/>
      <c r="AF321" s="1116"/>
      <c r="AG321" s="1116"/>
      <c r="AH321" s="1116"/>
      <c r="AI321" s="1477"/>
      <c r="AJ321" s="1476"/>
      <c r="AK321" s="1142"/>
      <c r="AL321" s="1142"/>
      <c r="AM321" s="1142"/>
      <c r="AN321" s="1142"/>
      <c r="AO321" s="1207"/>
      <c r="AP321" s="1116"/>
      <c r="AQ321" s="1116"/>
      <c r="AR321" s="1116"/>
      <c r="AS321" s="1116"/>
      <c r="AT321" s="1116"/>
      <c r="AU321" s="1116"/>
      <c r="AV321" s="1116"/>
      <c r="AW321" s="1116"/>
      <c r="AX321" s="1116"/>
      <c r="AY321" s="1116"/>
      <c r="AZ321" s="1116"/>
      <c r="BA321" s="1116"/>
      <c r="BB321" s="1116"/>
      <c r="BC321" s="1116"/>
      <c r="BD321" s="1116"/>
      <c r="BE321" s="1116"/>
      <c r="BF321" s="1116"/>
      <c r="BG321" s="1116"/>
      <c r="BH321" s="1116"/>
      <c r="BI321" s="1116"/>
      <c r="BJ321" s="1116"/>
      <c r="BK321" s="1116"/>
      <c r="BL321" s="1116"/>
      <c r="BM321" s="1116"/>
      <c r="BN321" s="1116"/>
      <c r="BO321" s="1116"/>
      <c r="BP321" s="1116"/>
      <c r="BQ321" s="1116"/>
      <c r="BR321" s="1116"/>
      <c r="BS321" s="1477"/>
      <c r="BT321" s="1142"/>
      <c r="BU321" s="1478"/>
      <c r="BV321" s="1070"/>
      <c r="BW321" s="1070"/>
    </row>
    <row r="322" spans="1:75" outlineLevel="1" x14ac:dyDescent="0.3">
      <c r="A322" s="1474"/>
      <c r="B322" s="1598"/>
      <c r="C322" s="1626" t="s">
        <v>1398</v>
      </c>
      <c r="D322" s="1116"/>
      <c r="E322" s="1116"/>
      <c r="F322" s="1626" t="s">
        <v>1398</v>
      </c>
      <c r="G322" s="1627" t="s">
        <v>1399</v>
      </c>
      <c r="H322" s="1628"/>
      <c r="I322" s="1628"/>
      <c r="J322" s="1628"/>
      <c r="K322" s="1628"/>
      <c r="L322" s="1629"/>
      <c r="M322" s="1629"/>
      <c r="N322" s="1629"/>
      <c r="O322" s="1629"/>
      <c r="P322" s="1629"/>
      <c r="Q322" s="1629"/>
      <c r="R322" s="1628"/>
      <c r="S322" s="1628"/>
      <c r="T322" s="1628"/>
      <c r="U322" s="1628"/>
      <c r="V322" s="1628"/>
      <c r="W322" s="1628"/>
      <c r="X322" s="1628"/>
      <c r="Y322" s="1628"/>
      <c r="Z322" s="1628"/>
      <c r="AA322" s="1628"/>
      <c r="AB322" s="1628"/>
      <c r="AC322" s="1628"/>
      <c r="AD322" s="1628"/>
      <c r="AE322" s="1628"/>
      <c r="AF322" s="1628"/>
      <c r="AG322" s="1628"/>
      <c r="AH322" s="1628"/>
      <c r="AI322" s="1630"/>
      <c r="AJ322" s="1476"/>
      <c r="AK322" s="1142"/>
      <c r="AL322" s="1142"/>
      <c r="AM322" s="1142"/>
      <c r="AN322" s="1142"/>
      <c r="AO322" s="1207"/>
      <c r="AP322" s="1626" t="s">
        <v>1398</v>
      </c>
      <c r="AQ322" s="1627" t="s">
        <v>1399</v>
      </c>
      <c r="AR322" s="1628"/>
      <c r="AS322" s="1628"/>
      <c r="AT322" s="1628"/>
      <c r="AU322" s="1628"/>
      <c r="AV322" s="1629"/>
      <c r="AW322" s="1629"/>
      <c r="AX322" s="1629"/>
      <c r="AY322" s="1629"/>
      <c r="AZ322" s="1629"/>
      <c r="BA322" s="1629"/>
      <c r="BB322" s="1628"/>
      <c r="BC322" s="1628"/>
      <c r="BD322" s="1628"/>
      <c r="BE322" s="1628"/>
      <c r="BF322" s="1628"/>
      <c r="BG322" s="1628"/>
      <c r="BH322" s="1628"/>
      <c r="BI322" s="1628"/>
      <c r="BJ322" s="1628"/>
      <c r="BK322" s="1628"/>
      <c r="BL322" s="1628"/>
      <c r="BM322" s="1628"/>
      <c r="BN322" s="1628"/>
      <c r="BO322" s="1628"/>
      <c r="BP322" s="1628"/>
      <c r="BQ322" s="1628"/>
      <c r="BR322" s="1628"/>
      <c r="BS322" s="1630"/>
      <c r="BT322" s="1142"/>
      <c r="BU322" s="1478"/>
      <c r="BV322" s="1070"/>
      <c r="BW322" s="1070"/>
    </row>
    <row r="323" spans="1:75" outlineLevel="1" x14ac:dyDescent="0.3">
      <c r="A323" s="1474"/>
      <c r="B323" s="1598"/>
      <c r="C323" s="1631" t="s">
        <v>1400</v>
      </c>
      <c r="D323" s="1116"/>
      <c r="E323" s="1116"/>
      <c r="F323" s="1632">
        <v>0</v>
      </c>
      <c r="G323" s="1633" t="e">
        <f>IF(G319=0,0,G$319-G$320+#REF!)</f>
        <v>#VALUE!</v>
      </c>
      <c r="H323" s="1634" t="e">
        <f t="shared" ref="H323:AI323" si="346">IF(H319=0,0,H$319-H$320+G320)</f>
        <v>#VALUE!</v>
      </c>
      <c r="I323" s="1634" t="e">
        <f t="shared" si="346"/>
        <v>#VALUE!</v>
      </c>
      <c r="J323" s="1634" t="e">
        <f t="shared" si="346"/>
        <v>#VALUE!</v>
      </c>
      <c r="K323" s="1634" t="e">
        <f t="shared" si="346"/>
        <v>#VALUE!</v>
      </c>
      <c r="L323" s="1634" t="e">
        <f t="shared" si="346"/>
        <v>#VALUE!</v>
      </c>
      <c r="M323" s="1634" t="e">
        <f t="shared" si="346"/>
        <v>#VALUE!</v>
      </c>
      <c r="N323" s="1634" t="e">
        <f t="shared" si="346"/>
        <v>#VALUE!</v>
      </c>
      <c r="O323" s="1634" t="e">
        <f t="shared" si="346"/>
        <v>#VALUE!</v>
      </c>
      <c r="P323" s="1634" t="e">
        <f t="shared" si="346"/>
        <v>#VALUE!</v>
      </c>
      <c r="Q323" s="1634" t="e">
        <f t="shared" si="346"/>
        <v>#VALUE!</v>
      </c>
      <c r="R323" s="1634" t="e">
        <f t="shared" si="346"/>
        <v>#VALUE!</v>
      </c>
      <c r="S323" s="1634" t="e">
        <f t="shared" si="346"/>
        <v>#VALUE!</v>
      </c>
      <c r="T323" s="1634" t="e">
        <f t="shared" si="346"/>
        <v>#VALUE!</v>
      </c>
      <c r="U323" s="1634" t="e">
        <f t="shared" si="346"/>
        <v>#VALUE!</v>
      </c>
      <c r="V323" s="1634" t="e">
        <f t="shared" si="346"/>
        <v>#VALUE!</v>
      </c>
      <c r="W323" s="1634" t="e">
        <f t="shared" si="346"/>
        <v>#VALUE!</v>
      </c>
      <c r="X323" s="1634" t="e">
        <f t="shared" si="346"/>
        <v>#VALUE!</v>
      </c>
      <c r="Y323" s="1634" t="e">
        <f t="shared" si="346"/>
        <v>#VALUE!</v>
      </c>
      <c r="Z323" s="1634" t="e">
        <f t="shared" si="346"/>
        <v>#VALUE!</v>
      </c>
      <c r="AA323" s="1634" t="e">
        <f t="shared" si="346"/>
        <v>#VALUE!</v>
      </c>
      <c r="AB323" s="1634" t="e">
        <f t="shared" si="346"/>
        <v>#VALUE!</v>
      </c>
      <c r="AC323" s="1634" t="e">
        <f t="shared" si="346"/>
        <v>#VALUE!</v>
      </c>
      <c r="AD323" s="1634" t="e">
        <f t="shared" si="346"/>
        <v>#VALUE!</v>
      </c>
      <c r="AE323" s="1634" t="e">
        <f t="shared" si="346"/>
        <v>#VALUE!</v>
      </c>
      <c r="AF323" s="1634" t="e">
        <f t="shared" si="346"/>
        <v>#VALUE!</v>
      </c>
      <c r="AG323" s="1634" t="e">
        <f t="shared" si="346"/>
        <v>#VALUE!</v>
      </c>
      <c r="AH323" s="1634" t="e">
        <f t="shared" si="346"/>
        <v>#VALUE!</v>
      </c>
      <c r="AI323" s="1635" t="e">
        <f t="shared" si="346"/>
        <v>#VALUE!</v>
      </c>
      <c r="AJ323" s="1476"/>
      <c r="AK323" s="1142"/>
      <c r="AL323" s="1142"/>
      <c r="AM323" s="1142"/>
      <c r="AN323" s="1142"/>
      <c r="AO323" s="1207"/>
      <c r="AP323" s="1632">
        <v>0</v>
      </c>
      <c r="AQ323" s="1633" t="e">
        <f>IF(AQ319=0,0,AQ$319-AQ$320+#REF!)</f>
        <v>#VALUE!</v>
      </c>
      <c r="AR323" s="1634" t="e">
        <f t="shared" ref="AR323:BS323" si="347">IF(AR319=0,0,AR$319-AR$320+AQ320)</f>
        <v>#VALUE!</v>
      </c>
      <c r="AS323" s="1634" t="e">
        <f t="shared" si="347"/>
        <v>#VALUE!</v>
      </c>
      <c r="AT323" s="1634" t="e">
        <f t="shared" si="347"/>
        <v>#VALUE!</v>
      </c>
      <c r="AU323" s="1634" t="e">
        <f t="shared" si="347"/>
        <v>#VALUE!</v>
      </c>
      <c r="AV323" s="1634" t="e">
        <f t="shared" si="347"/>
        <v>#VALUE!</v>
      </c>
      <c r="AW323" s="1634" t="e">
        <f t="shared" si="347"/>
        <v>#VALUE!</v>
      </c>
      <c r="AX323" s="1634" t="e">
        <f t="shared" si="347"/>
        <v>#VALUE!</v>
      </c>
      <c r="AY323" s="1634" t="e">
        <f t="shared" si="347"/>
        <v>#VALUE!</v>
      </c>
      <c r="AZ323" s="1634" t="e">
        <f t="shared" si="347"/>
        <v>#VALUE!</v>
      </c>
      <c r="BA323" s="1634" t="e">
        <f t="shared" si="347"/>
        <v>#VALUE!</v>
      </c>
      <c r="BB323" s="1634" t="e">
        <f t="shared" si="347"/>
        <v>#VALUE!</v>
      </c>
      <c r="BC323" s="1634" t="e">
        <f t="shared" si="347"/>
        <v>#VALUE!</v>
      </c>
      <c r="BD323" s="1634" t="e">
        <f t="shared" si="347"/>
        <v>#VALUE!</v>
      </c>
      <c r="BE323" s="1634" t="e">
        <f t="shared" si="347"/>
        <v>#VALUE!</v>
      </c>
      <c r="BF323" s="1634" t="e">
        <f t="shared" si="347"/>
        <v>#VALUE!</v>
      </c>
      <c r="BG323" s="1634" t="e">
        <f t="shared" si="347"/>
        <v>#VALUE!</v>
      </c>
      <c r="BH323" s="1634" t="e">
        <f t="shared" si="347"/>
        <v>#VALUE!</v>
      </c>
      <c r="BI323" s="1634" t="e">
        <f t="shared" si="347"/>
        <v>#VALUE!</v>
      </c>
      <c r="BJ323" s="1634" t="e">
        <f t="shared" si="347"/>
        <v>#VALUE!</v>
      </c>
      <c r="BK323" s="1634" t="e">
        <f t="shared" si="347"/>
        <v>#VALUE!</v>
      </c>
      <c r="BL323" s="1634" t="e">
        <f t="shared" si="347"/>
        <v>#VALUE!</v>
      </c>
      <c r="BM323" s="1634" t="e">
        <f t="shared" si="347"/>
        <v>#VALUE!</v>
      </c>
      <c r="BN323" s="1634" t="e">
        <f t="shared" si="347"/>
        <v>#VALUE!</v>
      </c>
      <c r="BO323" s="1634" t="e">
        <f t="shared" si="347"/>
        <v>#VALUE!</v>
      </c>
      <c r="BP323" s="1634" t="e">
        <f t="shared" si="347"/>
        <v>#VALUE!</v>
      </c>
      <c r="BQ323" s="1634" t="e">
        <f t="shared" si="347"/>
        <v>#VALUE!</v>
      </c>
      <c r="BR323" s="1634" t="e">
        <f t="shared" si="347"/>
        <v>#VALUE!</v>
      </c>
      <c r="BS323" s="1635" t="e">
        <f t="shared" si="347"/>
        <v>#VALUE!</v>
      </c>
      <c r="BT323" s="1142"/>
      <c r="BU323" s="1478"/>
      <c r="BV323" s="1070"/>
      <c r="BW323" s="1070"/>
    </row>
    <row r="324" spans="1:75" outlineLevel="1" x14ac:dyDescent="0.3">
      <c r="A324" s="1474"/>
      <c r="B324" s="1598"/>
      <c r="C324" s="1636" t="s">
        <v>1401</v>
      </c>
      <c r="D324" s="1116"/>
      <c r="E324" s="1116"/>
      <c r="F324" s="1637">
        <v>1</v>
      </c>
      <c r="G324" s="1610" t="e">
        <f>IF(G$319=0,0,IF($J$318=1,0,0))</f>
        <v>#VALUE!</v>
      </c>
      <c r="H324" s="1610" t="e">
        <f>IF(H$319=0,0,IF($J$318=1,G$319,G$319-G$320))</f>
        <v>#VALUE!</v>
      </c>
      <c r="I324" s="1610" t="e">
        <f t="shared" ref="I324:AI324" si="348">IF(I$319=0,0,IF($J$318=1,H$319,H$319-H$320+G$320))</f>
        <v>#VALUE!</v>
      </c>
      <c r="J324" s="1610" t="e">
        <f t="shared" si="348"/>
        <v>#VALUE!</v>
      </c>
      <c r="K324" s="1610" t="e">
        <f t="shared" si="348"/>
        <v>#VALUE!</v>
      </c>
      <c r="L324" s="1610" t="e">
        <f t="shared" si="348"/>
        <v>#VALUE!</v>
      </c>
      <c r="M324" s="1610" t="e">
        <f t="shared" si="348"/>
        <v>#VALUE!</v>
      </c>
      <c r="N324" s="1610" t="e">
        <f t="shared" si="348"/>
        <v>#VALUE!</v>
      </c>
      <c r="O324" s="1610" t="e">
        <f t="shared" si="348"/>
        <v>#VALUE!</v>
      </c>
      <c r="P324" s="1610" t="e">
        <f t="shared" si="348"/>
        <v>#VALUE!</v>
      </c>
      <c r="Q324" s="1610" t="e">
        <f t="shared" si="348"/>
        <v>#VALUE!</v>
      </c>
      <c r="R324" s="1610" t="e">
        <f t="shared" si="348"/>
        <v>#VALUE!</v>
      </c>
      <c r="S324" s="1610" t="e">
        <f t="shared" si="348"/>
        <v>#VALUE!</v>
      </c>
      <c r="T324" s="1610" t="e">
        <f t="shared" si="348"/>
        <v>#VALUE!</v>
      </c>
      <c r="U324" s="1610" t="e">
        <f t="shared" si="348"/>
        <v>#VALUE!</v>
      </c>
      <c r="V324" s="1610" t="e">
        <f t="shared" si="348"/>
        <v>#VALUE!</v>
      </c>
      <c r="W324" s="1610" t="e">
        <f t="shared" si="348"/>
        <v>#VALUE!</v>
      </c>
      <c r="X324" s="1610" t="e">
        <f t="shared" si="348"/>
        <v>#VALUE!</v>
      </c>
      <c r="Y324" s="1610" t="e">
        <f t="shared" si="348"/>
        <v>#VALUE!</v>
      </c>
      <c r="Z324" s="1610" t="e">
        <f t="shared" si="348"/>
        <v>#VALUE!</v>
      </c>
      <c r="AA324" s="1610" t="e">
        <f t="shared" si="348"/>
        <v>#VALUE!</v>
      </c>
      <c r="AB324" s="1610" t="e">
        <f t="shared" si="348"/>
        <v>#VALUE!</v>
      </c>
      <c r="AC324" s="1610" t="e">
        <f t="shared" si="348"/>
        <v>#VALUE!</v>
      </c>
      <c r="AD324" s="1610" t="e">
        <f t="shared" si="348"/>
        <v>#VALUE!</v>
      </c>
      <c r="AE324" s="1610" t="e">
        <f t="shared" si="348"/>
        <v>#VALUE!</v>
      </c>
      <c r="AF324" s="1610" t="e">
        <f t="shared" si="348"/>
        <v>#VALUE!</v>
      </c>
      <c r="AG324" s="1610" t="e">
        <f t="shared" si="348"/>
        <v>#VALUE!</v>
      </c>
      <c r="AH324" s="1610" t="e">
        <f t="shared" si="348"/>
        <v>#VALUE!</v>
      </c>
      <c r="AI324" s="1638" t="e">
        <f t="shared" si="348"/>
        <v>#VALUE!</v>
      </c>
      <c r="AJ324" s="1476"/>
      <c r="AK324" s="1142"/>
      <c r="AL324" s="1142"/>
      <c r="AM324" s="1142"/>
      <c r="AN324" s="1142"/>
      <c r="AO324" s="1207"/>
      <c r="AP324" s="1637">
        <v>1</v>
      </c>
      <c r="AQ324" s="1610" t="e">
        <f>IF(AQ$319=0,0,IF($AT$318=1,0,0))</f>
        <v>#VALUE!</v>
      </c>
      <c r="AR324" s="1610" t="e">
        <f>IF(AR$319=0,0,IF($AT$318=1,AQ$319,AQ$319-AQ$320))</f>
        <v>#VALUE!</v>
      </c>
      <c r="AS324" s="1610" t="e">
        <f t="shared" ref="AS324:BS324" si="349">IF(AS$319=0,0,IF($AT$318=1,AR$319,AR$319-AR$320+AQ$320))</f>
        <v>#VALUE!</v>
      </c>
      <c r="AT324" s="1610" t="e">
        <f t="shared" si="349"/>
        <v>#VALUE!</v>
      </c>
      <c r="AU324" s="1610" t="e">
        <f t="shared" si="349"/>
        <v>#VALUE!</v>
      </c>
      <c r="AV324" s="1610" t="e">
        <f t="shared" si="349"/>
        <v>#VALUE!</v>
      </c>
      <c r="AW324" s="1610" t="e">
        <f t="shared" si="349"/>
        <v>#VALUE!</v>
      </c>
      <c r="AX324" s="1610" t="e">
        <f t="shared" si="349"/>
        <v>#VALUE!</v>
      </c>
      <c r="AY324" s="1610" t="e">
        <f t="shared" si="349"/>
        <v>#VALUE!</v>
      </c>
      <c r="AZ324" s="1610" t="e">
        <f t="shared" si="349"/>
        <v>#VALUE!</v>
      </c>
      <c r="BA324" s="1610" t="e">
        <f t="shared" si="349"/>
        <v>#VALUE!</v>
      </c>
      <c r="BB324" s="1610" t="e">
        <f t="shared" si="349"/>
        <v>#VALUE!</v>
      </c>
      <c r="BC324" s="1610" t="e">
        <f t="shared" si="349"/>
        <v>#VALUE!</v>
      </c>
      <c r="BD324" s="1610" t="e">
        <f t="shared" si="349"/>
        <v>#VALUE!</v>
      </c>
      <c r="BE324" s="1610" t="e">
        <f t="shared" si="349"/>
        <v>#VALUE!</v>
      </c>
      <c r="BF324" s="1610" t="e">
        <f t="shared" si="349"/>
        <v>#VALUE!</v>
      </c>
      <c r="BG324" s="1610" t="e">
        <f t="shared" si="349"/>
        <v>#VALUE!</v>
      </c>
      <c r="BH324" s="1610" t="e">
        <f t="shared" si="349"/>
        <v>#VALUE!</v>
      </c>
      <c r="BI324" s="1610" t="e">
        <f t="shared" si="349"/>
        <v>#VALUE!</v>
      </c>
      <c r="BJ324" s="1610" t="e">
        <f t="shared" si="349"/>
        <v>#VALUE!</v>
      </c>
      <c r="BK324" s="1610" t="e">
        <f t="shared" si="349"/>
        <v>#VALUE!</v>
      </c>
      <c r="BL324" s="1610" t="e">
        <f t="shared" si="349"/>
        <v>#VALUE!</v>
      </c>
      <c r="BM324" s="1610" t="e">
        <f t="shared" si="349"/>
        <v>#VALUE!</v>
      </c>
      <c r="BN324" s="1610" t="e">
        <f t="shared" si="349"/>
        <v>#VALUE!</v>
      </c>
      <c r="BO324" s="1610" t="e">
        <f t="shared" si="349"/>
        <v>#VALUE!</v>
      </c>
      <c r="BP324" s="1610" t="e">
        <f t="shared" si="349"/>
        <v>#VALUE!</v>
      </c>
      <c r="BQ324" s="1610" t="e">
        <f t="shared" si="349"/>
        <v>#VALUE!</v>
      </c>
      <c r="BR324" s="1610" t="e">
        <f t="shared" si="349"/>
        <v>#VALUE!</v>
      </c>
      <c r="BS324" s="1638" t="e">
        <f t="shared" si="349"/>
        <v>#VALUE!</v>
      </c>
      <c r="BT324" s="1142"/>
      <c r="BU324" s="1478"/>
      <c r="BV324" s="1070"/>
      <c r="BW324" s="1070"/>
    </row>
    <row r="325" spans="1:75" outlineLevel="1" x14ac:dyDescent="0.3">
      <c r="A325" s="1474"/>
      <c r="B325" s="1598"/>
      <c r="C325" s="1636" t="s">
        <v>1402</v>
      </c>
      <c r="D325" s="1116"/>
      <c r="E325" s="1116"/>
      <c r="F325" s="1637">
        <v>2</v>
      </c>
      <c r="G325" s="1610" t="e">
        <f>IF(G$319=0,0,IF($J$318=2,0,0))</f>
        <v>#VALUE!</v>
      </c>
      <c r="H325" s="1610" t="e">
        <f>IF(H$319=0,0,IF($J$318=2,0,0))</f>
        <v>#VALUE!</v>
      </c>
      <c r="I325" s="1610" t="e">
        <f>IF(I$319=0,0,IF($J$318=2,G$319,G$319-G$320))</f>
        <v>#VALUE!</v>
      </c>
      <c r="J325" s="1610" t="e">
        <f t="shared" ref="J325:AI325" si="350">IF(J$319=0,0,IF($J$318=2,H$319,H$319-H$320+G$320))</f>
        <v>#VALUE!</v>
      </c>
      <c r="K325" s="1610" t="e">
        <f t="shared" si="350"/>
        <v>#VALUE!</v>
      </c>
      <c r="L325" s="1610" t="e">
        <f t="shared" si="350"/>
        <v>#VALUE!</v>
      </c>
      <c r="M325" s="1610" t="e">
        <f t="shared" si="350"/>
        <v>#VALUE!</v>
      </c>
      <c r="N325" s="1610" t="e">
        <f t="shared" si="350"/>
        <v>#VALUE!</v>
      </c>
      <c r="O325" s="1610" t="e">
        <f t="shared" si="350"/>
        <v>#VALUE!</v>
      </c>
      <c r="P325" s="1610" t="e">
        <f t="shared" si="350"/>
        <v>#VALUE!</v>
      </c>
      <c r="Q325" s="1610" t="e">
        <f t="shared" si="350"/>
        <v>#VALUE!</v>
      </c>
      <c r="R325" s="1610" t="e">
        <f t="shared" si="350"/>
        <v>#VALUE!</v>
      </c>
      <c r="S325" s="1610" t="e">
        <f t="shared" si="350"/>
        <v>#VALUE!</v>
      </c>
      <c r="T325" s="1610" t="e">
        <f t="shared" si="350"/>
        <v>#VALUE!</v>
      </c>
      <c r="U325" s="1610" t="e">
        <f t="shared" si="350"/>
        <v>#VALUE!</v>
      </c>
      <c r="V325" s="1610" t="e">
        <f t="shared" si="350"/>
        <v>#VALUE!</v>
      </c>
      <c r="W325" s="1610" t="e">
        <f t="shared" si="350"/>
        <v>#VALUE!</v>
      </c>
      <c r="X325" s="1610" t="e">
        <f t="shared" si="350"/>
        <v>#VALUE!</v>
      </c>
      <c r="Y325" s="1610" t="e">
        <f t="shared" si="350"/>
        <v>#VALUE!</v>
      </c>
      <c r="Z325" s="1610" t="e">
        <f t="shared" si="350"/>
        <v>#VALUE!</v>
      </c>
      <c r="AA325" s="1610" t="e">
        <f t="shared" si="350"/>
        <v>#VALUE!</v>
      </c>
      <c r="AB325" s="1610" t="e">
        <f t="shared" si="350"/>
        <v>#VALUE!</v>
      </c>
      <c r="AC325" s="1610" t="e">
        <f t="shared" si="350"/>
        <v>#VALUE!</v>
      </c>
      <c r="AD325" s="1610" t="e">
        <f t="shared" si="350"/>
        <v>#VALUE!</v>
      </c>
      <c r="AE325" s="1610" t="e">
        <f t="shared" si="350"/>
        <v>#VALUE!</v>
      </c>
      <c r="AF325" s="1610" t="e">
        <f t="shared" si="350"/>
        <v>#VALUE!</v>
      </c>
      <c r="AG325" s="1610" t="e">
        <f t="shared" si="350"/>
        <v>#VALUE!</v>
      </c>
      <c r="AH325" s="1610" t="e">
        <f t="shared" si="350"/>
        <v>#VALUE!</v>
      </c>
      <c r="AI325" s="1638" t="e">
        <f t="shared" si="350"/>
        <v>#VALUE!</v>
      </c>
      <c r="AJ325" s="1476"/>
      <c r="AK325" s="1142"/>
      <c r="AL325" s="1142"/>
      <c r="AM325" s="1142"/>
      <c r="AN325" s="1142"/>
      <c r="AO325" s="1207"/>
      <c r="AP325" s="1637">
        <v>2</v>
      </c>
      <c r="AQ325" s="1610" t="e">
        <f>IF(AQ$319=0,0,IF($AT$318=2,0,0))</f>
        <v>#VALUE!</v>
      </c>
      <c r="AR325" s="1610" t="e">
        <f>IF(AR$319=0,0,IF($AT$318=2,0,0))</f>
        <v>#VALUE!</v>
      </c>
      <c r="AS325" s="1610" t="e">
        <f>IF(AS$319=0,0,IF($AT$318=2,AQ$319,AQ$319-AQ$320))</f>
        <v>#VALUE!</v>
      </c>
      <c r="AT325" s="1610" t="e">
        <f t="shared" ref="AT325:BS325" si="351">IF(AT$319=0,0,IF($AT$318=2,AR$319,AR$319-AR$320+AQ$320))</f>
        <v>#VALUE!</v>
      </c>
      <c r="AU325" s="1610" t="e">
        <f t="shared" si="351"/>
        <v>#VALUE!</v>
      </c>
      <c r="AV325" s="1610" t="e">
        <f t="shared" si="351"/>
        <v>#VALUE!</v>
      </c>
      <c r="AW325" s="1610" t="e">
        <f t="shared" si="351"/>
        <v>#VALUE!</v>
      </c>
      <c r="AX325" s="1610" t="e">
        <f t="shared" si="351"/>
        <v>#VALUE!</v>
      </c>
      <c r="AY325" s="1610" t="e">
        <f t="shared" si="351"/>
        <v>#VALUE!</v>
      </c>
      <c r="AZ325" s="1610" t="e">
        <f t="shared" si="351"/>
        <v>#VALUE!</v>
      </c>
      <c r="BA325" s="1610" t="e">
        <f t="shared" si="351"/>
        <v>#VALUE!</v>
      </c>
      <c r="BB325" s="1610" t="e">
        <f t="shared" si="351"/>
        <v>#VALUE!</v>
      </c>
      <c r="BC325" s="1610" t="e">
        <f t="shared" si="351"/>
        <v>#VALUE!</v>
      </c>
      <c r="BD325" s="1610" t="e">
        <f t="shared" si="351"/>
        <v>#VALUE!</v>
      </c>
      <c r="BE325" s="1610" t="e">
        <f t="shared" si="351"/>
        <v>#VALUE!</v>
      </c>
      <c r="BF325" s="1610" t="e">
        <f t="shared" si="351"/>
        <v>#VALUE!</v>
      </c>
      <c r="BG325" s="1610" t="e">
        <f t="shared" si="351"/>
        <v>#VALUE!</v>
      </c>
      <c r="BH325" s="1610" t="e">
        <f t="shared" si="351"/>
        <v>#VALUE!</v>
      </c>
      <c r="BI325" s="1610" t="e">
        <f t="shared" si="351"/>
        <v>#VALUE!</v>
      </c>
      <c r="BJ325" s="1610" t="e">
        <f t="shared" si="351"/>
        <v>#VALUE!</v>
      </c>
      <c r="BK325" s="1610" t="e">
        <f t="shared" si="351"/>
        <v>#VALUE!</v>
      </c>
      <c r="BL325" s="1610" t="e">
        <f t="shared" si="351"/>
        <v>#VALUE!</v>
      </c>
      <c r="BM325" s="1610" t="e">
        <f t="shared" si="351"/>
        <v>#VALUE!</v>
      </c>
      <c r="BN325" s="1610" t="e">
        <f t="shared" si="351"/>
        <v>#VALUE!</v>
      </c>
      <c r="BO325" s="1610" t="e">
        <f t="shared" si="351"/>
        <v>#VALUE!</v>
      </c>
      <c r="BP325" s="1610" t="e">
        <f t="shared" si="351"/>
        <v>#VALUE!</v>
      </c>
      <c r="BQ325" s="1610" t="e">
        <f t="shared" si="351"/>
        <v>#VALUE!</v>
      </c>
      <c r="BR325" s="1610" t="e">
        <f t="shared" si="351"/>
        <v>#VALUE!</v>
      </c>
      <c r="BS325" s="1638" t="e">
        <f t="shared" si="351"/>
        <v>#VALUE!</v>
      </c>
      <c r="BT325" s="1142"/>
      <c r="BU325" s="1478"/>
      <c r="BV325" s="1070"/>
      <c r="BW325" s="1070"/>
    </row>
    <row r="326" spans="1:75" outlineLevel="1" x14ac:dyDescent="0.3">
      <c r="A326" s="1474"/>
      <c r="B326" s="1598"/>
      <c r="C326" s="1636" t="s">
        <v>1403</v>
      </c>
      <c r="D326" s="1116"/>
      <c r="E326" s="1116"/>
      <c r="F326" s="1637">
        <v>3</v>
      </c>
      <c r="G326" s="1610" t="e">
        <f>IF(G$319=0,0,IF($J$318=3,0,0))</f>
        <v>#VALUE!</v>
      </c>
      <c r="H326" s="1610" t="e">
        <f>IF(H$319=0,0,IF($J$318=3,0,0))</f>
        <v>#VALUE!</v>
      </c>
      <c r="I326" s="1610" t="e">
        <f>IF(I$319=0,0,IF($J$318=3,0,0))</f>
        <v>#VALUE!</v>
      </c>
      <c r="J326" s="1610" t="e">
        <f>IF(J$319=0,0,IF($J$318=3,G$319,G$319-G$320))</f>
        <v>#VALUE!</v>
      </c>
      <c r="K326" s="1610" t="e">
        <f t="shared" ref="K326:AI326" si="352">IF(K$319=0,0,IF($J$318=3,H$319,H$319-H$320+G$320))</f>
        <v>#VALUE!</v>
      </c>
      <c r="L326" s="1610" t="e">
        <f t="shared" si="352"/>
        <v>#VALUE!</v>
      </c>
      <c r="M326" s="1610" t="e">
        <f t="shared" si="352"/>
        <v>#VALUE!</v>
      </c>
      <c r="N326" s="1610" t="e">
        <f t="shared" si="352"/>
        <v>#VALUE!</v>
      </c>
      <c r="O326" s="1610" t="e">
        <f t="shared" si="352"/>
        <v>#VALUE!</v>
      </c>
      <c r="P326" s="1610" t="e">
        <f t="shared" si="352"/>
        <v>#VALUE!</v>
      </c>
      <c r="Q326" s="1610" t="e">
        <f t="shared" si="352"/>
        <v>#VALUE!</v>
      </c>
      <c r="R326" s="1610" t="e">
        <f t="shared" si="352"/>
        <v>#VALUE!</v>
      </c>
      <c r="S326" s="1610" t="e">
        <f t="shared" si="352"/>
        <v>#VALUE!</v>
      </c>
      <c r="T326" s="1610" t="e">
        <f t="shared" si="352"/>
        <v>#VALUE!</v>
      </c>
      <c r="U326" s="1610" t="e">
        <f t="shared" si="352"/>
        <v>#VALUE!</v>
      </c>
      <c r="V326" s="1610" t="e">
        <f t="shared" si="352"/>
        <v>#VALUE!</v>
      </c>
      <c r="W326" s="1610" t="e">
        <f t="shared" si="352"/>
        <v>#VALUE!</v>
      </c>
      <c r="X326" s="1610" t="e">
        <f t="shared" si="352"/>
        <v>#VALUE!</v>
      </c>
      <c r="Y326" s="1610" t="e">
        <f t="shared" si="352"/>
        <v>#VALUE!</v>
      </c>
      <c r="Z326" s="1610" t="e">
        <f t="shared" si="352"/>
        <v>#VALUE!</v>
      </c>
      <c r="AA326" s="1610" t="e">
        <f t="shared" si="352"/>
        <v>#VALUE!</v>
      </c>
      <c r="AB326" s="1610" t="e">
        <f t="shared" si="352"/>
        <v>#VALUE!</v>
      </c>
      <c r="AC326" s="1610" t="e">
        <f t="shared" si="352"/>
        <v>#VALUE!</v>
      </c>
      <c r="AD326" s="1610" t="e">
        <f t="shared" si="352"/>
        <v>#VALUE!</v>
      </c>
      <c r="AE326" s="1610" t="e">
        <f t="shared" si="352"/>
        <v>#VALUE!</v>
      </c>
      <c r="AF326" s="1610" t="e">
        <f t="shared" si="352"/>
        <v>#VALUE!</v>
      </c>
      <c r="AG326" s="1610" t="e">
        <f t="shared" si="352"/>
        <v>#VALUE!</v>
      </c>
      <c r="AH326" s="1610" t="e">
        <f t="shared" si="352"/>
        <v>#VALUE!</v>
      </c>
      <c r="AI326" s="1638" t="e">
        <f t="shared" si="352"/>
        <v>#VALUE!</v>
      </c>
      <c r="AJ326" s="1476"/>
      <c r="AK326" s="1142"/>
      <c r="AL326" s="1142"/>
      <c r="AM326" s="1142"/>
      <c r="AN326" s="1142"/>
      <c r="AO326" s="1207"/>
      <c r="AP326" s="1637">
        <v>3</v>
      </c>
      <c r="AQ326" s="1610" t="e">
        <f>IF(AQ$319=0,0,IF($AT$318=3,0,0))</f>
        <v>#VALUE!</v>
      </c>
      <c r="AR326" s="1610" t="e">
        <f>IF(AR$319=0,0,IF($AT$318=3,0,0))</f>
        <v>#VALUE!</v>
      </c>
      <c r="AS326" s="1610" t="e">
        <f>IF(AS$319=0,0,IF($AT$318=3,0,0))</f>
        <v>#VALUE!</v>
      </c>
      <c r="AT326" s="1610" t="e">
        <f>IF(AT$319=0,0,IF($AT$318=3,AQ$319,AQ$319-AQ$320))</f>
        <v>#VALUE!</v>
      </c>
      <c r="AU326" s="1610" t="e">
        <f t="shared" ref="AU326:BS326" si="353">IF(AU$319=0,0,IF($AT$318=3,AR$319,AR$319-AR$320+AQ$320))</f>
        <v>#VALUE!</v>
      </c>
      <c r="AV326" s="1610" t="e">
        <f t="shared" si="353"/>
        <v>#VALUE!</v>
      </c>
      <c r="AW326" s="1610" t="e">
        <f t="shared" si="353"/>
        <v>#VALUE!</v>
      </c>
      <c r="AX326" s="1610" t="e">
        <f t="shared" si="353"/>
        <v>#VALUE!</v>
      </c>
      <c r="AY326" s="1610" t="e">
        <f t="shared" si="353"/>
        <v>#VALUE!</v>
      </c>
      <c r="AZ326" s="1610" t="e">
        <f t="shared" si="353"/>
        <v>#VALUE!</v>
      </c>
      <c r="BA326" s="1610" t="e">
        <f t="shared" si="353"/>
        <v>#VALUE!</v>
      </c>
      <c r="BB326" s="1610" t="e">
        <f t="shared" si="353"/>
        <v>#VALUE!</v>
      </c>
      <c r="BC326" s="1610" t="e">
        <f t="shared" si="353"/>
        <v>#VALUE!</v>
      </c>
      <c r="BD326" s="1610" t="e">
        <f t="shared" si="353"/>
        <v>#VALUE!</v>
      </c>
      <c r="BE326" s="1610" t="e">
        <f t="shared" si="353"/>
        <v>#VALUE!</v>
      </c>
      <c r="BF326" s="1610" t="e">
        <f t="shared" si="353"/>
        <v>#VALUE!</v>
      </c>
      <c r="BG326" s="1610" t="e">
        <f t="shared" si="353"/>
        <v>#VALUE!</v>
      </c>
      <c r="BH326" s="1610" t="e">
        <f t="shared" si="353"/>
        <v>#VALUE!</v>
      </c>
      <c r="BI326" s="1610" t="e">
        <f t="shared" si="353"/>
        <v>#VALUE!</v>
      </c>
      <c r="BJ326" s="1610" t="e">
        <f t="shared" si="353"/>
        <v>#VALUE!</v>
      </c>
      <c r="BK326" s="1610" t="e">
        <f t="shared" si="353"/>
        <v>#VALUE!</v>
      </c>
      <c r="BL326" s="1610" t="e">
        <f t="shared" si="353"/>
        <v>#VALUE!</v>
      </c>
      <c r="BM326" s="1610" t="e">
        <f t="shared" si="353"/>
        <v>#VALUE!</v>
      </c>
      <c r="BN326" s="1610" t="e">
        <f t="shared" si="353"/>
        <v>#VALUE!</v>
      </c>
      <c r="BO326" s="1610" t="e">
        <f t="shared" si="353"/>
        <v>#VALUE!</v>
      </c>
      <c r="BP326" s="1610" t="e">
        <f t="shared" si="353"/>
        <v>#VALUE!</v>
      </c>
      <c r="BQ326" s="1610" t="e">
        <f t="shared" si="353"/>
        <v>#VALUE!</v>
      </c>
      <c r="BR326" s="1610" t="e">
        <f t="shared" si="353"/>
        <v>#VALUE!</v>
      </c>
      <c r="BS326" s="1638" t="e">
        <f t="shared" si="353"/>
        <v>#VALUE!</v>
      </c>
      <c r="BT326" s="1142"/>
      <c r="BU326" s="1478"/>
      <c r="BV326" s="1070"/>
      <c r="BW326" s="1070"/>
    </row>
    <row r="327" spans="1:75" outlineLevel="1" x14ac:dyDescent="0.3">
      <c r="A327" s="1474"/>
      <c r="B327" s="1598"/>
      <c r="C327" s="1639" t="s">
        <v>1404</v>
      </c>
      <c r="D327" s="1116"/>
      <c r="E327" s="1116"/>
      <c r="F327" s="1640">
        <v>4</v>
      </c>
      <c r="G327" s="1641" t="e">
        <f t="shared" ref="G327:I327" si="354">IF(G$319=0,0,IF($J$318=4,0,0))</f>
        <v>#VALUE!</v>
      </c>
      <c r="H327" s="1641" t="e">
        <f t="shared" si="354"/>
        <v>#VALUE!</v>
      </c>
      <c r="I327" s="1641" t="e">
        <f t="shared" si="354"/>
        <v>#VALUE!</v>
      </c>
      <c r="J327" s="1641" t="e">
        <f>IF(J$319=0,0,IF($J$318=4,0,0))</f>
        <v>#VALUE!</v>
      </c>
      <c r="K327" s="1641" t="e">
        <f>IF(K$319=0,0,IF($J$318=4,G$319,G$319-G$320))</f>
        <v>#VALUE!</v>
      </c>
      <c r="L327" s="1641" t="e">
        <f t="shared" ref="L327:AI327" si="355">IF(L$319=0,0,IF($J$318=4,H$319,H$319-H$320+G$320))</f>
        <v>#VALUE!</v>
      </c>
      <c r="M327" s="1641" t="e">
        <f t="shared" si="355"/>
        <v>#VALUE!</v>
      </c>
      <c r="N327" s="1641" t="e">
        <f t="shared" si="355"/>
        <v>#VALUE!</v>
      </c>
      <c r="O327" s="1641" t="e">
        <f t="shared" si="355"/>
        <v>#VALUE!</v>
      </c>
      <c r="P327" s="1641" t="e">
        <f t="shared" si="355"/>
        <v>#VALUE!</v>
      </c>
      <c r="Q327" s="1641" t="e">
        <f t="shared" si="355"/>
        <v>#VALUE!</v>
      </c>
      <c r="R327" s="1641" t="e">
        <f t="shared" si="355"/>
        <v>#VALUE!</v>
      </c>
      <c r="S327" s="1641" t="e">
        <f t="shared" si="355"/>
        <v>#VALUE!</v>
      </c>
      <c r="T327" s="1641" t="e">
        <f t="shared" si="355"/>
        <v>#VALUE!</v>
      </c>
      <c r="U327" s="1641" t="e">
        <f t="shared" si="355"/>
        <v>#VALUE!</v>
      </c>
      <c r="V327" s="1641" t="e">
        <f t="shared" si="355"/>
        <v>#VALUE!</v>
      </c>
      <c r="W327" s="1641" t="e">
        <f t="shared" si="355"/>
        <v>#VALUE!</v>
      </c>
      <c r="X327" s="1641" t="e">
        <f t="shared" si="355"/>
        <v>#VALUE!</v>
      </c>
      <c r="Y327" s="1641" t="e">
        <f t="shared" si="355"/>
        <v>#VALUE!</v>
      </c>
      <c r="Z327" s="1641" t="e">
        <f t="shared" si="355"/>
        <v>#VALUE!</v>
      </c>
      <c r="AA327" s="1641" t="e">
        <f t="shared" si="355"/>
        <v>#VALUE!</v>
      </c>
      <c r="AB327" s="1641" t="e">
        <f t="shared" si="355"/>
        <v>#VALUE!</v>
      </c>
      <c r="AC327" s="1641" t="e">
        <f t="shared" si="355"/>
        <v>#VALUE!</v>
      </c>
      <c r="AD327" s="1641" t="e">
        <f t="shared" si="355"/>
        <v>#VALUE!</v>
      </c>
      <c r="AE327" s="1641" t="e">
        <f t="shared" si="355"/>
        <v>#VALUE!</v>
      </c>
      <c r="AF327" s="1641" t="e">
        <f t="shared" si="355"/>
        <v>#VALUE!</v>
      </c>
      <c r="AG327" s="1641" t="e">
        <f t="shared" si="355"/>
        <v>#VALUE!</v>
      </c>
      <c r="AH327" s="1641" t="e">
        <f t="shared" si="355"/>
        <v>#VALUE!</v>
      </c>
      <c r="AI327" s="1642" t="e">
        <f t="shared" si="355"/>
        <v>#VALUE!</v>
      </c>
      <c r="AJ327" s="1476"/>
      <c r="AK327" s="1142"/>
      <c r="AL327" s="1142"/>
      <c r="AM327" s="1142"/>
      <c r="AN327" s="1142"/>
      <c r="AO327" s="1207"/>
      <c r="AP327" s="1640">
        <v>4</v>
      </c>
      <c r="AQ327" s="1641" t="e">
        <f>IF(AQ$319=0,0,IF($AT$318=4,0,0))</f>
        <v>#VALUE!</v>
      </c>
      <c r="AR327" s="1641" t="e">
        <f>IF(AR$319=0,0,IF($AT$318=4,0,0))</f>
        <v>#VALUE!</v>
      </c>
      <c r="AS327" s="1641" t="e">
        <f>IF(AS$319=0,0,IF($AT$318=4,0,0))</f>
        <v>#VALUE!</v>
      </c>
      <c r="AT327" s="1641" t="e">
        <f>IF(AT$319=0,0,IF($AT$318=4,0,0))</f>
        <v>#VALUE!</v>
      </c>
      <c r="AU327" s="1641" t="e">
        <f>IF(AU$319=0,0,IF($AT$318=4,AQ$319,AQ$319-AQ$320))</f>
        <v>#VALUE!</v>
      </c>
      <c r="AV327" s="1641" t="e">
        <f t="shared" ref="AV327:BS327" si="356">IF(AV$319=0,0,IF($AT$318=4,AR$319,AR$319-AR$320+AQ$320))</f>
        <v>#VALUE!</v>
      </c>
      <c r="AW327" s="1641" t="e">
        <f t="shared" si="356"/>
        <v>#VALUE!</v>
      </c>
      <c r="AX327" s="1641" t="e">
        <f t="shared" si="356"/>
        <v>#VALUE!</v>
      </c>
      <c r="AY327" s="1641" t="e">
        <f t="shared" si="356"/>
        <v>#VALUE!</v>
      </c>
      <c r="AZ327" s="1641" t="e">
        <f t="shared" si="356"/>
        <v>#VALUE!</v>
      </c>
      <c r="BA327" s="1641" t="e">
        <f t="shared" si="356"/>
        <v>#VALUE!</v>
      </c>
      <c r="BB327" s="1641" t="e">
        <f t="shared" si="356"/>
        <v>#VALUE!</v>
      </c>
      <c r="BC327" s="1641" t="e">
        <f t="shared" si="356"/>
        <v>#VALUE!</v>
      </c>
      <c r="BD327" s="1641" t="e">
        <f t="shared" si="356"/>
        <v>#VALUE!</v>
      </c>
      <c r="BE327" s="1641" t="e">
        <f t="shared" si="356"/>
        <v>#VALUE!</v>
      </c>
      <c r="BF327" s="1641" t="e">
        <f t="shared" si="356"/>
        <v>#VALUE!</v>
      </c>
      <c r="BG327" s="1641" t="e">
        <f t="shared" si="356"/>
        <v>#VALUE!</v>
      </c>
      <c r="BH327" s="1641" t="e">
        <f t="shared" si="356"/>
        <v>#VALUE!</v>
      </c>
      <c r="BI327" s="1641" t="e">
        <f t="shared" si="356"/>
        <v>#VALUE!</v>
      </c>
      <c r="BJ327" s="1641" t="e">
        <f t="shared" si="356"/>
        <v>#VALUE!</v>
      </c>
      <c r="BK327" s="1641" t="e">
        <f t="shared" si="356"/>
        <v>#VALUE!</v>
      </c>
      <c r="BL327" s="1641" t="e">
        <f t="shared" si="356"/>
        <v>#VALUE!</v>
      </c>
      <c r="BM327" s="1641" t="e">
        <f t="shared" si="356"/>
        <v>#VALUE!</v>
      </c>
      <c r="BN327" s="1641" t="e">
        <f t="shared" si="356"/>
        <v>#VALUE!</v>
      </c>
      <c r="BO327" s="1641" t="e">
        <f t="shared" si="356"/>
        <v>#VALUE!</v>
      </c>
      <c r="BP327" s="1641" t="e">
        <f t="shared" si="356"/>
        <v>#VALUE!</v>
      </c>
      <c r="BQ327" s="1641" t="e">
        <f t="shared" si="356"/>
        <v>#VALUE!</v>
      </c>
      <c r="BR327" s="1641" t="e">
        <f t="shared" si="356"/>
        <v>#VALUE!</v>
      </c>
      <c r="BS327" s="1642" t="e">
        <f t="shared" si="356"/>
        <v>#VALUE!</v>
      </c>
      <c r="BT327" s="1142"/>
      <c r="BU327" s="1478"/>
      <c r="BV327" s="1070"/>
      <c r="BW327" s="1070"/>
    </row>
    <row r="328" spans="1:75" outlineLevel="1" x14ac:dyDescent="0.3">
      <c r="A328" s="1474"/>
      <c r="B328" s="1598"/>
      <c r="C328" s="1643" t="s">
        <v>1405</v>
      </c>
      <c r="D328" s="1222"/>
      <c r="E328" s="1222"/>
      <c r="F328" s="1644"/>
      <c r="G328" s="1633" t="e">
        <f>IF(G304="x",0,G319/(1+DiscRDE)^G304)</f>
        <v>#VALUE!</v>
      </c>
      <c r="H328" s="1634" t="e">
        <f t="shared" ref="H328:AI328" si="357">H319/(1+DiscRDE)^H304</f>
        <v>#VALUE!</v>
      </c>
      <c r="I328" s="1634" t="e">
        <f t="shared" si="357"/>
        <v>#VALUE!</v>
      </c>
      <c r="J328" s="1634" t="e">
        <f t="shared" si="357"/>
        <v>#VALUE!</v>
      </c>
      <c r="K328" s="1634" t="e">
        <f t="shared" si="357"/>
        <v>#VALUE!</v>
      </c>
      <c r="L328" s="1634" t="e">
        <f t="shared" si="357"/>
        <v>#VALUE!</v>
      </c>
      <c r="M328" s="1634" t="e">
        <f t="shared" si="357"/>
        <v>#VALUE!</v>
      </c>
      <c r="N328" s="1634" t="e">
        <f t="shared" si="357"/>
        <v>#VALUE!</v>
      </c>
      <c r="O328" s="1634" t="e">
        <f t="shared" si="357"/>
        <v>#VALUE!</v>
      </c>
      <c r="P328" s="1634" t="e">
        <f t="shared" si="357"/>
        <v>#VALUE!</v>
      </c>
      <c r="Q328" s="1634" t="e">
        <f t="shared" si="357"/>
        <v>#VALUE!</v>
      </c>
      <c r="R328" s="1634" t="e">
        <f t="shared" si="357"/>
        <v>#VALUE!</v>
      </c>
      <c r="S328" s="1634" t="e">
        <f t="shared" si="357"/>
        <v>#VALUE!</v>
      </c>
      <c r="T328" s="1634" t="e">
        <f t="shared" si="357"/>
        <v>#VALUE!</v>
      </c>
      <c r="U328" s="1634" t="e">
        <f t="shared" si="357"/>
        <v>#VALUE!</v>
      </c>
      <c r="V328" s="1634" t="e">
        <f t="shared" si="357"/>
        <v>#VALUE!</v>
      </c>
      <c r="W328" s="1634" t="e">
        <f t="shared" si="357"/>
        <v>#VALUE!</v>
      </c>
      <c r="X328" s="1634" t="e">
        <f t="shared" si="357"/>
        <v>#VALUE!</v>
      </c>
      <c r="Y328" s="1634" t="e">
        <f t="shared" si="357"/>
        <v>#VALUE!</v>
      </c>
      <c r="Z328" s="1634" t="e">
        <f t="shared" si="357"/>
        <v>#VALUE!</v>
      </c>
      <c r="AA328" s="1634" t="e">
        <f t="shared" si="357"/>
        <v>#VALUE!</v>
      </c>
      <c r="AB328" s="1634" t="e">
        <f t="shared" si="357"/>
        <v>#VALUE!</v>
      </c>
      <c r="AC328" s="1634" t="e">
        <f t="shared" si="357"/>
        <v>#VALUE!</v>
      </c>
      <c r="AD328" s="1634" t="e">
        <f t="shared" si="357"/>
        <v>#VALUE!</v>
      </c>
      <c r="AE328" s="1634" t="e">
        <f t="shared" si="357"/>
        <v>#VALUE!</v>
      </c>
      <c r="AF328" s="1634" t="e">
        <f t="shared" si="357"/>
        <v>#VALUE!</v>
      </c>
      <c r="AG328" s="1634" t="e">
        <f t="shared" si="357"/>
        <v>#VALUE!</v>
      </c>
      <c r="AH328" s="1634" t="e">
        <f t="shared" si="357"/>
        <v>#VALUE!</v>
      </c>
      <c r="AI328" s="1635" t="e">
        <f t="shared" si="357"/>
        <v>#VALUE!</v>
      </c>
      <c r="AJ328" s="1476"/>
      <c r="AK328" s="1142"/>
      <c r="AL328" s="1142"/>
      <c r="AM328" s="1142"/>
      <c r="AN328" s="1142"/>
      <c r="AO328" s="1207"/>
      <c r="AP328" s="1644"/>
      <c r="AQ328" s="1633" t="e">
        <f>IF(AQ304="x",0,AQ319/(1+DiscRDE)^AQ304)</f>
        <v>#VALUE!</v>
      </c>
      <c r="AR328" s="1634" t="e">
        <f t="shared" ref="AR328:BS328" si="358">AR319/(1+DiscRDE)^AR304</f>
        <v>#VALUE!</v>
      </c>
      <c r="AS328" s="1634" t="e">
        <f t="shared" si="358"/>
        <v>#VALUE!</v>
      </c>
      <c r="AT328" s="1634" t="e">
        <f t="shared" si="358"/>
        <v>#VALUE!</v>
      </c>
      <c r="AU328" s="1634" t="e">
        <f t="shared" si="358"/>
        <v>#VALUE!</v>
      </c>
      <c r="AV328" s="1634" t="e">
        <f t="shared" si="358"/>
        <v>#VALUE!</v>
      </c>
      <c r="AW328" s="1634" t="e">
        <f t="shared" si="358"/>
        <v>#VALUE!</v>
      </c>
      <c r="AX328" s="1634" t="e">
        <f t="shared" si="358"/>
        <v>#VALUE!</v>
      </c>
      <c r="AY328" s="1634" t="e">
        <f t="shared" si="358"/>
        <v>#VALUE!</v>
      </c>
      <c r="AZ328" s="1634" t="e">
        <f t="shared" si="358"/>
        <v>#VALUE!</v>
      </c>
      <c r="BA328" s="1634" t="e">
        <f t="shared" si="358"/>
        <v>#VALUE!</v>
      </c>
      <c r="BB328" s="1634" t="e">
        <f t="shared" si="358"/>
        <v>#VALUE!</v>
      </c>
      <c r="BC328" s="1634" t="e">
        <f t="shared" si="358"/>
        <v>#VALUE!</v>
      </c>
      <c r="BD328" s="1634" t="e">
        <f t="shared" si="358"/>
        <v>#VALUE!</v>
      </c>
      <c r="BE328" s="1634" t="e">
        <f t="shared" si="358"/>
        <v>#VALUE!</v>
      </c>
      <c r="BF328" s="1634" t="e">
        <f t="shared" si="358"/>
        <v>#VALUE!</v>
      </c>
      <c r="BG328" s="1634" t="e">
        <f t="shared" si="358"/>
        <v>#VALUE!</v>
      </c>
      <c r="BH328" s="1634" t="e">
        <f t="shared" si="358"/>
        <v>#VALUE!</v>
      </c>
      <c r="BI328" s="1634" t="e">
        <f t="shared" si="358"/>
        <v>#VALUE!</v>
      </c>
      <c r="BJ328" s="1634" t="e">
        <f t="shared" si="358"/>
        <v>#VALUE!</v>
      </c>
      <c r="BK328" s="1634" t="e">
        <f t="shared" si="358"/>
        <v>#VALUE!</v>
      </c>
      <c r="BL328" s="1634" t="e">
        <f t="shared" si="358"/>
        <v>#VALUE!</v>
      </c>
      <c r="BM328" s="1634" t="e">
        <f t="shared" si="358"/>
        <v>#VALUE!</v>
      </c>
      <c r="BN328" s="1634" t="e">
        <f t="shared" si="358"/>
        <v>#VALUE!</v>
      </c>
      <c r="BO328" s="1634" t="e">
        <f t="shared" si="358"/>
        <v>#VALUE!</v>
      </c>
      <c r="BP328" s="1634" t="e">
        <f t="shared" si="358"/>
        <v>#VALUE!</v>
      </c>
      <c r="BQ328" s="1634" t="e">
        <f t="shared" si="358"/>
        <v>#VALUE!</v>
      </c>
      <c r="BR328" s="1634" t="e">
        <f t="shared" si="358"/>
        <v>#VALUE!</v>
      </c>
      <c r="BS328" s="1635" t="e">
        <f t="shared" si="358"/>
        <v>#VALUE!</v>
      </c>
      <c r="BT328" s="1142"/>
      <c r="BU328" s="1478"/>
      <c r="BV328" s="1070"/>
      <c r="BW328" s="1070"/>
    </row>
    <row r="329" spans="1:75" outlineLevel="1" x14ac:dyDescent="0.3">
      <c r="A329" s="1474"/>
      <c r="B329" s="1598"/>
      <c r="C329" s="1645" t="s">
        <v>1406</v>
      </c>
      <c r="D329" s="1226"/>
      <c r="E329" s="1226"/>
      <c r="F329" s="1646"/>
      <c r="G329" s="1647" t="e">
        <f>VLOOKUP(ABS($K$318),$F$323:$AI$327,2,0)/(1+DiscRDE)^G304</f>
        <v>#VALUE!</v>
      </c>
      <c r="H329" s="1641" t="e">
        <f>VLOOKUP(ABS($K$318),$F$323:$AI$327,3,0)/(1+DiscRDE)^H304</f>
        <v>#VALUE!</v>
      </c>
      <c r="I329" s="1641" t="e">
        <f>VLOOKUP(ABS($K$318),$F$323:$AI$327,4,0)/(1+DiscRDE)^I304</f>
        <v>#VALUE!</v>
      </c>
      <c r="J329" s="1641" t="e">
        <f>VLOOKUP(ABS($K$318),$F$323:$AI$327,5,0)/(1+DiscRDE)^J304</f>
        <v>#VALUE!</v>
      </c>
      <c r="K329" s="1641" t="e">
        <f>VLOOKUP(ABS($K$318),$F$323:$AI$327,6,0)/(1+DiscRDE)^K304</f>
        <v>#VALUE!</v>
      </c>
      <c r="L329" s="1641" t="e">
        <f>VLOOKUP(ABS($K$318),$F$323:$AI$327,7,0)/(1+DiscRDE)^L304</f>
        <v>#VALUE!</v>
      </c>
      <c r="M329" s="1641" t="e">
        <f>VLOOKUP(ABS($K$318),$F$323:$AI$327,8,0)/(1+DiscRDE)^M304</f>
        <v>#VALUE!</v>
      </c>
      <c r="N329" s="1641" t="e">
        <f>VLOOKUP(ABS($K$318),$F$323:$AI$327,9,0)/(1+DiscRDE)^N304</f>
        <v>#VALUE!</v>
      </c>
      <c r="O329" s="1641" t="e">
        <f>VLOOKUP(ABS($K$318),$F$323:$AI$327,10,0)/(1+DiscRDE)^O304</f>
        <v>#VALUE!</v>
      </c>
      <c r="P329" s="1641" t="e">
        <f>VLOOKUP(ABS($K$318),$F$323:$AI$327,11,0)/(1+DiscRDE)^P304</f>
        <v>#VALUE!</v>
      </c>
      <c r="Q329" s="1641" t="e">
        <f>VLOOKUP(ABS($K$318),$F$323:$AI$327,12,0)/(1+DiscRDE)^Q304</f>
        <v>#VALUE!</v>
      </c>
      <c r="R329" s="1641" t="e">
        <f>VLOOKUP(ABS($K$318),$F$323:$AI$327,13,0)/(1+DiscRDE)^R304</f>
        <v>#VALUE!</v>
      </c>
      <c r="S329" s="1641" t="e">
        <f>VLOOKUP(ABS($K$318),$F$323:$AI$327,14,0)/(1+DiscRDE)^S304</f>
        <v>#VALUE!</v>
      </c>
      <c r="T329" s="1641" t="e">
        <f>VLOOKUP(ABS($K$318),$F$323:$AI$327,15,0)/(1+DiscRDE)^T304</f>
        <v>#VALUE!</v>
      </c>
      <c r="U329" s="1641" t="e">
        <f>VLOOKUP(ABS($K$318),$F$323:$AI$327,16,0)/(1+DiscRDE)^U304</f>
        <v>#VALUE!</v>
      </c>
      <c r="V329" s="1641" t="e">
        <f>VLOOKUP(ABS($K$318),$F$323:$AI$327,17,0)/(1+DiscRDE)^V304</f>
        <v>#VALUE!</v>
      </c>
      <c r="W329" s="1641" t="e">
        <f>VLOOKUP(ABS($K$318),$F$323:$AI$327,18,0)/(1+DiscRDE)^W304</f>
        <v>#VALUE!</v>
      </c>
      <c r="X329" s="1641" t="e">
        <f>VLOOKUP(ABS($K$318),$F$323:$AI$327,19,0)/(1+DiscRDE)^X304</f>
        <v>#VALUE!</v>
      </c>
      <c r="Y329" s="1641" t="e">
        <f>VLOOKUP(ABS($K$318),$F$323:$AI$327,20,0)/(1+DiscRDE)^Y304</f>
        <v>#VALUE!</v>
      </c>
      <c r="Z329" s="1641" t="e">
        <f>VLOOKUP(ABS($K$318),$F$323:$AI$327,21,0)/(1+DiscRDE)^Z304</f>
        <v>#VALUE!</v>
      </c>
      <c r="AA329" s="1641" t="e">
        <f>VLOOKUP(ABS($K$318),$F$323:$AI$327,22,0)/(1+DiscRDE)^AA304</f>
        <v>#VALUE!</v>
      </c>
      <c r="AB329" s="1641" t="e">
        <f>VLOOKUP(ABS($K$318),$F$323:$AI$327,23,0)/(1+DiscRDE)^AB304</f>
        <v>#VALUE!</v>
      </c>
      <c r="AC329" s="1641" t="e">
        <f>VLOOKUP(ABS($K$318),$F$323:$AI$327,24,0)/(1+DiscRDE)^AC304</f>
        <v>#VALUE!</v>
      </c>
      <c r="AD329" s="1641" t="e">
        <f>VLOOKUP(ABS($K$318),$F$323:$AI$327,25,0)/(1+DiscRDE)^AD304</f>
        <v>#VALUE!</v>
      </c>
      <c r="AE329" s="1641" t="e">
        <f>VLOOKUP(ABS($K$318),$F$323:$AI$327,26,0)/(1+DiscRDE)^AE304</f>
        <v>#VALUE!</v>
      </c>
      <c r="AF329" s="1641" t="e">
        <f>VLOOKUP(ABS($K$318),$F$323:$AI$327,27,0)/(1+DiscRDE)^AF304</f>
        <v>#VALUE!</v>
      </c>
      <c r="AG329" s="1641" t="e">
        <f>VLOOKUP(ABS($K$318),$F$323:$AI$327,28,0)/(1+DiscRDE)^AG304</f>
        <v>#VALUE!</v>
      </c>
      <c r="AH329" s="1641" t="e">
        <f>VLOOKUP(ABS($K$318),$F$323:$AI$327,29,0)/(1+DiscRDE)^AH304</f>
        <v>#VALUE!</v>
      </c>
      <c r="AI329" s="1642" t="e">
        <f>VLOOKUP(ABS($K$318),$F$323:$AI$327,30,0)/(1+DiscRDE)^AI304</f>
        <v>#VALUE!</v>
      </c>
      <c r="AJ329" s="1476"/>
      <c r="AK329" s="1142"/>
      <c r="AL329" s="1142"/>
      <c r="AM329" s="1142"/>
      <c r="AN329" s="1142"/>
      <c r="AO329" s="1207"/>
      <c r="AP329" s="1648"/>
      <c r="AQ329" s="1647" t="e">
        <f>VLOOKUP(ABS($AU$318),$AP$323:$BS$327,2,0)/(1+DiscRDE)^AQ304</f>
        <v>#VALUE!</v>
      </c>
      <c r="AR329" s="1641" t="e">
        <f>VLOOKUP(ABS($AU$318),$AP$323:$BS$327,3,0)/(1+DiscRDE)^AR304</f>
        <v>#VALUE!</v>
      </c>
      <c r="AS329" s="1641" t="e">
        <f>VLOOKUP(ABS($AU$318),$AP$323:$BS$327,4,0)/(1+DiscRDE)^AS304</f>
        <v>#VALUE!</v>
      </c>
      <c r="AT329" s="1641" t="e">
        <f>VLOOKUP(ABS($AU$318),$AP$323:$BS$327,5,0)/(1+DiscRDE)^AT304</f>
        <v>#VALUE!</v>
      </c>
      <c r="AU329" s="1641" t="e">
        <f>VLOOKUP(ABS($AU$318),$AP$323:$BS$327,6,0)/(1+DiscRDE)^AU304</f>
        <v>#VALUE!</v>
      </c>
      <c r="AV329" s="1641" t="e">
        <f>VLOOKUP(ABS($AU$318),$AP$323:$BS$327,7,0)/(1+DiscRDE)^AV304</f>
        <v>#VALUE!</v>
      </c>
      <c r="AW329" s="1641" t="e">
        <f>VLOOKUP(ABS($AU$318),$AP$323:$BS$327,8,0)/(1+DiscRDE)^AW304</f>
        <v>#VALUE!</v>
      </c>
      <c r="AX329" s="1641" t="e">
        <f>VLOOKUP(ABS($AU$318),$AP$323:$BS$327,9,0)/(1+DiscRDE)^AX304</f>
        <v>#VALUE!</v>
      </c>
      <c r="AY329" s="1641" t="e">
        <f>VLOOKUP(ABS($AU$318),$AP$323:$BS$327,10,0)/(1+DiscRDE)^AY304</f>
        <v>#VALUE!</v>
      </c>
      <c r="AZ329" s="1641" t="e">
        <f>VLOOKUP(ABS($AU$318),$AP$323:$BS$327,11,0)/(1+DiscRDE)^AZ304</f>
        <v>#VALUE!</v>
      </c>
      <c r="BA329" s="1641" t="e">
        <f>VLOOKUP(ABS($AU$318),$AP$323:$BS$327,12,0)/(1+DiscRDE)^BA304</f>
        <v>#VALUE!</v>
      </c>
      <c r="BB329" s="1641" t="e">
        <f>VLOOKUP(ABS($AU$318),$AP$323:$BS$327,13,0)/(1+DiscRDE)^BB304</f>
        <v>#VALUE!</v>
      </c>
      <c r="BC329" s="1641" t="e">
        <f>VLOOKUP(ABS($AU$318),$AP$323:$BS$327,14,0)/(1+DiscRDE)^BC304</f>
        <v>#VALUE!</v>
      </c>
      <c r="BD329" s="1641" t="e">
        <f>VLOOKUP(ABS($AU$318),$AP$323:$BS$327,15,0)/(1+DiscRDE)^BD304</f>
        <v>#VALUE!</v>
      </c>
      <c r="BE329" s="1641" t="e">
        <f>VLOOKUP(ABS($AU$318),$AP$323:$BS$327,16,0)/(1+DiscRDE)^BE304</f>
        <v>#VALUE!</v>
      </c>
      <c r="BF329" s="1641" t="e">
        <f>VLOOKUP(ABS($AU$318),$AP$323:$BS$327,17,0)/(1+DiscRDE)^BF304</f>
        <v>#VALUE!</v>
      </c>
      <c r="BG329" s="1641" t="e">
        <f>VLOOKUP(ABS($AU$318),$AP$323:$BS$327,18,0)/(1+DiscRDE)^BG304</f>
        <v>#VALUE!</v>
      </c>
      <c r="BH329" s="1641" t="e">
        <f>VLOOKUP(ABS($AU$318),$AP$323:$BS$327,19,0)/(1+DiscRDE)^BH304</f>
        <v>#VALUE!</v>
      </c>
      <c r="BI329" s="1641" t="e">
        <f>VLOOKUP(ABS($AU$318),$AP$323:$BS$327,20,0)/(1+DiscRDE)^BI304</f>
        <v>#VALUE!</v>
      </c>
      <c r="BJ329" s="1641" t="e">
        <f>VLOOKUP(ABS($AU$318),$AP$323:$BS$327,21,0)/(1+DiscRDE)^BJ304</f>
        <v>#VALUE!</v>
      </c>
      <c r="BK329" s="1641" t="e">
        <f>VLOOKUP(ABS($AU$318),$AP$323:$BS$327,22,0)/(1+DiscRDE)^BK304</f>
        <v>#VALUE!</v>
      </c>
      <c r="BL329" s="1641" t="e">
        <f>VLOOKUP(ABS($AU$318),$AP$323:$BS$327,23,0)/(1+DiscRDE)^BL304</f>
        <v>#VALUE!</v>
      </c>
      <c r="BM329" s="1641" t="e">
        <f>VLOOKUP(ABS($AU$318),$AP$323:$BS$327,24,0)/(1+DiscRDE)^BM304</f>
        <v>#VALUE!</v>
      </c>
      <c r="BN329" s="1641" t="e">
        <f>VLOOKUP(ABS($AU$318),$AP$323:$BS$327,25,0)/(1+DiscRDE)^BN304</f>
        <v>#VALUE!</v>
      </c>
      <c r="BO329" s="1641" t="e">
        <f>VLOOKUP(ABS($AU$318),$AP$323:$BS$327,26,0)/(1+DiscRDE)^BO304</f>
        <v>#VALUE!</v>
      </c>
      <c r="BP329" s="1641" t="e">
        <f>VLOOKUP(ABS($AU$318),$AP$323:$BS$327,27,0)/(1+DiscRDE)^BP304</f>
        <v>#VALUE!</v>
      </c>
      <c r="BQ329" s="1641" t="e">
        <f>VLOOKUP(ABS($AU$318),$AP$323:$BS$327,28,0)/(1+DiscRDE)^BQ304</f>
        <v>#VALUE!</v>
      </c>
      <c r="BR329" s="1641" t="e">
        <f>VLOOKUP(ABS($AU$318),$AP$323:$BS$327,29,0)/(1+DiscRDE)^BR304</f>
        <v>#VALUE!</v>
      </c>
      <c r="BS329" s="1642" t="e">
        <f>VLOOKUP(ABS($AU$318),$AP$323:$BS$327,30,0)/(1+DiscRDE)^BS304</f>
        <v>#VALUE!</v>
      </c>
      <c r="BT329" s="1142"/>
      <c r="BU329" s="1478"/>
      <c r="BV329" s="1070"/>
      <c r="BW329" s="1070"/>
    </row>
    <row r="330" spans="1:75" outlineLevel="1" x14ac:dyDescent="0.3">
      <c r="A330" s="1474"/>
      <c r="B330" s="1598"/>
      <c r="C330" s="1555"/>
      <c r="D330" s="1116"/>
      <c r="E330" s="1116"/>
      <c r="F330" s="1476"/>
      <c r="G330" s="1610"/>
      <c r="H330" s="1610"/>
      <c r="I330" s="1610"/>
      <c r="J330" s="1610"/>
      <c r="K330" s="1610"/>
      <c r="L330" s="1610"/>
      <c r="M330" s="1610"/>
      <c r="N330" s="1610"/>
      <c r="O330" s="1610"/>
      <c r="P330" s="1610"/>
      <c r="Q330" s="1610"/>
      <c r="R330" s="1610"/>
      <c r="S330" s="1610"/>
      <c r="T330" s="1610"/>
      <c r="U330" s="1610"/>
      <c r="V330" s="1610"/>
      <c r="W330" s="1610"/>
      <c r="X330" s="1610"/>
      <c r="Y330" s="1610"/>
      <c r="Z330" s="1610"/>
      <c r="AA330" s="1610"/>
      <c r="AB330" s="1610"/>
      <c r="AC330" s="1610"/>
      <c r="AD330" s="1610"/>
      <c r="AE330" s="1610"/>
      <c r="AF330" s="1610"/>
      <c r="AG330" s="1610"/>
      <c r="AH330" s="1610"/>
      <c r="AI330" s="1638"/>
      <c r="AJ330" s="1476"/>
      <c r="AK330" s="1142"/>
      <c r="AL330" s="1142"/>
      <c r="AM330" s="1142"/>
      <c r="AN330" s="1142"/>
      <c r="AO330" s="1207"/>
      <c r="AP330" s="1476"/>
      <c r="AQ330" s="1610"/>
      <c r="AR330" s="1610"/>
      <c r="AS330" s="1610"/>
      <c r="AT330" s="1610"/>
      <c r="AU330" s="1610"/>
      <c r="AV330" s="1610"/>
      <c r="AW330" s="1610"/>
      <c r="AX330" s="1610"/>
      <c r="AY330" s="1610"/>
      <c r="AZ330" s="1610"/>
      <c r="BA330" s="1610"/>
      <c r="BB330" s="1610"/>
      <c r="BC330" s="1610"/>
      <c r="BD330" s="1610"/>
      <c r="BE330" s="1610"/>
      <c r="BF330" s="1610"/>
      <c r="BG330" s="1610"/>
      <c r="BH330" s="1610"/>
      <c r="BI330" s="1610"/>
      <c r="BJ330" s="1610"/>
      <c r="BK330" s="1610"/>
      <c r="BL330" s="1610"/>
      <c r="BM330" s="1610"/>
      <c r="BN330" s="1610"/>
      <c r="BO330" s="1610"/>
      <c r="BP330" s="1610"/>
      <c r="BQ330" s="1610"/>
      <c r="BR330" s="1610"/>
      <c r="BS330" s="1638"/>
      <c r="BT330" s="1142"/>
      <c r="BU330" s="1478"/>
      <c r="BV330" s="1070"/>
      <c r="BW330" s="1070"/>
    </row>
    <row r="331" spans="1:75" outlineLevel="1" x14ac:dyDescent="0.3">
      <c r="A331" s="1474"/>
      <c r="B331" s="1598"/>
      <c r="C331" s="1626" t="s">
        <v>1407</v>
      </c>
      <c r="D331" s="1116"/>
      <c r="E331" s="1116"/>
      <c r="F331" s="1626" t="s">
        <v>1408</v>
      </c>
      <c r="G331" s="1627" t="s">
        <v>1399</v>
      </c>
      <c r="H331" s="1628"/>
      <c r="I331" s="1628"/>
      <c r="J331" s="1628"/>
      <c r="K331" s="1628"/>
      <c r="L331" s="1629"/>
      <c r="M331" s="1629"/>
      <c r="N331" s="1629"/>
      <c r="O331" s="1629"/>
      <c r="P331" s="1629"/>
      <c r="Q331" s="1629"/>
      <c r="R331" s="1628"/>
      <c r="S331" s="1628"/>
      <c r="T331" s="1628"/>
      <c r="U331" s="1628"/>
      <c r="V331" s="1628"/>
      <c r="W331" s="1628"/>
      <c r="X331" s="1628"/>
      <c r="Y331" s="1628"/>
      <c r="Z331" s="1628"/>
      <c r="AA331" s="1628"/>
      <c r="AB331" s="1628"/>
      <c r="AC331" s="1628"/>
      <c r="AD331" s="1628"/>
      <c r="AE331" s="1628"/>
      <c r="AF331" s="1628"/>
      <c r="AG331" s="1628"/>
      <c r="AH331" s="1628"/>
      <c r="AI331" s="1630"/>
      <c r="AJ331" s="1476"/>
      <c r="AK331" s="1142"/>
      <c r="AL331" s="1142"/>
      <c r="AM331" s="1142"/>
      <c r="AN331" s="1142"/>
      <c r="AO331" s="1207"/>
      <c r="AP331" s="1626" t="s">
        <v>1408</v>
      </c>
      <c r="AQ331" s="1627" t="s">
        <v>1399</v>
      </c>
      <c r="AR331" s="1628"/>
      <c r="AS331" s="1628"/>
      <c r="AT331" s="1628"/>
      <c r="AU331" s="1628"/>
      <c r="AV331" s="1629"/>
      <c r="AW331" s="1629"/>
      <c r="AX331" s="1629"/>
      <c r="AY331" s="1629"/>
      <c r="AZ331" s="1629"/>
      <c r="BA331" s="1629"/>
      <c r="BB331" s="1628"/>
      <c r="BC331" s="1628"/>
      <c r="BD331" s="1628"/>
      <c r="BE331" s="1628"/>
      <c r="BF331" s="1628"/>
      <c r="BG331" s="1628"/>
      <c r="BH331" s="1628"/>
      <c r="BI331" s="1628"/>
      <c r="BJ331" s="1628"/>
      <c r="BK331" s="1628"/>
      <c r="BL331" s="1628"/>
      <c r="BM331" s="1628"/>
      <c r="BN331" s="1628"/>
      <c r="BO331" s="1628"/>
      <c r="BP331" s="1628"/>
      <c r="BQ331" s="1628"/>
      <c r="BR331" s="1628"/>
      <c r="BS331" s="1630"/>
      <c r="BT331" s="1142"/>
      <c r="BU331" s="1478"/>
      <c r="BV331" s="1070"/>
      <c r="BW331" s="1070"/>
    </row>
    <row r="332" spans="1:75" outlineLevel="1" x14ac:dyDescent="0.3">
      <c r="A332" s="1474"/>
      <c r="B332" s="1598"/>
      <c r="C332" s="1631" t="s">
        <v>1400</v>
      </c>
      <c r="D332" s="1116"/>
      <c r="E332" s="1116"/>
      <c r="F332" s="1632">
        <v>0</v>
      </c>
      <c r="G332" s="1610" t="e">
        <f t="shared" ref="G332:J332" si="359">IF(G319=0,0,G$319-G$320+H320)</f>
        <v>#VALUE!</v>
      </c>
      <c r="H332" s="1610" t="e">
        <f t="shared" si="359"/>
        <v>#VALUE!</v>
      </c>
      <c r="I332" s="1610" t="e">
        <f t="shared" si="359"/>
        <v>#VALUE!</v>
      </c>
      <c r="J332" s="1610" t="e">
        <f t="shared" si="359"/>
        <v>#VALUE!</v>
      </c>
      <c r="K332" s="1610" t="e">
        <f>IF(K319=0,0,K$319-K$320+L320)</f>
        <v>#VALUE!</v>
      </c>
      <c r="L332" s="1610" t="e">
        <f t="shared" ref="L332:AI332" si="360">IF(L319=0,0,L$319-L$320+M320)</f>
        <v>#VALUE!</v>
      </c>
      <c r="M332" s="1610" t="e">
        <f t="shared" si="360"/>
        <v>#VALUE!</v>
      </c>
      <c r="N332" s="1610" t="e">
        <f t="shared" si="360"/>
        <v>#VALUE!</v>
      </c>
      <c r="O332" s="1610" t="e">
        <f t="shared" si="360"/>
        <v>#VALUE!</v>
      </c>
      <c r="P332" s="1610" t="e">
        <f t="shared" si="360"/>
        <v>#VALUE!</v>
      </c>
      <c r="Q332" s="1610" t="e">
        <f t="shared" si="360"/>
        <v>#VALUE!</v>
      </c>
      <c r="R332" s="1610" t="e">
        <f t="shared" si="360"/>
        <v>#VALUE!</v>
      </c>
      <c r="S332" s="1610" t="e">
        <f t="shared" si="360"/>
        <v>#VALUE!</v>
      </c>
      <c r="T332" s="1610" t="e">
        <f t="shared" si="360"/>
        <v>#VALUE!</v>
      </c>
      <c r="U332" s="1610" t="e">
        <f t="shared" si="360"/>
        <v>#VALUE!</v>
      </c>
      <c r="V332" s="1610" t="e">
        <f t="shared" si="360"/>
        <v>#VALUE!</v>
      </c>
      <c r="W332" s="1610" t="e">
        <f t="shared" si="360"/>
        <v>#VALUE!</v>
      </c>
      <c r="X332" s="1610" t="e">
        <f t="shared" si="360"/>
        <v>#VALUE!</v>
      </c>
      <c r="Y332" s="1610" t="e">
        <f t="shared" si="360"/>
        <v>#VALUE!</v>
      </c>
      <c r="Z332" s="1610" t="e">
        <f t="shared" si="360"/>
        <v>#VALUE!</v>
      </c>
      <c r="AA332" s="1610" t="e">
        <f t="shared" si="360"/>
        <v>#VALUE!</v>
      </c>
      <c r="AB332" s="1610" t="e">
        <f t="shared" si="360"/>
        <v>#VALUE!</v>
      </c>
      <c r="AC332" s="1610" t="e">
        <f t="shared" si="360"/>
        <v>#VALUE!</v>
      </c>
      <c r="AD332" s="1610" t="e">
        <f t="shared" si="360"/>
        <v>#VALUE!</v>
      </c>
      <c r="AE332" s="1610" t="e">
        <f t="shared" si="360"/>
        <v>#VALUE!</v>
      </c>
      <c r="AF332" s="1610" t="e">
        <f t="shared" si="360"/>
        <v>#VALUE!</v>
      </c>
      <c r="AG332" s="1610" t="e">
        <f t="shared" si="360"/>
        <v>#VALUE!</v>
      </c>
      <c r="AH332" s="1610" t="e">
        <f t="shared" si="360"/>
        <v>#VALUE!</v>
      </c>
      <c r="AI332" s="1638" t="e">
        <f t="shared" si="360"/>
        <v>#VALUE!</v>
      </c>
      <c r="AJ332" s="1476"/>
      <c r="AK332" s="1142"/>
      <c r="AL332" s="1142"/>
      <c r="AM332" s="1142"/>
      <c r="AN332" s="1142"/>
      <c r="AO332" s="1207"/>
      <c r="AP332" s="1632">
        <v>0</v>
      </c>
      <c r="AQ332" s="1610" t="e">
        <f t="shared" ref="AQ332:AT332" si="361">IF(AQ319=0,0,AQ$319-AQ$320+AR320)</f>
        <v>#VALUE!</v>
      </c>
      <c r="AR332" s="1610" t="e">
        <f t="shared" si="361"/>
        <v>#VALUE!</v>
      </c>
      <c r="AS332" s="1610" t="e">
        <f t="shared" si="361"/>
        <v>#VALUE!</v>
      </c>
      <c r="AT332" s="1610" t="e">
        <f t="shared" si="361"/>
        <v>#VALUE!</v>
      </c>
      <c r="AU332" s="1610" t="e">
        <f>IF(AU319=0,0,AU$319-AU$320+AV320)</f>
        <v>#VALUE!</v>
      </c>
      <c r="AV332" s="1610" t="e">
        <f t="shared" ref="AV332:BS332" si="362">IF(AV319=0,0,AV$319-AV$320+AW320)</f>
        <v>#VALUE!</v>
      </c>
      <c r="AW332" s="1610" t="e">
        <f t="shared" si="362"/>
        <v>#VALUE!</v>
      </c>
      <c r="AX332" s="1610" t="e">
        <f t="shared" si="362"/>
        <v>#VALUE!</v>
      </c>
      <c r="AY332" s="1610" t="e">
        <f t="shared" si="362"/>
        <v>#VALUE!</v>
      </c>
      <c r="AZ332" s="1610" t="e">
        <f t="shared" si="362"/>
        <v>#VALUE!</v>
      </c>
      <c r="BA332" s="1610" t="e">
        <f t="shared" si="362"/>
        <v>#VALUE!</v>
      </c>
      <c r="BB332" s="1610" t="e">
        <f t="shared" si="362"/>
        <v>#VALUE!</v>
      </c>
      <c r="BC332" s="1610" t="e">
        <f t="shared" si="362"/>
        <v>#VALUE!</v>
      </c>
      <c r="BD332" s="1610" t="e">
        <f t="shared" si="362"/>
        <v>#VALUE!</v>
      </c>
      <c r="BE332" s="1610" t="e">
        <f t="shared" si="362"/>
        <v>#VALUE!</v>
      </c>
      <c r="BF332" s="1610" t="e">
        <f t="shared" si="362"/>
        <v>#VALUE!</v>
      </c>
      <c r="BG332" s="1610" t="e">
        <f t="shared" si="362"/>
        <v>#VALUE!</v>
      </c>
      <c r="BH332" s="1610" t="e">
        <f t="shared" si="362"/>
        <v>#VALUE!</v>
      </c>
      <c r="BI332" s="1610" t="e">
        <f t="shared" si="362"/>
        <v>#VALUE!</v>
      </c>
      <c r="BJ332" s="1610" t="e">
        <f t="shared" si="362"/>
        <v>#VALUE!</v>
      </c>
      <c r="BK332" s="1610" t="e">
        <f t="shared" si="362"/>
        <v>#VALUE!</v>
      </c>
      <c r="BL332" s="1610" t="e">
        <f t="shared" si="362"/>
        <v>#VALUE!</v>
      </c>
      <c r="BM332" s="1610" t="e">
        <f t="shared" si="362"/>
        <v>#VALUE!</v>
      </c>
      <c r="BN332" s="1610" t="e">
        <f t="shared" si="362"/>
        <v>#VALUE!</v>
      </c>
      <c r="BO332" s="1610" t="e">
        <f t="shared" si="362"/>
        <v>#VALUE!</v>
      </c>
      <c r="BP332" s="1610" t="e">
        <f t="shared" si="362"/>
        <v>#VALUE!</v>
      </c>
      <c r="BQ332" s="1610" t="e">
        <f t="shared" si="362"/>
        <v>#VALUE!</v>
      </c>
      <c r="BR332" s="1610" t="e">
        <f t="shared" si="362"/>
        <v>#VALUE!</v>
      </c>
      <c r="BS332" s="1635" t="e">
        <f t="shared" si="362"/>
        <v>#VALUE!</v>
      </c>
      <c r="BT332" s="1142"/>
      <c r="BU332" s="1478"/>
      <c r="BV332" s="1070"/>
      <c r="BW332" s="1070"/>
    </row>
    <row r="333" spans="1:75" outlineLevel="1" x14ac:dyDescent="0.3">
      <c r="A333" s="1474"/>
      <c r="B333" s="1598"/>
      <c r="C333" s="1636" t="s">
        <v>1401</v>
      </c>
      <c r="D333" s="1116"/>
      <c r="E333" s="1116"/>
      <c r="F333" s="1637">
        <v>1</v>
      </c>
      <c r="G333" s="1610" t="e">
        <f t="shared" ref="G333:J333" si="363">IF(G$319=0,0,IF($J$318=1,H$319,H$319-H$320+I$320))</f>
        <v>#VALUE!</v>
      </c>
      <c r="H333" s="1610" t="e">
        <f t="shared" si="363"/>
        <v>#VALUE!</v>
      </c>
      <c r="I333" s="1610" t="e">
        <f t="shared" si="363"/>
        <v>#VALUE!</v>
      </c>
      <c r="J333" s="1610" t="e">
        <f t="shared" si="363"/>
        <v>#VALUE!</v>
      </c>
      <c r="K333" s="1610" t="e">
        <f>IF(K$319=0,0,IF($J$318=1,L$319,L$319-L$320+M$320))</f>
        <v>#VALUE!</v>
      </c>
      <c r="L333" s="1610" t="e">
        <f t="shared" ref="L333:W333" si="364">IF(L$319=0,0,IF($J$318=1,M$319,M$319-M$320+N$320))</f>
        <v>#VALUE!</v>
      </c>
      <c r="M333" s="1610" t="e">
        <f t="shared" si="364"/>
        <v>#VALUE!</v>
      </c>
      <c r="N333" s="1610" t="e">
        <f t="shared" si="364"/>
        <v>#VALUE!</v>
      </c>
      <c r="O333" s="1610" t="e">
        <f t="shared" si="364"/>
        <v>#VALUE!</v>
      </c>
      <c r="P333" s="1610" t="e">
        <f t="shared" si="364"/>
        <v>#VALUE!</v>
      </c>
      <c r="Q333" s="1610" t="e">
        <f t="shared" si="364"/>
        <v>#VALUE!</v>
      </c>
      <c r="R333" s="1610" t="e">
        <f t="shared" si="364"/>
        <v>#VALUE!</v>
      </c>
      <c r="S333" s="1610" t="e">
        <f t="shared" si="364"/>
        <v>#VALUE!</v>
      </c>
      <c r="T333" s="1610" t="e">
        <f t="shared" si="364"/>
        <v>#VALUE!</v>
      </c>
      <c r="U333" s="1610" t="e">
        <f t="shared" si="364"/>
        <v>#VALUE!</v>
      </c>
      <c r="V333" s="1610" t="e">
        <f t="shared" si="364"/>
        <v>#VALUE!</v>
      </c>
      <c r="W333" s="1610" t="e">
        <f t="shared" si="364"/>
        <v>#VALUE!</v>
      </c>
      <c r="X333" s="1610" t="e">
        <f>IF(X$319=0,0,IF($J$318=1,Y$319,Y$319-Y$320+AJ$320))</f>
        <v>#VALUE!</v>
      </c>
      <c r="Y333" s="1610" t="e">
        <f t="shared" ref="Y333:AI333" si="365">IF(Y$319=0,0,IF($J$318=1,Z$319,Z$319-Z$320+AK$320))</f>
        <v>#VALUE!</v>
      </c>
      <c r="Z333" s="1610" t="e">
        <f t="shared" si="365"/>
        <v>#VALUE!</v>
      </c>
      <c r="AA333" s="1610" t="e">
        <f t="shared" si="365"/>
        <v>#VALUE!</v>
      </c>
      <c r="AB333" s="1610" t="e">
        <f t="shared" si="365"/>
        <v>#VALUE!</v>
      </c>
      <c r="AC333" s="1610" t="e">
        <f t="shared" si="365"/>
        <v>#VALUE!</v>
      </c>
      <c r="AD333" s="1610" t="e">
        <f t="shared" si="365"/>
        <v>#VALUE!</v>
      </c>
      <c r="AE333" s="1610" t="e">
        <f t="shared" si="365"/>
        <v>#VALUE!</v>
      </c>
      <c r="AF333" s="1610" t="e">
        <f t="shared" si="365"/>
        <v>#VALUE!</v>
      </c>
      <c r="AG333" s="1610" t="e">
        <f t="shared" si="365"/>
        <v>#VALUE!</v>
      </c>
      <c r="AH333" s="1610" t="e">
        <f t="shared" si="365"/>
        <v>#VALUE!</v>
      </c>
      <c r="AI333" s="1638" t="e">
        <f t="shared" si="365"/>
        <v>#VALUE!</v>
      </c>
      <c r="AJ333" s="1476"/>
      <c r="AK333" s="1142"/>
      <c r="AL333" s="1142"/>
      <c r="AM333" s="1142"/>
      <c r="AN333" s="1142"/>
      <c r="AO333" s="1207"/>
      <c r="AP333" s="1637">
        <v>1</v>
      </c>
      <c r="AQ333" s="1610" t="e">
        <f t="shared" ref="AQ333:BG333" si="366">IF(AQ$319=0,0,IF($AT$318=1,AR$319,AR$319-AR$320+AS$320))</f>
        <v>#VALUE!</v>
      </c>
      <c r="AR333" s="1610" t="e">
        <f t="shared" si="366"/>
        <v>#VALUE!</v>
      </c>
      <c r="AS333" s="1610" t="e">
        <f t="shared" si="366"/>
        <v>#VALUE!</v>
      </c>
      <c r="AT333" s="1610" t="e">
        <f t="shared" si="366"/>
        <v>#VALUE!</v>
      </c>
      <c r="AU333" s="1610" t="e">
        <f t="shared" si="366"/>
        <v>#VALUE!</v>
      </c>
      <c r="AV333" s="1610" t="e">
        <f t="shared" si="366"/>
        <v>#VALUE!</v>
      </c>
      <c r="AW333" s="1610" t="e">
        <f t="shared" si="366"/>
        <v>#VALUE!</v>
      </c>
      <c r="AX333" s="1610" t="e">
        <f t="shared" si="366"/>
        <v>#VALUE!</v>
      </c>
      <c r="AY333" s="1610" t="e">
        <f t="shared" si="366"/>
        <v>#VALUE!</v>
      </c>
      <c r="AZ333" s="1610" t="e">
        <f t="shared" si="366"/>
        <v>#VALUE!</v>
      </c>
      <c r="BA333" s="1610" t="e">
        <f t="shared" si="366"/>
        <v>#VALUE!</v>
      </c>
      <c r="BB333" s="1610" t="e">
        <f t="shared" si="366"/>
        <v>#VALUE!</v>
      </c>
      <c r="BC333" s="1610" t="e">
        <f t="shared" si="366"/>
        <v>#VALUE!</v>
      </c>
      <c r="BD333" s="1610" t="e">
        <f t="shared" si="366"/>
        <v>#VALUE!</v>
      </c>
      <c r="BE333" s="1610" t="e">
        <f t="shared" si="366"/>
        <v>#VALUE!</v>
      </c>
      <c r="BF333" s="1610" t="e">
        <f t="shared" si="366"/>
        <v>#VALUE!</v>
      </c>
      <c r="BG333" s="1610" t="e">
        <f t="shared" si="366"/>
        <v>#VALUE!</v>
      </c>
      <c r="BH333" s="1610" t="e">
        <f t="shared" ref="BH333:BS333" si="367">IF(BH$319=0,0,IF($AT$318=1,BI$319,BI$319-BI$320+BT$320))</f>
        <v>#VALUE!</v>
      </c>
      <c r="BI333" s="1610" t="e">
        <f t="shared" si="367"/>
        <v>#VALUE!</v>
      </c>
      <c r="BJ333" s="1610" t="e">
        <f t="shared" si="367"/>
        <v>#VALUE!</v>
      </c>
      <c r="BK333" s="1610" t="e">
        <f t="shared" si="367"/>
        <v>#VALUE!</v>
      </c>
      <c r="BL333" s="1610" t="e">
        <f t="shared" si="367"/>
        <v>#VALUE!</v>
      </c>
      <c r="BM333" s="1610" t="e">
        <f t="shared" si="367"/>
        <v>#VALUE!</v>
      </c>
      <c r="BN333" s="1610" t="e">
        <f t="shared" si="367"/>
        <v>#VALUE!</v>
      </c>
      <c r="BO333" s="1610" t="e">
        <f t="shared" si="367"/>
        <v>#VALUE!</v>
      </c>
      <c r="BP333" s="1610" t="e">
        <f t="shared" si="367"/>
        <v>#VALUE!</v>
      </c>
      <c r="BQ333" s="1610" t="e">
        <f t="shared" si="367"/>
        <v>#VALUE!</v>
      </c>
      <c r="BR333" s="1610" t="e">
        <f t="shared" si="367"/>
        <v>#VALUE!</v>
      </c>
      <c r="BS333" s="1638" t="e">
        <f t="shared" si="367"/>
        <v>#VALUE!</v>
      </c>
      <c r="BT333" s="1142"/>
      <c r="BU333" s="1478"/>
      <c r="BV333" s="1070"/>
      <c r="BW333" s="1070"/>
    </row>
    <row r="334" spans="1:75" outlineLevel="1" x14ac:dyDescent="0.3">
      <c r="A334" s="1474"/>
      <c r="B334" s="1598"/>
      <c r="C334" s="1636" t="s">
        <v>1402</v>
      </c>
      <c r="D334" s="1116"/>
      <c r="E334" s="1116"/>
      <c r="F334" s="1637">
        <v>2</v>
      </c>
      <c r="G334" s="1610" t="e">
        <f t="shared" ref="G334:V334" si="368">IF(G$319=0,0,IF($J$318=2,I$319,I$319-I$320+J$320))</f>
        <v>#VALUE!</v>
      </c>
      <c r="H334" s="1610" t="e">
        <f t="shared" si="368"/>
        <v>#VALUE!</v>
      </c>
      <c r="I334" s="1610" t="e">
        <f t="shared" si="368"/>
        <v>#VALUE!</v>
      </c>
      <c r="J334" s="1610" t="e">
        <f t="shared" si="368"/>
        <v>#VALUE!</v>
      </c>
      <c r="K334" s="1610" t="e">
        <f t="shared" si="368"/>
        <v>#VALUE!</v>
      </c>
      <c r="L334" s="1610" t="e">
        <f t="shared" si="368"/>
        <v>#VALUE!</v>
      </c>
      <c r="M334" s="1610" t="e">
        <f t="shared" si="368"/>
        <v>#VALUE!</v>
      </c>
      <c r="N334" s="1610" t="e">
        <f t="shared" si="368"/>
        <v>#VALUE!</v>
      </c>
      <c r="O334" s="1610" t="e">
        <f t="shared" si="368"/>
        <v>#VALUE!</v>
      </c>
      <c r="P334" s="1610" t="e">
        <f t="shared" si="368"/>
        <v>#VALUE!</v>
      </c>
      <c r="Q334" s="1610" t="e">
        <f t="shared" si="368"/>
        <v>#VALUE!</v>
      </c>
      <c r="R334" s="1610" t="e">
        <f t="shared" si="368"/>
        <v>#VALUE!</v>
      </c>
      <c r="S334" s="1610" t="e">
        <f t="shared" si="368"/>
        <v>#VALUE!</v>
      </c>
      <c r="T334" s="1610" t="e">
        <f t="shared" si="368"/>
        <v>#VALUE!</v>
      </c>
      <c r="U334" s="1610" t="e">
        <f t="shared" si="368"/>
        <v>#VALUE!</v>
      </c>
      <c r="V334" s="1610" t="e">
        <f t="shared" si="368"/>
        <v>#VALUE!</v>
      </c>
      <c r="W334" s="1610" t="e">
        <f>IF(W$319=0,0,IF($J$318=2,Y$319,Y$319-Y$320+AJ$320))</f>
        <v>#VALUE!</v>
      </c>
      <c r="X334" s="1610" t="e">
        <f t="shared" ref="X334:AI334" si="369">IF(X$319=0,0,IF($J$318=2,AJ$319,AJ$319-AJ$320+AK$320))</f>
        <v>#VALUE!</v>
      </c>
      <c r="Y334" s="1610" t="e">
        <f t="shared" si="369"/>
        <v>#VALUE!</v>
      </c>
      <c r="Z334" s="1610" t="e">
        <f t="shared" si="369"/>
        <v>#VALUE!</v>
      </c>
      <c r="AA334" s="1610" t="e">
        <f t="shared" si="369"/>
        <v>#VALUE!</v>
      </c>
      <c r="AB334" s="1610" t="e">
        <f t="shared" si="369"/>
        <v>#VALUE!</v>
      </c>
      <c r="AC334" s="1610" t="e">
        <f t="shared" si="369"/>
        <v>#VALUE!</v>
      </c>
      <c r="AD334" s="1610" t="e">
        <f t="shared" si="369"/>
        <v>#VALUE!</v>
      </c>
      <c r="AE334" s="1610" t="e">
        <f t="shared" si="369"/>
        <v>#VALUE!</v>
      </c>
      <c r="AF334" s="1610" t="e">
        <f t="shared" si="369"/>
        <v>#VALUE!</v>
      </c>
      <c r="AG334" s="1610" t="e">
        <f t="shared" si="369"/>
        <v>#VALUE!</v>
      </c>
      <c r="AH334" s="1610" t="e">
        <f t="shared" si="369"/>
        <v>#VALUE!</v>
      </c>
      <c r="AI334" s="1638" t="e">
        <f t="shared" si="369"/>
        <v>#VALUE!</v>
      </c>
      <c r="AJ334" s="1476"/>
      <c r="AK334" s="1142"/>
      <c r="AL334" s="1142"/>
      <c r="AM334" s="1142"/>
      <c r="AN334" s="1142"/>
      <c r="AO334" s="1207"/>
      <c r="AP334" s="1637">
        <v>2</v>
      </c>
      <c r="AQ334" s="1610" t="e">
        <f t="shared" ref="AQ334:BF334" si="370">IF(AQ$319=0,0,IF($AT$318=2,AS$319,AS$319-AS$320+AT$320))</f>
        <v>#VALUE!</v>
      </c>
      <c r="AR334" s="1610" t="e">
        <f t="shared" si="370"/>
        <v>#VALUE!</v>
      </c>
      <c r="AS334" s="1610" t="e">
        <f t="shared" si="370"/>
        <v>#VALUE!</v>
      </c>
      <c r="AT334" s="1610" t="e">
        <f t="shared" si="370"/>
        <v>#VALUE!</v>
      </c>
      <c r="AU334" s="1610" t="e">
        <f t="shared" si="370"/>
        <v>#VALUE!</v>
      </c>
      <c r="AV334" s="1610" t="e">
        <f t="shared" si="370"/>
        <v>#VALUE!</v>
      </c>
      <c r="AW334" s="1610" t="e">
        <f t="shared" si="370"/>
        <v>#VALUE!</v>
      </c>
      <c r="AX334" s="1610" t="e">
        <f t="shared" si="370"/>
        <v>#VALUE!</v>
      </c>
      <c r="AY334" s="1610" t="e">
        <f t="shared" si="370"/>
        <v>#VALUE!</v>
      </c>
      <c r="AZ334" s="1610" t="e">
        <f t="shared" si="370"/>
        <v>#VALUE!</v>
      </c>
      <c r="BA334" s="1610" t="e">
        <f t="shared" si="370"/>
        <v>#VALUE!</v>
      </c>
      <c r="BB334" s="1610" t="e">
        <f t="shared" si="370"/>
        <v>#VALUE!</v>
      </c>
      <c r="BC334" s="1610" t="e">
        <f t="shared" si="370"/>
        <v>#VALUE!</v>
      </c>
      <c r="BD334" s="1610" t="e">
        <f t="shared" si="370"/>
        <v>#VALUE!</v>
      </c>
      <c r="BE334" s="1610" t="e">
        <f t="shared" si="370"/>
        <v>#VALUE!</v>
      </c>
      <c r="BF334" s="1610" t="e">
        <f t="shared" si="370"/>
        <v>#VALUE!</v>
      </c>
      <c r="BG334" s="1610" t="e">
        <f>IF(BG$319=0,0,IF($AT$318=2,BI$319,BI$319-BI$320+BT$320))</f>
        <v>#VALUE!</v>
      </c>
      <c r="BH334" s="1610" t="e">
        <f t="shared" ref="BH334:BS334" si="371">IF(BH$319=0,0,IF($AT$318=2,BT$319,BT$319-BT$320+BU$320))</f>
        <v>#VALUE!</v>
      </c>
      <c r="BI334" s="1610" t="e">
        <f t="shared" si="371"/>
        <v>#VALUE!</v>
      </c>
      <c r="BJ334" s="1610" t="e">
        <f t="shared" si="371"/>
        <v>#VALUE!</v>
      </c>
      <c r="BK334" s="1610" t="e">
        <f t="shared" si="371"/>
        <v>#VALUE!</v>
      </c>
      <c r="BL334" s="1610" t="e">
        <f t="shared" si="371"/>
        <v>#VALUE!</v>
      </c>
      <c r="BM334" s="1610" t="e">
        <f t="shared" si="371"/>
        <v>#VALUE!</v>
      </c>
      <c r="BN334" s="1610" t="e">
        <f t="shared" si="371"/>
        <v>#VALUE!</v>
      </c>
      <c r="BO334" s="1610" t="e">
        <f t="shared" si="371"/>
        <v>#VALUE!</v>
      </c>
      <c r="BP334" s="1610" t="e">
        <f t="shared" si="371"/>
        <v>#VALUE!</v>
      </c>
      <c r="BQ334" s="1610" t="e">
        <f t="shared" si="371"/>
        <v>#VALUE!</v>
      </c>
      <c r="BR334" s="1610" t="e">
        <f t="shared" si="371"/>
        <v>#VALUE!</v>
      </c>
      <c r="BS334" s="1638" t="e">
        <f t="shared" si="371"/>
        <v>#VALUE!</v>
      </c>
      <c r="BT334" s="1142"/>
      <c r="BU334" s="1478"/>
      <c r="BV334" s="1070"/>
      <c r="BW334" s="1070"/>
    </row>
    <row r="335" spans="1:75" outlineLevel="1" x14ac:dyDescent="0.3">
      <c r="A335" s="1474"/>
      <c r="B335" s="1598"/>
      <c r="C335" s="1636" t="s">
        <v>1403</v>
      </c>
      <c r="D335" s="1116"/>
      <c r="E335" s="1116"/>
      <c r="F335" s="1637">
        <v>3</v>
      </c>
      <c r="G335" s="1610" t="e">
        <f t="shared" ref="G335:U335" si="372">IF(G$319=0,0,IF($J$318=3,J$319,J$319-J$320+K$320))</f>
        <v>#VALUE!</v>
      </c>
      <c r="H335" s="1610" t="e">
        <f t="shared" si="372"/>
        <v>#VALUE!</v>
      </c>
      <c r="I335" s="1610" t="e">
        <f t="shared" si="372"/>
        <v>#VALUE!</v>
      </c>
      <c r="J335" s="1610" t="e">
        <f t="shared" si="372"/>
        <v>#VALUE!</v>
      </c>
      <c r="K335" s="1610" t="e">
        <f t="shared" si="372"/>
        <v>#VALUE!</v>
      </c>
      <c r="L335" s="1610" t="e">
        <f t="shared" si="372"/>
        <v>#VALUE!</v>
      </c>
      <c r="M335" s="1610" t="e">
        <f t="shared" si="372"/>
        <v>#VALUE!</v>
      </c>
      <c r="N335" s="1610" t="e">
        <f t="shared" si="372"/>
        <v>#VALUE!</v>
      </c>
      <c r="O335" s="1610" t="e">
        <f t="shared" si="372"/>
        <v>#VALUE!</v>
      </c>
      <c r="P335" s="1610" t="e">
        <f t="shared" si="372"/>
        <v>#VALUE!</v>
      </c>
      <c r="Q335" s="1610" t="e">
        <f t="shared" si="372"/>
        <v>#VALUE!</v>
      </c>
      <c r="R335" s="1610" t="e">
        <f t="shared" si="372"/>
        <v>#VALUE!</v>
      </c>
      <c r="S335" s="1610" t="e">
        <f t="shared" si="372"/>
        <v>#VALUE!</v>
      </c>
      <c r="T335" s="1610" t="e">
        <f t="shared" si="372"/>
        <v>#VALUE!</v>
      </c>
      <c r="U335" s="1610" t="e">
        <f t="shared" si="372"/>
        <v>#VALUE!</v>
      </c>
      <c r="V335" s="1610" t="e">
        <f>IF(V$319=0,0,IF($J$318=3,Y$319,Y$319-Y$320+AJ$320))</f>
        <v>#VALUE!</v>
      </c>
      <c r="W335" s="1610" t="e">
        <f t="shared" ref="W335:AI335" si="373">IF(W$319=0,0,IF($J$318=3,AJ$319,AJ$319-AJ$320+AK$320))</f>
        <v>#VALUE!</v>
      </c>
      <c r="X335" s="1610" t="e">
        <f t="shared" si="373"/>
        <v>#VALUE!</v>
      </c>
      <c r="Y335" s="1610" t="e">
        <f t="shared" si="373"/>
        <v>#VALUE!</v>
      </c>
      <c r="Z335" s="1610" t="e">
        <f t="shared" si="373"/>
        <v>#VALUE!</v>
      </c>
      <c r="AA335" s="1610" t="e">
        <f t="shared" si="373"/>
        <v>#VALUE!</v>
      </c>
      <c r="AB335" s="1610" t="e">
        <f t="shared" si="373"/>
        <v>#VALUE!</v>
      </c>
      <c r="AC335" s="1610" t="e">
        <f t="shared" si="373"/>
        <v>#VALUE!</v>
      </c>
      <c r="AD335" s="1610" t="e">
        <f t="shared" si="373"/>
        <v>#VALUE!</v>
      </c>
      <c r="AE335" s="1610" t="e">
        <f t="shared" si="373"/>
        <v>#VALUE!</v>
      </c>
      <c r="AF335" s="1610" t="e">
        <f t="shared" si="373"/>
        <v>#VALUE!</v>
      </c>
      <c r="AG335" s="1610" t="e">
        <f t="shared" si="373"/>
        <v>#VALUE!</v>
      </c>
      <c r="AH335" s="1610" t="e">
        <f t="shared" si="373"/>
        <v>#VALUE!</v>
      </c>
      <c r="AI335" s="1638" t="e">
        <f t="shared" si="373"/>
        <v>#VALUE!</v>
      </c>
      <c r="AJ335" s="1476"/>
      <c r="AK335" s="1142"/>
      <c r="AL335" s="1142"/>
      <c r="AM335" s="1142"/>
      <c r="AN335" s="1142"/>
      <c r="AO335" s="1207"/>
      <c r="AP335" s="1637">
        <v>3</v>
      </c>
      <c r="AQ335" s="1610" t="e">
        <f t="shared" ref="AQ335:BE335" si="374">IF(AQ$319=0,0,IF($AT$318=3,AT$319,AT$319-AT$320+AU$320))</f>
        <v>#VALUE!</v>
      </c>
      <c r="AR335" s="1610" t="e">
        <f t="shared" si="374"/>
        <v>#VALUE!</v>
      </c>
      <c r="AS335" s="1610" t="e">
        <f t="shared" si="374"/>
        <v>#VALUE!</v>
      </c>
      <c r="AT335" s="1610" t="e">
        <f t="shared" si="374"/>
        <v>#VALUE!</v>
      </c>
      <c r="AU335" s="1610" t="e">
        <f t="shared" si="374"/>
        <v>#VALUE!</v>
      </c>
      <c r="AV335" s="1610" t="e">
        <f t="shared" si="374"/>
        <v>#VALUE!</v>
      </c>
      <c r="AW335" s="1610" t="e">
        <f t="shared" si="374"/>
        <v>#VALUE!</v>
      </c>
      <c r="AX335" s="1610" t="e">
        <f t="shared" si="374"/>
        <v>#VALUE!</v>
      </c>
      <c r="AY335" s="1610" t="e">
        <f t="shared" si="374"/>
        <v>#VALUE!</v>
      </c>
      <c r="AZ335" s="1610" t="e">
        <f t="shared" si="374"/>
        <v>#VALUE!</v>
      </c>
      <c r="BA335" s="1610" t="e">
        <f t="shared" si="374"/>
        <v>#VALUE!</v>
      </c>
      <c r="BB335" s="1610" t="e">
        <f t="shared" si="374"/>
        <v>#VALUE!</v>
      </c>
      <c r="BC335" s="1610" t="e">
        <f t="shared" si="374"/>
        <v>#VALUE!</v>
      </c>
      <c r="BD335" s="1610" t="e">
        <f t="shared" si="374"/>
        <v>#VALUE!</v>
      </c>
      <c r="BE335" s="1610" t="e">
        <f t="shared" si="374"/>
        <v>#VALUE!</v>
      </c>
      <c r="BF335" s="1610" t="e">
        <f>IF(BF$319=0,0,IF($AT$318=3,BI$319,BI$319-BI$320+BT$320))</f>
        <v>#VALUE!</v>
      </c>
      <c r="BG335" s="1610" t="e">
        <f t="shared" ref="BG335:BS335" si="375">IF(BG$319=0,0,IF($AT$318=3,BT$319,BT$319-BT$320+BU$320))</f>
        <v>#VALUE!</v>
      </c>
      <c r="BH335" s="1610" t="e">
        <f t="shared" si="375"/>
        <v>#VALUE!</v>
      </c>
      <c r="BI335" s="1610" t="e">
        <f t="shared" si="375"/>
        <v>#VALUE!</v>
      </c>
      <c r="BJ335" s="1610" t="e">
        <f t="shared" si="375"/>
        <v>#VALUE!</v>
      </c>
      <c r="BK335" s="1610" t="e">
        <f t="shared" si="375"/>
        <v>#VALUE!</v>
      </c>
      <c r="BL335" s="1610" t="e">
        <f t="shared" si="375"/>
        <v>#VALUE!</v>
      </c>
      <c r="BM335" s="1610" t="e">
        <f t="shared" si="375"/>
        <v>#VALUE!</v>
      </c>
      <c r="BN335" s="1610" t="e">
        <f t="shared" si="375"/>
        <v>#VALUE!</v>
      </c>
      <c r="BO335" s="1610" t="e">
        <f t="shared" si="375"/>
        <v>#VALUE!</v>
      </c>
      <c r="BP335" s="1610" t="e">
        <f t="shared" si="375"/>
        <v>#VALUE!</v>
      </c>
      <c r="BQ335" s="1610" t="e">
        <f t="shared" si="375"/>
        <v>#VALUE!</v>
      </c>
      <c r="BR335" s="1610" t="e">
        <f t="shared" si="375"/>
        <v>#VALUE!</v>
      </c>
      <c r="BS335" s="1638" t="e">
        <f t="shared" si="375"/>
        <v>#VALUE!</v>
      </c>
      <c r="BT335" s="1142"/>
      <c r="BU335" s="1478"/>
      <c r="BV335" s="1070"/>
      <c r="BW335" s="1070"/>
    </row>
    <row r="336" spans="1:75" outlineLevel="1" x14ac:dyDescent="0.3">
      <c r="A336" s="1474"/>
      <c r="B336" s="1598"/>
      <c r="C336" s="1639" t="s">
        <v>1404</v>
      </c>
      <c r="D336" s="1116"/>
      <c r="E336" s="1116"/>
      <c r="F336" s="1640">
        <v>4</v>
      </c>
      <c r="G336" s="1610" t="e">
        <f t="shared" ref="G336:T336" si="376">IF(G$319=0,0,IF($J$318=4,K$319,K$319-K$320+L$320))</f>
        <v>#VALUE!</v>
      </c>
      <c r="H336" s="1610" t="e">
        <f t="shared" si="376"/>
        <v>#VALUE!</v>
      </c>
      <c r="I336" s="1610" t="e">
        <f t="shared" si="376"/>
        <v>#VALUE!</v>
      </c>
      <c r="J336" s="1610" t="e">
        <f t="shared" si="376"/>
        <v>#VALUE!</v>
      </c>
      <c r="K336" s="1610" t="e">
        <f t="shared" si="376"/>
        <v>#VALUE!</v>
      </c>
      <c r="L336" s="1610" t="e">
        <f t="shared" si="376"/>
        <v>#VALUE!</v>
      </c>
      <c r="M336" s="1610" t="e">
        <f t="shared" si="376"/>
        <v>#VALUE!</v>
      </c>
      <c r="N336" s="1610" t="e">
        <f t="shared" si="376"/>
        <v>#VALUE!</v>
      </c>
      <c r="O336" s="1610" t="e">
        <f t="shared" si="376"/>
        <v>#VALUE!</v>
      </c>
      <c r="P336" s="1610" t="e">
        <f t="shared" si="376"/>
        <v>#VALUE!</v>
      </c>
      <c r="Q336" s="1610" t="e">
        <f t="shared" si="376"/>
        <v>#VALUE!</v>
      </c>
      <c r="R336" s="1610" t="e">
        <f t="shared" si="376"/>
        <v>#VALUE!</v>
      </c>
      <c r="S336" s="1610" t="e">
        <f t="shared" si="376"/>
        <v>#VALUE!</v>
      </c>
      <c r="T336" s="1610" t="e">
        <f t="shared" si="376"/>
        <v>#VALUE!</v>
      </c>
      <c r="U336" s="1610" t="e">
        <f>IF(U$319=0,0,IF($J$318=4,Y$319,Y$319-Y$320+AJ$320))</f>
        <v>#VALUE!</v>
      </c>
      <c r="V336" s="1610" t="e">
        <f t="shared" ref="V336:AI336" si="377">IF(V$319=0,0,IF($J$318=4,AJ$319,AJ$319-AJ$320+AK$320))</f>
        <v>#VALUE!</v>
      </c>
      <c r="W336" s="1610" t="e">
        <f t="shared" si="377"/>
        <v>#VALUE!</v>
      </c>
      <c r="X336" s="1610" t="e">
        <f t="shared" si="377"/>
        <v>#VALUE!</v>
      </c>
      <c r="Y336" s="1610" t="e">
        <f t="shared" si="377"/>
        <v>#VALUE!</v>
      </c>
      <c r="Z336" s="1610" t="e">
        <f t="shared" si="377"/>
        <v>#VALUE!</v>
      </c>
      <c r="AA336" s="1610" t="e">
        <f t="shared" si="377"/>
        <v>#VALUE!</v>
      </c>
      <c r="AB336" s="1610" t="e">
        <f t="shared" si="377"/>
        <v>#VALUE!</v>
      </c>
      <c r="AC336" s="1610" t="e">
        <f t="shared" si="377"/>
        <v>#VALUE!</v>
      </c>
      <c r="AD336" s="1610" t="e">
        <f t="shared" si="377"/>
        <v>#VALUE!</v>
      </c>
      <c r="AE336" s="1610" t="e">
        <f t="shared" si="377"/>
        <v>#VALUE!</v>
      </c>
      <c r="AF336" s="1610" t="e">
        <f t="shared" si="377"/>
        <v>#VALUE!</v>
      </c>
      <c r="AG336" s="1610" t="e">
        <f t="shared" si="377"/>
        <v>#VALUE!</v>
      </c>
      <c r="AH336" s="1610" t="e">
        <f t="shared" si="377"/>
        <v>#VALUE!</v>
      </c>
      <c r="AI336" s="1638" t="e">
        <f t="shared" si="377"/>
        <v>#VALUE!</v>
      </c>
      <c r="AJ336" s="1476"/>
      <c r="AK336" s="1142"/>
      <c r="AL336" s="1142"/>
      <c r="AM336" s="1142"/>
      <c r="AN336" s="1142"/>
      <c r="AO336" s="1207"/>
      <c r="AP336" s="1640">
        <v>4</v>
      </c>
      <c r="AQ336" s="1610" t="e">
        <f t="shared" ref="AQ336:BD336" si="378">IF(AQ$319=0,0,IF($AT$318=4,AU$319,AU$319-AU$320+AV$320))</f>
        <v>#VALUE!</v>
      </c>
      <c r="AR336" s="1610" t="e">
        <f t="shared" si="378"/>
        <v>#VALUE!</v>
      </c>
      <c r="AS336" s="1610" t="e">
        <f t="shared" si="378"/>
        <v>#VALUE!</v>
      </c>
      <c r="AT336" s="1610" t="e">
        <f t="shared" si="378"/>
        <v>#VALUE!</v>
      </c>
      <c r="AU336" s="1610" t="e">
        <f t="shared" si="378"/>
        <v>#VALUE!</v>
      </c>
      <c r="AV336" s="1610" t="e">
        <f t="shared" si="378"/>
        <v>#VALUE!</v>
      </c>
      <c r="AW336" s="1610" t="e">
        <f t="shared" si="378"/>
        <v>#VALUE!</v>
      </c>
      <c r="AX336" s="1610" t="e">
        <f t="shared" si="378"/>
        <v>#VALUE!</v>
      </c>
      <c r="AY336" s="1610" t="e">
        <f t="shared" si="378"/>
        <v>#VALUE!</v>
      </c>
      <c r="AZ336" s="1610" t="e">
        <f t="shared" si="378"/>
        <v>#VALUE!</v>
      </c>
      <c r="BA336" s="1610" t="e">
        <f t="shared" si="378"/>
        <v>#VALUE!</v>
      </c>
      <c r="BB336" s="1610" t="e">
        <f t="shared" si="378"/>
        <v>#VALUE!</v>
      </c>
      <c r="BC336" s="1610" t="e">
        <f t="shared" si="378"/>
        <v>#VALUE!</v>
      </c>
      <c r="BD336" s="1610" t="e">
        <f t="shared" si="378"/>
        <v>#VALUE!</v>
      </c>
      <c r="BE336" s="1610" t="e">
        <f>IF(BE$319=0,0,IF($AT$318=4,BI$319,BI$319-BI$320+BT$320))</f>
        <v>#VALUE!</v>
      </c>
      <c r="BF336" s="1610" t="e">
        <f t="shared" ref="BF336:BS336" si="379">IF(BF$319=0,0,IF($AT$318=4,BT$319,BT$319-BT$320+BU$320))</f>
        <v>#VALUE!</v>
      </c>
      <c r="BG336" s="1610" t="e">
        <f t="shared" si="379"/>
        <v>#VALUE!</v>
      </c>
      <c r="BH336" s="1610" t="e">
        <f t="shared" si="379"/>
        <v>#VALUE!</v>
      </c>
      <c r="BI336" s="1610" t="e">
        <f t="shared" si="379"/>
        <v>#VALUE!</v>
      </c>
      <c r="BJ336" s="1610" t="e">
        <f t="shared" si="379"/>
        <v>#VALUE!</v>
      </c>
      <c r="BK336" s="1610" t="e">
        <f t="shared" si="379"/>
        <v>#VALUE!</v>
      </c>
      <c r="BL336" s="1610" t="e">
        <f t="shared" si="379"/>
        <v>#VALUE!</v>
      </c>
      <c r="BM336" s="1610" t="e">
        <f t="shared" si="379"/>
        <v>#VALUE!</v>
      </c>
      <c r="BN336" s="1610" t="e">
        <f t="shared" si="379"/>
        <v>#VALUE!</v>
      </c>
      <c r="BO336" s="1610" t="e">
        <f t="shared" si="379"/>
        <v>#VALUE!</v>
      </c>
      <c r="BP336" s="1610" t="e">
        <f t="shared" si="379"/>
        <v>#VALUE!</v>
      </c>
      <c r="BQ336" s="1610" t="e">
        <f t="shared" si="379"/>
        <v>#VALUE!</v>
      </c>
      <c r="BR336" s="1610" t="e">
        <f t="shared" si="379"/>
        <v>#VALUE!</v>
      </c>
      <c r="BS336" s="1638" t="e">
        <f t="shared" si="379"/>
        <v>#VALUE!</v>
      </c>
      <c r="BT336" s="1142"/>
      <c r="BU336" s="1478"/>
      <c r="BV336" s="1070"/>
      <c r="BW336" s="1070"/>
    </row>
    <row r="337" spans="1:75" outlineLevel="1" x14ac:dyDescent="0.3">
      <c r="A337" s="1474"/>
      <c r="B337" s="1598"/>
      <c r="C337" s="1643" t="s">
        <v>1405</v>
      </c>
      <c r="D337" s="1116"/>
      <c r="E337" s="1116"/>
      <c r="F337" s="1644"/>
      <c r="G337" s="1634" t="e">
        <f t="shared" ref="G337:AI337" si="380">G319/(1+DiscRDE)^G304</f>
        <v>#VALUE!</v>
      </c>
      <c r="H337" s="1634" t="e">
        <f t="shared" si="380"/>
        <v>#VALUE!</v>
      </c>
      <c r="I337" s="1634" t="e">
        <f t="shared" si="380"/>
        <v>#VALUE!</v>
      </c>
      <c r="J337" s="1634" t="e">
        <f t="shared" si="380"/>
        <v>#VALUE!</v>
      </c>
      <c r="K337" s="1634" t="e">
        <f t="shared" si="380"/>
        <v>#VALUE!</v>
      </c>
      <c r="L337" s="1634" t="e">
        <f t="shared" si="380"/>
        <v>#VALUE!</v>
      </c>
      <c r="M337" s="1634" t="e">
        <f t="shared" si="380"/>
        <v>#VALUE!</v>
      </c>
      <c r="N337" s="1634" t="e">
        <f t="shared" si="380"/>
        <v>#VALUE!</v>
      </c>
      <c r="O337" s="1634" t="e">
        <f t="shared" si="380"/>
        <v>#VALUE!</v>
      </c>
      <c r="P337" s="1634" t="e">
        <f t="shared" si="380"/>
        <v>#VALUE!</v>
      </c>
      <c r="Q337" s="1634" t="e">
        <f t="shared" si="380"/>
        <v>#VALUE!</v>
      </c>
      <c r="R337" s="1634" t="e">
        <f t="shared" si="380"/>
        <v>#VALUE!</v>
      </c>
      <c r="S337" s="1634" t="e">
        <f t="shared" si="380"/>
        <v>#VALUE!</v>
      </c>
      <c r="T337" s="1634" t="e">
        <f t="shared" si="380"/>
        <v>#VALUE!</v>
      </c>
      <c r="U337" s="1634" t="e">
        <f t="shared" si="380"/>
        <v>#VALUE!</v>
      </c>
      <c r="V337" s="1634" t="e">
        <f t="shared" si="380"/>
        <v>#VALUE!</v>
      </c>
      <c r="W337" s="1634" t="e">
        <f t="shared" si="380"/>
        <v>#VALUE!</v>
      </c>
      <c r="X337" s="1634" t="e">
        <f t="shared" si="380"/>
        <v>#VALUE!</v>
      </c>
      <c r="Y337" s="1634" t="e">
        <f t="shared" si="380"/>
        <v>#VALUE!</v>
      </c>
      <c r="Z337" s="1634" t="e">
        <f t="shared" si="380"/>
        <v>#VALUE!</v>
      </c>
      <c r="AA337" s="1634" t="e">
        <f t="shared" si="380"/>
        <v>#VALUE!</v>
      </c>
      <c r="AB337" s="1634" t="e">
        <f t="shared" si="380"/>
        <v>#VALUE!</v>
      </c>
      <c r="AC337" s="1634" t="e">
        <f t="shared" si="380"/>
        <v>#VALUE!</v>
      </c>
      <c r="AD337" s="1634" t="e">
        <f t="shared" si="380"/>
        <v>#VALUE!</v>
      </c>
      <c r="AE337" s="1634" t="e">
        <f t="shared" si="380"/>
        <v>#VALUE!</v>
      </c>
      <c r="AF337" s="1634" t="e">
        <f t="shared" si="380"/>
        <v>#VALUE!</v>
      </c>
      <c r="AG337" s="1634" t="e">
        <f t="shared" si="380"/>
        <v>#VALUE!</v>
      </c>
      <c r="AH337" s="1634" t="e">
        <f t="shared" si="380"/>
        <v>#VALUE!</v>
      </c>
      <c r="AI337" s="1635" t="e">
        <f t="shared" si="380"/>
        <v>#VALUE!</v>
      </c>
      <c r="AJ337" s="1476"/>
      <c r="AK337" s="1142"/>
      <c r="AL337" s="1142"/>
      <c r="AM337" s="1142"/>
      <c r="AN337" s="1142"/>
      <c r="AO337" s="1207"/>
      <c r="AP337" s="1644"/>
      <c r="AQ337" s="1634" t="e">
        <f t="shared" ref="AQ337:BS337" si="381">AQ319/(1+DiscRDE)^AQ304</f>
        <v>#VALUE!</v>
      </c>
      <c r="AR337" s="1634" t="e">
        <f t="shared" si="381"/>
        <v>#VALUE!</v>
      </c>
      <c r="AS337" s="1634" t="e">
        <f t="shared" si="381"/>
        <v>#VALUE!</v>
      </c>
      <c r="AT337" s="1634" t="e">
        <f t="shared" si="381"/>
        <v>#VALUE!</v>
      </c>
      <c r="AU337" s="1634" t="e">
        <f t="shared" si="381"/>
        <v>#VALUE!</v>
      </c>
      <c r="AV337" s="1634" t="e">
        <f t="shared" si="381"/>
        <v>#VALUE!</v>
      </c>
      <c r="AW337" s="1634" t="e">
        <f t="shared" si="381"/>
        <v>#VALUE!</v>
      </c>
      <c r="AX337" s="1634" t="e">
        <f t="shared" si="381"/>
        <v>#VALUE!</v>
      </c>
      <c r="AY337" s="1634" t="e">
        <f t="shared" si="381"/>
        <v>#VALUE!</v>
      </c>
      <c r="AZ337" s="1634" t="e">
        <f t="shared" si="381"/>
        <v>#VALUE!</v>
      </c>
      <c r="BA337" s="1634" t="e">
        <f t="shared" si="381"/>
        <v>#VALUE!</v>
      </c>
      <c r="BB337" s="1634" t="e">
        <f t="shared" si="381"/>
        <v>#VALUE!</v>
      </c>
      <c r="BC337" s="1634" t="e">
        <f t="shared" si="381"/>
        <v>#VALUE!</v>
      </c>
      <c r="BD337" s="1634" t="e">
        <f t="shared" si="381"/>
        <v>#VALUE!</v>
      </c>
      <c r="BE337" s="1634" t="e">
        <f t="shared" si="381"/>
        <v>#VALUE!</v>
      </c>
      <c r="BF337" s="1634" t="e">
        <f t="shared" si="381"/>
        <v>#VALUE!</v>
      </c>
      <c r="BG337" s="1634" t="e">
        <f t="shared" si="381"/>
        <v>#VALUE!</v>
      </c>
      <c r="BH337" s="1634" t="e">
        <f t="shared" si="381"/>
        <v>#VALUE!</v>
      </c>
      <c r="BI337" s="1634" t="e">
        <f t="shared" si="381"/>
        <v>#VALUE!</v>
      </c>
      <c r="BJ337" s="1634" t="e">
        <f t="shared" si="381"/>
        <v>#VALUE!</v>
      </c>
      <c r="BK337" s="1634" t="e">
        <f t="shared" si="381"/>
        <v>#VALUE!</v>
      </c>
      <c r="BL337" s="1634" t="e">
        <f t="shared" si="381"/>
        <v>#VALUE!</v>
      </c>
      <c r="BM337" s="1634" t="e">
        <f t="shared" si="381"/>
        <v>#VALUE!</v>
      </c>
      <c r="BN337" s="1634" t="e">
        <f t="shared" si="381"/>
        <v>#VALUE!</v>
      </c>
      <c r="BO337" s="1634" t="e">
        <f t="shared" si="381"/>
        <v>#VALUE!</v>
      </c>
      <c r="BP337" s="1634" t="e">
        <f t="shared" si="381"/>
        <v>#VALUE!</v>
      </c>
      <c r="BQ337" s="1634" t="e">
        <f t="shared" si="381"/>
        <v>#VALUE!</v>
      </c>
      <c r="BR337" s="1634" t="e">
        <f t="shared" si="381"/>
        <v>#VALUE!</v>
      </c>
      <c r="BS337" s="1635" t="e">
        <f t="shared" si="381"/>
        <v>#VALUE!</v>
      </c>
      <c r="BT337" s="1142"/>
      <c r="BU337" s="1478"/>
      <c r="BV337" s="1070"/>
      <c r="BW337" s="1070"/>
    </row>
    <row r="338" spans="1:75" outlineLevel="1" x14ac:dyDescent="0.3">
      <c r="A338" s="1474"/>
      <c r="B338" s="1598"/>
      <c r="C338" s="1645" t="s">
        <v>1406</v>
      </c>
      <c r="D338" s="1226"/>
      <c r="E338" s="1226"/>
      <c r="F338" s="1646"/>
      <c r="G338" s="1641" t="e">
        <f>VLOOKUP(ABS($K$318),$F$332:$AI$336,2,0)/(1+DiscRDE)^G304</f>
        <v>#VALUE!</v>
      </c>
      <c r="H338" s="1641" t="e">
        <f>VLOOKUP(ABS($K$318),$F$332:$AI$336,3,0)/(1+DiscRDE)^H304</f>
        <v>#VALUE!</v>
      </c>
      <c r="I338" s="1641" t="e">
        <f>VLOOKUP(ABS($K$318),$F$332:$AI$336,4,0)/(1+DiscRDE)^I304</f>
        <v>#VALUE!</v>
      </c>
      <c r="J338" s="1641" t="e">
        <f>VLOOKUP(ABS($K$318),$F$332:$AI$336,5,0)/(1+DiscRDE)^J304</f>
        <v>#VALUE!</v>
      </c>
      <c r="K338" s="1641" t="e">
        <f>VLOOKUP(ABS($K$318),$F$332:$AI$336,6,0)/(1+DiscRDE)^K304</f>
        <v>#VALUE!</v>
      </c>
      <c r="L338" s="1641" t="e">
        <f>VLOOKUP(ABS($K$318),$F$332:$AI$336,7,0)/(1+DiscRDE)^L304</f>
        <v>#VALUE!</v>
      </c>
      <c r="M338" s="1641" t="e">
        <f>VLOOKUP(ABS($K$318),$F$332:$AI$336,8,0)/(1+DiscRDE)^M304</f>
        <v>#VALUE!</v>
      </c>
      <c r="N338" s="1641" t="e">
        <f>VLOOKUP(ABS($K$318),$F$332:$AI$336,9,0)/(1+DiscRDE)^N304</f>
        <v>#VALUE!</v>
      </c>
      <c r="O338" s="1641" t="e">
        <f>VLOOKUP(ABS($K$318),$F$332:$AI$336,10,0)/(1+DiscRDE)^O304</f>
        <v>#VALUE!</v>
      </c>
      <c r="P338" s="1641" t="e">
        <f>VLOOKUP(ABS($K$318),$F$332:$AI$336,11,0)/(1+DiscRDE)^P304</f>
        <v>#VALUE!</v>
      </c>
      <c r="Q338" s="1641" t="e">
        <f>VLOOKUP(ABS($K$318),$F$332:$AI$336,12,0)/(1+DiscRDE)^Q304</f>
        <v>#VALUE!</v>
      </c>
      <c r="R338" s="1641" t="e">
        <f>VLOOKUP(ABS($K$318),$F$332:$AI$336,13,0)/(1+DiscRDE)^R304</f>
        <v>#VALUE!</v>
      </c>
      <c r="S338" s="1641" t="e">
        <f>VLOOKUP(ABS($K$318),$F$332:$AI$336,14,0)/(1+DiscRDE)^S304</f>
        <v>#VALUE!</v>
      </c>
      <c r="T338" s="1641" t="e">
        <f>VLOOKUP(ABS($K$318),$F$332:$AI$336,15,0)/(1+DiscRDE)^T304</f>
        <v>#VALUE!</v>
      </c>
      <c r="U338" s="1641" t="e">
        <f>VLOOKUP(ABS($K$318),$F$332:$AI$336,16,0)/(1+DiscRDE)^U304</f>
        <v>#VALUE!</v>
      </c>
      <c r="V338" s="1641" t="e">
        <f>VLOOKUP(ABS($K$318),$F$332:$AI$336,17,0)/(1+DiscRDE)^V304</f>
        <v>#VALUE!</v>
      </c>
      <c r="W338" s="1641" t="e">
        <f>VLOOKUP(ABS($K$318),$F$332:$AI$336,18,0)/(1+DiscRDE)^W304</f>
        <v>#VALUE!</v>
      </c>
      <c r="X338" s="1641" t="e">
        <f>VLOOKUP(ABS($K$318),$F$332:$AI$336,19,0)/(1+DiscRDE)^X304</f>
        <v>#VALUE!</v>
      </c>
      <c r="Y338" s="1641" t="e">
        <f>VLOOKUP(ABS($K$318),$F$332:$AI$336,20,0)/(1+DiscRDE)^Y304</f>
        <v>#VALUE!</v>
      </c>
      <c r="Z338" s="1641" t="e">
        <f>VLOOKUP(ABS($K$318),$F$332:$AI$336,21,0)/(1+DiscRDE)^Z304</f>
        <v>#VALUE!</v>
      </c>
      <c r="AA338" s="1641" t="e">
        <f>VLOOKUP(ABS($K$318),$F$332:$AI$336,22,0)/(1+DiscRDE)^AA304</f>
        <v>#VALUE!</v>
      </c>
      <c r="AB338" s="1641" t="e">
        <f>VLOOKUP(ABS($K$318),$F$332:$AI$336,23,0)/(1+DiscRDE)^AB304</f>
        <v>#VALUE!</v>
      </c>
      <c r="AC338" s="1641" t="e">
        <f>VLOOKUP(ABS($K$318),$F$332:$AI$336,24,0)/(1+DiscRDE)^AC304</f>
        <v>#VALUE!</v>
      </c>
      <c r="AD338" s="1641" t="e">
        <f>VLOOKUP(ABS($K$318),$F$332:$AI$336,25,0)/(1+DiscRDE)^AD304</f>
        <v>#VALUE!</v>
      </c>
      <c r="AE338" s="1641" t="e">
        <f>VLOOKUP(ABS($K$318),$F$332:$AI$336,26,0)/(1+DiscRDE)^AE304</f>
        <v>#VALUE!</v>
      </c>
      <c r="AF338" s="1641" t="e">
        <f>VLOOKUP(ABS($K$318),$F$332:$AI$336,27,0)/(1+DiscRDE)^AF304</f>
        <v>#VALUE!</v>
      </c>
      <c r="AG338" s="1641" t="e">
        <f>VLOOKUP(ABS($K$318),$F$332:$AI$336,28,0)/(1+DiscRDE)^AG304</f>
        <v>#VALUE!</v>
      </c>
      <c r="AH338" s="1641" t="e">
        <f>VLOOKUP(ABS($K$318),$F$332:$AI$336,29,0)/(1+DiscRDE)^AH304</f>
        <v>#VALUE!</v>
      </c>
      <c r="AI338" s="1642" t="e">
        <f>VLOOKUP(ABS($K$318),$F$332:$AI$336,30,0)/(1+DiscRDE)^AI304</f>
        <v>#VALUE!</v>
      </c>
      <c r="AJ338" s="1476"/>
      <c r="AK338" s="1142"/>
      <c r="AL338" s="1142"/>
      <c r="AM338" s="1142"/>
      <c r="AN338" s="1142"/>
      <c r="AO338" s="1207"/>
      <c r="AP338" s="1648"/>
      <c r="AQ338" s="1647" t="e">
        <f>VLOOKUP(ABS($AU$318),$AP$332:$BS$336,2,0)/(1+DiscRDE)^AQ304</f>
        <v>#VALUE!</v>
      </c>
      <c r="AR338" s="1641" t="e">
        <f>VLOOKUP(ABS($AU$318),$AP$332:$BS$336,3,0)/(1+DiscRDE)^AR304</f>
        <v>#VALUE!</v>
      </c>
      <c r="AS338" s="1641" t="e">
        <f>VLOOKUP(ABS($AU$318),$AP$332:$BS$336,4,0)/(1+DiscRDE)^AS304</f>
        <v>#VALUE!</v>
      </c>
      <c r="AT338" s="1641" t="e">
        <f>VLOOKUP(ABS($AU$318),$AP$332:$BS$336,5,0)/(1+DiscRDE)^AT304</f>
        <v>#VALUE!</v>
      </c>
      <c r="AU338" s="1641" t="e">
        <f>VLOOKUP(ABS($AU$318),$AP$332:$BS$336,6,0)/(1+DiscRDE)^AU304</f>
        <v>#VALUE!</v>
      </c>
      <c r="AV338" s="1641" t="e">
        <f>VLOOKUP(ABS($AU$318),$AP$332:$BS$336,7,0)/(1+DiscRDE)^AV304</f>
        <v>#VALUE!</v>
      </c>
      <c r="AW338" s="1641" t="e">
        <f>VLOOKUP(ABS($AU$318),$AP$332:$BS$336,8,0)/(1+DiscRDE)^AW304</f>
        <v>#VALUE!</v>
      </c>
      <c r="AX338" s="1641" t="e">
        <f>VLOOKUP(ABS($AU$318),$AP$332:$BS$336,9,0)/(1+DiscRDE)^AX304</f>
        <v>#VALUE!</v>
      </c>
      <c r="AY338" s="1641" t="e">
        <f>VLOOKUP(ABS($AU$318),$AP$332:$BS$336,10,0)/(1+DiscRDE)^AY304</f>
        <v>#VALUE!</v>
      </c>
      <c r="AZ338" s="1641" t="e">
        <f>VLOOKUP(ABS($AU$318),$AP$332:$BS$336,11,0)/(1+DiscRDE)^AZ304</f>
        <v>#VALUE!</v>
      </c>
      <c r="BA338" s="1641" t="e">
        <f>VLOOKUP(ABS($AU$318),$AP$332:$BS$336,12,0)/(1+DiscRDE)^BA304</f>
        <v>#VALUE!</v>
      </c>
      <c r="BB338" s="1641" t="e">
        <f>VLOOKUP(ABS($AU$318),$AP$332:$BS$336,13,0)/(1+DiscRDE)^BB304</f>
        <v>#VALUE!</v>
      </c>
      <c r="BC338" s="1641" t="e">
        <f>VLOOKUP(ABS($AU$318),$AP$332:$BS$336,14,0)/(1+DiscRDE)^BC304</f>
        <v>#VALUE!</v>
      </c>
      <c r="BD338" s="1641" t="e">
        <f>VLOOKUP(ABS($AU$318),$AP$332:$BS$336,15,0)/(1+DiscRDE)^BD304</f>
        <v>#VALUE!</v>
      </c>
      <c r="BE338" s="1641" t="e">
        <f>VLOOKUP(ABS($AU$318),$AP$332:$BS$336,16,0)/(1+DiscRDE)^BE304</f>
        <v>#VALUE!</v>
      </c>
      <c r="BF338" s="1641" t="e">
        <f>VLOOKUP(ABS($AU$318),$AP$332:$BS$336,17,0)/(1+DiscRDE)^BF304</f>
        <v>#VALUE!</v>
      </c>
      <c r="BG338" s="1641" t="e">
        <f>VLOOKUP(ABS($AU$318),$AP$332:$BS$336,18,0)/(1+DiscRDE)^BG304</f>
        <v>#VALUE!</v>
      </c>
      <c r="BH338" s="1641" t="e">
        <f>VLOOKUP(ABS($AU$318),$AP$332:$BS$336,19,0)/(1+DiscRDE)^BH304</f>
        <v>#VALUE!</v>
      </c>
      <c r="BI338" s="1641" t="e">
        <f>VLOOKUP(ABS($AU$318),$AP$332:$BS$336,20,0)/(1+DiscRDE)^BI304</f>
        <v>#VALUE!</v>
      </c>
      <c r="BJ338" s="1641" t="e">
        <f>VLOOKUP(ABS($AU$318),$AP$332:$BS$336,21,0)/(1+DiscRDE)^BJ304</f>
        <v>#VALUE!</v>
      </c>
      <c r="BK338" s="1641" t="e">
        <f>VLOOKUP(ABS($AU$318),$AP$332:$BS$336,22,0)/(1+DiscRDE)^BK304</f>
        <v>#VALUE!</v>
      </c>
      <c r="BL338" s="1641" t="e">
        <f>VLOOKUP(ABS($AU$318),$AP$332:$BS$336,23,0)/(1+DiscRDE)^BL304</f>
        <v>#VALUE!</v>
      </c>
      <c r="BM338" s="1641" t="e">
        <f>VLOOKUP(ABS($AU$318),$AP$332:$BS$336,24,0)/(1+DiscRDE)^BM304</f>
        <v>#VALUE!</v>
      </c>
      <c r="BN338" s="1641" t="e">
        <f>VLOOKUP(ABS($AU$318),$AP$332:$BS$336,25,0)/(1+DiscRDE)^BN304</f>
        <v>#VALUE!</v>
      </c>
      <c r="BO338" s="1641" t="e">
        <f>VLOOKUP(ABS($AU$318),$AP$332:$BS$336,26,0)/(1+DiscRDE)^BO304</f>
        <v>#VALUE!</v>
      </c>
      <c r="BP338" s="1641" t="e">
        <f>VLOOKUP(ABS($AU$318),$AP$332:$BS$336,27,0)/(1+DiscRDE)^BP304</f>
        <v>#VALUE!</v>
      </c>
      <c r="BQ338" s="1641" t="e">
        <f>VLOOKUP(ABS($AU$318),$AP$332:$BS$336,28,0)/(1+DiscRDE)^BQ304</f>
        <v>#VALUE!</v>
      </c>
      <c r="BR338" s="1641" t="e">
        <f>VLOOKUP(ABS($AU$318),$AP$332:$BS$336,29,0)/(1+DiscRDE)^BR304</f>
        <v>#VALUE!</v>
      </c>
      <c r="BS338" s="1642" t="e">
        <f>VLOOKUP(ABS($AU$318),$AP$332:$BS$336,30,0)/(1+DiscRDE)^BS304</f>
        <v>#VALUE!</v>
      </c>
      <c r="BT338" s="1142"/>
      <c r="BU338" s="1478"/>
      <c r="BV338" s="1070"/>
      <c r="BW338" s="1070"/>
    </row>
    <row r="339" spans="1:75" outlineLevel="1" x14ac:dyDescent="0.3">
      <c r="A339" s="1474"/>
      <c r="B339" s="1207"/>
      <c r="C339" s="1116"/>
      <c r="D339" s="1116"/>
      <c r="E339" s="1116"/>
      <c r="F339" s="1116"/>
      <c r="G339" s="1116"/>
      <c r="H339" s="1116"/>
      <c r="I339" s="1116"/>
      <c r="J339" s="1116"/>
      <c r="K339" s="1116"/>
      <c r="L339" s="1116"/>
      <c r="M339" s="1116"/>
      <c r="N339" s="1116"/>
      <c r="O339" s="1116"/>
      <c r="P339" s="1116"/>
      <c r="Q339" s="1116"/>
      <c r="R339" s="1116"/>
      <c r="S339" s="1116"/>
      <c r="T339" s="1116"/>
      <c r="U339" s="1116"/>
      <c r="V339" s="1116"/>
      <c r="W339" s="1116"/>
      <c r="X339" s="1116"/>
      <c r="Y339" s="1116"/>
      <c r="Z339" s="1116"/>
      <c r="AA339" s="1116"/>
      <c r="AB339" s="1116"/>
      <c r="AC339" s="1116"/>
      <c r="AD339" s="1116"/>
      <c r="AE339" s="1116"/>
      <c r="AF339" s="1116"/>
      <c r="AG339" s="1116"/>
      <c r="AH339" s="1116"/>
      <c r="AI339" s="1477"/>
      <c r="AJ339" s="1476"/>
      <c r="AK339" s="1142"/>
      <c r="AL339" s="1142"/>
      <c r="AM339" s="1142"/>
      <c r="AN339" s="1142"/>
      <c r="AO339" s="1207"/>
      <c r="AP339" s="1116"/>
      <c r="AQ339" s="1116"/>
      <c r="AR339" s="1116"/>
      <c r="AS339" s="1116"/>
      <c r="AT339" s="1116"/>
      <c r="AU339" s="1116"/>
      <c r="AV339" s="1116"/>
      <c r="AW339" s="1116"/>
      <c r="AX339" s="1116"/>
      <c r="AY339" s="1116"/>
      <c r="AZ339" s="1116"/>
      <c r="BA339" s="1116"/>
      <c r="BB339" s="1116"/>
      <c r="BC339" s="1116"/>
      <c r="BD339" s="1116"/>
      <c r="BE339" s="1116"/>
      <c r="BF339" s="1116"/>
      <c r="BG339" s="1116"/>
      <c r="BH339" s="1116"/>
      <c r="BI339" s="1116"/>
      <c r="BJ339" s="1116"/>
      <c r="BK339" s="1116"/>
      <c r="BL339" s="1116"/>
      <c r="BM339" s="1116"/>
      <c r="BN339" s="1116"/>
      <c r="BO339" s="1116"/>
      <c r="BP339" s="1116"/>
      <c r="BQ339" s="1116"/>
      <c r="BR339" s="1116"/>
      <c r="BS339" s="1477"/>
      <c r="BT339" s="1142"/>
      <c r="BU339" s="1478"/>
      <c r="BV339" s="1070"/>
      <c r="BW339" s="1070"/>
    </row>
    <row r="340" spans="1:75" outlineLevel="1" x14ac:dyDescent="0.3">
      <c r="A340" s="1474"/>
      <c r="B340" s="1599"/>
      <c r="C340" s="1222"/>
      <c r="D340" s="1222"/>
      <c r="E340" s="1222"/>
      <c r="F340" s="1222"/>
      <c r="G340" s="1222"/>
      <c r="H340" s="1222"/>
      <c r="I340" s="1222"/>
      <c r="J340" s="1222"/>
      <c r="K340" s="1222"/>
      <c r="L340" s="1222"/>
      <c r="M340" s="1222"/>
      <c r="N340" s="1222"/>
      <c r="O340" s="1222"/>
      <c r="P340" s="1222"/>
      <c r="Q340" s="1222"/>
      <c r="R340" s="1222"/>
      <c r="S340" s="1222"/>
      <c r="T340" s="1222"/>
      <c r="U340" s="1222"/>
      <c r="V340" s="1222"/>
      <c r="W340" s="1222"/>
      <c r="X340" s="1222"/>
      <c r="Y340" s="1222"/>
      <c r="Z340" s="1222"/>
      <c r="AA340" s="1222"/>
      <c r="AB340" s="1222"/>
      <c r="AC340" s="1222"/>
      <c r="AD340" s="1222"/>
      <c r="AE340" s="1222"/>
      <c r="AF340" s="1222"/>
      <c r="AG340" s="1222"/>
      <c r="AH340" s="1222"/>
      <c r="AI340" s="1230"/>
      <c r="AJ340" s="1476"/>
      <c r="AK340" s="1142"/>
      <c r="AL340" s="1142"/>
      <c r="AM340" s="1142"/>
      <c r="AN340" s="1142"/>
      <c r="AO340" s="1599"/>
      <c r="AP340" s="1222"/>
      <c r="AQ340" s="1222"/>
      <c r="AR340" s="1222"/>
      <c r="AS340" s="1222"/>
      <c r="AT340" s="1222"/>
      <c r="AU340" s="1222"/>
      <c r="AV340" s="1222"/>
      <c r="AW340" s="1222"/>
      <c r="AX340" s="1222"/>
      <c r="AY340" s="1222"/>
      <c r="AZ340" s="1222"/>
      <c r="BA340" s="1222"/>
      <c r="BB340" s="1222"/>
      <c r="BC340" s="1222"/>
      <c r="BD340" s="1222"/>
      <c r="BE340" s="1222"/>
      <c r="BF340" s="1222"/>
      <c r="BG340" s="1222"/>
      <c r="BH340" s="1222"/>
      <c r="BI340" s="1222"/>
      <c r="BJ340" s="1222"/>
      <c r="BK340" s="1222"/>
      <c r="BL340" s="1222"/>
      <c r="BM340" s="1222"/>
      <c r="BN340" s="1222"/>
      <c r="BO340" s="1222"/>
      <c r="BP340" s="1222"/>
      <c r="BQ340" s="1222"/>
      <c r="BR340" s="1222"/>
      <c r="BS340" s="1230"/>
      <c r="BT340" s="1142"/>
      <c r="BU340" s="1478"/>
      <c r="BV340" s="1070"/>
      <c r="BW340" s="1070"/>
    </row>
    <row r="341" spans="1:75" outlineLevel="1" x14ac:dyDescent="0.3">
      <c r="A341" s="1474"/>
      <c r="B341" s="1598" t="s">
        <v>1369</v>
      </c>
      <c r="C341" s="1116"/>
      <c r="D341" s="1116"/>
      <c r="E341" s="1116"/>
      <c r="F341" s="1116"/>
      <c r="G341" s="1116"/>
      <c r="H341" s="1116"/>
      <c r="I341" s="1116"/>
      <c r="J341" s="1116"/>
      <c r="K341" s="1116"/>
      <c r="L341" s="1116"/>
      <c r="M341" s="1116"/>
      <c r="N341" s="1116"/>
      <c r="O341" s="1116"/>
      <c r="P341" s="1116"/>
      <c r="Q341" s="1116"/>
      <c r="R341" s="1116"/>
      <c r="S341" s="1116"/>
      <c r="T341" s="1116"/>
      <c r="U341" s="1116"/>
      <c r="V341" s="1116"/>
      <c r="W341" s="1116"/>
      <c r="X341" s="1116"/>
      <c r="Y341" s="1116"/>
      <c r="Z341" s="1116"/>
      <c r="AA341" s="1116"/>
      <c r="AB341" s="1116"/>
      <c r="AC341" s="1116"/>
      <c r="AD341" s="1116"/>
      <c r="AE341" s="1116"/>
      <c r="AF341" s="1116"/>
      <c r="AG341" s="1116"/>
      <c r="AH341" s="1116"/>
      <c r="AI341" s="1477"/>
      <c r="AJ341" s="1476"/>
      <c r="AK341" s="1142"/>
      <c r="AL341" s="1142"/>
      <c r="AM341" s="1142"/>
      <c r="AN341" s="1142"/>
      <c r="AO341" s="1598" t="s">
        <v>1369</v>
      </c>
      <c r="AP341" s="1116"/>
      <c r="AQ341" s="1475" t="s">
        <v>1369</v>
      </c>
      <c r="AR341" s="1116"/>
      <c r="AS341" s="1116"/>
      <c r="AT341" s="1116"/>
      <c r="AU341" s="1116"/>
      <c r="AV341" s="1116"/>
      <c r="AW341" s="1116"/>
      <c r="AX341" s="1116"/>
      <c r="AY341" s="1116"/>
      <c r="AZ341" s="1116"/>
      <c r="BA341" s="1116"/>
      <c r="BB341" s="1116"/>
      <c r="BC341" s="1116"/>
      <c r="BD341" s="1116"/>
      <c r="BE341" s="1116"/>
      <c r="BF341" s="1116"/>
      <c r="BG341" s="1116"/>
      <c r="BH341" s="1116"/>
      <c r="BI341" s="1116"/>
      <c r="BJ341" s="1116"/>
      <c r="BK341" s="1116"/>
      <c r="BL341" s="1116"/>
      <c r="BM341" s="1116"/>
      <c r="BN341" s="1116"/>
      <c r="BO341" s="1116"/>
      <c r="BP341" s="1116"/>
      <c r="BQ341" s="1116"/>
      <c r="BR341" s="1116"/>
      <c r="BS341" s="1477"/>
      <c r="BT341" s="1142"/>
      <c r="BU341" s="1478"/>
      <c r="BV341" s="1070"/>
      <c r="BW341" s="1070"/>
    </row>
    <row r="342" spans="1:75" outlineLevel="1" x14ac:dyDescent="0.3">
      <c r="A342" s="1474"/>
      <c r="B342" s="1207" t="s">
        <v>1409</v>
      </c>
      <c r="C342" s="1116"/>
      <c r="D342" s="1116"/>
      <c r="E342" s="1116"/>
      <c r="F342" s="1116"/>
      <c r="G342" s="1229" t="str">
        <f>"Act/Proj at"&amp;Comp&amp;" timeframe"</f>
        <v>Act/Proj atDef Exit timeframe</v>
      </c>
      <c r="H342" s="1222"/>
      <c r="I342" s="1649" t="e">
        <f>SUMIF(G305:AI305,1,G131:AI131)/SUMIF(G305:AI305,1,G127:AI127)</f>
        <v>#DIV/0!</v>
      </c>
      <c r="J342" s="1116"/>
      <c r="K342" s="1229" t="str">
        <f>Comp</f>
        <v>Def Exit</v>
      </c>
      <c r="L342" s="1649" t="e">
        <f>SUMIF(G305:AI305,1,AQ131:BS131)/SUMIF(G305:AI305,1,AQ127:BS127)</f>
        <v>#DIV/0!</v>
      </c>
      <c r="M342" s="1116"/>
      <c r="N342" s="1116"/>
      <c r="O342" s="1116"/>
      <c r="P342" s="1116"/>
      <c r="Q342" s="1116"/>
      <c r="R342" s="1116"/>
      <c r="S342" s="1116"/>
      <c r="T342" s="1116"/>
      <c r="U342" s="1116"/>
      <c r="V342" s="1116"/>
      <c r="W342" s="1116"/>
      <c r="X342" s="1116"/>
      <c r="Y342" s="1116"/>
      <c r="Z342" s="1116"/>
      <c r="AA342" s="1116"/>
      <c r="AB342" s="1116"/>
      <c r="AC342" s="1116"/>
      <c r="AD342" s="1116"/>
      <c r="AE342" s="1116"/>
      <c r="AF342" s="1116"/>
      <c r="AG342" s="1116"/>
      <c r="AH342" s="1116"/>
      <c r="AI342" s="1477"/>
      <c r="AJ342" s="1476"/>
      <c r="AK342" s="1142"/>
      <c r="AL342" s="1142"/>
      <c r="AM342" s="1142"/>
      <c r="AN342" s="1142"/>
      <c r="AO342" s="1207" t="s">
        <v>1409</v>
      </c>
      <c r="AP342" s="1116"/>
      <c r="AQ342" s="1229" t="str">
        <f>"Act/Proj at"&amp;Comp&amp;" timeframe"</f>
        <v>Act/Proj atDef Exit timeframe</v>
      </c>
      <c r="AR342" s="1222"/>
      <c r="AS342" s="1650" t="e">
        <f>SUMIF(AQ305:BS305,1,G131:AI131)/SUMIF(AQ305:BS305,1,G127:AI127)</f>
        <v>#DIV/0!</v>
      </c>
      <c r="AT342" s="1618"/>
      <c r="AU342" s="1222" t="str">
        <f>Comp</f>
        <v>Def Exit</v>
      </c>
      <c r="AV342" s="1651" t="e">
        <f>SUMIF(AQ305:BS305,1,AQ131:BS131)/SUMIF(AQ305:BS305,1,AQ127:BS127)</f>
        <v>#DIV/0!</v>
      </c>
      <c r="AW342" s="1116"/>
      <c r="AX342" s="1116"/>
      <c r="AY342" s="1116"/>
      <c r="AZ342" s="1116"/>
      <c r="BA342" s="1116"/>
      <c r="BB342" s="1116"/>
      <c r="BC342" s="1116"/>
      <c r="BD342" s="1116"/>
      <c r="BE342" s="1116"/>
      <c r="BF342" s="1116"/>
      <c r="BG342" s="1116"/>
      <c r="BH342" s="1116"/>
      <c r="BI342" s="1116"/>
      <c r="BJ342" s="1116"/>
      <c r="BK342" s="1116"/>
      <c r="BL342" s="1116"/>
      <c r="BM342" s="1116"/>
      <c r="BN342" s="1116"/>
      <c r="BO342" s="1116"/>
      <c r="BP342" s="1116"/>
      <c r="BQ342" s="1116"/>
      <c r="BR342" s="1116"/>
      <c r="BS342" s="1477"/>
      <c r="BT342" s="1142"/>
      <c r="BU342" s="1478"/>
      <c r="BV342" s="1070"/>
      <c r="BW342" s="1070"/>
    </row>
    <row r="343" spans="1:75" outlineLevel="1" x14ac:dyDescent="0.3">
      <c r="A343" s="1474"/>
      <c r="B343" s="1207" t="str">
        <f>"Act/Proj during "&amp;Comp&amp;" timeframe"</f>
        <v>Act/Proj during Def Exit timeframe</v>
      </c>
      <c r="C343" s="1116"/>
      <c r="D343" s="1116"/>
      <c r="E343" s="1116"/>
      <c r="F343" s="1116"/>
      <c r="G343" s="1600" t="e">
        <f t="shared" ref="G343:AI343" si="382">IF(G$305=1,G$127*(1-$L$342)*(1-$BU$140),0)</f>
        <v>#VALUE!</v>
      </c>
      <c r="H343" s="1601" t="e">
        <f t="shared" si="382"/>
        <v>#VALUE!</v>
      </c>
      <c r="I343" s="1601" t="e">
        <f t="shared" si="382"/>
        <v>#VALUE!</v>
      </c>
      <c r="J343" s="1601" t="e">
        <f t="shared" si="382"/>
        <v>#VALUE!</v>
      </c>
      <c r="K343" s="1601" t="e">
        <f t="shared" si="382"/>
        <v>#VALUE!</v>
      </c>
      <c r="L343" s="1601" t="e">
        <f t="shared" si="382"/>
        <v>#VALUE!</v>
      </c>
      <c r="M343" s="1601" t="e">
        <f t="shared" si="382"/>
        <v>#VALUE!</v>
      </c>
      <c r="N343" s="1601" t="e">
        <f t="shared" si="382"/>
        <v>#VALUE!</v>
      </c>
      <c r="O343" s="1601" t="e">
        <f t="shared" si="382"/>
        <v>#VALUE!</v>
      </c>
      <c r="P343" s="1601" t="e">
        <f t="shared" si="382"/>
        <v>#VALUE!</v>
      </c>
      <c r="Q343" s="1601" t="e">
        <f t="shared" si="382"/>
        <v>#VALUE!</v>
      </c>
      <c r="R343" s="1601" t="e">
        <f t="shared" si="382"/>
        <v>#VALUE!</v>
      </c>
      <c r="S343" s="1601" t="e">
        <f t="shared" si="382"/>
        <v>#VALUE!</v>
      </c>
      <c r="T343" s="1601" t="e">
        <f t="shared" si="382"/>
        <v>#VALUE!</v>
      </c>
      <c r="U343" s="1601" t="e">
        <f t="shared" si="382"/>
        <v>#VALUE!</v>
      </c>
      <c r="V343" s="1601" t="e">
        <f t="shared" si="382"/>
        <v>#VALUE!</v>
      </c>
      <c r="W343" s="1601" t="e">
        <f t="shared" si="382"/>
        <v>#VALUE!</v>
      </c>
      <c r="X343" s="1601" t="e">
        <f t="shared" si="382"/>
        <v>#VALUE!</v>
      </c>
      <c r="Y343" s="1601" t="e">
        <f t="shared" si="382"/>
        <v>#VALUE!</v>
      </c>
      <c r="Z343" s="1601" t="e">
        <f t="shared" si="382"/>
        <v>#VALUE!</v>
      </c>
      <c r="AA343" s="1601" t="e">
        <f t="shared" si="382"/>
        <v>#VALUE!</v>
      </c>
      <c r="AB343" s="1601" t="e">
        <f t="shared" si="382"/>
        <v>#VALUE!</v>
      </c>
      <c r="AC343" s="1601" t="e">
        <f t="shared" si="382"/>
        <v>#VALUE!</v>
      </c>
      <c r="AD343" s="1601" t="e">
        <f t="shared" si="382"/>
        <v>#VALUE!</v>
      </c>
      <c r="AE343" s="1601" t="e">
        <f t="shared" si="382"/>
        <v>#VALUE!</v>
      </c>
      <c r="AF343" s="1601" t="e">
        <f t="shared" si="382"/>
        <v>#VALUE!</v>
      </c>
      <c r="AG343" s="1601" t="e">
        <f t="shared" si="382"/>
        <v>#VALUE!</v>
      </c>
      <c r="AH343" s="1601" t="e">
        <f t="shared" si="382"/>
        <v>#VALUE!</v>
      </c>
      <c r="AI343" s="1602" t="e">
        <f t="shared" si="382"/>
        <v>#VALUE!</v>
      </c>
      <c r="AJ343" s="1476"/>
      <c r="AK343" s="1142"/>
      <c r="AL343" s="1142"/>
      <c r="AM343" s="1142"/>
      <c r="AN343" s="1142"/>
      <c r="AO343" s="1207" t="str">
        <f>"Act/Proj during "&amp;Comp&amp;" timeframe"</f>
        <v>Act/Proj during Def Exit timeframe</v>
      </c>
      <c r="AP343" s="1116"/>
      <c r="AQ343" s="1600" t="e">
        <f t="shared" ref="AQ343:BS343" si="383">IF(AQ$305=1,G$127*(1-$AV$342)*(1-$BU$140),0)</f>
        <v>#VALUE!</v>
      </c>
      <c r="AR343" s="1601" t="e">
        <f t="shared" si="383"/>
        <v>#VALUE!</v>
      </c>
      <c r="AS343" s="1601" t="e">
        <f t="shared" si="383"/>
        <v>#VALUE!</v>
      </c>
      <c r="AT343" s="1601" t="e">
        <f t="shared" si="383"/>
        <v>#VALUE!</v>
      </c>
      <c r="AU343" s="1601" t="e">
        <f t="shared" si="383"/>
        <v>#VALUE!</v>
      </c>
      <c r="AV343" s="1601" t="e">
        <f t="shared" si="383"/>
        <v>#VALUE!</v>
      </c>
      <c r="AW343" s="1601" t="e">
        <f t="shared" si="383"/>
        <v>#VALUE!</v>
      </c>
      <c r="AX343" s="1601" t="e">
        <f t="shared" si="383"/>
        <v>#VALUE!</v>
      </c>
      <c r="AY343" s="1601" t="e">
        <f t="shared" si="383"/>
        <v>#VALUE!</v>
      </c>
      <c r="AZ343" s="1601" t="e">
        <f t="shared" si="383"/>
        <v>#VALUE!</v>
      </c>
      <c r="BA343" s="1601" t="e">
        <f t="shared" si="383"/>
        <v>#VALUE!</v>
      </c>
      <c r="BB343" s="1601" t="e">
        <f t="shared" si="383"/>
        <v>#VALUE!</v>
      </c>
      <c r="BC343" s="1601" t="e">
        <f t="shared" si="383"/>
        <v>#VALUE!</v>
      </c>
      <c r="BD343" s="1601" t="e">
        <f t="shared" si="383"/>
        <v>#VALUE!</v>
      </c>
      <c r="BE343" s="1601" t="e">
        <f t="shared" si="383"/>
        <v>#VALUE!</v>
      </c>
      <c r="BF343" s="1601" t="e">
        <f t="shared" si="383"/>
        <v>#VALUE!</v>
      </c>
      <c r="BG343" s="1601" t="e">
        <f t="shared" si="383"/>
        <v>#VALUE!</v>
      </c>
      <c r="BH343" s="1601" t="e">
        <f t="shared" si="383"/>
        <v>#VALUE!</v>
      </c>
      <c r="BI343" s="1601" t="e">
        <f t="shared" si="383"/>
        <v>#VALUE!</v>
      </c>
      <c r="BJ343" s="1601" t="e">
        <f t="shared" si="383"/>
        <v>#VALUE!</v>
      </c>
      <c r="BK343" s="1601" t="e">
        <f t="shared" si="383"/>
        <v>#VALUE!</v>
      </c>
      <c r="BL343" s="1601" t="e">
        <f t="shared" si="383"/>
        <v>#VALUE!</v>
      </c>
      <c r="BM343" s="1601" t="e">
        <f t="shared" si="383"/>
        <v>#VALUE!</v>
      </c>
      <c r="BN343" s="1601" t="e">
        <f t="shared" si="383"/>
        <v>#VALUE!</v>
      </c>
      <c r="BO343" s="1601" t="e">
        <f t="shared" si="383"/>
        <v>#VALUE!</v>
      </c>
      <c r="BP343" s="1601" t="e">
        <f t="shared" si="383"/>
        <v>#VALUE!</v>
      </c>
      <c r="BQ343" s="1601" t="e">
        <f t="shared" si="383"/>
        <v>#VALUE!</v>
      </c>
      <c r="BR343" s="1601" t="e">
        <f t="shared" si="383"/>
        <v>#VALUE!</v>
      </c>
      <c r="BS343" s="1602" t="e">
        <f t="shared" si="383"/>
        <v>#VALUE!</v>
      </c>
      <c r="BT343" s="1142"/>
      <c r="BU343" s="1478"/>
      <c r="BV343" s="1070"/>
      <c r="BW343" s="1070"/>
    </row>
    <row r="344" spans="1:75" outlineLevel="1" x14ac:dyDescent="0.3">
      <c r="A344" s="1474"/>
      <c r="B344" s="1606" t="str">
        <f>Comp&amp;" during "&amp;Comp&amp;" timeframe"</f>
        <v>Def Exit during Def Exit timeframe</v>
      </c>
      <c r="C344" s="1226"/>
      <c r="D344" s="1226"/>
      <c r="E344" s="1226"/>
      <c r="F344" s="1226"/>
      <c r="G344" s="1607" t="e">
        <f t="shared" ref="G344:AI344" si="384">IF(G$305=1,AQ$127*(1-$L$342)*(1-$BU$140),0)</f>
        <v>#VALUE!</v>
      </c>
      <c r="H344" s="1608" t="e">
        <f t="shared" si="384"/>
        <v>#VALUE!</v>
      </c>
      <c r="I344" s="1608" t="e">
        <f t="shared" si="384"/>
        <v>#VALUE!</v>
      </c>
      <c r="J344" s="1608" t="e">
        <f t="shared" si="384"/>
        <v>#VALUE!</v>
      </c>
      <c r="K344" s="1608" t="e">
        <f t="shared" si="384"/>
        <v>#VALUE!</v>
      </c>
      <c r="L344" s="1608" t="e">
        <f t="shared" si="384"/>
        <v>#VALUE!</v>
      </c>
      <c r="M344" s="1608" t="e">
        <f t="shared" si="384"/>
        <v>#VALUE!</v>
      </c>
      <c r="N344" s="1608" t="e">
        <f t="shared" si="384"/>
        <v>#VALUE!</v>
      </c>
      <c r="O344" s="1608" t="e">
        <f t="shared" si="384"/>
        <v>#VALUE!</v>
      </c>
      <c r="P344" s="1608" t="e">
        <f t="shared" si="384"/>
        <v>#VALUE!</v>
      </c>
      <c r="Q344" s="1608" t="e">
        <f t="shared" si="384"/>
        <v>#VALUE!</v>
      </c>
      <c r="R344" s="1608" t="e">
        <f t="shared" si="384"/>
        <v>#VALUE!</v>
      </c>
      <c r="S344" s="1608" t="e">
        <f t="shared" si="384"/>
        <v>#VALUE!</v>
      </c>
      <c r="T344" s="1608" t="e">
        <f t="shared" si="384"/>
        <v>#VALUE!</v>
      </c>
      <c r="U344" s="1608" t="e">
        <f t="shared" si="384"/>
        <v>#VALUE!</v>
      </c>
      <c r="V344" s="1608" t="e">
        <f t="shared" si="384"/>
        <v>#VALUE!</v>
      </c>
      <c r="W344" s="1608" t="e">
        <f t="shared" si="384"/>
        <v>#VALUE!</v>
      </c>
      <c r="X344" s="1608" t="e">
        <f t="shared" si="384"/>
        <v>#VALUE!</v>
      </c>
      <c r="Y344" s="1608" t="e">
        <f t="shared" si="384"/>
        <v>#VALUE!</v>
      </c>
      <c r="Z344" s="1608" t="e">
        <f t="shared" si="384"/>
        <v>#VALUE!</v>
      </c>
      <c r="AA344" s="1608" t="e">
        <f t="shared" si="384"/>
        <v>#VALUE!</v>
      </c>
      <c r="AB344" s="1608" t="e">
        <f t="shared" si="384"/>
        <v>#VALUE!</v>
      </c>
      <c r="AC344" s="1608" t="e">
        <f t="shared" si="384"/>
        <v>#VALUE!</v>
      </c>
      <c r="AD344" s="1608" t="e">
        <f t="shared" si="384"/>
        <v>#VALUE!</v>
      </c>
      <c r="AE344" s="1608" t="e">
        <f t="shared" si="384"/>
        <v>#VALUE!</v>
      </c>
      <c r="AF344" s="1608" t="e">
        <f t="shared" si="384"/>
        <v>#VALUE!</v>
      </c>
      <c r="AG344" s="1608" t="e">
        <f t="shared" si="384"/>
        <v>#VALUE!</v>
      </c>
      <c r="AH344" s="1608" t="e">
        <f t="shared" si="384"/>
        <v>#VALUE!</v>
      </c>
      <c r="AI344" s="1609" t="e">
        <f t="shared" si="384"/>
        <v>#VALUE!</v>
      </c>
      <c r="AJ344" s="1476"/>
      <c r="AK344" s="1142"/>
      <c r="AL344" s="1142"/>
      <c r="AM344" s="1142"/>
      <c r="AN344" s="1142"/>
      <c r="AO344" s="1606" t="str">
        <f>Comp&amp;" during "&amp;Comp&amp;" timeframe"</f>
        <v>Def Exit during Def Exit timeframe</v>
      </c>
      <c r="AP344" s="1623"/>
      <c r="AQ344" s="1607" t="e">
        <f t="shared" ref="AQ344:BS344" si="385">IF(AQ$305=1,AQ$127*(1-$AV$342)*(1-$BU$140),0)</f>
        <v>#VALUE!</v>
      </c>
      <c r="AR344" s="1608" t="e">
        <f t="shared" si="385"/>
        <v>#VALUE!</v>
      </c>
      <c r="AS344" s="1608" t="e">
        <f t="shared" si="385"/>
        <v>#VALUE!</v>
      </c>
      <c r="AT344" s="1608" t="e">
        <f t="shared" si="385"/>
        <v>#VALUE!</v>
      </c>
      <c r="AU344" s="1608" t="e">
        <f t="shared" si="385"/>
        <v>#VALUE!</v>
      </c>
      <c r="AV344" s="1608" t="e">
        <f t="shared" si="385"/>
        <v>#VALUE!</v>
      </c>
      <c r="AW344" s="1608" t="e">
        <f t="shared" si="385"/>
        <v>#VALUE!</v>
      </c>
      <c r="AX344" s="1608" t="e">
        <f t="shared" si="385"/>
        <v>#VALUE!</v>
      </c>
      <c r="AY344" s="1608" t="e">
        <f t="shared" si="385"/>
        <v>#VALUE!</v>
      </c>
      <c r="AZ344" s="1608" t="e">
        <f t="shared" si="385"/>
        <v>#VALUE!</v>
      </c>
      <c r="BA344" s="1608" t="e">
        <f t="shared" si="385"/>
        <v>#VALUE!</v>
      </c>
      <c r="BB344" s="1608" t="e">
        <f t="shared" si="385"/>
        <v>#VALUE!</v>
      </c>
      <c r="BC344" s="1608" t="e">
        <f t="shared" si="385"/>
        <v>#VALUE!</v>
      </c>
      <c r="BD344" s="1608" t="e">
        <f t="shared" si="385"/>
        <v>#VALUE!</v>
      </c>
      <c r="BE344" s="1608" t="e">
        <f t="shared" si="385"/>
        <v>#VALUE!</v>
      </c>
      <c r="BF344" s="1608" t="e">
        <f t="shared" si="385"/>
        <v>#VALUE!</v>
      </c>
      <c r="BG344" s="1608" t="e">
        <f t="shared" si="385"/>
        <v>#VALUE!</v>
      </c>
      <c r="BH344" s="1608" t="e">
        <f t="shared" si="385"/>
        <v>#VALUE!</v>
      </c>
      <c r="BI344" s="1608" t="e">
        <f t="shared" si="385"/>
        <v>#VALUE!</v>
      </c>
      <c r="BJ344" s="1608" t="e">
        <f t="shared" si="385"/>
        <v>#VALUE!</v>
      </c>
      <c r="BK344" s="1608" t="e">
        <f t="shared" si="385"/>
        <v>#VALUE!</v>
      </c>
      <c r="BL344" s="1608" t="e">
        <f t="shared" si="385"/>
        <v>#VALUE!</v>
      </c>
      <c r="BM344" s="1608" t="e">
        <f t="shared" si="385"/>
        <v>#VALUE!</v>
      </c>
      <c r="BN344" s="1608" t="e">
        <f t="shared" si="385"/>
        <v>#VALUE!</v>
      </c>
      <c r="BO344" s="1608" t="e">
        <f t="shared" si="385"/>
        <v>#VALUE!</v>
      </c>
      <c r="BP344" s="1608" t="e">
        <f t="shared" si="385"/>
        <v>#VALUE!</v>
      </c>
      <c r="BQ344" s="1608" t="e">
        <f t="shared" si="385"/>
        <v>#VALUE!</v>
      </c>
      <c r="BR344" s="1608" t="e">
        <f t="shared" si="385"/>
        <v>#VALUE!</v>
      </c>
      <c r="BS344" s="1609" t="e">
        <f t="shared" si="385"/>
        <v>#VALUE!</v>
      </c>
      <c r="BT344" s="1142"/>
      <c r="BU344" s="1478"/>
      <c r="BV344" s="1070"/>
      <c r="BW344" s="1070"/>
    </row>
    <row r="345" spans="1:75" outlineLevel="1" x14ac:dyDescent="0.3">
      <c r="A345" s="1474"/>
      <c r="B345" s="1207"/>
      <c r="C345" s="1116"/>
      <c r="D345" s="1116"/>
      <c r="E345" s="1116"/>
      <c r="F345" s="1116"/>
      <c r="G345" s="1604"/>
      <c r="H345" s="1604"/>
      <c r="I345" s="1604"/>
      <c r="J345" s="1604"/>
      <c r="K345" s="1604"/>
      <c r="L345" s="1604"/>
      <c r="M345" s="1604"/>
      <c r="N345" s="1604"/>
      <c r="O345" s="1604"/>
      <c r="P345" s="1604"/>
      <c r="Q345" s="1604"/>
      <c r="R345" s="1604"/>
      <c r="S345" s="1604"/>
      <c r="T345" s="1604"/>
      <c r="U345" s="1604"/>
      <c r="V345" s="1604"/>
      <c r="W345" s="1604"/>
      <c r="X345" s="1604"/>
      <c r="Y345" s="1604"/>
      <c r="Z345" s="1604"/>
      <c r="AA345" s="1604"/>
      <c r="AB345" s="1604"/>
      <c r="AC345" s="1604"/>
      <c r="AD345" s="1604"/>
      <c r="AE345" s="1604"/>
      <c r="AF345" s="1604"/>
      <c r="AG345" s="1604"/>
      <c r="AH345" s="1604"/>
      <c r="AI345" s="1605"/>
      <c r="AJ345" s="1476"/>
      <c r="AK345" s="1142"/>
      <c r="AL345" s="1142"/>
      <c r="AM345" s="1142"/>
      <c r="AN345" s="1142"/>
      <c r="AO345" s="1207"/>
      <c r="AP345" s="1116"/>
      <c r="AQ345" s="1604"/>
      <c r="AR345" s="1604"/>
      <c r="AS345" s="1604"/>
      <c r="AT345" s="1604"/>
      <c r="AU345" s="1604"/>
      <c r="AV345" s="1604"/>
      <c r="AW345" s="1604"/>
      <c r="AX345" s="1604"/>
      <c r="AY345" s="1604"/>
      <c r="AZ345" s="1604"/>
      <c r="BA345" s="1604"/>
      <c r="BB345" s="1604"/>
      <c r="BC345" s="1604"/>
      <c r="BD345" s="1604"/>
      <c r="BE345" s="1604"/>
      <c r="BF345" s="1604"/>
      <c r="BG345" s="1604"/>
      <c r="BH345" s="1604"/>
      <c r="BI345" s="1604"/>
      <c r="BJ345" s="1604"/>
      <c r="BK345" s="1604"/>
      <c r="BL345" s="1604"/>
      <c r="BM345" s="1604"/>
      <c r="BN345" s="1604"/>
      <c r="BO345" s="1604"/>
      <c r="BP345" s="1604"/>
      <c r="BQ345" s="1604"/>
      <c r="BR345" s="1604"/>
      <c r="BS345" s="1605"/>
      <c r="BT345" s="1142"/>
      <c r="BU345" s="1478"/>
      <c r="BV345" s="1070"/>
      <c r="BW345" s="1070"/>
    </row>
    <row r="346" spans="1:75" outlineLevel="1" x14ac:dyDescent="0.3">
      <c r="A346" s="1474"/>
      <c r="B346" s="1598" t="s">
        <v>1370</v>
      </c>
      <c r="C346" s="1116"/>
      <c r="D346" s="1116"/>
      <c r="E346" s="1116"/>
      <c r="F346" s="1116"/>
      <c r="G346" s="1604"/>
      <c r="H346" s="1604"/>
      <c r="I346" s="1604"/>
      <c r="J346" s="1604"/>
      <c r="K346" s="1604"/>
      <c r="L346" s="1604"/>
      <c r="M346" s="1604"/>
      <c r="N346" s="1604"/>
      <c r="O346" s="1604"/>
      <c r="P346" s="1604"/>
      <c r="Q346" s="1604"/>
      <c r="R346" s="1604"/>
      <c r="S346" s="1604"/>
      <c r="T346" s="1604"/>
      <c r="U346" s="1604"/>
      <c r="V346" s="1604"/>
      <c r="W346" s="1604"/>
      <c r="X346" s="1604"/>
      <c r="Y346" s="1604"/>
      <c r="Z346" s="1604"/>
      <c r="AA346" s="1604"/>
      <c r="AB346" s="1604"/>
      <c r="AC346" s="1604"/>
      <c r="AD346" s="1604"/>
      <c r="AE346" s="1604"/>
      <c r="AF346" s="1604"/>
      <c r="AG346" s="1604"/>
      <c r="AH346" s="1604"/>
      <c r="AI346" s="1605"/>
      <c r="AJ346" s="1476"/>
      <c r="AK346" s="1142"/>
      <c r="AL346" s="1142"/>
      <c r="AM346" s="1142"/>
      <c r="AN346" s="1142"/>
      <c r="AO346" s="1598" t="s">
        <v>1370</v>
      </c>
      <c r="AP346" s="1116"/>
      <c r="AQ346" s="1604"/>
      <c r="AR346" s="1604"/>
      <c r="AS346" s="1604"/>
      <c r="AT346" s="1604"/>
      <c r="AU346" s="1604"/>
      <c r="AV346" s="1604"/>
      <c r="AW346" s="1604"/>
      <c r="AX346" s="1604"/>
      <c r="AY346" s="1604"/>
      <c r="AZ346" s="1604"/>
      <c r="BA346" s="1604"/>
      <c r="BB346" s="1604"/>
      <c r="BC346" s="1604"/>
      <c r="BD346" s="1604"/>
      <c r="BE346" s="1604"/>
      <c r="BF346" s="1604"/>
      <c r="BG346" s="1604"/>
      <c r="BH346" s="1604"/>
      <c r="BI346" s="1604"/>
      <c r="BJ346" s="1604"/>
      <c r="BK346" s="1604"/>
      <c r="BL346" s="1604"/>
      <c r="BM346" s="1604"/>
      <c r="BN346" s="1604"/>
      <c r="BO346" s="1604"/>
      <c r="BP346" s="1604"/>
      <c r="BQ346" s="1604"/>
      <c r="BR346" s="1604"/>
      <c r="BS346" s="1605"/>
      <c r="BT346" s="1142"/>
      <c r="BU346" s="1478"/>
      <c r="BV346" s="1070"/>
      <c r="BW346" s="1070"/>
    </row>
    <row r="347" spans="1:75" outlineLevel="1" x14ac:dyDescent="0.3">
      <c r="A347" s="1474"/>
      <c r="B347" s="1207" t="str">
        <f>"Act/Proj during "&amp;Comp&amp;" timeframe"</f>
        <v>Act/Proj during Def Exit timeframe</v>
      </c>
      <c r="C347" s="1116"/>
      <c r="D347" s="1116"/>
      <c r="E347" s="1116"/>
      <c r="F347" s="1116"/>
      <c r="G347" s="1600" t="e">
        <f t="shared" ref="G347:AI347" si="386">-IF(G$305=1,G$127*$I$342*(1-$BU$140),0)</f>
        <v>#VALUE!</v>
      </c>
      <c r="H347" s="1601" t="e">
        <f t="shared" si="386"/>
        <v>#VALUE!</v>
      </c>
      <c r="I347" s="1601" t="e">
        <f t="shared" si="386"/>
        <v>#VALUE!</v>
      </c>
      <c r="J347" s="1601" t="e">
        <f t="shared" si="386"/>
        <v>#VALUE!</v>
      </c>
      <c r="K347" s="1601" t="e">
        <f t="shared" si="386"/>
        <v>#VALUE!</v>
      </c>
      <c r="L347" s="1601" t="e">
        <f t="shared" si="386"/>
        <v>#VALUE!</v>
      </c>
      <c r="M347" s="1601" t="e">
        <f t="shared" si="386"/>
        <v>#VALUE!</v>
      </c>
      <c r="N347" s="1601" t="e">
        <f t="shared" si="386"/>
        <v>#VALUE!</v>
      </c>
      <c r="O347" s="1601" t="e">
        <f t="shared" si="386"/>
        <v>#VALUE!</v>
      </c>
      <c r="P347" s="1601" t="e">
        <f t="shared" si="386"/>
        <v>#VALUE!</v>
      </c>
      <c r="Q347" s="1601" t="e">
        <f t="shared" si="386"/>
        <v>#VALUE!</v>
      </c>
      <c r="R347" s="1601" t="e">
        <f t="shared" si="386"/>
        <v>#VALUE!</v>
      </c>
      <c r="S347" s="1601" t="e">
        <f t="shared" si="386"/>
        <v>#VALUE!</v>
      </c>
      <c r="T347" s="1601" t="e">
        <f t="shared" si="386"/>
        <v>#VALUE!</v>
      </c>
      <c r="U347" s="1601" t="e">
        <f t="shared" si="386"/>
        <v>#VALUE!</v>
      </c>
      <c r="V347" s="1601" t="e">
        <f t="shared" si="386"/>
        <v>#VALUE!</v>
      </c>
      <c r="W347" s="1601" t="e">
        <f t="shared" si="386"/>
        <v>#VALUE!</v>
      </c>
      <c r="X347" s="1601" t="e">
        <f t="shared" si="386"/>
        <v>#VALUE!</v>
      </c>
      <c r="Y347" s="1601" t="e">
        <f t="shared" si="386"/>
        <v>#VALUE!</v>
      </c>
      <c r="Z347" s="1601" t="e">
        <f t="shared" si="386"/>
        <v>#VALUE!</v>
      </c>
      <c r="AA347" s="1601" t="e">
        <f t="shared" si="386"/>
        <v>#VALUE!</v>
      </c>
      <c r="AB347" s="1601" t="e">
        <f t="shared" si="386"/>
        <v>#VALUE!</v>
      </c>
      <c r="AC347" s="1601" t="e">
        <f t="shared" si="386"/>
        <v>#VALUE!</v>
      </c>
      <c r="AD347" s="1601" t="e">
        <f t="shared" si="386"/>
        <v>#VALUE!</v>
      </c>
      <c r="AE347" s="1601" t="e">
        <f t="shared" si="386"/>
        <v>#VALUE!</v>
      </c>
      <c r="AF347" s="1601" t="e">
        <f t="shared" si="386"/>
        <v>#VALUE!</v>
      </c>
      <c r="AG347" s="1601" t="e">
        <f t="shared" si="386"/>
        <v>#VALUE!</v>
      </c>
      <c r="AH347" s="1601" t="e">
        <f t="shared" si="386"/>
        <v>#VALUE!</v>
      </c>
      <c r="AI347" s="1602" t="e">
        <f t="shared" si="386"/>
        <v>#VALUE!</v>
      </c>
      <c r="AJ347" s="1476"/>
      <c r="AK347" s="1142"/>
      <c r="AL347" s="1142"/>
      <c r="AM347" s="1142"/>
      <c r="AN347" s="1142"/>
      <c r="AO347" s="1207" t="str">
        <f>"Act/Proj during "&amp;Comp&amp;" timeframe"</f>
        <v>Act/Proj during Def Exit timeframe</v>
      </c>
      <c r="AP347" s="1116"/>
      <c r="AQ347" s="1600" t="e">
        <f t="shared" ref="AQ347:BS347" si="387">-IF(AQ$305=1,G$127*$AS$342*(1-$BU$140),0)</f>
        <v>#VALUE!</v>
      </c>
      <c r="AR347" s="1601" t="e">
        <f t="shared" si="387"/>
        <v>#VALUE!</v>
      </c>
      <c r="AS347" s="1601" t="e">
        <f t="shared" si="387"/>
        <v>#VALUE!</v>
      </c>
      <c r="AT347" s="1601" t="e">
        <f t="shared" si="387"/>
        <v>#VALUE!</v>
      </c>
      <c r="AU347" s="1601" t="e">
        <f t="shared" si="387"/>
        <v>#VALUE!</v>
      </c>
      <c r="AV347" s="1601" t="e">
        <f t="shared" si="387"/>
        <v>#VALUE!</v>
      </c>
      <c r="AW347" s="1601" t="e">
        <f t="shared" si="387"/>
        <v>#VALUE!</v>
      </c>
      <c r="AX347" s="1601" t="e">
        <f t="shared" si="387"/>
        <v>#VALUE!</v>
      </c>
      <c r="AY347" s="1601" t="e">
        <f t="shared" si="387"/>
        <v>#VALUE!</v>
      </c>
      <c r="AZ347" s="1601" t="e">
        <f t="shared" si="387"/>
        <v>#VALUE!</v>
      </c>
      <c r="BA347" s="1601" t="e">
        <f t="shared" si="387"/>
        <v>#VALUE!</v>
      </c>
      <c r="BB347" s="1601" t="e">
        <f t="shared" si="387"/>
        <v>#VALUE!</v>
      </c>
      <c r="BC347" s="1601" t="e">
        <f t="shared" si="387"/>
        <v>#VALUE!</v>
      </c>
      <c r="BD347" s="1601" t="e">
        <f t="shared" si="387"/>
        <v>#VALUE!</v>
      </c>
      <c r="BE347" s="1601" t="e">
        <f t="shared" si="387"/>
        <v>#VALUE!</v>
      </c>
      <c r="BF347" s="1601" t="e">
        <f t="shared" si="387"/>
        <v>#VALUE!</v>
      </c>
      <c r="BG347" s="1601" t="e">
        <f t="shared" si="387"/>
        <v>#VALUE!</v>
      </c>
      <c r="BH347" s="1601" t="e">
        <f t="shared" si="387"/>
        <v>#VALUE!</v>
      </c>
      <c r="BI347" s="1601" t="e">
        <f t="shared" si="387"/>
        <v>#VALUE!</v>
      </c>
      <c r="BJ347" s="1601" t="e">
        <f t="shared" si="387"/>
        <v>#VALUE!</v>
      </c>
      <c r="BK347" s="1601" t="e">
        <f t="shared" si="387"/>
        <v>#VALUE!</v>
      </c>
      <c r="BL347" s="1601" t="e">
        <f t="shared" si="387"/>
        <v>#VALUE!</v>
      </c>
      <c r="BM347" s="1601" t="e">
        <f t="shared" si="387"/>
        <v>#VALUE!</v>
      </c>
      <c r="BN347" s="1601" t="e">
        <f t="shared" si="387"/>
        <v>#VALUE!</v>
      </c>
      <c r="BO347" s="1601" t="e">
        <f t="shared" si="387"/>
        <v>#VALUE!</v>
      </c>
      <c r="BP347" s="1601" t="e">
        <f t="shared" si="387"/>
        <v>#VALUE!</v>
      </c>
      <c r="BQ347" s="1601" t="e">
        <f t="shared" si="387"/>
        <v>#VALUE!</v>
      </c>
      <c r="BR347" s="1601" t="e">
        <f t="shared" si="387"/>
        <v>#VALUE!</v>
      </c>
      <c r="BS347" s="1602" t="e">
        <f t="shared" si="387"/>
        <v>#VALUE!</v>
      </c>
      <c r="BT347" s="1142"/>
      <c r="BU347" s="1478"/>
      <c r="BV347" s="1070"/>
      <c r="BW347" s="1070"/>
    </row>
    <row r="348" spans="1:75" outlineLevel="1" x14ac:dyDescent="0.3">
      <c r="A348" s="1474"/>
      <c r="B348" s="1150" t="str">
        <f>Comp&amp;" during "&amp;Comp&amp;" timeframe"</f>
        <v>Def Exit during Def Exit timeframe</v>
      </c>
      <c r="C348" s="1232"/>
      <c r="D348" s="1232"/>
      <c r="E348" s="1232"/>
      <c r="F348" s="1232"/>
      <c r="G348" s="1652" t="e">
        <f t="shared" ref="G348:AI348" si="388">-IF(G$305=1,G$127*$L$342*(1-$BU$140),0)</f>
        <v>#VALUE!</v>
      </c>
      <c r="H348" s="1653" t="e">
        <f t="shared" si="388"/>
        <v>#VALUE!</v>
      </c>
      <c r="I348" s="1653" t="e">
        <f t="shared" si="388"/>
        <v>#VALUE!</v>
      </c>
      <c r="J348" s="1653" t="e">
        <f t="shared" si="388"/>
        <v>#VALUE!</v>
      </c>
      <c r="K348" s="1653" t="e">
        <f t="shared" si="388"/>
        <v>#VALUE!</v>
      </c>
      <c r="L348" s="1653" t="e">
        <f t="shared" si="388"/>
        <v>#VALUE!</v>
      </c>
      <c r="M348" s="1653" t="e">
        <f t="shared" si="388"/>
        <v>#VALUE!</v>
      </c>
      <c r="N348" s="1653" t="e">
        <f t="shared" si="388"/>
        <v>#VALUE!</v>
      </c>
      <c r="O348" s="1653" t="e">
        <f t="shared" si="388"/>
        <v>#VALUE!</v>
      </c>
      <c r="P348" s="1653" t="e">
        <f t="shared" si="388"/>
        <v>#VALUE!</v>
      </c>
      <c r="Q348" s="1653" t="e">
        <f t="shared" si="388"/>
        <v>#VALUE!</v>
      </c>
      <c r="R348" s="1653" t="e">
        <f t="shared" si="388"/>
        <v>#VALUE!</v>
      </c>
      <c r="S348" s="1653" t="e">
        <f t="shared" si="388"/>
        <v>#VALUE!</v>
      </c>
      <c r="T348" s="1653" t="e">
        <f t="shared" si="388"/>
        <v>#VALUE!</v>
      </c>
      <c r="U348" s="1653" t="e">
        <f t="shared" si="388"/>
        <v>#VALUE!</v>
      </c>
      <c r="V348" s="1653" t="e">
        <f t="shared" si="388"/>
        <v>#VALUE!</v>
      </c>
      <c r="W348" s="1653" t="e">
        <f t="shared" si="388"/>
        <v>#VALUE!</v>
      </c>
      <c r="X348" s="1653" t="e">
        <f t="shared" si="388"/>
        <v>#VALUE!</v>
      </c>
      <c r="Y348" s="1653" t="e">
        <f t="shared" si="388"/>
        <v>#VALUE!</v>
      </c>
      <c r="Z348" s="1653" t="e">
        <f t="shared" si="388"/>
        <v>#VALUE!</v>
      </c>
      <c r="AA348" s="1653" t="e">
        <f t="shared" si="388"/>
        <v>#VALUE!</v>
      </c>
      <c r="AB348" s="1653" t="e">
        <f t="shared" si="388"/>
        <v>#VALUE!</v>
      </c>
      <c r="AC348" s="1653" t="e">
        <f t="shared" si="388"/>
        <v>#VALUE!</v>
      </c>
      <c r="AD348" s="1653" t="e">
        <f t="shared" si="388"/>
        <v>#VALUE!</v>
      </c>
      <c r="AE348" s="1653" t="e">
        <f t="shared" si="388"/>
        <v>#VALUE!</v>
      </c>
      <c r="AF348" s="1653" t="e">
        <f t="shared" si="388"/>
        <v>#VALUE!</v>
      </c>
      <c r="AG348" s="1653" t="e">
        <f t="shared" si="388"/>
        <v>#VALUE!</v>
      </c>
      <c r="AH348" s="1653" t="e">
        <f t="shared" si="388"/>
        <v>#VALUE!</v>
      </c>
      <c r="AI348" s="1654" t="e">
        <f t="shared" si="388"/>
        <v>#VALUE!</v>
      </c>
      <c r="AJ348" s="1476"/>
      <c r="AK348" s="1142"/>
      <c r="AL348" s="1142"/>
      <c r="AM348" s="1142"/>
      <c r="AN348" s="1142"/>
      <c r="AO348" s="1150" t="str">
        <f>Comp&amp;" during "&amp;Comp&amp;" timeframe"</f>
        <v>Def Exit during Def Exit timeframe</v>
      </c>
      <c r="AP348" s="1232"/>
      <c r="AQ348" s="1652" t="e">
        <f t="shared" ref="AQ348:BS348" si="389">-IF(AQ$305=1,G$127*$AV$342*(1-$BU$140),0)</f>
        <v>#VALUE!</v>
      </c>
      <c r="AR348" s="1653" t="e">
        <f t="shared" si="389"/>
        <v>#VALUE!</v>
      </c>
      <c r="AS348" s="1653" t="e">
        <f t="shared" si="389"/>
        <v>#VALUE!</v>
      </c>
      <c r="AT348" s="1653" t="e">
        <f t="shared" si="389"/>
        <v>#VALUE!</v>
      </c>
      <c r="AU348" s="1653" t="e">
        <f t="shared" si="389"/>
        <v>#VALUE!</v>
      </c>
      <c r="AV348" s="1653" t="e">
        <f t="shared" si="389"/>
        <v>#VALUE!</v>
      </c>
      <c r="AW348" s="1653" t="e">
        <f t="shared" si="389"/>
        <v>#VALUE!</v>
      </c>
      <c r="AX348" s="1653" t="e">
        <f t="shared" si="389"/>
        <v>#VALUE!</v>
      </c>
      <c r="AY348" s="1653" t="e">
        <f t="shared" si="389"/>
        <v>#VALUE!</v>
      </c>
      <c r="AZ348" s="1653" t="e">
        <f t="shared" si="389"/>
        <v>#VALUE!</v>
      </c>
      <c r="BA348" s="1653" t="e">
        <f t="shared" si="389"/>
        <v>#VALUE!</v>
      </c>
      <c r="BB348" s="1653" t="e">
        <f t="shared" si="389"/>
        <v>#VALUE!</v>
      </c>
      <c r="BC348" s="1653" t="e">
        <f t="shared" si="389"/>
        <v>#VALUE!</v>
      </c>
      <c r="BD348" s="1653" t="e">
        <f t="shared" si="389"/>
        <v>#VALUE!</v>
      </c>
      <c r="BE348" s="1653" t="e">
        <f t="shared" si="389"/>
        <v>#VALUE!</v>
      </c>
      <c r="BF348" s="1653" t="e">
        <f t="shared" si="389"/>
        <v>#VALUE!</v>
      </c>
      <c r="BG348" s="1653" t="e">
        <f t="shared" si="389"/>
        <v>#VALUE!</v>
      </c>
      <c r="BH348" s="1653" t="e">
        <f t="shared" si="389"/>
        <v>#VALUE!</v>
      </c>
      <c r="BI348" s="1653" t="e">
        <f t="shared" si="389"/>
        <v>#VALUE!</v>
      </c>
      <c r="BJ348" s="1653" t="e">
        <f t="shared" si="389"/>
        <v>#VALUE!</v>
      </c>
      <c r="BK348" s="1653" t="e">
        <f t="shared" si="389"/>
        <v>#VALUE!</v>
      </c>
      <c r="BL348" s="1653" t="e">
        <f t="shared" si="389"/>
        <v>#VALUE!</v>
      </c>
      <c r="BM348" s="1653" t="e">
        <f t="shared" si="389"/>
        <v>#VALUE!</v>
      </c>
      <c r="BN348" s="1653" t="e">
        <f t="shared" si="389"/>
        <v>#VALUE!</v>
      </c>
      <c r="BO348" s="1653" t="e">
        <f t="shared" si="389"/>
        <v>#VALUE!</v>
      </c>
      <c r="BP348" s="1653" t="e">
        <f t="shared" si="389"/>
        <v>#VALUE!</v>
      </c>
      <c r="BQ348" s="1653" t="e">
        <f t="shared" si="389"/>
        <v>#VALUE!</v>
      </c>
      <c r="BR348" s="1653" t="e">
        <f t="shared" si="389"/>
        <v>#VALUE!</v>
      </c>
      <c r="BS348" s="1654" t="e">
        <f t="shared" si="389"/>
        <v>#VALUE!</v>
      </c>
      <c r="BT348" s="1142"/>
      <c r="BU348" s="1478"/>
      <c r="BV348" s="1070"/>
      <c r="BW348" s="1070"/>
    </row>
    <row r="349" spans="1:75" outlineLevel="1" x14ac:dyDescent="0.3">
      <c r="A349" s="1527"/>
      <c r="B349" s="1142"/>
      <c r="C349" s="1142"/>
      <c r="D349" s="1142"/>
      <c r="E349" s="1142"/>
      <c r="F349" s="1142"/>
      <c r="G349" s="1142"/>
      <c r="H349" s="1142"/>
      <c r="I349" s="1142"/>
      <c r="J349" s="1142"/>
      <c r="K349" s="1142"/>
      <c r="L349" s="1142"/>
      <c r="M349" s="1142"/>
      <c r="N349" s="1142"/>
      <c r="O349" s="1142"/>
      <c r="P349" s="1142"/>
      <c r="Q349" s="1142"/>
      <c r="R349" s="1142"/>
      <c r="S349" s="1142"/>
      <c r="T349" s="1142"/>
      <c r="U349" s="1142"/>
      <c r="V349" s="1142"/>
      <c r="W349" s="1142"/>
      <c r="X349" s="1142"/>
      <c r="Y349" s="1142"/>
      <c r="Z349" s="1142"/>
      <c r="AA349" s="1142"/>
      <c r="AB349" s="1142"/>
      <c r="AC349" s="1142"/>
      <c r="AD349" s="1142"/>
      <c r="AE349" s="1142"/>
      <c r="AF349" s="1142"/>
      <c r="AG349" s="1142"/>
      <c r="AH349" s="1142"/>
      <c r="AI349" s="1142"/>
      <c r="AJ349" s="1564"/>
      <c r="AK349" s="1142"/>
      <c r="AL349" s="1142"/>
      <c r="AM349" s="1142"/>
      <c r="AN349" s="1142"/>
      <c r="AO349" s="1149"/>
      <c r="AP349" s="1142"/>
      <c r="AQ349" s="1142"/>
      <c r="AR349" s="1142"/>
      <c r="AS349" s="1142"/>
      <c r="AT349" s="1142"/>
      <c r="AU349" s="1142"/>
      <c r="AV349" s="1142"/>
      <c r="AW349" s="1142"/>
      <c r="AX349" s="1142"/>
      <c r="AY349" s="1142"/>
      <c r="AZ349" s="1142"/>
      <c r="BA349" s="1142"/>
      <c r="BB349" s="1142"/>
      <c r="BC349" s="1142"/>
      <c r="BD349" s="1142"/>
      <c r="BE349" s="1142"/>
      <c r="BF349" s="1142"/>
      <c r="BG349" s="1142"/>
      <c r="BH349" s="1142"/>
      <c r="BI349" s="1142"/>
      <c r="BJ349" s="1142"/>
      <c r="BK349" s="1142"/>
      <c r="BL349" s="1142"/>
      <c r="BM349" s="1142"/>
      <c r="BN349" s="1142"/>
      <c r="BO349" s="1142"/>
      <c r="BP349" s="1142"/>
      <c r="BQ349" s="1142"/>
      <c r="BR349" s="1142"/>
      <c r="BS349" s="1142"/>
      <c r="BT349" s="1142"/>
      <c r="BU349" s="1478"/>
      <c r="BV349" s="1070"/>
      <c r="BW349" s="1070"/>
    </row>
    <row r="350" spans="1:75" collapsed="1" x14ac:dyDescent="0.3">
      <c r="A350" s="1527"/>
      <c r="B350" s="1142"/>
      <c r="C350" s="1142"/>
      <c r="D350" s="1142"/>
      <c r="E350" s="1142"/>
      <c r="F350" s="1142"/>
      <c r="G350" s="1142"/>
      <c r="H350" s="1142"/>
      <c r="I350" s="1142"/>
      <c r="J350" s="1142"/>
      <c r="K350" s="1142"/>
      <c r="L350" s="1142"/>
      <c r="M350" s="1142"/>
      <c r="N350" s="1142"/>
      <c r="O350" s="1142"/>
      <c r="P350" s="1142"/>
      <c r="Q350" s="1142"/>
      <c r="R350" s="1142"/>
      <c r="S350" s="1142"/>
      <c r="T350" s="1142"/>
      <c r="U350" s="1142"/>
      <c r="V350" s="1142"/>
      <c r="W350" s="1142"/>
      <c r="X350" s="1142"/>
      <c r="Y350" s="1142"/>
      <c r="Z350" s="1142"/>
      <c r="AA350" s="1142"/>
      <c r="AB350" s="1142"/>
      <c r="AC350" s="1142"/>
      <c r="AD350" s="1142"/>
      <c r="AE350" s="1142"/>
      <c r="AF350" s="1142"/>
      <c r="AG350" s="1142"/>
      <c r="AH350" s="1142"/>
      <c r="AI350" s="1142"/>
      <c r="AJ350" s="1564"/>
      <c r="AK350" s="1142"/>
      <c r="AL350" s="1142"/>
      <c r="AM350" s="1142"/>
      <c r="AN350" s="1142"/>
      <c r="AO350" s="1149"/>
      <c r="AP350" s="1142"/>
      <c r="AQ350" s="1142"/>
      <c r="AR350" s="1142"/>
      <c r="AS350" s="1142"/>
      <c r="AT350" s="1142"/>
      <c r="AU350" s="1142"/>
      <c r="AV350" s="1142"/>
      <c r="AW350" s="1142"/>
      <c r="AX350" s="1142"/>
      <c r="AY350" s="1142"/>
      <c r="AZ350" s="1142"/>
      <c r="BA350" s="1142"/>
      <c r="BB350" s="1142"/>
      <c r="BC350" s="1142"/>
      <c r="BD350" s="1142"/>
      <c r="BE350" s="1142"/>
      <c r="BF350" s="1142"/>
      <c r="BG350" s="1142"/>
      <c r="BH350" s="1142"/>
      <c r="BI350" s="1142"/>
      <c r="BJ350" s="1142"/>
      <c r="BK350" s="1142"/>
      <c r="BL350" s="1142"/>
      <c r="BM350" s="1142"/>
      <c r="BN350" s="1142"/>
      <c r="BO350" s="1142"/>
      <c r="BP350" s="1142"/>
      <c r="BQ350" s="1142"/>
      <c r="BR350" s="1142"/>
      <c r="BS350" s="1142"/>
      <c r="BT350" s="1142"/>
      <c r="BU350" s="1478"/>
      <c r="BV350" s="1070"/>
      <c r="BW350" s="1070"/>
    </row>
    <row r="351" spans="1:75" x14ac:dyDescent="0.3">
      <c r="A351" s="1527"/>
      <c r="B351" s="1142"/>
      <c r="C351" s="1142"/>
      <c r="D351" s="1142"/>
      <c r="E351" s="1142"/>
      <c r="F351" s="1142"/>
      <c r="G351" s="1655" t="s">
        <v>1741</v>
      </c>
      <c r="H351" s="1142"/>
      <c r="I351" s="1142"/>
      <c r="J351" s="1142"/>
      <c r="K351" s="1142"/>
      <c r="L351" s="1142"/>
      <c r="M351" s="1142"/>
      <c r="N351" s="1142"/>
      <c r="O351" s="1070"/>
      <c r="P351" s="1070"/>
      <c r="Q351" s="1070"/>
      <c r="R351" s="1070"/>
      <c r="S351" s="1070"/>
      <c r="T351" s="1070"/>
      <c r="U351" s="1070"/>
      <c r="V351" s="1070"/>
      <c r="W351" s="1070"/>
      <c r="X351" s="1070"/>
      <c r="Y351" s="1142"/>
      <c r="Z351" s="1142"/>
      <c r="AA351" s="1142"/>
      <c r="AB351" s="1142"/>
      <c r="AC351" s="1142"/>
      <c r="AD351" s="1142"/>
      <c r="AE351" s="1142"/>
      <c r="AF351" s="1142"/>
      <c r="AG351" s="1142"/>
      <c r="AH351" s="1142"/>
      <c r="AI351" s="1142"/>
      <c r="AJ351" s="1564"/>
      <c r="AK351" s="1142"/>
      <c r="AL351" s="1142"/>
      <c r="AM351" s="1142"/>
      <c r="AN351" s="1142"/>
      <c r="AO351" s="1149"/>
      <c r="AP351" s="1655" t="s">
        <v>1742</v>
      </c>
      <c r="AQ351" s="1142"/>
      <c r="AR351" s="1142"/>
      <c r="AS351" s="1142"/>
      <c r="AT351" s="1142"/>
      <c r="AU351" s="1142"/>
      <c r="AV351" s="1142"/>
      <c r="AW351" s="1142"/>
      <c r="AX351" s="1142"/>
      <c r="AY351" s="1142"/>
      <c r="AZ351" s="1142"/>
      <c r="BA351" s="1142"/>
      <c r="BB351" s="1142"/>
      <c r="BC351" s="1142"/>
      <c r="BD351" s="1142"/>
      <c r="BE351" s="1142"/>
      <c r="BF351" s="1142"/>
      <c r="BG351" s="1142"/>
      <c r="BH351" s="1142"/>
      <c r="BI351" s="1142"/>
      <c r="BJ351" s="1142"/>
      <c r="BK351" s="1142"/>
      <c r="BL351" s="1142"/>
      <c r="BM351" s="1142"/>
      <c r="BN351" s="1142"/>
      <c r="BO351" s="1142"/>
      <c r="BP351" s="1142"/>
      <c r="BQ351" s="1142"/>
      <c r="BR351" s="1142"/>
      <c r="BS351" s="1142"/>
      <c r="BT351" s="1142"/>
      <c r="BU351" s="1478"/>
      <c r="BV351" s="1070"/>
      <c r="BW351" s="1070"/>
    </row>
    <row r="352" spans="1:75" x14ac:dyDescent="0.3">
      <c r="A352" s="1527"/>
      <c r="B352" s="1142"/>
      <c r="C352" s="1142"/>
      <c r="D352" s="1142"/>
      <c r="E352" s="1142"/>
      <c r="F352" s="1142"/>
      <c r="G352" s="1142"/>
      <c r="H352" s="1142"/>
      <c r="I352" s="1142"/>
      <c r="J352" s="1142"/>
      <c r="K352" s="1142"/>
      <c r="L352" s="1142"/>
      <c r="M352" s="1142"/>
      <c r="N352" s="1142"/>
      <c r="O352" s="1070"/>
      <c r="P352" s="1070"/>
      <c r="Q352" s="1070"/>
      <c r="R352" s="1070"/>
      <c r="S352" s="1070"/>
      <c r="T352" s="1070"/>
      <c r="U352" s="1070"/>
      <c r="V352" s="1070"/>
      <c r="W352" s="1070"/>
      <c r="X352" s="1070"/>
      <c r="Y352" s="1142"/>
      <c r="Z352" s="1142"/>
      <c r="AA352" s="1142"/>
      <c r="AB352" s="1142"/>
      <c r="AC352" s="1142"/>
      <c r="AD352" s="1142"/>
      <c r="AE352" s="1142"/>
      <c r="AF352" s="1142"/>
      <c r="AG352" s="1142"/>
      <c r="AH352" s="1142"/>
      <c r="AI352" s="1142"/>
      <c r="AJ352" s="1564"/>
      <c r="AK352" s="1142"/>
      <c r="AL352" s="1142"/>
      <c r="AM352" s="1142"/>
      <c r="AN352" s="1142"/>
      <c r="AO352" s="1149"/>
      <c r="AP352" s="1142"/>
      <c r="AQ352" s="1142"/>
      <c r="AR352" s="1142"/>
      <c r="AS352" s="1142"/>
      <c r="AT352" s="1142"/>
      <c r="AU352" s="1142"/>
      <c r="AV352" s="1142"/>
      <c r="AW352" s="1142"/>
      <c r="AX352" s="1142"/>
      <c r="AY352" s="1142"/>
      <c r="AZ352" s="1142"/>
      <c r="BA352" s="1142"/>
      <c r="BB352" s="1142"/>
      <c r="BC352" s="1142"/>
      <c r="BD352" s="1142"/>
      <c r="BE352" s="1142"/>
      <c r="BF352" s="1142"/>
      <c r="BG352" s="1142"/>
      <c r="BH352" s="1142"/>
      <c r="BI352" s="1142"/>
      <c r="BJ352" s="1142"/>
      <c r="BK352" s="1142"/>
      <c r="BL352" s="1142"/>
      <c r="BM352" s="1142"/>
      <c r="BN352" s="1142"/>
      <c r="BO352" s="1142"/>
      <c r="BP352" s="1142"/>
      <c r="BQ352" s="1142"/>
      <c r="BR352" s="1142"/>
      <c r="BS352" s="1142"/>
      <c r="BT352" s="1142"/>
      <c r="BU352" s="1478"/>
      <c r="BV352" s="1070"/>
      <c r="BW352" s="1070"/>
    </row>
    <row r="353" spans="1:75" x14ac:dyDescent="0.3">
      <c r="A353" s="1527"/>
      <c r="B353" s="1142"/>
      <c r="C353" s="1142"/>
      <c r="D353" s="1142"/>
      <c r="E353" s="1142"/>
      <c r="F353" s="1142"/>
      <c r="G353" s="1142"/>
      <c r="H353" s="1142"/>
      <c r="I353" s="1142"/>
      <c r="J353" s="1142"/>
      <c r="K353" s="1142"/>
      <c r="L353" s="1142"/>
      <c r="M353" s="1142"/>
      <c r="N353" s="1142"/>
      <c r="O353" s="1070"/>
      <c r="P353" s="1142"/>
      <c r="Q353" s="1142"/>
      <c r="R353" s="1142"/>
      <c r="S353" s="1142"/>
      <c r="T353" s="1142"/>
      <c r="U353" s="1142"/>
      <c r="V353" s="1142"/>
      <c r="W353" s="1142"/>
      <c r="X353" s="1070"/>
      <c r="Y353" s="1142"/>
      <c r="Z353" s="1142"/>
      <c r="AA353" s="1142"/>
      <c r="AB353" s="1142"/>
      <c r="AC353" s="1142"/>
      <c r="AD353" s="1142"/>
      <c r="AE353" s="1142"/>
      <c r="AF353" s="1142"/>
      <c r="AG353" s="1142"/>
      <c r="AH353" s="1142"/>
      <c r="AI353" s="1142"/>
      <c r="AJ353" s="1564"/>
      <c r="AK353" s="1142"/>
      <c r="AL353" s="1142"/>
      <c r="AM353" s="1142"/>
      <c r="AN353" s="1142"/>
      <c r="AO353" s="1149"/>
      <c r="AP353" s="1142"/>
      <c r="AQ353" s="1142"/>
      <c r="AR353" s="1142"/>
      <c r="AS353" s="1142"/>
      <c r="AT353" s="1142"/>
      <c r="AU353" s="1142"/>
      <c r="AV353" s="1142"/>
      <c r="AW353" s="1142"/>
      <c r="AX353" s="1142"/>
      <c r="AY353" s="1142"/>
      <c r="AZ353" s="1142"/>
      <c r="BA353" s="1142"/>
      <c r="BB353" s="1142"/>
      <c r="BC353" s="1142"/>
      <c r="BD353" s="1142"/>
      <c r="BE353" s="1142"/>
      <c r="BF353" s="1142"/>
      <c r="BG353" s="1142"/>
      <c r="BH353" s="1142"/>
      <c r="BI353" s="1142"/>
      <c r="BJ353" s="1142"/>
      <c r="BK353" s="1142"/>
      <c r="BL353" s="1142"/>
      <c r="BM353" s="1142"/>
      <c r="BN353" s="1142"/>
      <c r="BO353" s="1142"/>
      <c r="BP353" s="1142"/>
      <c r="BQ353" s="1142"/>
      <c r="BR353" s="1142"/>
      <c r="BS353" s="1142"/>
      <c r="BT353" s="1142"/>
      <c r="BU353" s="1478"/>
      <c r="BV353" s="1070"/>
      <c r="BW353" s="1070"/>
    </row>
    <row r="354" spans="1:75" x14ac:dyDescent="0.3">
      <c r="A354" s="1527"/>
      <c r="B354" s="1070"/>
      <c r="C354" s="1070"/>
      <c r="D354" s="1070"/>
      <c r="E354" s="1070"/>
      <c r="F354" s="1142"/>
      <c r="G354" s="1657" t="s">
        <v>1313</v>
      </c>
      <c r="H354" s="1658"/>
      <c r="I354" s="1658"/>
      <c r="J354" s="1658"/>
      <c r="K354" s="1658"/>
      <c r="L354" s="1658"/>
      <c r="M354" s="1658"/>
      <c r="N354" s="1658"/>
      <c r="O354" s="1659"/>
      <c r="P354" s="1142"/>
      <c r="Q354" s="1660"/>
      <c r="R354" s="1661"/>
      <c r="S354" s="1661"/>
      <c r="T354" s="1661"/>
      <c r="U354" s="1661"/>
      <c r="V354" s="1661"/>
      <c r="W354" s="1661"/>
      <c r="X354" s="1661"/>
      <c r="Y354" s="1661"/>
      <c r="Z354" s="1662"/>
      <c r="AA354" s="1142"/>
      <c r="AB354" s="1142"/>
      <c r="AC354" s="1142"/>
      <c r="AD354" s="1142"/>
      <c r="AE354" s="1142"/>
      <c r="AF354" s="1142"/>
      <c r="AG354" s="1142"/>
      <c r="AH354" s="1142"/>
      <c r="AI354" s="1142"/>
      <c r="AJ354" s="1564"/>
      <c r="AK354" s="1142"/>
      <c r="AL354" s="1142"/>
      <c r="AM354" s="1142"/>
      <c r="AN354" s="1142"/>
      <c r="AO354" s="1149"/>
      <c r="AP354" s="1657" t="s">
        <v>1314</v>
      </c>
      <c r="AQ354" s="1658"/>
      <c r="AR354" s="1658"/>
      <c r="AS354" s="1658"/>
      <c r="AT354" s="1658"/>
      <c r="AU354" s="1658"/>
      <c r="AV354" s="1658"/>
      <c r="AW354" s="1658"/>
      <c r="AX354" s="1659"/>
      <c r="AY354" s="1070"/>
      <c r="AZ354" s="1660"/>
      <c r="BA354" s="1661"/>
      <c r="BB354" s="1661"/>
      <c r="BC354" s="1661"/>
      <c r="BD354" s="1661"/>
      <c r="BE354" s="1661"/>
      <c r="BF354" s="1661"/>
      <c r="BG354" s="1661"/>
      <c r="BH354" s="1661"/>
      <c r="BI354" s="1662"/>
      <c r="BJ354" s="1142"/>
      <c r="BK354" s="1142"/>
      <c r="BL354" s="1142"/>
      <c r="BM354" s="1142"/>
      <c r="BN354" s="1142"/>
      <c r="BO354" s="1142"/>
      <c r="BP354" s="1142"/>
      <c r="BQ354" s="1142"/>
      <c r="BR354" s="1142"/>
      <c r="BS354" s="1142"/>
      <c r="BT354" s="1142"/>
      <c r="BU354" s="1478"/>
    </row>
    <row r="355" spans="1:75" x14ac:dyDescent="0.3">
      <c r="A355" s="1527"/>
      <c r="B355" s="1070"/>
      <c r="C355" s="1070"/>
      <c r="D355" s="1070"/>
      <c r="E355" s="1070"/>
      <c r="F355" s="1142"/>
      <c r="G355" s="1663" t="e">
        <f>"NPV Change Drivers "&amp;"FY"&amp;DefExitFY&amp;"-"&amp;DefExitFY+9</f>
        <v>#VALUE!</v>
      </c>
      <c r="H355" s="1664"/>
      <c r="I355" s="1664"/>
      <c r="J355" s="1664"/>
      <c r="K355" s="1664"/>
      <c r="L355" s="1664"/>
      <c r="M355" s="1664"/>
      <c r="N355" s="1664"/>
      <c r="O355" s="1665"/>
      <c r="P355" s="1142"/>
      <c r="Q355" s="1677"/>
      <c r="R355" s="1234"/>
      <c r="S355" s="1234"/>
      <c r="T355" s="1234"/>
      <c r="U355" s="1714" t="e">
        <f>Calc!$G$355</f>
        <v>#VALUE!</v>
      </c>
      <c r="V355" s="1234"/>
      <c r="W355" s="1234"/>
      <c r="X355" s="1234"/>
      <c r="Y355" s="1234"/>
      <c r="Z355" s="1678"/>
      <c r="AA355" s="1142"/>
      <c r="AB355" s="1142"/>
      <c r="AC355" s="1142"/>
      <c r="AD355" s="1142"/>
      <c r="AE355" s="1142"/>
      <c r="AF355" s="1142"/>
      <c r="AG355" s="1142"/>
      <c r="AH355" s="1142"/>
      <c r="AI355" s="1142"/>
      <c r="AJ355" s="1564"/>
      <c r="AK355" s="1142"/>
      <c r="AL355" s="1142"/>
      <c r="AM355" s="1142"/>
      <c r="AN355" s="1142"/>
      <c r="AO355" s="1149"/>
      <c r="AP355" s="1663" t="e">
        <f>"NPV Change Drivers "&amp;"FY"&amp;DefExitFY&amp;"-"&amp;DefExitFY+14</f>
        <v>#VALUE!</v>
      </c>
      <c r="AQ355" s="1664"/>
      <c r="AR355" s="1664"/>
      <c r="AS355" s="1664"/>
      <c r="AT355" s="1664"/>
      <c r="AU355" s="1664"/>
      <c r="AV355" s="1664"/>
      <c r="AW355" s="1664"/>
      <c r="AX355" s="1665"/>
      <c r="AY355" s="1070"/>
      <c r="AZ355" s="1677"/>
      <c r="BA355" s="1234"/>
      <c r="BB355" s="1234"/>
      <c r="BC355" s="1234"/>
      <c r="BD355" s="1714" t="e">
        <f>Calc!$AP$355</f>
        <v>#VALUE!</v>
      </c>
      <c r="BE355" s="1234"/>
      <c r="BF355" s="1234"/>
      <c r="BG355" s="1234"/>
      <c r="BH355" s="1234"/>
      <c r="BI355" s="1678"/>
      <c r="BJ355" s="1142"/>
      <c r="BK355" s="1142"/>
      <c r="BL355" s="1142"/>
      <c r="BM355" s="1142"/>
      <c r="BN355" s="1142"/>
      <c r="BO355" s="1142"/>
      <c r="BP355" s="1142"/>
      <c r="BQ355" s="1142"/>
      <c r="BR355" s="1142"/>
      <c r="BS355" s="1142"/>
      <c r="BT355" s="1142"/>
      <c r="BU355" s="1478"/>
    </row>
    <row r="356" spans="1:75" x14ac:dyDescent="0.3">
      <c r="A356" s="1527"/>
      <c r="B356" s="1070"/>
      <c r="C356" s="1070"/>
      <c r="D356" s="1070"/>
      <c r="E356" s="1070"/>
      <c r="F356" s="1142"/>
      <c r="G356" s="2053"/>
      <c r="H356" s="2054"/>
      <c r="I356" s="1218"/>
      <c r="J356" s="1673" t="s">
        <v>1414</v>
      </c>
      <c r="K356" s="1674" t="s">
        <v>1415</v>
      </c>
      <c r="L356" s="1674" t="s">
        <v>1416</v>
      </c>
      <c r="M356" s="1674" t="s">
        <v>1417</v>
      </c>
      <c r="N356" s="1675" t="s">
        <v>1418</v>
      </c>
      <c r="O356" s="1676" t="s">
        <v>1419</v>
      </c>
      <c r="P356" s="1142"/>
      <c r="Q356" s="1677"/>
      <c r="R356" s="1234"/>
      <c r="S356" s="1234"/>
      <c r="T356" s="1234"/>
      <c r="U356" s="1234"/>
      <c r="V356" s="1234"/>
      <c r="W356" s="1234"/>
      <c r="X356" s="1234"/>
      <c r="Y356" s="1234"/>
      <c r="Z356" s="1678"/>
      <c r="AA356" s="1142"/>
      <c r="AB356" s="1142"/>
      <c r="AC356" s="1142"/>
      <c r="AD356" s="1142"/>
      <c r="AE356" s="1142"/>
      <c r="AF356" s="1142"/>
      <c r="AG356" s="1142"/>
      <c r="AH356" s="1142"/>
      <c r="AI356" s="1142"/>
      <c r="AJ356" s="1564"/>
      <c r="AK356" s="1142"/>
      <c r="AL356" s="1142"/>
      <c r="AM356" s="1142"/>
      <c r="AN356" s="1142"/>
      <c r="AO356" s="1149"/>
      <c r="AP356" s="2923"/>
      <c r="AQ356" s="1422"/>
      <c r="AR356" s="1672"/>
      <c r="AS356" s="1673" t="s">
        <v>1414</v>
      </c>
      <c r="AT356" s="1674" t="s">
        <v>1415</v>
      </c>
      <c r="AU356" s="1674" t="s">
        <v>1416</v>
      </c>
      <c r="AV356" s="1674" t="s">
        <v>1417</v>
      </c>
      <c r="AW356" s="1675" t="s">
        <v>1418</v>
      </c>
      <c r="AX356" s="1676" t="s">
        <v>1419</v>
      </c>
      <c r="AY356" s="1070"/>
      <c r="AZ356" s="1677"/>
      <c r="BA356" s="1234"/>
      <c r="BB356" s="1234"/>
      <c r="BC356" s="1234"/>
      <c r="BD356" s="1234"/>
      <c r="BE356" s="1234"/>
      <c r="BF356" s="1234"/>
      <c r="BG356" s="1234"/>
      <c r="BH356" s="1234"/>
      <c r="BI356" s="1678"/>
      <c r="BJ356" s="1142"/>
      <c r="BK356" s="1142"/>
      <c r="BL356" s="1142"/>
      <c r="BM356" s="1142"/>
      <c r="BN356" s="1142"/>
      <c r="BO356" s="1142"/>
      <c r="BP356" s="1142"/>
      <c r="BQ356" s="1142"/>
      <c r="BR356" s="1142"/>
      <c r="BS356" s="1142"/>
      <c r="BT356" s="1142"/>
      <c r="BU356" s="1478"/>
    </row>
    <row r="357" spans="1:75" ht="29.25" customHeight="1" x14ac:dyDescent="0.3">
      <c r="A357" s="1527"/>
      <c r="B357" s="1070"/>
      <c r="C357" s="1070"/>
      <c r="D357" s="1070"/>
      <c r="E357" s="1070"/>
      <c r="F357" s="1070"/>
      <c r="G357" s="3300" t="e">
        <f>"FY"&amp;DefExitFY&amp;"-"&amp;DefExitFY+9</f>
        <v>#VALUE!</v>
      </c>
      <c r="H357" s="3303" t="str">
        <f>"Commitment  "&amp;
"("&amp;Comp&amp;")"</f>
        <v>Commitment  (Def Exit)</v>
      </c>
      <c r="I357" s="3250"/>
      <c r="J357" s="1679" t="e">
        <f>G177/1000</f>
        <v>#VALUE!</v>
      </c>
      <c r="K357" s="1680" t="e">
        <f>J357</f>
        <v>#VALUE!</v>
      </c>
      <c r="L357" s="1680"/>
      <c r="M357" s="1680"/>
      <c r="N357" s="1681" t="e">
        <f>G176-DiscRDE</f>
        <v>#VALUE!</v>
      </c>
      <c r="O357" s="1682"/>
      <c r="P357" s="1070"/>
      <c r="Q357" s="1677"/>
      <c r="R357" s="1234"/>
      <c r="S357" s="1234"/>
      <c r="T357" s="1234"/>
      <c r="U357" s="1234"/>
      <c r="V357" s="1234"/>
      <c r="W357" s="1234"/>
      <c r="X357" s="1234"/>
      <c r="Y357" s="1234"/>
      <c r="Z357" s="1678"/>
      <c r="AA357" s="1142"/>
      <c r="AB357" s="1142"/>
      <c r="AC357" s="1142"/>
      <c r="AD357" s="1142"/>
      <c r="AE357" s="1142"/>
      <c r="AF357" s="1142"/>
      <c r="AG357" s="1142"/>
      <c r="AH357" s="1142"/>
      <c r="AI357" s="1142"/>
      <c r="AJ357" s="1564"/>
      <c r="AK357" s="1142"/>
      <c r="AL357" s="1142"/>
      <c r="AM357" s="1142"/>
      <c r="AN357" s="1142"/>
      <c r="AO357" s="1149"/>
      <c r="AP357" s="3300" t="e">
        <f>"FY"&amp;DefExitFY&amp;"-"&amp;DefExitFY+14</f>
        <v>#VALUE!</v>
      </c>
      <c r="AQ357" s="3303" t="str">
        <f>"Commitment    "&amp;
"("&amp;Comp&amp;")"</f>
        <v>Commitment    (Def Exit)</v>
      </c>
      <c r="AR357" s="3250"/>
      <c r="AS357" s="1679" t="e">
        <f>L177/1000</f>
        <v>#VALUE!</v>
      </c>
      <c r="AT357" s="1680" t="e">
        <f>AS357</f>
        <v>#VALUE!</v>
      </c>
      <c r="AU357" s="1680"/>
      <c r="AV357" s="1680"/>
      <c r="AW357" s="1681" t="e">
        <f>L176-DiscRDE</f>
        <v>#VALUE!</v>
      </c>
      <c r="AX357" s="1682"/>
      <c r="AY357" s="1070"/>
      <c r="AZ357" s="1677"/>
      <c r="BA357" s="1234"/>
      <c r="BB357" s="1234"/>
      <c r="BC357" s="1234"/>
      <c r="BD357" s="1234"/>
      <c r="BE357" s="1234"/>
      <c r="BF357" s="1234"/>
      <c r="BG357" s="1234"/>
      <c r="BH357" s="1234"/>
      <c r="BI357" s="1678"/>
      <c r="BJ357" s="1142"/>
      <c r="BK357" s="1142"/>
      <c r="BL357" s="1142"/>
      <c r="BM357" s="1142"/>
      <c r="BN357" s="1142"/>
      <c r="BO357" s="1142"/>
      <c r="BP357" s="1142"/>
      <c r="BQ357" s="1142"/>
      <c r="BR357" s="1142"/>
      <c r="BS357" s="1142"/>
      <c r="BT357" s="1142"/>
      <c r="BU357" s="1478"/>
    </row>
    <row r="358" spans="1:75" ht="29.25" customHeight="1" x14ac:dyDescent="0.3">
      <c r="A358" s="1527"/>
      <c r="B358" s="1070"/>
      <c r="C358" s="1070"/>
      <c r="D358" s="1070"/>
      <c r="E358" s="1070"/>
      <c r="F358" s="1070"/>
      <c r="G358" s="3301"/>
      <c r="H358" s="3304" t="s">
        <v>1421</v>
      </c>
      <c r="I358" s="3252"/>
      <c r="J358" s="1684">
        <f>AJ292/1000</f>
        <v>0</v>
      </c>
      <c r="K358" s="1685"/>
      <c r="L358" s="1685" t="e">
        <f>SUM(J$357:J357)</f>
        <v>#VALUE!</v>
      </c>
      <c r="M358" s="1685" t="e">
        <f>SUM(J$357:J358)</f>
        <v>#VALUE!</v>
      </c>
      <c r="N358" s="1686"/>
      <c r="O358" s="1687" t="e">
        <f>J358/ABS($J$357-$K$363)</f>
        <v>#VALUE!</v>
      </c>
      <c r="P358" s="1070"/>
      <c r="Q358" s="1677"/>
      <c r="R358" s="1234"/>
      <c r="S358" s="1234"/>
      <c r="T358" s="1234"/>
      <c r="U358" s="1234"/>
      <c r="V358" s="1234"/>
      <c r="W358" s="1234"/>
      <c r="X358" s="1234"/>
      <c r="Y358" s="1234"/>
      <c r="Z358" s="1678"/>
      <c r="AA358" s="1142"/>
      <c r="AB358" s="1142"/>
      <c r="AC358" s="1142"/>
      <c r="AD358" s="1142"/>
      <c r="AE358" s="1142"/>
      <c r="AF358" s="1142"/>
      <c r="AG358" s="1142"/>
      <c r="AH358" s="1142"/>
      <c r="AI358" s="1142"/>
      <c r="AJ358" s="1564"/>
      <c r="AK358" s="1142"/>
      <c r="AL358" s="1142"/>
      <c r="AM358" s="1142"/>
      <c r="AN358" s="1142"/>
      <c r="AO358" s="1149"/>
      <c r="AP358" s="3301"/>
      <c r="AQ358" s="3304" t="s">
        <v>1421</v>
      </c>
      <c r="AR358" s="3252"/>
      <c r="AS358" s="1684">
        <f>BT292/1000</f>
        <v>0</v>
      </c>
      <c r="AT358" s="1685"/>
      <c r="AU358" s="1685" t="e">
        <f>SUM(AS$357:AS357)</f>
        <v>#VALUE!</v>
      </c>
      <c r="AV358" s="1685" t="e">
        <f>SUM(AS$357:AS358)</f>
        <v>#VALUE!</v>
      </c>
      <c r="AW358" s="1686"/>
      <c r="AX358" s="1687" t="e">
        <f>AS358/ABS($AS$357-$AT$363)</f>
        <v>#VALUE!</v>
      </c>
      <c r="AY358" s="1070"/>
      <c r="AZ358" s="1677"/>
      <c r="BA358" s="1234"/>
      <c r="BB358" s="1234"/>
      <c r="BC358" s="1234"/>
      <c r="BD358" s="1234"/>
      <c r="BE358" s="1234"/>
      <c r="BF358" s="1234"/>
      <c r="BG358" s="1234"/>
      <c r="BH358" s="1234"/>
      <c r="BI358" s="1678"/>
      <c r="BJ358" s="1142"/>
      <c r="BK358" s="1142"/>
      <c r="BL358" s="1142"/>
      <c r="BM358" s="1142"/>
      <c r="BN358" s="1142"/>
      <c r="BO358" s="1142"/>
      <c r="BP358" s="1142"/>
      <c r="BQ358" s="1142"/>
      <c r="BR358" s="1142"/>
      <c r="BS358" s="1142"/>
      <c r="BT358" s="1142"/>
      <c r="BU358" s="1478"/>
    </row>
    <row r="359" spans="1:75" ht="29.25" customHeight="1" x14ac:dyDescent="0.3">
      <c r="A359" s="1527"/>
      <c r="B359" s="1070"/>
      <c r="C359" s="1070"/>
      <c r="D359" s="1070"/>
      <c r="E359" s="1070"/>
      <c r="F359" s="1070"/>
      <c r="G359" s="3301"/>
      <c r="H359" s="3304" t="s">
        <v>1422</v>
      </c>
      <c r="I359" s="3252"/>
      <c r="J359" s="1684">
        <f>AJ293/1000</f>
        <v>0</v>
      </c>
      <c r="K359" s="1688"/>
      <c r="L359" s="1685" t="e">
        <f>SUM(J$357:J358)</f>
        <v>#VALUE!</v>
      </c>
      <c r="M359" s="1685" t="e">
        <f>SUM(J$357:J359)</f>
        <v>#VALUE!</v>
      </c>
      <c r="N359" s="1686"/>
      <c r="O359" s="1687" t="e">
        <f>J359/ABS($J$357-$K$363)</f>
        <v>#VALUE!</v>
      </c>
      <c r="P359" s="1070"/>
      <c r="Q359" s="1677"/>
      <c r="R359" s="1234"/>
      <c r="S359" s="1234"/>
      <c r="T359" s="1234"/>
      <c r="U359" s="1234"/>
      <c r="V359" s="1234"/>
      <c r="W359" s="1234"/>
      <c r="X359" s="1234"/>
      <c r="Y359" s="1234"/>
      <c r="Z359" s="1678"/>
      <c r="AA359" s="1142"/>
      <c r="AB359" s="1142"/>
      <c r="AC359" s="1142"/>
      <c r="AD359" s="1142"/>
      <c r="AE359" s="1142"/>
      <c r="AF359" s="1142"/>
      <c r="AG359" s="1142"/>
      <c r="AH359" s="1142"/>
      <c r="AI359" s="1142"/>
      <c r="AJ359" s="1564"/>
      <c r="AK359" s="1142"/>
      <c r="AL359" s="1142"/>
      <c r="AM359" s="1142"/>
      <c r="AN359" s="1142"/>
      <c r="AO359" s="1149"/>
      <c r="AP359" s="3301"/>
      <c r="AQ359" s="3304" t="s">
        <v>1422</v>
      </c>
      <c r="AR359" s="3252"/>
      <c r="AS359" s="1684">
        <f>BT293/1000</f>
        <v>0</v>
      </c>
      <c r="AT359" s="1688"/>
      <c r="AU359" s="1685" t="e">
        <f>SUM(AS$357:AS358)</f>
        <v>#VALUE!</v>
      </c>
      <c r="AV359" s="1685" t="e">
        <f>SUM(AS$357:AS359)</f>
        <v>#VALUE!</v>
      </c>
      <c r="AW359" s="1686"/>
      <c r="AX359" s="1687" t="e">
        <f>AS359/ABS($AS$357-$AT$363)</f>
        <v>#VALUE!</v>
      </c>
      <c r="AY359" s="1070"/>
      <c r="AZ359" s="1677"/>
      <c r="BA359" s="1234"/>
      <c r="BB359" s="1234"/>
      <c r="BC359" s="1234"/>
      <c r="BD359" s="1234"/>
      <c r="BE359" s="1234"/>
      <c r="BF359" s="1234"/>
      <c r="BG359" s="1234"/>
      <c r="BH359" s="1234"/>
      <c r="BI359" s="1678"/>
      <c r="BJ359" s="1142"/>
      <c r="BK359" s="1142"/>
      <c r="BL359" s="1142"/>
      <c r="BM359" s="1142"/>
      <c r="BN359" s="1142"/>
      <c r="BO359" s="1142"/>
      <c r="BP359" s="1142"/>
      <c r="BQ359" s="1142"/>
      <c r="BR359" s="1142"/>
      <c r="BS359" s="1142"/>
      <c r="BT359" s="1142"/>
      <c r="BU359" s="1478"/>
    </row>
    <row r="360" spans="1:75" ht="29.25" customHeight="1" x14ac:dyDescent="0.3">
      <c r="A360" s="1527"/>
      <c r="B360" s="1070"/>
      <c r="C360" s="1070"/>
      <c r="D360" s="1070"/>
      <c r="E360" s="1070"/>
      <c r="F360" s="1070"/>
      <c r="G360" s="3301"/>
      <c r="H360" s="3304" t="s">
        <v>1423</v>
      </c>
      <c r="I360" s="3252"/>
      <c r="J360" s="1684">
        <f>AJ294/1000</f>
        <v>0</v>
      </c>
      <c r="K360" s="1685"/>
      <c r="L360" s="1685" t="e">
        <f>SUM(J$357:J359)</f>
        <v>#VALUE!</v>
      </c>
      <c r="M360" s="1685" t="e">
        <f>SUM(J$357:J360)</f>
        <v>#VALUE!</v>
      </c>
      <c r="N360" s="1686"/>
      <c r="O360" s="1687" t="e">
        <f>J360/ABS($J$357-$K$363)</f>
        <v>#VALUE!</v>
      </c>
      <c r="P360" s="1070"/>
      <c r="Q360" s="1677"/>
      <c r="R360" s="1234"/>
      <c r="S360" s="1234"/>
      <c r="T360" s="1234"/>
      <c r="U360" s="1234"/>
      <c r="V360" s="1234"/>
      <c r="W360" s="1234"/>
      <c r="X360" s="1234"/>
      <c r="Y360" s="1234"/>
      <c r="Z360" s="1678"/>
      <c r="AA360" s="1142"/>
      <c r="AB360" s="1142"/>
      <c r="AC360" s="1142"/>
      <c r="AD360" s="1142"/>
      <c r="AE360" s="1142"/>
      <c r="AF360" s="1142"/>
      <c r="AG360" s="1142"/>
      <c r="AH360" s="1142"/>
      <c r="AI360" s="1142"/>
      <c r="AJ360" s="1564"/>
      <c r="AK360" s="1142"/>
      <c r="AL360" s="1142"/>
      <c r="AM360" s="1142"/>
      <c r="AN360" s="1142"/>
      <c r="AO360" s="1149"/>
      <c r="AP360" s="3301"/>
      <c r="AQ360" s="3304" t="s">
        <v>1423</v>
      </c>
      <c r="AR360" s="3252"/>
      <c r="AS360" s="1684">
        <f>BT294/1000</f>
        <v>0</v>
      </c>
      <c r="AT360" s="1685"/>
      <c r="AU360" s="1685" t="e">
        <f>SUM(AS$357:AS359)</f>
        <v>#VALUE!</v>
      </c>
      <c r="AV360" s="1685" t="e">
        <f>SUM(AS$357:AS360)</f>
        <v>#VALUE!</v>
      </c>
      <c r="AW360" s="1686"/>
      <c r="AX360" s="1687" t="e">
        <f>AS360/ABS($AS$357-$AT$363)</f>
        <v>#VALUE!</v>
      </c>
      <c r="AY360" s="1070"/>
      <c r="AZ360" s="1677"/>
      <c r="BA360" s="1234"/>
      <c r="BB360" s="1234"/>
      <c r="BC360" s="1234"/>
      <c r="BD360" s="1234"/>
      <c r="BE360" s="1234"/>
      <c r="BF360" s="1234"/>
      <c r="BG360" s="1234"/>
      <c r="BH360" s="1234"/>
      <c r="BI360" s="1678"/>
      <c r="BJ360" s="1142"/>
      <c r="BK360" s="1142"/>
      <c r="BL360" s="1142"/>
      <c r="BM360" s="1142"/>
      <c r="BN360" s="1142"/>
      <c r="BO360" s="1142"/>
      <c r="BP360" s="1142"/>
      <c r="BQ360" s="1142"/>
      <c r="BR360" s="1142"/>
      <c r="BS360" s="1142"/>
      <c r="BT360" s="1142"/>
      <c r="BU360" s="1478"/>
    </row>
    <row r="361" spans="1:75" ht="29.25" customHeight="1" x14ac:dyDescent="0.3">
      <c r="A361" s="1527"/>
      <c r="B361" s="1070"/>
      <c r="C361" s="1070"/>
      <c r="D361" s="1070"/>
      <c r="E361" s="1070"/>
      <c r="F361" s="1070"/>
      <c r="G361" s="3301"/>
      <c r="H361" s="3305" t="s">
        <v>1424</v>
      </c>
      <c r="I361" s="3254"/>
      <c r="J361" s="1684">
        <f>AJ295/1000</f>
        <v>0</v>
      </c>
      <c r="K361" s="1685"/>
      <c r="L361" s="1685" t="e">
        <f>SUM(J$357:J360)</f>
        <v>#VALUE!</v>
      </c>
      <c r="M361" s="1685" t="e">
        <f>SUM(J$357:J361)</f>
        <v>#VALUE!</v>
      </c>
      <c r="N361" s="1686"/>
      <c r="O361" s="1687" t="e">
        <f>J361/ABS($J$357-$K$363)</f>
        <v>#VALUE!</v>
      </c>
      <c r="P361" s="1070"/>
      <c r="Q361" s="1677"/>
      <c r="R361" s="1234"/>
      <c r="S361" s="1234"/>
      <c r="T361" s="1234"/>
      <c r="U361" s="1234"/>
      <c r="V361" s="1234"/>
      <c r="W361" s="1234"/>
      <c r="X361" s="1234"/>
      <c r="Y361" s="1234"/>
      <c r="Z361" s="1678"/>
      <c r="AA361" s="1142"/>
      <c r="AB361" s="1142"/>
      <c r="AC361" s="1142"/>
      <c r="AD361" s="1142"/>
      <c r="AE361" s="1142"/>
      <c r="AF361" s="1142"/>
      <c r="AG361" s="1142"/>
      <c r="AH361" s="1142"/>
      <c r="AI361" s="1142"/>
      <c r="AJ361" s="1564"/>
      <c r="AK361" s="1142"/>
      <c r="AL361" s="1142"/>
      <c r="AM361" s="1142"/>
      <c r="AN361" s="1142"/>
      <c r="AO361" s="1149"/>
      <c r="AP361" s="3301"/>
      <c r="AQ361" s="3305" t="s">
        <v>1424</v>
      </c>
      <c r="AR361" s="3254"/>
      <c r="AS361" s="1684">
        <f>BT295/1000</f>
        <v>0</v>
      </c>
      <c r="AT361" s="1685"/>
      <c r="AU361" s="1685" t="e">
        <f>SUM(AS$357:AS360)</f>
        <v>#VALUE!</v>
      </c>
      <c r="AV361" s="1685" t="e">
        <f>SUM(AS$357:AS361)</f>
        <v>#VALUE!</v>
      </c>
      <c r="AW361" s="1686"/>
      <c r="AX361" s="1687" t="e">
        <f>AS361/ABS($AS$357-$AT$363)</f>
        <v>#VALUE!</v>
      </c>
      <c r="AY361" s="1070"/>
      <c r="AZ361" s="1677"/>
      <c r="BA361" s="1234"/>
      <c r="BB361" s="1234"/>
      <c r="BC361" s="1234"/>
      <c r="BD361" s="1234"/>
      <c r="BE361" s="1234"/>
      <c r="BF361" s="1234"/>
      <c r="BG361" s="1234"/>
      <c r="BH361" s="1234"/>
      <c r="BI361" s="1678"/>
      <c r="BJ361" s="1142"/>
      <c r="BK361" s="1142"/>
      <c r="BL361" s="1142"/>
      <c r="BM361" s="1142"/>
      <c r="BN361" s="1142"/>
      <c r="BO361" s="1142"/>
      <c r="BP361" s="1142"/>
      <c r="BQ361" s="1142"/>
      <c r="BR361" s="1142"/>
      <c r="BS361" s="1142"/>
      <c r="BT361" s="1142"/>
      <c r="BU361" s="1478"/>
    </row>
    <row r="362" spans="1:75" ht="29.25" customHeight="1" x14ac:dyDescent="0.3">
      <c r="A362" s="1527"/>
      <c r="B362" s="1070"/>
      <c r="C362" s="1070"/>
      <c r="D362" s="1070"/>
      <c r="E362" s="1070"/>
      <c r="F362" s="1070"/>
      <c r="G362" s="3301"/>
      <c r="H362" s="3305" t="s">
        <v>415</v>
      </c>
      <c r="I362" s="3254"/>
      <c r="J362" s="1684">
        <f>AJ297/1000</f>
        <v>0</v>
      </c>
      <c r="K362" s="1685"/>
      <c r="L362" s="1685" t="e">
        <f>SUM(J$357:J361)</f>
        <v>#VALUE!</v>
      </c>
      <c r="M362" s="1685" t="e">
        <f>SUM(J$357:J362)</f>
        <v>#VALUE!</v>
      </c>
      <c r="N362" s="1686"/>
      <c r="O362" s="1687" t="e">
        <f>J362/ABS($J$357-$K$363)</f>
        <v>#VALUE!</v>
      </c>
      <c r="P362" s="1070"/>
      <c r="Q362" s="1677"/>
      <c r="R362" s="1234"/>
      <c r="S362" s="1234"/>
      <c r="T362" s="1234"/>
      <c r="U362" s="1234"/>
      <c r="V362" s="1234"/>
      <c r="W362" s="1234"/>
      <c r="X362" s="1234"/>
      <c r="Y362" s="1234"/>
      <c r="Z362" s="1678"/>
      <c r="AA362" s="1142"/>
      <c r="AB362" s="1142"/>
      <c r="AC362" s="1142"/>
      <c r="AD362" s="1142"/>
      <c r="AE362" s="1142"/>
      <c r="AF362" s="1142"/>
      <c r="AG362" s="1142"/>
      <c r="AH362" s="1142"/>
      <c r="AI362" s="1142"/>
      <c r="AJ362" s="1564"/>
      <c r="AK362" s="1142"/>
      <c r="AL362" s="1142"/>
      <c r="AM362" s="1142"/>
      <c r="AN362" s="1142"/>
      <c r="AO362" s="1149"/>
      <c r="AP362" s="3301"/>
      <c r="AQ362" s="3305" t="s">
        <v>415</v>
      </c>
      <c r="AR362" s="3254"/>
      <c r="AS362" s="1684">
        <f t="shared" ref="AS362" si="390">BT297/1000</f>
        <v>0</v>
      </c>
      <c r="AT362" s="1685"/>
      <c r="AU362" s="1685" t="e">
        <f>SUM(AS$357:AS361)</f>
        <v>#VALUE!</v>
      </c>
      <c r="AV362" s="1685" t="e">
        <f>SUM(AS$357:AS362)</f>
        <v>#VALUE!</v>
      </c>
      <c r="AW362" s="1686"/>
      <c r="AX362" s="1687" t="e">
        <f>AS362/ABS($AS$357-$AT$363)</f>
        <v>#VALUE!</v>
      </c>
      <c r="AY362" s="1070"/>
      <c r="AZ362" s="1677"/>
      <c r="BA362" s="1234"/>
      <c r="BB362" s="1234"/>
      <c r="BC362" s="1234"/>
      <c r="BD362" s="1234"/>
      <c r="BE362" s="1234"/>
      <c r="BF362" s="1234"/>
      <c r="BG362" s="1234"/>
      <c r="BH362" s="1234"/>
      <c r="BI362" s="1678"/>
      <c r="BJ362" s="1142"/>
      <c r="BK362" s="1142"/>
      <c r="BL362" s="1142"/>
      <c r="BM362" s="1142"/>
      <c r="BN362" s="1142"/>
      <c r="BO362" s="1142"/>
      <c r="BP362" s="1142"/>
      <c r="BQ362" s="1142"/>
      <c r="BR362" s="1142"/>
      <c r="BS362" s="1142"/>
      <c r="BT362" s="1142"/>
      <c r="BU362" s="1478"/>
    </row>
    <row r="363" spans="1:75" ht="29.25" customHeight="1" x14ac:dyDescent="0.3">
      <c r="A363" s="1527"/>
      <c r="B363" s="1070"/>
      <c r="C363" s="1070"/>
      <c r="D363" s="1070"/>
      <c r="E363" s="1070"/>
      <c r="F363" s="1070"/>
      <c r="G363" s="3302"/>
      <c r="H363" s="3306" t="str">
        <f>"Act / Proj      "&amp;
" ("&amp;Comp&amp;")"</f>
        <v>Act / Proj       (Def Exit)</v>
      </c>
      <c r="I363" s="3257"/>
      <c r="J363" s="1684"/>
      <c r="K363" s="1685" t="e">
        <f>SUM(J357:J362)</f>
        <v>#VALUE!</v>
      </c>
      <c r="L363" s="1685"/>
      <c r="M363" s="1685"/>
      <c r="N363" s="1690" t="e">
        <f>H176-DiscRDE</f>
        <v>#VALUE!</v>
      </c>
      <c r="O363" s="1691" t="e">
        <f>IF(ABS((K363-J357)/ABS(J357))&gt;200%,"N/A",((K363-J357)/ABS(J357)))</f>
        <v>#VALUE!</v>
      </c>
      <c r="P363" s="1070"/>
      <c r="Q363" s="1677"/>
      <c r="R363" s="1234"/>
      <c r="S363" s="1234"/>
      <c r="T363" s="1234"/>
      <c r="U363" s="1234"/>
      <c r="V363" s="1234"/>
      <c r="W363" s="1234"/>
      <c r="X363" s="1234"/>
      <c r="Y363" s="1234"/>
      <c r="Z363" s="1678"/>
      <c r="AA363" s="1142"/>
      <c r="AB363" s="1142"/>
      <c r="AC363" s="1142"/>
      <c r="AD363" s="1142"/>
      <c r="AE363" s="1142"/>
      <c r="AF363" s="1142"/>
      <c r="AG363" s="1142"/>
      <c r="AH363" s="1142"/>
      <c r="AI363" s="1142"/>
      <c r="AJ363" s="1564"/>
      <c r="AK363" s="1142"/>
      <c r="AL363" s="1142"/>
      <c r="AM363" s="1142"/>
      <c r="AN363" s="1142"/>
      <c r="AO363" s="1149"/>
      <c r="AP363" s="3302"/>
      <c r="AQ363" s="3306" t="str">
        <f>"Act / Proj       "&amp;
" ("&amp;Comp&amp;")"</f>
        <v>Act / Proj        (Def Exit)</v>
      </c>
      <c r="AR363" s="3257"/>
      <c r="AS363" s="1684"/>
      <c r="AT363" s="1685" t="e">
        <f>SUM(AS357:AS362)</f>
        <v>#VALUE!</v>
      </c>
      <c r="AU363" s="1685"/>
      <c r="AV363" s="1685"/>
      <c r="AW363" s="1690" t="e">
        <f>M176-DiscRDE</f>
        <v>#VALUE!</v>
      </c>
      <c r="AX363" s="1691" t="e">
        <f>IF(ABS((AT363-AS357)/ABS(AS357))&gt;200%,"N/A",((AT363-AS357)/ABS(AS357)))</f>
        <v>#VALUE!</v>
      </c>
      <c r="AY363" s="1070"/>
      <c r="AZ363" s="1677"/>
      <c r="BA363" s="1234"/>
      <c r="BB363" s="1234"/>
      <c r="BC363" s="1234"/>
      <c r="BD363" s="1234"/>
      <c r="BE363" s="1234"/>
      <c r="BF363" s="1234"/>
      <c r="BG363" s="1234"/>
      <c r="BH363" s="1234"/>
      <c r="BI363" s="1678"/>
      <c r="BJ363" s="1142"/>
      <c r="BK363" s="1142"/>
      <c r="BL363" s="1142"/>
      <c r="BM363" s="1142"/>
      <c r="BN363" s="1142"/>
      <c r="BO363" s="1142"/>
      <c r="BP363" s="1142"/>
      <c r="BQ363" s="1142"/>
      <c r="BR363" s="1142"/>
      <c r="BS363" s="1142"/>
      <c r="BT363" s="1142"/>
      <c r="BU363" s="1478"/>
    </row>
    <row r="364" spans="1:75" x14ac:dyDescent="0.3">
      <c r="A364" s="1527"/>
      <c r="B364" s="1070"/>
      <c r="C364" s="1070"/>
      <c r="D364" s="1070"/>
      <c r="E364" s="1070"/>
      <c r="F364" s="1142"/>
      <c r="G364" s="1116"/>
      <c r="H364" s="1693"/>
      <c r="I364" s="1222"/>
      <c r="J364" s="2055"/>
      <c r="K364" s="1680"/>
      <c r="L364" s="1680"/>
      <c r="M364" s="1680"/>
      <c r="N364" s="1637"/>
      <c r="O364" s="1197"/>
      <c r="P364" s="1142"/>
      <c r="Q364" s="1677"/>
      <c r="R364" s="1234"/>
      <c r="S364" s="1234"/>
      <c r="T364" s="1234"/>
      <c r="U364" s="1234"/>
      <c r="V364" s="1234"/>
      <c r="W364" s="1234"/>
      <c r="X364" s="1234"/>
      <c r="Y364" s="1234"/>
      <c r="Z364" s="1678"/>
      <c r="AA364" s="1142"/>
      <c r="AB364" s="1142"/>
      <c r="AC364" s="1142"/>
      <c r="AD364" s="1142"/>
      <c r="AE364" s="1142"/>
      <c r="AF364" s="1142"/>
      <c r="AG364" s="1142"/>
      <c r="AH364" s="1142"/>
      <c r="AI364" s="1142"/>
      <c r="AJ364" s="1564"/>
      <c r="AK364" s="1142"/>
      <c r="AL364" s="1142"/>
      <c r="AM364" s="1142"/>
      <c r="AN364" s="1142"/>
      <c r="AO364" s="1149"/>
      <c r="AP364" s="1692"/>
      <c r="AQ364" s="1693"/>
      <c r="AR364" s="2924"/>
      <c r="AS364" s="2055"/>
      <c r="AT364" s="1680"/>
      <c r="AU364" s="1680"/>
      <c r="AV364" s="1680"/>
      <c r="AW364" s="1637"/>
      <c r="AX364" s="1197"/>
      <c r="AY364" s="1070"/>
      <c r="AZ364" s="1677"/>
      <c r="BA364" s="1234"/>
      <c r="BB364" s="1234"/>
      <c r="BC364" s="1234"/>
      <c r="BD364" s="1234"/>
      <c r="BE364" s="1234"/>
      <c r="BF364" s="1234"/>
      <c r="BG364" s="1234"/>
      <c r="BH364" s="1234"/>
      <c r="BI364" s="1678"/>
      <c r="BJ364" s="1142"/>
      <c r="BK364" s="1142"/>
      <c r="BL364" s="1142"/>
      <c r="BM364" s="1142"/>
      <c r="BN364" s="1142"/>
      <c r="BO364" s="1142"/>
      <c r="BP364" s="1142"/>
      <c r="BQ364" s="1142"/>
      <c r="BR364" s="1142"/>
      <c r="BS364" s="1142"/>
      <c r="BT364" s="1142"/>
      <c r="BU364" s="1478"/>
    </row>
    <row r="365" spans="1:75" x14ac:dyDescent="0.3">
      <c r="A365" s="1527"/>
      <c r="B365" s="1070"/>
      <c r="C365" s="1070"/>
      <c r="D365" s="1070"/>
      <c r="E365" s="1070"/>
      <c r="F365" s="1142"/>
      <c r="G365" s="1116"/>
      <c r="H365" s="1543" t="str">
        <f>IF(J365&gt;=0,"SSGA +"&amp;ABS(ROUND(J365,0)),"SSGA -"&amp;ABS(ROUND(J365,0)))</f>
        <v>SSGA +0</v>
      </c>
      <c r="I365" s="1082"/>
      <c r="J365" s="1697">
        <f>AJ289/1000</f>
        <v>0</v>
      </c>
      <c r="K365" s="1685"/>
      <c r="L365" s="1685"/>
      <c r="M365" s="1685"/>
      <c r="N365" s="1686"/>
      <c r="O365" s="1699"/>
      <c r="P365" s="1142"/>
      <c r="Q365" s="1677"/>
      <c r="R365" s="1234"/>
      <c r="S365" s="1234"/>
      <c r="T365" s="1234"/>
      <c r="U365" s="1234"/>
      <c r="V365" s="1234"/>
      <c r="W365" s="1234"/>
      <c r="X365" s="1234"/>
      <c r="Y365" s="1234"/>
      <c r="Z365" s="1678"/>
      <c r="AA365" s="1142"/>
      <c r="AB365" s="1142"/>
      <c r="AC365" s="1142"/>
      <c r="AD365" s="1142"/>
      <c r="AE365" s="1142"/>
      <c r="AF365" s="1142"/>
      <c r="AG365" s="1142"/>
      <c r="AH365" s="1142"/>
      <c r="AI365" s="1142"/>
      <c r="AJ365" s="1564"/>
      <c r="AK365" s="1142"/>
      <c r="AL365" s="1142"/>
      <c r="AM365" s="1142"/>
      <c r="AN365" s="1142"/>
      <c r="AO365" s="1149"/>
      <c r="AP365" s="1692"/>
      <c r="AQ365" s="1543" t="str">
        <f>IF(AS365&gt;=0,"SSGA +"&amp;ABS(ROUND(AS365,0)),"SSGA -"&amp;ABS(ROUND(AS365,0)))</f>
        <v>SSGA +0</v>
      </c>
      <c r="AR365" s="1237"/>
      <c r="AS365" s="1697">
        <f>BT289/1000</f>
        <v>0</v>
      </c>
      <c r="AT365" s="1685"/>
      <c r="AU365" s="1685"/>
      <c r="AV365" s="1685"/>
      <c r="AW365" s="1686"/>
      <c r="AX365" s="1699"/>
      <c r="AY365" s="1070"/>
      <c r="AZ365" s="1677"/>
      <c r="BA365" s="1234"/>
      <c r="BB365" s="1234"/>
      <c r="BC365" s="1234"/>
      <c r="BD365" s="1234"/>
      <c r="BE365" s="1234"/>
      <c r="BF365" s="1234"/>
      <c r="BG365" s="1234"/>
      <c r="BH365" s="1234"/>
      <c r="BI365" s="1678"/>
      <c r="BJ365" s="1142"/>
      <c r="BK365" s="1142"/>
      <c r="BL365" s="1142"/>
      <c r="BM365" s="1142"/>
      <c r="BN365" s="1142"/>
      <c r="BO365" s="1142"/>
      <c r="BP365" s="1142"/>
      <c r="BQ365" s="1142"/>
      <c r="BR365" s="1142"/>
      <c r="BS365" s="1142"/>
      <c r="BT365" s="1142"/>
      <c r="BU365" s="1478"/>
    </row>
    <row r="366" spans="1:75" x14ac:dyDescent="0.3">
      <c r="A366" s="1527"/>
      <c r="B366" s="1070"/>
      <c r="C366" s="1070"/>
      <c r="D366" s="1070"/>
      <c r="E366" s="1070"/>
      <c r="F366" s="1142"/>
      <c r="G366" s="1116"/>
      <c r="H366" s="1543" t="str">
        <f>IF(J366&gt;=0,"R&amp;D +"&amp;ABS(ROUND(J366,0)),"R&amp;D -"&amp;ABS(ROUND(J366,0)))</f>
        <v>R&amp;D +0</v>
      </c>
      <c r="I366" s="1082"/>
      <c r="J366" s="1697">
        <f>AJ290/1000</f>
        <v>0</v>
      </c>
      <c r="K366" s="1700"/>
      <c r="L366" s="1685"/>
      <c r="M366" s="1685"/>
      <c r="N366" s="1686"/>
      <c r="O366" s="1699"/>
      <c r="P366" s="1142"/>
      <c r="Q366" s="1677"/>
      <c r="R366" s="1234"/>
      <c r="S366" s="1234"/>
      <c r="T366" s="1234"/>
      <c r="U366" s="1234"/>
      <c r="V366" s="1234"/>
      <c r="W366" s="1234"/>
      <c r="X366" s="1234"/>
      <c r="Y366" s="1234"/>
      <c r="Z366" s="1678"/>
      <c r="AA366" s="1142"/>
      <c r="AB366" s="1142"/>
      <c r="AC366" s="1142"/>
      <c r="AD366" s="1142"/>
      <c r="AE366" s="1142"/>
      <c r="AF366" s="1142"/>
      <c r="AG366" s="1142"/>
      <c r="AH366" s="1142"/>
      <c r="AI366" s="1142"/>
      <c r="AJ366" s="1564"/>
      <c r="AK366" s="1142"/>
      <c r="AL366" s="1142"/>
      <c r="AM366" s="1142"/>
      <c r="AN366" s="1142"/>
      <c r="AO366" s="1149"/>
      <c r="AP366" s="1692"/>
      <c r="AQ366" s="1543" t="str">
        <f>IF(AS366&gt;=0,"R&amp;D +"&amp;ABS(ROUND(AS366,0)),"R&amp;D -"&amp;ABS(ROUND(AS366,0)))</f>
        <v>R&amp;D +0</v>
      </c>
      <c r="AR366" s="1237"/>
      <c r="AS366" s="1697">
        <f>BT290/1000</f>
        <v>0</v>
      </c>
      <c r="AT366" s="1700"/>
      <c r="AU366" s="1685"/>
      <c r="AV366" s="1685"/>
      <c r="AW366" s="1686"/>
      <c r="AX366" s="1699"/>
      <c r="AY366" s="1070"/>
      <c r="AZ366" s="1677"/>
      <c r="BA366" s="1234"/>
      <c r="BB366" s="1234"/>
      <c r="BC366" s="1234"/>
      <c r="BD366" s="1234"/>
      <c r="BE366" s="1234"/>
      <c r="BF366" s="1234"/>
      <c r="BG366" s="1234"/>
      <c r="BH366" s="1234"/>
      <c r="BI366" s="1678"/>
      <c r="BJ366" s="1142"/>
      <c r="BK366" s="1142"/>
      <c r="BL366" s="1142"/>
      <c r="BM366" s="1142"/>
      <c r="BN366" s="1142"/>
      <c r="BO366" s="1142"/>
      <c r="BP366" s="1142"/>
      <c r="BQ366" s="1142"/>
      <c r="BR366" s="1142"/>
      <c r="BS366" s="1142"/>
      <c r="BT366" s="1142"/>
      <c r="BU366" s="1478"/>
    </row>
    <row r="367" spans="1:75" x14ac:dyDescent="0.3">
      <c r="A367" s="1527"/>
      <c r="B367" s="1070"/>
      <c r="C367" s="1070"/>
      <c r="D367" s="1070"/>
      <c r="E367" s="1070"/>
      <c r="F367" s="1142"/>
      <c r="G367" s="1116"/>
      <c r="H367" s="1543" t="str">
        <f>IF(J367&gt;=0,"CapEx +"&amp;ABS(ROUND(J367,0)),"CapEx -"&amp;ABS(ROUND(J367,0)))</f>
        <v>CapEx +0</v>
      </c>
      <c r="I367" s="1082"/>
      <c r="J367" s="1697">
        <f>AJ291/1000</f>
        <v>0</v>
      </c>
      <c r="K367" s="1116"/>
      <c r="L367" s="1116"/>
      <c r="M367" s="1116"/>
      <c r="N367" s="1686"/>
      <c r="O367" s="1699"/>
      <c r="P367" s="1142"/>
      <c r="Q367" s="1677"/>
      <c r="R367" s="1234"/>
      <c r="S367" s="1234"/>
      <c r="T367" s="1234"/>
      <c r="U367" s="1234"/>
      <c r="V367" s="1234"/>
      <c r="W367" s="1234"/>
      <c r="X367" s="1234"/>
      <c r="Y367" s="1234"/>
      <c r="Z367" s="1678"/>
      <c r="AA367" s="1142"/>
      <c r="AB367" s="1142"/>
      <c r="AC367" s="1142"/>
      <c r="AD367" s="1142"/>
      <c r="AE367" s="1142"/>
      <c r="AF367" s="1142"/>
      <c r="AG367" s="1142"/>
      <c r="AH367" s="1142"/>
      <c r="AI367" s="1142"/>
      <c r="AJ367" s="1564"/>
      <c r="AK367" s="1142"/>
      <c r="AL367" s="1142"/>
      <c r="AM367" s="1142"/>
      <c r="AN367" s="1142"/>
      <c r="AO367" s="1149"/>
      <c r="AP367" s="1692"/>
      <c r="AQ367" s="1543" t="str">
        <f>IF(AS367&gt;=0,"CapEx +"&amp;ABS(ROUND(AS367,0)),"CapEx -"&amp;ABS(ROUND(AS367,0)))</f>
        <v>CapEx +0</v>
      </c>
      <c r="AR367" s="1237"/>
      <c r="AS367" s="1697">
        <f>BT291/1000</f>
        <v>0</v>
      </c>
      <c r="AT367" s="1116"/>
      <c r="AU367" s="1116"/>
      <c r="AV367" s="1116"/>
      <c r="AW367" s="1686"/>
      <c r="AX367" s="1699"/>
      <c r="AY367" s="1070"/>
      <c r="AZ367" s="1677"/>
      <c r="BA367" s="1234"/>
      <c r="BB367" s="1234"/>
      <c r="BC367" s="1234"/>
      <c r="BD367" s="1234"/>
      <c r="BE367" s="1234"/>
      <c r="BF367" s="1234"/>
      <c r="BG367" s="1234"/>
      <c r="BH367" s="1234"/>
      <c r="BI367" s="1678"/>
      <c r="BJ367" s="1142"/>
      <c r="BK367" s="1142"/>
      <c r="BL367" s="1142"/>
      <c r="BM367" s="1142"/>
      <c r="BN367" s="1142"/>
      <c r="BO367" s="1142"/>
      <c r="BP367" s="1142"/>
      <c r="BQ367" s="1142"/>
      <c r="BR367" s="1142"/>
      <c r="BS367" s="1142"/>
      <c r="BT367" s="1142"/>
      <c r="BU367" s="1478"/>
    </row>
    <row r="368" spans="1:75" x14ac:dyDescent="0.3">
      <c r="A368" s="1527"/>
      <c r="B368" s="1142"/>
      <c r="C368" s="1142"/>
      <c r="D368" s="1070"/>
      <c r="E368" s="1070"/>
      <c r="F368" s="1142"/>
      <c r="G368" s="1116"/>
      <c r="H368" s="1543" t="str">
        <f>IF(J368=0,"",IF(J368&gt;0,"Hurdle +"&amp;ABS(ROUND(J368,0)),"Hurdle -"&amp;ABS(ROUND(J368,0))))</f>
        <v/>
      </c>
      <c r="I368" s="1082"/>
      <c r="J368" s="1697">
        <f>AJ296/1000</f>
        <v>0</v>
      </c>
      <c r="K368" s="1116"/>
      <c r="L368" s="1116"/>
      <c r="M368" s="1116"/>
      <c r="N368" s="1686"/>
      <c r="O368" s="1699"/>
      <c r="P368" s="1142"/>
      <c r="Q368" s="1677"/>
      <c r="R368" s="1234"/>
      <c r="S368" s="1234"/>
      <c r="T368" s="1234"/>
      <c r="U368" s="1234"/>
      <c r="V368" s="1234"/>
      <c r="W368" s="1234"/>
      <c r="X368" s="1234"/>
      <c r="Y368" s="1234"/>
      <c r="Z368" s="1678"/>
      <c r="AA368" s="1142"/>
      <c r="AB368" s="1142"/>
      <c r="AC368" s="1142"/>
      <c r="AD368" s="1142"/>
      <c r="AE368" s="1142"/>
      <c r="AF368" s="1142"/>
      <c r="AG368" s="1142"/>
      <c r="AH368" s="1142"/>
      <c r="AI368" s="1142"/>
      <c r="AJ368" s="1564"/>
      <c r="AK368" s="1142"/>
      <c r="AL368" s="1142"/>
      <c r="AM368" s="1142"/>
      <c r="AN368" s="1142"/>
      <c r="AO368" s="1149"/>
      <c r="AP368" s="1692"/>
      <c r="AQ368" s="1543" t="str">
        <f>IF(AS368=0,"",IF(AS368&gt;0,"Hurdle +"&amp;ABS(ROUND(AS368,0)),"Hurdle -"&amp;ABS(ROUND(AS368,0))))</f>
        <v/>
      </c>
      <c r="AR368" s="1237"/>
      <c r="AS368" s="1697">
        <f>BT296/1000</f>
        <v>0</v>
      </c>
      <c r="AT368" s="1116"/>
      <c r="AU368" s="1116"/>
      <c r="AV368" s="1116"/>
      <c r="AW368" s="1686"/>
      <c r="AX368" s="1699"/>
      <c r="AY368" s="1070"/>
      <c r="AZ368" s="1677"/>
      <c r="BA368" s="1234"/>
      <c r="BB368" s="1234"/>
      <c r="BC368" s="1234"/>
      <c r="BD368" s="1234"/>
      <c r="BE368" s="1234"/>
      <c r="BF368" s="1234"/>
      <c r="BG368" s="1234"/>
      <c r="BH368" s="1234"/>
      <c r="BI368" s="1678"/>
      <c r="BJ368" s="1142"/>
      <c r="BK368" s="1142"/>
      <c r="BL368" s="1142"/>
      <c r="BM368" s="1142"/>
      <c r="BN368" s="1142"/>
      <c r="BO368" s="1142"/>
      <c r="BP368" s="1142"/>
      <c r="BQ368" s="1142"/>
      <c r="BR368" s="1142"/>
      <c r="BS368" s="1142"/>
      <c r="BT368" s="1142"/>
      <c r="BU368" s="1478"/>
    </row>
    <row r="369" spans="1:75" x14ac:dyDescent="0.3">
      <c r="A369" s="1527"/>
      <c r="B369" s="1142"/>
      <c r="C369" s="1142"/>
      <c r="D369" s="1070"/>
      <c r="E369" s="1070"/>
      <c r="F369" s="1142"/>
      <c r="G369" s="1116"/>
      <c r="H369" s="1434" t="str">
        <f>IF(J368=0,"",IF(J369&gt;0,"Other +"&amp;ABS(ROUND(J369,0)),"Other -"&amp;ABS(ROUND(J369,0))))</f>
        <v/>
      </c>
      <c r="I369" s="1232"/>
      <c r="J369" s="1703">
        <f>(AJ297-AJ296)/1000</f>
        <v>0</v>
      </c>
      <c r="K369" s="1232"/>
      <c r="L369" s="1232"/>
      <c r="M369" s="1232"/>
      <c r="N369" s="2056"/>
      <c r="O369" s="1705"/>
      <c r="P369" s="1142"/>
      <c r="Q369" s="1706"/>
      <c r="R369" s="1707"/>
      <c r="S369" s="1707"/>
      <c r="T369" s="1707"/>
      <c r="U369" s="1707"/>
      <c r="V369" s="1707"/>
      <c r="W369" s="1707"/>
      <c r="X369" s="1707"/>
      <c r="Y369" s="1707"/>
      <c r="Z369" s="1708"/>
      <c r="AA369" s="1142"/>
      <c r="AB369" s="1142"/>
      <c r="AC369" s="1142"/>
      <c r="AD369" s="1142"/>
      <c r="AE369" s="1142"/>
      <c r="AF369" s="1142"/>
      <c r="AG369" s="1142"/>
      <c r="AH369" s="1142"/>
      <c r="AI369" s="1142"/>
      <c r="AJ369" s="1564"/>
      <c r="AK369" s="1142"/>
      <c r="AL369" s="1142"/>
      <c r="AM369" s="1142"/>
      <c r="AN369" s="1142"/>
      <c r="AO369" s="1149"/>
      <c r="AP369" s="1692"/>
      <c r="AQ369" s="1434" t="str">
        <f>IF(AS368=0,"",IF(AS369&gt;0,"Other +"&amp;ABS(ROUND(AS369,0)),"Other -"&amp;ABS(ROUND(AS369,0))))</f>
        <v/>
      </c>
      <c r="AR369" s="2925"/>
      <c r="AS369" s="1703">
        <f>(BT297-BT296)/1000</f>
        <v>0</v>
      </c>
      <c r="AT369" s="1232"/>
      <c r="AU369" s="1232"/>
      <c r="AV369" s="1232"/>
      <c r="AW369" s="2056"/>
      <c r="AX369" s="1705"/>
      <c r="AY369" s="1070"/>
      <c r="AZ369" s="1706"/>
      <c r="BA369" s="1707"/>
      <c r="BB369" s="1707"/>
      <c r="BC369" s="1707"/>
      <c r="BD369" s="1707"/>
      <c r="BE369" s="1707"/>
      <c r="BF369" s="1707"/>
      <c r="BG369" s="1707"/>
      <c r="BH369" s="1707"/>
      <c r="BI369" s="1708"/>
      <c r="BJ369" s="1142"/>
      <c r="BK369" s="1142"/>
      <c r="BL369" s="1142"/>
      <c r="BM369" s="1142"/>
      <c r="BN369" s="1142"/>
      <c r="BO369" s="1142"/>
      <c r="BP369" s="1142"/>
      <c r="BQ369" s="1142"/>
      <c r="BR369" s="1142"/>
      <c r="BS369" s="1142"/>
      <c r="BT369" s="1142"/>
      <c r="BU369" s="1478"/>
    </row>
    <row r="370" spans="1:75" x14ac:dyDescent="0.3">
      <c r="A370" s="1527"/>
      <c r="B370" s="1142"/>
      <c r="C370" s="1142"/>
      <c r="D370" s="1142"/>
      <c r="E370" s="1142"/>
      <c r="F370" s="1142"/>
      <c r="G370" s="1070"/>
      <c r="H370" s="1070"/>
      <c r="I370" s="1142"/>
      <c r="J370" s="1142"/>
      <c r="K370" s="1142"/>
      <c r="L370" s="1142"/>
      <c r="M370" s="1142"/>
      <c r="N370" s="1142"/>
      <c r="O370" s="1142"/>
      <c r="P370" s="1142"/>
      <c r="Q370" s="1142"/>
      <c r="R370" s="1142"/>
      <c r="S370" s="1142"/>
      <c r="T370" s="1142"/>
      <c r="U370" s="1142"/>
      <c r="V370" s="1142"/>
      <c r="W370" s="1142"/>
      <c r="X370" s="1142"/>
      <c r="Y370" s="1142"/>
      <c r="Z370" s="1142"/>
      <c r="AA370" s="1142"/>
      <c r="AB370" s="1142"/>
      <c r="AC370" s="1142"/>
      <c r="AD370" s="1142"/>
      <c r="AE370" s="1142"/>
      <c r="AF370" s="1142"/>
      <c r="AG370" s="1142"/>
      <c r="AH370" s="1142"/>
      <c r="AI370" s="1142"/>
      <c r="AJ370" s="1564"/>
      <c r="AK370" s="1142"/>
      <c r="AL370" s="1142"/>
      <c r="AM370" s="1142"/>
      <c r="AN370" s="1142"/>
      <c r="AO370" s="1149"/>
      <c r="AP370" s="1142"/>
      <c r="AQ370" s="1070"/>
      <c r="AR370" s="1070"/>
      <c r="AS370" s="1709"/>
      <c r="AT370" s="1142"/>
      <c r="AU370" s="1142"/>
      <c r="AV370" s="1142"/>
      <c r="AW370" s="1142"/>
      <c r="AX370" s="1142"/>
      <c r="AY370" s="1142"/>
      <c r="AZ370" s="1142"/>
      <c r="BA370" s="1142"/>
      <c r="BB370" s="1142"/>
      <c r="BC370" s="1142"/>
      <c r="BD370" s="1142"/>
      <c r="BE370" s="1142"/>
      <c r="BF370" s="1142"/>
      <c r="BG370" s="1142"/>
      <c r="BH370" s="1142"/>
      <c r="BI370" s="1142"/>
      <c r="BJ370" s="1142"/>
      <c r="BK370" s="1142"/>
      <c r="BL370" s="1142"/>
      <c r="BM370" s="1142"/>
      <c r="BN370" s="1142"/>
      <c r="BO370" s="1142"/>
      <c r="BP370" s="1142"/>
      <c r="BQ370" s="1142"/>
      <c r="BR370" s="1142"/>
      <c r="BS370" s="1142"/>
      <c r="BT370" s="1142"/>
      <c r="BU370" s="1478"/>
      <c r="BV370" s="1070"/>
      <c r="BW370" s="1070"/>
    </row>
    <row r="371" spans="1:75" x14ac:dyDescent="0.3">
      <c r="A371" s="1527"/>
      <c r="B371" s="1142"/>
      <c r="C371" s="1142"/>
      <c r="D371" s="1142"/>
      <c r="E371" s="1142"/>
      <c r="F371" s="1142"/>
      <c r="G371" s="1070"/>
      <c r="H371" s="1070"/>
      <c r="I371" s="1142"/>
      <c r="J371" s="1142"/>
      <c r="K371" s="1142"/>
      <c r="L371" s="1142"/>
      <c r="M371" s="1142"/>
      <c r="N371" s="1142"/>
      <c r="O371" s="1142"/>
      <c r="P371" s="1142"/>
      <c r="Q371" s="1142"/>
      <c r="R371" s="1142"/>
      <c r="S371" s="1142"/>
      <c r="T371" s="1142"/>
      <c r="U371" s="1142"/>
      <c r="V371" s="1142"/>
      <c r="W371" s="1142"/>
      <c r="X371" s="1142"/>
      <c r="Y371" s="1142"/>
      <c r="Z371" s="1142"/>
      <c r="AA371" s="1142"/>
      <c r="AB371" s="1142"/>
      <c r="AC371" s="1142"/>
      <c r="AD371" s="1142"/>
      <c r="AE371" s="1142"/>
      <c r="AF371" s="1142"/>
      <c r="AG371" s="1142"/>
      <c r="AH371" s="1142"/>
      <c r="AI371" s="1142"/>
      <c r="AJ371" s="1564"/>
      <c r="AK371" s="1142"/>
      <c r="AL371" s="1142"/>
      <c r="AM371" s="1142"/>
      <c r="AN371" s="1142"/>
      <c r="AO371" s="1149"/>
      <c r="AP371" s="1142"/>
      <c r="AQ371" s="1070"/>
      <c r="AR371" s="1070"/>
      <c r="AS371" s="1709"/>
      <c r="AT371" s="1142"/>
      <c r="AU371" s="1142"/>
      <c r="AV371" s="1142"/>
      <c r="AW371" s="1142"/>
      <c r="AX371" s="1142"/>
      <c r="AY371" s="1142"/>
      <c r="AZ371" s="1142"/>
      <c r="BA371" s="1142"/>
      <c r="BB371" s="1142"/>
      <c r="BC371" s="1142"/>
      <c r="BD371" s="1142"/>
      <c r="BE371" s="1142"/>
      <c r="BF371" s="1142"/>
      <c r="BG371" s="1142"/>
      <c r="BH371" s="1142"/>
      <c r="BI371" s="1142"/>
      <c r="BJ371" s="1142"/>
      <c r="BK371" s="1142"/>
      <c r="BL371" s="1142"/>
      <c r="BM371" s="1142"/>
      <c r="BN371" s="1142"/>
      <c r="BO371" s="1142"/>
      <c r="BP371" s="1142"/>
      <c r="BQ371" s="1142"/>
      <c r="BR371" s="1142"/>
      <c r="BS371" s="1142"/>
      <c r="BT371" s="1142"/>
      <c r="BU371" s="1478"/>
      <c r="BV371" s="1070"/>
      <c r="BW371" s="1070"/>
    </row>
    <row r="372" spans="1:75" ht="15" thickBot="1" x14ac:dyDescent="0.35">
      <c r="A372" s="1710"/>
      <c r="B372" s="1515"/>
      <c r="C372" s="1515"/>
      <c r="D372" s="1515"/>
      <c r="E372" s="1515"/>
      <c r="F372" s="1515"/>
      <c r="G372" s="1515"/>
      <c r="H372" s="1515"/>
      <c r="I372" s="1515"/>
      <c r="J372" s="1515"/>
      <c r="K372" s="1515"/>
      <c r="L372" s="1515"/>
      <c r="M372" s="1515"/>
      <c r="N372" s="1515"/>
      <c r="O372" s="1515"/>
      <c r="P372" s="1515"/>
      <c r="Q372" s="1515"/>
      <c r="R372" s="1515"/>
      <c r="S372" s="1515"/>
      <c r="T372" s="1515"/>
      <c r="U372" s="1515"/>
      <c r="V372" s="1515"/>
      <c r="W372" s="1515"/>
      <c r="X372" s="1515"/>
      <c r="Y372" s="1515"/>
      <c r="Z372" s="1515"/>
      <c r="AA372" s="1515"/>
      <c r="AB372" s="1515"/>
      <c r="AC372" s="1515"/>
      <c r="AD372" s="1515"/>
      <c r="AE372" s="1515"/>
      <c r="AF372" s="1515"/>
      <c r="AG372" s="1515"/>
      <c r="AH372" s="1515"/>
      <c r="AI372" s="1515"/>
      <c r="AJ372" s="1711"/>
      <c r="AK372" s="1515"/>
      <c r="AL372" s="1515"/>
      <c r="AM372" s="1515"/>
      <c r="AN372" s="1515"/>
      <c r="AO372" s="1712"/>
      <c r="AP372" s="1515"/>
      <c r="AQ372" s="1515"/>
      <c r="AR372" s="1515"/>
      <c r="AS372" s="1515"/>
      <c r="AT372" s="1515"/>
      <c r="AU372" s="1515"/>
      <c r="AV372" s="1515"/>
      <c r="AW372" s="1515"/>
      <c r="AX372" s="1515"/>
      <c r="AY372" s="1515"/>
      <c r="AZ372" s="1515"/>
      <c r="BA372" s="1515"/>
      <c r="BB372" s="1515"/>
      <c r="BC372" s="1515"/>
      <c r="BD372" s="1515"/>
      <c r="BE372" s="1515"/>
      <c r="BF372" s="1515"/>
      <c r="BG372" s="1515"/>
      <c r="BH372" s="1515"/>
      <c r="BI372" s="1515"/>
      <c r="BJ372" s="1515"/>
      <c r="BK372" s="1515"/>
      <c r="BL372" s="1515"/>
      <c r="BM372" s="1515"/>
      <c r="BN372" s="1515"/>
      <c r="BO372" s="1515"/>
      <c r="BP372" s="1515"/>
      <c r="BQ372" s="1515"/>
      <c r="BR372" s="1515"/>
      <c r="BS372" s="1515"/>
      <c r="BT372" s="1515"/>
      <c r="BU372" s="1516"/>
      <c r="BV372" s="1070"/>
      <c r="BW372" s="1070"/>
    </row>
    <row r="374" spans="1:75" ht="15" thickBot="1" x14ac:dyDescent="0.35">
      <c r="A374" s="1070"/>
      <c r="B374" s="1070"/>
      <c r="C374" s="1082"/>
      <c r="D374" s="1070"/>
      <c r="E374" s="1070"/>
      <c r="F374" s="1082"/>
      <c r="G374" s="1082"/>
      <c r="H374" s="1082"/>
      <c r="I374" s="1082"/>
      <c r="J374" s="1082"/>
      <c r="K374" s="1082"/>
      <c r="L374" s="1082"/>
      <c r="M374" s="1082"/>
      <c r="N374" s="1082"/>
      <c r="O374" s="1082"/>
      <c r="P374" s="1082"/>
      <c r="Q374" s="1082"/>
      <c r="R374" s="1082"/>
      <c r="S374" s="1082"/>
      <c r="T374" s="1082"/>
      <c r="U374" s="1070"/>
      <c r="V374" s="1070"/>
      <c r="W374" s="1070"/>
      <c r="X374" s="1070"/>
      <c r="Y374" s="1070"/>
      <c r="Z374" s="1070"/>
      <c r="AA374" s="1070"/>
      <c r="AB374" s="1070"/>
      <c r="AC374" s="1070"/>
      <c r="AD374" s="1070"/>
      <c r="AE374" s="1070"/>
      <c r="AF374" s="1070"/>
      <c r="AG374" s="1070"/>
      <c r="AH374" s="1070"/>
      <c r="AI374" s="1070"/>
      <c r="AJ374" s="2136"/>
      <c r="AK374" s="1070"/>
      <c r="AL374" s="1070"/>
      <c r="AM374" s="1070"/>
      <c r="AN374" s="1070"/>
      <c r="AO374" s="1070"/>
      <c r="AP374" s="1070"/>
      <c r="AQ374" s="1070"/>
      <c r="AR374" s="1070"/>
      <c r="AS374" s="1070"/>
      <c r="AT374" s="1070"/>
      <c r="AU374" s="1070"/>
      <c r="AV374" s="1070"/>
      <c r="AW374" s="1070"/>
      <c r="AX374" s="1070"/>
      <c r="AY374" s="1070"/>
      <c r="AZ374" s="1070"/>
      <c r="BA374" s="1070"/>
      <c r="BB374" s="1070"/>
      <c r="BC374" s="1070"/>
      <c r="BD374" s="1070"/>
      <c r="BE374" s="1070"/>
      <c r="BF374" s="1070"/>
    </row>
    <row r="375" spans="1:75" x14ac:dyDescent="0.3">
      <c r="A375" s="1517"/>
      <c r="B375" s="2926" t="s">
        <v>1183</v>
      </c>
      <c r="C375" s="1469"/>
      <c r="D375" s="1472"/>
      <c r="E375" s="1472"/>
      <c r="F375" s="2927"/>
      <c r="G375" s="1469"/>
      <c r="H375" s="1469"/>
      <c r="I375" s="1469"/>
      <c r="J375" s="1469"/>
      <c r="K375" s="1469"/>
      <c r="L375" s="2928" t="str">
        <f>AJ9</f>
        <v>FY18-27</v>
      </c>
      <c r="M375" s="1469"/>
      <c r="N375" s="1469"/>
      <c r="O375" s="1469"/>
      <c r="P375" s="1471"/>
      <c r="Q375" s="2928" t="str">
        <f>AM9</f>
        <v>FY18-32</v>
      </c>
      <c r="R375" s="1469"/>
      <c r="S375" s="1469"/>
      <c r="T375" s="2929"/>
      <c r="U375" s="1070"/>
      <c r="V375" s="1070"/>
      <c r="W375" s="1070"/>
      <c r="X375" s="1070"/>
      <c r="Y375" s="1070"/>
      <c r="Z375" s="1070"/>
      <c r="AA375" s="1070"/>
      <c r="AB375" s="1070"/>
      <c r="AC375" s="1070"/>
      <c r="AD375" s="1070"/>
      <c r="AE375" s="1070"/>
      <c r="AF375" s="1070"/>
      <c r="AG375" s="1070"/>
      <c r="AH375" s="1070"/>
      <c r="AI375" s="1070"/>
      <c r="AJ375" s="2136"/>
      <c r="AK375" s="1070"/>
      <c r="AL375" s="1070"/>
      <c r="AM375" s="1070"/>
      <c r="AN375" s="1070"/>
      <c r="AO375" s="1070"/>
      <c r="AP375" s="1070"/>
      <c r="AQ375" s="1070"/>
      <c r="AR375" s="1070"/>
      <c r="AS375" s="1070"/>
      <c r="AT375" s="1070"/>
      <c r="AU375" s="1070"/>
      <c r="AV375" s="1070"/>
      <c r="AW375" s="1070"/>
      <c r="AX375" s="1070"/>
      <c r="AY375" s="1070"/>
      <c r="AZ375" s="1070"/>
      <c r="BA375" s="1070"/>
      <c r="BB375" s="1070"/>
      <c r="BC375" s="1070"/>
      <c r="BD375" s="1070"/>
      <c r="BE375" s="1070"/>
      <c r="BF375" s="1070"/>
    </row>
    <row r="376" spans="1:75" x14ac:dyDescent="0.3">
      <c r="A376" s="1527"/>
      <c r="B376" s="1142"/>
      <c r="C376" s="1116"/>
      <c r="D376" s="1142"/>
      <c r="E376" s="1142"/>
      <c r="F376" s="1116"/>
      <c r="G376" s="1116"/>
      <c r="H376" s="1156" t="s">
        <v>1743</v>
      </c>
      <c r="I376" s="1116"/>
      <c r="J376" s="1116"/>
      <c r="K376" s="1116"/>
      <c r="L376" s="1207"/>
      <c r="M376" s="1116"/>
      <c r="N376" s="1116"/>
      <c r="O376" s="1116"/>
      <c r="P376" s="1477"/>
      <c r="Q376" s="1116"/>
      <c r="R376" s="1116"/>
      <c r="S376" s="1116"/>
      <c r="T376" s="1550"/>
      <c r="U376" s="1070"/>
      <c r="V376" s="1070"/>
      <c r="W376" s="1070"/>
      <c r="X376" s="1070"/>
      <c r="Y376" s="1070"/>
      <c r="Z376" s="1070"/>
      <c r="AA376" s="1070"/>
      <c r="AB376" s="1070"/>
      <c r="AC376" s="1070"/>
      <c r="AD376" s="1070"/>
      <c r="AE376" s="1070"/>
      <c r="AF376" s="1070"/>
      <c r="AG376" s="1070"/>
      <c r="AH376" s="1070"/>
      <c r="AI376" s="1070"/>
      <c r="AJ376" s="2136"/>
      <c r="AK376" s="1070"/>
      <c r="AL376" s="1070"/>
      <c r="AM376" s="1070"/>
      <c r="AN376" s="1070"/>
      <c r="AO376" s="1070"/>
      <c r="AP376" s="1070"/>
      <c r="AQ376" s="1070"/>
      <c r="AR376" s="1070"/>
      <c r="AS376" s="1070"/>
      <c r="AT376" s="1070"/>
      <c r="AU376" s="1070"/>
      <c r="AV376" s="1070"/>
      <c r="AW376" s="1070"/>
      <c r="AX376" s="1070"/>
      <c r="AY376" s="1070"/>
      <c r="AZ376" s="1070"/>
      <c r="BA376" s="1070"/>
      <c r="BB376" s="1070"/>
      <c r="BC376" s="1070"/>
      <c r="BD376" s="1070"/>
      <c r="BE376" s="1070"/>
      <c r="BF376" s="1070"/>
    </row>
    <row r="377" spans="1:75" x14ac:dyDescent="0.3">
      <c r="A377" s="1527"/>
      <c r="B377" s="1142"/>
      <c r="C377" s="1116"/>
      <c r="D377" s="1142"/>
      <c r="E377" s="1142"/>
      <c r="F377" s="1116"/>
      <c r="G377" s="1116"/>
      <c r="H377" s="1116"/>
      <c r="I377" s="1116"/>
      <c r="J377" s="1116"/>
      <c r="K377" s="1116"/>
      <c r="L377" s="2930" t="s">
        <v>1744</v>
      </c>
      <c r="M377" s="2931" t="s">
        <v>723</v>
      </c>
      <c r="N377" s="1116"/>
      <c r="O377" s="1116"/>
      <c r="P377" s="1477"/>
      <c r="Q377" s="2932" t="s">
        <v>1744</v>
      </c>
      <c r="R377" s="2931" t="s">
        <v>723</v>
      </c>
      <c r="S377" s="1116"/>
      <c r="T377" s="1550"/>
      <c r="U377" s="1070"/>
      <c r="V377" s="1070"/>
      <c r="W377" s="1070"/>
      <c r="X377" s="1070"/>
      <c r="Y377" s="1070"/>
      <c r="Z377" s="1070"/>
      <c r="AA377" s="1070"/>
      <c r="AB377" s="1070"/>
      <c r="AC377" s="1070"/>
      <c r="AD377" s="1070"/>
      <c r="AE377" s="1070"/>
      <c r="AF377" s="1070"/>
      <c r="AG377" s="1070"/>
      <c r="AH377" s="1070"/>
      <c r="AI377" s="1070"/>
      <c r="AJ377" s="2136"/>
      <c r="AK377" s="1070"/>
      <c r="AL377" s="1070"/>
      <c r="AM377" s="1070"/>
      <c r="AN377" s="1070"/>
      <c r="AO377" s="1070"/>
      <c r="AP377" s="1070"/>
      <c r="AQ377" s="1070"/>
      <c r="AR377" s="1070"/>
      <c r="AS377" s="1070"/>
      <c r="AT377" s="1070"/>
      <c r="AU377" s="1070"/>
      <c r="AV377" s="1070"/>
      <c r="AW377" s="1070"/>
      <c r="AX377" s="1070"/>
      <c r="AY377" s="1070"/>
      <c r="AZ377" s="1070"/>
      <c r="BA377" s="1070"/>
      <c r="BB377" s="1070"/>
      <c r="BC377" s="1070"/>
      <c r="BD377" s="1070"/>
      <c r="BE377" s="1070"/>
      <c r="BF377" s="1070"/>
    </row>
    <row r="378" spans="1:75" x14ac:dyDescent="0.3">
      <c r="A378" s="1527"/>
      <c r="B378" s="1142"/>
      <c r="C378" s="1116"/>
      <c r="D378" s="1142"/>
      <c r="E378" s="1142"/>
      <c r="F378" s="1116" t="s">
        <v>1745</v>
      </c>
      <c r="G378" s="1116"/>
      <c r="H378" s="1116" t="s">
        <v>1646</v>
      </c>
      <c r="I378" s="1116"/>
      <c r="J378" s="1116"/>
      <c r="K378" s="1116"/>
      <c r="L378" s="2933">
        <f>ABS(AJ12+AJ33+AJ54+AJ75+AJ96)/1000</f>
        <v>376.41995155730552</v>
      </c>
      <c r="M378" s="2041"/>
      <c r="N378" s="1116"/>
      <c r="O378" s="1116"/>
      <c r="P378" s="1477"/>
      <c r="Q378" s="2934">
        <f>ABS(AM12+AM33+AM54+AM75+AM96)/1000</f>
        <v>1323.3544121929849</v>
      </c>
      <c r="R378" s="2041"/>
      <c r="S378" s="1116"/>
      <c r="T378" s="1550"/>
      <c r="U378" s="1070"/>
      <c r="V378" s="1070"/>
      <c r="W378" s="1070"/>
      <c r="X378" s="1070"/>
      <c r="Y378" s="1070"/>
      <c r="Z378" s="1070"/>
      <c r="AA378" s="1070"/>
      <c r="AB378" s="1070"/>
      <c r="AC378" s="1070"/>
      <c r="AD378" s="1070"/>
      <c r="AE378" s="1070"/>
      <c r="AF378" s="1070"/>
      <c r="AG378" s="1070"/>
      <c r="AH378" s="1070"/>
      <c r="AI378" s="1070"/>
      <c r="AJ378" s="2136"/>
      <c r="AK378" s="1070"/>
      <c r="AL378" s="1070"/>
      <c r="AM378" s="1070"/>
      <c r="AN378" s="1070"/>
      <c r="AO378" s="1070"/>
      <c r="AP378" s="1070"/>
      <c r="AQ378" s="1070"/>
      <c r="AR378" s="1070"/>
      <c r="AS378" s="1070"/>
      <c r="AT378" s="1070"/>
      <c r="AU378" s="1070"/>
      <c r="AV378" s="1070"/>
      <c r="AW378" s="1070"/>
      <c r="AX378" s="1070"/>
      <c r="AY378" s="1070"/>
      <c r="AZ378" s="1070"/>
      <c r="BA378" s="1070"/>
      <c r="BB378" s="1070"/>
      <c r="BC378" s="1070"/>
      <c r="BD378" s="1070"/>
      <c r="BE378" s="1070"/>
      <c r="BF378" s="1070"/>
    </row>
    <row r="379" spans="1:75" x14ac:dyDescent="0.3">
      <c r="A379" s="1527"/>
      <c r="B379" s="1142"/>
      <c r="C379" s="1116"/>
      <c r="D379" s="1142"/>
      <c r="E379" s="1142"/>
      <c r="F379" s="1116" t="s">
        <v>1243</v>
      </c>
      <c r="G379" s="1116"/>
      <c r="H379" s="1116" t="s">
        <v>1746</v>
      </c>
      <c r="I379" s="1116"/>
      <c r="J379" s="1116"/>
      <c r="K379" s="1116"/>
      <c r="L379" s="2934">
        <f>ABS(AJ13+AJ34+AJ55+AJ76+AJ97)/1000</f>
        <v>0</v>
      </c>
      <c r="M379" s="2935">
        <f>L379/$L$378</f>
        <v>0</v>
      </c>
      <c r="N379" s="1116"/>
      <c r="O379" s="1116"/>
      <c r="P379" s="1477"/>
      <c r="Q379" s="2934">
        <f>ABS(AM13+AM34+AM55+AM76+AM97)/1000</f>
        <v>0</v>
      </c>
      <c r="R379" s="2935">
        <f>Q379/$Q$378</f>
        <v>0</v>
      </c>
      <c r="S379" s="1116"/>
      <c r="T379" s="1550"/>
      <c r="U379" s="1070"/>
      <c r="V379" s="1070"/>
      <c r="W379" s="1070"/>
      <c r="X379" s="1070"/>
      <c r="Y379" s="1070"/>
      <c r="Z379" s="1070"/>
      <c r="AA379" s="1070"/>
      <c r="AB379" s="1070"/>
      <c r="AC379" s="1070"/>
      <c r="AD379" s="1070"/>
      <c r="AE379" s="1070"/>
      <c r="AF379" s="1070"/>
      <c r="AG379" s="1070"/>
      <c r="AH379" s="1070"/>
      <c r="AI379" s="1070"/>
      <c r="AJ379" s="2136"/>
      <c r="AK379" s="1070"/>
      <c r="AL379" s="1070"/>
      <c r="AM379" s="1070"/>
      <c r="AN379" s="1070"/>
      <c r="AO379" s="1070"/>
      <c r="AP379" s="1070"/>
      <c r="AQ379" s="1070"/>
      <c r="AR379" s="1070"/>
      <c r="AS379" s="1070"/>
      <c r="AT379" s="1070"/>
      <c r="AU379" s="1070"/>
      <c r="AV379" s="1070"/>
      <c r="AW379" s="1070"/>
      <c r="AX379" s="1070"/>
      <c r="AY379" s="1070"/>
      <c r="AZ379" s="1070"/>
      <c r="BA379" s="1070"/>
      <c r="BB379" s="1070"/>
      <c r="BC379" s="1070"/>
      <c r="BD379" s="1070"/>
      <c r="BE379" s="1070"/>
      <c r="BF379" s="1070"/>
    </row>
    <row r="380" spans="1:75" x14ac:dyDescent="0.3">
      <c r="A380" s="1527"/>
      <c r="B380" s="1142"/>
      <c r="C380" s="1116"/>
      <c r="D380" s="1142"/>
      <c r="E380" s="1142"/>
      <c r="F380" s="1116" t="s">
        <v>1747</v>
      </c>
      <c r="G380" s="1116"/>
      <c r="H380" s="1116" t="s">
        <v>1648</v>
      </c>
      <c r="I380" s="1116"/>
      <c r="J380" s="1116"/>
      <c r="K380" s="1116"/>
      <c r="L380" s="2934">
        <f>ABS(AJ14+AJ35+AJ56+AJ77+AJ98)/100</f>
        <v>0</v>
      </c>
      <c r="M380" s="2935">
        <f t="shared" ref="M380:M382" si="391">L380/$L$378</f>
        <v>0</v>
      </c>
      <c r="N380" s="1116"/>
      <c r="O380" s="1116"/>
      <c r="P380" s="1477"/>
      <c r="Q380" s="2934">
        <f>ABS(AM14+AM35+AM56+AM77+AM98)/1000</f>
        <v>0</v>
      </c>
      <c r="R380" s="2935">
        <f t="shared" ref="R380:R382" si="392">Q380/$Q$378</f>
        <v>0</v>
      </c>
      <c r="S380" s="1116"/>
      <c r="T380" s="1550"/>
      <c r="U380" s="1070"/>
      <c r="V380" s="1070"/>
      <c r="W380" s="1070"/>
      <c r="X380" s="1070"/>
      <c r="Y380" s="1070"/>
      <c r="Z380" s="1070"/>
      <c r="AA380" s="1070"/>
      <c r="AB380" s="1070"/>
      <c r="AC380" s="1070"/>
      <c r="AD380" s="1070"/>
      <c r="AE380" s="1070"/>
      <c r="AF380" s="1070"/>
      <c r="AG380" s="1070"/>
      <c r="AH380" s="1070"/>
      <c r="AI380" s="1070"/>
      <c r="AJ380" s="2136"/>
      <c r="AK380" s="1070"/>
      <c r="AL380" s="1070"/>
      <c r="AM380" s="1070"/>
      <c r="AN380" s="1070"/>
      <c r="AO380" s="1070"/>
      <c r="AP380" s="1070"/>
      <c r="AQ380" s="1070"/>
      <c r="AR380" s="1070"/>
      <c r="AS380" s="1070"/>
      <c r="AT380" s="1070"/>
      <c r="AU380" s="1070"/>
      <c r="AV380" s="1070"/>
      <c r="AW380" s="1070"/>
      <c r="AX380" s="1070"/>
      <c r="AY380" s="1070"/>
      <c r="AZ380" s="1070"/>
      <c r="BA380" s="1070"/>
      <c r="BB380" s="1070"/>
      <c r="BC380" s="1070"/>
      <c r="BD380" s="1070"/>
      <c r="BE380" s="1070"/>
      <c r="BF380" s="1070"/>
    </row>
    <row r="381" spans="1:75" x14ac:dyDescent="0.3">
      <c r="A381" s="1527"/>
      <c r="B381" s="1142"/>
      <c r="C381" s="1116"/>
      <c r="D381" s="1142"/>
      <c r="E381" s="1142"/>
      <c r="F381" s="1116" t="s">
        <v>1011</v>
      </c>
      <c r="G381" s="1116"/>
      <c r="H381" s="1116" t="s">
        <v>1649</v>
      </c>
      <c r="I381" s="1116"/>
      <c r="J381" s="1116"/>
      <c r="K381" s="1116"/>
      <c r="L381" s="2934">
        <f>ABS(AJ15+AJ36+AJ57+AJ78+AJ99)/1000</f>
        <v>0</v>
      </c>
      <c r="M381" s="2935">
        <f t="shared" si="391"/>
        <v>0</v>
      </c>
      <c r="N381" s="1116"/>
      <c r="O381" s="1116"/>
      <c r="P381" s="1477"/>
      <c r="Q381" s="2934">
        <f>ABS(AM15+AM36+AM57+AM78+AM99)/1000</f>
        <v>0</v>
      </c>
      <c r="R381" s="2935">
        <f t="shared" si="392"/>
        <v>0</v>
      </c>
      <c r="S381" s="1116"/>
      <c r="T381" s="1550"/>
      <c r="U381" s="1070"/>
      <c r="V381" s="1070"/>
      <c r="W381" s="1070"/>
      <c r="X381" s="1070"/>
      <c r="Y381" s="1070"/>
      <c r="Z381" s="1070"/>
      <c r="AA381" s="1070"/>
      <c r="AB381" s="1070"/>
      <c r="AC381" s="1070"/>
      <c r="AD381" s="1070"/>
      <c r="AE381" s="1070"/>
      <c r="AF381" s="1070"/>
      <c r="AG381" s="1070"/>
      <c r="AH381" s="1070"/>
      <c r="AI381" s="1070"/>
      <c r="AJ381" s="2136"/>
      <c r="AK381" s="1070"/>
      <c r="AL381" s="1070"/>
      <c r="AM381" s="1070"/>
      <c r="AN381" s="1070"/>
      <c r="AO381" s="1070"/>
      <c r="AP381" s="1070"/>
      <c r="AQ381" s="1070"/>
      <c r="AR381" s="1070"/>
      <c r="AS381" s="1070"/>
      <c r="AT381" s="1070"/>
      <c r="AU381" s="1070"/>
      <c r="AV381" s="1070"/>
      <c r="AW381" s="1070"/>
      <c r="AX381" s="1070"/>
      <c r="AY381" s="1070"/>
      <c r="AZ381" s="1070"/>
      <c r="BA381" s="1070"/>
      <c r="BB381" s="1070"/>
      <c r="BC381" s="1070"/>
      <c r="BD381" s="1070"/>
      <c r="BE381" s="1070"/>
      <c r="BF381" s="1070"/>
    </row>
    <row r="382" spans="1:75" x14ac:dyDescent="0.3">
      <c r="A382" s="1527"/>
      <c r="B382" s="1142"/>
      <c r="C382" s="1116"/>
      <c r="D382" s="1142"/>
      <c r="E382" s="1142"/>
      <c r="F382" s="1116" t="s">
        <v>1748</v>
      </c>
      <c r="G382" s="1116"/>
      <c r="H382" s="1116" t="s">
        <v>1749</v>
      </c>
      <c r="I382" s="1116"/>
      <c r="J382" s="1116"/>
      <c r="K382" s="1116"/>
      <c r="L382" s="2936">
        <f>ABS(AJ16+AJ37+AJ58+AJ79+AJ100)/1000</f>
        <v>376.41995155730552</v>
      </c>
      <c r="M382" s="2937">
        <f t="shared" si="391"/>
        <v>1</v>
      </c>
      <c r="N382" s="1116"/>
      <c r="O382" s="1116"/>
      <c r="P382" s="1477"/>
      <c r="Q382" s="2936">
        <f>ABS(AM16+AM37+AM58+AM79+AM100)/1000</f>
        <v>1323.3544121929849</v>
      </c>
      <c r="R382" s="2937">
        <f t="shared" si="392"/>
        <v>1</v>
      </c>
      <c r="S382" s="1116"/>
      <c r="T382" s="1550"/>
      <c r="U382" s="1070"/>
      <c r="V382" s="1070"/>
      <c r="W382" s="1070"/>
      <c r="X382" s="1070"/>
      <c r="Y382" s="1070"/>
      <c r="Z382" s="1070"/>
      <c r="AA382" s="1070"/>
      <c r="AB382" s="1070"/>
      <c r="AC382" s="1070"/>
      <c r="AD382" s="1070"/>
      <c r="AE382" s="1070"/>
      <c r="AF382" s="1070"/>
      <c r="AG382" s="1070"/>
      <c r="AH382" s="1070"/>
      <c r="AI382" s="1070"/>
      <c r="AJ382" s="2136"/>
      <c r="AK382" s="1070"/>
      <c r="AL382" s="1070"/>
      <c r="AM382" s="1070"/>
      <c r="AN382" s="1070"/>
      <c r="AO382" s="1070"/>
      <c r="AP382" s="1070"/>
      <c r="AQ382" s="1070"/>
      <c r="AR382" s="1070"/>
      <c r="AS382" s="1070"/>
      <c r="AT382" s="1070"/>
      <c r="AU382" s="1070"/>
      <c r="AV382" s="1070"/>
      <c r="AW382" s="1070"/>
      <c r="AX382" s="1070"/>
      <c r="AY382" s="1070"/>
      <c r="AZ382" s="1070"/>
      <c r="BA382" s="1070"/>
      <c r="BB382" s="1070"/>
      <c r="BC382" s="1070"/>
      <c r="BD382" s="1070"/>
      <c r="BE382" s="1070"/>
      <c r="BF382" s="1070"/>
    </row>
    <row r="383" spans="1:75" ht="15" thickBot="1" x14ac:dyDescent="0.35">
      <c r="A383" s="1710"/>
      <c r="B383" s="1515"/>
      <c r="C383" s="1507"/>
      <c r="D383" s="1515"/>
      <c r="E383" s="1515"/>
      <c r="F383" s="1507"/>
      <c r="G383" s="1507"/>
      <c r="H383" s="1507"/>
      <c r="I383" s="1507"/>
      <c r="J383" s="1507"/>
      <c r="K383" s="1507"/>
      <c r="L383" s="2938"/>
      <c r="M383" s="1507"/>
      <c r="N383" s="1507"/>
      <c r="O383" s="1507"/>
      <c r="P383" s="1514"/>
      <c r="Q383" s="1507"/>
      <c r="R383" s="1507"/>
      <c r="S383" s="1507"/>
      <c r="T383" s="2939"/>
      <c r="U383" s="1070"/>
      <c r="V383" s="1070"/>
      <c r="W383" s="1070"/>
      <c r="X383" s="1070"/>
      <c r="Y383" s="1070"/>
      <c r="Z383" s="1070"/>
      <c r="AA383" s="1070"/>
      <c r="AB383" s="1070"/>
      <c r="AC383" s="1070"/>
      <c r="AD383" s="1070"/>
      <c r="AE383" s="1070"/>
      <c r="AF383" s="1070"/>
      <c r="AG383" s="1070"/>
      <c r="AH383" s="1070"/>
      <c r="AI383" s="1070"/>
      <c r="AJ383" s="2136"/>
      <c r="AK383" s="1070"/>
      <c r="AL383" s="1070"/>
      <c r="AM383" s="1070"/>
      <c r="AN383" s="1070"/>
      <c r="AO383" s="1070"/>
      <c r="AP383" s="1070"/>
      <c r="AQ383" s="1070"/>
      <c r="AR383" s="1070"/>
      <c r="AS383" s="1070"/>
      <c r="AT383" s="1070"/>
      <c r="AU383" s="1070"/>
      <c r="AV383" s="1070"/>
      <c r="AW383" s="1070"/>
      <c r="AX383" s="1070"/>
      <c r="AY383" s="1070"/>
      <c r="AZ383" s="1070"/>
      <c r="BA383" s="1070"/>
      <c r="BB383" s="1070"/>
      <c r="BC383" s="1070"/>
      <c r="BD383" s="1070"/>
      <c r="BE383" s="1070"/>
      <c r="BF383" s="1070"/>
    </row>
    <row r="384" spans="1:75" x14ac:dyDescent="0.3">
      <c r="A384" s="1070"/>
      <c r="B384" s="1070"/>
      <c r="C384" s="1082"/>
      <c r="D384" s="1070"/>
      <c r="E384" s="1070"/>
      <c r="F384" s="1082"/>
      <c r="G384" s="1082"/>
      <c r="H384" s="1082"/>
      <c r="I384" s="1082"/>
      <c r="J384" s="1082"/>
      <c r="K384" s="1082"/>
      <c r="L384" s="1082"/>
      <c r="M384" s="1082"/>
      <c r="N384" s="1082"/>
      <c r="O384" s="1082"/>
      <c r="P384" s="1082"/>
      <c r="Q384" s="1082"/>
      <c r="R384" s="1082"/>
      <c r="S384" s="1082"/>
      <c r="T384" s="1082"/>
      <c r="U384" s="1070"/>
      <c r="V384" s="1070"/>
      <c r="W384" s="1070"/>
      <c r="X384" s="1070"/>
      <c r="Y384" s="1070"/>
      <c r="Z384" s="1070"/>
      <c r="AA384" s="1070"/>
      <c r="AB384" s="1070"/>
      <c r="AC384" s="1070"/>
      <c r="AD384" s="1070"/>
      <c r="AE384" s="1070"/>
      <c r="AF384" s="1070"/>
      <c r="AG384" s="1070"/>
      <c r="AH384" s="1070"/>
      <c r="AI384" s="1070"/>
      <c r="AJ384" s="2136"/>
      <c r="AK384" s="1070"/>
      <c r="AL384" s="1070"/>
      <c r="AM384" s="1070"/>
      <c r="AN384" s="1070"/>
      <c r="AO384" s="1070"/>
      <c r="AP384" s="1070"/>
      <c r="AQ384" s="1070"/>
      <c r="AR384" s="1070"/>
      <c r="AS384" s="1070"/>
      <c r="AT384" s="1070"/>
      <c r="AU384" s="1070"/>
      <c r="AV384" s="1070"/>
      <c r="AW384" s="1070"/>
      <c r="AX384" s="1070"/>
      <c r="AY384" s="1070"/>
      <c r="AZ384" s="1070"/>
      <c r="BA384" s="1070"/>
      <c r="BB384" s="1070"/>
      <c r="BC384" s="1070"/>
      <c r="BD384" s="1070"/>
      <c r="BE384" s="1070"/>
      <c r="BF384" s="1070"/>
    </row>
    <row r="385" spans="1:58" ht="15" thickBot="1" x14ac:dyDescent="0.35">
      <c r="A385" s="1070"/>
      <c r="B385" s="1070"/>
      <c r="C385" s="1070"/>
      <c r="D385" s="1070"/>
      <c r="E385" s="1070"/>
      <c r="F385" s="1070"/>
      <c r="G385" s="2940"/>
      <c r="H385" s="2940"/>
      <c r="I385" s="2940"/>
      <c r="J385" s="2940"/>
      <c r="K385" s="2940"/>
      <c r="L385" s="2940"/>
      <c r="M385" s="2940"/>
      <c r="N385" s="2940"/>
      <c r="O385" s="2940"/>
      <c r="P385" s="2940"/>
      <c r="Q385" s="2940"/>
      <c r="R385" s="2940"/>
      <c r="S385" s="2940"/>
      <c r="T385" s="2940"/>
      <c r="U385" s="2940"/>
      <c r="V385" s="2940"/>
      <c r="W385" s="2940"/>
      <c r="X385" s="2940"/>
      <c r="Y385" s="2940"/>
      <c r="Z385" s="2940"/>
      <c r="AA385" s="2940"/>
      <c r="AB385" s="2940"/>
      <c r="AC385" s="2940"/>
      <c r="AD385" s="2940"/>
      <c r="AE385" s="2940"/>
      <c r="AF385" s="2940"/>
      <c r="AG385" s="2940"/>
      <c r="AH385" s="2940"/>
      <c r="AI385" s="2940"/>
      <c r="AJ385" s="2136"/>
      <c r="AK385" s="1070"/>
      <c r="AL385" s="1070"/>
      <c r="AM385" s="1070"/>
      <c r="AN385" s="1070"/>
      <c r="AO385" s="1070"/>
      <c r="AP385" s="1070"/>
      <c r="AQ385" s="1070"/>
      <c r="AR385" s="1070"/>
      <c r="AS385" s="1070"/>
      <c r="AT385" s="1070"/>
      <c r="AU385" s="1070"/>
      <c r="AV385" s="1070"/>
      <c r="AW385" s="1070"/>
      <c r="AX385" s="1070"/>
      <c r="AY385" s="1070"/>
      <c r="AZ385" s="1070"/>
      <c r="BA385" s="1070"/>
      <c r="BB385" s="1070"/>
      <c r="BC385" s="1070"/>
      <c r="BD385" s="1070"/>
      <c r="BE385" s="1070"/>
      <c r="BF385" s="1070"/>
    </row>
    <row r="386" spans="1:58" x14ac:dyDescent="0.3">
      <c r="A386" s="1517"/>
      <c r="B386" s="1472"/>
      <c r="C386" s="1472"/>
      <c r="D386" s="1472"/>
      <c r="E386" s="1472"/>
      <c r="F386" s="1472"/>
      <c r="G386" s="1472"/>
      <c r="H386" s="1472"/>
      <c r="I386" s="1472"/>
      <c r="J386" s="1472"/>
      <c r="K386" s="1472"/>
      <c r="L386" s="1472"/>
      <c r="M386" s="1472"/>
      <c r="N386" s="1472"/>
      <c r="O386" s="1472"/>
      <c r="P386" s="1472"/>
      <c r="Q386" s="1472"/>
      <c r="R386" s="1472"/>
      <c r="S386" s="1472"/>
      <c r="T386" s="1472"/>
      <c r="U386" s="1472"/>
      <c r="V386" s="1472"/>
      <c r="W386" s="1472"/>
      <c r="X386" s="1472"/>
      <c r="Y386" s="1472"/>
      <c r="Z386" s="1472"/>
      <c r="AA386" s="1472"/>
      <c r="AB386" s="1472"/>
      <c r="AC386" s="1472"/>
      <c r="AD386" s="1472"/>
      <c r="AE386" s="1472"/>
      <c r="AF386" s="1472"/>
      <c r="AG386" s="1472"/>
      <c r="AH386" s="1472"/>
      <c r="AI386" s="1472"/>
      <c r="AJ386" s="2941"/>
      <c r="AK386" s="1472"/>
      <c r="AL386" s="1472"/>
      <c r="AM386" s="1472"/>
      <c r="AN386" s="1472"/>
      <c r="AO386" s="1525"/>
      <c r="AP386" s="1472"/>
      <c r="AQ386" s="1472"/>
      <c r="AR386" s="1472"/>
      <c r="AS386" s="1472"/>
      <c r="AT386" s="1472"/>
      <c r="AU386" s="1472"/>
      <c r="AV386" s="1472"/>
      <c r="AW386" s="1472"/>
      <c r="AX386" s="1472"/>
      <c r="AY386" s="1472"/>
      <c r="AZ386" s="1472"/>
      <c r="BA386" s="1472"/>
      <c r="BB386" s="1472"/>
      <c r="BC386" s="1472"/>
      <c r="BD386" s="1472"/>
      <c r="BE386" s="1473"/>
      <c r="BF386" s="1070"/>
    </row>
    <row r="387" spans="1:58" x14ac:dyDescent="0.3">
      <c r="A387" s="1527"/>
      <c r="B387" s="1655" t="s">
        <v>1185</v>
      </c>
      <c r="C387" s="1142"/>
      <c r="D387" s="1142"/>
      <c r="E387" s="1142"/>
      <c r="F387" s="1142"/>
      <c r="G387" s="2884"/>
      <c r="H387" s="2884"/>
      <c r="I387" s="2884"/>
      <c r="J387" s="2884"/>
      <c r="K387" s="2884"/>
      <c r="L387" s="2884"/>
      <c r="M387" s="2884"/>
      <c r="N387" s="2884"/>
      <c r="O387" s="2884"/>
      <c r="P387" s="2884"/>
      <c r="Q387" s="2884"/>
      <c r="R387" s="2884"/>
      <c r="S387" s="2884"/>
      <c r="T387" s="2884"/>
      <c r="U387" s="2884"/>
      <c r="V387" s="2884"/>
      <c r="W387" s="2884"/>
      <c r="X387" s="2884"/>
      <c r="Y387" s="2884"/>
      <c r="Z387" s="2884"/>
      <c r="AA387" s="2884"/>
      <c r="AB387" s="2884"/>
      <c r="AC387" s="2884"/>
      <c r="AD387" s="2884"/>
      <c r="AE387" s="2884"/>
      <c r="AF387" s="2884"/>
      <c r="AG387" s="2884"/>
      <c r="AH387" s="2884"/>
      <c r="AI387" s="2884"/>
      <c r="AJ387" s="1564"/>
      <c r="AK387" s="1142"/>
      <c r="AL387" s="1142"/>
      <c r="AM387" s="1142"/>
      <c r="AN387" s="1142"/>
      <c r="AO387" s="1149"/>
      <c r="AP387" s="1142"/>
      <c r="AQ387" s="1142"/>
      <c r="AR387" s="1142"/>
      <c r="AS387" s="1142"/>
      <c r="AT387" s="1142"/>
      <c r="AU387" s="1142"/>
      <c r="AV387" s="1142"/>
      <c r="AW387" s="1142"/>
      <c r="AX387" s="1142"/>
      <c r="AY387" s="1142"/>
      <c r="AZ387" s="1142"/>
      <c r="BA387" s="1142"/>
      <c r="BB387" s="1142"/>
      <c r="BC387" s="1142"/>
      <c r="BD387" s="1142"/>
      <c r="BE387" s="1478"/>
      <c r="BF387" s="1070"/>
    </row>
    <row r="388" spans="1:58" x14ac:dyDescent="0.3">
      <c r="A388" s="1527"/>
      <c r="B388" s="1142"/>
      <c r="C388" s="1142"/>
      <c r="D388" s="1142"/>
      <c r="E388" s="1142"/>
      <c r="F388" s="1142"/>
      <c r="G388" s="1142"/>
      <c r="H388" s="1142"/>
      <c r="I388" s="1142"/>
      <c r="J388" s="1142"/>
      <c r="K388" s="1142"/>
      <c r="L388" s="1142"/>
      <c r="M388" s="1142"/>
      <c r="N388" s="1142"/>
      <c r="O388" s="1142"/>
      <c r="P388" s="1142"/>
      <c r="Q388" s="1142"/>
      <c r="R388" s="1142"/>
      <c r="S388" s="1142"/>
      <c r="T388" s="1142"/>
      <c r="U388" s="2884"/>
      <c r="V388" s="1142"/>
      <c r="W388" s="1142"/>
      <c r="X388" s="1142"/>
      <c r="Y388" s="1142"/>
      <c r="Z388" s="1142"/>
      <c r="AA388" s="1142"/>
      <c r="AB388" s="1142"/>
      <c r="AC388" s="1142"/>
      <c r="AD388" s="1142"/>
      <c r="AE388" s="1142"/>
      <c r="AF388" s="1142"/>
      <c r="AG388" s="1142"/>
      <c r="AH388" s="1142"/>
      <c r="AI388" s="1142"/>
      <c r="AJ388" s="1564"/>
      <c r="AK388" s="1142"/>
      <c r="AL388" s="1142"/>
      <c r="AM388" s="1142"/>
      <c r="AN388" s="1142"/>
      <c r="AO388" s="1149"/>
      <c r="AP388" s="1142"/>
      <c r="AQ388" s="1142"/>
      <c r="AR388" s="1142"/>
      <c r="AS388" s="1142"/>
      <c r="AT388" s="1142"/>
      <c r="AU388" s="1142"/>
      <c r="AV388" s="1142"/>
      <c r="AW388" s="1142"/>
      <c r="AX388" s="1142"/>
      <c r="AY388" s="1142"/>
      <c r="AZ388" s="1142"/>
      <c r="BA388" s="1142"/>
      <c r="BB388" s="1142"/>
      <c r="BC388" s="1142"/>
      <c r="BD388" s="1142"/>
      <c r="BE388" s="1478"/>
      <c r="BF388" s="1070"/>
    </row>
    <row r="389" spans="1:58" outlineLevel="1" x14ac:dyDescent="0.3">
      <c r="A389" s="1527"/>
      <c r="B389" s="1569" t="s">
        <v>1750</v>
      </c>
      <c r="C389" s="1159"/>
      <c r="D389" s="1159"/>
      <c r="E389" s="1159"/>
      <c r="F389" s="1159"/>
      <c r="G389" s="2942">
        <f t="shared" ref="G389:AI389" si="393">G231</f>
        <v>18</v>
      </c>
      <c r="H389" s="2943">
        <f t="shared" si="393"/>
        <v>19</v>
      </c>
      <c r="I389" s="2943">
        <f t="shared" si="393"/>
        <v>20</v>
      </c>
      <c r="J389" s="2943">
        <f t="shared" si="393"/>
        <v>21</v>
      </c>
      <c r="K389" s="2943">
        <f t="shared" si="393"/>
        <v>22</v>
      </c>
      <c r="L389" s="2943">
        <f t="shared" si="393"/>
        <v>23</v>
      </c>
      <c r="M389" s="2943">
        <f t="shared" si="393"/>
        <v>24</v>
      </c>
      <c r="N389" s="2943">
        <f t="shared" si="393"/>
        <v>25</v>
      </c>
      <c r="O389" s="2943">
        <f t="shared" si="393"/>
        <v>26</v>
      </c>
      <c r="P389" s="2943">
        <f t="shared" si="393"/>
        <v>27</v>
      </c>
      <c r="Q389" s="2943">
        <f t="shared" si="393"/>
        <v>28</v>
      </c>
      <c r="R389" s="2943">
        <f t="shared" si="393"/>
        <v>29</v>
      </c>
      <c r="S389" s="2943">
        <f t="shared" si="393"/>
        <v>30</v>
      </c>
      <c r="T389" s="2943">
        <f t="shared" si="393"/>
        <v>31</v>
      </c>
      <c r="U389" s="2943">
        <f t="shared" si="393"/>
        <v>32</v>
      </c>
      <c r="V389" s="2943">
        <f t="shared" si="393"/>
        <v>33</v>
      </c>
      <c r="W389" s="2943">
        <f t="shared" si="393"/>
        <v>34</v>
      </c>
      <c r="X389" s="2943">
        <f t="shared" si="393"/>
        <v>35</v>
      </c>
      <c r="Y389" s="2943">
        <f t="shared" si="393"/>
        <v>36</v>
      </c>
      <c r="Z389" s="2943">
        <f t="shared" si="393"/>
        <v>37</v>
      </c>
      <c r="AA389" s="2943">
        <f t="shared" si="393"/>
        <v>38</v>
      </c>
      <c r="AB389" s="2943">
        <f t="shared" si="393"/>
        <v>39</v>
      </c>
      <c r="AC389" s="2943">
        <f t="shared" si="393"/>
        <v>40</v>
      </c>
      <c r="AD389" s="2943">
        <f t="shared" si="393"/>
        <v>41</v>
      </c>
      <c r="AE389" s="2943">
        <f t="shared" si="393"/>
        <v>42</v>
      </c>
      <c r="AF389" s="2943">
        <f t="shared" si="393"/>
        <v>43</v>
      </c>
      <c r="AG389" s="2943">
        <f t="shared" si="393"/>
        <v>44</v>
      </c>
      <c r="AH389" s="2943">
        <f t="shared" si="393"/>
        <v>45</v>
      </c>
      <c r="AI389" s="2944">
        <f t="shared" si="393"/>
        <v>46</v>
      </c>
      <c r="AJ389" s="2945"/>
      <c r="AK389" s="1142"/>
      <c r="AL389" s="1142"/>
      <c r="AM389" s="1142"/>
      <c r="AN389" s="1142"/>
      <c r="AO389" s="1149"/>
      <c r="AP389" s="1142"/>
      <c r="AQ389" s="1142"/>
      <c r="AR389" s="1142"/>
      <c r="AS389" s="1142"/>
      <c r="AT389" s="1142"/>
      <c r="AU389" s="1142"/>
      <c r="AV389" s="1142"/>
      <c r="AW389" s="1142"/>
      <c r="AX389" s="1142"/>
      <c r="AY389" s="1142"/>
      <c r="AZ389" s="1142"/>
      <c r="BA389" s="1142"/>
      <c r="BB389" s="1142"/>
      <c r="BC389" s="1142"/>
      <c r="BD389" s="1142"/>
      <c r="BE389" s="1478"/>
      <c r="BF389" s="1070"/>
    </row>
    <row r="390" spans="1:58" outlineLevel="1" x14ac:dyDescent="0.3">
      <c r="A390" s="1527"/>
      <c r="B390" s="1149" t="s">
        <v>1751</v>
      </c>
      <c r="C390" s="1142"/>
      <c r="D390" s="1142"/>
      <c r="E390" s="1142"/>
      <c r="F390" s="1142"/>
      <c r="G390" s="2880">
        <f>IF(AQ145=0,F390,AQ145)</f>
        <v>0</v>
      </c>
      <c r="H390" s="1709">
        <f>IF(AR145=0,F390,AR145)</f>
        <v>0</v>
      </c>
      <c r="I390" s="1709">
        <f t="shared" ref="I390:AI390" si="394">IF(AS145=0,G390,AS145)</f>
        <v>0</v>
      </c>
      <c r="J390" s="1709">
        <f t="shared" si="394"/>
        <v>0</v>
      </c>
      <c r="K390" s="1709">
        <f t="shared" si="394"/>
        <v>0</v>
      </c>
      <c r="L390" s="1709">
        <f t="shared" si="394"/>
        <v>0</v>
      </c>
      <c r="M390" s="1709">
        <f t="shared" si="394"/>
        <v>0</v>
      </c>
      <c r="N390" s="1709">
        <f t="shared" si="394"/>
        <v>0</v>
      </c>
      <c r="O390" s="1709">
        <f t="shared" si="394"/>
        <v>0</v>
      </c>
      <c r="P390" s="1709">
        <f t="shared" si="394"/>
        <v>0</v>
      </c>
      <c r="Q390" s="1709">
        <f t="shared" si="394"/>
        <v>0</v>
      </c>
      <c r="R390" s="1709">
        <f t="shared" si="394"/>
        <v>0</v>
      </c>
      <c r="S390" s="1709">
        <f t="shared" si="394"/>
        <v>0</v>
      </c>
      <c r="T390" s="1709">
        <f t="shared" si="394"/>
        <v>0</v>
      </c>
      <c r="U390" s="1709">
        <f t="shared" si="394"/>
        <v>0</v>
      </c>
      <c r="V390" s="1709">
        <f t="shared" si="394"/>
        <v>0</v>
      </c>
      <c r="W390" s="1709">
        <f t="shared" si="394"/>
        <v>0</v>
      </c>
      <c r="X390" s="1709">
        <f t="shared" si="394"/>
        <v>0</v>
      </c>
      <c r="Y390" s="1709">
        <f t="shared" si="394"/>
        <v>0</v>
      </c>
      <c r="Z390" s="1709">
        <f t="shared" si="394"/>
        <v>0</v>
      </c>
      <c r="AA390" s="1709">
        <f t="shared" si="394"/>
        <v>0</v>
      </c>
      <c r="AB390" s="1709">
        <f t="shared" si="394"/>
        <v>0</v>
      </c>
      <c r="AC390" s="1709">
        <f t="shared" si="394"/>
        <v>0</v>
      </c>
      <c r="AD390" s="1709">
        <f t="shared" si="394"/>
        <v>0</v>
      </c>
      <c r="AE390" s="1709">
        <f t="shared" si="394"/>
        <v>0</v>
      </c>
      <c r="AF390" s="1709">
        <f t="shared" si="394"/>
        <v>0</v>
      </c>
      <c r="AG390" s="1709">
        <f t="shared" si="394"/>
        <v>0</v>
      </c>
      <c r="AH390" s="1709">
        <f t="shared" si="394"/>
        <v>0</v>
      </c>
      <c r="AI390" s="2881">
        <f t="shared" si="394"/>
        <v>0</v>
      </c>
      <c r="AJ390" s="1564"/>
      <c r="AK390" s="1142"/>
      <c r="AL390" s="1142"/>
      <c r="AM390" s="1142"/>
      <c r="AN390" s="1142"/>
      <c r="AO390" s="1149"/>
      <c r="AP390" s="1142"/>
      <c r="AQ390" s="1142"/>
      <c r="AR390" s="1142"/>
      <c r="AS390" s="1142"/>
      <c r="AT390" s="1142"/>
      <c r="AU390" s="1142"/>
      <c r="AV390" s="1142"/>
      <c r="AW390" s="1142"/>
      <c r="AX390" s="1142"/>
      <c r="AY390" s="1142"/>
      <c r="AZ390" s="1142"/>
      <c r="BA390" s="1142"/>
      <c r="BB390" s="1142"/>
      <c r="BC390" s="1142"/>
      <c r="BD390" s="1142"/>
      <c r="BE390" s="1478"/>
      <c r="BF390" s="1070"/>
    </row>
    <row r="391" spans="1:58" outlineLevel="1" x14ac:dyDescent="0.3">
      <c r="A391" s="1527"/>
      <c r="B391" s="1149" t="s">
        <v>1752</v>
      </c>
      <c r="C391" s="1142"/>
      <c r="D391" s="1142"/>
      <c r="E391" s="1142"/>
      <c r="F391" s="1142"/>
      <c r="G391" s="2946">
        <f t="shared" ref="G391:V392" si="395">AQ237</f>
        <v>0</v>
      </c>
      <c r="H391" s="2947">
        <f t="shared" si="395"/>
        <v>0</v>
      </c>
      <c r="I391" s="2947">
        <f t="shared" si="395"/>
        <v>0</v>
      </c>
      <c r="J391" s="2947">
        <f t="shared" si="395"/>
        <v>0</v>
      </c>
      <c r="K391" s="2947">
        <f t="shared" si="395"/>
        <v>0</v>
      </c>
      <c r="L391" s="2947">
        <f t="shared" si="395"/>
        <v>0</v>
      </c>
      <c r="M391" s="2947">
        <f t="shared" si="395"/>
        <v>0</v>
      </c>
      <c r="N391" s="2947">
        <f t="shared" si="395"/>
        <v>0</v>
      </c>
      <c r="O391" s="2947">
        <f t="shared" si="395"/>
        <v>0</v>
      </c>
      <c r="P391" s="2947">
        <f t="shared" si="395"/>
        <v>0</v>
      </c>
      <c r="Q391" s="2947">
        <f t="shared" si="395"/>
        <v>0</v>
      </c>
      <c r="R391" s="2947">
        <f t="shared" si="395"/>
        <v>0</v>
      </c>
      <c r="S391" s="2947">
        <f t="shared" si="395"/>
        <v>0</v>
      </c>
      <c r="T391" s="2947">
        <f t="shared" si="395"/>
        <v>0</v>
      </c>
      <c r="U391" s="2947">
        <f t="shared" si="395"/>
        <v>0</v>
      </c>
      <c r="V391" s="2947">
        <f t="shared" si="395"/>
        <v>0</v>
      </c>
      <c r="W391" s="2947">
        <f t="shared" ref="W391:AI392" si="396">BG237</f>
        <v>0</v>
      </c>
      <c r="X391" s="2947">
        <f t="shared" si="396"/>
        <v>0</v>
      </c>
      <c r="Y391" s="2947">
        <f t="shared" si="396"/>
        <v>0</v>
      </c>
      <c r="Z391" s="2947">
        <f t="shared" si="396"/>
        <v>0</v>
      </c>
      <c r="AA391" s="2947">
        <f t="shared" si="396"/>
        <v>0</v>
      </c>
      <c r="AB391" s="2947">
        <f t="shared" si="396"/>
        <v>0</v>
      </c>
      <c r="AC391" s="2947">
        <f t="shared" si="396"/>
        <v>0</v>
      </c>
      <c r="AD391" s="2947">
        <f t="shared" si="396"/>
        <v>0</v>
      </c>
      <c r="AE391" s="2947">
        <f t="shared" si="396"/>
        <v>0</v>
      </c>
      <c r="AF391" s="2947">
        <f t="shared" si="396"/>
        <v>0</v>
      </c>
      <c r="AG391" s="2947">
        <f t="shared" si="396"/>
        <v>0</v>
      </c>
      <c r="AH391" s="2947">
        <f t="shared" si="396"/>
        <v>0</v>
      </c>
      <c r="AI391" s="2948">
        <f t="shared" si="396"/>
        <v>0</v>
      </c>
      <c r="AJ391" s="1564"/>
      <c r="AK391" s="1142"/>
      <c r="AL391" s="1142"/>
      <c r="AM391" s="1142"/>
      <c r="AN391" s="1142"/>
      <c r="AO391" s="1149"/>
      <c r="AP391" s="1142"/>
      <c r="AQ391" s="1142"/>
      <c r="AR391" s="1142"/>
      <c r="AS391" s="1142"/>
      <c r="AT391" s="1142"/>
      <c r="AU391" s="1142"/>
      <c r="AV391" s="1142"/>
      <c r="AW391" s="1142"/>
      <c r="AX391" s="1142"/>
      <c r="AY391" s="1142"/>
      <c r="AZ391" s="1142"/>
      <c r="BA391" s="1142"/>
      <c r="BB391" s="1142"/>
      <c r="BC391" s="1142"/>
      <c r="BD391" s="1142"/>
      <c r="BE391" s="1478"/>
      <c r="BF391" s="1070"/>
    </row>
    <row r="392" spans="1:58" outlineLevel="1" x14ac:dyDescent="0.3">
      <c r="A392" s="1527"/>
      <c r="B392" s="1184" t="s">
        <v>1753</v>
      </c>
      <c r="C392" s="1201"/>
      <c r="D392" s="1201"/>
      <c r="E392" s="1201"/>
      <c r="F392" s="1201"/>
      <c r="G392" s="2949">
        <f t="shared" si="395"/>
        <v>0</v>
      </c>
      <c r="H392" s="2950">
        <f t="shared" si="395"/>
        <v>0</v>
      </c>
      <c r="I392" s="2950">
        <f t="shared" si="395"/>
        <v>0</v>
      </c>
      <c r="J392" s="2950">
        <f t="shared" si="395"/>
        <v>0</v>
      </c>
      <c r="K392" s="2950">
        <f t="shared" si="395"/>
        <v>0</v>
      </c>
      <c r="L392" s="2950">
        <f t="shared" si="395"/>
        <v>0</v>
      </c>
      <c r="M392" s="2950">
        <f t="shared" si="395"/>
        <v>0</v>
      </c>
      <c r="N392" s="2950">
        <f t="shared" si="395"/>
        <v>0</v>
      </c>
      <c r="O392" s="2950">
        <f t="shared" si="395"/>
        <v>0</v>
      </c>
      <c r="P392" s="2950">
        <f t="shared" si="395"/>
        <v>0</v>
      </c>
      <c r="Q392" s="2950">
        <f t="shared" si="395"/>
        <v>0</v>
      </c>
      <c r="R392" s="2950">
        <f t="shared" si="395"/>
        <v>0</v>
      </c>
      <c r="S392" s="2950">
        <f t="shared" si="395"/>
        <v>0</v>
      </c>
      <c r="T392" s="2950">
        <f t="shared" si="395"/>
        <v>0</v>
      </c>
      <c r="U392" s="2950">
        <f t="shared" si="395"/>
        <v>0</v>
      </c>
      <c r="V392" s="2950">
        <f t="shared" si="395"/>
        <v>0</v>
      </c>
      <c r="W392" s="2950">
        <f t="shared" si="396"/>
        <v>0</v>
      </c>
      <c r="X392" s="2950">
        <f t="shared" si="396"/>
        <v>0</v>
      </c>
      <c r="Y392" s="2950">
        <f t="shared" si="396"/>
        <v>0</v>
      </c>
      <c r="Z392" s="2950">
        <f t="shared" si="396"/>
        <v>0</v>
      </c>
      <c r="AA392" s="2950">
        <f t="shared" si="396"/>
        <v>0</v>
      </c>
      <c r="AB392" s="2950">
        <f t="shared" si="396"/>
        <v>0</v>
      </c>
      <c r="AC392" s="2950">
        <f t="shared" si="396"/>
        <v>0</v>
      </c>
      <c r="AD392" s="2950">
        <f t="shared" si="396"/>
        <v>0</v>
      </c>
      <c r="AE392" s="2950">
        <f t="shared" si="396"/>
        <v>0</v>
      </c>
      <c r="AF392" s="2950">
        <f t="shared" si="396"/>
        <v>0</v>
      </c>
      <c r="AG392" s="2950">
        <f t="shared" si="396"/>
        <v>0</v>
      </c>
      <c r="AH392" s="2950">
        <f t="shared" si="396"/>
        <v>0</v>
      </c>
      <c r="AI392" s="2951">
        <f t="shared" si="396"/>
        <v>0</v>
      </c>
      <c r="AJ392" s="1564"/>
      <c r="AK392" s="1142"/>
      <c r="AL392" s="1142"/>
      <c r="AM392" s="1142"/>
      <c r="AN392" s="1142"/>
      <c r="AO392" s="1149"/>
      <c r="AP392" s="1142"/>
      <c r="AQ392" s="1142"/>
      <c r="AR392" s="1142"/>
      <c r="AS392" s="1142"/>
      <c r="AT392" s="1142"/>
      <c r="AU392" s="1142"/>
      <c r="AV392" s="1142"/>
      <c r="AW392" s="1142"/>
      <c r="AX392" s="1142"/>
      <c r="AY392" s="1142"/>
      <c r="AZ392" s="1142"/>
      <c r="BA392" s="1142"/>
      <c r="BB392" s="1142"/>
      <c r="BC392" s="1142"/>
      <c r="BD392" s="1142"/>
      <c r="BE392" s="1478"/>
      <c r="BF392" s="1070"/>
    </row>
    <row r="393" spans="1:58" outlineLevel="1" x14ac:dyDescent="0.3">
      <c r="A393" s="1527"/>
      <c r="B393" s="1142"/>
      <c r="C393" s="1142"/>
      <c r="D393" s="1142"/>
      <c r="E393" s="1142"/>
      <c r="F393" s="1142"/>
      <c r="G393" s="1142"/>
      <c r="H393" s="1142"/>
      <c r="I393" s="1142"/>
      <c r="J393" s="1142"/>
      <c r="K393" s="1142"/>
      <c r="L393" s="1142"/>
      <c r="M393" s="1142"/>
      <c r="N393" s="1142"/>
      <c r="O393" s="1142"/>
      <c r="P393" s="1142"/>
      <c r="Q393" s="1142"/>
      <c r="R393" s="1142"/>
      <c r="S393" s="1142"/>
      <c r="T393" s="1142"/>
      <c r="U393" s="1142"/>
      <c r="V393" s="1142"/>
      <c r="W393" s="1142"/>
      <c r="X393" s="1142"/>
      <c r="Y393" s="1142"/>
      <c r="Z393" s="1142"/>
      <c r="AA393" s="1142"/>
      <c r="AB393" s="1142"/>
      <c r="AC393" s="1142"/>
      <c r="AD393" s="1142"/>
      <c r="AE393" s="1142"/>
      <c r="AF393" s="1142"/>
      <c r="AG393" s="1142"/>
      <c r="AH393" s="1142"/>
      <c r="AI393" s="1142"/>
      <c r="AJ393" s="1564"/>
      <c r="AK393" s="1142"/>
      <c r="AL393" s="1142"/>
      <c r="AM393" s="1142"/>
      <c r="AN393" s="1142"/>
      <c r="AO393" s="1149"/>
      <c r="AP393" s="1142"/>
      <c r="AQ393" s="1142"/>
      <c r="AR393" s="1142"/>
      <c r="AS393" s="1142"/>
      <c r="AT393" s="1142"/>
      <c r="AU393" s="1142"/>
      <c r="AV393" s="1142"/>
      <c r="AW393" s="1142"/>
      <c r="AX393" s="1142"/>
      <c r="AY393" s="1142"/>
      <c r="AZ393" s="1142"/>
      <c r="BA393" s="1142"/>
      <c r="BB393" s="1142"/>
      <c r="BC393" s="1142"/>
      <c r="BD393" s="1142"/>
      <c r="BE393" s="1478"/>
      <c r="BF393" s="1070"/>
    </row>
    <row r="394" spans="1:58" outlineLevel="1" x14ac:dyDescent="0.3">
      <c r="A394" s="1527"/>
      <c r="B394" s="1655"/>
      <c r="C394" s="1142"/>
      <c r="D394" s="1142"/>
      <c r="E394" s="1142"/>
      <c r="F394" s="1142"/>
      <c r="G394" s="1142"/>
      <c r="H394" s="1142"/>
      <c r="I394" s="1142"/>
      <c r="J394" s="1142"/>
      <c r="K394" s="1142"/>
      <c r="L394" s="1142"/>
      <c r="M394" s="1142"/>
      <c r="N394" s="1142"/>
      <c r="O394" s="1142"/>
      <c r="P394" s="1142"/>
      <c r="Q394" s="1142"/>
      <c r="R394" s="1142"/>
      <c r="S394" s="1142"/>
      <c r="T394" s="1142"/>
      <c r="U394" s="1142"/>
      <c r="V394" s="1142"/>
      <c r="W394" s="1142"/>
      <c r="X394" s="1142"/>
      <c r="Y394" s="1142"/>
      <c r="Z394" s="1142"/>
      <c r="AA394" s="1142"/>
      <c r="AB394" s="1142"/>
      <c r="AC394" s="1142"/>
      <c r="AD394" s="1142"/>
      <c r="AE394" s="1142"/>
      <c r="AF394" s="1142"/>
      <c r="AG394" s="1142"/>
      <c r="AH394" s="1142"/>
      <c r="AI394" s="1142"/>
      <c r="AJ394" s="1564"/>
      <c r="AK394" s="1142"/>
      <c r="AL394" s="1142"/>
      <c r="AM394" s="1142"/>
      <c r="AN394" s="1142"/>
      <c r="AO394" s="1149"/>
      <c r="AP394" s="1142"/>
      <c r="AQ394" s="1142"/>
      <c r="AR394" s="1142"/>
      <c r="AS394" s="1142"/>
      <c r="AT394" s="1142"/>
      <c r="AU394" s="1142"/>
      <c r="AV394" s="1142"/>
      <c r="AW394" s="1142"/>
      <c r="AX394" s="1142"/>
      <c r="AY394" s="1142"/>
      <c r="AZ394" s="1142"/>
      <c r="BA394" s="1142"/>
      <c r="BB394" s="1142"/>
      <c r="BC394" s="1142"/>
      <c r="BD394" s="1142"/>
      <c r="BE394" s="1478"/>
      <c r="BF394" s="1070"/>
    </row>
    <row r="395" spans="1:58" outlineLevel="1" x14ac:dyDescent="0.3">
      <c r="A395" s="1527"/>
      <c r="B395" s="1142"/>
      <c r="C395" s="1142"/>
      <c r="D395" s="1142"/>
      <c r="E395" s="1142"/>
      <c r="F395" s="1142"/>
      <c r="G395" s="2835" t="s">
        <v>1378</v>
      </c>
      <c r="H395" s="1476"/>
      <c r="I395" s="1476"/>
      <c r="J395" s="1142"/>
      <c r="K395" s="1142"/>
      <c r="L395" s="1142"/>
      <c r="M395" s="1142"/>
      <c r="N395" s="1142"/>
      <c r="O395" s="1142"/>
      <c r="P395" s="1142"/>
      <c r="Q395" s="1142"/>
      <c r="R395" s="1142"/>
      <c r="S395" s="1142"/>
      <c r="T395" s="1142"/>
      <c r="U395" s="1142"/>
      <c r="V395" s="1142"/>
      <c r="W395" s="1142"/>
      <c r="X395" s="1142"/>
      <c r="Y395" s="1142"/>
      <c r="Z395" s="1142"/>
      <c r="AA395" s="1142"/>
      <c r="AB395" s="1142"/>
      <c r="AC395" s="1142"/>
      <c r="AD395" s="1142"/>
      <c r="AE395" s="1142"/>
      <c r="AF395" s="1142"/>
      <c r="AG395" s="1142"/>
      <c r="AH395" s="1142"/>
      <c r="AI395" s="1142"/>
      <c r="AJ395" s="1564"/>
      <c r="AK395" s="1142"/>
      <c r="AL395" s="1142"/>
      <c r="AM395" s="1142"/>
      <c r="AN395" s="1142"/>
      <c r="AO395" s="1149"/>
      <c r="AP395" s="1142"/>
      <c r="AQ395" s="1142"/>
      <c r="AR395" s="1142"/>
      <c r="AS395" s="1142"/>
      <c r="AT395" s="1142"/>
      <c r="AU395" s="1142"/>
      <c r="AV395" s="1142"/>
      <c r="AW395" s="1142"/>
      <c r="AX395" s="1142"/>
      <c r="AY395" s="1142"/>
      <c r="AZ395" s="1142"/>
      <c r="BA395" s="1142"/>
      <c r="BB395" s="1142"/>
      <c r="BC395" s="1142"/>
      <c r="BD395" s="1142"/>
      <c r="BE395" s="1478"/>
      <c r="BF395" s="1070"/>
    </row>
    <row r="396" spans="1:58" outlineLevel="1" x14ac:dyDescent="0.3">
      <c r="A396" s="1527"/>
      <c r="B396" s="1142"/>
      <c r="C396" s="1142"/>
      <c r="D396" s="1142"/>
      <c r="E396" s="1142"/>
      <c r="F396" s="1142"/>
      <c r="G396" s="1692" t="s">
        <v>1381</v>
      </c>
      <c r="H396" s="1582">
        <v>10</v>
      </c>
      <c r="I396" s="1582">
        <v>15</v>
      </c>
      <c r="J396" s="1142"/>
      <c r="K396" s="1142"/>
      <c r="L396" s="1142"/>
      <c r="M396" s="1142"/>
      <c r="N396" s="1142"/>
      <c r="O396" s="1142"/>
      <c r="P396" s="1142"/>
      <c r="Q396" s="1142"/>
      <c r="R396" s="1142"/>
      <c r="S396" s="1142"/>
      <c r="T396" s="1142"/>
      <c r="U396" s="1142"/>
      <c r="V396" s="1142"/>
      <c r="W396" s="1142"/>
      <c r="X396" s="1142"/>
      <c r="Y396" s="1142"/>
      <c r="Z396" s="1142"/>
      <c r="AA396" s="1142"/>
      <c r="AB396" s="1142"/>
      <c r="AC396" s="1142"/>
      <c r="AD396" s="1142"/>
      <c r="AE396" s="1142"/>
      <c r="AF396" s="1142"/>
      <c r="AG396" s="1142"/>
      <c r="AH396" s="1142"/>
      <c r="AI396" s="1142"/>
      <c r="AJ396" s="1564"/>
      <c r="AK396" s="1142"/>
      <c r="AL396" s="1142"/>
      <c r="AM396" s="1142"/>
      <c r="AN396" s="1142"/>
      <c r="AO396" s="1149"/>
      <c r="AP396" s="1142"/>
      <c r="AQ396" s="1142"/>
      <c r="AR396" s="1142"/>
      <c r="AS396" s="1142"/>
      <c r="AT396" s="1142"/>
      <c r="AU396" s="1142"/>
      <c r="AV396" s="1142"/>
      <c r="AW396" s="1142"/>
      <c r="AX396" s="1142"/>
      <c r="AY396" s="1142"/>
      <c r="AZ396" s="1142"/>
      <c r="BA396" s="1142"/>
      <c r="BB396" s="1142"/>
      <c r="BC396" s="1142"/>
      <c r="BD396" s="1142"/>
      <c r="BE396" s="1478"/>
      <c r="BF396" s="1070"/>
    </row>
    <row r="397" spans="1:58" outlineLevel="1" x14ac:dyDescent="0.3">
      <c r="A397" s="1527"/>
      <c r="B397" s="1142"/>
      <c r="C397" s="1142"/>
      <c r="D397" s="1142"/>
      <c r="E397" s="1142"/>
      <c r="F397" s="1142"/>
      <c r="G397" s="2843">
        <f>G389</f>
        <v>18</v>
      </c>
      <c r="H397" s="1590">
        <f>IF($G397=$G$389,$G390+NPV(DiscRDE,(Calc!H$390:O$390,P392)),0)</f>
        <v>0</v>
      </c>
      <c r="I397" s="2846">
        <f>IF($G397=$G$389,$G390+NPV(DiscRDE,(Calc!H$390:T$390,U392)),0)</f>
        <v>0</v>
      </c>
      <c r="J397" s="1142"/>
      <c r="K397" s="1142"/>
      <c r="L397" s="1142"/>
      <c r="M397" s="1142"/>
      <c r="N397" s="1142"/>
      <c r="O397" s="1142"/>
      <c r="P397" s="1142"/>
      <c r="Q397" s="1142"/>
      <c r="R397" s="1142"/>
      <c r="S397" s="1142"/>
      <c r="T397" s="1142"/>
      <c r="U397" s="1142"/>
      <c r="V397" s="1142"/>
      <c r="W397" s="1142"/>
      <c r="X397" s="1142"/>
      <c r="Y397" s="1142"/>
      <c r="Z397" s="1142"/>
      <c r="AA397" s="1142"/>
      <c r="AB397" s="1142"/>
      <c r="AC397" s="1142"/>
      <c r="AD397" s="1142"/>
      <c r="AE397" s="1142"/>
      <c r="AF397" s="1142"/>
      <c r="AG397" s="1142"/>
      <c r="AH397" s="1142"/>
      <c r="AI397" s="1142"/>
      <c r="AJ397" s="1564"/>
      <c r="AK397" s="1142"/>
      <c r="AL397" s="1142"/>
      <c r="AM397" s="1142"/>
      <c r="AN397" s="1142"/>
      <c r="AO397" s="1149"/>
      <c r="AP397" s="1142"/>
      <c r="AQ397" s="1142"/>
      <c r="AR397" s="1142"/>
      <c r="AS397" s="1142"/>
      <c r="AT397" s="1142"/>
      <c r="AU397" s="1142"/>
      <c r="AV397" s="1142"/>
      <c r="AW397" s="1142"/>
      <c r="AX397" s="1142"/>
      <c r="AY397" s="1142"/>
      <c r="AZ397" s="1142"/>
      <c r="BA397" s="1142"/>
      <c r="BB397" s="1142"/>
      <c r="BC397" s="1142"/>
      <c r="BD397" s="1142"/>
      <c r="BE397" s="1478"/>
      <c r="BF397" s="1070"/>
    </row>
    <row r="398" spans="1:58" outlineLevel="1" x14ac:dyDescent="0.3">
      <c r="A398" s="1527"/>
      <c r="B398" s="1142"/>
      <c r="C398" s="1142"/>
      <c r="D398" s="1142"/>
      <c r="E398" s="1142"/>
      <c r="F398" s="1142"/>
      <c r="G398" s="2843">
        <f>G397+1</f>
        <v>19</v>
      </c>
      <c r="H398" s="1594">
        <f>IF($G398=$H$389,$H390+NPV(DiscRDE,(Calc!I$390:P$390,Q392)),0)</f>
        <v>0</v>
      </c>
      <c r="I398" s="2037">
        <f>IF($G398=$H$389,$H390+NPV(DiscRDE,(Calc!I$390:U$390,V392)),0)</f>
        <v>0</v>
      </c>
      <c r="J398" s="1142"/>
      <c r="K398" s="1142"/>
      <c r="L398" s="1142"/>
      <c r="M398" s="1142"/>
      <c r="N398" s="1142"/>
      <c r="O398" s="1142"/>
      <c r="P398" s="1142"/>
      <c r="Q398" s="1142"/>
      <c r="R398" s="1142"/>
      <c r="S398" s="1142"/>
      <c r="T398" s="1142"/>
      <c r="U398" s="1142"/>
      <c r="V398" s="1142"/>
      <c r="W398" s="1142"/>
      <c r="X398" s="1142"/>
      <c r="Y398" s="1142"/>
      <c r="Z398" s="1142"/>
      <c r="AA398" s="1142"/>
      <c r="AB398" s="1142"/>
      <c r="AC398" s="1142"/>
      <c r="AD398" s="1142"/>
      <c r="AE398" s="1142"/>
      <c r="AF398" s="1142"/>
      <c r="AG398" s="1142"/>
      <c r="AH398" s="1142"/>
      <c r="AI398" s="1142"/>
      <c r="AJ398" s="1564"/>
      <c r="AK398" s="1142"/>
      <c r="AL398" s="1142"/>
      <c r="AM398" s="1142"/>
      <c r="AN398" s="1142"/>
      <c r="AO398" s="1149"/>
      <c r="AP398" s="1142"/>
      <c r="AQ398" s="1142"/>
      <c r="AR398" s="1142"/>
      <c r="AS398" s="1142"/>
      <c r="AT398" s="1142"/>
      <c r="AU398" s="1142"/>
      <c r="AV398" s="1142"/>
      <c r="AW398" s="1142"/>
      <c r="AX398" s="1142"/>
      <c r="AY398" s="1142"/>
      <c r="AZ398" s="1142"/>
      <c r="BA398" s="1142"/>
      <c r="BB398" s="1142"/>
      <c r="BC398" s="1142"/>
      <c r="BD398" s="1142"/>
      <c r="BE398" s="1478"/>
      <c r="BF398" s="1070"/>
    </row>
    <row r="399" spans="1:58" outlineLevel="1" x14ac:dyDescent="0.3">
      <c r="A399" s="1527"/>
      <c r="B399" s="1142"/>
      <c r="C399" s="1142"/>
      <c r="D399" s="1142"/>
      <c r="E399" s="1142"/>
      <c r="F399" s="1142"/>
      <c r="G399" s="1582">
        <f t="shared" ref="G399:G409" si="397">G398+1</f>
        <v>20</v>
      </c>
      <c r="H399" s="1594">
        <f>IF($G399=$I$389,$I390+NPV(DiscRDE,(Calc!J$390:Q$390,R392)),0)</f>
        <v>0</v>
      </c>
      <c r="I399" s="2037">
        <f>IF($G399=$I$389,$I390+NPV(DiscRDE,(Calc!J$390:V$390,W392)),0)</f>
        <v>0</v>
      </c>
      <c r="J399" s="1142"/>
      <c r="K399" s="1142"/>
      <c r="L399" s="1142"/>
      <c r="M399" s="1142"/>
      <c r="N399" s="1142"/>
      <c r="O399" s="1142"/>
      <c r="P399" s="1142"/>
      <c r="Q399" s="1142"/>
      <c r="R399" s="1142"/>
      <c r="S399" s="1142"/>
      <c r="T399" s="1142"/>
      <c r="U399" s="1142"/>
      <c r="V399" s="1142"/>
      <c r="W399" s="1142"/>
      <c r="X399" s="1142"/>
      <c r="Y399" s="1142"/>
      <c r="Z399" s="1142"/>
      <c r="AA399" s="1142"/>
      <c r="AB399" s="1142"/>
      <c r="AC399" s="1142"/>
      <c r="AD399" s="1142"/>
      <c r="AE399" s="1142"/>
      <c r="AF399" s="1142"/>
      <c r="AG399" s="1142"/>
      <c r="AH399" s="1142"/>
      <c r="AI399" s="1142"/>
      <c r="AJ399" s="1564"/>
      <c r="AK399" s="1142"/>
      <c r="AL399" s="1142"/>
      <c r="AM399" s="1142"/>
      <c r="AN399" s="1142"/>
      <c r="AO399" s="1149"/>
      <c r="AP399" s="1142"/>
      <c r="AQ399" s="1142"/>
      <c r="AR399" s="1142"/>
      <c r="AS399" s="1142"/>
      <c r="AT399" s="1142"/>
      <c r="AU399" s="1142"/>
      <c r="AV399" s="1142"/>
      <c r="AW399" s="1142"/>
      <c r="AX399" s="1142"/>
      <c r="AY399" s="1142"/>
      <c r="AZ399" s="1142"/>
      <c r="BA399" s="1142"/>
      <c r="BB399" s="1142"/>
      <c r="BC399" s="1142"/>
      <c r="BD399" s="1142"/>
      <c r="BE399" s="1478"/>
      <c r="BF399" s="1070"/>
    </row>
    <row r="400" spans="1:58" outlineLevel="1" x14ac:dyDescent="0.3">
      <c r="A400" s="1527"/>
      <c r="B400" s="1142"/>
      <c r="C400" s="1142"/>
      <c r="D400" s="1142"/>
      <c r="E400" s="1142"/>
      <c r="F400" s="1142"/>
      <c r="G400" s="1582">
        <f t="shared" si="397"/>
        <v>21</v>
      </c>
      <c r="H400" s="1594">
        <f>IF($G400=$J$389,$J390+NPV(DiscRDE,(Calc!K$390:R$390,S392)),0)</f>
        <v>0</v>
      </c>
      <c r="I400" s="2037">
        <f>IF($G400=$J$389,$J390+NPV(DiscRDE,(Calc!K$390:W$390,X392)),0)</f>
        <v>0</v>
      </c>
      <c r="J400" s="1142"/>
      <c r="K400" s="1142"/>
      <c r="L400" s="1142"/>
      <c r="M400" s="1142"/>
      <c r="N400" s="1142"/>
      <c r="O400" s="1142"/>
      <c r="P400" s="1142"/>
      <c r="Q400" s="1142"/>
      <c r="R400" s="1142"/>
      <c r="S400" s="1142"/>
      <c r="T400" s="1142"/>
      <c r="U400" s="1142"/>
      <c r="V400" s="1142"/>
      <c r="W400" s="1142"/>
      <c r="X400" s="1142"/>
      <c r="Y400" s="1142"/>
      <c r="Z400" s="1142"/>
      <c r="AA400" s="1142"/>
      <c r="AB400" s="1142"/>
      <c r="AC400" s="1142"/>
      <c r="AD400" s="1142"/>
      <c r="AE400" s="1142"/>
      <c r="AF400" s="1142"/>
      <c r="AG400" s="1142"/>
      <c r="AH400" s="1142"/>
      <c r="AI400" s="1142"/>
      <c r="AJ400" s="1564"/>
      <c r="AK400" s="1142"/>
      <c r="AL400" s="1142"/>
      <c r="AM400" s="1142"/>
      <c r="AN400" s="1142"/>
      <c r="AO400" s="1149"/>
      <c r="AP400" s="1142"/>
      <c r="AQ400" s="1142"/>
      <c r="AR400" s="1142"/>
      <c r="AS400" s="1142"/>
      <c r="AT400" s="1142"/>
      <c r="AU400" s="1142"/>
      <c r="AV400" s="1142"/>
      <c r="AW400" s="1142"/>
      <c r="AX400" s="1142"/>
      <c r="AY400" s="1142"/>
      <c r="AZ400" s="1142"/>
      <c r="BA400" s="1142"/>
      <c r="BB400" s="1142"/>
      <c r="BC400" s="1142"/>
      <c r="BD400" s="1142"/>
      <c r="BE400" s="1478"/>
      <c r="BF400" s="1070"/>
    </row>
    <row r="401" spans="1:58" outlineLevel="1" x14ac:dyDescent="0.3">
      <c r="A401" s="1527"/>
      <c r="B401" s="1142"/>
      <c r="C401" s="1142"/>
      <c r="D401" s="1142"/>
      <c r="E401" s="1142"/>
      <c r="F401" s="1142"/>
      <c r="G401" s="1582">
        <f t="shared" si="397"/>
        <v>22</v>
      </c>
      <c r="H401" s="1594">
        <f>IF($G401=$K$389,$K390+NPV(DiscRDE,(Calc!L$390:S$390,T392)),0)</f>
        <v>0</v>
      </c>
      <c r="I401" s="2037">
        <f>IF($G401=$K$389,$K390+NPV(DiscRDE,(Calc!L$390:X$390,Y392)),0)</f>
        <v>0</v>
      </c>
      <c r="J401" s="1142"/>
      <c r="K401" s="1142"/>
      <c r="L401" s="1142"/>
      <c r="M401" s="1142"/>
      <c r="N401" s="1142"/>
      <c r="O401" s="1142"/>
      <c r="P401" s="1142"/>
      <c r="Q401" s="1142"/>
      <c r="R401" s="1142"/>
      <c r="S401" s="1142"/>
      <c r="T401" s="1142"/>
      <c r="U401" s="1142"/>
      <c r="V401" s="1142"/>
      <c r="W401" s="1142"/>
      <c r="X401" s="1142"/>
      <c r="Y401" s="1142"/>
      <c r="Z401" s="1142"/>
      <c r="AA401" s="1142"/>
      <c r="AB401" s="1142"/>
      <c r="AC401" s="1142"/>
      <c r="AD401" s="1142"/>
      <c r="AE401" s="1142"/>
      <c r="AF401" s="1142"/>
      <c r="AG401" s="1142"/>
      <c r="AH401" s="1142"/>
      <c r="AI401" s="1142"/>
      <c r="AJ401" s="1564"/>
      <c r="AK401" s="1142"/>
      <c r="AL401" s="1142"/>
      <c r="AM401" s="1142"/>
      <c r="AN401" s="1142"/>
      <c r="AO401" s="1149"/>
      <c r="AP401" s="1142"/>
      <c r="AQ401" s="1142"/>
      <c r="AR401" s="1142"/>
      <c r="AS401" s="1142"/>
      <c r="AT401" s="1142"/>
      <c r="AU401" s="1142"/>
      <c r="AV401" s="1142"/>
      <c r="AW401" s="1142"/>
      <c r="AX401" s="1142"/>
      <c r="AY401" s="1142"/>
      <c r="AZ401" s="1142"/>
      <c r="BA401" s="1142"/>
      <c r="BB401" s="1142"/>
      <c r="BC401" s="1142"/>
      <c r="BD401" s="1142"/>
      <c r="BE401" s="1478"/>
      <c r="BF401" s="1070"/>
    </row>
    <row r="402" spans="1:58" outlineLevel="1" x14ac:dyDescent="0.3">
      <c r="A402" s="1527"/>
      <c r="B402" s="1142"/>
      <c r="C402" s="1142"/>
      <c r="D402" s="1142"/>
      <c r="E402" s="1142"/>
      <c r="F402" s="1142"/>
      <c r="G402" s="1582">
        <f t="shared" si="397"/>
        <v>23</v>
      </c>
      <c r="H402" s="1594">
        <f>IF($G402=$L$389,$L390+NPV(DiscRDE,(Calc!M$390:T$390,U392)),0)</f>
        <v>0</v>
      </c>
      <c r="I402" s="2037">
        <f>IF($G402=$L$389,$L390+NPV(DiscRDE,(Calc!M$390:Y$390,Z392)),0)</f>
        <v>0</v>
      </c>
      <c r="J402" s="1142"/>
      <c r="K402" s="1142"/>
      <c r="L402" s="1142"/>
      <c r="M402" s="1142"/>
      <c r="N402" s="1142"/>
      <c r="O402" s="1142"/>
      <c r="P402" s="1142"/>
      <c r="Q402" s="1142"/>
      <c r="R402" s="1142"/>
      <c r="S402" s="1142"/>
      <c r="T402" s="1142"/>
      <c r="U402" s="1142"/>
      <c r="V402" s="1142"/>
      <c r="W402" s="1142"/>
      <c r="X402" s="1142"/>
      <c r="Y402" s="1142"/>
      <c r="Z402" s="1142"/>
      <c r="AA402" s="1142"/>
      <c r="AB402" s="1142"/>
      <c r="AC402" s="1142"/>
      <c r="AD402" s="1142"/>
      <c r="AE402" s="1142"/>
      <c r="AF402" s="1142"/>
      <c r="AG402" s="1142"/>
      <c r="AH402" s="1142"/>
      <c r="AI402" s="1142"/>
      <c r="AJ402" s="1564"/>
      <c r="AK402" s="1142"/>
      <c r="AL402" s="1142"/>
      <c r="AM402" s="1142"/>
      <c r="AN402" s="1142"/>
      <c r="AO402" s="1149"/>
      <c r="AP402" s="1142"/>
      <c r="AQ402" s="1142"/>
      <c r="AR402" s="1142"/>
      <c r="AS402" s="1142"/>
      <c r="AT402" s="1142"/>
      <c r="AU402" s="1142"/>
      <c r="AV402" s="1142"/>
      <c r="AW402" s="1142"/>
      <c r="AX402" s="1142"/>
      <c r="AY402" s="1142"/>
      <c r="AZ402" s="1142"/>
      <c r="BA402" s="1142"/>
      <c r="BB402" s="1142"/>
      <c r="BC402" s="1142"/>
      <c r="BD402" s="1142"/>
      <c r="BE402" s="1478"/>
      <c r="BF402" s="1070"/>
    </row>
    <row r="403" spans="1:58" outlineLevel="1" x14ac:dyDescent="0.3">
      <c r="A403" s="1527"/>
      <c r="B403" s="1142"/>
      <c r="C403" s="1142"/>
      <c r="D403" s="1142"/>
      <c r="E403" s="1142"/>
      <c r="F403" s="1142"/>
      <c r="G403" s="1582">
        <f t="shared" si="397"/>
        <v>24</v>
      </c>
      <c r="H403" s="1594">
        <f>IF($G403=$M$389,$M390+NPV(DiscRDE,(Calc!N$390:U$390,V392)),0)</f>
        <v>0</v>
      </c>
      <c r="I403" s="2037">
        <f>IF($G403=$M$389,$M390+NPV(DiscRDE,(Calc!N$390:Z$390,AA392)),0)</f>
        <v>0</v>
      </c>
      <c r="J403" s="1142"/>
      <c r="K403" s="1142"/>
      <c r="L403" s="1142"/>
      <c r="M403" s="1142"/>
      <c r="N403" s="1142"/>
      <c r="O403" s="1142"/>
      <c r="P403" s="1142"/>
      <c r="Q403" s="1142"/>
      <c r="R403" s="1142"/>
      <c r="S403" s="1142"/>
      <c r="T403" s="1142"/>
      <c r="U403" s="1142"/>
      <c r="V403" s="1142"/>
      <c r="W403" s="1142"/>
      <c r="X403" s="1142"/>
      <c r="Y403" s="1142"/>
      <c r="Z403" s="1142"/>
      <c r="AA403" s="1142"/>
      <c r="AB403" s="1142"/>
      <c r="AC403" s="1142"/>
      <c r="AD403" s="1142"/>
      <c r="AE403" s="1142"/>
      <c r="AF403" s="1142"/>
      <c r="AG403" s="1142"/>
      <c r="AH403" s="1142"/>
      <c r="AI403" s="1142"/>
      <c r="AJ403" s="1564"/>
      <c r="AK403" s="1142"/>
      <c r="AL403" s="1142"/>
      <c r="AM403" s="1142"/>
      <c r="AN403" s="1142"/>
      <c r="AO403" s="1149"/>
      <c r="AP403" s="1142"/>
      <c r="AQ403" s="1142"/>
      <c r="AR403" s="1142"/>
      <c r="AS403" s="1142"/>
      <c r="AT403" s="1142"/>
      <c r="AU403" s="1142"/>
      <c r="AV403" s="1142"/>
      <c r="AW403" s="1142"/>
      <c r="AX403" s="1142"/>
      <c r="AY403" s="1142"/>
      <c r="AZ403" s="1142"/>
      <c r="BA403" s="1142"/>
      <c r="BB403" s="1142"/>
      <c r="BC403" s="1142"/>
      <c r="BD403" s="1142"/>
      <c r="BE403" s="1478"/>
      <c r="BF403" s="1070"/>
    </row>
    <row r="404" spans="1:58" outlineLevel="1" x14ac:dyDescent="0.3">
      <c r="A404" s="1527"/>
      <c r="B404" s="1142"/>
      <c r="C404" s="1142"/>
      <c r="D404" s="1142"/>
      <c r="E404" s="1142"/>
      <c r="F404" s="1142"/>
      <c r="G404" s="1582">
        <f t="shared" si="397"/>
        <v>25</v>
      </c>
      <c r="H404" s="1594">
        <f>IF($G404=$N$389,$N390+NPV(DiscRDE,(Calc!O$390:V$390,W392)),0)</f>
        <v>0</v>
      </c>
      <c r="I404" s="2037">
        <f>IF($G404=$N$389,$N390+NPV(DiscRDE,(Calc!O$390:AA$390,AB392)),0)</f>
        <v>0</v>
      </c>
      <c r="J404" s="1142"/>
      <c r="K404" s="1142"/>
      <c r="L404" s="1142"/>
      <c r="M404" s="1142"/>
      <c r="N404" s="1142"/>
      <c r="O404" s="1142"/>
      <c r="P404" s="1142"/>
      <c r="Q404" s="1142"/>
      <c r="R404" s="1142"/>
      <c r="S404" s="1142"/>
      <c r="T404" s="1142"/>
      <c r="U404" s="1142"/>
      <c r="V404" s="1142"/>
      <c r="W404" s="1142"/>
      <c r="X404" s="1142"/>
      <c r="Y404" s="1142"/>
      <c r="Z404" s="1142"/>
      <c r="AA404" s="1142"/>
      <c r="AB404" s="1142"/>
      <c r="AC404" s="1142"/>
      <c r="AD404" s="1142"/>
      <c r="AE404" s="1142"/>
      <c r="AF404" s="1142"/>
      <c r="AG404" s="1142"/>
      <c r="AH404" s="1142"/>
      <c r="AI404" s="1142"/>
      <c r="AJ404" s="1564"/>
      <c r="AK404" s="1142"/>
      <c r="AL404" s="1142"/>
      <c r="AM404" s="1142"/>
      <c r="AN404" s="1142"/>
      <c r="AO404" s="1149"/>
      <c r="AP404" s="1142"/>
      <c r="AQ404" s="1142"/>
      <c r="AR404" s="1142"/>
      <c r="AS404" s="1142"/>
      <c r="AT404" s="1142"/>
      <c r="AU404" s="1142"/>
      <c r="AV404" s="1142"/>
      <c r="AW404" s="1142"/>
      <c r="AX404" s="1142"/>
      <c r="AY404" s="1142"/>
      <c r="AZ404" s="1142"/>
      <c r="BA404" s="1142"/>
      <c r="BB404" s="1142"/>
      <c r="BC404" s="1142"/>
      <c r="BD404" s="1142"/>
      <c r="BE404" s="1478"/>
      <c r="BF404" s="1070"/>
    </row>
    <row r="405" spans="1:58" outlineLevel="1" x14ac:dyDescent="0.3">
      <c r="A405" s="1527"/>
      <c r="B405" s="1142"/>
      <c r="C405" s="1142"/>
      <c r="D405" s="1142"/>
      <c r="E405" s="1142"/>
      <c r="F405" s="1142"/>
      <c r="G405" s="1582">
        <f t="shared" si="397"/>
        <v>26</v>
      </c>
      <c r="H405" s="1594">
        <f>IF($G405=$O$389,$O390+NPV(DiscRDE,(Calc!P$390:W$390,X392)),0)</f>
        <v>0</v>
      </c>
      <c r="I405" s="2037">
        <f>IF($G405=$O$389,$O390+NPV(DiscRDE,(Calc!P$390:AB$390,AC392)),0)</f>
        <v>0</v>
      </c>
      <c r="J405" s="1142"/>
      <c r="K405" s="1142"/>
      <c r="L405" s="1142"/>
      <c r="M405" s="1142"/>
      <c r="N405" s="1142"/>
      <c r="O405" s="1142"/>
      <c r="P405" s="1142"/>
      <c r="Q405" s="1142"/>
      <c r="R405" s="1142"/>
      <c r="S405" s="1142"/>
      <c r="T405" s="1142"/>
      <c r="U405" s="1142"/>
      <c r="V405" s="1142"/>
      <c r="W405" s="1142"/>
      <c r="X405" s="1142"/>
      <c r="Y405" s="1142"/>
      <c r="Z405" s="1142"/>
      <c r="AA405" s="1142"/>
      <c r="AB405" s="1142"/>
      <c r="AC405" s="1142"/>
      <c r="AD405" s="1142"/>
      <c r="AE405" s="1142"/>
      <c r="AF405" s="1142"/>
      <c r="AG405" s="1142"/>
      <c r="AH405" s="1142"/>
      <c r="AI405" s="1142"/>
      <c r="AJ405" s="1564"/>
      <c r="AK405" s="1142"/>
      <c r="AL405" s="1142"/>
      <c r="AM405" s="1142"/>
      <c r="AN405" s="1142"/>
      <c r="AO405" s="1149"/>
      <c r="AP405" s="1142"/>
      <c r="AQ405" s="1142"/>
      <c r="AR405" s="1142"/>
      <c r="AS405" s="1142"/>
      <c r="AT405" s="1142"/>
      <c r="AU405" s="1142"/>
      <c r="AV405" s="1142"/>
      <c r="AW405" s="1142"/>
      <c r="AX405" s="1142"/>
      <c r="AY405" s="1142"/>
      <c r="AZ405" s="1142"/>
      <c r="BA405" s="1142"/>
      <c r="BB405" s="1142"/>
      <c r="BC405" s="1142"/>
      <c r="BD405" s="1142"/>
      <c r="BE405" s="1478"/>
      <c r="BF405" s="1070"/>
    </row>
    <row r="406" spans="1:58" outlineLevel="1" x14ac:dyDescent="0.3">
      <c r="A406" s="1527"/>
      <c r="B406" s="1142"/>
      <c r="C406" s="1142"/>
      <c r="D406" s="1142"/>
      <c r="E406" s="1142"/>
      <c r="F406" s="1142"/>
      <c r="G406" s="1582">
        <f t="shared" si="397"/>
        <v>27</v>
      </c>
      <c r="H406" s="1594">
        <f>IF($G406=$P$389,$P390+NPV(DiscRDE,(Calc!Q$390:X$390,Y392)),0)</f>
        <v>0</v>
      </c>
      <c r="I406" s="2037">
        <f>IF($G406=$P$389,$P390+NPV(DiscRDE,(Calc!Q$390:AC$390,AD392)),0)</f>
        <v>0</v>
      </c>
      <c r="J406" s="1142"/>
      <c r="K406" s="1142"/>
      <c r="L406" s="1142"/>
      <c r="M406" s="1142"/>
      <c r="N406" s="1142"/>
      <c r="O406" s="1142"/>
      <c r="P406" s="1142"/>
      <c r="Q406" s="1142"/>
      <c r="R406" s="1142"/>
      <c r="S406" s="1142"/>
      <c r="T406" s="1142"/>
      <c r="U406" s="1142"/>
      <c r="V406" s="1142"/>
      <c r="W406" s="1142"/>
      <c r="X406" s="1142"/>
      <c r="Y406" s="1142"/>
      <c r="Z406" s="1142"/>
      <c r="AA406" s="1142"/>
      <c r="AB406" s="1142"/>
      <c r="AC406" s="1142"/>
      <c r="AD406" s="1142"/>
      <c r="AE406" s="1142"/>
      <c r="AF406" s="1142"/>
      <c r="AG406" s="1142"/>
      <c r="AH406" s="1142"/>
      <c r="AI406" s="1142"/>
      <c r="AJ406" s="1564"/>
      <c r="AK406" s="1142"/>
      <c r="AL406" s="1142"/>
      <c r="AM406" s="1142"/>
      <c r="AN406" s="1142"/>
      <c r="AO406" s="1149"/>
      <c r="AP406" s="1142"/>
      <c r="AQ406" s="1142"/>
      <c r="AR406" s="1142"/>
      <c r="AS406" s="1142"/>
      <c r="AT406" s="1142"/>
      <c r="AU406" s="1142"/>
      <c r="AV406" s="1142"/>
      <c r="AW406" s="1142"/>
      <c r="AX406" s="1142"/>
      <c r="AY406" s="1142"/>
      <c r="AZ406" s="1142"/>
      <c r="BA406" s="1142"/>
      <c r="BB406" s="1142"/>
      <c r="BC406" s="1142"/>
      <c r="BD406" s="1142"/>
      <c r="BE406" s="1478"/>
      <c r="BF406" s="1070"/>
    </row>
    <row r="407" spans="1:58" outlineLevel="1" x14ac:dyDescent="0.3">
      <c r="A407" s="1527"/>
      <c r="B407" s="1142"/>
      <c r="C407" s="1142"/>
      <c r="D407" s="1142"/>
      <c r="E407" s="1142"/>
      <c r="F407" s="1142"/>
      <c r="G407" s="1582">
        <f t="shared" si="397"/>
        <v>28</v>
      </c>
      <c r="H407" s="1594">
        <f>IF($G407=$Q$389,$Q390+NPV(DiscRDE,(Calc!R$390:Y$390,Z392)),0)</f>
        <v>0</v>
      </c>
      <c r="I407" s="2037">
        <f>IF($G407=$Q$389,$Q390+NPV(DiscRDE,(Calc!R$390:AD$390,AE392)),0)</f>
        <v>0</v>
      </c>
      <c r="J407" s="1142"/>
      <c r="K407" s="1142"/>
      <c r="L407" s="1142"/>
      <c r="M407" s="1142"/>
      <c r="N407" s="1142"/>
      <c r="O407" s="1142"/>
      <c r="P407" s="1142"/>
      <c r="Q407" s="1142"/>
      <c r="R407" s="1142"/>
      <c r="S407" s="1142"/>
      <c r="T407" s="1142"/>
      <c r="U407" s="1142"/>
      <c r="V407" s="1142"/>
      <c r="W407" s="1142"/>
      <c r="X407" s="1142"/>
      <c r="Y407" s="1142"/>
      <c r="Z407" s="1142"/>
      <c r="AA407" s="1142"/>
      <c r="AB407" s="1142"/>
      <c r="AC407" s="1142"/>
      <c r="AD407" s="1142"/>
      <c r="AE407" s="1142"/>
      <c r="AF407" s="1142"/>
      <c r="AG407" s="1142"/>
      <c r="AH407" s="1142"/>
      <c r="AI407" s="1142"/>
      <c r="AJ407" s="1564"/>
      <c r="AK407" s="1142"/>
      <c r="AL407" s="1142"/>
      <c r="AM407" s="1142"/>
      <c r="AN407" s="1142"/>
      <c r="AO407" s="1149"/>
      <c r="AP407" s="1142"/>
      <c r="AQ407" s="1142"/>
      <c r="AR407" s="1142"/>
      <c r="AS407" s="1142"/>
      <c r="AT407" s="1142"/>
      <c r="AU407" s="1142"/>
      <c r="AV407" s="1142"/>
      <c r="AW407" s="1142"/>
      <c r="AX407" s="1142"/>
      <c r="AY407" s="1142"/>
      <c r="AZ407" s="1142"/>
      <c r="BA407" s="1142"/>
      <c r="BB407" s="1142"/>
      <c r="BC407" s="1142"/>
      <c r="BD407" s="1142"/>
      <c r="BE407" s="1478"/>
      <c r="BF407" s="1070"/>
    </row>
    <row r="408" spans="1:58" outlineLevel="1" x14ac:dyDescent="0.3">
      <c r="A408" s="1527"/>
      <c r="B408" s="1142"/>
      <c r="C408" s="1142"/>
      <c r="D408" s="1142"/>
      <c r="E408" s="1142"/>
      <c r="F408" s="1142"/>
      <c r="G408" s="1582">
        <f t="shared" si="397"/>
        <v>29</v>
      </c>
      <c r="H408" s="1594">
        <f>IF($G408=$R$389,$R390+NPV(DiscRDE,(Calc!S$390:Z$390,AA392)),0)</f>
        <v>0</v>
      </c>
      <c r="I408" s="2037">
        <f>IF($G408=$R$389,$R390+NPV(DiscRDE,(Calc!S$390:AE$390,AF392)),0)</f>
        <v>0</v>
      </c>
      <c r="J408" s="1142"/>
      <c r="K408" s="1142"/>
      <c r="L408" s="1142"/>
      <c r="M408" s="1142"/>
      <c r="N408" s="1142"/>
      <c r="O408" s="1142"/>
      <c r="P408" s="1142"/>
      <c r="Q408" s="1142"/>
      <c r="R408" s="1142"/>
      <c r="S408" s="1142"/>
      <c r="T408" s="1142"/>
      <c r="U408" s="1142"/>
      <c r="V408" s="1142"/>
      <c r="W408" s="1142"/>
      <c r="X408" s="1142"/>
      <c r="Y408" s="1142"/>
      <c r="Z408" s="1142"/>
      <c r="AA408" s="1142"/>
      <c r="AB408" s="1142"/>
      <c r="AC408" s="1142"/>
      <c r="AD408" s="1142"/>
      <c r="AE408" s="1142"/>
      <c r="AF408" s="1142"/>
      <c r="AG408" s="1142"/>
      <c r="AH408" s="1142"/>
      <c r="AI408" s="1142"/>
      <c r="AJ408" s="1564"/>
      <c r="AK408" s="1142"/>
      <c r="AL408" s="1142"/>
      <c r="AM408" s="1142"/>
      <c r="AN408" s="1142"/>
      <c r="AO408" s="1149"/>
      <c r="AP408" s="1142"/>
      <c r="AQ408" s="1142"/>
      <c r="AR408" s="1142"/>
      <c r="AS408" s="1142"/>
      <c r="AT408" s="1142"/>
      <c r="AU408" s="1142"/>
      <c r="AV408" s="1142"/>
      <c r="AW408" s="1142"/>
      <c r="AX408" s="1142"/>
      <c r="AY408" s="1142"/>
      <c r="AZ408" s="1142"/>
      <c r="BA408" s="1142"/>
      <c r="BB408" s="1142"/>
      <c r="BC408" s="1142"/>
      <c r="BD408" s="1142"/>
      <c r="BE408" s="1478"/>
      <c r="BF408" s="1070"/>
    </row>
    <row r="409" spans="1:58" outlineLevel="1" x14ac:dyDescent="0.3">
      <c r="A409" s="1527"/>
      <c r="B409" s="1142"/>
      <c r="C409" s="1142"/>
      <c r="D409" s="1142"/>
      <c r="E409" s="1142"/>
      <c r="F409" s="1142"/>
      <c r="G409" s="1582">
        <f t="shared" si="397"/>
        <v>30</v>
      </c>
      <c r="H409" s="1594">
        <f>IF($G409=$S$389,$S390+NPV(DiscRDE,(Calc!T$390:AA$390,AB392)),0)</f>
        <v>0</v>
      </c>
      <c r="I409" s="2037">
        <f>IF($G409=$S$389,$S390+NPV(DiscRDE,(Calc!T$390:AF$390,AG392)),0)</f>
        <v>0</v>
      </c>
      <c r="J409" s="1142"/>
      <c r="K409" s="1142"/>
      <c r="L409" s="1142"/>
      <c r="M409" s="1142"/>
      <c r="N409" s="1142"/>
      <c r="O409" s="1142"/>
      <c r="P409" s="1142"/>
      <c r="Q409" s="1142"/>
      <c r="R409" s="1142"/>
      <c r="S409" s="1142"/>
      <c r="T409" s="1142"/>
      <c r="U409" s="1142"/>
      <c r="V409" s="1142"/>
      <c r="W409" s="1142"/>
      <c r="X409" s="1142"/>
      <c r="Y409" s="1142"/>
      <c r="Z409" s="1142"/>
      <c r="AA409" s="1142"/>
      <c r="AB409" s="1142"/>
      <c r="AC409" s="1142"/>
      <c r="AD409" s="1142"/>
      <c r="AE409" s="1142"/>
      <c r="AF409" s="1142"/>
      <c r="AG409" s="1142"/>
      <c r="AH409" s="1142"/>
      <c r="AI409" s="1142"/>
      <c r="AJ409" s="1564"/>
      <c r="AK409" s="1142"/>
      <c r="AL409" s="1142"/>
      <c r="AM409" s="1142"/>
      <c r="AN409" s="1142"/>
      <c r="AO409" s="1149"/>
      <c r="AP409" s="1142"/>
      <c r="AQ409" s="1142"/>
      <c r="AR409" s="1142"/>
      <c r="AS409" s="1142"/>
      <c r="AT409" s="1142"/>
      <c r="AU409" s="1142"/>
      <c r="AV409" s="1142"/>
      <c r="AW409" s="1142"/>
      <c r="AX409" s="1142"/>
      <c r="AY409" s="1142"/>
      <c r="AZ409" s="1142"/>
      <c r="BA409" s="1142"/>
      <c r="BB409" s="1142"/>
      <c r="BC409" s="1142"/>
      <c r="BD409" s="1142"/>
      <c r="BE409" s="1478"/>
      <c r="BF409" s="1070"/>
    </row>
    <row r="410" spans="1:58" outlineLevel="1" x14ac:dyDescent="0.3">
      <c r="A410" s="1527"/>
      <c r="B410" s="1142"/>
      <c r="C410" s="1142"/>
      <c r="D410" s="1142"/>
      <c r="E410" s="1142"/>
      <c r="F410" s="1142"/>
      <c r="G410" s="1142"/>
      <c r="H410" s="1142"/>
      <c r="I410" s="1142"/>
      <c r="J410" s="1142"/>
      <c r="K410" s="1142"/>
      <c r="L410" s="1142"/>
      <c r="M410" s="1142"/>
      <c r="N410" s="1142"/>
      <c r="O410" s="1142"/>
      <c r="P410" s="1142"/>
      <c r="Q410" s="1142"/>
      <c r="R410" s="1142"/>
      <c r="S410" s="1142"/>
      <c r="T410" s="1142"/>
      <c r="U410" s="1142"/>
      <c r="V410" s="1142"/>
      <c r="W410" s="1142"/>
      <c r="X410" s="1142"/>
      <c r="Y410" s="1142"/>
      <c r="Z410" s="1142"/>
      <c r="AA410" s="1142"/>
      <c r="AB410" s="1142"/>
      <c r="AC410" s="1142"/>
      <c r="AD410" s="1142"/>
      <c r="AE410" s="1142"/>
      <c r="AF410" s="1142"/>
      <c r="AG410" s="1142"/>
      <c r="AH410" s="1142"/>
      <c r="AI410" s="1142"/>
      <c r="AJ410" s="1564"/>
      <c r="AK410" s="1142"/>
      <c r="AL410" s="1142"/>
      <c r="AM410" s="1142"/>
      <c r="AN410" s="1142"/>
      <c r="AO410" s="1149"/>
      <c r="AP410" s="1142"/>
      <c r="AQ410" s="1142"/>
      <c r="AR410" s="1142"/>
      <c r="AS410" s="1142"/>
      <c r="AT410" s="1142"/>
      <c r="AU410" s="1142"/>
      <c r="AV410" s="1142"/>
      <c r="AW410" s="1142"/>
      <c r="AX410" s="1142"/>
      <c r="AY410" s="1142"/>
      <c r="AZ410" s="1142"/>
      <c r="BA410" s="1142"/>
      <c r="BB410" s="1142"/>
      <c r="BC410" s="1142"/>
      <c r="BD410" s="1142"/>
      <c r="BE410" s="1478"/>
      <c r="BF410" s="1070"/>
    </row>
    <row r="411" spans="1:58" x14ac:dyDescent="0.3">
      <c r="A411" s="1527"/>
      <c r="B411" s="1142"/>
      <c r="C411" s="1142"/>
      <c r="D411" s="1142"/>
      <c r="E411" s="1142"/>
      <c r="F411" s="1142"/>
      <c r="G411" s="1142"/>
      <c r="H411" s="1142"/>
      <c r="I411" s="1142"/>
      <c r="J411" s="1142"/>
      <c r="K411" s="1142"/>
      <c r="L411" s="1142"/>
      <c r="M411" s="1142"/>
      <c r="N411" s="1142"/>
      <c r="O411" s="1142"/>
      <c r="P411" s="1142"/>
      <c r="Q411" s="1142"/>
      <c r="R411" s="1142"/>
      <c r="S411" s="1142"/>
      <c r="T411" s="1142"/>
      <c r="U411" s="1142"/>
      <c r="V411" s="1142"/>
      <c r="W411" s="1142"/>
      <c r="X411" s="1142"/>
      <c r="Y411" s="1142"/>
      <c r="Z411" s="1142"/>
      <c r="AA411" s="1142"/>
      <c r="AB411" s="1142"/>
      <c r="AC411" s="1142"/>
      <c r="AD411" s="1142"/>
      <c r="AE411" s="1142"/>
      <c r="AF411" s="1142"/>
      <c r="AG411" s="1142"/>
      <c r="AH411" s="1142"/>
      <c r="AI411" s="1142"/>
      <c r="AJ411" s="1564"/>
      <c r="AK411" s="1142"/>
      <c r="AL411" s="1142"/>
      <c r="AM411" s="1142"/>
      <c r="AN411" s="1142"/>
      <c r="AO411" s="1149"/>
      <c r="AP411" s="1142"/>
      <c r="AQ411" s="1142"/>
      <c r="AR411" s="1142"/>
      <c r="AS411" s="1142"/>
      <c r="AT411" s="1142"/>
      <c r="AU411" s="1142"/>
      <c r="AV411" s="1142"/>
      <c r="AW411" s="1142"/>
      <c r="AX411" s="1142"/>
      <c r="AY411" s="1142"/>
      <c r="AZ411" s="1142"/>
      <c r="BA411" s="1142"/>
      <c r="BB411" s="1142"/>
      <c r="BC411" s="1142"/>
      <c r="BD411" s="1142"/>
      <c r="BE411" s="1478"/>
      <c r="BF411" s="1070"/>
    </row>
    <row r="412" spans="1:58" x14ac:dyDescent="0.3">
      <c r="A412" s="1527"/>
      <c r="B412" s="1142"/>
      <c r="C412" s="1142"/>
      <c r="D412" s="1142"/>
      <c r="E412" s="1142"/>
      <c r="F412" s="1142"/>
      <c r="G412" s="1142"/>
      <c r="H412" s="1142"/>
      <c r="I412" s="1142"/>
      <c r="J412" s="1142"/>
      <c r="K412" s="1142"/>
      <c r="L412" s="1142"/>
      <c r="M412" s="1142"/>
      <c r="N412" s="1142"/>
      <c r="O412" s="1142"/>
      <c r="P412" s="1142"/>
      <c r="Q412" s="1142"/>
      <c r="R412" s="1142"/>
      <c r="S412" s="1142"/>
      <c r="T412" s="1142"/>
      <c r="U412" s="1142"/>
      <c r="V412" s="1142"/>
      <c r="W412" s="1142"/>
      <c r="X412" s="1142"/>
      <c r="Y412" s="1142"/>
      <c r="Z412" s="1142"/>
      <c r="AA412" s="1142"/>
      <c r="AB412" s="1142"/>
      <c r="AC412" s="1142"/>
      <c r="AD412" s="1142"/>
      <c r="AE412" s="1142"/>
      <c r="AF412" s="1142"/>
      <c r="AG412" s="1142"/>
      <c r="AH412" s="1142"/>
      <c r="AI412" s="1142"/>
      <c r="AJ412" s="1564"/>
      <c r="AK412" s="1142"/>
      <c r="AL412" s="1142"/>
      <c r="AM412" s="1142"/>
      <c r="AN412" s="1142"/>
      <c r="AO412" s="1149"/>
      <c r="AP412" s="1142"/>
      <c r="AQ412" s="1142"/>
      <c r="AR412" s="1142"/>
      <c r="AS412" s="1142"/>
      <c r="AT412" s="1142"/>
      <c r="AU412" s="1142"/>
      <c r="AV412" s="1142"/>
      <c r="AW412" s="1142"/>
      <c r="AX412" s="1142"/>
      <c r="AY412" s="1142"/>
      <c r="AZ412" s="1142"/>
      <c r="BA412" s="1142"/>
      <c r="BB412" s="1142"/>
      <c r="BC412" s="1142"/>
      <c r="BD412" s="1142"/>
      <c r="BE412" s="1478"/>
      <c r="BF412" s="1070"/>
    </row>
    <row r="413" spans="1:58" x14ac:dyDescent="0.3">
      <c r="A413" s="1527"/>
      <c r="B413" s="1655"/>
      <c r="C413" s="1142"/>
      <c r="D413" s="1142"/>
      <c r="E413" s="1142"/>
      <c r="F413" s="1142"/>
      <c r="G413" s="1142"/>
      <c r="H413" s="1142"/>
      <c r="I413" s="1142"/>
      <c r="J413" s="1142"/>
      <c r="K413" s="1142"/>
      <c r="L413" s="1142"/>
      <c r="M413" s="1142"/>
      <c r="N413" s="1142"/>
      <c r="O413" s="1142"/>
      <c r="P413" s="1142"/>
      <c r="Q413" s="1142"/>
      <c r="R413" s="1142"/>
      <c r="S413" s="1142"/>
      <c r="T413" s="1142"/>
      <c r="U413" s="1142"/>
      <c r="V413" s="1142"/>
      <c r="W413" s="1142"/>
      <c r="X413" s="1142"/>
      <c r="Y413" s="1142"/>
      <c r="Z413" s="1142"/>
      <c r="AA413" s="1142"/>
      <c r="AB413" s="1142"/>
      <c r="AC413" s="1142"/>
      <c r="AD413" s="1142"/>
      <c r="AE413" s="1142"/>
      <c r="AF413" s="1142"/>
      <c r="AG413" s="1142"/>
      <c r="AH413" s="1142"/>
      <c r="AI413" s="1142"/>
      <c r="AJ413" s="1564"/>
      <c r="AK413" s="1142"/>
      <c r="AL413" s="1142"/>
      <c r="AM413" s="1142"/>
      <c r="AN413" s="1142"/>
      <c r="AO413" s="1149"/>
      <c r="AP413" s="1142"/>
      <c r="AQ413" s="1142"/>
      <c r="AR413" s="1142"/>
      <c r="AS413" s="1142"/>
      <c r="AT413" s="1142"/>
      <c r="AU413" s="1142"/>
      <c r="AV413" s="1142"/>
      <c r="AW413" s="1142"/>
      <c r="AX413" s="1142"/>
      <c r="AY413" s="1142"/>
      <c r="AZ413" s="1142"/>
      <c r="BA413" s="1142"/>
      <c r="BB413" s="1142"/>
      <c r="BC413" s="1142"/>
      <c r="BD413" s="1142"/>
      <c r="BE413" s="1478"/>
      <c r="BF413" s="1070"/>
    </row>
    <row r="414" spans="1:58" x14ac:dyDescent="0.3">
      <c r="A414" s="1527"/>
      <c r="B414" s="1142"/>
      <c r="C414" s="1142"/>
      <c r="D414" s="1142"/>
      <c r="E414" s="1142"/>
      <c r="F414" s="1142"/>
      <c r="G414" s="1142"/>
      <c r="H414" s="1142"/>
      <c r="I414" s="1142"/>
      <c r="J414" s="1142"/>
      <c r="K414" s="1569" t="s">
        <v>1741</v>
      </c>
      <c r="L414" s="1159"/>
      <c r="M414" s="1159"/>
      <c r="N414" s="1159"/>
      <c r="O414" s="1159"/>
      <c r="P414" s="1159"/>
      <c r="Q414" s="1159"/>
      <c r="R414" s="1159"/>
      <c r="S414" s="1159"/>
      <c r="T414" s="1159"/>
      <c r="U414" s="1159"/>
      <c r="V414" s="1159"/>
      <c r="W414" s="1159"/>
      <c r="X414" s="1186"/>
      <c r="Y414" s="1142"/>
      <c r="Z414" s="1142"/>
      <c r="AA414" s="1142"/>
      <c r="AB414" s="1142"/>
      <c r="AC414" s="1142"/>
      <c r="AD414" s="1142"/>
      <c r="AE414" s="1142"/>
      <c r="AF414" s="1142"/>
      <c r="AG414" s="1142"/>
      <c r="AH414" s="1142"/>
      <c r="AI414" s="1142"/>
      <c r="AJ414" s="1564"/>
      <c r="AK414" s="1142"/>
      <c r="AL414" s="1142"/>
      <c r="AM414" s="1142"/>
      <c r="AN414" s="1142"/>
      <c r="AO414" s="1149"/>
      <c r="AP414" s="1142"/>
      <c r="AQ414" s="1569" t="s">
        <v>1742</v>
      </c>
      <c r="AR414" s="1159"/>
      <c r="AS414" s="1159"/>
      <c r="AT414" s="1159"/>
      <c r="AU414" s="1159"/>
      <c r="AV414" s="1159"/>
      <c r="AW414" s="1159"/>
      <c r="AX414" s="1159"/>
      <c r="AY414" s="1159"/>
      <c r="AZ414" s="1159"/>
      <c r="BA414" s="1159"/>
      <c r="BB414" s="1159"/>
      <c r="BC414" s="1159"/>
      <c r="BD414" s="1186"/>
      <c r="BE414" s="1478"/>
      <c r="BF414" s="1070"/>
    </row>
    <row r="415" spans="1:58" x14ac:dyDescent="0.3">
      <c r="A415" s="1527"/>
      <c r="B415" s="1142"/>
      <c r="C415" s="1142"/>
      <c r="D415" s="1142"/>
      <c r="E415" s="1142"/>
      <c r="F415" s="1142"/>
      <c r="G415" s="1142"/>
      <c r="H415" s="1142"/>
      <c r="I415" s="1142"/>
      <c r="J415" s="1142"/>
      <c r="K415" s="1149"/>
      <c r="L415" s="1142"/>
      <c r="M415" s="1142"/>
      <c r="N415" s="1142"/>
      <c r="O415" s="1142"/>
      <c r="P415" s="1142"/>
      <c r="Q415" s="1142"/>
      <c r="R415" s="1142"/>
      <c r="S415" s="1142"/>
      <c r="T415" s="1142"/>
      <c r="U415" s="1142"/>
      <c r="V415" s="1142"/>
      <c r="W415" s="1142"/>
      <c r="X415" s="1437"/>
      <c r="Y415" s="1142"/>
      <c r="Z415" s="1142"/>
      <c r="AA415" s="1142"/>
      <c r="AB415" s="1142"/>
      <c r="AC415" s="1142"/>
      <c r="AD415" s="1142"/>
      <c r="AE415" s="1142"/>
      <c r="AF415" s="1142"/>
      <c r="AG415" s="1142"/>
      <c r="AH415" s="1142"/>
      <c r="AI415" s="1142"/>
      <c r="AJ415" s="1564"/>
      <c r="AK415" s="1142"/>
      <c r="AL415" s="1142"/>
      <c r="AM415" s="1142"/>
      <c r="AN415" s="1142"/>
      <c r="AO415" s="1149"/>
      <c r="AP415" s="1142"/>
      <c r="AQ415" s="1149"/>
      <c r="AR415" s="1142"/>
      <c r="AS415" s="1142"/>
      <c r="AT415" s="1142"/>
      <c r="AU415" s="1142"/>
      <c r="AV415" s="1142"/>
      <c r="AW415" s="1142"/>
      <c r="AX415" s="1142"/>
      <c r="AY415" s="1142"/>
      <c r="AZ415" s="1142"/>
      <c r="BA415" s="1142"/>
      <c r="BB415" s="1142"/>
      <c r="BC415" s="1142"/>
      <c r="BD415" s="1437"/>
      <c r="BE415" s="1478"/>
      <c r="BF415" s="1070"/>
    </row>
    <row r="416" spans="1:58" x14ac:dyDescent="0.3">
      <c r="A416" s="1527"/>
      <c r="B416" s="1142"/>
      <c r="C416" s="1142"/>
      <c r="D416" s="1142"/>
      <c r="E416" s="1142"/>
      <c r="F416" s="1142"/>
      <c r="G416" s="1142"/>
      <c r="H416" s="1142"/>
      <c r="I416" s="1142"/>
      <c r="J416" s="1142"/>
      <c r="K416" s="1149"/>
      <c r="L416" s="1142"/>
      <c r="M416" s="1142"/>
      <c r="N416" s="1142"/>
      <c r="O416" s="1142"/>
      <c r="P416" s="1142"/>
      <c r="Q416" s="1142"/>
      <c r="R416" s="1142"/>
      <c r="S416" s="1142"/>
      <c r="T416" s="1142"/>
      <c r="U416" s="1142"/>
      <c r="V416" s="1142"/>
      <c r="W416" s="1142"/>
      <c r="X416" s="1437"/>
      <c r="Y416" s="1142"/>
      <c r="Z416" s="1142"/>
      <c r="AA416" s="1142"/>
      <c r="AB416" s="1142"/>
      <c r="AC416" s="1142"/>
      <c r="AD416" s="1142"/>
      <c r="AE416" s="1142"/>
      <c r="AF416" s="1142"/>
      <c r="AG416" s="1142"/>
      <c r="AH416" s="1142"/>
      <c r="AI416" s="1142"/>
      <c r="AJ416" s="1564"/>
      <c r="AK416" s="1142"/>
      <c r="AL416" s="1142"/>
      <c r="AM416" s="1142"/>
      <c r="AN416" s="1142"/>
      <c r="AO416" s="1149"/>
      <c r="AP416" s="1142"/>
      <c r="AQ416" s="1149"/>
      <c r="AR416" s="1142"/>
      <c r="AS416" s="1142"/>
      <c r="AT416" s="1142"/>
      <c r="AU416" s="1142"/>
      <c r="AV416" s="1142"/>
      <c r="AW416" s="1142"/>
      <c r="AX416" s="1142"/>
      <c r="AY416" s="1142"/>
      <c r="AZ416" s="1142"/>
      <c r="BA416" s="1142"/>
      <c r="BB416" s="1142"/>
      <c r="BC416" s="1142"/>
      <c r="BD416" s="1437"/>
      <c r="BE416" s="1478"/>
      <c r="BF416" s="1070"/>
    </row>
    <row r="417" spans="1:58" x14ac:dyDescent="0.3">
      <c r="A417" s="1527"/>
      <c r="B417" s="1142"/>
      <c r="C417" s="1142"/>
      <c r="D417" s="1142"/>
      <c r="E417" s="1142"/>
      <c r="F417" s="1142"/>
      <c r="G417" s="1142"/>
      <c r="H417" s="1142"/>
      <c r="I417" s="1142"/>
      <c r="J417" s="1142"/>
      <c r="K417" s="1149"/>
      <c r="L417" s="1234"/>
      <c r="M417" s="3258" t="str">
        <f>Comp</f>
        <v>Def Exit</v>
      </c>
      <c r="N417" s="3260"/>
      <c r="O417" s="3258" t="s">
        <v>1335</v>
      </c>
      <c r="P417" s="3260"/>
      <c r="Q417" s="1234"/>
      <c r="R417" s="2952" t="s">
        <v>1185</v>
      </c>
      <c r="S417" s="2952"/>
      <c r="T417" s="2952"/>
      <c r="U417" s="2952"/>
      <c r="V417" s="2952"/>
      <c r="W417" s="2952"/>
      <c r="X417" s="1678"/>
      <c r="Y417" s="1142"/>
      <c r="Z417" s="1142"/>
      <c r="AA417" s="1142"/>
      <c r="AB417" s="1142"/>
      <c r="AC417" s="1142"/>
      <c r="AD417" s="1142"/>
      <c r="AE417" s="1142"/>
      <c r="AF417" s="1142"/>
      <c r="AG417" s="1142"/>
      <c r="AH417" s="1142"/>
      <c r="AI417" s="1142"/>
      <c r="AJ417" s="1564"/>
      <c r="AK417" s="1142"/>
      <c r="AL417" s="1142"/>
      <c r="AM417" s="1142"/>
      <c r="AN417" s="1142"/>
      <c r="AO417" s="1149"/>
      <c r="AP417" s="1142"/>
      <c r="AQ417" s="1149"/>
      <c r="AR417" s="1142"/>
      <c r="AS417" s="3258" t="str">
        <f>Comp</f>
        <v>Def Exit</v>
      </c>
      <c r="AT417" s="3260"/>
      <c r="AU417" s="3258" t="s">
        <v>1335</v>
      </c>
      <c r="AV417" s="3260"/>
      <c r="AW417" s="1234"/>
      <c r="AX417" s="2952" t="s">
        <v>1185</v>
      </c>
      <c r="AY417" s="2952"/>
      <c r="AZ417" s="2952"/>
      <c r="BA417" s="2952"/>
      <c r="BB417" s="2952"/>
      <c r="BC417" s="2952"/>
      <c r="BD417" s="1678"/>
      <c r="BE417" s="1478"/>
      <c r="BF417" s="1070"/>
    </row>
    <row r="418" spans="1:58" x14ac:dyDescent="0.3">
      <c r="A418" s="1527"/>
      <c r="B418" s="1142"/>
      <c r="C418" s="1142"/>
      <c r="D418" s="1142"/>
      <c r="E418" s="1142"/>
      <c r="F418" s="1142"/>
      <c r="G418" s="1142"/>
      <c r="H418" s="1142"/>
      <c r="I418" s="1142"/>
      <c r="J418" s="1142"/>
      <c r="K418" s="1149"/>
      <c r="L418" s="1234"/>
      <c r="M418" s="2953" t="s">
        <v>1754</v>
      </c>
      <c r="N418" s="2953" t="e">
        <f>"FY"&amp;DefExitFY&amp;"-"&amp;DefExitFY+9</f>
        <v>#VALUE!</v>
      </c>
      <c r="O418" s="2953" t="s">
        <v>1754</v>
      </c>
      <c r="P418" s="2953" t="s">
        <v>1754</v>
      </c>
      <c r="Q418" s="1234"/>
      <c r="R418" s="1234"/>
      <c r="S418" s="1234"/>
      <c r="T418" s="1234"/>
      <c r="U418" s="1234"/>
      <c r="V418" s="1234"/>
      <c r="W418" s="1234"/>
      <c r="X418" s="1678"/>
      <c r="Y418" s="1142"/>
      <c r="Z418" s="1142"/>
      <c r="AA418" s="1142"/>
      <c r="AB418" s="1142"/>
      <c r="AC418" s="1142"/>
      <c r="AD418" s="1142"/>
      <c r="AE418" s="1142"/>
      <c r="AF418" s="1142"/>
      <c r="AG418" s="1142"/>
      <c r="AH418" s="1142"/>
      <c r="AI418" s="1142"/>
      <c r="AJ418" s="1564"/>
      <c r="AK418" s="1142"/>
      <c r="AL418" s="1142"/>
      <c r="AM418" s="1142"/>
      <c r="AN418" s="1142"/>
      <c r="AO418" s="1149"/>
      <c r="AP418" s="1142"/>
      <c r="AQ418" s="1149"/>
      <c r="AR418" s="1142"/>
      <c r="AS418" s="2953" t="s">
        <v>1755</v>
      </c>
      <c r="AT418" s="2953" t="e">
        <f>"FY"&amp;DefExitFY&amp;"-"&amp;DefExitFY+14</f>
        <v>#VALUE!</v>
      </c>
      <c r="AU418" s="2953" t="s">
        <v>1755</v>
      </c>
      <c r="AV418" s="2953" t="s">
        <v>1755</v>
      </c>
      <c r="AW418" s="1234"/>
      <c r="AX418" s="1234"/>
      <c r="AY418" s="1234"/>
      <c r="AZ418" s="1234"/>
      <c r="BA418" s="1234"/>
      <c r="BB418" s="1234"/>
      <c r="BC418" s="1234"/>
      <c r="BD418" s="1678"/>
      <c r="BE418" s="1478"/>
      <c r="BF418" s="1070"/>
    </row>
    <row r="419" spans="1:58" x14ac:dyDescent="0.3">
      <c r="A419" s="1527"/>
      <c r="B419" s="1142"/>
      <c r="C419" s="1142"/>
      <c r="D419" s="1142"/>
      <c r="E419" s="1142"/>
      <c r="F419" s="1142"/>
      <c r="G419" s="1142"/>
      <c r="H419" s="1142"/>
      <c r="I419" s="1142"/>
      <c r="J419" s="1142"/>
      <c r="K419" s="1149"/>
      <c r="L419" s="2953" t="s">
        <v>1756</v>
      </c>
      <c r="M419" s="2954" t="s">
        <v>1265</v>
      </c>
      <c r="N419" s="2955" t="s">
        <v>1495</v>
      </c>
      <c r="O419" s="2956" t="s">
        <v>1757</v>
      </c>
      <c r="P419" s="2957" t="s">
        <v>1758</v>
      </c>
      <c r="Q419" s="1234"/>
      <c r="R419" s="1234"/>
      <c r="S419" s="1234"/>
      <c r="T419" s="1234"/>
      <c r="U419" s="1234"/>
      <c r="V419" s="1234"/>
      <c r="W419" s="1234"/>
      <c r="X419" s="1678"/>
      <c r="Y419" s="1142"/>
      <c r="Z419" s="1142"/>
      <c r="AA419" s="1142"/>
      <c r="AB419" s="1142"/>
      <c r="AC419" s="1142"/>
      <c r="AD419" s="1142"/>
      <c r="AE419" s="1142"/>
      <c r="AF419" s="1142"/>
      <c r="AG419" s="1142"/>
      <c r="AH419" s="1142"/>
      <c r="AI419" s="1142"/>
      <c r="AJ419" s="1564"/>
      <c r="AK419" s="1142"/>
      <c r="AL419" s="1142"/>
      <c r="AM419" s="1142"/>
      <c r="AN419" s="1142"/>
      <c r="AO419" s="1149"/>
      <c r="AP419" s="1142"/>
      <c r="AQ419" s="1149"/>
      <c r="AR419" s="1165" t="s">
        <v>1756</v>
      </c>
      <c r="AS419" s="2954" t="s">
        <v>1265</v>
      </c>
      <c r="AT419" s="2955" t="s">
        <v>1495</v>
      </c>
      <c r="AU419" s="2956" t="s">
        <v>1757</v>
      </c>
      <c r="AV419" s="2957" t="s">
        <v>1758</v>
      </c>
      <c r="AW419" s="1234"/>
      <c r="AX419" s="1234"/>
      <c r="AY419" s="1234"/>
      <c r="AZ419" s="1234"/>
      <c r="BA419" s="1234"/>
      <c r="BB419" s="1234"/>
      <c r="BC419" s="1234"/>
      <c r="BD419" s="1678"/>
      <c r="BE419" s="1478"/>
      <c r="BF419" s="1070"/>
    </row>
    <row r="420" spans="1:58" x14ac:dyDescent="0.3">
      <c r="A420" s="1527"/>
      <c r="B420" s="1142"/>
      <c r="C420" s="1142"/>
      <c r="D420" s="1142"/>
      <c r="E420" s="1142"/>
      <c r="F420" s="1142"/>
      <c r="G420" s="1142"/>
      <c r="H420" s="1142"/>
      <c r="I420" s="1142"/>
      <c r="J420" s="1142"/>
      <c r="K420" s="1149" t="e">
        <f>DefExitFY</f>
        <v>#VALUE!</v>
      </c>
      <c r="L420" s="2958" t="e">
        <f t="shared" ref="L420:L433" si="398">"FY"&amp;K420</f>
        <v>#VALUE!</v>
      </c>
      <c r="M420" s="2959" t="e">
        <f t="shared" ref="M420:M433" si="399">VLOOKUP(K420,$G$397:$I$409,2,0)/1000</f>
        <v>#VALUE!</v>
      </c>
      <c r="N420" s="2960"/>
      <c r="O420" s="2961"/>
      <c r="P420" s="2962"/>
      <c r="Q420" s="1234"/>
      <c r="R420" s="1234"/>
      <c r="S420" s="1234"/>
      <c r="T420" s="1234"/>
      <c r="U420" s="1234"/>
      <c r="V420" s="1234"/>
      <c r="W420" s="1234"/>
      <c r="X420" s="1678"/>
      <c r="Y420" s="1142"/>
      <c r="Z420" s="1142"/>
      <c r="AA420" s="1142"/>
      <c r="AB420" s="1142"/>
      <c r="AC420" s="1142"/>
      <c r="AD420" s="1142"/>
      <c r="AE420" s="1142"/>
      <c r="AF420" s="1142"/>
      <c r="AG420" s="1142"/>
      <c r="AH420" s="1142"/>
      <c r="AI420" s="1142"/>
      <c r="AJ420" s="1564"/>
      <c r="AK420" s="1142"/>
      <c r="AL420" s="1142"/>
      <c r="AM420" s="1142"/>
      <c r="AN420" s="1142"/>
      <c r="AO420" s="1149"/>
      <c r="AP420" s="1142"/>
      <c r="AQ420" s="1149" t="e">
        <f>DefExitFY</f>
        <v>#VALUE!</v>
      </c>
      <c r="AR420" s="1163" t="e">
        <f t="shared" ref="AR420:AR433" si="400">"FY"&amp;AQ420</f>
        <v>#VALUE!</v>
      </c>
      <c r="AS420" s="2959" t="e">
        <f t="shared" ref="AS420:AS433" si="401">VLOOKUP(AQ420,$G$397:$I$409,3,0)/1000</f>
        <v>#VALUE!</v>
      </c>
      <c r="AT420" s="2960"/>
      <c r="AU420" s="2961"/>
      <c r="AV420" s="2962"/>
      <c r="AW420" s="1234"/>
      <c r="AX420" s="1234"/>
      <c r="AY420" s="1234"/>
      <c r="AZ420" s="1234"/>
      <c r="BA420" s="1234"/>
      <c r="BB420" s="1234"/>
      <c r="BC420" s="1234"/>
      <c r="BD420" s="1678"/>
      <c r="BE420" s="1478"/>
      <c r="BF420" s="1070"/>
    </row>
    <row r="421" spans="1:58" x14ac:dyDescent="0.3">
      <c r="A421" s="1527"/>
      <c r="B421" s="1142"/>
      <c r="C421" s="1142"/>
      <c r="D421" s="1142"/>
      <c r="E421" s="1142"/>
      <c r="F421" s="1142"/>
      <c r="G421" s="1142"/>
      <c r="H421" s="1142"/>
      <c r="I421" s="1142"/>
      <c r="J421" s="1142"/>
      <c r="K421" s="1149" t="e">
        <f>K420+1</f>
        <v>#VALUE!</v>
      </c>
      <c r="L421" s="2963" t="e">
        <f t="shared" si="398"/>
        <v>#VALUE!</v>
      </c>
      <c r="M421" s="2964" t="e">
        <f t="shared" si="399"/>
        <v>#VALUE!</v>
      </c>
      <c r="N421" s="2965"/>
      <c r="O421" s="2966"/>
      <c r="P421" s="2967"/>
      <c r="Q421" s="1234"/>
      <c r="R421" s="1234"/>
      <c r="S421" s="1234"/>
      <c r="T421" s="1234"/>
      <c r="U421" s="1234"/>
      <c r="V421" s="1234"/>
      <c r="W421" s="1234"/>
      <c r="X421" s="1678"/>
      <c r="Y421" s="1142"/>
      <c r="Z421" s="1142"/>
      <c r="AA421" s="1142"/>
      <c r="AB421" s="1142"/>
      <c r="AC421" s="1142"/>
      <c r="AD421" s="1142"/>
      <c r="AE421" s="1142"/>
      <c r="AF421" s="1142"/>
      <c r="AG421" s="1142"/>
      <c r="AH421" s="1142"/>
      <c r="AI421" s="1142"/>
      <c r="AJ421" s="1564"/>
      <c r="AK421" s="1142"/>
      <c r="AL421" s="1142"/>
      <c r="AM421" s="1142"/>
      <c r="AN421" s="1142"/>
      <c r="AO421" s="1149"/>
      <c r="AP421" s="1142"/>
      <c r="AQ421" s="1149" t="e">
        <f>AQ420+1</f>
        <v>#VALUE!</v>
      </c>
      <c r="AR421" s="1166" t="e">
        <f t="shared" si="400"/>
        <v>#VALUE!</v>
      </c>
      <c r="AS421" s="2964" t="e">
        <f t="shared" si="401"/>
        <v>#VALUE!</v>
      </c>
      <c r="AT421" s="2965"/>
      <c r="AU421" s="2966"/>
      <c r="AV421" s="2967"/>
      <c r="AW421" s="1234"/>
      <c r="AX421" s="1234"/>
      <c r="AY421" s="1234"/>
      <c r="AZ421" s="1234"/>
      <c r="BA421" s="1234"/>
      <c r="BB421" s="1234"/>
      <c r="BC421" s="1234"/>
      <c r="BD421" s="1678"/>
      <c r="BE421" s="1478"/>
      <c r="BF421" s="1070"/>
    </row>
    <row r="422" spans="1:58" x14ac:dyDescent="0.3">
      <c r="A422" s="1527"/>
      <c r="B422" s="1142"/>
      <c r="C422" s="1142"/>
      <c r="D422" s="1142"/>
      <c r="E422" s="1142"/>
      <c r="F422" s="1142"/>
      <c r="G422" s="1142"/>
      <c r="H422" s="1142"/>
      <c r="I422" s="1142"/>
      <c r="J422" s="1142"/>
      <c r="K422" s="1149" t="e">
        <f t="shared" ref="K422:K433" si="402">K421+1</f>
        <v>#VALUE!</v>
      </c>
      <c r="L422" s="2963" t="e">
        <f t="shared" si="398"/>
        <v>#VALUE!</v>
      </c>
      <c r="M422" s="2964" t="e">
        <f t="shared" si="399"/>
        <v>#VALUE!</v>
      </c>
      <c r="N422" s="2965"/>
      <c r="O422" s="2966"/>
      <c r="P422" s="2967"/>
      <c r="Q422" s="1234"/>
      <c r="R422" s="1234"/>
      <c r="S422" s="1234"/>
      <c r="T422" s="1234"/>
      <c r="U422" s="1234"/>
      <c r="V422" s="1234"/>
      <c r="W422" s="1234"/>
      <c r="X422" s="1678"/>
      <c r="Y422" s="1142"/>
      <c r="Z422" s="1142"/>
      <c r="AA422" s="1142"/>
      <c r="AB422" s="1142"/>
      <c r="AC422" s="1142"/>
      <c r="AD422" s="1142"/>
      <c r="AE422" s="1142"/>
      <c r="AF422" s="1142"/>
      <c r="AG422" s="1142"/>
      <c r="AH422" s="1142"/>
      <c r="AI422" s="1142"/>
      <c r="AJ422" s="1564"/>
      <c r="AK422" s="1142"/>
      <c r="AL422" s="1142"/>
      <c r="AM422" s="1142"/>
      <c r="AN422" s="1142"/>
      <c r="AO422" s="1149"/>
      <c r="AP422" s="1142"/>
      <c r="AQ422" s="1149" t="e">
        <f t="shared" ref="AQ422:AQ433" si="403">AQ421+1</f>
        <v>#VALUE!</v>
      </c>
      <c r="AR422" s="1166" t="e">
        <f t="shared" si="400"/>
        <v>#VALUE!</v>
      </c>
      <c r="AS422" s="2964" t="e">
        <f t="shared" si="401"/>
        <v>#VALUE!</v>
      </c>
      <c r="AT422" s="2965"/>
      <c r="AU422" s="2966"/>
      <c r="AV422" s="2967"/>
      <c r="AW422" s="1234"/>
      <c r="AX422" s="1234"/>
      <c r="AY422" s="1234"/>
      <c r="AZ422" s="1234"/>
      <c r="BA422" s="1234"/>
      <c r="BB422" s="1234"/>
      <c r="BC422" s="1234"/>
      <c r="BD422" s="1678"/>
      <c r="BE422" s="1478"/>
      <c r="BF422" s="1070"/>
    </row>
    <row r="423" spans="1:58" x14ac:dyDescent="0.3">
      <c r="A423" s="1527"/>
      <c r="B423" s="1142"/>
      <c r="C423" s="1142"/>
      <c r="D423" s="1142"/>
      <c r="E423" s="1142"/>
      <c r="F423" s="1142"/>
      <c r="G423" s="1142"/>
      <c r="H423" s="1142"/>
      <c r="I423" s="1142"/>
      <c r="J423" s="1142"/>
      <c r="K423" s="1149" t="e">
        <f t="shared" si="402"/>
        <v>#VALUE!</v>
      </c>
      <c r="L423" s="2963" t="e">
        <f t="shared" si="398"/>
        <v>#VALUE!</v>
      </c>
      <c r="M423" s="2964" t="e">
        <f t="shared" si="399"/>
        <v>#VALUE!</v>
      </c>
      <c r="N423" s="2965"/>
      <c r="O423" s="2966"/>
      <c r="P423" s="2967"/>
      <c r="Q423" s="1234"/>
      <c r="R423" s="1234"/>
      <c r="S423" s="1234"/>
      <c r="T423" s="1234"/>
      <c r="U423" s="1234"/>
      <c r="V423" s="1234"/>
      <c r="W423" s="1234"/>
      <c r="X423" s="1678"/>
      <c r="Y423" s="1142"/>
      <c r="Z423" s="1142"/>
      <c r="AA423" s="1142"/>
      <c r="AB423" s="1142"/>
      <c r="AC423" s="1142"/>
      <c r="AD423" s="1142"/>
      <c r="AE423" s="1142"/>
      <c r="AF423" s="1142"/>
      <c r="AG423" s="1142"/>
      <c r="AH423" s="1142"/>
      <c r="AI423" s="1142"/>
      <c r="AJ423" s="1564"/>
      <c r="AK423" s="1142"/>
      <c r="AL423" s="1142"/>
      <c r="AM423" s="1142"/>
      <c r="AN423" s="1142"/>
      <c r="AO423" s="1149"/>
      <c r="AP423" s="1142"/>
      <c r="AQ423" s="1149" t="e">
        <f t="shared" si="403"/>
        <v>#VALUE!</v>
      </c>
      <c r="AR423" s="1166" t="e">
        <f t="shared" si="400"/>
        <v>#VALUE!</v>
      </c>
      <c r="AS423" s="2964" t="e">
        <f t="shared" si="401"/>
        <v>#VALUE!</v>
      </c>
      <c r="AT423" s="2965"/>
      <c r="AU423" s="2966"/>
      <c r="AV423" s="2967"/>
      <c r="AW423" s="1234"/>
      <c r="AX423" s="1234"/>
      <c r="AY423" s="1234"/>
      <c r="AZ423" s="1234"/>
      <c r="BA423" s="1234"/>
      <c r="BB423" s="1234"/>
      <c r="BC423" s="1234"/>
      <c r="BD423" s="1678"/>
      <c r="BE423" s="1478"/>
      <c r="BF423" s="1070"/>
    </row>
    <row r="424" spans="1:58" x14ac:dyDescent="0.3">
      <c r="A424" s="1527"/>
      <c r="B424" s="1142"/>
      <c r="C424" s="1142"/>
      <c r="D424" s="1142"/>
      <c r="E424" s="1142"/>
      <c r="F424" s="1142"/>
      <c r="G424" s="1142"/>
      <c r="H424" s="1142"/>
      <c r="I424" s="1142"/>
      <c r="J424" s="1142"/>
      <c r="K424" s="1149" t="e">
        <f t="shared" si="402"/>
        <v>#VALUE!</v>
      </c>
      <c r="L424" s="2963" t="e">
        <f t="shared" si="398"/>
        <v>#VALUE!</v>
      </c>
      <c r="M424" s="2964" t="e">
        <f t="shared" si="399"/>
        <v>#VALUE!</v>
      </c>
      <c r="N424" s="2965"/>
      <c r="O424" s="2966"/>
      <c r="P424" s="2967"/>
      <c r="Q424" s="1234"/>
      <c r="R424" s="1234"/>
      <c r="S424" s="1234"/>
      <c r="T424" s="1234"/>
      <c r="U424" s="1234"/>
      <c r="V424" s="1234"/>
      <c r="W424" s="1234"/>
      <c r="X424" s="1678"/>
      <c r="Y424" s="1142"/>
      <c r="Z424" s="1142"/>
      <c r="AA424" s="1142"/>
      <c r="AB424" s="1142"/>
      <c r="AC424" s="1142"/>
      <c r="AD424" s="1142"/>
      <c r="AE424" s="1142"/>
      <c r="AF424" s="1142"/>
      <c r="AG424" s="1142"/>
      <c r="AH424" s="1142"/>
      <c r="AI424" s="1142"/>
      <c r="AJ424" s="1564"/>
      <c r="AK424" s="1142"/>
      <c r="AL424" s="1142"/>
      <c r="AM424" s="1142"/>
      <c r="AN424" s="1142"/>
      <c r="AO424" s="1149"/>
      <c r="AP424" s="1142"/>
      <c r="AQ424" s="1149" t="e">
        <f t="shared" si="403"/>
        <v>#VALUE!</v>
      </c>
      <c r="AR424" s="1166" t="e">
        <f t="shared" si="400"/>
        <v>#VALUE!</v>
      </c>
      <c r="AS424" s="2964" t="e">
        <f t="shared" si="401"/>
        <v>#VALUE!</v>
      </c>
      <c r="AT424" s="2965"/>
      <c r="AU424" s="2966"/>
      <c r="AV424" s="2967"/>
      <c r="AW424" s="1234"/>
      <c r="AX424" s="1234"/>
      <c r="AY424" s="1234"/>
      <c r="AZ424" s="1234"/>
      <c r="BA424" s="1234"/>
      <c r="BB424" s="1234"/>
      <c r="BC424" s="1234"/>
      <c r="BD424" s="1678"/>
      <c r="BE424" s="1478"/>
      <c r="BF424" s="1070"/>
    </row>
    <row r="425" spans="1:58" x14ac:dyDescent="0.3">
      <c r="A425" s="1527"/>
      <c r="B425" s="1142"/>
      <c r="C425" s="1142"/>
      <c r="D425" s="1142"/>
      <c r="E425" s="1142"/>
      <c r="F425" s="1142"/>
      <c r="G425" s="1142"/>
      <c r="H425" s="1142"/>
      <c r="I425" s="1142"/>
      <c r="J425" s="1142"/>
      <c r="K425" s="1149" t="e">
        <f t="shared" si="402"/>
        <v>#VALUE!</v>
      </c>
      <c r="L425" s="2963" t="e">
        <f t="shared" si="398"/>
        <v>#VALUE!</v>
      </c>
      <c r="M425" s="2964" t="e">
        <f t="shared" si="399"/>
        <v>#VALUE!</v>
      </c>
      <c r="N425" s="2965"/>
      <c r="O425" s="2966"/>
      <c r="P425" s="2967"/>
      <c r="Q425" s="1234"/>
      <c r="R425" s="1234"/>
      <c r="S425" s="1234"/>
      <c r="T425" s="1234"/>
      <c r="U425" s="1234"/>
      <c r="V425" s="1234"/>
      <c r="W425" s="1234"/>
      <c r="X425" s="1678"/>
      <c r="Y425" s="1142"/>
      <c r="Z425" s="1142"/>
      <c r="AA425" s="1142"/>
      <c r="AB425" s="1142"/>
      <c r="AC425" s="1142"/>
      <c r="AD425" s="1142"/>
      <c r="AE425" s="1142"/>
      <c r="AF425" s="1142"/>
      <c r="AG425" s="1142"/>
      <c r="AH425" s="1142"/>
      <c r="AI425" s="1142"/>
      <c r="AJ425" s="1564"/>
      <c r="AK425" s="1142"/>
      <c r="AL425" s="1142"/>
      <c r="AM425" s="1142"/>
      <c r="AN425" s="1142"/>
      <c r="AO425" s="1149"/>
      <c r="AP425" s="1142"/>
      <c r="AQ425" s="1149" t="e">
        <f t="shared" si="403"/>
        <v>#VALUE!</v>
      </c>
      <c r="AR425" s="1166" t="e">
        <f t="shared" si="400"/>
        <v>#VALUE!</v>
      </c>
      <c r="AS425" s="2964" t="e">
        <f t="shared" si="401"/>
        <v>#VALUE!</v>
      </c>
      <c r="AT425" s="2965"/>
      <c r="AU425" s="2966"/>
      <c r="AV425" s="2967"/>
      <c r="AW425" s="1234"/>
      <c r="AX425" s="1234"/>
      <c r="AY425" s="1234"/>
      <c r="AZ425" s="1234"/>
      <c r="BA425" s="1234"/>
      <c r="BB425" s="1234"/>
      <c r="BC425" s="1234"/>
      <c r="BD425" s="1678"/>
      <c r="BE425" s="1478"/>
      <c r="BF425" s="1070"/>
    </row>
    <row r="426" spans="1:58" x14ac:dyDescent="0.3">
      <c r="A426" s="1527"/>
      <c r="B426" s="1142"/>
      <c r="C426" s="1142"/>
      <c r="D426" s="1142"/>
      <c r="E426" s="1142"/>
      <c r="F426" s="1142"/>
      <c r="G426" s="1142"/>
      <c r="H426" s="1142"/>
      <c r="I426" s="1142"/>
      <c r="J426" s="1142"/>
      <c r="K426" s="1149" t="e">
        <f t="shared" si="402"/>
        <v>#VALUE!</v>
      </c>
      <c r="L426" s="2963" t="e">
        <f t="shared" si="398"/>
        <v>#VALUE!</v>
      </c>
      <c r="M426" s="2964" t="e">
        <f t="shared" si="399"/>
        <v>#VALUE!</v>
      </c>
      <c r="N426" s="2965"/>
      <c r="O426" s="2966"/>
      <c r="P426" s="2967"/>
      <c r="Q426" s="1234"/>
      <c r="R426" s="1234"/>
      <c r="S426" s="1234"/>
      <c r="T426" s="1234"/>
      <c r="U426" s="1234"/>
      <c r="V426" s="1234"/>
      <c r="W426" s="1234"/>
      <c r="X426" s="1678"/>
      <c r="Y426" s="1142"/>
      <c r="Z426" s="1142"/>
      <c r="AA426" s="1142"/>
      <c r="AB426" s="1142"/>
      <c r="AC426" s="1142"/>
      <c r="AD426" s="1142"/>
      <c r="AE426" s="1142"/>
      <c r="AF426" s="1142"/>
      <c r="AG426" s="1142"/>
      <c r="AH426" s="1142"/>
      <c r="AI426" s="1142"/>
      <c r="AJ426" s="1564"/>
      <c r="AK426" s="1142"/>
      <c r="AL426" s="1142"/>
      <c r="AM426" s="1142"/>
      <c r="AN426" s="1142"/>
      <c r="AO426" s="1149"/>
      <c r="AP426" s="1142"/>
      <c r="AQ426" s="1149" t="e">
        <f t="shared" si="403"/>
        <v>#VALUE!</v>
      </c>
      <c r="AR426" s="1166" t="e">
        <f t="shared" si="400"/>
        <v>#VALUE!</v>
      </c>
      <c r="AS426" s="2964" t="e">
        <f t="shared" si="401"/>
        <v>#VALUE!</v>
      </c>
      <c r="AT426" s="2965"/>
      <c r="AU426" s="2966"/>
      <c r="AV426" s="2967"/>
      <c r="AW426" s="1234"/>
      <c r="AX426" s="1234"/>
      <c r="AY426" s="1234"/>
      <c r="AZ426" s="1234"/>
      <c r="BA426" s="1234"/>
      <c r="BB426" s="1234"/>
      <c r="BC426" s="1234"/>
      <c r="BD426" s="1678"/>
      <c r="BE426" s="1478"/>
      <c r="BF426" s="1070"/>
    </row>
    <row r="427" spans="1:58" x14ac:dyDescent="0.3">
      <c r="A427" s="1527"/>
      <c r="B427" s="1142"/>
      <c r="C427" s="1142"/>
      <c r="D427" s="1142"/>
      <c r="E427" s="1142"/>
      <c r="F427" s="1142"/>
      <c r="G427" s="1142"/>
      <c r="H427" s="1142"/>
      <c r="I427" s="1142"/>
      <c r="J427" s="1142"/>
      <c r="K427" s="1149" t="e">
        <f t="shared" si="402"/>
        <v>#VALUE!</v>
      </c>
      <c r="L427" s="2963" t="e">
        <f t="shared" si="398"/>
        <v>#VALUE!</v>
      </c>
      <c r="M427" s="2964" t="e">
        <f t="shared" si="399"/>
        <v>#VALUE!</v>
      </c>
      <c r="N427" s="2965"/>
      <c r="O427" s="2966"/>
      <c r="P427" s="2967"/>
      <c r="Q427" s="1234"/>
      <c r="R427" s="1234"/>
      <c r="S427" s="1234"/>
      <c r="T427" s="1234"/>
      <c r="U427" s="1234"/>
      <c r="V427" s="1234"/>
      <c r="W427" s="1234"/>
      <c r="X427" s="1678"/>
      <c r="Y427" s="1142"/>
      <c r="Z427" s="1142"/>
      <c r="AA427" s="1142"/>
      <c r="AB427" s="1142"/>
      <c r="AC427" s="1142"/>
      <c r="AD427" s="1142"/>
      <c r="AE427" s="1142"/>
      <c r="AF427" s="1142"/>
      <c r="AG427" s="1142"/>
      <c r="AH427" s="1142"/>
      <c r="AI427" s="1142"/>
      <c r="AJ427" s="1564"/>
      <c r="AK427" s="1142"/>
      <c r="AL427" s="1142"/>
      <c r="AM427" s="1142"/>
      <c r="AN427" s="1142"/>
      <c r="AO427" s="1149"/>
      <c r="AP427" s="1142"/>
      <c r="AQ427" s="1149" t="e">
        <f t="shared" si="403"/>
        <v>#VALUE!</v>
      </c>
      <c r="AR427" s="1166" t="e">
        <f t="shared" si="400"/>
        <v>#VALUE!</v>
      </c>
      <c r="AS427" s="2964" t="e">
        <f t="shared" si="401"/>
        <v>#VALUE!</v>
      </c>
      <c r="AT427" s="2965"/>
      <c r="AU427" s="2966"/>
      <c r="AV427" s="2967"/>
      <c r="AW427" s="1234"/>
      <c r="AX427" s="1234"/>
      <c r="AY427" s="1234"/>
      <c r="AZ427" s="1234"/>
      <c r="BA427" s="1234"/>
      <c r="BB427" s="1234"/>
      <c r="BC427" s="1234"/>
      <c r="BD427" s="1678"/>
      <c r="BE427" s="1478"/>
      <c r="BF427" s="1070"/>
    </row>
    <row r="428" spans="1:58" x14ac:dyDescent="0.3">
      <c r="A428" s="1527"/>
      <c r="B428" s="1142"/>
      <c r="C428" s="1142"/>
      <c r="D428" s="1142"/>
      <c r="E428" s="1142"/>
      <c r="F428" s="1142"/>
      <c r="G428" s="1142"/>
      <c r="H428" s="1142"/>
      <c r="I428" s="1142"/>
      <c r="J428" s="1142"/>
      <c r="K428" s="1149" t="e">
        <f t="shared" si="402"/>
        <v>#VALUE!</v>
      </c>
      <c r="L428" s="2963" t="e">
        <f t="shared" si="398"/>
        <v>#VALUE!</v>
      </c>
      <c r="M428" s="2964" t="e">
        <f t="shared" si="399"/>
        <v>#VALUE!</v>
      </c>
      <c r="N428" s="2965"/>
      <c r="O428" s="2966"/>
      <c r="P428" s="2967"/>
      <c r="Q428" s="1234"/>
      <c r="R428" s="1234"/>
      <c r="S428" s="1234"/>
      <c r="T428" s="1234"/>
      <c r="U428" s="1234"/>
      <c r="V428" s="1234"/>
      <c r="W428" s="1234"/>
      <c r="X428" s="1678"/>
      <c r="Y428" s="1142"/>
      <c r="Z428" s="1142"/>
      <c r="AA428" s="1142"/>
      <c r="AB428" s="1142"/>
      <c r="AC428" s="1142"/>
      <c r="AD428" s="1142"/>
      <c r="AE428" s="1142"/>
      <c r="AF428" s="1142"/>
      <c r="AG428" s="1142"/>
      <c r="AH428" s="1142"/>
      <c r="AI428" s="1142"/>
      <c r="AJ428" s="1564"/>
      <c r="AK428" s="1142"/>
      <c r="AL428" s="1142"/>
      <c r="AM428" s="1142"/>
      <c r="AN428" s="1142"/>
      <c r="AO428" s="1149"/>
      <c r="AP428" s="1142"/>
      <c r="AQ428" s="1149" t="e">
        <f t="shared" si="403"/>
        <v>#VALUE!</v>
      </c>
      <c r="AR428" s="1166" t="e">
        <f t="shared" si="400"/>
        <v>#VALUE!</v>
      </c>
      <c r="AS428" s="2964" t="e">
        <f t="shared" si="401"/>
        <v>#VALUE!</v>
      </c>
      <c r="AT428" s="2965"/>
      <c r="AU428" s="2966"/>
      <c r="AV428" s="2967"/>
      <c r="AW428" s="1234"/>
      <c r="AX428" s="1234"/>
      <c r="AY428" s="1234"/>
      <c r="AZ428" s="1234"/>
      <c r="BA428" s="1234"/>
      <c r="BB428" s="1234"/>
      <c r="BC428" s="1234"/>
      <c r="BD428" s="1678"/>
      <c r="BE428" s="1478"/>
      <c r="BF428" s="1070"/>
    </row>
    <row r="429" spans="1:58" x14ac:dyDescent="0.3">
      <c r="A429" s="1527"/>
      <c r="B429" s="1142"/>
      <c r="C429" s="1142"/>
      <c r="D429" s="1142"/>
      <c r="E429" s="1142"/>
      <c r="F429" s="1142"/>
      <c r="G429" s="1142"/>
      <c r="H429" s="1142"/>
      <c r="I429" s="1142"/>
      <c r="J429" s="1142"/>
      <c r="K429" s="1149" t="e">
        <f t="shared" si="402"/>
        <v>#VALUE!</v>
      </c>
      <c r="L429" s="2963" t="e">
        <f t="shared" si="398"/>
        <v>#VALUE!</v>
      </c>
      <c r="M429" s="2964" t="e">
        <f t="shared" si="399"/>
        <v>#VALUE!</v>
      </c>
      <c r="N429" s="2965"/>
      <c r="O429" s="2966"/>
      <c r="P429" s="2967"/>
      <c r="Q429" s="1234"/>
      <c r="R429" s="1234"/>
      <c r="S429" s="1234"/>
      <c r="T429" s="1234"/>
      <c r="U429" s="1234"/>
      <c r="V429" s="1234"/>
      <c r="W429" s="1234"/>
      <c r="X429" s="1678"/>
      <c r="Y429" s="1142"/>
      <c r="Z429" s="1142"/>
      <c r="AA429" s="1142"/>
      <c r="AB429" s="1142"/>
      <c r="AC429" s="1142"/>
      <c r="AD429" s="1142"/>
      <c r="AE429" s="1142"/>
      <c r="AF429" s="1142"/>
      <c r="AG429" s="1142"/>
      <c r="AH429" s="1142"/>
      <c r="AI429" s="1142"/>
      <c r="AJ429" s="1564"/>
      <c r="AK429" s="1142"/>
      <c r="AL429" s="1142"/>
      <c r="AM429" s="1142"/>
      <c r="AN429" s="1142"/>
      <c r="AO429" s="1149"/>
      <c r="AP429" s="1142"/>
      <c r="AQ429" s="1149" t="e">
        <f t="shared" si="403"/>
        <v>#VALUE!</v>
      </c>
      <c r="AR429" s="1166" t="e">
        <f t="shared" si="400"/>
        <v>#VALUE!</v>
      </c>
      <c r="AS429" s="2964" t="e">
        <f t="shared" si="401"/>
        <v>#VALUE!</v>
      </c>
      <c r="AT429" s="2965"/>
      <c r="AU429" s="2966"/>
      <c r="AV429" s="2967"/>
      <c r="AW429" s="1234"/>
      <c r="AX429" s="1234"/>
      <c r="AY429" s="1234"/>
      <c r="AZ429" s="1234"/>
      <c r="BA429" s="1234"/>
      <c r="BB429" s="1234"/>
      <c r="BC429" s="1234"/>
      <c r="BD429" s="1678"/>
      <c r="BE429" s="1478"/>
      <c r="BF429" s="1070"/>
    </row>
    <row r="430" spans="1:58" x14ac:dyDescent="0.3">
      <c r="A430" s="1527"/>
      <c r="B430" s="1142"/>
      <c r="C430" s="1142"/>
      <c r="D430" s="1142"/>
      <c r="E430" s="1142"/>
      <c r="F430" s="1142"/>
      <c r="G430" s="1142"/>
      <c r="H430" s="1142"/>
      <c r="I430" s="1142"/>
      <c r="J430" s="1142"/>
      <c r="K430" s="1149" t="e">
        <f t="shared" si="402"/>
        <v>#VALUE!</v>
      </c>
      <c r="L430" s="2963" t="e">
        <f t="shared" si="398"/>
        <v>#VALUE!</v>
      </c>
      <c r="M430" s="2964" t="e">
        <f t="shared" si="399"/>
        <v>#VALUE!</v>
      </c>
      <c r="N430" s="2965"/>
      <c r="O430" s="2966"/>
      <c r="P430" s="2967"/>
      <c r="Q430" s="1234"/>
      <c r="R430" s="1234"/>
      <c r="S430" s="1234"/>
      <c r="T430" s="1234"/>
      <c r="U430" s="1234"/>
      <c r="V430" s="1234"/>
      <c r="W430" s="1234"/>
      <c r="X430" s="1678"/>
      <c r="Y430" s="1142"/>
      <c r="Z430" s="1142"/>
      <c r="AA430" s="1142"/>
      <c r="AB430" s="1142"/>
      <c r="AC430" s="1142"/>
      <c r="AD430" s="1142"/>
      <c r="AE430" s="1142"/>
      <c r="AF430" s="1142"/>
      <c r="AG430" s="1142"/>
      <c r="AH430" s="1142"/>
      <c r="AI430" s="1142"/>
      <c r="AJ430" s="1564"/>
      <c r="AK430" s="1142"/>
      <c r="AL430" s="1142"/>
      <c r="AM430" s="1142"/>
      <c r="AN430" s="1142"/>
      <c r="AO430" s="1149"/>
      <c r="AP430" s="1142"/>
      <c r="AQ430" s="1149" t="e">
        <f t="shared" si="403"/>
        <v>#VALUE!</v>
      </c>
      <c r="AR430" s="1166" t="e">
        <f t="shared" si="400"/>
        <v>#VALUE!</v>
      </c>
      <c r="AS430" s="2964" t="e">
        <f t="shared" si="401"/>
        <v>#VALUE!</v>
      </c>
      <c r="AT430" s="2965"/>
      <c r="AU430" s="2966"/>
      <c r="AV430" s="2967"/>
      <c r="AW430" s="1234"/>
      <c r="AX430" s="1234"/>
      <c r="AY430" s="1234"/>
      <c r="AZ430" s="1234"/>
      <c r="BA430" s="1234"/>
      <c r="BB430" s="1234"/>
      <c r="BC430" s="1234"/>
      <c r="BD430" s="1678"/>
      <c r="BE430" s="1478"/>
      <c r="BF430" s="1070"/>
    </row>
    <row r="431" spans="1:58" x14ac:dyDescent="0.3">
      <c r="A431" s="1527"/>
      <c r="B431" s="1142"/>
      <c r="C431" s="1142"/>
      <c r="D431" s="1142"/>
      <c r="E431" s="1142"/>
      <c r="F431" s="1142"/>
      <c r="G431" s="1142"/>
      <c r="H431" s="1142"/>
      <c r="I431" s="1142"/>
      <c r="J431" s="1142"/>
      <c r="K431" s="1149" t="e">
        <f t="shared" si="402"/>
        <v>#VALUE!</v>
      </c>
      <c r="L431" s="2963" t="e">
        <f t="shared" si="398"/>
        <v>#VALUE!</v>
      </c>
      <c r="M431" s="2964" t="e">
        <f t="shared" si="399"/>
        <v>#VALUE!</v>
      </c>
      <c r="N431" s="2965"/>
      <c r="O431" s="2966"/>
      <c r="P431" s="2967"/>
      <c r="Q431" s="1234"/>
      <c r="R431" s="1234"/>
      <c r="S431" s="1234"/>
      <c r="T431" s="1234"/>
      <c r="U431" s="1234"/>
      <c r="V431" s="1234"/>
      <c r="W431" s="1234"/>
      <c r="X431" s="1678"/>
      <c r="Y431" s="1142"/>
      <c r="Z431" s="1142"/>
      <c r="AA431" s="1142"/>
      <c r="AB431" s="1142"/>
      <c r="AC431" s="1142"/>
      <c r="AD431" s="1142"/>
      <c r="AE431" s="1142"/>
      <c r="AF431" s="1142"/>
      <c r="AG431" s="1142"/>
      <c r="AH431" s="1142"/>
      <c r="AI431" s="1142"/>
      <c r="AJ431" s="1564"/>
      <c r="AK431" s="1142"/>
      <c r="AL431" s="1142"/>
      <c r="AM431" s="1142"/>
      <c r="AN431" s="1142"/>
      <c r="AO431" s="1149"/>
      <c r="AP431" s="1142"/>
      <c r="AQ431" s="1149" t="e">
        <f t="shared" si="403"/>
        <v>#VALUE!</v>
      </c>
      <c r="AR431" s="1166" t="e">
        <f t="shared" si="400"/>
        <v>#VALUE!</v>
      </c>
      <c r="AS431" s="2964" t="e">
        <f t="shared" si="401"/>
        <v>#VALUE!</v>
      </c>
      <c r="AT431" s="2965"/>
      <c r="AU431" s="2966"/>
      <c r="AV431" s="2967"/>
      <c r="AW431" s="1234"/>
      <c r="AX431" s="1234"/>
      <c r="AY431" s="1234"/>
      <c r="AZ431" s="1234"/>
      <c r="BA431" s="1234"/>
      <c r="BB431" s="1234"/>
      <c r="BC431" s="1234"/>
      <c r="BD431" s="1678"/>
      <c r="BE431" s="1478"/>
      <c r="BF431" s="1070"/>
    </row>
    <row r="432" spans="1:58" x14ac:dyDescent="0.3">
      <c r="A432" s="1527"/>
      <c r="B432" s="1142"/>
      <c r="C432" s="1142"/>
      <c r="D432" s="1142"/>
      <c r="E432" s="1142"/>
      <c r="F432" s="1142"/>
      <c r="G432" s="1142"/>
      <c r="H432" s="1142"/>
      <c r="I432" s="1142"/>
      <c r="J432" s="1142"/>
      <c r="K432" s="1149" t="e">
        <f t="shared" si="402"/>
        <v>#VALUE!</v>
      </c>
      <c r="L432" s="2963" t="e">
        <f t="shared" si="398"/>
        <v>#VALUE!</v>
      </c>
      <c r="M432" s="2964" t="e">
        <f t="shared" si="399"/>
        <v>#VALUE!</v>
      </c>
      <c r="N432" s="2965"/>
      <c r="O432" s="2966"/>
      <c r="P432" s="2967"/>
      <c r="Q432" s="1234"/>
      <c r="R432" s="1234"/>
      <c r="S432" s="1234"/>
      <c r="T432" s="1234"/>
      <c r="U432" s="1234"/>
      <c r="V432" s="1234"/>
      <c r="W432" s="1234"/>
      <c r="X432" s="1678"/>
      <c r="Y432" s="1142"/>
      <c r="Z432" s="1142"/>
      <c r="AA432" s="1142"/>
      <c r="AB432" s="1142"/>
      <c r="AC432" s="1142"/>
      <c r="AD432" s="1142"/>
      <c r="AE432" s="1142"/>
      <c r="AF432" s="1142"/>
      <c r="AG432" s="1142"/>
      <c r="AH432" s="1142"/>
      <c r="AI432" s="1142"/>
      <c r="AJ432" s="1564"/>
      <c r="AK432" s="1142"/>
      <c r="AL432" s="1142"/>
      <c r="AM432" s="1142"/>
      <c r="AN432" s="1142"/>
      <c r="AO432" s="1149"/>
      <c r="AP432" s="1142"/>
      <c r="AQ432" s="1149" t="e">
        <f t="shared" si="403"/>
        <v>#VALUE!</v>
      </c>
      <c r="AR432" s="1166" t="e">
        <f t="shared" si="400"/>
        <v>#VALUE!</v>
      </c>
      <c r="AS432" s="2964" t="e">
        <f t="shared" si="401"/>
        <v>#VALUE!</v>
      </c>
      <c r="AT432" s="2965"/>
      <c r="AU432" s="2966"/>
      <c r="AV432" s="2967"/>
      <c r="AW432" s="1234"/>
      <c r="AX432" s="1234"/>
      <c r="AY432" s="1234"/>
      <c r="AZ432" s="1234"/>
      <c r="BA432" s="1234"/>
      <c r="BB432" s="1234"/>
      <c r="BC432" s="1234"/>
      <c r="BD432" s="1678"/>
      <c r="BE432" s="1478"/>
      <c r="BF432" s="1070"/>
    </row>
    <row r="433" spans="1:58" x14ac:dyDescent="0.3">
      <c r="A433" s="1527"/>
      <c r="B433" s="1142"/>
      <c r="C433" s="1142"/>
      <c r="D433" s="1142"/>
      <c r="E433" s="1142"/>
      <c r="F433" s="1142"/>
      <c r="G433" s="1142"/>
      <c r="H433" s="1142"/>
      <c r="I433" s="1142"/>
      <c r="J433" s="1142"/>
      <c r="K433" s="1149" t="e">
        <f t="shared" si="402"/>
        <v>#VALUE!</v>
      </c>
      <c r="L433" s="2968" t="e">
        <f t="shared" si="398"/>
        <v>#VALUE!</v>
      </c>
      <c r="M433" s="2969" t="e">
        <f t="shared" si="399"/>
        <v>#VALUE!</v>
      </c>
      <c r="N433" s="2970"/>
      <c r="O433" s="2971"/>
      <c r="P433" s="2972"/>
      <c r="Q433" s="1234"/>
      <c r="R433" s="1234"/>
      <c r="S433" s="1234"/>
      <c r="T433" s="1234"/>
      <c r="U433" s="1234"/>
      <c r="V433" s="1234"/>
      <c r="W433" s="1234"/>
      <c r="X433" s="1678"/>
      <c r="Y433" s="1142"/>
      <c r="Z433" s="1142"/>
      <c r="AA433" s="1142"/>
      <c r="AB433" s="1142"/>
      <c r="AC433" s="1142"/>
      <c r="AD433" s="1142"/>
      <c r="AE433" s="1142"/>
      <c r="AF433" s="1142"/>
      <c r="AG433" s="1142"/>
      <c r="AH433" s="1142"/>
      <c r="AI433" s="1142"/>
      <c r="AJ433" s="1564"/>
      <c r="AK433" s="1142"/>
      <c r="AL433" s="1142"/>
      <c r="AM433" s="1142"/>
      <c r="AN433" s="1142"/>
      <c r="AO433" s="1149"/>
      <c r="AP433" s="1142"/>
      <c r="AQ433" s="1149" t="e">
        <f t="shared" si="403"/>
        <v>#VALUE!</v>
      </c>
      <c r="AR433" s="1185" t="e">
        <f t="shared" si="400"/>
        <v>#VALUE!</v>
      </c>
      <c r="AS433" s="2969" t="e">
        <f t="shared" si="401"/>
        <v>#VALUE!</v>
      </c>
      <c r="AT433" s="2970"/>
      <c r="AU433" s="2971"/>
      <c r="AV433" s="2972"/>
      <c r="AW433" s="1234"/>
      <c r="AX433" s="1234"/>
      <c r="AY433" s="1234"/>
      <c r="AZ433" s="1234"/>
      <c r="BA433" s="1234"/>
      <c r="BB433" s="1234"/>
      <c r="BC433" s="1234"/>
      <c r="BD433" s="1678"/>
      <c r="BE433" s="1478"/>
      <c r="BF433" s="1070"/>
    </row>
    <row r="434" spans="1:58" x14ac:dyDescent="0.3">
      <c r="A434" s="1527"/>
      <c r="B434" s="1142"/>
      <c r="C434" s="1142"/>
      <c r="D434" s="1142"/>
      <c r="E434" s="1142"/>
      <c r="F434" s="1142"/>
      <c r="G434" s="1142"/>
      <c r="H434" s="1142"/>
      <c r="I434" s="1142"/>
      <c r="J434" s="1142"/>
      <c r="K434" s="1149"/>
      <c r="L434" s="1142"/>
      <c r="M434" s="1142"/>
      <c r="N434" s="2973" t="s">
        <v>1077</v>
      </c>
      <c r="O434" s="2974"/>
      <c r="P434" s="2975"/>
      <c r="Q434" s="1234"/>
      <c r="R434" s="2976" t="s">
        <v>1759</v>
      </c>
      <c r="S434" s="1234"/>
      <c r="T434" s="1234"/>
      <c r="U434" s="1234"/>
      <c r="V434" s="1234"/>
      <c r="W434" s="1234"/>
      <c r="X434" s="1678"/>
      <c r="Y434" s="1142"/>
      <c r="Z434" s="1142"/>
      <c r="AA434" s="1142"/>
      <c r="AB434" s="1142"/>
      <c r="AC434" s="1142"/>
      <c r="AD434" s="1142"/>
      <c r="AE434" s="1142"/>
      <c r="AF434" s="1142"/>
      <c r="AG434" s="1142"/>
      <c r="AH434" s="1142"/>
      <c r="AI434" s="1142"/>
      <c r="AJ434" s="1564"/>
      <c r="AK434" s="1142"/>
      <c r="AL434" s="1142"/>
      <c r="AM434" s="1142"/>
      <c r="AN434" s="1142"/>
      <c r="AO434" s="1149"/>
      <c r="AP434" s="1142"/>
      <c r="AQ434" s="1149"/>
      <c r="AR434" s="1142"/>
      <c r="AS434" s="1142"/>
      <c r="AT434" s="2973" t="s">
        <v>1077</v>
      </c>
      <c r="AU434" s="2974"/>
      <c r="AV434" s="2975"/>
      <c r="AW434" s="1234"/>
      <c r="AX434" s="2976" t="s">
        <v>1760</v>
      </c>
      <c r="AY434" s="1234"/>
      <c r="AZ434" s="1234"/>
      <c r="BA434" s="1234"/>
      <c r="BB434" s="1234"/>
      <c r="BC434" s="1234"/>
      <c r="BD434" s="1678"/>
      <c r="BE434" s="1478"/>
      <c r="BF434" s="1070"/>
    </row>
    <row r="435" spans="1:58" x14ac:dyDescent="0.3">
      <c r="A435" s="1527"/>
      <c r="B435" s="1142"/>
      <c r="C435" s="1142"/>
      <c r="D435" s="1142"/>
      <c r="E435" s="1142"/>
      <c r="F435" s="1142"/>
      <c r="G435" s="1142"/>
      <c r="H435" s="1142"/>
      <c r="I435" s="1142"/>
      <c r="J435" s="1142"/>
      <c r="K435" s="1149"/>
      <c r="L435" s="1142"/>
      <c r="M435" s="1142"/>
      <c r="N435" s="1142"/>
      <c r="O435" s="1142"/>
      <c r="P435" s="1142"/>
      <c r="Q435" s="1142"/>
      <c r="R435" s="2976" t="e">
        <f>Comp&amp;" "&amp;N418</f>
        <v>#VALUE!</v>
      </c>
      <c r="S435" s="1142"/>
      <c r="T435" s="1142"/>
      <c r="U435" s="1142"/>
      <c r="V435" s="1142"/>
      <c r="W435" s="1142"/>
      <c r="X435" s="1437"/>
      <c r="Y435" s="1142"/>
      <c r="Z435" s="1142"/>
      <c r="AA435" s="1142"/>
      <c r="AB435" s="1142"/>
      <c r="AC435" s="1142"/>
      <c r="AD435" s="1142"/>
      <c r="AE435" s="1142"/>
      <c r="AF435" s="1142"/>
      <c r="AG435" s="1142"/>
      <c r="AH435" s="1142"/>
      <c r="AI435" s="1142"/>
      <c r="AJ435" s="1564"/>
      <c r="AK435" s="1142"/>
      <c r="AL435" s="1142"/>
      <c r="AM435" s="1142"/>
      <c r="AN435" s="1142"/>
      <c r="AO435" s="1149"/>
      <c r="AP435" s="1142"/>
      <c r="AQ435" s="1149"/>
      <c r="AR435" s="1142"/>
      <c r="AS435" s="1142"/>
      <c r="AT435" s="1142"/>
      <c r="AU435" s="1142"/>
      <c r="AV435" s="1142"/>
      <c r="AW435" s="1142"/>
      <c r="AX435" s="2976" t="e">
        <f>Comp&amp;" "&amp;AT418</f>
        <v>#VALUE!</v>
      </c>
      <c r="AY435" s="1142"/>
      <c r="AZ435" s="1142"/>
      <c r="BA435" s="1142"/>
      <c r="BB435" s="1142"/>
      <c r="BC435" s="1142"/>
      <c r="BD435" s="1437"/>
      <c r="BE435" s="1478"/>
      <c r="BF435" s="1070"/>
    </row>
    <row r="436" spans="1:58" x14ac:dyDescent="0.3">
      <c r="A436" s="1527"/>
      <c r="B436" s="1142"/>
      <c r="C436" s="1142"/>
      <c r="D436" s="1142"/>
      <c r="E436" s="1142"/>
      <c r="F436" s="1142"/>
      <c r="G436" s="1142"/>
      <c r="H436" s="1142"/>
      <c r="I436" s="1142"/>
      <c r="J436" s="1142"/>
      <c r="K436" s="1184"/>
      <c r="L436" s="1201"/>
      <c r="M436" s="1201"/>
      <c r="N436" s="1201"/>
      <c r="O436" s="1201"/>
      <c r="P436" s="1201"/>
      <c r="Q436" s="1201"/>
      <c r="R436" s="1201"/>
      <c r="S436" s="1201"/>
      <c r="T436" s="1201"/>
      <c r="U436" s="1201"/>
      <c r="V436" s="1201"/>
      <c r="W436" s="1201"/>
      <c r="X436" s="1459"/>
      <c r="Y436" s="1142"/>
      <c r="Z436" s="1142"/>
      <c r="AA436" s="1142"/>
      <c r="AB436" s="1142"/>
      <c r="AC436" s="1142"/>
      <c r="AD436" s="1142"/>
      <c r="AE436" s="1142"/>
      <c r="AF436" s="1142"/>
      <c r="AG436" s="1142"/>
      <c r="AH436" s="1142"/>
      <c r="AI436" s="1142"/>
      <c r="AJ436" s="1564"/>
      <c r="AK436" s="1142"/>
      <c r="AL436" s="1142"/>
      <c r="AM436" s="1142"/>
      <c r="AN436" s="1142"/>
      <c r="AO436" s="1149"/>
      <c r="AP436" s="1142"/>
      <c r="AQ436" s="1184"/>
      <c r="AR436" s="1201"/>
      <c r="AS436" s="1201"/>
      <c r="AT436" s="1201"/>
      <c r="AU436" s="1201"/>
      <c r="AV436" s="1201"/>
      <c r="AW436" s="1201"/>
      <c r="AX436" s="1201"/>
      <c r="AY436" s="1201"/>
      <c r="AZ436" s="1201"/>
      <c r="BA436" s="1201"/>
      <c r="BB436" s="1201"/>
      <c r="BC436" s="1201"/>
      <c r="BD436" s="1459"/>
      <c r="BE436" s="1478"/>
      <c r="BF436" s="1070"/>
    </row>
    <row r="437" spans="1:58" ht="15" thickBot="1" x14ac:dyDescent="0.35">
      <c r="A437" s="1710"/>
      <c r="B437" s="1515"/>
      <c r="C437" s="1515"/>
      <c r="D437" s="1515"/>
      <c r="E437" s="1515"/>
      <c r="F437" s="1515"/>
      <c r="G437" s="1515"/>
      <c r="H437" s="1515"/>
      <c r="I437" s="1515"/>
      <c r="J437" s="1515"/>
      <c r="K437" s="1515"/>
      <c r="L437" s="1515"/>
      <c r="M437" s="1515"/>
      <c r="N437" s="1515"/>
      <c r="O437" s="1515"/>
      <c r="P437" s="1515"/>
      <c r="Q437" s="1515"/>
      <c r="R437" s="1515"/>
      <c r="S437" s="1515"/>
      <c r="T437" s="1515"/>
      <c r="U437" s="1515"/>
      <c r="V437" s="1515"/>
      <c r="W437" s="1515"/>
      <c r="X437" s="1515"/>
      <c r="Y437" s="1515"/>
      <c r="Z437" s="1515"/>
      <c r="AA437" s="1515"/>
      <c r="AB437" s="1515"/>
      <c r="AC437" s="1515"/>
      <c r="AD437" s="1515"/>
      <c r="AE437" s="1515"/>
      <c r="AF437" s="1515"/>
      <c r="AG437" s="1515"/>
      <c r="AH437" s="1515"/>
      <c r="AI437" s="1515"/>
      <c r="AJ437" s="1711"/>
      <c r="AK437" s="1515"/>
      <c r="AL437" s="1515"/>
      <c r="AM437" s="1515"/>
      <c r="AN437" s="1515"/>
      <c r="AO437" s="1712"/>
      <c r="AP437" s="1515"/>
      <c r="AQ437" s="1515"/>
      <c r="AR437" s="1515"/>
      <c r="AS437" s="1515"/>
      <c r="AT437" s="1515"/>
      <c r="AU437" s="1515"/>
      <c r="AV437" s="1515"/>
      <c r="AW437" s="1515"/>
      <c r="AX437" s="1515"/>
      <c r="AY437" s="1515"/>
      <c r="AZ437" s="1515"/>
      <c r="BA437" s="1515"/>
      <c r="BB437" s="1515"/>
      <c r="BC437" s="1515"/>
      <c r="BD437" s="1515"/>
      <c r="BE437" s="1516"/>
      <c r="BF437" s="1070"/>
    </row>
    <row r="438" spans="1:58" x14ac:dyDescent="0.3">
      <c r="A438" s="1070"/>
      <c r="B438" s="1070"/>
      <c r="C438" s="1070"/>
      <c r="D438" s="1070"/>
      <c r="E438" s="1070"/>
      <c r="F438" s="1070"/>
      <c r="G438" s="1070"/>
      <c r="H438" s="1070"/>
      <c r="I438" s="1070"/>
      <c r="J438" s="1070"/>
      <c r="K438" s="1070"/>
      <c r="L438" s="1070"/>
      <c r="M438" s="1070"/>
      <c r="N438" s="1070"/>
      <c r="O438" s="1070"/>
      <c r="P438" s="1070"/>
      <c r="Q438" s="1070"/>
      <c r="R438" s="1070"/>
      <c r="S438" s="1070"/>
      <c r="T438" s="1070"/>
      <c r="U438" s="1070"/>
      <c r="V438" s="1070"/>
      <c r="W438" s="1070"/>
      <c r="X438" s="1070"/>
      <c r="Y438" s="1070"/>
      <c r="Z438" s="1070"/>
      <c r="AA438" s="1070"/>
      <c r="AB438" s="1070"/>
      <c r="AC438" s="1070"/>
      <c r="AD438" s="1070"/>
      <c r="AE438" s="1070"/>
      <c r="AF438" s="1070"/>
      <c r="AG438" s="1070"/>
      <c r="AH438" s="1070"/>
      <c r="AI438" s="1070"/>
      <c r="AJ438" s="2136"/>
      <c r="AK438" s="1070"/>
      <c r="AL438" s="1070"/>
      <c r="AM438" s="1070"/>
      <c r="AN438" s="1070"/>
      <c r="AO438" s="1070"/>
      <c r="AP438" s="1070"/>
      <c r="AQ438" s="1070"/>
      <c r="AR438" s="1070"/>
      <c r="AS438" s="1070"/>
      <c r="AT438" s="1070"/>
      <c r="AU438" s="1070"/>
      <c r="AV438" s="1070"/>
      <c r="AW438" s="1070"/>
      <c r="AX438" s="1070"/>
      <c r="AY438" s="1070"/>
      <c r="AZ438" s="1070"/>
      <c r="BA438" s="1070"/>
      <c r="BB438" s="1070"/>
      <c r="BC438" s="1070"/>
      <c r="BD438" s="1070"/>
      <c r="BE438" s="1070"/>
      <c r="BF438" s="1070"/>
    </row>
  </sheetData>
  <sheetProtection algorithmName="SHA-512" hashValue="I46f3AZbKpte8iPcVUiObs0SA4k2EmmoNJdfFDPceMQINnq7GvDolW53f95JGA6zgXYoIcTMtdj1JOn9RTEruQ==" saltValue="zLmE1sq6jBGmMW9OJ5iKZA==" spinCount="100000" sheet="1" scenarios="1" formatCells="0" formatColumns="0" formatRows="0" pivotTables="0"/>
  <mergeCells count="63">
    <mergeCell ref="AU417:AV417"/>
    <mergeCell ref="AQ362:AR362"/>
    <mergeCell ref="H363:I363"/>
    <mergeCell ref="AQ363:AR363"/>
    <mergeCell ref="M417:N417"/>
    <mergeCell ref="O417:P417"/>
    <mergeCell ref="AS417:AT417"/>
    <mergeCell ref="AP357:AP363"/>
    <mergeCell ref="AQ357:AR357"/>
    <mergeCell ref="H358:I358"/>
    <mergeCell ref="AQ358:AR358"/>
    <mergeCell ref="H359:I359"/>
    <mergeCell ref="AQ359:AR359"/>
    <mergeCell ref="H360:I360"/>
    <mergeCell ref="AQ360:AR360"/>
    <mergeCell ref="H361:I361"/>
    <mergeCell ref="H264:K264"/>
    <mergeCell ref="G357:G363"/>
    <mergeCell ref="H357:I357"/>
    <mergeCell ref="H362:I362"/>
    <mergeCell ref="BA174:BA175"/>
    <mergeCell ref="AQ361:AR361"/>
    <mergeCell ref="AF194:AI194"/>
    <mergeCell ref="AF206:AI206"/>
    <mergeCell ref="N260:R260"/>
    <mergeCell ref="T260:X260"/>
    <mergeCell ref="BB174:BC174"/>
    <mergeCell ref="T175:U175"/>
    <mergeCell ref="V175:Y175"/>
    <mergeCell ref="F192:AC192"/>
    <mergeCell ref="AQ192:BM192"/>
    <mergeCell ref="G174:H174"/>
    <mergeCell ref="L174:M174"/>
    <mergeCell ref="AA174:AB175"/>
    <mergeCell ref="AC174:AC175"/>
    <mergeCell ref="AD174:AE174"/>
    <mergeCell ref="AY174:AZ175"/>
    <mergeCell ref="R159:S160"/>
    <mergeCell ref="R162:U164"/>
    <mergeCell ref="R170:AE170"/>
    <mergeCell ref="AO170:BC170"/>
    <mergeCell ref="F173:J173"/>
    <mergeCell ref="K173:O173"/>
    <mergeCell ref="U173:Y173"/>
    <mergeCell ref="Z173:AD173"/>
    <mergeCell ref="AP122:BW122"/>
    <mergeCell ref="BZ122:DF122"/>
    <mergeCell ref="L123:N123"/>
    <mergeCell ref="AJ123:AK123"/>
    <mergeCell ref="BT123:BU123"/>
    <mergeCell ref="R150:U150"/>
    <mergeCell ref="B9:F9"/>
    <mergeCell ref="B30:F30"/>
    <mergeCell ref="B51:F51"/>
    <mergeCell ref="B72:F72"/>
    <mergeCell ref="B93:F93"/>
    <mergeCell ref="B122:AM122"/>
    <mergeCell ref="AQ8:BT8"/>
    <mergeCell ref="B6:AM6"/>
    <mergeCell ref="AQ6:BW6"/>
    <mergeCell ref="BZ6:DF6"/>
    <mergeCell ref="G7:AK7"/>
    <mergeCell ref="AQ7:BT7"/>
  </mergeCells>
  <conditionalFormatting sqref="G8:AI8">
    <cfRule type="cellIs" dxfId="16" priority="10" operator="equal">
      <formula>0</formula>
    </cfRule>
  </conditionalFormatting>
  <conditionalFormatting sqref="G50:X50 AI50">
    <cfRule type="cellIs" dxfId="15" priority="8" operator="equal">
      <formula>0</formula>
    </cfRule>
  </conditionalFormatting>
  <conditionalFormatting sqref="G29:X29 AI29">
    <cfRule type="cellIs" dxfId="14" priority="9" operator="equal">
      <formula>0</formula>
    </cfRule>
  </conditionalFormatting>
  <conditionalFormatting sqref="G71:X71 AI71">
    <cfRule type="cellIs" dxfId="13" priority="7" operator="equal">
      <formula>0</formula>
    </cfRule>
  </conditionalFormatting>
  <conditionalFormatting sqref="G92:X92 AI92">
    <cfRule type="cellIs" dxfId="12" priority="6" operator="equal">
      <formula>0</formula>
    </cfRule>
  </conditionalFormatting>
  <conditionalFormatting sqref="G124:AI124">
    <cfRule type="cellIs" dxfId="11" priority="5" operator="equal">
      <formula>0</formula>
    </cfRule>
  </conditionalFormatting>
  <conditionalFormatting sqref="Y50:AH50">
    <cfRule type="cellIs" dxfId="10" priority="3" operator="equal">
      <formula>0</formula>
    </cfRule>
  </conditionalFormatting>
  <conditionalFormatting sqref="Y29:AH29">
    <cfRule type="cellIs" dxfId="9" priority="4" operator="equal">
      <formula>0</formula>
    </cfRule>
  </conditionalFormatting>
  <conditionalFormatting sqref="Y71:AH71">
    <cfRule type="cellIs" dxfId="8" priority="2" operator="equal">
      <formula>0</formula>
    </cfRule>
  </conditionalFormatting>
  <conditionalFormatting sqref="Y92:AH92">
    <cfRule type="cellIs" dxfId="7" priority="1" operator="equal">
      <formula>0</formula>
    </cfRule>
  </conditionalFormatting>
  <printOptions horizontalCentered="1"/>
  <pageMargins left="0.25" right="0.25" top="0.75" bottom="0.75" header="0.3" footer="0.3"/>
  <pageSetup scale="57" orientation="landscape" r:id="rId1"/>
  <drawing r:id="rId2"/>
  <legacyDrawing r:id="rId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600-000000000000}">
          <x14:formula1>
            <xm:f>PPD_DD_2!$D$116:$D$120</xm:f>
          </x14:formula1>
          <xm:sqref>Y155:Z155</xm:sqref>
        </x14:dataValidation>
        <x14:dataValidation type="list" allowBlank="1" showInputMessage="1" showErrorMessage="1" xr:uid="{00000000-0002-0000-0600-000001000000}">
          <x14:formula1>
            <xm:f>PPD_DD_2!$F$46:$F$66</xm:f>
          </x14:formula1>
          <xm:sqref>Y152:Z152</xm:sqref>
        </x14:dataValidation>
        <x14:dataValidation type="list" allowBlank="1" showInputMessage="1" showErrorMessage="1" xr:uid="{00000000-0002-0000-0600-000002000000}">
          <x14:formula1>
            <xm:f>FT_PPD_DD!$E$49:$E$50</xm:f>
          </x14:formula1>
          <xm:sqref>C129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pageSetUpPr fitToPage="1"/>
  </sheetPr>
  <dimension ref="A1:PY199"/>
  <sheetViews>
    <sheetView showGridLines="0" topLeftCell="OS1" zoomScale="80" zoomScaleNormal="80" workbookViewId="0">
      <selection activeCell="H18" sqref="H18:AD18"/>
    </sheetView>
  </sheetViews>
  <sheetFormatPr defaultColWidth="9.109375" defaultRowHeight="14.4" x14ac:dyDescent="0.3"/>
  <cols>
    <col min="1" max="1" width="13.6640625" style="1070" bestFit="1" customWidth="1"/>
    <col min="2" max="2" width="6.5546875" style="1070" customWidth="1"/>
    <col min="3" max="3" width="9.109375" style="1070"/>
    <col min="4" max="4" width="16.44140625" style="1070" customWidth="1"/>
    <col min="5" max="5" width="11.44140625" style="1070" customWidth="1"/>
    <col min="6" max="6" width="14.5546875" style="1070" bestFit="1" customWidth="1"/>
    <col min="7" max="7" width="16.6640625" style="1070" bestFit="1" customWidth="1"/>
    <col min="8" max="8" width="7.88671875" style="1070" bestFit="1" customWidth="1"/>
    <col min="9" max="9" width="25.109375" style="1070" customWidth="1"/>
    <col min="10" max="12" width="9.109375" style="1070"/>
    <col min="13" max="13" width="20" style="1070" customWidth="1"/>
    <col min="14" max="21" width="12.88671875" style="1070" customWidth="1"/>
    <col min="22" max="23" width="15.109375" style="1070" customWidth="1"/>
    <col min="24" max="29" width="14.109375" style="1070" customWidth="1"/>
    <col min="30" max="30" width="14.33203125" style="1070" customWidth="1"/>
    <col min="31" max="31" width="9.109375" style="1070"/>
    <col min="32" max="32" width="18.5546875" style="1070" customWidth="1"/>
    <col min="33" max="33" width="15.6640625" style="1070" customWidth="1"/>
    <col min="34" max="40" width="9.5546875" style="1070" customWidth="1"/>
    <col min="41" max="41" width="9.109375" style="1070"/>
    <col min="42" max="43" width="8.88671875" style="1070" bestFit="1" customWidth="1"/>
    <col min="44" max="84" width="9.109375" style="1070"/>
    <col min="85" max="95" width="9.109375" style="1070" customWidth="1"/>
    <col min="96" max="96" width="8.5546875" style="1070" customWidth="1"/>
    <col min="97" max="108" width="9.109375" style="1070" customWidth="1"/>
    <col min="109" max="115" width="9.109375" style="1070"/>
    <col min="116" max="116" width="11.33203125" style="1070" customWidth="1"/>
    <col min="117" max="121" width="9.109375" style="1070"/>
    <col min="122" max="127" width="10.5546875" style="1070" bestFit="1" customWidth="1"/>
    <col min="128" max="128" width="10.5546875" style="1070" customWidth="1"/>
    <col min="129" max="129" width="10.5546875" style="1070" bestFit="1" customWidth="1"/>
    <col min="130" max="130" width="14.33203125" style="1070" customWidth="1"/>
    <col min="131" max="133" width="10.5546875" style="1070" bestFit="1" customWidth="1"/>
    <col min="134" max="155" width="9.109375" style="1070"/>
    <col min="156" max="156" width="13.44140625" style="1070" customWidth="1"/>
    <col min="157" max="161" width="9.109375" style="1070"/>
    <col min="162" max="162" width="13.33203125" style="1070" customWidth="1"/>
    <col min="163" max="16384" width="9.109375" style="1070"/>
  </cols>
  <sheetData>
    <row r="1" spans="1:441" s="1734" customFormat="1" x14ac:dyDescent="0.3">
      <c r="A1" s="1237" t="s">
        <v>1228</v>
      </c>
      <c r="B1" s="1237" t="s">
        <v>1761</v>
      </c>
      <c r="C1" s="1237" t="s">
        <v>1762</v>
      </c>
      <c r="D1" s="1237" t="s">
        <v>1763</v>
      </c>
      <c r="E1" s="1237" t="s">
        <v>1764</v>
      </c>
      <c r="F1" s="1237" t="s">
        <v>1765</v>
      </c>
      <c r="G1" s="1237" t="s">
        <v>1766</v>
      </c>
      <c r="H1" s="1237" t="s">
        <v>1767</v>
      </c>
      <c r="I1" s="1237" t="s">
        <v>1768</v>
      </c>
      <c r="J1" s="1237" t="s">
        <v>1769</v>
      </c>
      <c r="K1" s="1237" t="s">
        <v>1461</v>
      </c>
      <c r="L1" s="2977" t="s">
        <v>1770</v>
      </c>
      <c r="M1" s="2977" t="s">
        <v>1771</v>
      </c>
      <c r="N1" s="2977" t="s">
        <v>1772</v>
      </c>
      <c r="O1" s="2977" t="s">
        <v>1773</v>
      </c>
      <c r="P1" s="2977" t="s">
        <v>1774</v>
      </c>
      <c r="Q1" s="2977" t="s">
        <v>1775</v>
      </c>
      <c r="R1" s="2977" t="s">
        <v>1776</v>
      </c>
      <c r="S1" s="2977" t="s">
        <v>1777</v>
      </c>
      <c r="T1" s="2977" t="s">
        <v>1778</v>
      </c>
      <c r="U1" s="2977" t="s">
        <v>1779</v>
      </c>
      <c r="V1" s="2977" t="s">
        <v>1780</v>
      </c>
      <c r="W1" s="2977" t="s">
        <v>786</v>
      </c>
      <c r="X1" s="2977" t="s">
        <v>837</v>
      </c>
      <c r="Y1" s="2977" t="s">
        <v>1781</v>
      </c>
      <c r="Z1" s="2977" t="s">
        <v>1782</v>
      </c>
      <c r="AA1" s="2977" t="s">
        <v>1783</v>
      </c>
      <c r="AB1" s="2977" t="s">
        <v>1784</v>
      </c>
      <c r="AC1" s="2977" t="s">
        <v>660</v>
      </c>
      <c r="AD1" s="2977" t="s">
        <v>1785</v>
      </c>
      <c r="AE1" s="2977" t="s">
        <v>1786</v>
      </c>
      <c r="AF1" s="2977" t="s">
        <v>1787</v>
      </c>
      <c r="AG1" s="2977" t="s">
        <v>674</v>
      </c>
      <c r="AH1" s="2977" t="s">
        <v>1788</v>
      </c>
      <c r="AI1" s="2977" t="s">
        <v>1789</v>
      </c>
      <c r="AJ1" s="2977" t="s">
        <v>1790</v>
      </c>
      <c r="AK1" s="2977" t="s">
        <v>1330</v>
      </c>
      <c r="AL1" s="2977" t="s">
        <v>1791</v>
      </c>
      <c r="AM1" s="2977" t="s">
        <v>1792</v>
      </c>
      <c r="AN1" s="2978" t="s">
        <v>1793</v>
      </c>
      <c r="AO1" s="2978" t="s">
        <v>1794</v>
      </c>
      <c r="AP1" s="2978" t="s">
        <v>1795</v>
      </c>
      <c r="AQ1" s="2978" t="s">
        <v>1796</v>
      </c>
      <c r="AR1" s="2978" t="s">
        <v>1797</v>
      </c>
      <c r="AS1" s="2978" t="s">
        <v>1798</v>
      </c>
      <c r="AT1" s="2978" t="s">
        <v>1799</v>
      </c>
      <c r="AU1" s="2978" t="s">
        <v>1800</v>
      </c>
      <c r="AV1" s="2978" t="s">
        <v>1801</v>
      </c>
      <c r="AW1" s="2978" t="s">
        <v>1802</v>
      </c>
      <c r="AX1" s="2978" t="s">
        <v>1803</v>
      </c>
      <c r="AY1" s="2978" t="s">
        <v>1804</v>
      </c>
      <c r="AZ1" s="2978" t="s">
        <v>1805</v>
      </c>
      <c r="BA1" s="2978" t="s">
        <v>1806</v>
      </c>
      <c r="BB1" s="2978" t="s">
        <v>1807</v>
      </c>
      <c r="BC1" s="2978" t="s">
        <v>1808</v>
      </c>
      <c r="BD1" s="2978" t="s">
        <v>1809</v>
      </c>
      <c r="BE1" s="2978" t="s">
        <v>1810</v>
      </c>
      <c r="BF1" s="2979" t="s">
        <v>1811</v>
      </c>
      <c r="BG1" s="2979" t="s">
        <v>1812</v>
      </c>
      <c r="BH1" s="2979" t="s">
        <v>1813</v>
      </c>
      <c r="BI1" s="2979" t="s">
        <v>1814</v>
      </c>
      <c r="BJ1" s="2979" t="s">
        <v>1815</v>
      </c>
      <c r="BK1" s="2979" t="s">
        <v>1816</v>
      </c>
      <c r="BL1" s="2979" t="s">
        <v>1817</v>
      </c>
      <c r="BM1" s="2979" t="s">
        <v>1818</v>
      </c>
      <c r="BN1" s="2979" t="s">
        <v>1819</v>
      </c>
      <c r="BO1" s="2979" t="s">
        <v>1820</v>
      </c>
      <c r="BP1" s="2979" t="s">
        <v>1821</v>
      </c>
      <c r="BQ1" s="2979" t="s">
        <v>1822</v>
      </c>
      <c r="BR1" s="2979" t="s">
        <v>1823</v>
      </c>
      <c r="BS1" s="2979" t="s">
        <v>1824</v>
      </c>
      <c r="BT1" s="2979" t="s">
        <v>1825</v>
      </c>
      <c r="BU1" s="2980" t="s">
        <v>726</v>
      </c>
      <c r="BV1" s="2980" t="s">
        <v>1712</v>
      </c>
      <c r="BW1" s="2980" t="s">
        <v>1826</v>
      </c>
      <c r="BX1" s="2981" t="s">
        <v>1827</v>
      </c>
      <c r="BY1" s="2981" t="s">
        <v>1828</v>
      </c>
      <c r="BZ1" s="2981" t="s">
        <v>1829</v>
      </c>
      <c r="CA1" s="2977" t="s">
        <v>1830</v>
      </c>
      <c r="CB1" s="2977" t="s">
        <v>1831</v>
      </c>
      <c r="CC1" s="2977" t="s">
        <v>1832</v>
      </c>
      <c r="CD1" s="2977" t="s">
        <v>1833</v>
      </c>
      <c r="CE1" s="2982" t="s">
        <v>1834</v>
      </c>
      <c r="CF1" s="2982" t="s">
        <v>1835</v>
      </c>
      <c r="CG1" s="2982" t="s">
        <v>1836</v>
      </c>
      <c r="CH1" s="2982" t="s">
        <v>1837</v>
      </c>
      <c r="CI1" s="2983" t="s">
        <v>1838</v>
      </c>
      <c r="CJ1" s="2983" t="s">
        <v>1839</v>
      </c>
      <c r="CK1" s="2983" t="s">
        <v>1840</v>
      </c>
      <c r="CL1" s="2983" t="s">
        <v>1841</v>
      </c>
      <c r="CM1" s="2983" t="s">
        <v>1842</v>
      </c>
      <c r="CN1" s="2983" t="s">
        <v>1843</v>
      </c>
      <c r="CO1" s="2983" t="s">
        <v>1844</v>
      </c>
      <c r="CP1" s="2983" t="s">
        <v>1845</v>
      </c>
      <c r="CQ1" s="2983" t="s">
        <v>1846</v>
      </c>
      <c r="CR1" s="2983" t="s">
        <v>1847</v>
      </c>
      <c r="CS1" s="2983" t="s">
        <v>1848</v>
      </c>
      <c r="CT1" s="2983" t="s">
        <v>1849</v>
      </c>
      <c r="CU1" s="2983" t="s">
        <v>1850</v>
      </c>
      <c r="CV1" s="2983" t="s">
        <v>1851</v>
      </c>
      <c r="CW1" s="2984" t="s">
        <v>1852</v>
      </c>
      <c r="CX1" s="2984" t="s">
        <v>1853</v>
      </c>
      <c r="CY1" s="2984" t="s">
        <v>1854</v>
      </c>
      <c r="CZ1" s="2982" t="s">
        <v>1855</v>
      </c>
      <c r="DA1" s="2982" t="s">
        <v>1856</v>
      </c>
      <c r="DB1" s="2982" t="s">
        <v>1857</v>
      </c>
      <c r="DC1" s="2982" t="s">
        <v>1858</v>
      </c>
      <c r="DD1" s="2982" t="s">
        <v>1859</v>
      </c>
      <c r="DE1" s="2982" t="s">
        <v>1860</v>
      </c>
      <c r="DF1" s="2982" t="s">
        <v>1861</v>
      </c>
      <c r="DG1" s="2982" t="s">
        <v>1862</v>
      </c>
      <c r="DH1" s="2982" t="s">
        <v>1863</v>
      </c>
      <c r="DI1" s="2982" t="s">
        <v>1864</v>
      </c>
      <c r="DJ1" s="2982" t="s">
        <v>1865</v>
      </c>
      <c r="DK1" s="2982" t="s">
        <v>1866</v>
      </c>
      <c r="DL1" s="2982" t="s">
        <v>1867</v>
      </c>
      <c r="DM1" s="2982" t="s">
        <v>1868</v>
      </c>
      <c r="DN1" s="2982" t="s">
        <v>1869</v>
      </c>
      <c r="DO1" s="2982" t="s">
        <v>1870</v>
      </c>
      <c r="DP1" s="2982" t="s">
        <v>1871</v>
      </c>
      <c r="DQ1" s="2982" t="s">
        <v>1872</v>
      </c>
      <c r="DR1" s="2982" t="s">
        <v>1873</v>
      </c>
      <c r="DS1" s="2982" t="s">
        <v>1874</v>
      </c>
      <c r="DT1" s="2982" t="s">
        <v>1875</v>
      </c>
      <c r="DU1" s="2982" t="s">
        <v>1876</v>
      </c>
      <c r="DV1" s="2982" t="s">
        <v>1877</v>
      </c>
      <c r="DW1" s="2982" t="s">
        <v>1878</v>
      </c>
      <c r="DX1" s="2982" t="s">
        <v>1879</v>
      </c>
      <c r="DY1" s="2982" t="s">
        <v>1880</v>
      </c>
      <c r="DZ1" s="2982" t="s">
        <v>1881</v>
      </c>
      <c r="EA1" s="2982" t="s">
        <v>1882</v>
      </c>
      <c r="EB1" s="2982" t="s">
        <v>1883</v>
      </c>
      <c r="EC1" s="2982" t="s">
        <v>1884</v>
      </c>
      <c r="ED1" s="2980" t="s">
        <v>1885</v>
      </c>
      <c r="EE1" s="2980" t="s">
        <v>1886</v>
      </c>
      <c r="EF1" s="2980" t="s">
        <v>1887</v>
      </c>
      <c r="EG1" s="2980" t="s">
        <v>1888</v>
      </c>
      <c r="EH1" s="2980" t="s">
        <v>1889</v>
      </c>
      <c r="EI1" s="2980" t="s">
        <v>1890</v>
      </c>
      <c r="EJ1" s="2980" t="s">
        <v>1891</v>
      </c>
      <c r="EK1" s="2980" t="s">
        <v>1892</v>
      </c>
      <c r="EL1" s="2980" t="s">
        <v>1893</v>
      </c>
      <c r="EM1" s="2980" t="s">
        <v>1894</v>
      </c>
      <c r="EN1" s="2985" t="s">
        <v>1895</v>
      </c>
      <c r="EO1" s="2985" t="s">
        <v>1250</v>
      </c>
      <c r="EP1" s="2985" t="s">
        <v>1251</v>
      </c>
      <c r="EQ1" s="2985" t="s">
        <v>1252</v>
      </c>
      <c r="ER1" s="2985" t="s">
        <v>1896</v>
      </c>
      <c r="ES1" s="2985" t="s">
        <v>1897</v>
      </c>
      <c r="ET1" s="2985" t="s">
        <v>1338</v>
      </c>
      <c r="EU1" s="2985" t="s">
        <v>1898</v>
      </c>
      <c r="EV1" s="2985" t="s">
        <v>1899</v>
      </c>
      <c r="EW1" s="2985" t="s">
        <v>1900</v>
      </c>
      <c r="EX1" s="2985" t="s">
        <v>1901</v>
      </c>
      <c r="EY1" s="2985" t="s">
        <v>1902</v>
      </c>
      <c r="EZ1" s="2985" t="s">
        <v>1903</v>
      </c>
      <c r="FA1" s="2985" t="s">
        <v>1904</v>
      </c>
      <c r="FB1" s="2985" t="s">
        <v>1905</v>
      </c>
      <c r="FC1" s="2985" t="s">
        <v>1906</v>
      </c>
      <c r="FD1" s="2985" t="s">
        <v>1907</v>
      </c>
      <c r="FE1" s="2985" t="s">
        <v>1908</v>
      </c>
      <c r="FF1" s="2977" t="s">
        <v>1909</v>
      </c>
      <c r="FG1" s="2977" t="s">
        <v>1910</v>
      </c>
      <c r="FH1" s="2977" t="s">
        <v>1911</v>
      </c>
      <c r="FI1" s="2977" t="s">
        <v>1912</v>
      </c>
      <c r="FJ1" s="2977" t="s">
        <v>447</v>
      </c>
      <c r="FK1" s="2977" t="s">
        <v>715</v>
      </c>
      <c r="FL1" s="2977" t="s">
        <v>1275</v>
      </c>
      <c r="FM1" s="2977" t="s">
        <v>1277</v>
      </c>
      <c r="FN1" s="2977" t="s">
        <v>1279</v>
      </c>
      <c r="FO1" s="2977" t="s">
        <v>1285</v>
      </c>
      <c r="FP1" s="2977" t="s">
        <v>1287</v>
      </c>
      <c r="FQ1" s="2977" t="s">
        <v>1289</v>
      </c>
      <c r="FR1" s="2978" t="s">
        <v>1913</v>
      </c>
      <c r="FS1" s="2978" t="s">
        <v>1914</v>
      </c>
      <c r="FT1" s="2978" t="s">
        <v>1915</v>
      </c>
      <c r="FU1" s="2978" t="s">
        <v>1916</v>
      </c>
      <c r="FV1" s="2978" t="s">
        <v>1917</v>
      </c>
      <c r="FW1" s="2978" t="s">
        <v>1918</v>
      </c>
      <c r="FX1" s="2978" t="s">
        <v>1919</v>
      </c>
      <c r="FY1" s="2978" t="s">
        <v>1920</v>
      </c>
      <c r="FZ1" s="2978" t="s">
        <v>1921</v>
      </c>
      <c r="GA1" s="2981" t="s">
        <v>1922</v>
      </c>
      <c r="GB1" s="2981" t="s">
        <v>1923</v>
      </c>
      <c r="GC1" s="2981" t="s">
        <v>1924</v>
      </c>
      <c r="GD1" s="2981" t="s">
        <v>1925</v>
      </c>
      <c r="GE1" s="2981" t="s">
        <v>1926</v>
      </c>
      <c r="GF1" s="2981" t="s">
        <v>1927</v>
      </c>
      <c r="GG1" s="2981" t="s">
        <v>1928</v>
      </c>
      <c r="GH1" s="2981" t="s">
        <v>1929</v>
      </c>
      <c r="GI1" s="2986" t="s">
        <v>1930</v>
      </c>
      <c r="GJ1" s="2986" t="s">
        <v>1931</v>
      </c>
      <c r="GK1" s="2986" t="s">
        <v>1932</v>
      </c>
      <c r="GL1" s="2982" t="s">
        <v>1933</v>
      </c>
      <c r="GM1" s="2982" t="s">
        <v>1934</v>
      </c>
      <c r="GN1" s="2982" t="s">
        <v>1935</v>
      </c>
      <c r="GO1" s="2982" t="s">
        <v>1936</v>
      </c>
      <c r="GP1" s="2982" t="s">
        <v>1937</v>
      </c>
      <c r="GQ1" s="2982" t="s">
        <v>1938</v>
      </c>
      <c r="GR1" s="2982" t="s">
        <v>1939</v>
      </c>
      <c r="GS1" s="2982" t="s">
        <v>1940</v>
      </c>
      <c r="GT1" s="2982" t="s">
        <v>1941</v>
      </c>
      <c r="GU1" s="2982" t="s">
        <v>1942</v>
      </c>
      <c r="GV1" s="2982" t="s">
        <v>1943</v>
      </c>
      <c r="GW1" s="2982" t="s">
        <v>1944</v>
      </c>
      <c r="GX1" s="2982" t="s">
        <v>1945</v>
      </c>
      <c r="GY1" s="2982" t="s">
        <v>1946</v>
      </c>
      <c r="GZ1" s="2982" t="s">
        <v>1947</v>
      </c>
      <c r="HA1" s="2982" t="s">
        <v>1948</v>
      </c>
      <c r="HB1" s="2982" t="s">
        <v>1949</v>
      </c>
      <c r="HC1" s="2982" t="s">
        <v>1950</v>
      </c>
      <c r="HD1" s="2982" t="s">
        <v>1951</v>
      </c>
      <c r="HE1" s="2982" t="s">
        <v>1952</v>
      </c>
      <c r="HF1" s="2982" t="s">
        <v>1953</v>
      </c>
      <c r="HG1" s="2982" t="s">
        <v>1954</v>
      </c>
      <c r="HH1" s="2982" t="s">
        <v>1955</v>
      </c>
      <c r="HI1" s="2982" t="s">
        <v>1956</v>
      </c>
      <c r="HJ1" s="2982" t="s">
        <v>1957</v>
      </c>
      <c r="HK1" s="2982" t="s">
        <v>1958</v>
      </c>
      <c r="HL1" s="2982" t="s">
        <v>1959</v>
      </c>
      <c r="HM1" s="2982" t="s">
        <v>1960</v>
      </c>
      <c r="HN1" s="2982" t="s">
        <v>1961</v>
      </c>
      <c r="HO1" s="2982" t="s">
        <v>1962</v>
      </c>
      <c r="HP1" s="2982" t="s">
        <v>1963</v>
      </c>
      <c r="HQ1" s="2982" t="s">
        <v>1964</v>
      </c>
      <c r="HR1" s="2982" t="s">
        <v>1965</v>
      </c>
      <c r="HS1" s="2982" t="s">
        <v>1966</v>
      </c>
      <c r="HT1" s="2982" t="s">
        <v>1967</v>
      </c>
      <c r="HU1" s="2982" t="s">
        <v>1968</v>
      </c>
      <c r="HV1" s="2982" t="s">
        <v>1969</v>
      </c>
      <c r="HW1" s="2982" t="s">
        <v>1970</v>
      </c>
      <c r="HX1" s="2982" t="s">
        <v>1971</v>
      </c>
      <c r="HY1" s="2982" t="s">
        <v>1972</v>
      </c>
      <c r="HZ1" s="2978" t="s">
        <v>1973</v>
      </c>
      <c r="IA1" s="2978" t="s">
        <v>1974</v>
      </c>
      <c r="IB1" s="2978" t="s">
        <v>1975</v>
      </c>
      <c r="IC1" s="2978" t="s">
        <v>1976</v>
      </c>
      <c r="ID1" s="2978" t="s">
        <v>1977</v>
      </c>
      <c r="IE1" s="2978" t="s">
        <v>1978</v>
      </c>
      <c r="IF1" s="2978" t="s">
        <v>1979</v>
      </c>
      <c r="IG1" s="2978" t="s">
        <v>1980</v>
      </c>
      <c r="IH1" s="2978" t="s">
        <v>1981</v>
      </c>
      <c r="II1" s="2978" t="s">
        <v>1982</v>
      </c>
      <c r="IJ1" s="2978" t="s">
        <v>1983</v>
      </c>
      <c r="IK1" s="2978" t="s">
        <v>1984</v>
      </c>
      <c r="IL1" s="2978" t="s">
        <v>1985</v>
      </c>
      <c r="IM1" s="2978" t="s">
        <v>1986</v>
      </c>
      <c r="IN1" s="2978" t="s">
        <v>1987</v>
      </c>
      <c r="IO1" s="2978" t="s">
        <v>1988</v>
      </c>
      <c r="IP1" s="2978" t="s">
        <v>1989</v>
      </c>
      <c r="IQ1" s="2978" t="s">
        <v>1990</v>
      </c>
      <c r="IR1" s="2978" t="s">
        <v>1991</v>
      </c>
      <c r="IS1" s="2978" t="s">
        <v>1992</v>
      </c>
      <c r="IT1" s="2978" t="s">
        <v>1993</v>
      </c>
      <c r="IU1" s="2978" t="s">
        <v>1994</v>
      </c>
      <c r="IV1" s="2978" t="s">
        <v>1995</v>
      </c>
      <c r="IW1" s="2978" t="s">
        <v>1996</v>
      </c>
      <c r="IX1" s="1734" t="s">
        <v>667</v>
      </c>
      <c r="IY1" s="2977" t="s">
        <v>1997</v>
      </c>
      <c r="IZ1" s="2977" t="s">
        <v>1998</v>
      </c>
      <c r="JA1" s="2977" t="s">
        <v>1999</v>
      </c>
      <c r="JB1" s="2977" t="s">
        <v>2000</v>
      </c>
      <c r="JC1" s="2977" t="s">
        <v>2001</v>
      </c>
      <c r="JD1" s="2977" t="s">
        <v>2002</v>
      </c>
      <c r="JE1" s="2977" t="s">
        <v>2003</v>
      </c>
      <c r="JF1" s="2977" t="s">
        <v>2004</v>
      </c>
      <c r="JG1" s="2977" t="s">
        <v>2005</v>
      </c>
      <c r="JH1" s="2977" t="s">
        <v>2006</v>
      </c>
      <c r="JI1" s="2977" t="s">
        <v>2007</v>
      </c>
      <c r="JJ1" s="2977" t="s">
        <v>2008</v>
      </c>
      <c r="JK1" s="2977" t="s">
        <v>2009</v>
      </c>
      <c r="JL1" s="2977" t="s">
        <v>2010</v>
      </c>
      <c r="JM1" s="2978" t="s">
        <v>2011</v>
      </c>
      <c r="JN1" s="2978" t="s">
        <v>2012</v>
      </c>
      <c r="JO1" s="2978" t="s">
        <v>2013</v>
      </c>
      <c r="JP1" s="2978" t="s">
        <v>2014</v>
      </c>
      <c r="JQ1" s="2978" t="s">
        <v>2015</v>
      </c>
      <c r="JR1" s="2978" t="s">
        <v>2016</v>
      </c>
      <c r="JS1" s="2978" t="s">
        <v>2017</v>
      </c>
      <c r="JT1" s="2978" t="s">
        <v>2018</v>
      </c>
      <c r="JU1" s="2978" t="s">
        <v>2019</v>
      </c>
      <c r="JV1" s="2978" t="s">
        <v>2020</v>
      </c>
      <c r="JW1" s="2978" t="s">
        <v>2021</v>
      </c>
      <c r="JX1" s="2978" t="s">
        <v>2022</v>
      </c>
      <c r="JY1" s="2978" t="s">
        <v>2023</v>
      </c>
      <c r="JZ1" s="2978" t="s">
        <v>2024</v>
      </c>
      <c r="KA1" s="2978" t="s">
        <v>2025</v>
      </c>
      <c r="KB1" s="2978" t="s">
        <v>2026</v>
      </c>
      <c r="KC1" s="2978" t="s">
        <v>2027</v>
      </c>
      <c r="KD1" s="2978" t="s">
        <v>2028</v>
      </c>
      <c r="KE1" s="2978" t="s">
        <v>2029</v>
      </c>
      <c r="KF1" s="2978" t="s">
        <v>2030</v>
      </c>
      <c r="KG1" s="2978" t="s">
        <v>2031</v>
      </c>
      <c r="KH1" s="2978" t="s">
        <v>2032</v>
      </c>
      <c r="KI1" s="2978" t="s">
        <v>2033</v>
      </c>
      <c r="KJ1" s="2978" t="s">
        <v>2034</v>
      </c>
      <c r="KK1" s="2978" t="s">
        <v>2035</v>
      </c>
      <c r="KL1" s="2978" t="s">
        <v>2036</v>
      </c>
      <c r="KM1" s="2978" t="s">
        <v>2037</v>
      </c>
      <c r="KN1" s="2978" t="s">
        <v>2038</v>
      </c>
      <c r="KO1" s="2987" t="s">
        <v>2039</v>
      </c>
      <c r="KP1" s="2987" t="s">
        <v>2040</v>
      </c>
      <c r="KQ1" s="2987" t="s">
        <v>2041</v>
      </c>
      <c r="KR1" s="2987" t="s">
        <v>2042</v>
      </c>
      <c r="KS1" s="2987" t="s">
        <v>2043</v>
      </c>
      <c r="KT1" s="2987" t="s">
        <v>2044</v>
      </c>
      <c r="KU1" s="2987" t="s">
        <v>2045</v>
      </c>
      <c r="KV1" s="2987" t="s">
        <v>2046</v>
      </c>
      <c r="KW1" s="2987" t="s">
        <v>2047</v>
      </c>
      <c r="KX1" s="2987" t="s">
        <v>2048</v>
      </c>
      <c r="KY1" s="2987" t="s">
        <v>2049</v>
      </c>
      <c r="KZ1" s="2987" t="s">
        <v>2050</v>
      </c>
      <c r="LA1" s="2987" t="s">
        <v>2051</v>
      </c>
      <c r="LB1" s="2987" t="s">
        <v>2052</v>
      </c>
      <c r="LC1" s="2987" t="s">
        <v>2053</v>
      </c>
      <c r="LD1" s="2987" t="s">
        <v>2054</v>
      </c>
      <c r="LE1" s="2987" t="s">
        <v>2055</v>
      </c>
      <c r="LF1" s="2987" t="s">
        <v>2056</v>
      </c>
      <c r="LG1" s="2987" t="s">
        <v>2057</v>
      </c>
      <c r="LH1" s="2987" t="s">
        <v>2058</v>
      </c>
      <c r="LI1" s="2987" t="s">
        <v>2059</v>
      </c>
      <c r="LJ1" s="2987" t="s">
        <v>2060</v>
      </c>
      <c r="LK1" s="2987" t="s">
        <v>2061</v>
      </c>
      <c r="LL1" s="2987" t="s">
        <v>2062</v>
      </c>
      <c r="LM1" s="2988" t="s">
        <v>2063</v>
      </c>
      <c r="LN1" s="2988" t="s">
        <v>2064</v>
      </c>
      <c r="LO1" s="2988" t="s">
        <v>2065</v>
      </c>
      <c r="LP1" s="2988" t="s">
        <v>2066</v>
      </c>
      <c r="LQ1" s="2988" t="s">
        <v>2067</v>
      </c>
      <c r="LR1" s="2988" t="s">
        <v>2068</v>
      </c>
      <c r="LS1" s="2988" t="s">
        <v>2069</v>
      </c>
      <c r="LT1" s="2988" t="s">
        <v>2070</v>
      </c>
      <c r="LU1" s="2988" t="s">
        <v>2071</v>
      </c>
      <c r="LV1" s="2988" t="s">
        <v>2072</v>
      </c>
      <c r="LW1" s="2988" t="s">
        <v>2073</v>
      </c>
      <c r="LX1" s="2988" t="s">
        <v>2074</v>
      </c>
      <c r="LY1" s="2988" t="s">
        <v>2075</v>
      </c>
      <c r="LZ1" s="2988" t="s">
        <v>2076</v>
      </c>
      <c r="MA1" s="2988" t="s">
        <v>2077</v>
      </c>
      <c r="MB1" s="2988" t="s">
        <v>2078</v>
      </c>
      <c r="MC1" s="2988" t="s">
        <v>2079</v>
      </c>
      <c r="MD1" s="2988" t="s">
        <v>2080</v>
      </c>
      <c r="ME1" s="2989" t="s">
        <v>2081</v>
      </c>
      <c r="MF1" s="2989" t="s">
        <v>2082</v>
      </c>
      <c r="MG1" s="2989" t="s">
        <v>2083</v>
      </c>
      <c r="MH1" s="2989" t="s">
        <v>2084</v>
      </c>
      <c r="MI1" s="2989" t="s">
        <v>2085</v>
      </c>
      <c r="MJ1" s="2989" t="s">
        <v>2086</v>
      </c>
      <c r="MK1" s="2989" t="s">
        <v>2087</v>
      </c>
      <c r="ML1" s="2977" t="s">
        <v>2088</v>
      </c>
      <c r="MM1" s="2977" t="s">
        <v>2089</v>
      </c>
      <c r="MN1" s="2977" t="s">
        <v>2090</v>
      </c>
      <c r="MO1" s="2977" t="s">
        <v>2091</v>
      </c>
      <c r="MP1" s="2977" t="s">
        <v>2092</v>
      </c>
      <c r="MQ1" s="2977" t="s">
        <v>2093</v>
      </c>
      <c r="MR1" s="2977" t="s">
        <v>2094</v>
      </c>
      <c r="MS1" s="2977" t="s">
        <v>2095</v>
      </c>
      <c r="MT1" s="2977" t="s">
        <v>2096</v>
      </c>
      <c r="MU1" s="2977" t="s">
        <v>2097</v>
      </c>
      <c r="MV1" s="2977" t="s">
        <v>2098</v>
      </c>
      <c r="MW1" s="2977" t="s">
        <v>2099</v>
      </c>
      <c r="MX1" s="2977" t="s">
        <v>2100</v>
      </c>
      <c r="MY1" s="2977" t="s">
        <v>2101</v>
      </c>
      <c r="MZ1" s="2987" t="s">
        <v>2102</v>
      </c>
      <c r="NA1" s="2987" t="s">
        <v>2103</v>
      </c>
      <c r="NB1" s="2987" t="s">
        <v>2104</v>
      </c>
      <c r="NC1" s="2987" t="s">
        <v>2105</v>
      </c>
      <c r="ND1" s="2987" t="s">
        <v>2106</v>
      </c>
      <c r="NE1" s="2987" t="s">
        <v>2107</v>
      </c>
      <c r="NF1" s="2987" t="s">
        <v>2108</v>
      </c>
      <c r="NG1" s="2987" t="s">
        <v>2109</v>
      </c>
      <c r="NH1" s="2987" t="s">
        <v>2110</v>
      </c>
      <c r="NI1" s="2987" t="s">
        <v>2111</v>
      </c>
      <c r="NJ1" s="2987" t="s">
        <v>2112</v>
      </c>
      <c r="NK1" s="2987" t="s">
        <v>2113</v>
      </c>
      <c r="NL1" s="2987" t="s">
        <v>2114</v>
      </c>
      <c r="NM1" s="2987" t="s">
        <v>2115</v>
      </c>
      <c r="NN1" s="2987" t="s">
        <v>2116</v>
      </c>
      <c r="NO1" s="2987" t="s">
        <v>2117</v>
      </c>
      <c r="NP1" s="2987" t="s">
        <v>2118</v>
      </c>
      <c r="NQ1" s="2987" t="s">
        <v>2119</v>
      </c>
      <c r="NR1" s="2987" t="s">
        <v>2120</v>
      </c>
      <c r="NS1" s="2987" t="s">
        <v>2121</v>
      </c>
      <c r="NT1" s="2987" t="s">
        <v>2122</v>
      </c>
      <c r="NU1" s="2987" t="s">
        <v>2123</v>
      </c>
      <c r="NV1" s="2987" t="s">
        <v>2124</v>
      </c>
      <c r="NW1" s="2987" t="s">
        <v>2125</v>
      </c>
      <c r="NX1" s="2978" t="s">
        <v>2126</v>
      </c>
      <c r="NY1" s="2978" t="s">
        <v>2127</v>
      </c>
      <c r="NZ1" s="2978" t="s">
        <v>2128</v>
      </c>
      <c r="OA1" s="2978" t="s">
        <v>2129</v>
      </c>
      <c r="OB1" s="2978" t="s">
        <v>2130</v>
      </c>
      <c r="OC1" s="2978" t="s">
        <v>2131</v>
      </c>
      <c r="OD1" s="2982" t="s">
        <v>2132</v>
      </c>
      <c r="OE1" s="2982" t="s">
        <v>2133</v>
      </c>
      <c r="OF1" s="2982" t="s">
        <v>2134</v>
      </c>
      <c r="OG1" s="2982" t="s">
        <v>2135</v>
      </c>
      <c r="OH1" s="2982" t="s">
        <v>2136</v>
      </c>
      <c r="OI1" s="2982" t="s">
        <v>2137</v>
      </c>
      <c r="OJ1" s="2978" t="s">
        <v>2138</v>
      </c>
      <c r="OK1" s="2978" t="s">
        <v>2139</v>
      </c>
      <c r="OL1" s="2978" t="s">
        <v>2140</v>
      </c>
      <c r="OM1" s="2978" t="s">
        <v>2141</v>
      </c>
      <c r="ON1" s="2978" t="s">
        <v>2142</v>
      </c>
      <c r="OO1" s="2978" t="s">
        <v>2143</v>
      </c>
      <c r="OP1" s="2978" t="s">
        <v>2144</v>
      </c>
      <c r="OQ1" s="2978" t="s">
        <v>2145</v>
      </c>
      <c r="OR1" s="2978" t="s">
        <v>2146</v>
      </c>
      <c r="OS1" s="2978" t="s">
        <v>2147</v>
      </c>
      <c r="OT1" s="2978" t="s">
        <v>2148</v>
      </c>
      <c r="OU1" s="2978" t="s">
        <v>2149</v>
      </c>
      <c r="OV1" s="2990" t="s">
        <v>2150</v>
      </c>
      <c r="OW1" s="2990" t="s">
        <v>2151</v>
      </c>
      <c r="OX1" s="2990" t="s">
        <v>2152</v>
      </c>
      <c r="OY1" s="2990" t="s">
        <v>2153</v>
      </c>
      <c r="OZ1" s="2990" t="s">
        <v>2154</v>
      </c>
      <c r="PA1" s="2990" t="s">
        <v>2155</v>
      </c>
      <c r="PB1" s="2990" t="s">
        <v>2156</v>
      </c>
      <c r="PC1" s="2990" t="s">
        <v>2157</v>
      </c>
      <c r="PD1" s="2990" t="s">
        <v>2158</v>
      </c>
      <c r="PE1" s="2990" t="s">
        <v>2159</v>
      </c>
      <c r="PF1" s="2990" t="s">
        <v>2160</v>
      </c>
      <c r="PG1" s="2990" t="s">
        <v>2161</v>
      </c>
      <c r="PH1" s="2990" t="s">
        <v>2162</v>
      </c>
      <c r="PI1" s="2990" t="s">
        <v>2163</v>
      </c>
      <c r="PJ1" s="2990" t="s">
        <v>2164</v>
      </c>
      <c r="PK1" s="2990" t="s">
        <v>2165</v>
      </c>
      <c r="PL1" s="2990" t="s">
        <v>2166</v>
      </c>
      <c r="PM1" s="2990" t="s">
        <v>2167</v>
      </c>
      <c r="PT1" s="1734" t="s">
        <v>1461</v>
      </c>
      <c r="PU1" s="1734" t="s">
        <v>682</v>
      </c>
    </row>
    <row r="2" spans="1:441" x14ac:dyDescent="0.3">
      <c r="A2" s="1070" t="str">
        <f>Input!D4</f>
        <v>Life Sciences</v>
      </c>
      <c r="B2" s="1070" t="str">
        <f>Input!D5</f>
        <v>BDB</v>
      </c>
      <c r="C2" s="2991">
        <f>Input!D11</f>
        <v>0</v>
      </c>
      <c r="D2" s="1070">
        <f>Input!D10</f>
        <v>0</v>
      </c>
      <c r="E2" s="1082">
        <f>Input!D15</f>
        <v>0</v>
      </c>
      <c r="F2" s="1082">
        <f>Input!J15</f>
        <v>0</v>
      </c>
      <c r="G2" s="2991"/>
      <c r="H2" s="2991"/>
      <c r="I2" s="2991"/>
      <c r="J2" s="2991" t="s">
        <v>1757</v>
      </c>
      <c r="K2" s="1070" t="str">
        <f t="shared" ref="K2:K34" si="0">PU2</f>
        <v>2012</v>
      </c>
      <c r="L2" s="1070">
        <f>IF(PPT!$D$2="$ M",IFERROR(HLOOKUP($PT2,PPT!$E$117:$BJ$119,3,0),0)*1000,IFERROR(HLOOKUP($PT2,PPT!$E$117:$BJ$119,3,0),0))</f>
        <v>0</v>
      </c>
      <c r="M2" s="1070">
        <f>IF(PPT!$D$2="$ M",IFERROR(HLOOKUP($PT2,PPT!$E$133:$BJ$159,4,0),0)*1000,IFERROR(HLOOKUP($PT2,PPT!$E$133:$BJ$159,4,0),0))</f>
        <v>0</v>
      </c>
      <c r="N2" s="1070">
        <f>IF(PPT!$D$2="$ M",IFERROR(HLOOKUP($PT2,PPT!$E$133:$BJ$159,5,0),0)*1000,IFERROR(HLOOKUP($PT2,PPT!$E$133:$BJ$159,5,0),0))</f>
        <v>0</v>
      </c>
      <c r="O2" s="1070">
        <f>IF(PPT!$D$2="$ M",IFERROR(HLOOKUP($PT2,PPT!$E$133:$BJ$159,6,0),0)*1000,IFERROR(HLOOKUP($PT2,PPT!$E$133:$BJ$159,6,0),0))</f>
        <v>0</v>
      </c>
      <c r="P2" s="1070">
        <f>IF(PPT!$D$2="$ M",IFERROR(HLOOKUP($PT2,PPT!$E$133:$BJ$159,7,0),0)*1000,IFERROR(HLOOKUP($PT2,PPT!$E$133:$BJ$159,7,0),0))</f>
        <v>0</v>
      </c>
      <c r="Q2" s="1070">
        <f>IFERROR(HLOOKUP($PT2,Calc!$G$125:$AI$146,3,0),0)</f>
        <v>0</v>
      </c>
      <c r="R2" s="1070">
        <f>IF(PPT!$D$2="$ M",IFERROR(HLOOKUP($PT2,PPT!$E$133:$BJ$159,9,0),0),IFERROR(HLOOKUP($PT2,PPT!$E$133:$BJ$159,9,0),0))</f>
        <v>0</v>
      </c>
      <c r="S2" s="1070">
        <f>IF(PPT!$D$2="$ M",IFERROR(HLOOKUP($PT2,PPT!$E$133:$BJ$159,10,0),0),IFERROR(HLOOKUP($PT2,PPT!$E$133:$BJ$159,10,0),0))</f>
        <v>0</v>
      </c>
      <c r="T2" s="1070">
        <f>IFERROR(IF(Calc!$C$129="Dollar ($)",HLOOKUP($PT2,Calc!$G$125:$AI$146,5,0),0),0)</f>
        <v>0</v>
      </c>
      <c r="U2" s="1070">
        <f>IFERROR(IF(Calc!$C$129="Volume (units)",HLOOKUP($PT2,Calc!$G$125:$AI$146,5,0),0),0)</f>
        <v>0</v>
      </c>
      <c r="V2" s="1070">
        <f>IFERROR(HLOOKUP($PT2,Calc!$G$125:$AI$146,6,0),0)</f>
        <v>0</v>
      </c>
      <c r="W2" s="1070">
        <f>IFERROR(HLOOKUP($PT2,Calc!$G$125:$AI$146,7,0),0)</f>
        <v>0</v>
      </c>
      <c r="X2" s="1070">
        <f>IFERROR(HLOOKUP($PT2,Calc!$G$125:$AI$146,8,0),0)</f>
        <v>0</v>
      </c>
      <c r="Y2" s="1070">
        <f>IFERROR(HLOOKUP($PT2,Calc!$G$125:$AI$146,9,0),0)</f>
        <v>0</v>
      </c>
      <c r="Z2" s="1070">
        <f>IFERROR(HLOOKUP($PT2,Calc!$G$125:$AI$146,10,0),0)</f>
        <v>0</v>
      </c>
      <c r="AA2" s="1070">
        <f>IFERROR(HLOOKUP($PT2,Calc!$G$125:$AI$146,11,0),0)</f>
        <v>0</v>
      </c>
      <c r="AB2" s="1070">
        <f>IFERROR(HLOOKUP($PT2,Calc!$G$125:$AI$146,12,0),0)</f>
        <v>0</v>
      </c>
      <c r="AC2" s="1070">
        <f>IFERROR(HLOOKUP($PT2,Calc!$G$125:$AI$146,13,0),0)</f>
        <v>0</v>
      </c>
      <c r="AD2" s="1070">
        <f>IFERROR(HLOOKUP($PT2,Calc!$G$125:$AI$146,14,0),0)</f>
        <v>0</v>
      </c>
      <c r="AE2" s="1070">
        <f>IFERROR(HLOOKUP($PT2,Calc!$G$125:$AI$146,15,0),0)</f>
        <v>0</v>
      </c>
      <c r="AF2" s="1070">
        <f>IFERROR(HLOOKUP($PT2,Calc!$G$125:$AI$146,16,0),0)</f>
        <v>0</v>
      </c>
      <c r="AG2" s="1070">
        <f>IFERROR(HLOOKUP($PT2,Calc!$G$125:$AI$146,17,0),0)</f>
        <v>0</v>
      </c>
      <c r="AH2" s="1070">
        <f>IFERROR(HLOOKUP($PT2,Calc!$G$125:$AI$146,18,0),0)</f>
        <v>0</v>
      </c>
      <c r="AI2" s="1070">
        <f>IFERROR(HLOOKUP($PT2,Calc!$G$125:$AI$146,19,0),0)</f>
        <v>0</v>
      </c>
      <c r="AJ2" s="1070">
        <f>IFERROR(HLOOKUP($PT2,Calc!$G$125:$AI$146,20,0),0)</f>
        <v>0</v>
      </c>
      <c r="AK2" s="1070">
        <f>IFERROR(HLOOKUP($PT2,Calc!$G$125:$AI$146,21,0),0)</f>
        <v>0</v>
      </c>
      <c r="AL2" s="1070">
        <f>IFERROR(HLOOKUP($PT2,Calc!$G$125:$AI$146,22,0),0)</f>
        <v>0</v>
      </c>
      <c r="AM2" s="1070">
        <f>IFERROR(HLOOKUP($PT2,Calc!$G$125:$AI$147,23,0),0)</f>
        <v>0</v>
      </c>
      <c r="AN2" s="1070">
        <f>IF(PPT!$D$2="$ M",IFERROR(HLOOKUP($PT2,PPT!$E$131:$BJ$159,5,0),0)*1000,IFERROR(HLOOKUP($PT2,PPT!$E$131:$BJ$159,5,0),0))</f>
        <v>0</v>
      </c>
      <c r="AO2" s="1070">
        <f>IF(PPT!$D$2="$ M",IFERROR(HLOOKUP($PT2,PPT!$E$131:$BJ$159,6,0),0)*1000,IFERROR(HLOOKUP($PT2,PPT!$E$131:$BJ$159,6,0),0))</f>
        <v>0</v>
      </c>
      <c r="AP2" s="1070">
        <f>IF(PPT!$D$2="$ M",IFERROR(HLOOKUP($PT2,PPT!$E$131:$BJ$159,7,0),0)*1000,IFERROR(HLOOKUP($PT2,PPT!$E$131:$BJ$159,7,0),0))</f>
        <v>0</v>
      </c>
      <c r="AQ2" s="1070">
        <f>IF(PPT!$D$2="$ M",IFERROR(HLOOKUP($PT2,PPT!$E$131:$BJ$159,8,0),0)*1000,IFERROR(HLOOKUP($PT2,PPT!$E$131:$BJ$159,8,0),0))</f>
        <v>0</v>
      </c>
      <c r="AR2" s="1070">
        <f>IF(PPT!$D$2="$ M",IFERROR(HLOOKUP($PT2,PPT!$E$131:$BJ$159,9,0),0)*1000,IFERROR(HLOOKUP($PT2,PPT!$E$131:$BJ$159,9,0),0))</f>
        <v>0</v>
      </c>
      <c r="AS2" s="1070">
        <f>IF(PPT!$D$2="$ M",IFERROR(HLOOKUP($PT2,PPT!$E$131:$BJ$159,10,0),0)*1000,IFERROR(HLOOKUP($PT2,PPT!$E$131:$BJ$159,10,0),0))</f>
        <v>0</v>
      </c>
      <c r="AT2" s="1070">
        <f>IF(PPT!$D$2="$ M",IFERROR(HLOOKUP($PT2,PPT!$E$131:$BJ$159,13,0),0)*1000,IFERROR(HLOOKUP($PT2,PPT!$E$131:$BJ$159,13,0),0))</f>
        <v>0</v>
      </c>
      <c r="AU2" s="1070">
        <f>IF(PPT!$D$2="$ M",IFERROR(HLOOKUP($PT2,PPT!$E$131:$BJ$159,14,0),0)*1000,IFERROR(HLOOKUP($PT2,PPT!$E$131:$BJ$159,14,0),0))</f>
        <v>0</v>
      </c>
      <c r="AV2" s="1070">
        <f>IF(PPT!$D$2="$ M",IFERROR(HLOOKUP($PT2,PPT!$E$131:$BJ$159,15,0),0)*1000,IFERROR(HLOOKUP($PT2,PPT!$E$131:$BJ$159,15,0),0))</f>
        <v>0</v>
      </c>
      <c r="AW2" s="1070">
        <f>IF(PPT!$D$2="$ M",IFERROR(HLOOKUP($PT2,PPT!$E$131:$BJ$159,17,0),0)*1000,IFERROR(HLOOKUP($PT2,PPT!$E$131:$BJ$159,17,0),0))</f>
        <v>0</v>
      </c>
      <c r="AX2" s="1070">
        <f>IF(PPT!$D$2="$ M",IFERROR(HLOOKUP($PT2,PPT!$E$131:$BJ$159,18,0),0)*1000,IFERROR(HLOOKUP($PT2,PPT!$E$131:$BJ$159,18,0),0))</f>
        <v>0</v>
      </c>
      <c r="AY2" s="1070">
        <f>IF(PPT!$D$2="$ M",IFERROR(HLOOKUP($PT2,PPT!$E$131:$BJ$159,19,0),0)*1000,IFERROR(HLOOKUP($PT2,PPT!$E$131:$BJ$159,19,0),0))</f>
        <v>0</v>
      </c>
      <c r="AZ2" s="1070">
        <f>IF(PPT!$D$2="$ M",IFERROR(HLOOKUP($PT2,PPT!$E$131:$BJ$159,21,0),0)*1000,IFERROR(HLOOKUP($PT2,PPT!$E$131:$BJ$159,21,0),0))</f>
        <v>0</v>
      </c>
      <c r="BA2" s="1070">
        <f>IF(PPT!$D$2="$ M",IFERROR(HLOOKUP($PT2,PPT!$E$131:$BJ$159,22,0),0)*1000,IFERROR(HLOOKUP($PT2,PPT!$E$131:$BJ$159,22,0),0))</f>
        <v>0</v>
      </c>
      <c r="BB2" s="1070">
        <f>IF(PPT!$D$2="$ M",IFERROR(HLOOKUP($PT2,PPT!$E$131:$BJ$159,23,0),0)*1000,IFERROR(HLOOKUP($PT2,PPT!$E$131:$BJ$159,23,0),0))</f>
        <v>0</v>
      </c>
      <c r="BC2" s="1070">
        <f>IF(PPT!$D$2="$ M",IFERROR(HLOOKUP($PT2,PPT!$E$131:$BJ$159,25,0),0)*1000,IFERROR(HLOOKUP($PT2,PPT!$E$131:$BJ$159,25,0),0))</f>
        <v>0</v>
      </c>
      <c r="BD2" s="1070">
        <f>IF(PPT!$D$2="$ M",IFERROR(HLOOKUP($PT2,PPT!$E$131:$BJ$159,26,0),0)*1000,IFERROR(HLOOKUP($PT2,PPT!$E$131:$BJ$159,26,0),0))</f>
        <v>0</v>
      </c>
      <c r="BE2" s="1070">
        <f>IF(PPT!$D$2="$ M",IFERROR(HLOOKUP($PT2,PPT!$E$131:$BJ$159,27,0),0)*1000,IFERROR(HLOOKUP($PT2,PPT!$E$131:$BJ$159,27,0),0))</f>
        <v>0</v>
      </c>
      <c r="BF2" s="1070">
        <f>IFERROR(HLOOKUP($PT2,Calc!$F$151:$P$166,2,0),0)</f>
        <v>0</v>
      </c>
      <c r="BG2" s="1070">
        <f>IFERROR(HLOOKUP($PT2,Calc!$F$151:$P$166,3,0),0)</f>
        <v>0</v>
      </c>
      <c r="BH2" s="1070">
        <f>IFERROR(HLOOKUP($PT2,Calc!$F$151:$P$166,4,0),0)</f>
        <v>0</v>
      </c>
      <c r="BI2" s="1070">
        <f>IFERROR(HLOOKUP($PT2,Calc!$F$151:$P$166,5,0),0)</f>
        <v>0</v>
      </c>
      <c r="BJ2" s="1070">
        <f>IFERROR(HLOOKUP($PT2,Calc!$F$151:$P$166,6,0),0)</f>
        <v>0</v>
      </c>
      <c r="BK2" s="1070">
        <f>IFERROR(HLOOKUP($PT2,Calc!$F$151:$P$166,7,0),0)</f>
        <v>0</v>
      </c>
      <c r="BL2" s="1070">
        <f>IFERROR(HLOOKUP($PT2,Calc!$F$151:$P$166,8,0),0)</f>
        <v>0</v>
      </c>
      <c r="BM2" s="1070">
        <f>IFERROR(HLOOKUP($PT2,Calc!$F$151:$P$166,9,0),0)</f>
        <v>0</v>
      </c>
      <c r="BN2" s="1070">
        <f>IFERROR(HLOOKUP($PT2,Calc!$F$151:$P$166,10,0),0)</f>
        <v>0</v>
      </c>
      <c r="BO2" s="1070">
        <f>IFERROR(HLOOKUP($PT2,Calc!$F$151:$P$166,11,0),0)</f>
        <v>0</v>
      </c>
      <c r="BP2" s="1070">
        <f>IFERROR(HLOOKUP($PT2,Calc!$F$151:$P$166,12,0),0)</f>
        <v>0</v>
      </c>
      <c r="BQ2" s="1070">
        <f>IFERROR(HLOOKUP($PT2,Calc!$F$151:$P$166,13,0),0)</f>
        <v>0</v>
      </c>
      <c r="BR2" s="1070">
        <f>IFERROR(HLOOKUP($PT2,Calc!$F$151:$P$166,14,0),0)</f>
        <v>0</v>
      </c>
      <c r="BS2" s="1070">
        <f>IFERROR(HLOOKUP($PT2,Calc!$F$151:$P$166,15,0),0)</f>
        <v>0</v>
      </c>
      <c r="BT2" s="1070">
        <f>IFERROR(HLOOKUP($PT2,Calc!$F$151:$P$166,16,0),0)</f>
        <v>0</v>
      </c>
      <c r="BU2" s="1070">
        <f>IFERROR(VLOOKUP($PS2,Calc!$AF$196:$AH$203,2,0),0)</f>
        <v>0</v>
      </c>
      <c r="BV2" s="1070">
        <f>IFERROR(VLOOKUP($PS2,Calc!$AF$196:$AH$203,3,0),0)</f>
        <v>0</v>
      </c>
      <c r="BW2" s="1070">
        <f>IFERROR(VLOOKUP($PS2,Calc!$AF$196:$AI$203,4,0),0)</f>
        <v>0</v>
      </c>
      <c r="BX2" s="1070">
        <f>IFERROR(VLOOKUP($PS2,Calc!$AF$208:$AI$209,2,0),0)</f>
        <v>0</v>
      </c>
      <c r="BY2" s="1070">
        <f>IFERROR(VLOOKUP($PS2,Calc!$AF$208:$AI$209,3,0),0)</f>
        <v>0</v>
      </c>
      <c r="BZ2" s="1070">
        <f>IFERROR(VLOOKUP($PS2,Calc!$AF$208:$AI$209,4,0),0)</f>
        <v>0</v>
      </c>
      <c r="CA2" s="1070">
        <f>IFERROR(VLOOKUP($PS2,Calc!$K$420:$P$433,3,0),0)</f>
        <v>0</v>
      </c>
      <c r="CB2" s="1070">
        <f>IFERROR(VLOOKUP($PS2,Calc!$K$420:$P$433,4,0),0)</f>
        <v>0</v>
      </c>
      <c r="CC2" s="1070">
        <f>IFERROR(VLOOKUP($PS2,Calc!$K$420:$P$433,5,0),0)</f>
        <v>0</v>
      </c>
      <c r="CD2" s="1070">
        <f>IFERROR(VLOOKUP($PS2,Calc!$K$420:$P$433,6,0),0)</f>
        <v>0</v>
      </c>
      <c r="CE2" s="1070">
        <f>IFERROR(VLOOKUP($PS2,Calc!$AQ$420:$AV$433,3,0),0)</f>
        <v>0</v>
      </c>
      <c r="CF2" s="1070">
        <f>IFERROR(VLOOKUP($PS2,Calc!$AQ$420:$AV$433,4,0),0)</f>
        <v>0</v>
      </c>
      <c r="CG2" s="1070">
        <f>IFERROR(VLOOKUP($PS2,Calc!$AQ$420:$AV$433,5,0),0)</f>
        <v>0</v>
      </c>
      <c r="CH2" s="1070">
        <f>IFERROR(VLOOKUP($PS2,Calc!$AQ$420:$AV$433,6,0),0)</f>
        <v>0</v>
      </c>
      <c r="CI2" s="1070">
        <f>IFERROR(HLOOKUP($PT2,Calc!$AQ$125:$BS$146,3,0),0)</f>
        <v>0</v>
      </c>
      <c r="CJ2" s="1070">
        <f>IFERROR(HLOOKUP($PT2,Calc!$AQ$125:$BS$146,6,0),0)</f>
        <v>0</v>
      </c>
      <c r="CK2" s="1070">
        <f>IFERROR(IF(Calc!$C$129="Dollar ($)",HLOOKUP($PT2,Calc!$AQ$125:$BS$146,5,0),0),0)</f>
        <v>0</v>
      </c>
      <c r="CL2" s="1070">
        <f>IFERROR(IF(Calc!$C$129="Volume (units)",HLOOKUP($PT2,Calc!$AQ$125:$BS$146,5,0),0),0)</f>
        <v>0</v>
      </c>
      <c r="CM2" s="1070">
        <f>IFERROR(HLOOKUP($PT2,Calc!$AQ$125:$BS$146,9,0),0)</f>
        <v>0</v>
      </c>
      <c r="CN2" s="1070">
        <f>IFERROR(HLOOKUP($PT2,Calc!$AQ$125:$BS$146,10,0),0)</f>
        <v>0</v>
      </c>
      <c r="CO2" s="1070">
        <f>IFERROR(HLOOKUP($PT2,Calc!$AQ$125:$BS$146,11,0),0)</f>
        <v>0</v>
      </c>
      <c r="CP2" s="1070">
        <f>IFERROR(HLOOKUP($PT2,Calc!$AQ$125:$BS$146,12,0),0)</f>
        <v>0</v>
      </c>
      <c r="CQ2" s="1070">
        <f>IFERROR(HLOOKUP($PT2,Calc!$AQ$125:$BS$146,13,0),0)</f>
        <v>0</v>
      </c>
      <c r="CR2" s="1070">
        <f>IFERROR(HLOOKUP($PT2,Calc!$AQ$125:$BS$146,17,0),0)</f>
        <v>0</v>
      </c>
      <c r="CS2" s="1070">
        <f>IFERROR(HLOOKUP($PT2,Calc!$AQ$125:$BS$146,19,0),0)</f>
        <v>0</v>
      </c>
      <c r="CT2" s="1070">
        <f>IFERROR(HLOOKUP($PT2,Calc!$AQ$125:$BS$146,20,0),0)</f>
        <v>0</v>
      </c>
      <c r="CU2" s="1070">
        <f>IFERROR(HLOOKUP($PT2,Calc!$AQ$125:$BS$146,21,0),0)</f>
        <v>0</v>
      </c>
      <c r="CV2" s="1070">
        <f>IFERROR(HLOOKUP($PT2,Calc!$AQ$125:$BS$147,23,0),0)</f>
        <v>0</v>
      </c>
      <c r="CW2" s="1070">
        <f>IFERROR(HLOOKUP($PT2,Calc!$AQ$9:$BS$15,5,0),0)+IFERROR(HLOOKUP($PT2,Calc!$AQ$30:$BS$36,5,0),0)+IFERROR(HLOOKUP($PT2,Calc!$AQ$51:$BS$57,5,0),0)+IFERROR(HLOOKUP($PT2,Calc!$AQ$72:$BS$78,5,0),0)+IFERROR(HLOOKUP($PT2,Calc!$AQ$93:$BS$99,5,0),0)</f>
        <v>0</v>
      </c>
      <c r="CX2" s="1070">
        <f>IFERROR(HLOOKUP($PT2,Calc!$AQ$9:$BS$15,6,0),0)+IFERROR(HLOOKUP($PT2,Calc!$AQ$30:$BS$36,6,0),0)+IFERROR(HLOOKUP($PT2,Calc!$AQ$51:$BS$57,6,0),0)+IFERROR(HLOOKUP($PT2,Calc!$AQ$72:$BS$78,6,0),0)+IFERROR(HLOOKUP($PT2,Calc!$AQ$93:$BS$99,6,0),0)</f>
        <v>0</v>
      </c>
      <c r="CY2" s="1070">
        <f>IFERROR(HLOOKUP($PT2,Calc!$AQ$9:$BS$15,7,0),0)+IFERROR(HLOOKUP($PT2,Calc!$AQ$30:$BS$36,7,0),0)+IFERROR(HLOOKUP($PT2,Calc!$AQ$51:$BS$57,7,0),0)+IFERROR(HLOOKUP($PT2,Calc!$AQ$72:$BS$78,7,0),0)+IFERROR(HLOOKUP($PT2,Calc!$AQ$93:$BS$99,7,0),0)</f>
        <v>0</v>
      </c>
      <c r="CZ2" s="1070">
        <f>IF(ISNUMBER(Calc!F176),Calc!F176,0)</f>
        <v>0.2026446052778943</v>
      </c>
      <c r="DA2" s="1070">
        <f>IF(ISNUMBER(Calc!F185),Calc!F185,0)</f>
        <v>0.39797793228123157</v>
      </c>
      <c r="DB2" s="1070">
        <f>IF(ISNUMBER(Calc!F177),Calc!F177,0)/1000</f>
        <v>21.75477969081026</v>
      </c>
      <c r="DC2" s="1070">
        <f>IF(ISNUMBER(Calc!F186),Calc!F186,0)/1000</f>
        <v>156.81243363929372</v>
      </c>
      <c r="DD2" s="1070">
        <f>IF(ISNUMBER(Calc!K176),Calc!K176,0)</f>
        <v>0.26443581159256935</v>
      </c>
      <c r="DE2" s="1070">
        <f>IF(ISNUMBER(Calc!K177),Calc!K177,0)/1000</f>
        <v>101.68322203437474</v>
      </c>
      <c r="DF2" s="1070">
        <f>IF(ISNUMBER(Calc!G176),Calc!G176,0)</f>
        <v>0</v>
      </c>
      <c r="DG2" s="1070">
        <f>IF(ISNUMBER(Calc!G185),Calc!G185,0)</f>
        <v>0</v>
      </c>
      <c r="DH2" s="1070">
        <f>IF(ISNUMBER(Calc!G177),Calc!G177,0)/1000</f>
        <v>0</v>
      </c>
      <c r="DI2" s="1070">
        <f>IF(ISNUMBER(Calc!G186),Calc!G186,0)/1000</f>
        <v>0</v>
      </c>
      <c r="DJ2" s="1070">
        <f>IF(ISNUMBER(Calc!L176),Calc!L176,0)</f>
        <v>0</v>
      </c>
      <c r="DK2" s="1070">
        <f>IF(ISNUMBER(Calc!L177),Calc!L177,0)/1000</f>
        <v>0</v>
      </c>
      <c r="DL2" s="1070">
        <f>IF(ISNUMBER(Calc!H176),Calc!H176,0)</f>
        <v>0</v>
      </c>
      <c r="DM2" s="1070">
        <f>IF(ISNUMBER(Calc!H185),Calc!H185,0)</f>
        <v>0</v>
      </c>
      <c r="DN2" s="1070">
        <f>IF(ISNUMBER(Calc!H177),Calc!H177,0)/1000</f>
        <v>0</v>
      </c>
      <c r="DO2" s="1070">
        <f>IF(ISNUMBER(Calc!H186),Calc!H186,0)/1000</f>
        <v>0</v>
      </c>
      <c r="DP2" s="1070">
        <f>IF(ISNUMBER(Calc!M176),Calc!M176,0)</f>
        <v>0</v>
      </c>
      <c r="DQ2" s="1070">
        <f>IF(ISNUMBER(Calc!M177),Calc!M177,0)/1000</f>
        <v>0</v>
      </c>
      <c r="DR2" s="1070">
        <f>IF(ISNUMBER(Calc!I176),Calc!I176,0)</f>
        <v>0.2026446052778943</v>
      </c>
      <c r="DS2" s="1070">
        <f>IF(ISNUMBER(Calc!I185),Calc!I185,0)</f>
        <v>0.39797793228123157</v>
      </c>
      <c r="DT2" s="1070">
        <f>IF(ISNUMBER(Calc!I177),Calc!I177,0)/1000</f>
        <v>21.75477969081026</v>
      </c>
      <c r="DU2" s="1070">
        <f>IF(ISNUMBER(Calc!I186),Calc!I186,0)/1000</f>
        <v>156.81243363929372</v>
      </c>
      <c r="DV2" s="1070">
        <f>IF(ISNUMBER(Calc!N176),Calc!N176,0)</f>
        <v>0.26443581159256935</v>
      </c>
      <c r="DW2" s="1070">
        <f>IF(ISNUMBER(Calc!N177),Calc!N177,0)/1000</f>
        <v>101.68322203437474</v>
      </c>
      <c r="DX2" s="1070">
        <f>IF(ISNUMBER(Calc!J176),Calc!J176,0)</f>
        <v>0</v>
      </c>
      <c r="DY2" s="1070">
        <f>IF(ISNUMBER(Calc!J185),Calc!J185,0)</f>
        <v>0</v>
      </c>
      <c r="DZ2" s="1070">
        <f>IF(ISNUMBER(Calc!J177),Calc!J177,0)/1000</f>
        <v>0</v>
      </c>
      <c r="EA2" s="1070">
        <f>IF(ISNUMBER(Calc!J186),Calc!J186,0)/1000</f>
        <v>0</v>
      </c>
      <c r="EB2" s="1070">
        <f>IF(ISNUMBER(Calc!O176),Calc!O176,0)</f>
        <v>0</v>
      </c>
      <c r="EC2" s="1070">
        <f>IF(ISNUMBER(Calc!O177),Calc!O177,0)/1000</f>
        <v>0</v>
      </c>
      <c r="ED2" s="1070">
        <f>IF(ISNUMBER(Calc!T153),Calc!T153,0)</f>
        <v>0</v>
      </c>
      <c r="EE2" s="1070">
        <f>IF(ISNUMBER(Calc!T154),Calc!T154,0)</f>
        <v>0</v>
      </c>
      <c r="EF2" s="1070">
        <f>IF(ISNUMBER(Calc!T155),Calc!T155,0)</f>
        <v>0</v>
      </c>
      <c r="EG2" s="1070">
        <f>IF(ISNUMBER(Calc!T156),Calc!T156,0)</f>
        <v>0</v>
      </c>
      <c r="EH2" s="1070">
        <f>IF(ISNUMBER(Calc!T161),Calc!T161,0)</f>
        <v>0</v>
      </c>
      <c r="EI2" s="1070">
        <f>IF(ISNUMBER(Calc!U153),Calc!U153,0)</f>
        <v>0</v>
      </c>
      <c r="EJ2" s="1070">
        <f>IF(ISNUMBER(Calc!U154),Calc!U154,0)</f>
        <v>0</v>
      </c>
      <c r="EK2" s="1070">
        <f>IF(ISNUMBER(Calc!U155),Calc!U155,0)</f>
        <v>0</v>
      </c>
      <c r="EL2" s="1070">
        <f>IF(ISNUMBER(Calc!U156),Calc!U156,0)</f>
        <v>0</v>
      </c>
      <c r="EM2" s="1070">
        <f>IF(ISNUMBER(Calc!U161),Calc!U161,0)</f>
        <v>0</v>
      </c>
      <c r="EN2" s="2992" t="e">
        <f>DATE("20"&amp;Input!$F$7,VLOOKUP(Input!$D$7,$S$105:$T$118,2,0),Input!$E$7)</f>
        <v>#VALUE!</v>
      </c>
      <c r="EO2" s="1070">
        <f>IF(ISNUMBER(Input!D47),Input!D47,0)</f>
        <v>0</v>
      </c>
      <c r="EP2" s="1070">
        <f>IF(ISNUMBER(Input!D48),Input!D48,0)</f>
        <v>0</v>
      </c>
      <c r="EQ2" s="1070">
        <f>IF(ISNUMBER(Input!D49),Input!D49,0)</f>
        <v>0</v>
      </c>
      <c r="ER2" s="1070" t="str">
        <f>Comp</f>
        <v>Def Exit</v>
      </c>
      <c r="ES2" s="2993" t="str">
        <f>Input!D55</f>
        <v>N/A</v>
      </c>
      <c r="ET2" s="2992" t="str">
        <f>IFERROR(IF(Input!D57="Feb",DATE("20"&amp;Input!E57,VLOOKUP(Input!D57,$S$105:$T$118,2,0),28),DATE("20"&amp;Input!E57,VLOOKUP(Input!D57,$S$105:$T$118,2,0),30)),"No")</f>
        <v>No</v>
      </c>
      <c r="EU2" s="2992" t="str">
        <f>IFERROR(IF(Input!D58="Feb",DATE("20"&amp;Input!E58,VLOOKUP(Input!D58,$S$105:$T$118,2,0),28),DATE("20"&amp;Input!E58,VLOOKUP(Input!D58,$S$105:$T$118,2,0),30)),"No")</f>
        <v>No</v>
      </c>
      <c r="EV2" s="2992" t="str">
        <f>IFERROR(IF(Input!D59="Feb",DATE("20"&amp;Input!E59,VLOOKUP(Input!D59,$S$105:$T$118,2,0),28),DATE("20"&amp;Input!E59,VLOOKUP(Input!D59,$S$105:$T$118,2,0),30)),"No")</f>
        <v>No</v>
      </c>
      <c r="EW2" s="2992" t="str">
        <f>IFERROR(IF(Input!D61="Feb",DATE("20"&amp;Input!E61,VLOOKUP(Input!D61,$S$105:$T$118,2,0),28),DATE("20"&amp;Input!E61,VLOOKUP(Input!D61,$S$105:$T$118,2,0),30)),"No")</f>
        <v>No</v>
      </c>
      <c r="EX2" s="2992" t="str">
        <f>IFERROR(IF(Input!D62="Feb",DATE("20"&amp;Input!E62,VLOOKUP(Input!D62,$S$105:$T$118,2,0),28),DATE("20"&amp;Input!E62,VLOOKUP(Input!D62,$S$105:$T$118,2,0),30)),"No")</f>
        <v>No</v>
      </c>
      <c r="EY2" s="2992" t="str">
        <f>IFERROR(IF(Input!D63="Feb",DATE("20"&amp;Input!E63,VLOOKUP(Input!D63,$S$105:$T$118,2,0),28),DATE("20"&amp;Input!E63,VLOOKUP(Input!D63,$S$105:$T$118,2,0),30)),"No")</f>
        <v>No</v>
      </c>
      <c r="EZ2" s="2992" t="str">
        <f>IFERROR(IF(Input!F57="Feb",DATE("20"&amp;Input!H57,VLOOKUP(Input!F57,$S$105:$T$118,2,0),28),DATE("20"&amp;Input!H57,VLOOKUP(Input!F57,$S$105:$T$118,2,0),30)),"No")</f>
        <v>No</v>
      </c>
      <c r="FA2" s="2992" t="str">
        <f>IFERROR(IF(Input!F58="Feb",DATE("20"&amp;Input!H58,VLOOKUP(Input!F58,$S$105:$T$118,2,0),28),DATE("20"&amp;Input!H58,VLOOKUP(Input!F58,$S$105:$T$118,2,0),30)),"No")</f>
        <v>No</v>
      </c>
      <c r="FB2" s="2992" t="str">
        <f>IFERROR(IF(Input!F59="Feb",DATE("20"&amp;Input!H59,VLOOKUP(Input!F59,$S$105:$T$118,2,0),28),DATE("20"&amp;Input!H59,VLOOKUP(Input!F59,$S$105:$T$118,2,0),30)),"No")</f>
        <v>No</v>
      </c>
      <c r="FC2" s="2992" t="str">
        <f>IFERROR(IF(Input!F61="Feb",DATE("20"&amp;Input!H61,VLOOKUP(Input!F61,$S$105:$T$118,2,0),28),DATE("20"&amp;Input!H61,VLOOKUP(Input!F61,$S$105:$T$118,2,0),30)),"No")</f>
        <v>No</v>
      </c>
      <c r="FD2" s="2992" t="str">
        <f>IFERROR(IF(Input!F62="Feb",DATE("20"&amp;Input!H62,VLOOKUP(Input!F62,$S$105:$T$118,2,0),28),DATE("20"&amp;Input!H62,VLOOKUP(Input!F62,$S$105:$T$118,2,0),30)),"No")</f>
        <v>No</v>
      </c>
      <c r="FE2" s="2992" t="str">
        <f>IFERROR(IF(Input!F63="Feb",DATE("20"&amp;Input!H63,VLOOKUP(Input!F63,$S$105:$T$118,2,0),28),DATE("20"&amp;Input!H63,VLOOKUP(Input!F63,$S$105:$T$118,2,0),30)),"No")</f>
        <v>No</v>
      </c>
      <c r="FF2" s="2994">
        <f>Input!D66</f>
        <v>0.28000000000000003</v>
      </c>
      <c r="FG2" s="2994">
        <f>Input!D67</f>
        <v>0.28000000000000003</v>
      </c>
      <c r="FH2" s="2994">
        <f>Input!D68</f>
        <v>0.15</v>
      </c>
      <c r="FI2" s="2994">
        <f>Input!D69</f>
        <v>0.15</v>
      </c>
      <c r="FJ2" s="2993" t="str">
        <f>Input!D70</f>
        <v>N/A</v>
      </c>
      <c r="FK2" s="2993" t="str">
        <f>Input!D71</f>
        <v>N/A</v>
      </c>
      <c r="FL2" s="2994">
        <f>Input!D72</f>
        <v>0.08</v>
      </c>
      <c r="FM2" s="2994">
        <f>Input!D73</f>
        <v>0.125</v>
      </c>
      <c r="FN2" s="2994">
        <f>Input!D74</f>
        <v>0.02</v>
      </c>
      <c r="FO2" s="2940">
        <f>Input!D76</f>
        <v>55</v>
      </c>
      <c r="FP2" s="2940">
        <f>Input!D77</f>
        <v>55</v>
      </c>
      <c r="FQ2" s="2940">
        <f>Input!D78</f>
        <v>100</v>
      </c>
      <c r="FR2" s="1070" t="str">
        <f>Input!B81</f>
        <v>SMS Name</v>
      </c>
      <c r="FS2" s="1070" t="e">
        <f>Input!D82</f>
        <v>#N/A</v>
      </c>
      <c r="FT2" s="1070" t="e">
        <f>Input!D83</f>
        <v>#N/A</v>
      </c>
      <c r="FU2" s="2994" t="e">
        <f>Input!D84</f>
        <v>#N/A</v>
      </c>
      <c r="FV2" s="1070" t="e">
        <f>Input!D85</f>
        <v>#N/A</v>
      </c>
      <c r="FW2" s="2994" t="e">
        <f>Input!D86</f>
        <v>#N/A</v>
      </c>
      <c r="FX2" s="2994" t="e">
        <f>Input!D87</f>
        <v>#N/A</v>
      </c>
      <c r="FY2" s="2993" t="str">
        <f>Input!D88</f>
        <v>N/A</v>
      </c>
      <c r="FZ2" s="2994" t="e">
        <f>Input!D89</f>
        <v>#N/A</v>
      </c>
      <c r="GA2" s="1070" t="str">
        <f>Input!B99</f>
        <v>AA</v>
      </c>
      <c r="GB2" s="1070" t="str">
        <f>IF(OR(Input!D99="N/A",Input!E99="N/A")=TRUE,"N/A",TEXT(Input!D99&amp;"20"&amp;Input!E99,"mm/yyyy"))</f>
        <v>N/A</v>
      </c>
      <c r="GC2" s="1070" t="str">
        <f>Input!B101</f>
        <v>BB</v>
      </c>
      <c r="GD2" s="1070" t="str">
        <f>IF(OR(Input!D101="N/A",Input!E101="N/A")=TRUE,"N/A",TEXT(Input!D101&amp;"20"&amp;Input!E101,"mm/yyyy"))</f>
        <v>N/A</v>
      </c>
      <c r="GE2" s="1070" t="str">
        <f>Input!B103</f>
        <v>CC</v>
      </c>
      <c r="GF2" s="1070" t="str">
        <f>IF(OR(Input!D103="N/A",Input!E103="N/A")=TRUE,"N/A",TEXT(Input!D103&amp;"20"&amp;Input!E103,"mm/yyyy"))</f>
        <v>N/A</v>
      </c>
      <c r="GG2" s="1070" t="str">
        <f>Input!B105</f>
        <v>DD</v>
      </c>
      <c r="GH2" s="1070" t="str">
        <f>IF(OR(Input!D105="N/A",Input!E105="N/A")=TRUE,"N/A",TEXT(Input!D105&amp;"20"&amp;Input!E105,"mm/yyyy"))</f>
        <v>N/A</v>
      </c>
      <c r="GI2" s="2940">
        <f>Input!D92</f>
        <v>0</v>
      </c>
      <c r="GJ2" s="2994">
        <f>Input!D93</f>
        <v>0</v>
      </c>
      <c r="GK2" s="2940">
        <f>Input!D94</f>
        <v>0</v>
      </c>
      <c r="GL2" s="1070">
        <f>IF(ISNUMBER(Calc!F178),Calc!F178,0)</f>
        <v>0.2881407355329082</v>
      </c>
      <c r="GM2" s="1070">
        <f>IF(ISNUMBER(Calc!F187),Calc!F187,0)</f>
        <v>0.56141254674211405</v>
      </c>
      <c r="GN2" s="1070">
        <f>IF(ISNUMBER(Calc!K178),Calc!K178,0)</f>
        <v>0.42231168354147464</v>
      </c>
      <c r="GO2" s="1070">
        <f>IF(ISNUMBER(Calc!G178),Calc!G178,0)</f>
        <v>0</v>
      </c>
      <c r="GP2" s="1070">
        <f>IF(ISNUMBER(Calc!G187),Calc!G187,0)</f>
        <v>0</v>
      </c>
      <c r="GQ2" s="1070">
        <f>IF(ISNUMBER(Calc!L178),Calc!L178,0)</f>
        <v>0</v>
      </c>
      <c r="GR2" s="1070">
        <f>IF(ISNUMBER(Calc!H178),Calc!H178,0)</f>
        <v>0</v>
      </c>
      <c r="GS2" s="1070">
        <f>IF(ISNUMBER(Calc!H187),Calc!H187,0)</f>
        <v>0</v>
      </c>
      <c r="GT2" s="1070">
        <f>IF(ISNUMBER(Calc!M178),Calc!M178,0)</f>
        <v>0</v>
      </c>
      <c r="GU2" s="1070">
        <f>IF(ISNUMBER(Calc!I178),Calc!I178,0)</f>
        <v>0.2881407355329082</v>
      </c>
      <c r="GV2" s="1070">
        <f>IF(ISNUMBER(Calc!I187),Calc!I187,0)</f>
        <v>0.56141254674211405</v>
      </c>
      <c r="GW2" s="1070">
        <f>IF(ISNUMBER(Calc!N178),Calc!N178,0)</f>
        <v>0.42231168354147464</v>
      </c>
      <c r="GX2" s="1070">
        <f>IF(ISNUMBER(Calc!J178),Calc!J178,0)</f>
        <v>0</v>
      </c>
      <c r="GY2" s="1070">
        <f>IF(ISNUMBER(Calc!J187),Calc!J187,0)</f>
        <v>0</v>
      </c>
      <c r="GZ2" s="1070">
        <f>IF(ISNUMBER(Calc!O178),Calc!O178,0)</f>
        <v>0</v>
      </c>
      <c r="HA2" s="1070">
        <f>IF(ISNUMBER(Calc!F181),Calc!F181,0)</f>
        <v>7.9653642283748729</v>
      </c>
      <c r="HB2" s="1070">
        <f>IF(ISNUMBER(Calc!G181),Calc!G181,0)</f>
        <v>0</v>
      </c>
      <c r="HC2" s="1070">
        <f>IF(ISNUMBER(Calc!H181),Calc!H181,0)</f>
        <v>0</v>
      </c>
      <c r="HD2" s="1070">
        <f>IF(ISNUMBER(Calc!I181),Calc!I181,0)</f>
        <v>7.9653642283748729</v>
      </c>
      <c r="HE2" s="1070">
        <f>IF(ISNUMBER(Calc!J181),Calc!J181,0)</f>
        <v>0</v>
      </c>
      <c r="HF2" s="1070">
        <f>IF(ISNUMBER(Calc!F179),Calc!F179,0)</f>
        <v>6.999354029413654</v>
      </c>
      <c r="HG2" s="1070">
        <f>IF(ISNUMBER(Calc!K179),Calc!K179,0)</f>
        <v>28.329794387132377</v>
      </c>
      <c r="HH2" s="1070">
        <f>IF(ISNUMBER(Calc!G179),Calc!G179,0)</f>
        <v>0</v>
      </c>
      <c r="HI2" s="1070">
        <f>IF(ISNUMBER(Calc!L179),Calc!L179,0)</f>
        <v>0</v>
      </c>
      <c r="HJ2" s="1070">
        <f>IF(ISNUMBER(Calc!H179),Calc!H179,0)</f>
        <v>0</v>
      </c>
      <c r="HK2" s="1070">
        <f>IF(ISNUMBER(Calc!M179),Calc!M179,0)</f>
        <v>0</v>
      </c>
      <c r="HL2" s="1070">
        <f>IF(ISNUMBER(Calc!I179),Calc!I179,0)</f>
        <v>6.999354029413654</v>
      </c>
      <c r="HM2" s="1070">
        <f>IF(ISNUMBER(Calc!N179),Calc!N179,0)</f>
        <v>28.329794387132377</v>
      </c>
      <c r="HN2" s="1070">
        <f>IF(ISNUMBER(Calc!J179),Calc!J179,0)</f>
        <v>0</v>
      </c>
      <c r="HO2" s="1070">
        <f>IF(ISNUMBER(Calc!O179),Calc!O179,0)</f>
        <v>0</v>
      </c>
      <c r="HP2" s="1070">
        <f>IF(ISNUMBER(Calc!F180),Calc!F180,0)</f>
        <v>2.9944012267133724</v>
      </c>
      <c r="HQ2" s="1070">
        <f>IF(ISNUMBER(Calc!K180),Calc!K180,0)</f>
        <v>9.6401398588075651</v>
      </c>
      <c r="HR2" s="1070">
        <f>IF(ISNUMBER(Calc!G180),Calc!G180,0)</f>
        <v>0</v>
      </c>
      <c r="HS2" s="1070">
        <f>IF(ISNUMBER(Calc!L180),Calc!L180,0)</f>
        <v>0</v>
      </c>
      <c r="HT2" s="1070">
        <f>IF(ISNUMBER(Calc!H180),Calc!H180,0)</f>
        <v>0</v>
      </c>
      <c r="HU2" s="1070">
        <f>IF(ISNUMBER(Calc!M180),Calc!M180,0)</f>
        <v>0</v>
      </c>
      <c r="HV2" s="1070">
        <f>IF(ISNUMBER(Calc!I180),Calc!I180,0)</f>
        <v>2.9944012267133724</v>
      </c>
      <c r="HW2" s="1070">
        <f>IF(ISNUMBER(Calc!N180),Calc!N180,0)</f>
        <v>9.6401398588075651</v>
      </c>
      <c r="HX2" s="1070">
        <f>IF(ISNUMBER(Calc!J180),Calc!J180,0)</f>
        <v>0</v>
      </c>
      <c r="HY2" s="1070">
        <f>IF(ISNUMBER(Calc!O180),Calc!O180,0)</f>
        <v>0</v>
      </c>
      <c r="HZ2" s="1070">
        <f>IF(ISNUMBER(Calc!J357),Calc!J357,0)</f>
        <v>0</v>
      </c>
      <c r="IA2" s="1070">
        <f>IF(ISNUMBER(Calc!J358),Calc!J358,0)</f>
        <v>0</v>
      </c>
      <c r="IB2" s="1070">
        <f>IF(ISNUMBER(Calc!J359),Calc!J359,0)</f>
        <v>0</v>
      </c>
      <c r="IC2" s="1070">
        <f>IF(ISNUMBER(Calc!J360),Calc!J360,0)</f>
        <v>0</v>
      </c>
      <c r="ID2" s="1070">
        <f>IF(ISNUMBER(Calc!J361),Calc!J361,0)</f>
        <v>0</v>
      </c>
      <c r="IE2" s="1070">
        <f>IF(ISNUMBER(Calc!J362),Calc!J362,0)</f>
        <v>0</v>
      </c>
      <c r="IF2" s="1070">
        <f>IF(ISNUMBER(Calc!K363),Calc!K363,0)</f>
        <v>0</v>
      </c>
      <c r="IG2" s="1070">
        <f>IF(ISNUMBER(Calc!J365),Calc!J365,0)</f>
        <v>0</v>
      </c>
      <c r="IH2" s="1070">
        <f>IF(ISNUMBER(Calc!J366),Calc!J366,0)</f>
        <v>0</v>
      </c>
      <c r="II2" s="1070">
        <f>IF(ISNUMBER(Calc!J367),Calc!J367,0)</f>
        <v>0</v>
      </c>
      <c r="IJ2" s="1070">
        <f>IF(ISNUMBER(Calc!J368),Calc!J368,0)</f>
        <v>0</v>
      </c>
      <c r="IK2" s="1070">
        <f>IF(ISNUMBER(Calc!J369),Calc!J369,0)</f>
        <v>0</v>
      </c>
      <c r="IL2" s="1070">
        <f>IF(ISNUMBER(Calc!AS357),Calc!AS357,0)</f>
        <v>0</v>
      </c>
      <c r="IM2" s="1070">
        <f>IF(ISNUMBER(Calc!AS358),Calc!AS358,0)</f>
        <v>0</v>
      </c>
      <c r="IN2" s="1070">
        <f>IF(ISNUMBER(Calc!AS359),Calc!AS359,0)</f>
        <v>0</v>
      </c>
      <c r="IO2" s="1070">
        <f>IF(ISNUMBER(Calc!AS360),Calc!AS360,0)</f>
        <v>0</v>
      </c>
      <c r="IP2" s="1070">
        <f>IF(ISNUMBER(Calc!AS361),Calc!AS361,0)</f>
        <v>0</v>
      </c>
      <c r="IQ2" s="1070">
        <f>IF(ISNUMBER(Calc!AS362),Calc!AS362,0)</f>
        <v>0</v>
      </c>
      <c r="IR2" s="1070">
        <f>IF(ISNUMBER(Calc!AT363),Calc!AT363,0)</f>
        <v>0</v>
      </c>
      <c r="IS2" s="1070">
        <f>IF(ISNUMBER(Calc!AS365),Calc!AS365,0)</f>
        <v>0</v>
      </c>
      <c r="IT2" s="1070">
        <f>IF(ISNUMBER(Calc!AS366),Calc!AS366,0)</f>
        <v>0</v>
      </c>
      <c r="IU2" s="1070">
        <f>IF(ISNUMBER(Calc!AS367),Calc!AS367,0)</f>
        <v>0</v>
      </c>
      <c r="IV2" s="1070">
        <f>IF(ISNUMBER(Calc!AS368),Calc!AS368,0)</f>
        <v>0</v>
      </c>
      <c r="IW2" s="1070">
        <f>IF(ISNUMBER(Calc!AS369),Calc!AS369,0)</f>
        <v>0</v>
      </c>
      <c r="IX2" s="1734" t="str">
        <f>Input!B39</f>
        <v>&lt;&lt;Please provide a brief and high level project / product description; no need to be a technical explanation&gt;&gt;</v>
      </c>
      <c r="IY2" s="1070">
        <f>IFERROR(HLOOKUP($PT2,Current_Prior!$AQ$9:$BS$30,3,0),0)</f>
        <v>0</v>
      </c>
      <c r="IZ2" s="1070">
        <f>IFERROR(HLOOKUP($PT2,Current_Prior!$AQ$9:$BS$30,6,0),0)</f>
        <v>0</v>
      </c>
      <c r="JA2" s="1070">
        <f>IFERROR(IF(Calc!$C$129="Dollar ($)",HLOOKUP($PT2,Current_Prior!$AQ$9:$BS$30,5,0),0),0)</f>
        <v>0</v>
      </c>
      <c r="JB2" s="1070">
        <f>IFERROR(IF(Calc!$C$129="Volume (units)",HLOOKUP($PT2,Current_Prior!$AQ$9:$BS$30,5,0),0),0)</f>
        <v>0</v>
      </c>
      <c r="JC2" s="1070">
        <f>IFERROR(HLOOKUP($PT2,Current_Prior!$AQ$9:$BS$30,9,0),0)</f>
        <v>0</v>
      </c>
      <c r="JD2" s="1070">
        <f>IFERROR(HLOOKUP($PT2,Current_Prior!$AQ$9:$BS$30,10,0),0)</f>
        <v>0</v>
      </c>
      <c r="JE2" s="1070">
        <f>IFERROR(HLOOKUP($PT2,Current_Prior!$AQ$9:$BS$30,11,0),0)</f>
        <v>0</v>
      </c>
      <c r="JF2" s="1070">
        <f>IFERROR(HLOOKUP($PT2,Current_Prior!$AQ$9:$BS$30,12,0),0)</f>
        <v>0</v>
      </c>
      <c r="JG2" s="1070">
        <f>IFERROR(HLOOKUP($PT2,Current_Prior!$AQ$9:$BS$30,13,0),0)</f>
        <v>0</v>
      </c>
      <c r="JH2" s="1070">
        <f>IFERROR(HLOOKUP($PT2,Current_Prior!$AQ$9:$BS$30,17,0),0)</f>
        <v>0</v>
      </c>
      <c r="JI2" s="1070">
        <f>IFERROR(HLOOKUP($PT2,Current_Prior!$AQ$9:$BS$30,19,0),0)</f>
        <v>0</v>
      </c>
      <c r="JJ2" s="1070">
        <f>IFERROR(HLOOKUP($PT2,Current_Prior!$AQ$9:$BS$30,20,0),0)</f>
        <v>0</v>
      </c>
      <c r="JK2" s="1070">
        <f>IFERROR(HLOOKUP($PT2,Current_Prior!$AQ$9:$BS$30,21,0),0)</f>
        <v>0</v>
      </c>
      <c r="JL2" s="1070">
        <f>IFERROR(HLOOKUP($PT2,Current_Prior!$AQ$9:$BS$31,23,0),0)</f>
        <v>0</v>
      </c>
      <c r="JM2" s="1082">
        <f>IF(ISNUMBER(Current_Prior!H134),Current_Prior!H134,0)</f>
        <v>0</v>
      </c>
      <c r="JN2" s="1082">
        <f>IF(ISNUMBER(Current_Prior!H135),Current_Prior!H135,0)</f>
        <v>0</v>
      </c>
      <c r="JO2" s="1082">
        <f>IF(ISNUMBER(Current_Prior!H136),Current_Prior!H136,0)</f>
        <v>0</v>
      </c>
      <c r="JP2" s="1082">
        <f>IF(ISNUMBER(Current_Prior!H137),Current_Prior!H137,0)</f>
        <v>0</v>
      </c>
      <c r="JQ2" s="1082">
        <f>IF(ISNUMBER(Current_Prior!H138),Current_Prior!H138,0)</f>
        <v>0</v>
      </c>
      <c r="JR2" s="1082">
        <f>IF(ISNUMBER(Current_Prior!H139),Current_Prior!H139,0)</f>
        <v>21.75477969081026</v>
      </c>
      <c r="JS2" s="1082">
        <f>IF(ISNUMBER(Current_Prior!I140),Current_Prior!I140,0)</f>
        <v>21.75477969081026</v>
      </c>
      <c r="JT2" s="1082">
        <f>IF(ISNUMBER(Current_Prior!H141),Current_Prior!H141,0)</f>
        <v>0</v>
      </c>
      <c r="JU2" s="1082">
        <f>IF(ISNUMBER(Current_Prior!I142),Current_Prior!I142,0)</f>
        <v>0</v>
      </c>
      <c r="JV2" s="1082">
        <f>IF(ISNUMBER(Current_Prior!H144),Current_Prior!H144,0)</f>
        <v>0</v>
      </c>
      <c r="JW2" s="1082">
        <f>IF(ISNUMBER(Current_Prior!H145),Current_Prior!H145,0)</f>
        <v>0</v>
      </c>
      <c r="JX2" s="1082">
        <f>IF(ISNUMBER(Current_Prior!H146),Current_Prior!H146,0)</f>
        <v>0</v>
      </c>
      <c r="JY2" s="1082">
        <f>IF(ISNUMBER(Current_Prior!H147),Current_Prior!H147,0)</f>
        <v>-85.524122620563674</v>
      </c>
      <c r="JZ2" s="1082">
        <f>IF(ISNUMBER(Current_Prior!H148),Current_Prior!H148,0)</f>
        <v>107.27890231137394</v>
      </c>
      <c r="KA2" s="1082">
        <f>IF(ISNUMBER(Current_Prior!AS134),Current_Prior!AS134,0)</f>
        <v>0</v>
      </c>
      <c r="KB2" s="1082">
        <f>IF(ISNUMBER(Current_Prior!AS135),Current_Prior!AS135,0)</f>
        <v>0</v>
      </c>
      <c r="KC2" s="1082">
        <f>IF(ISNUMBER(Current_Prior!AS136),Current_Prior!AS136,0)</f>
        <v>0</v>
      </c>
      <c r="KD2" s="1082">
        <f>IF(ISNUMBER(Current_Prior!AS137),Current_Prior!AS137,0)</f>
        <v>0</v>
      </c>
      <c r="KE2" s="1082">
        <f>IF(ISNUMBER(Current_Prior!AS138),Current_Prior!AS138,0)</f>
        <v>0</v>
      </c>
      <c r="KF2" s="1082">
        <f>IF(ISNUMBER(Current_Prior!AS139),Current_Prior!AS139,0)</f>
        <v>101.68322203437472</v>
      </c>
      <c r="KG2" s="1082">
        <f>IF(ISNUMBER(Current_Prior!AT140),Current_Prior!AT140,0)</f>
        <v>101.68322203437472</v>
      </c>
      <c r="KH2" s="1082">
        <f>IF(ISNUMBER(Current_Prior!AS141),Current_Prior!AS141,0)</f>
        <v>0</v>
      </c>
      <c r="KI2" s="1082">
        <f>IF(ISNUMBER(Current_Prior!AT142),Current_Prior!AT142,0)</f>
        <v>0</v>
      </c>
      <c r="KJ2" s="1082">
        <f>IF(ISNUMBER(Current_Prior!AS144),Current_Prior!AS144,0)</f>
        <v>0</v>
      </c>
      <c r="KK2" s="1082">
        <f>IF(ISNUMBER(Current_Prior!AS145),Current_Prior!AS145,0)</f>
        <v>0</v>
      </c>
      <c r="KL2" s="1082">
        <f>IF(ISNUMBER(Current_Prior!AS146),Current_Prior!AS146,0)</f>
        <v>0</v>
      </c>
      <c r="KM2" s="1082">
        <f>IF(ISNUMBER(Current_Prior!AS147),Current_Prior!AS147,0)</f>
        <v>-437.53167157120174</v>
      </c>
      <c r="KN2" s="1082">
        <f>IF(ISNUMBER(Current_Prior!AS148),Current_Prior!AS148,0)</f>
        <v>539.21489360557644</v>
      </c>
      <c r="KO2" s="1082">
        <f>IF(ISNUMBER(Current_Prior!H226),Current_Prior!H226,0)</f>
        <v>0</v>
      </c>
      <c r="KP2" s="1082">
        <f>IF(ISNUMBER(Current_Prior!H227),Current_Prior!H227,0)</f>
        <v>0</v>
      </c>
      <c r="KQ2" s="1082">
        <f>IF(ISNUMBER(Current_Prior!H228),Current_Prior!H228,0)</f>
        <v>0</v>
      </c>
      <c r="KR2" s="1082">
        <f>IF(ISNUMBER(Current_Prior!H229),Current_Prior!H229,0)</f>
        <v>0</v>
      </c>
      <c r="KS2" s="1082">
        <f>IF(ISNUMBER(Current_Prior!H230),Current_Prior!H230,0)</f>
        <v>0</v>
      </c>
      <c r="KT2" s="1082">
        <f>IF(ISNUMBER(Current_Prior!H231),Current_Prior!H231,0)</f>
        <v>21.75477969081026</v>
      </c>
      <c r="KU2" s="1082">
        <f>IF(ISNUMBER(Current_Prior!I232),Current_Prior!I232,0)</f>
        <v>21.75477969081026</v>
      </c>
      <c r="KV2" s="1082">
        <f>IF(ISNUMBER(Current_Prior!H236),Current_Prior!H236,0)</f>
        <v>0</v>
      </c>
      <c r="KW2" s="1082">
        <f>IF(ISNUMBER(Current_Prior!H237),Current_Prior!H237,0)</f>
        <v>0</v>
      </c>
      <c r="KX2" s="1082">
        <f>IF(ISNUMBER(Current_Prior!H238),Current_Prior!H238,0)</f>
        <v>0</v>
      </c>
      <c r="KY2" s="1082">
        <f>IF(ISNUMBER(Current_Prior!H239),Current_Prior!H239,0)</f>
        <v>-85.524122620563674</v>
      </c>
      <c r="KZ2" s="1082">
        <f>IF(ISNUMBER(Current_Prior!H240),Current_Prior!H240,0)</f>
        <v>107.27890231137394</v>
      </c>
      <c r="LA2" s="1082">
        <f>IF(ISNUMBER(Current_Prior!AS226),Current_Prior!AS226,0)</f>
        <v>0</v>
      </c>
      <c r="LB2" s="1082">
        <f>IF(ISNUMBER(Current_Prior!AS227),Current_Prior!AS227,0)</f>
        <v>0</v>
      </c>
      <c r="LC2" s="1082">
        <f>IF(ISNUMBER(Current_Prior!AS228),Current_Prior!AS228,0)</f>
        <v>0</v>
      </c>
      <c r="LD2" s="1082">
        <f>IF(ISNUMBER(Current_Prior!AS229),Current_Prior!AS229,0)</f>
        <v>0</v>
      </c>
      <c r="LE2" s="1082">
        <f>IF(ISNUMBER(Current_Prior!AS230),Current_Prior!AS230,0)</f>
        <v>0</v>
      </c>
      <c r="LF2" s="1082">
        <f>IF(ISNUMBER(Current_Prior!AS231),Current_Prior!AS231,0)</f>
        <v>101.68322203437472</v>
      </c>
      <c r="LG2" s="1082">
        <f>IF(ISNUMBER(Current_Prior!AT232),Current_Prior!AT232,0)</f>
        <v>101.68322203437472</v>
      </c>
      <c r="LH2" s="1082">
        <f>IF(ISNUMBER(Current_Prior!AS236),Current_Prior!AS236,0)</f>
        <v>0</v>
      </c>
      <c r="LI2" s="1082">
        <f>IF(ISNUMBER(Current_Prior!AS237),Current_Prior!AS237,0)</f>
        <v>0</v>
      </c>
      <c r="LJ2" s="1082">
        <f>IF(ISNUMBER(Current_Prior!AS238),Current_Prior!AS238,0)</f>
        <v>0</v>
      </c>
      <c r="LK2" s="1082">
        <f>IF(ISNUMBER(Current_Prior!AS239),Current_Prior!AS239,0)</f>
        <v>-437.53167157120174</v>
      </c>
      <c r="LL2" s="1082">
        <f>IF(ISNUMBER(Current_Prior!AS240),Current_Prior!AS240,0)</f>
        <v>539.21489360557644</v>
      </c>
      <c r="LM2" s="2296">
        <f>IF(ISNUMBER(Current_Prior!BC37),Current_Prior!BC37,0)</f>
        <v>0</v>
      </c>
      <c r="LN2" s="2296">
        <f>IF(ISNUMBER(Current_Prior!BC41),Current_Prior!BC41,0)</f>
        <v>0</v>
      </c>
      <c r="LO2" s="1082">
        <f>IF(ISNUMBER(Current_Prior!BC38),Current_Prior!BC38,0)</f>
        <v>0</v>
      </c>
      <c r="LP2" s="1082">
        <f>IF(ISNUMBER(Current_Prior!BC42),Current_Prior!BC42,0)</f>
        <v>0</v>
      </c>
      <c r="LQ2" s="2296">
        <f>IF(ISNUMBER(Current_Prior!BH37),Current_Prior!BH37,0)</f>
        <v>0</v>
      </c>
      <c r="LR2" s="1082">
        <f>IF(ISNUMBER(Current_Prior!BH38),Current_Prior!BH38,0)/1000</f>
        <v>0</v>
      </c>
      <c r="LS2" s="2296">
        <f>IF(ISNUMBER(Current_Prior!BD37),Current_Prior!BD37,0)</f>
        <v>0</v>
      </c>
      <c r="LT2" s="2296">
        <f>IF(ISNUMBER(Current_Prior!BD41),Current_Prior!BD41,0)</f>
        <v>0</v>
      </c>
      <c r="LU2" s="1082">
        <f>IF(ISNUMBER(Current_Prior!BD38),Current_Prior!BD38,0)/1000</f>
        <v>0</v>
      </c>
      <c r="LV2" s="1082">
        <f>IF(ISNUMBER(Current_Prior!BD42),Current_Prior!BD42,0)/1000</f>
        <v>0</v>
      </c>
      <c r="LW2" s="2296">
        <f>IF(ISNUMBER(Current_Prior!BI37),Current_Prior!BI37,0)</f>
        <v>0</v>
      </c>
      <c r="LX2" s="1082">
        <f>IF(ISNUMBER(Current_Prior!BI38),Current_Prior!BI38,0)/1000</f>
        <v>0</v>
      </c>
      <c r="LY2" s="2296">
        <f>IF(ISNUMBER(Current_Prior!BE37),Current_Prior!BE37,0)</f>
        <v>0</v>
      </c>
      <c r="LZ2" s="2296">
        <f>IF(ISNUMBER(Current_Prior!BE41),Current_Prior!BE41,0)</f>
        <v>0</v>
      </c>
      <c r="MA2" s="1082">
        <f>IF(ISNUMBER(Current_Prior!BE38),Current_Prior!BE38,0)/1000</f>
        <v>0</v>
      </c>
      <c r="MB2" s="1082">
        <f>IF(ISNUMBER(Current_Prior!BE42),Current_Prior!BE42,0)/1000</f>
        <v>0</v>
      </c>
      <c r="MC2" s="2296">
        <f>IF(ISNUMBER(Current_Prior!BJ37),Current_Prior!BJ37,0)</f>
        <v>0</v>
      </c>
      <c r="MD2" s="1082">
        <f>IF(ISNUMBER(Current_Prior!BJ38),Current_Prior!BJ38,0)/1000</f>
        <v>0</v>
      </c>
      <c r="ME2" s="1082">
        <f>IF(ISNUMBER(Current_Prior!BO33),Current_Prior!BO33,0)</f>
        <v>0</v>
      </c>
      <c r="MF2" s="2296">
        <f>IF(ISNUMBER(Current_Prior!BO34),Current_Prior!BO34,0)</f>
        <v>0</v>
      </c>
      <c r="MG2" s="2995" t="str">
        <f>IF(OR(Current_Prior!BN37="N/A",Current_Prior!BO37="N/A")=TRUE,"N/A",TEXT(Current_Prior!BN37&amp;"20"&amp;Current_Prior!BO37,"mm/yyyy"))</f>
        <v>N/A</v>
      </c>
      <c r="MH2" s="2995" t="str">
        <f>IF(OR(Current_Prior!BN38="N/A",Current_Prior!BO38="N/A")=TRUE,"N/A",TEXT(Current_Prior!BN38&amp;"20"&amp;Current_Prior!BO38,"mm/yyyy"))</f>
        <v>N/A</v>
      </c>
      <c r="MI2" s="2995" t="str">
        <f>IF(OR(Current_Prior!BN40="N/A",Current_Prior!BO40="N/A")=TRUE,"N/A",TEXT(Current_Prior!BN40&amp;"20"&amp;Current_Prior!BO40,"mm/yyyy"))</f>
        <v>N/A</v>
      </c>
      <c r="MJ2" s="2995" t="str">
        <f>IF(OR(Current_Prior!BN41="N/A",Current_Prior!BO41="N/A")=TRUE,"N/A",TEXT(Current_Prior!BN41&amp;"20"&amp;Current_Prior!BO41,"mm/yyyy"))</f>
        <v>N/A</v>
      </c>
      <c r="MK2" s="1082" t="str">
        <f>IF(OR(Current_Prior!BN42="N/A",Current_Prior!BO42="N/A")=TRUE,"N/A",TEXT(Current_Prior!BN42&amp;"20"&amp;Current_Prior!BO42,"mm/yyyy"))</f>
        <v>N/A</v>
      </c>
      <c r="ML2" s="1082">
        <f>IFERROR(HLOOKUP($PT2,HistInfo!$G$15:$AI$37,3,0),0)</f>
        <v>0</v>
      </c>
      <c r="MM2" s="1082">
        <f>IFERROR(HLOOKUP($PT2,HistInfo!$G$15:$AI$37,6,0),0)</f>
        <v>0</v>
      </c>
      <c r="MN2" s="1070">
        <f>IFERROR(IF(HistInfo!$C$19="Dollar ($)",HLOOKUP($PT2,HistInfo!$G$15:$AI$37,5,0),0),0)</f>
        <v>0</v>
      </c>
      <c r="MO2" s="1070">
        <f>IFERROR(IF(HistInfo!$C$19="Volume (units)",HLOOKUP($PT2,HistInfo!$G$15:$AI$37,5,0),0),0)</f>
        <v>0</v>
      </c>
      <c r="MP2" s="1082">
        <f>IFERROR(HLOOKUP($PT2,HistInfo!$G$15:$AI$37,9,0),0)</f>
        <v>0</v>
      </c>
      <c r="MQ2" s="1082">
        <f>IFERROR(HLOOKUP($PT2,HistInfo!$G$15:$AI$37,10,0),0)</f>
        <v>0</v>
      </c>
      <c r="MR2" s="1082">
        <f>IFERROR(HLOOKUP($PT2,HistInfo!$G$15:$AI$37,11,0),0)</f>
        <v>0</v>
      </c>
      <c r="MS2" s="1082">
        <f>IFERROR(HLOOKUP($PT2,HistInfo!$G$15:$AI$37,12,0),0)</f>
        <v>0</v>
      </c>
      <c r="MT2" s="1082">
        <f>IFERROR(HLOOKUP($PT2,HistInfo!$G$15:$AI$37,13,0),0)</f>
        <v>0</v>
      </c>
      <c r="MU2" s="1082">
        <f>IFERROR(HLOOKUP($PT2,HistInfo!$G$15:$AI$37,17,0),0)</f>
        <v>0</v>
      </c>
      <c r="MV2" s="1082">
        <f>IFERROR(HLOOKUP($PT2,HistInfo!$G$15:$AI$37,19,0),0)</f>
        <v>0</v>
      </c>
      <c r="MW2" s="1082">
        <f>IFERROR(HLOOKUP($PT2,HistInfo!$G$15:$AI$37,20,0),0)</f>
        <v>0</v>
      </c>
      <c r="MX2" s="1082">
        <f>IFERROR(HLOOKUP($PT2,HistInfo!$G$15:$AI$37,21,0),0)</f>
        <v>0</v>
      </c>
      <c r="MY2" s="1082">
        <f>IFERROR(HLOOKUP($PT2,HistInfo!$G$15:$AI$37,23,0),0)</f>
        <v>0</v>
      </c>
      <c r="MZ2" s="1082">
        <f>IF(ISNUMBER(HistInfo!J408),HistInfo!J408,0)</f>
        <v>0</v>
      </c>
      <c r="NA2" s="1082">
        <f>IF(ISNUMBER(HistInfo!J409),HistInfo!J409,0)</f>
        <v>0</v>
      </c>
      <c r="NB2" s="1082">
        <f>IF(ISNUMBER(HistInfo!J410),HistInfo!J410,0)</f>
        <v>0</v>
      </c>
      <c r="NC2" s="1082">
        <f>IF(ISNUMBER(HistInfo!J411),HistInfo!J411,0)</f>
        <v>0</v>
      </c>
      <c r="ND2" s="1082">
        <f>IF(ISNUMBER(HistInfo!J412),HistInfo!J412,0)</f>
        <v>0</v>
      </c>
      <c r="NE2" s="1082">
        <f>IF(ISNUMBER(HistInfo!J413),HistInfo!J413,0)</f>
        <v>0</v>
      </c>
      <c r="NF2" s="1082">
        <f>IF(ISNUMBER(HistInfo!K414),HistInfo!K414,0)</f>
        <v>0</v>
      </c>
      <c r="NG2" s="1082">
        <f>IF(ISNUMBER(HistInfo!J416),HistInfo!J416,0)</f>
        <v>0</v>
      </c>
      <c r="NH2" s="1082">
        <f>IF(ISNUMBER(HistInfo!J417),HistInfo!J417,0)</f>
        <v>0</v>
      </c>
      <c r="NI2" s="1082">
        <f>IF(ISNUMBER(HistInfo!J418),HistInfo!J418,0)</f>
        <v>0</v>
      </c>
      <c r="NJ2" s="1082">
        <f>IF(ISNUMBER(HistInfo!J419),HistInfo!J419,0)</f>
        <v>0</v>
      </c>
      <c r="NK2" s="1082">
        <f>IF(ISNUMBER(HistInfo!J420),HistInfo!J420,0)</f>
        <v>0</v>
      </c>
      <c r="NL2" s="1082">
        <f>IF(ISNUMBER(HistInfo!AS408),HistInfo!AS408,0)</f>
        <v>0</v>
      </c>
      <c r="NM2" s="1082">
        <f>IF(ISNUMBER(HistInfo!AS409),HistInfo!AS409,0)</f>
        <v>0</v>
      </c>
      <c r="NN2" s="1082">
        <f>IF(ISNUMBER(HistInfo!AS410),HistInfo!AS410,0)</f>
        <v>0</v>
      </c>
      <c r="NO2" s="1082">
        <f>IF(ISNUMBER(HistInfo!AS411),HistInfo!AS411,0)</f>
        <v>0</v>
      </c>
      <c r="NP2" s="1082">
        <f>IF(ISNUMBER(HistInfo!AS412),HistInfo!AS412,0)</f>
        <v>0</v>
      </c>
      <c r="NQ2" s="1082">
        <f>IF(ISNUMBER(HistInfo!AS413),HistInfo!AS413,0)</f>
        <v>0</v>
      </c>
      <c r="NR2" s="1082">
        <f>IF(ISNUMBER(HistInfo!AT414),HistInfo!AT414,0)</f>
        <v>0</v>
      </c>
      <c r="NS2" s="1082">
        <f>IF(ISNUMBER(HistInfo!AS416),HistInfo!AS416,0)</f>
        <v>0</v>
      </c>
      <c r="NT2" s="1082">
        <f>IF(ISNUMBER(HistInfo!AS417),HistInfo!AS417,0)</f>
        <v>0</v>
      </c>
      <c r="NU2" s="1082">
        <f>IF(ISNUMBER(HistInfo!AS418),HistInfo!AS418,0)</f>
        <v>0</v>
      </c>
      <c r="NV2" s="1082">
        <f>IF(ISNUMBER(HistInfo!AS419),HistInfo!AS419,0)</f>
        <v>0</v>
      </c>
      <c r="NW2" s="1082">
        <f>IF(ISNUMBER(HistInfo!AS420),HistInfo!AS420,0)</f>
        <v>0</v>
      </c>
      <c r="NX2" s="2996">
        <f>Calc!I176-DiscR</f>
        <v>5.2644605277894302E-2</v>
      </c>
      <c r="NY2" s="2996">
        <f>Current_Prior!BE37-DiscR</f>
        <v>-0.15</v>
      </c>
      <c r="NZ2" s="2996">
        <f>Calc!I176-DiscR</f>
        <v>5.2644605277894302E-2</v>
      </c>
      <c r="OA2" s="2996">
        <f>Current_Prior!BD37-DiscR</f>
        <v>-0.15</v>
      </c>
      <c r="OB2" s="2996" t="e">
        <f>Calc!H176-DiscRDE</f>
        <v>#VALUE!</v>
      </c>
      <c r="OC2" s="2996" t="e">
        <f>Calc!G176-DiscRDE</f>
        <v>#VALUE!</v>
      </c>
      <c r="OD2" s="2996">
        <f>Calc!N176-DiscR</f>
        <v>0.11443581159256935</v>
      </c>
      <c r="OE2" s="2996">
        <f>Current_Prior!BJ37-DiscR</f>
        <v>-0.15</v>
      </c>
      <c r="OF2" s="2996">
        <f>Calc!N176-DiscR</f>
        <v>0.11443581159256935</v>
      </c>
      <c r="OG2" s="2996">
        <f>Current_Prior!BI37-DiscR</f>
        <v>-0.15</v>
      </c>
      <c r="OH2" s="2996" t="e">
        <f>Calc!M176-DiscRDE</f>
        <v>#VALUE!</v>
      </c>
      <c r="OI2" s="2996" t="e">
        <f>Calc!L176-DiscRDE</f>
        <v>#VALUE!</v>
      </c>
      <c r="OJ2" s="2996">
        <f>Calc!I185-DiscR</f>
        <v>0.24797793228123158</v>
      </c>
      <c r="OK2" s="2996">
        <f>Current_Prior!BE41-DiscR</f>
        <v>-0.15</v>
      </c>
      <c r="OL2" s="2996">
        <f>Calc!I185-DiscR</f>
        <v>0.24797793228123158</v>
      </c>
      <c r="OM2" s="2996">
        <f>Current_Prior!BD41-DiscR</f>
        <v>-0.15</v>
      </c>
      <c r="ON2" s="2996" t="e">
        <f>Calc!H185-DiscRDE</f>
        <v>#VALUE!</v>
      </c>
      <c r="OO2" s="2996" t="e">
        <f>Calc!G185-DiscRDE</f>
        <v>#VALUE!</v>
      </c>
      <c r="OP2" s="1070">
        <f>Calc!I186/1000</f>
        <v>156.81243363929372</v>
      </c>
      <c r="OQ2" s="1070">
        <f>Current_Prior!BE42/1000</f>
        <v>0</v>
      </c>
      <c r="OR2" s="1070">
        <f>Calc!I186/1000</f>
        <v>156.81243363929372</v>
      </c>
      <c r="OS2" s="1070">
        <f>Current_Prior!BD42/1000</f>
        <v>0</v>
      </c>
      <c r="OT2" s="1070" t="e">
        <f>Calc!H186/1000</f>
        <v>#VALUE!</v>
      </c>
      <c r="OU2" s="1070" t="e">
        <f>Calc!G186/1000</f>
        <v>#VALUE!</v>
      </c>
      <c r="OV2" s="1070" t="str">
        <f>Calc!Y152</f>
        <v>N/A</v>
      </c>
      <c r="OW2" s="1070">
        <f>Calc!Y153</f>
        <v>0</v>
      </c>
      <c r="OX2" s="2993">
        <f>Calc!Y154</f>
        <v>0</v>
      </c>
      <c r="OY2" s="1070" t="str">
        <f>Calc!Y155</f>
        <v>N/A</v>
      </c>
      <c r="OZ2" s="2997">
        <f>Calc!Y156</f>
        <v>0</v>
      </c>
      <c r="PA2" s="1070">
        <f>Calc!Y157</f>
        <v>0</v>
      </c>
      <c r="PB2" s="1070" t="str">
        <f>Calc!Z152</f>
        <v>N/A</v>
      </c>
      <c r="PC2" s="1070">
        <f>Calc!Z153</f>
        <v>0</v>
      </c>
      <c r="PD2" s="2993">
        <f>Calc!Z154</f>
        <v>0</v>
      </c>
      <c r="PE2" s="1070" t="str">
        <f>Calc!Z155</f>
        <v>N/A</v>
      </c>
      <c r="PF2" s="2997">
        <f>Calc!Z156</f>
        <v>0</v>
      </c>
      <c r="PG2" s="1070">
        <f>Calc!Z157</f>
        <v>0</v>
      </c>
      <c r="PH2" s="1070">
        <f>Calc!AA152</f>
        <v>111</v>
      </c>
      <c r="PI2" s="1070" t="str">
        <f>Calc!AA153</f>
        <v>AAA</v>
      </c>
      <c r="PJ2" s="1070" t="str">
        <f>Calc!AA154</f>
        <v>BBB</v>
      </c>
      <c r="PK2" s="1070" t="str">
        <f>Calc!AA155</f>
        <v>CCC</v>
      </c>
      <c r="PL2" s="1070" t="str">
        <f>Calc!AA156</f>
        <v>DDD</v>
      </c>
      <c r="PM2" s="1070" t="str">
        <f>Calc!AA157</f>
        <v>EEE</v>
      </c>
      <c r="PS2" s="1082">
        <v>12</v>
      </c>
      <c r="PT2" s="1082" t="str">
        <f t="shared" ref="PT2:PT34" si="1">"FY"&amp;PS2</f>
        <v>FY12</v>
      </c>
      <c r="PU2" s="1070" t="str">
        <f t="shared" ref="PU2:PU34" si="2">"20"&amp;RIGHT(PT2,2)</f>
        <v>2012</v>
      </c>
      <c r="PX2" s="1070" t="s">
        <v>1300</v>
      </c>
    </row>
    <row r="3" spans="1:441" x14ac:dyDescent="0.3">
      <c r="A3" s="1070" t="str">
        <f>A2</f>
        <v>Life Sciences</v>
      </c>
      <c r="B3" s="1070" t="str">
        <f>B2</f>
        <v>BDB</v>
      </c>
      <c r="C3" s="1070">
        <f>C2</f>
        <v>0</v>
      </c>
      <c r="D3" s="1070">
        <f t="shared" ref="D3:D18" si="3">D2</f>
        <v>0</v>
      </c>
      <c r="E3" s="1082">
        <f>Input!D16</f>
        <v>0</v>
      </c>
      <c r="F3" s="1082">
        <f>Input!J16</f>
        <v>0</v>
      </c>
      <c r="G3" s="1070">
        <f t="shared" ref="G3:J18" si="4">G2</f>
        <v>0</v>
      </c>
      <c r="H3" s="1070">
        <f t="shared" si="4"/>
        <v>0</v>
      </c>
      <c r="I3" s="1070">
        <f t="shared" si="4"/>
        <v>0</v>
      </c>
      <c r="J3" s="1070" t="str">
        <f t="shared" si="4"/>
        <v>Budget</v>
      </c>
      <c r="K3" s="1070" t="str">
        <f t="shared" si="0"/>
        <v>2013</v>
      </c>
      <c r="L3" s="1070">
        <f>IF(PPT!$D$2="$ M",IFERROR(HLOOKUP($PT3,PPT!$E$117:$BJ$119,3,0),0)*1000,IFERROR(HLOOKUP($PT3,PPT!$E$117:$BJ$119,3,0),0))</f>
        <v>0</v>
      </c>
      <c r="M3" s="1070">
        <f>IF(PPT!$D$2="$ M",IFERROR(HLOOKUP($PT3,PPT!$E$133:$BJ$159,4,0),0)*1000,IFERROR(HLOOKUP($PT3,PPT!$E$133:$BJ$159,4,0),0))</f>
        <v>0</v>
      </c>
      <c r="N3" s="1070">
        <f>IF(PPT!$D$2="$ M",IFERROR(HLOOKUP($PT3,PPT!$E$133:$BJ$159,5,0),0)*1000,IFERROR(HLOOKUP($PT3,PPT!$E$133:$BJ$159,5,0),0))</f>
        <v>0</v>
      </c>
      <c r="O3" s="1070">
        <f>IF(PPT!$D$2="$ M",IFERROR(HLOOKUP($PT3,PPT!$E$133:$BJ$159,6,0),0)*1000,IFERROR(HLOOKUP($PT3,PPT!$E$133:$BJ$159,6,0),0))</f>
        <v>0</v>
      </c>
      <c r="P3" s="1070">
        <f>IF(PPT!$D$2="$ M",IFERROR(HLOOKUP($PT3,PPT!$E$133:$BJ$159,7,0),0)*1000,IFERROR(HLOOKUP($PT3,PPT!$E$133:$BJ$159,7,0),0))</f>
        <v>0</v>
      </c>
      <c r="Q3" s="1070">
        <f>IFERROR(HLOOKUP($PT3,Calc!$G$125:$AI$146,3,0),0)</f>
        <v>0</v>
      </c>
      <c r="R3" s="1070">
        <f>IF(PPT!$D$2="$ M",IFERROR(HLOOKUP($PT3,PPT!$E$133:$BJ$159,9,0),0),IFERROR(HLOOKUP($PT3,PPT!$E$133:$BJ$159,9,0),0))</f>
        <v>0</v>
      </c>
      <c r="S3" s="1070">
        <f>IF(PPT!$D$2="$ M",IFERROR(HLOOKUP($PT3,PPT!$E$133:$BJ$159,10,0),0),IFERROR(HLOOKUP($PT3,PPT!$E$133:$BJ$159,10,0),0))</f>
        <v>0</v>
      </c>
      <c r="T3" s="1070">
        <f>IFERROR(IF(Calc!$C$129="Dollar ($)",HLOOKUP($PT3,Calc!$G$125:$AI$146,5,0),0),0)</f>
        <v>0</v>
      </c>
      <c r="U3" s="1070">
        <f>IFERROR(IF(Calc!$C$129="Volume (units)",HLOOKUP($PT3,Calc!$G$125:$AI$146,5,0),0),0)</f>
        <v>0</v>
      </c>
      <c r="V3" s="1070">
        <f>IFERROR(HLOOKUP($PT3,Calc!$G$125:$AI$146,6,0),0)</f>
        <v>0</v>
      </c>
      <c r="W3" s="1070">
        <f>IFERROR(HLOOKUP($PT3,Calc!$G$125:$AI$146,7,0),0)</f>
        <v>0</v>
      </c>
      <c r="X3" s="1070">
        <f>IFERROR(HLOOKUP($PT3,Calc!$G$125:$AI$146,8,0),0)</f>
        <v>0</v>
      </c>
      <c r="Y3" s="1070">
        <f>IFERROR(HLOOKUP($PT3,Calc!$G$125:$AI$146,9,0),0)</f>
        <v>0</v>
      </c>
      <c r="Z3" s="1070">
        <f>IFERROR(HLOOKUP($PT3,Calc!$G$125:$AI$146,10,0),0)</f>
        <v>0</v>
      </c>
      <c r="AA3" s="1070">
        <f>IFERROR(HLOOKUP($PT3,Calc!$G$125:$AI$146,11,0),0)</f>
        <v>0</v>
      </c>
      <c r="AB3" s="1070">
        <f>IFERROR(HLOOKUP($PT3,Calc!$G$125:$AI$146,12,0),0)</f>
        <v>0</v>
      </c>
      <c r="AC3" s="1070">
        <f>IFERROR(HLOOKUP($PT3,Calc!$G$125:$AI$146,13,0),0)</f>
        <v>0</v>
      </c>
      <c r="AD3" s="1070">
        <f>IFERROR(HLOOKUP($PT3,Calc!$G$125:$AI$146,14,0),0)</f>
        <v>0</v>
      </c>
      <c r="AE3" s="1070">
        <f>IFERROR(HLOOKUP($PT3,Calc!$G$125:$AI$146,15,0),0)</f>
        <v>0</v>
      </c>
      <c r="AF3" s="1070">
        <f>IFERROR(HLOOKUP($PT3,Calc!$G$125:$AI$146,16,0),0)</f>
        <v>0</v>
      </c>
      <c r="AG3" s="1070">
        <f>IFERROR(HLOOKUP($PT3,Calc!$G$125:$AI$146,17,0),0)</f>
        <v>0</v>
      </c>
      <c r="AH3" s="1070">
        <f>IFERROR(HLOOKUP($PT3,Calc!$G$125:$AI$146,18,0),0)</f>
        <v>0</v>
      </c>
      <c r="AI3" s="1070">
        <f>IFERROR(HLOOKUP($PT3,Calc!$G$125:$AI$146,19,0),0)</f>
        <v>0</v>
      </c>
      <c r="AJ3" s="1070">
        <f>IFERROR(HLOOKUP($PT3,Calc!$G$125:$AI$146,20,0),0)</f>
        <v>0</v>
      </c>
      <c r="AK3" s="1070">
        <f>IFERROR(HLOOKUP($PT3,Calc!$G$125:$AI$146,21,0),0)</f>
        <v>0</v>
      </c>
      <c r="AL3" s="1070">
        <f>IFERROR(HLOOKUP($PT3,Calc!$G$125:$AI$146,22,0),0)</f>
        <v>0</v>
      </c>
      <c r="AM3" s="1070">
        <f>IFERROR(HLOOKUP($PT3,Calc!$G$125:$AI$147,23,0),0)</f>
        <v>0</v>
      </c>
      <c r="AN3" s="1070">
        <f>IF(PPT!$D$2="$ M",IFERROR(HLOOKUP($PT3,PPT!$E$131:$BJ$159,5,0),0)*1000,IFERROR(HLOOKUP($PT3,PPT!$E$131:$BJ$159,5,0),0))</f>
        <v>0</v>
      </c>
      <c r="AO3" s="1070">
        <f>IF(PPT!$D$2="$ M",IFERROR(HLOOKUP($PT3,PPT!$E$131:$BJ$159,6,0),0)*1000,IFERROR(HLOOKUP($PT3,PPT!$E$131:$BJ$159,6,0),0))</f>
        <v>0</v>
      </c>
      <c r="AP3" s="1070">
        <f>IF(PPT!$D$2="$ M",IFERROR(HLOOKUP($PT3,PPT!$E$131:$BJ$159,7,0),0)*1000,IFERROR(HLOOKUP($PT3,PPT!$E$131:$BJ$159,7,0),0))</f>
        <v>0</v>
      </c>
      <c r="AQ3" s="1070">
        <f>IF(PPT!$D$2="$ M",IFERROR(HLOOKUP($PT3,PPT!$E$131:$BJ$159,8,0),0)*1000,IFERROR(HLOOKUP($PT3,PPT!$E$131:$BJ$159,8,0),0))</f>
        <v>0</v>
      </c>
      <c r="AR3" s="1070">
        <f>IF(PPT!$D$2="$ M",IFERROR(HLOOKUP($PT3,PPT!$E$131:$BJ$159,9,0),0)*1000,IFERROR(HLOOKUP($PT3,PPT!$E$131:$BJ$159,9,0),0))</f>
        <v>0</v>
      </c>
      <c r="AS3" s="1070">
        <f>IF(PPT!$D$2="$ M",IFERROR(HLOOKUP($PT3,PPT!$E$131:$BJ$159,10,0),0)*1000,IFERROR(HLOOKUP($PT3,PPT!$E$131:$BJ$159,10,0),0))</f>
        <v>0</v>
      </c>
      <c r="AT3" s="1070">
        <f>IF(PPT!$D$2="$ M",IFERROR(HLOOKUP($PT3,PPT!$E$131:$BJ$159,13,0),0)*1000,IFERROR(HLOOKUP($PT3,PPT!$E$131:$BJ$159,13,0),0))</f>
        <v>0</v>
      </c>
      <c r="AU3" s="1070">
        <f>IF(PPT!$D$2="$ M",IFERROR(HLOOKUP($PT3,PPT!$E$131:$BJ$159,14,0),0)*1000,IFERROR(HLOOKUP($PT3,PPT!$E$131:$BJ$159,14,0),0))</f>
        <v>0</v>
      </c>
      <c r="AV3" s="1070">
        <f>IF(PPT!$D$2="$ M",IFERROR(HLOOKUP($PT3,PPT!$E$131:$BJ$159,15,0),0)*1000,IFERROR(HLOOKUP($PT3,PPT!$E$131:$BJ$159,15,0),0))</f>
        <v>0</v>
      </c>
      <c r="AW3" s="1070">
        <f>IF(PPT!$D$2="$ M",IFERROR(HLOOKUP($PT3,PPT!$E$131:$BJ$159,17,0),0)*1000,IFERROR(HLOOKUP($PT3,PPT!$E$131:$BJ$159,17,0),0))</f>
        <v>0</v>
      </c>
      <c r="AX3" s="1070">
        <f>IF(PPT!$D$2="$ M",IFERROR(HLOOKUP($PT3,PPT!$E$131:$BJ$159,18,0),0)*1000,IFERROR(HLOOKUP($PT3,PPT!$E$131:$BJ$159,18,0),0))</f>
        <v>0</v>
      </c>
      <c r="AY3" s="1070">
        <f>IF(PPT!$D$2="$ M",IFERROR(HLOOKUP($PT3,PPT!$E$131:$BJ$159,19,0),0)*1000,IFERROR(HLOOKUP($PT3,PPT!$E$131:$BJ$159,19,0),0))</f>
        <v>0</v>
      </c>
      <c r="AZ3" s="1070">
        <f>IF(PPT!$D$2="$ M",IFERROR(HLOOKUP($PT3,PPT!$E$131:$BJ$159,21,0),0)*1000,IFERROR(HLOOKUP($PT3,PPT!$E$131:$BJ$159,21,0),0))</f>
        <v>0</v>
      </c>
      <c r="BA3" s="1070">
        <f>IF(PPT!$D$2="$ M",IFERROR(HLOOKUP($PT3,PPT!$E$131:$BJ$159,22,0),0)*1000,IFERROR(HLOOKUP($PT3,PPT!$E$131:$BJ$159,22,0),0))</f>
        <v>0</v>
      </c>
      <c r="BB3" s="1070">
        <f>IF(PPT!$D$2="$ M",IFERROR(HLOOKUP($PT3,PPT!$E$131:$BJ$159,23,0),0)*1000,IFERROR(HLOOKUP($PT3,PPT!$E$131:$BJ$159,23,0),0))</f>
        <v>0</v>
      </c>
      <c r="BC3" s="1070">
        <f>IF(PPT!$D$2="$ M",IFERROR(HLOOKUP($PT3,PPT!$E$131:$BJ$159,25,0),0)*1000,IFERROR(HLOOKUP($PT3,PPT!$E$131:$BJ$159,25,0),0))</f>
        <v>0</v>
      </c>
      <c r="BD3" s="1070">
        <f>IF(PPT!$D$2="$ M",IFERROR(HLOOKUP($PT3,PPT!$E$131:$BJ$159,26,0),0)*1000,IFERROR(HLOOKUP($PT3,PPT!$E$131:$BJ$159,26,0),0))</f>
        <v>0</v>
      </c>
      <c r="BE3" s="1070">
        <f>IF(PPT!$D$2="$ M",IFERROR(HLOOKUP($PT3,PPT!$E$131:$BJ$159,27,0),0)*1000,IFERROR(HLOOKUP($PT3,PPT!$E$131:$BJ$159,27,0),0))</f>
        <v>0</v>
      </c>
      <c r="BF3" s="1070">
        <f>IFERROR(HLOOKUP($PT3,Calc!$F$151:$P$166,2,0),0)</f>
        <v>0</v>
      </c>
      <c r="BG3" s="1070">
        <f>IFERROR(HLOOKUP($PT3,Calc!$F$151:$P$166,3,0),0)</f>
        <v>0</v>
      </c>
      <c r="BH3" s="1070">
        <f>IFERROR(HLOOKUP($PT3,Calc!$F$151:$P$166,4,0),0)</f>
        <v>0</v>
      </c>
      <c r="BI3" s="1070">
        <f>IFERROR(HLOOKUP($PT3,Calc!$F$151:$P$166,5,0),0)</f>
        <v>0</v>
      </c>
      <c r="BJ3" s="1070">
        <f>IFERROR(HLOOKUP($PT3,Calc!$F$151:$P$166,6,0),0)</f>
        <v>0</v>
      </c>
      <c r="BK3" s="1070">
        <f>IFERROR(HLOOKUP($PT3,Calc!$F$151:$P$166,7,0),0)</f>
        <v>0</v>
      </c>
      <c r="BL3" s="1070">
        <f>IFERROR(HLOOKUP($PT3,Calc!$F$151:$P$166,8,0),0)</f>
        <v>0</v>
      </c>
      <c r="BM3" s="1070">
        <f>IFERROR(HLOOKUP($PT3,Calc!$F$151:$P$166,9,0),0)</f>
        <v>0</v>
      </c>
      <c r="BN3" s="1070">
        <f>IFERROR(HLOOKUP($PT3,Calc!$F$151:$P$166,10,0),0)</f>
        <v>0</v>
      </c>
      <c r="BO3" s="1070">
        <f>IFERROR(HLOOKUP($PT3,Calc!$F$151:$P$166,11,0),0)</f>
        <v>0</v>
      </c>
      <c r="BP3" s="1070">
        <f>IFERROR(HLOOKUP($PT3,Calc!$F$151:$P$166,12,0),0)</f>
        <v>0</v>
      </c>
      <c r="BQ3" s="1070">
        <f>IFERROR(HLOOKUP($PT3,Calc!$F$151:$P$166,13,0),0)</f>
        <v>0</v>
      </c>
      <c r="BR3" s="1070">
        <f>IFERROR(HLOOKUP($PT3,Calc!$F$151:$P$166,14,0),0)</f>
        <v>0</v>
      </c>
      <c r="BS3" s="1070">
        <f>IFERROR(HLOOKUP($PT3,Calc!$F$151:$P$166,15,0),0)</f>
        <v>0</v>
      </c>
      <c r="BT3" s="1070">
        <f>IFERROR(HLOOKUP($PT3,Calc!$F$151:$P$166,16,0),0)</f>
        <v>0</v>
      </c>
      <c r="BU3" s="1070">
        <f>IFERROR(VLOOKUP($PS3,Calc!$AF$196:$AH$203,2,0),0)</f>
        <v>0</v>
      </c>
      <c r="BV3" s="1070">
        <f>IFERROR(VLOOKUP($PS3,Calc!$AF$196:$AH$203,3,0),0)</f>
        <v>0</v>
      </c>
      <c r="BW3" s="1070">
        <f>IFERROR(VLOOKUP($PS3,Calc!$AF$196:$AI$203,4,0),0)</f>
        <v>0</v>
      </c>
      <c r="BX3" s="1070">
        <f>IFERROR(VLOOKUP($PS3,Calc!$AF$208:$AI$209,2,0),0)</f>
        <v>0</v>
      </c>
      <c r="BY3" s="1070">
        <f>IFERROR(VLOOKUP($PS3,Calc!$AF$208:$AI$209,3,0),0)</f>
        <v>0</v>
      </c>
      <c r="BZ3" s="1070">
        <f>IFERROR(VLOOKUP($PS3,Calc!$AF$208:$AI$209,4,0),0)</f>
        <v>0</v>
      </c>
      <c r="CA3" s="1070">
        <f>IFERROR(VLOOKUP($PS3,Calc!$K$420:$P$433,3,0),0)</f>
        <v>0</v>
      </c>
      <c r="CB3" s="1070">
        <f>IFERROR(VLOOKUP($PS3,Calc!$K$420:$P$433,4,0),0)</f>
        <v>0</v>
      </c>
      <c r="CC3" s="1070">
        <f>IFERROR(VLOOKUP($PS3,Calc!$K$420:$P$433,5,0),0)</f>
        <v>0</v>
      </c>
      <c r="CD3" s="1070">
        <f>IFERROR(VLOOKUP($PS3,Calc!$K$420:$P$433,6,0),0)</f>
        <v>0</v>
      </c>
      <c r="CE3" s="1070">
        <f>IFERROR(VLOOKUP($PS3,Calc!$AQ$420:$AV$433,3,0),0)</f>
        <v>0</v>
      </c>
      <c r="CF3" s="1070">
        <f>IFERROR(VLOOKUP($PS3,Calc!$AQ$420:$AV$433,4,0),0)</f>
        <v>0</v>
      </c>
      <c r="CG3" s="1070">
        <f>IFERROR(VLOOKUP($PS3,Calc!$AQ$420:$AV$433,5,0),0)</f>
        <v>0</v>
      </c>
      <c r="CH3" s="1070">
        <f>IFERROR(VLOOKUP($PS3,Calc!$AQ$420:$AV$433,6,0),0)</f>
        <v>0</v>
      </c>
      <c r="CI3" s="1070">
        <f>IFERROR(HLOOKUP($PT3,Calc!$AQ$125:$BS$146,3,0),0)</f>
        <v>0</v>
      </c>
      <c r="CJ3" s="1070">
        <f>IFERROR(HLOOKUP($PT3,Calc!$AQ$125:$BS$146,6,0),0)</f>
        <v>0</v>
      </c>
      <c r="CK3" s="1070">
        <f>IFERROR(IF(Calc!$C$129="Dollar ($)",HLOOKUP($PT3,Calc!$AQ$125:$BS$146,5,0),0),0)</f>
        <v>0</v>
      </c>
      <c r="CL3" s="1070">
        <f>IFERROR(IF(Calc!$C$129="Volume (units)",HLOOKUP($PT3,Calc!$AQ$125:$BS$146,5,0),0),0)</f>
        <v>0</v>
      </c>
      <c r="CM3" s="1070">
        <f>IFERROR(HLOOKUP($PT3,Calc!$AQ$125:$BS$146,9,0),0)</f>
        <v>0</v>
      </c>
      <c r="CN3" s="1070">
        <f>IFERROR(HLOOKUP($PT3,Calc!$AQ$125:$BS$146,10,0),0)</f>
        <v>0</v>
      </c>
      <c r="CO3" s="1070">
        <f>IFERROR(HLOOKUP($PT3,Calc!$AQ$125:$BS$146,11,0),0)</f>
        <v>0</v>
      </c>
      <c r="CP3" s="1070">
        <f>IFERROR(HLOOKUP($PT3,Calc!$AQ$125:$BS$146,12,0),0)</f>
        <v>0</v>
      </c>
      <c r="CQ3" s="1070">
        <f>IFERROR(HLOOKUP($PT3,Calc!$AQ$125:$BS$146,13,0),0)</f>
        <v>0</v>
      </c>
      <c r="CR3" s="1070">
        <f>IFERROR(HLOOKUP($PT3,Calc!$AQ$125:$BS$146,17,0),0)</f>
        <v>0</v>
      </c>
      <c r="CS3" s="1070">
        <f>IFERROR(HLOOKUP($PT3,Calc!$AQ$125:$BS$146,19,0),0)</f>
        <v>0</v>
      </c>
      <c r="CT3" s="1070">
        <f>IFERROR(HLOOKUP($PT3,Calc!$AQ$125:$BS$146,20,0),0)</f>
        <v>0</v>
      </c>
      <c r="CU3" s="1070">
        <f>IFERROR(HLOOKUP($PT3,Calc!$AQ$125:$BS$146,21,0),0)</f>
        <v>0</v>
      </c>
      <c r="CV3" s="1070">
        <f>IFERROR(HLOOKUP($PT3,Calc!$AQ$125:$BS$147,23,0),0)</f>
        <v>0</v>
      </c>
      <c r="CW3" s="1070">
        <f>IFERROR(HLOOKUP($PT3,Calc!$AQ$9:$BS$15,5,0),0)+IFERROR(HLOOKUP($PT3,Calc!$AQ$30:$BS$36,5,0),0)+IFERROR(HLOOKUP($PT3,Calc!$AQ$51:$BS$57,5,0),0)+IFERROR(HLOOKUP($PT3,Calc!$AQ$72:$BS$78,5,0),0)+IFERROR(HLOOKUP($PT3,Calc!$AQ$93:$BS$99,5,0),0)</f>
        <v>0</v>
      </c>
      <c r="CX3" s="1070">
        <f>IFERROR(HLOOKUP($PT3,Calc!$AQ$9:$BS$15,6,0),0)+IFERROR(HLOOKUP($PT3,Calc!$AQ$30:$BS$36,6,0),0)+IFERROR(HLOOKUP($PT3,Calc!$AQ$51:$BS$57,6,0),0)+IFERROR(HLOOKUP($PT3,Calc!$AQ$72:$BS$78,6,0),0)+IFERROR(HLOOKUP($PT3,Calc!$AQ$93:$BS$99,6,0),0)</f>
        <v>0</v>
      </c>
      <c r="CY3" s="1070">
        <f>IFERROR(HLOOKUP($PT3,Calc!$AQ$9:$BS$15,7,0),0)+IFERROR(HLOOKUP($PT3,Calc!$AQ$30:$BS$36,7,0),0)+IFERROR(HLOOKUP($PT3,Calc!$AQ$51:$BS$57,7,0),0)+IFERROR(HLOOKUP($PT3,Calc!$AQ$72:$BS$78,7,0),0)+IFERROR(HLOOKUP($PT3,Calc!$AQ$93:$BS$99,7,0),0)</f>
        <v>0</v>
      </c>
      <c r="DA3" s="2993"/>
      <c r="DD3" s="2993"/>
      <c r="DE3" s="2993"/>
      <c r="DF3" s="2993"/>
      <c r="DG3" s="2993"/>
      <c r="DJ3" s="2993"/>
      <c r="DL3" s="2993"/>
      <c r="DM3" s="2993"/>
      <c r="DP3" s="2993"/>
      <c r="DR3" s="2993"/>
      <c r="DS3" s="2993"/>
      <c r="DV3" s="2993"/>
      <c r="ET3" s="2992"/>
      <c r="EV3" s="2992"/>
      <c r="GN3" s="2993"/>
      <c r="GO3" s="2993"/>
      <c r="GP3" s="2993"/>
      <c r="GQ3" s="2993"/>
      <c r="GR3" s="2993"/>
      <c r="GS3" s="2993"/>
      <c r="GT3" s="2993"/>
      <c r="GU3" s="2993"/>
      <c r="GV3" s="2993"/>
      <c r="GW3" s="2993"/>
      <c r="GX3" s="2993"/>
      <c r="GY3" s="2993"/>
      <c r="GZ3" s="2993"/>
      <c r="HF3" s="2993"/>
      <c r="HG3" s="2993"/>
      <c r="HH3" s="2993"/>
      <c r="HI3" s="2993"/>
      <c r="HJ3" s="2993"/>
      <c r="HK3" s="2993"/>
      <c r="HL3" s="2993"/>
      <c r="HM3" s="2993"/>
      <c r="HN3" s="2993"/>
      <c r="HO3" s="2993"/>
      <c r="HP3" s="2993"/>
      <c r="HQ3" s="2993"/>
      <c r="HR3" s="2993"/>
      <c r="HS3" s="2993"/>
      <c r="HT3" s="2993"/>
      <c r="HU3" s="2993"/>
      <c r="HV3" s="2993"/>
      <c r="HW3" s="2993"/>
      <c r="HX3" s="2993"/>
      <c r="HY3" s="2993"/>
      <c r="IY3" s="1070">
        <f>IFERROR(HLOOKUP($PT3,Current_Prior!$AQ$9:$BS$30,3,0),0)</f>
        <v>0</v>
      </c>
      <c r="IZ3" s="1070">
        <f>IFERROR(HLOOKUP($PT3,Current_Prior!$AQ$9:$BS$30,6,0),0)</f>
        <v>0</v>
      </c>
      <c r="JA3" s="1070">
        <f>IFERROR(IF(Calc!$C$129="Dollar ($)",HLOOKUP($PT3,Current_Prior!$AQ$9:$BS$30,5,0),0),0)</f>
        <v>0</v>
      </c>
      <c r="JB3" s="1070">
        <f>IFERROR(IF(Calc!$C$129="Volume (units)",HLOOKUP($PT3,Current_Prior!$AQ$9:$BS$30,5,0),0),0)</f>
        <v>0</v>
      </c>
      <c r="JC3" s="1070">
        <f>IFERROR(HLOOKUP($PT3,Current_Prior!$AQ$9:$BS$30,9,0),0)</f>
        <v>0</v>
      </c>
      <c r="JD3" s="1070">
        <f>IFERROR(HLOOKUP($PT3,Current_Prior!$AQ$9:$BS$30,10,0),0)</f>
        <v>0</v>
      </c>
      <c r="JE3" s="1070">
        <f>IFERROR(HLOOKUP($PT3,Current_Prior!$AQ$9:$BS$30,11,0),0)</f>
        <v>0</v>
      </c>
      <c r="JF3" s="1070">
        <f>IFERROR(HLOOKUP($PT3,Current_Prior!$AQ$9:$BS$30,12,0),0)</f>
        <v>0</v>
      </c>
      <c r="JG3" s="1070">
        <f>IFERROR(HLOOKUP($PT3,Current_Prior!$AQ$9:$BS$30,13,0),0)</f>
        <v>0</v>
      </c>
      <c r="JH3" s="1070">
        <f>IFERROR(HLOOKUP($PT3,Current_Prior!$AQ$9:$BS$30,17,0),0)</f>
        <v>0</v>
      </c>
      <c r="JI3" s="1070">
        <f>IFERROR(HLOOKUP($PT3,Current_Prior!$AQ$9:$BS$30,19,0),0)</f>
        <v>0</v>
      </c>
      <c r="JJ3" s="1070">
        <f>IFERROR(HLOOKUP($PT3,Current_Prior!$AQ$9:$BS$30,20,0),0)</f>
        <v>0</v>
      </c>
      <c r="JK3" s="1070">
        <f>IFERROR(HLOOKUP($PT3,Current_Prior!$AQ$9:$BS$30,21,0),0)</f>
        <v>0</v>
      </c>
      <c r="JL3" s="1070">
        <f>IFERROR(HLOOKUP($PT3,Current_Prior!$AQ$9:$BS$31,23,0),0)</f>
        <v>0</v>
      </c>
      <c r="ML3" s="1082">
        <f>IFERROR(HLOOKUP($PT3,HistInfo!$G$15:$AI$37,3,0),0)</f>
        <v>0</v>
      </c>
      <c r="MM3" s="1082">
        <f>IFERROR(HLOOKUP($PT3,HistInfo!$G$15:$AI$37,6,0),0)</f>
        <v>0</v>
      </c>
      <c r="MN3" s="1070">
        <f>IFERROR(IF(HistInfo!$C$19="Dollar ($)",HLOOKUP($PT3,HistInfo!$G$15:$AI$37,5,0),0),0)</f>
        <v>0</v>
      </c>
      <c r="MO3" s="1070">
        <f>IFERROR(IF(HistInfo!$C$19="Volume (units)",HLOOKUP($PT3,HistInfo!$G$15:$AI$37,5,0),0),0)</f>
        <v>0</v>
      </c>
      <c r="MP3" s="1082">
        <f>IFERROR(HLOOKUP($PT3,HistInfo!$G$15:$AI$37,9,0),0)</f>
        <v>0</v>
      </c>
      <c r="MQ3" s="1082">
        <f>IFERROR(HLOOKUP($PT3,HistInfo!$G$15:$AI$37,10,0),0)</f>
        <v>0</v>
      </c>
      <c r="MR3" s="1082">
        <f>IFERROR(HLOOKUP($PT3,HistInfo!$G$15:$AI$37,11,0),0)</f>
        <v>0</v>
      </c>
      <c r="MS3" s="1082">
        <f>IFERROR(HLOOKUP($PT3,HistInfo!$G$15:$AI$37,12,0),0)</f>
        <v>0</v>
      </c>
      <c r="MT3" s="1082">
        <f>IFERROR(HLOOKUP($PT3,HistInfo!$G$15:$AI$37,13,0),0)</f>
        <v>0</v>
      </c>
      <c r="MU3" s="1082">
        <f>IFERROR(HLOOKUP($PT3,HistInfo!$G$15:$AI$37,17,0),0)</f>
        <v>0</v>
      </c>
      <c r="MV3" s="1082">
        <f>IFERROR(HLOOKUP($PT3,HistInfo!$G$15:$AI$37,19,0),0)</f>
        <v>0</v>
      </c>
      <c r="MW3" s="1082">
        <f>IFERROR(HLOOKUP($PT3,HistInfo!$G$15:$AI$37,20,0),0)</f>
        <v>0</v>
      </c>
      <c r="MX3" s="1082">
        <f>IFERROR(HLOOKUP($PT3,HistInfo!$G$15:$AI$37,21,0),0)</f>
        <v>0</v>
      </c>
      <c r="MY3" s="1082">
        <f>IFERROR(HLOOKUP($PT3,HistInfo!$G$15:$AI$37,23,0),0)</f>
        <v>0</v>
      </c>
      <c r="MZ3" s="2998"/>
      <c r="PS3" s="1082">
        <v>13</v>
      </c>
      <c r="PT3" s="1082" t="str">
        <f t="shared" si="1"/>
        <v>FY13</v>
      </c>
      <c r="PU3" s="1070" t="str">
        <f t="shared" si="2"/>
        <v>2013</v>
      </c>
      <c r="PX3" s="1070" t="s">
        <v>1140</v>
      </c>
      <c r="PY3" s="1070">
        <v>1</v>
      </c>
    </row>
    <row r="4" spans="1:441" x14ac:dyDescent="0.3">
      <c r="A4" s="1070" t="str">
        <f t="shared" ref="A4:D19" si="5">A3</f>
        <v>Life Sciences</v>
      </c>
      <c r="B4" s="1070" t="str">
        <f t="shared" si="5"/>
        <v>BDB</v>
      </c>
      <c r="C4" s="1070">
        <f t="shared" si="5"/>
        <v>0</v>
      </c>
      <c r="D4" s="1070">
        <f t="shared" si="3"/>
        <v>0</v>
      </c>
      <c r="E4" s="1082">
        <f>Input!D17</f>
        <v>0</v>
      </c>
      <c r="F4" s="1082">
        <f>Input!J17</f>
        <v>0</v>
      </c>
      <c r="G4" s="1070">
        <f t="shared" si="4"/>
        <v>0</v>
      </c>
      <c r="H4" s="1070">
        <f t="shared" si="4"/>
        <v>0</v>
      </c>
      <c r="I4" s="1070">
        <f t="shared" si="4"/>
        <v>0</v>
      </c>
      <c r="J4" s="1070" t="str">
        <f t="shared" si="4"/>
        <v>Budget</v>
      </c>
      <c r="K4" s="1070" t="str">
        <f t="shared" si="0"/>
        <v>2014</v>
      </c>
      <c r="L4" s="1070">
        <f>IF(PPT!$D$2="$ M",IFERROR(HLOOKUP($PT4,PPT!$E$117:$BJ$119,3,0),0)*1000,IFERROR(HLOOKUP($PT4,PPT!$E$117:$BJ$119,3,0),0))</f>
        <v>0</v>
      </c>
      <c r="M4" s="1070">
        <f>IF(PPT!$D$2="$ M",IFERROR(HLOOKUP($PT4,PPT!$E$133:$BJ$159,4,0),0)*1000,IFERROR(HLOOKUP($PT4,PPT!$E$133:$BJ$159,4,0),0))</f>
        <v>0</v>
      </c>
      <c r="N4" s="1070">
        <f>IF(PPT!$D$2="$ M",IFERROR(HLOOKUP($PT4,PPT!$E$133:$BJ$159,5,0),0)*1000,IFERROR(HLOOKUP($PT4,PPT!$E$133:$BJ$159,5,0),0))</f>
        <v>0</v>
      </c>
      <c r="O4" s="1070">
        <f>IF(PPT!$D$2="$ M",IFERROR(HLOOKUP($PT4,PPT!$E$133:$BJ$159,6,0),0)*1000,IFERROR(HLOOKUP($PT4,PPT!$E$133:$BJ$159,6,0),0))</f>
        <v>0</v>
      </c>
      <c r="P4" s="1070">
        <f>IF(PPT!$D$2="$ M",IFERROR(HLOOKUP($PT4,PPT!$E$133:$BJ$159,7,0),0)*1000,IFERROR(HLOOKUP($PT4,PPT!$E$133:$BJ$159,7,0),0))</f>
        <v>0</v>
      </c>
      <c r="Q4" s="1070">
        <f>IFERROR(HLOOKUP($PT4,Calc!$G$125:$AI$146,3,0),0)</f>
        <v>0</v>
      </c>
      <c r="R4" s="1070">
        <f>IF(PPT!$D$2="$ M",IFERROR(HLOOKUP($PT4,PPT!$E$133:$BJ$159,9,0),0),IFERROR(HLOOKUP($PT4,PPT!$E$133:$BJ$159,9,0),0))</f>
        <v>0</v>
      </c>
      <c r="S4" s="1070">
        <f>IF(PPT!$D$2="$ M",IFERROR(HLOOKUP($PT4,PPT!$E$133:$BJ$159,10,0),0),IFERROR(HLOOKUP($PT4,PPT!$E$133:$BJ$159,10,0),0))</f>
        <v>0</v>
      </c>
      <c r="T4" s="1070">
        <f>IFERROR(IF(Calc!$C$129="Dollar ($)",HLOOKUP($PT4,Calc!$G$125:$AI$146,5,0),0),0)</f>
        <v>0</v>
      </c>
      <c r="U4" s="1070">
        <f>IFERROR(IF(Calc!$C$129="Volume (units)",HLOOKUP($PT4,Calc!$G$125:$AI$146,5,0),0),0)</f>
        <v>0</v>
      </c>
      <c r="V4" s="1070">
        <f>IFERROR(HLOOKUP($PT4,Calc!$G$125:$AI$146,6,0),0)</f>
        <v>0</v>
      </c>
      <c r="W4" s="1070">
        <f>IFERROR(HLOOKUP($PT4,Calc!$G$125:$AI$146,7,0),0)</f>
        <v>0</v>
      </c>
      <c r="X4" s="1070">
        <f>IFERROR(HLOOKUP($PT4,Calc!$G$125:$AI$146,8,0),0)</f>
        <v>0</v>
      </c>
      <c r="Y4" s="1070">
        <f>IFERROR(HLOOKUP($PT4,Calc!$G$125:$AI$146,9,0),0)</f>
        <v>0</v>
      </c>
      <c r="Z4" s="1070">
        <f>IFERROR(HLOOKUP($PT4,Calc!$G$125:$AI$146,10,0),0)</f>
        <v>0</v>
      </c>
      <c r="AA4" s="1070">
        <f>IFERROR(HLOOKUP($PT4,Calc!$G$125:$AI$146,11,0),0)</f>
        <v>0</v>
      </c>
      <c r="AB4" s="1070">
        <f>IFERROR(HLOOKUP($PT4,Calc!$G$125:$AI$146,12,0),0)</f>
        <v>0</v>
      </c>
      <c r="AC4" s="1070">
        <f>IFERROR(HLOOKUP($PT4,Calc!$G$125:$AI$146,13,0),0)</f>
        <v>0</v>
      </c>
      <c r="AD4" s="1070">
        <f>IFERROR(HLOOKUP($PT4,Calc!$G$125:$AI$146,14,0),0)</f>
        <v>0</v>
      </c>
      <c r="AE4" s="1070">
        <f>IFERROR(HLOOKUP($PT4,Calc!$G$125:$AI$146,15,0),0)</f>
        <v>0</v>
      </c>
      <c r="AF4" s="1070">
        <f>IFERROR(HLOOKUP($PT4,Calc!$G$125:$AI$146,16,0),0)</f>
        <v>0</v>
      </c>
      <c r="AG4" s="1070">
        <f>IFERROR(HLOOKUP($PT4,Calc!$G$125:$AI$146,17,0),0)</f>
        <v>0</v>
      </c>
      <c r="AH4" s="1070">
        <f>IFERROR(HLOOKUP($PT4,Calc!$G$125:$AI$146,18,0),0)</f>
        <v>0</v>
      </c>
      <c r="AI4" s="1070">
        <f>IFERROR(HLOOKUP($PT4,Calc!$G$125:$AI$146,19,0),0)</f>
        <v>0</v>
      </c>
      <c r="AJ4" s="1070">
        <f>IFERROR(HLOOKUP($PT4,Calc!$G$125:$AI$146,20,0),0)</f>
        <v>0</v>
      </c>
      <c r="AK4" s="1070">
        <f>IFERROR(HLOOKUP($PT4,Calc!$G$125:$AI$146,21,0),0)</f>
        <v>0</v>
      </c>
      <c r="AL4" s="1070">
        <f>IFERROR(HLOOKUP($PT4,Calc!$G$125:$AI$146,22,0),0)</f>
        <v>0</v>
      </c>
      <c r="AM4" s="1070">
        <f>IFERROR(HLOOKUP($PT4,Calc!$G$125:$AI$147,23,0),0)</f>
        <v>0</v>
      </c>
      <c r="AN4" s="1070">
        <f>IF(PPT!$D$2="$ M",IFERROR(HLOOKUP($PT4,PPT!$E$131:$BJ$159,5,0),0)*1000,IFERROR(HLOOKUP($PT4,PPT!$E$131:$BJ$159,5,0),0))</f>
        <v>0</v>
      </c>
      <c r="AO4" s="1070">
        <f>IF(PPT!$D$2="$ M",IFERROR(HLOOKUP($PT4,PPT!$E$131:$BJ$159,6,0),0)*1000,IFERROR(HLOOKUP($PT4,PPT!$E$131:$BJ$159,6,0),0))</f>
        <v>0</v>
      </c>
      <c r="AP4" s="1070">
        <f>IF(PPT!$D$2="$ M",IFERROR(HLOOKUP($PT4,PPT!$E$131:$BJ$159,7,0),0)*1000,IFERROR(HLOOKUP($PT4,PPT!$E$131:$BJ$159,7,0),0))</f>
        <v>0</v>
      </c>
      <c r="AQ4" s="1070">
        <f>IF(PPT!$D$2="$ M",IFERROR(HLOOKUP($PT4,PPT!$E$131:$BJ$159,8,0),0)*1000,IFERROR(HLOOKUP($PT4,PPT!$E$131:$BJ$159,8,0),0))</f>
        <v>0</v>
      </c>
      <c r="AR4" s="1070">
        <f>IF(PPT!$D$2="$ M",IFERROR(HLOOKUP($PT4,PPT!$E$131:$BJ$159,9,0),0)*1000,IFERROR(HLOOKUP($PT4,PPT!$E$131:$BJ$159,9,0),0))</f>
        <v>0</v>
      </c>
      <c r="AS4" s="1070">
        <f>IF(PPT!$D$2="$ M",IFERROR(HLOOKUP($PT4,PPT!$E$131:$BJ$159,10,0),0)*1000,IFERROR(HLOOKUP($PT4,PPT!$E$131:$BJ$159,10,0),0))</f>
        <v>0</v>
      </c>
      <c r="AT4" s="1070">
        <f>IF(PPT!$D$2="$ M",IFERROR(HLOOKUP($PT4,PPT!$E$131:$BJ$159,13,0),0)*1000,IFERROR(HLOOKUP($PT4,PPT!$E$131:$BJ$159,13,0),0))</f>
        <v>0</v>
      </c>
      <c r="AU4" s="1070">
        <f>IF(PPT!$D$2="$ M",IFERROR(HLOOKUP($PT4,PPT!$E$131:$BJ$159,14,0),0)*1000,IFERROR(HLOOKUP($PT4,PPT!$E$131:$BJ$159,14,0),0))</f>
        <v>0</v>
      </c>
      <c r="AV4" s="1070">
        <f>IF(PPT!$D$2="$ M",IFERROR(HLOOKUP($PT4,PPT!$E$131:$BJ$159,15,0),0)*1000,IFERROR(HLOOKUP($PT4,PPT!$E$131:$BJ$159,15,0),0))</f>
        <v>0</v>
      </c>
      <c r="AW4" s="1070">
        <f>IF(PPT!$D$2="$ M",IFERROR(HLOOKUP($PT4,PPT!$E$131:$BJ$159,17,0),0)*1000,IFERROR(HLOOKUP($PT4,PPT!$E$131:$BJ$159,17,0),0))</f>
        <v>0</v>
      </c>
      <c r="AX4" s="1070">
        <f>IF(PPT!$D$2="$ M",IFERROR(HLOOKUP($PT4,PPT!$E$131:$BJ$159,18,0),0)*1000,IFERROR(HLOOKUP($PT4,PPT!$E$131:$BJ$159,18,0),0))</f>
        <v>0</v>
      </c>
      <c r="AY4" s="1070">
        <f>IF(PPT!$D$2="$ M",IFERROR(HLOOKUP($PT4,PPT!$E$131:$BJ$159,19,0),0)*1000,IFERROR(HLOOKUP($PT4,PPT!$E$131:$BJ$159,19,0),0))</f>
        <v>0</v>
      </c>
      <c r="AZ4" s="1070">
        <f>IF(PPT!$D$2="$ M",IFERROR(HLOOKUP($PT4,PPT!$E$131:$BJ$159,21,0),0)*1000,IFERROR(HLOOKUP($PT4,PPT!$E$131:$BJ$159,21,0),0))</f>
        <v>0</v>
      </c>
      <c r="BA4" s="1070">
        <f>IF(PPT!$D$2="$ M",IFERROR(HLOOKUP($PT4,PPT!$E$131:$BJ$159,22,0),0)*1000,IFERROR(HLOOKUP($PT4,PPT!$E$131:$BJ$159,22,0),0))</f>
        <v>0</v>
      </c>
      <c r="BB4" s="1070">
        <f>IF(PPT!$D$2="$ M",IFERROR(HLOOKUP($PT4,PPT!$E$131:$BJ$159,23,0),0)*1000,IFERROR(HLOOKUP($PT4,PPT!$E$131:$BJ$159,23,0),0))</f>
        <v>0</v>
      </c>
      <c r="BC4" s="1070">
        <f>IF(PPT!$D$2="$ M",IFERROR(HLOOKUP($PT4,PPT!$E$131:$BJ$159,25,0),0)*1000,IFERROR(HLOOKUP($PT4,PPT!$E$131:$BJ$159,25,0),0))</f>
        <v>0</v>
      </c>
      <c r="BD4" s="1070">
        <f>IF(PPT!$D$2="$ M",IFERROR(HLOOKUP($PT4,PPT!$E$131:$BJ$159,26,0),0)*1000,IFERROR(HLOOKUP($PT4,PPT!$E$131:$BJ$159,26,0),0))</f>
        <v>0</v>
      </c>
      <c r="BE4" s="1070">
        <f>IF(PPT!$D$2="$ M",IFERROR(HLOOKUP($PT4,PPT!$E$131:$BJ$159,27,0),0)*1000,IFERROR(HLOOKUP($PT4,PPT!$E$131:$BJ$159,27,0),0))</f>
        <v>0</v>
      </c>
      <c r="BF4" s="1070">
        <f>IFERROR(HLOOKUP($PT4,Calc!$F$151:$P$166,2,0),0)</f>
        <v>0</v>
      </c>
      <c r="BG4" s="1070">
        <f>IFERROR(HLOOKUP($PT4,Calc!$F$151:$P$166,3,0),0)</f>
        <v>0</v>
      </c>
      <c r="BH4" s="1070">
        <f>IFERROR(HLOOKUP($PT4,Calc!$F$151:$P$166,4,0),0)</f>
        <v>0</v>
      </c>
      <c r="BI4" s="1070">
        <f>IFERROR(HLOOKUP($PT4,Calc!$F$151:$P$166,5,0),0)</f>
        <v>0</v>
      </c>
      <c r="BJ4" s="1070">
        <f>IFERROR(HLOOKUP($PT4,Calc!$F$151:$P$166,6,0),0)</f>
        <v>0</v>
      </c>
      <c r="BK4" s="1070">
        <f>IFERROR(HLOOKUP($PT4,Calc!$F$151:$P$166,7,0),0)</f>
        <v>0</v>
      </c>
      <c r="BL4" s="1070">
        <f>IFERROR(HLOOKUP($PT4,Calc!$F$151:$P$166,8,0),0)</f>
        <v>0</v>
      </c>
      <c r="BM4" s="1070">
        <f>IFERROR(HLOOKUP($PT4,Calc!$F$151:$P$166,9,0),0)</f>
        <v>0</v>
      </c>
      <c r="BN4" s="1070">
        <f>IFERROR(HLOOKUP($PT4,Calc!$F$151:$P$166,10,0),0)</f>
        <v>0</v>
      </c>
      <c r="BO4" s="1070">
        <f>IFERROR(HLOOKUP($PT4,Calc!$F$151:$P$166,11,0),0)</f>
        <v>0</v>
      </c>
      <c r="BP4" s="1070">
        <f>IFERROR(HLOOKUP($PT4,Calc!$F$151:$P$166,12,0),0)</f>
        <v>0</v>
      </c>
      <c r="BQ4" s="1070">
        <f>IFERROR(HLOOKUP($PT4,Calc!$F$151:$P$166,13,0),0)</f>
        <v>0</v>
      </c>
      <c r="BR4" s="1070">
        <f>IFERROR(HLOOKUP($PT4,Calc!$F$151:$P$166,14,0),0)</f>
        <v>0</v>
      </c>
      <c r="BS4" s="1070">
        <f>IFERROR(HLOOKUP($PT4,Calc!$F$151:$P$166,15,0),0)</f>
        <v>0</v>
      </c>
      <c r="BT4" s="1070">
        <f>IFERROR(HLOOKUP($PT4,Calc!$F$151:$P$166,16,0),0)</f>
        <v>0</v>
      </c>
      <c r="BU4" s="1070">
        <f>IFERROR(VLOOKUP($PS4,Calc!$AF$196:$AH$203,2,0),0)</f>
        <v>0</v>
      </c>
      <c r="BV4" s="1070">
        <f>IFERROR(VLOOKUP($PS4,Calc!$AF$196:$AH$203,3,0),0)</f>
        <v>0</v>
      </c>
      <c r="BW4" s="1070">
        <f>IFERROR(VLOOKUP($PS4,Calc!$AF$196:$AI$203,4,0),0)</f>
        <v>0</v>
      </c>
      <c r="BX4" s="1070">
        <f>IFERROR(VLOOKUP($PS4,Calc!$AF$208:$AI$209,2,0),0)</f>
        <v>0</v>
      </c>
      <c r="BY4" s="1070">
        <f>IFERROR(VLOOKUP($PS4,Calc!$AF$208:$AI$209,3,0),0)</f>
        <v>0</v>
      </c>
      <c r="BZ4" s="1070">
        <f>IFERROR(VLOOKUP($PS4,Calc!$AF$208:$AI$209,4,0),0)</f>
        <v>0</v>
      </c>
      <c r="CA4" s="1070">
        <f>IFERROR(VLOOKUP($PS4,Calc!$K$420:$P$433,3,0),0)</f>
        <v>0</v>
      </c>
      <c r="CB4" s="1070">
        <f>IFERROR(VLOOKUP($PS4,Calc!$K$420:$P$433,4,0),0)</f>
        <v>0</v>
      </c>
      <c r="CC4" s="1070">
        <f>IFERROR(VLOOKUP($PS4,Calc!$K$420:$P$433,5,0),0)</f>
        <v>0</v>
      </c>
      <c r="CD4" s="1070">
        <f>IFERROR(VLOOKUP($PS4,Calc!$K$420:$P$433,6,0),0)</f>
        <v>0</v>
      </c>
      <c r="CE4" s="1070">
        <f>IFERROR(VLOOKUP($PS4,Calc!$AQ$420:$AV$433,3,0),0)</f>
        <v>0</v>
      </c>
      <c r="CF4" s="1070">
        <f>IFERROR(VLOOKUP($PS4,Calc!$AQ$420:$AV$433,4,0),0)</f>
        <v>0</v>
      </c>
      <c r="CG4" s="1070">
        <f>IFERROR(VLOOKUP($PS4,Calc!$AQ$420:$AV$433,5,0),0)</f>
        <v>0</v>
      </c>
      <c r="CH4" s="1070">
        <f>IFERROR(VLOOKUP($PS4,Calc!$AQ$420:$AV$433,6,0),0)</f>
        <v>0</v>
      </c>
      <c r="CI4" s="1070">
        <f>IFERROR(HLOOKUP($PT4,Calc!$AQ$125:$BS$146,3,0),0)</f>
        <v>0</v>
      </c>
      <c r="CJ4" s="1070">
        <f>IFERROR(HLOOKUP($PT4,Calc!$AQ$125:$BS$146,6,0),0)</f>
        <v>0</v>
      </c>
      <c r="CK4" s="1070">
        <f>IFERROR(IF(Calc!$C$129="Dollar ($)",HLOOKUP($PT4,Calc!$AQ$125:$BS$146,5,0),0),0)</f>
        <v>0</v>
      </c>
      <c r="CL4" s="1070">
        <f>IFERROR(IF(Calc!$C$129="Volume (units)",HLOOKUP($PT4,Calc!$AQ$125:$BS$146,5,0),0),0)</f>
        <v>0</v>
      </c>
      <c r="CM4" s="1070">
        <f>IFERROR(HLOOKUP($PT4,Calc!$AQ$125:$BS$146,9,0),0)</f>
        <v>0</v>
      </c>
      <c r="CN4" s="1070">
        <f>IFERROR(HLOOKUP($PT4,Calc!$AQ$125:$BS$146,10,0),0)</f>
        <v>0</v>
      </c>
      <c r="CO4" s="1070">
        <f>IFERROR(HLOOKUP($PT4,Calc!$AQ$125:$BS$146,11,0),0)</f>
        <v>0</v>
      </c>
      <c r="CP4" s="1070">
        <f>IFERROR(HLOOKUP($PT4,Calc!$AQ$125:$BS$146,12,0),0)</f>
        <v>0</v>
      </c>
      <c r="CQ4" s="1070">
        <f>IFERROR(HLOOKUP($PT4,Calc!$AQ$125:$BS$146,13,0),0)</f>
        <v>0</v>
      </c>
      <c r="CR4" s="1070">
        <f>IFERROR(HLOOKUP($PT4,Calc!$AQ$125:$BS$146,17,0),0)</f>
        <v>0</v>
      </c>
      <c r="CS4" s="1070">
        <f>IFERROR(HLOOKUP($PT4,Calc!$AQ$125:$BS$146,19,0),0)</f>
        <v>0</v>
      </c>
      <c r="CT4" s="1070">
        <f>IFERROR(HLOOKUP($PT4,Calc!$AQ$125:$BS$146,20,0),0)</f>
        <v>0</v>
      </c>
      <c r="CU4" s="1070">
        <f>IFERROR(HLOOKUP($PT4,Calc!$AQ$125:$BS$146,21,0),0)</f>
        <v>0</v>
      </c>
      <c r="CV4" s="1070">
        <f>IFERROR(HLOOKUP($PT4,Calc!$AQ$125:$BS$147,23,0),0)</f>
        <v>0</v>
      </c>
      <c r="CW4" s="1070">
        <f>IFERROR(HLOOKUP($PT4,Calc!$AQ$9:$BS$15,5,0),0)+IFERROR(HLOOKUP($PT4,Calc!$AQ$30:$BS$36,5,0),0)+IFERROR(HLOOKUP($PT4,Calc!$AQ$51:$BS$57,5,0),0)+IFERROR(HLOOKUP($PT4,Calc!$AQ$72:$BS$78,5,0),0)+IFERROR(HLOOKUP($PT4,Calc!$AQ$93:$BS$99,5,0),0)</f>
        <v>0</v>
      </c>
      <c r="CX4" s="1070">
        <f>IFERROR(HLOOKUP($PT4,Calc!$AQ$9:$BS$15,6,0),0)+IFERROR(HLOOKUP($PT4,Calc!$AQ$30:$BS$36,6,0),0)+IFERROR(HLOOKUP($PT4,Calc!$AQ$51:$BS$57,6,0),0)+IFERROR(HLOOKUP($PT4,Calc!$AQ$72:$BS$78,6,0),0)+IFERROR(HLOOKUP($PT4,Calc!$AQ$93:$BS$99,6,0),0)</f>
        <v>0</v>
      </c>
      <c r="CY4" s="1070">
        <f>IFERROR(HLOOKUP($PT4,Calc!$AQ$9:$BS$15,7,0),0)+IFERROR(HLOOKUP($PT4,Calc!$AQ$30:$BS$36,7,0),0)+IFERROR(HLOOKUP($PT4,Calc!$AQ$51:$BS$57,7,0),0)+IFERROR(HLOOKUP($PT4,Calc!$AQ$72:$BS$78,7,0),0)+IFERROR(HLOOKUP($PT4,Calc!$AQ$93:$BS$99,7,0),0)</f>
        <v>0</v>
      </c>
      <c r="ET4" s="2999"/>
      <c r="IY4" s="1070">
        <f>IFERROR(HLOOKUP($PT4,Current_Prior!$AQ$9:$BS$30,3,0),0)</f>
        <v>0</v>
      </c>
      <c r="IZ4" s="1070">
        <f>IFERROR(HLOOKUP($PT4,Current_Prior!$AQ$9:$BS$30,6,0),0)</f>
        <v>0</v>
      </c>
      <c r="JA4" s="1070">
        <f>IFERROR(IF(Calc!$C$129="Dollar ($)",HLOOKUP($PT4,Current_Prior!$AQ$9:$BS$30,5,0),0),0)</f>
        <v>0</v>
      </c>
      <c r="JB4" s="1070">
        <f>IFERROR(IF(Calc!$C$129="Volume (units)",HLOOKUP($PT4,Current_Prior!$AQ$9:$BS$30,5,0),0),0)</f>
        <v>0</v>
      </c>
      <c r="JC4" s="1070">
        <f>IFERROR(HLOOKUP($PT4,Current_Prior!$AQ$9:$BS$30,9,0),0)</f>
        <v>0</v>
      </c>
      <c r="JD4" s="1070">
        <f>IFERROR(HLOOKUP($PT4,Current_Prior!$AQ$9:$BS$30,10,0),0)</f>
        <v>0</v>
      </c>
      <c r="JE4" s="1070">
        <f>IFERROR(HLOOKUP($PT4,Current_Prior!$AQ$9:$BS$30,11,0),0)</f>
        <v>0</v>
      </c>
      <c r="JF4" s="1070">
        <f>IFERROR(HLOOKUP($PT4,Current_Prior!$AQ$9:$BS$30,12,0),0)</f>
        <v>0</v>
      </c>
      <c r="JG4" s="1070">
        <f>IFERROR(HLOOKUP($PT4,Current_Prior!$AQ$9:$BS$30,13,0),0)</f>
        <v>0</v>
      </c>
      <c r="JH4" s="1070">
        <f>IFERROR(HLOOKUP($PT4,Current_Prior!$AQ$9:$BS$30,17,0),0)</f>
        <v>0</v>
      </c>
      <c r="JI4" s="1070">
        <f>IFERROR(HLOOKUP($PT4,Current_Prior!$AQ$9:$BS$30,19,0),0)</f>
        <v>0</v>
      </c>
      <c r="JJ4" s="1070">
        <f>IFERROR(HLOOKUP($PT4,Current_Prior!$AQ$9:$BS$30,20,0),0)</f>
        <v>0</v>
      </c>
      <c r="JK4" s="1070">
        <f>IFERROR(HLOOKUP($PT4,Current_Prior!$AQ$9:$BS$30,21,0),0)</f>
        <v>0</v>
      </c>
      <c r="JL4" s="1070">
        <f>IFERROR(HLOOKUP($PT4,Current_Prior!$AQ$9:$BS$31,23,0),0)</f>
        <v>0</v>
      </c>
      <c r="ML4" s="1082">
        <f>IFERROR(HLOOKUP($PT4,HistInfo!$G$15:$AI$37,3,0),0)</f>
        <v>0</v>
      </c>
      <c r="MM4" s="1082">
        <f>IFERROR(HLOOKUP($PT4,HistInfo!$G$15:$AI$37,6,0),0)</f>
        <v>0</v>
      </c>
      <c r="MN4" s="1070">
        <f>IFERROR(IF(HistInfo!$C$19="Dollar ($)",HLOOKUP($PT4,HistInfo!$G$15:$AI$37,5,0),0),0)</f>
        <v>0</v>
      </c>
      <c r="MO4" s="1070">
        <f>IFERROR(IF(HistInfo!$C$19="Volume (units)",HLOOKUP($PT4,HistInfo!$G$15:$AI$37,5,0),0),0)</f>
        <v>0</v>
      </c>
      <c r="MP4" s="1082">
        <f>IFERROR(HLOOKUP($PT4,HistInfo!$G$15:$AI$37,9,0),0)</f>
        <v>0</v>
      </c>
      <c r="MQ4" s="1082">
        <f>IFERROR(HLOOKUP($PT4,HistInfo!$G$15:$AI$37,10,0),0)</f>
        <v>0</v>
      </c>
      <c r="MR4" s="1082">
        <f>IFERROR(HLOOKUP($PT4,HistInfo!$G$15:$AI$37,11,0),0)</f>
        <v>0</v>
      </c>
      <c r="MS4" s="1082">
        <f>IFERROR(HLOOKUP($PT4,HistInfo!$G$15:$AI$37,12,0),0)</f>
        <v>0</v>
      </c>
      <c r="MT4" s="1082">
        <f>IFERROR(HLOOKUP($PT4,HistInfo!$G$15:$AI$37,13,0),0)</f>
        <v>0</v>
      </c>
      <c r="MU4" s="1082">
        <f>IFERROR(HLOOKUP($PT4,HistInfo!$G$15:$AI$37,17,0),0)</f>
        <v>0</v>
      </c>
      <c r="MV4" s="1082">
        <f>IFERROR(HLOOKUP($PT4,HistInfo!$G$15:$AI$37,19,0),0)</f>
        <v>0</v>
      </c>
      <c r="MW4" s="1082">
        <f>IFERROR(HLOOKUP($PT4,HistInfo!$G$15:$AI$37,20,0),0)</f>
        <v>0</v>
      </c>
      <c r="MX4" s="1082">
        <f>IFERROR(HLOOKUP($PT4,HistInfo!$G$15:$AI$37,21,0),0)</f>
        <v>0</v>
      </c>
      <c r="MY4" s="1082">
        <f>IFERROR(HLOOKUP($PT4,HistInfo!$G$15:$AI$37,23,0),0)</f>
        <v>0</v>
      </c>
      <c r="PS4" s="1082">
        <v>14</v>
      </c>
      <c r="PT4" s="1082" t="str">
        <f t="shared" si="1"/>
        <v>FY14</v>
      </c>
      <c r="PU4" s="1070" t="str">
        <f t="shared" si="2"/>
        <v>2014</v>
      </c>
      <c r="PX4" s="1070" t="s">
        <v>1141</v>
      </c>
      <c r="PY4" s="1070">
        <f t="shared" ref="PY4:PY14" si="6">PY3+1</f>
        <v>2</v>
      </c>
    </row>
    <row r="5" spans="1:441" x14ac:dyDescent="0.3">
      <c r="A5" s="1070" t="str">
        <f t="shared" si="5"/>
        <v>Life Sciences</v>
      </c>
      <c r="B5" s="1070" t="str">
        <f t="shared" si="5"/>
        <v>BDB</v>
      </c>
      <c r="C5" s="1070">
        <f t="shared" si="5"/>
        <v>0</v>
      </c>
      <c r="D5" s="1070">
        <f t="shared" si="3"/>
        <v>0</v>
      </c>
      <c r="E5" s="1082">
        <f>Input!D18</f>
        <v>0</v>
      </c>
      <c r="F5" s="1082">
        <f>Input!J18</f>
        <v>0</v>
      </c>
      <c r="G5" s="1070">
        <f t="shared" si="4"/>
        <v>0</v>
      </c>
      <c r="H5" s="1070">
        <f t="shared" si="4"/>
        <v>0</v>
      </c>
      <c r="I5" s="1070">
        <f t="shared" si="4"/>
        <v>0</v>
      </c>
      <c r="J5" s="1070" t="str">
        <f t="shared" si="4"/>
        <v>Budget</v>
      </c>
      <c r="K5" s="1070" t="str">
        <f t="shared" si="0"/>
        <v>2015</v>
      </c>
      <c r="L5" s="1070">
        <f>IF(PPT!$D$2="$ M",IFERROR(HLOOKUP($PT5,PPT!$E$117:$BJ$119,3,0),0)*1000,IFERROR(HLOOKUP($PT5,PPT!$E$117:$BJ$119,3,0),0))</f>
        <v>0</v>
      </c>
      <c r="M5" s="1070">
        <f>IF(PPT!$D$2="$ M",IFERROR(HLOOKUP($PT5,PPT!$E$133:$BJ$159,4,0),0)*1000,IFERROR(HLOOKUP($PT5,PPT!$E$133:$BJ$159,4,0),0))</f>
        <v>0</v>
      </c>
      <c r="N5" s="1070">
        <f>IF(PPT!$D$2="$ M",IFERROR(HLOOKUP($PT5,PPT!$E$133:$BJ$159,5,0),0)*1000,IFERROR(HLOOKUP($PT5,PPT!$E$133:$BJ$159,5,0),0))</f>
        <v>0</v>
      </c>
      <c r="O5" s="1070">
        <f>IF(PPT!$D$2="$ M",IFERROR(HLOOKUP($PT5,PPT!$E$133:$BJ$159,6,0),0)*1000,IFERROR(HLOOKUP($PT5,PPT!$E$133:$BJ$159,6,0),0))</f>
        <v>0</v>
      </c>
      <c r="P5" s="1070">
        <f>IF(PPT!$D$2="$ M",IFERROR(HLOOKUP($PT5,PPT!$E$133:$BJ$159,7,0),0)*1000,IFERROR(HLOOKUP($PT5,PPT!$E$133:$BJ$159,7,0),0))</f>
        <v>0</v>
      </c>
      <c r="Q5" s="1070">
        <f>IFERROR(HLOOKUP($PT5,Calc!$G$125:$AI$146,3,0),0)</f>
        <v>0</v>
      </c>
      <c r="R5" s="1070">
        <f>IF(PPT!$D$2="$ M",IFERROR(HLOOKUP($PT5,PPT!$E$133:$BJ$159,9,0),0),IFERROR(HLOOKUP($PT5,PPT!$E$133:$BJ$159,9,0),0))</f>
        <v>0</v>
      </c>
      <c r="S5" s="1070">
        <f>IF(PPT!$D$2="$ M",IFERROR(HLOOKUP($PT5,PPT!$E$133:$BJ$159,10,0),0),IFERROR(HLOOKUP($PT5,PPT!$E$133:$BJ$159,10,0),0))</f>
        <v>0</v>
      </c>
      <c r="T5" s="1070">
        <f>IFERROR(IF(Calc!$C$129="Dollar ($)",HLOOKUP($PT5,Calc!$G$125:$AI$146,5,0),0),0)</f>
        <v>0</v>
      </c>
      <c r="U5" s="1070">
        <f>IFERROR(IF(Calc!$C$129="Volume (units)",HLOOKUP($PT5,Calc!$G$125:$AI$146,5,0),0),0)</f>
        <v>0</v>
      </c>
      <c r="V5" s="1070">
        <f>IFERROR(HLOOKUP($PT5,Calc!$G$125:$AI$146,6,0),0)</f>
        <v>0</v>
      </c>
      <c r="W5" s="1070">
        <f>IFERROR(HLOOKUP($PT5,Calc!$G$125:$AI$146,7,0),0)</f>
        <v>0</v>
      </c>
      <c r="X5" s="1070">
        <f>IFERROR(HLOOKUP($PT5,Calc!$G$125:$AI$146,8,0),0)</f>
        <v>0</v>
      </c>
      <c r="Y5" s="1070">
        <f>IFERROR(HLOOKUP($PT5,Calc!$G$125:$AI$146,9,0),0)</f>
        <v>0</v>
      </c>
      <c r="Z5" s="1070">
        <f>IFERROR(HLOOKUP($PT5,Calc!$G$125:$AI$146,10,0),0)</f>
        <v>0</v>
      </c>
      <c r="AA5" s="1070">
        <f>IFERROR(HLOOKUP($PT5,Calc!$G$125:$AI$146,11,0),0)</f>
        <v>0</v>
      </c>
      <c r="AB5" s="1070">
        <f>IFERROR(HLOOKUP($PT5,Calc!$G$125:$AI$146,12,0),0)</f>
        <v>0</v>
      </c>
      <c r="AC5" s="1070">
        <f>IFERROR(HLOOKUP($PT5,Calc!$G$125:$AI$146,13,0),0)</f>
        <v>0</v>
      </c>
      <c r="AD5" s="1070">
        <f>IFERROR(HLOOKUP($PT5,Calc!$G$125:$AI$146,14,0),0)</f>
        <v>0</v>
      </c>
      <c r="AE5" s="1070">
        <f>IFERROR(HLOOKUP($PT5,Calc!$G$125:$AI$146,15,0),0)</f>
        <v>0</v>
      </c>
      <c r="AF5" s="1070">
        <f>IFERROR(HLOOKUP($PT5,Calc!$G$125:$AI$146,16,0),0)</f>
        <v>0</v>
      </c>
      <c r="AG5" s="1070">
        <f>IFERROR(HLOOKUP($PT5,Calc!$G$125:$AI$146,17,0),0)</f>
        <v>0</v>
      </c>
      <c r="AH5" s="1070">
        <f>IFERROR(HLOOKUP($PT5,Calc!$G$125:$AI$146,18,0),0)</f>
        <v>0</v>
      </c>
      <c r="AI5" s="1070">
        <f>IFERROR(HLOOKUP($PT5,Calc!$G$125:$AI$146,19,0),0)</f>
        <v>0</v>
      </c>
      <c r="AJ5" s="1070">
        <f>IFERROR(HLOOKUP($PT5,Calc!$G$125:$AI$146,20,0),0)</f>
        <v>0</v>
      </c>
      <c r="AK5" s="1070">
        <f>IFERROR(HLOOKUP($PT5,Calc!$G$125:$AI$146,21,0),0)</f>
        <v>0</v>
      </c>
      <c r="AL5" s="1070">
        <f>IFERROR(HLOOKUP($PT5,Calc!$G$125:$AI$146,22,0),0)</f>
        <v>0</v>
      </c>
      <c r="AM5" s="1070">
        <f>IFERROR(HLOOKUP($PT5,Calc!$G$125:$AI$147,23,0),0)</f>
        <v>0</v>
      </c>
      <c r="AN5" s="1070">
        <f>IF(PPT!$D$2="$ M",IFERROR(HLOOKUP($PT5,PPT!$E$131:$BJ$159,5,0),0)*1000,IFERROR(HLOOKUP($PT5,PPT!$E$131:$BJ$159,5,0),0))</f>
        <v>0</v>
      </c>
      <c r="AO5" s="1070">
        <f>IF(PPT!$D$2="$ M",IFERROR(HLOOKUP($PT5,PPT!$E$131:$BJ$159,6,0),0)*1000,IFERROR(HLOOKUP($PT5,PPT!$E$131:$BJ$159,6,0),0))</f>
        <v>0</v>
      </c>
      <c r="AP5" s="1070">
        <f>IF(PPT!$D$2="$ M",IFERROR(HLOOKUP($PT5,PPT!$E$131:$BJ$159,7,0),0)*1000,IFERROR(HLOOKUP($PT5,PPT!$E$131:$BJ$159,7,0),0))</f>
        <v>0</v>
      </c>
      <c r="AQ5" s="1070">
        <f>IF(PPT!$D$2="$ M",IFERROR(HLOOKUP($PT5,PPT!$E$131:$BJ$159,8,0),0)*1000,IFERROR(HLOOKUP($PT5,PPT!$E$131:$BJ$159,8,0),0))</f>
        <v>0</v>
      </c>
      <c r="AR5" s="1070">
        <f>IF(PPT!$D$2="$ M",IFERROR(HLOOKUP($PT5,PPT!$E$131:$BJ$159,9,0),0)*1000,IFERROR(HLOOKUP($PT5,PPT!$E$131:$BJ$159,9,0),0))</f>
        <v>0</v>
      </c>
      <c r="AS5" s="1070">
        <f>IF(PPT!$D$2="$ M",IFERROR(HLOOKUP($PT5,PPT!$E$131:$BJ$159,10,0),0)*1000,IFERROR(HLOOKUP($PT5,PPT!$E$131:$BJ$159,10,0),0))</f>
        <v>0</v>
      </c>
      <c r="AT5" s="1070">
        <f>IF(PPT!$D$2="$ M",IFERROR(HLOOKUP($PT5,PPT!$E$131:$BJ$159,13,0),0)*1000,IFERROR(HLOOKUP($PT5,PPT!$E$131:$BJ$159,13,0),0))</f>
        <v>0</v>
      </c>
      <c r="AU5" s="1070">
        <f>IF(PPT!$D$2="$ M",IFERROR(HLOOKUP($PT5,PPT!$E$131:$BJ$159,14,0),0)*1000,IFERROR(HLOOKUP($PT5,PPT!$E$131:$BJ$159,14,0),0))</f>
        <v>0</v>
      </c>
      <c r="AV5" s="1070">
        <f>IF(PPT!$D$2="$ M",IFERROR(HLOOKUP($PT5,PPT!$E$131:$BJ$159,15,0),0)*1000,IFERROR(HLOOKUP($PT5,PPT!$E$131:$BJ$159,15,0),0))</f>
        <v>0</v>
      </c>
      <c r="AW5" s="1070">
        <f>IF(PPT!$D$2="$ M",IFERROR(HLOOKUP($PT5,PPT!$E$131:$BJ$159,17,0),0)*1000,IFERROR(HLOOKUP($PT5,PPT!$E$131:$BJ$159,17,0),0))</f>
        <v>0</v>
      </c>
      <c r="AX5" s="1070">
        <f>IF(PPT!$D$2="$ M",IFERROR(HLOOKUP($PT5,PPT!$E$131:$BJ$159,18,0),0)*1000,IFERROR(HLOOKUP($PT5,PPT!$E$131:$BJ$159,18,0),0))</f>
        <v>0</v>
      </c>
      <c r="AY5" s="1070">
        <f>IF(PPT!$D$2="$ M",IFERROR(HLOOKUP($PT5,PPT!$E$131:$BJ$159,19,0),0)*1000,IFERROR(HLOOKUP($PT5,PPT!$E$131:$BJ$159,19,0),0))</f>
        <v>0</v>
      </c>
      <c r="AZ5" s="1070">
        <f>IF(PPT!$D$2="$ M",IFERROR(HLOOKUP($PT5,PPT!$E$131:$BJ$159,21,0),0)*1000,IFERROR(HLOOKUP($PT5,PPT!$E$131:$BJ$159,21,0),0))</f>
        <v>0</v>
      </c>
      <c r="BA5" s="1070">
        <f>IF(PPT!$D$2="$ M",IFERROR(HLOOKUP($PT5,PPT!$E$131:$BJ$159,22,0),0)*1000,IFERROR(HLOOKUP($PT5,PPT!$E$131:$BJ$159,22,0),0))</f>
        <v>0</v>
      </c>
      <c r="BB5" s="1070">
        <f>IF(PPT!$D$2="$ M",IFERROR(HLOOKUP($PT5,PPT!$E$131:$BJ$159,23,0),0)*1000,IFERROR(HLOOKUP($PT5,PPT!$E$131:$BJ$159,23,0),0))</f>
        <v>0</v>
      </c>
      <c r="BC5" s="1070">
        <f>IF(PPT!$D$2="$ M",IFERROR(HLOOKUP($PT5,PPT!$E$131:$BJ$159,25,0),0)*1000,IFERROR(HLOOKUP($PT5,PPT!$E$131:$BJ$159,25,0),0))</f>
        <v>0</v>
      </c>
      <c r="BD5" s="1070">
        <f>IF(PPT!$D$2="$ M",IFERROR(HLOOKUP($PT5,PPT!$E$131:$BJ$159,26,0),0)*1000,IFERROR(HLOOKUP($PT5,PPT!$E$131:$BJ$159,26,0),0))</f>
        <v>0</v>
      </c>
      <c r="BE5" s="1070">
        <f>IF(PPT!$D$2="$ M",IFERROR(HLOOKUP($PT5,PPT!$E$131:$BJ$159,27,0),0)*1000,IFERROR(HLOOKUP($PT5,PPT!$E$131:$BJ$159,27,0),0))</f>
        <v>0</v>
      </c>
      <c r="BF5" s="1070">
        <f>IFERROR(HLOOKUP($PT5,Calc!$F$151:$P$166,2,0),0)</f>
        <v>0</v>
      </c>
      <c r="BG5" s="1070">
        <f>IFERROR(HLOOKUP($PT5,Calc!$F$151:$P$166,3,0),0)</f>
        <v>0</v>
      </c>
      <c r="BH5" s="1070">
        <f>IFERROR(HLOOKUP($PT5,Calc!$F$151:$P$166,4,0),0)</f>
        <v>0</v>
      </c>
      <c r="BI5" s="1070">
        <f>IFERROR(HLOOKUP($PT5,Calc!$F$151:$P$166,5,0),0)</f>
        <v>0</v>
      </c>
      <c r="BJ5" s="1070">
        <f>IFERROR(HLOOKUP($PT5,Calc!$F$151:$P$166,6,0),0)</f>
        <v>0</v>
      </c>
      <c r="BK5" s="1070">
        <f>IFERROR(HLOOKUP($PT5,Calc!$F$151:$P$166,7,0),0)</f>
        <v>0</v>
      </c>
      <c r="BL5" s="1070">
        <f>IFERROR(HLOOKUP($PT5,Calc!$F$151:$P$166,8,0),0)</f>
        <v>0</v>
      </c>
      <c r="BM5" s="1070">
        <f>IFERROR(HLOOKUP($PT5,Calc!$F$151:$P$166,9,0),0)</f>
        <v>0</v>
      </c>
      <c r="BN5" s="1070">
        <f>IFERROR(HLOOKUP($PT5,Calc!$F$151:$P$166,10,0),0)</f>
        <v>0</v>
      </c>
      <c r="BO5" s="1070">
        <f>IFERROR(HLOOKUP($PT5,Calc!$F$151:$P$166,11,0),0)</f>
        <v>0</v>
      </c>
      <c r="BP5" s="1070">
        <f>IFERROR(HLOOKUP($PT5,Calc!$F$151:$P$166,12,0),0)</f>
        <v>0</v>
      </c>
      <c r="BQ5" s="1070">
        <f>IFERROR(HLOOKUP($PT5,Calc!$F$151:$P$166,13,0),0)</f>
        <v>0</v>
      </c>
      <c r="BR5" s="1070">
        <f>IFERROR(HLOOKUP($PT5,Calc!$F$151:$P$166,14,0),0)</f>
        <v>0</v>
      </c>
      <c r="BS5" s="1070">
        <f>IFERROR(HLOOKUP($PT5,Calc!$F$151:$P$166,15,0),0)</f>
        <v>0</v>
      </c>
      <c r="BT5" s="1070">
        <f>IFERROR(HLOOKUP($PT5,Calc!$F$151:$P$166,16,0),0)</f>
        <v>0</v>
      </c>
      <c r="BU5" s="1070">
        <f>IFERROR(VLOOKUP($PS5,Calc!$AF$196:$AH$203,2,0),0)</f>
        <v>0</v>
      </c>
      <c r="BV5" s="1070">
        <f>IFERROR(VLOOKUP($PS5,Calc!$AF$196:$AH$203,3,0),0)</f>
        <v>0</v>
      </c>
      <c r="BW5" s="1070">
        <f>IFERROR(VLOOKUP($PS5,Calc!$AF$196:$AI$203,4,0),0)</f>
        <v>0</v>
      </c>
      <c r="BX5" s="1070">
        <f>IFERROR(VLOOKUP($PS5,Calc!$AF$208:$AI$209,2,0),0)</f>
        <v>0</v>
      </c>
      <c r="BY5" s="1070">
        <f>IFERROR(VLOOKUP($PS5,Calc!$AF$208:$AI$209,3,0),0)</f>
        <v>0</v>
      </c>
      <c r="BZ5" s="1070">
        <f>IFERROR(VLOOKUP($PS5,Calc!$AF$208:$AI$209,4,0),0)</f>
        <v>0</v>
      </c>
      <c r="CA5" s="1070">
        <f>IFERROR(VLOOKUP($PS5,Calc!$K$420:$P$433,3,0),0)</f>
        <v>0</v>
      </c>
      <c r="CB5" s="1070">
        <f>IFERROR(VLOOKUP($PS5,Calc!$K$420:$P$433,4,0),0)</f>
        <v>0</v>
      </c>
      <c r="CC5" s="1070">
        <f>IFERROR(VLOOKUP($PS5,Calc!$K$420:$P$433,5,0),0)</f>
        <v>0</v>
      </c>
      <c r="CD5" s="1070">
        <f>IFERROR(VLOOKUP($PS5,Calc!$K$420:$P$433,6,0),0)</f>
        <v>0</v>
      </c>
      <c r="CE5" s="1070">
        <f>IFERROR(VLOOKUP($PS5,Calc!$AQ$420:$AV$433,3,0),0)</f>
        <v>0</v>
      </c>
      <c r="CF5" s="1070">
        <f>IFERROR(VLOOKUP($PS5,Calc!$AQ$420:$AV$433,4,0),0)</f>
        <v>0</v>
      </c>
      <c r="CG5" s="1070">
        <f>IFERROR(VLOOKUP($PS5,Calc!$AQ$420:$AV$433,5,0),0)</f>
        <v>0</v>
      </c>
      <c r="CH5" s="1070">
        <f>IFERROR(VLOOKUP($PS5,Calc!$AQ$420:$AV$433,6,0),0)</f>
        <v>0</v>
      </c>
      <c r="CI5" s="1070">
        <f>IFERROR(HLOOKUP($PT5,Calc!$AQ$125:$BS$146,3,0),0)</f>
        <v>0</v>
      </c>
      <c r="CJ5" s="1070">
        <f>IFERROR(HLOOKUP($PT5,Calc!$AQ$125:$BS$146,6,0),0)</f>
        <v>0</v>
      </c>
      <c r="CK5" s="1070">
        <f>IFERROR(IF(Calc!$C$129="Dollar ($)",HLOOKUP($PT5,Calc!$AQ$125:$BS$146,5,0),0),0)</f>
        <v>0</v>
      </c>
      <c r="CL5" s="1070">
        <f>IFERROR(IF(Calc!$C$129="Volume (units)",HLOOKUP($PT5,Calc!$AQ$125:$BS$146,5,0),0),0)</f>
        <v>0</v>
      </c>
      <c r="CM5" s="1070">
        <f>IFERROR(HLOOKUP($PT5,Calc!$AQ$125:$BS$146,9,0),0)</f>
        <v>0</v>
      </c>
      <c r="CN5" s="1070">
        <f>IFERROR(HLOOKUP($PT5,Calc!$AQ$125:$BS$146,10,0),0)</f>
        <v>0</v>
      </c>
      <c r="CO5" s="1070">
        <f>IFERROR(HLOOKUP($PT5,Calc!$AQ$125:$BS$146,11,0),0)</f>
        <v>0</v>
      </c>
      <c r="CP5" s="1070">
        <f>IFERROR(HLOOKUP($PT5,Calc!$AQ$125:$BS$146,12,0),0)</f>
        <v>0</v>
      </c>
      <c r="CQ5" s="1070">
        <f>IFERROR(HLOOKUP($PT5,Calc!$AQ$125:$BS$146,13,0),0)</f>
        <v>0</v>
      </c>
      <c r="CR5" s="1070">
        <f>IFERROR(HLOOKUP($PT5,Calc!$AQ$125:$BS$146,17,0),0)</f>
        <v>0</v>
      </c>
      <c r="CS5" s="1070">
        <f>IFERROR(HLOOKUP($PT5,Calc!$AQ$125:$BS$146,19,0),0)</f>
        <v>0</v>
      </c>
      <c r="CT5" s="1070">
        <f>IFERROR(HLOOKUP($PT5,Calc!$AQ$125:$BS$146,20,0),0)</f>
        <v>0</v>
      </c>
      <c r="CU5" s="1070">
        <f>IFERROR(HLOOKUP($PT5,Calc!$AQ$125:$BS$146,21,0),0)</f>
        <v>0</v>
      </c>
      <c r="CV5" s="1070">
        <f>IFERROR(HLOOKUP($PT5,Calc!$AQ$125:$BS$147,23,0),0)</f>
        <v>0</v>
      </c>
      <c r="CW5" s="1070">
        <f>IFERROR(HLOOKUP($PT5,Calc!$AQ$9:$BS$15,5,0),0)+IFERROR(HLOOKUP($PT5,Calc!$AQ$30:$BS$36,5,0),0)+IFERROR(HLOOKUP($PT5,Calc!$AQ$51:$BS$57,5,0),0)+IFERROR(HLOOKUP($PT5,Calc!$AQ$72:$BS$78,5,0),0)+IFERROR(HLOOKUP($PT5,Calc!$AQ$93:$BS$99,5,0),0)</f>
        <v>0</v>
      </c>
      <c r="CX5" s="1070">
        <f>IFERROR(HLOOKUP($PT5,Calc!$AQ$9:$BS$15,6,0),0)+IFERROR(HLOOKUP($PT5,Calc!$AQ$30:$BS$36,6,0),0)+IFERROR(HLOOKUP($PT5,Calc!$AQ$51:$BS$57,6,0),0)+IFERROR(HLOOKUP($PT5,Calc!$AQ$72:$BS$78,6,0),0)+IFERROR(HLOOKUP($PT5,Calc!$AQ$93:$BS$99,6,0),0)</f>
        <v>0</v>
      </c>
      <c r="CY5" s="1070">
        <f>IFERROR(HLOOKUP($PT5,Calc!$AQ$9:$BS$15,7,0),0)+IFERROR(HLOOKUP($PT5,Calc!$AQ$30:$BS$36,7,0),0)+IFERROR(HLOOKUP($PT5,Calc!$AQ$51:$BS$57,7,0),0)+IFERROR(HLOOKUP($PT5,Calc!$AQ$72:$BS$78,7,0),0)+IFERROR(HLOOKUP($PT5,Calc!$AQ$93:$BS$99,7,0),0)</f>
        <v>0</v>
      </c>
      <c r="ET5" s="2992"/>
      <c r="IL5" s="1070" t="s">
        <v>2168</v>
      </c>
      <c r="IY5" s="1070">
        <f>IFERROR(HLOOKUP($PT5,Current_Prior!$AQ$9:$BS$30,3,0),0)</f>
        <v>0</v>
      </c>
      <c r="IZ5" s="1070">
        <f>IFERROR(HLOOKUP($PT5,Current_Prior!$AQ$9:$BS$30,6,0),0)</f>
        <v>0</v>
      </c>
      <c r="JA5" s="1070">
        <f>IFERROR(IF(Calc!$C$129="Dollar ($)",HLOOKUP($PT5,Current_Prior!$AQ$9:$BS$30,5,0),0),0)</f>
        <v>0</v>
      </c>
      <c r="JB5" s="1070">
        <f>IFERROR(IF(Calc!$C$129="Volume (units)",HLOOKUP($PT5,Current_Prior!$AQ$9:$BS$30,5,0),0),0)</f>
        <v>0</v>
      </c>
      <c r="JC5" s="1070">
        <f>IFERROR(HLOOKUP($PT5,Current_Prior!$AQ$9:$BS$30,9,0),0)</f>
        <v>0</v>
      </c>
      <c r="JD5" s="1070">
        <f>IFERROR(HLOOKUP($PT5,Current_Prior!$AQ$9:$BS$30,10,0),0)</f>
        <v>0</v>
      </c>
      <c r="JE5" s="1070">
        <f>IFERROR(HLOOKUP($PT5,Current_Prior!$AQ$9:$BS$30,11,0),0)</f>
        <v>0</v>
      </c>
      <c r="JF5" s="1070">
        <f>IFERROR(HLOOKUP($PT5,Current_Prior!$AQ$9:$BS$30,12,0),0)</f>
        <v>0</v>
      </c>
      <c r="JG5" s="1070">
        <f>IFERROR(HLOOKUP($PT5,Current_Prior!$AQ$9:$BS$30,13,0),0)</f>
        <v>0</v>
      </c>
      <c r="JH5" s="1070">
        <f>IFERROR(HLOOKUP($PT5,Current_Prior!$AQ$9:$BS$30,17,0),0)</f>
        <v>0</v>
      </c>
      <c r="JI5" s="1070">
        <f>IFERROR(HLOOKUP($PT5,Current_Prior!$AQ$9:$BS$30,19,0),0)</f>
        <v>0</v>
      </c>
      <c r="JJ5" s="1070">
        <f>IFERROR(HLOOKUP($PT5,Current_Prior!$AQ$9:$BS$30,20,0),0)</f>
        <v>0</v>
      </c>
      <c r="JK5" s="1070">
        <f>IFERROR(HLOOKUP($PT5,Current_Prior!$AQ$9:$BS$30,21,0),0)</f>
        <v>0</v>
      </c>
      <c r="JL5" s="1070">
        <f>IFERROR(HLOOKUP($PT5,Current_Prior!$AQ$9:$BS$31,23,0),0)</f>
        <v>0</v>
      </c>
      <c r="ML5" s="1082">
        <f>IFERROR(HLOOKUP($PT5,HistInfo!$G$15:$AI$37,3,0),0)</f>
        <v>0</v>
      </c>
      <c r="MM5" s="1082">
        <f>IFERROR(HLOOKUP($PT5,HistInfo!$G$15:$AI$37,6,0),0)</f>
        <v>0</v>
      </c>
      <c r="MN5" s="1070">
        <f>IFERROR(IF(HistInfo!$C$19="Dollar ($)",HLOOKUP($PT5,HistInfo!$G$15:$AI$37,5,0),0),0)</f>
        <v>0</v>
      </c>
      <c r="MO5" s="1070">
        <f>IFERROR(IF(HistInfo!$C$19="Volume (units)",HLOOKUP($PT5,HistInfo!$G$15:$AI$37,5,0),0),0)</f>
        <v>0</v>
      </c>
      <c r="MP5" s="1082">
        <f>IFERROR(HLOOKUP($PT5,HistInfo!$G$15:$AI$37,9,0),0)</f>
        <v>0</v>
      </c>
      <c r="MQ5" s="1082">
        <f>IFERROR(HLOOKUP($PT5,HistInfo!$G$15:$AI$37,10,0),0)</f>
        <v>0</v>
      </c>
      <c r="MR5" s="1082">
        <f>IFERROR(HLOOKUP($PT5,HistInfo!$G$15:$AI$37,11,0),0)</f>
        <v>0</v>
      </c>
      <c r="MS5" s="1082">
        <f>IFERROR(HLOOKUP($PT5,HistInfo!$G$15:$AI$37,12,0),0)</f>
        <v>0</v>
      </c>
      <c r="MT5" s="1082">
        <f>IFERROR(HLOOKUP($PT5,HistInfo!$G$15:$AI$37,13,0),0)</f>
        <v>0</v>
      </c>
      <c r="MU5" s="1082">
        <f>IFERROR(HLOOKUP($PT5,HistInfo!$G$15:$AI$37,17,0),0)</f>
        <v>0</v>
      </c>
      <c r="MV5" s="1082">
        <f>IFERROR(HLOOKUP($PT5,HistInfo!$G$15:$AI$37,19,0),0)</f>
        <v>0</v>
      </c>
      <c r="MW5" s="1082">
        <f>IFERROR(HLOOKUP($PT5,HistInfo!$G$15:$AI$37,20,0),0)</f>
        <v>0</v>
      </c>
      <c r="MX5" s="1082">
        <f>IFERROR(HLOOKUP($PT5,HistInfo!$G$15:$AI$37,21,0),0)</f>
        <v>0</v>
      </c>
      <c r="MY5" s="1082">
        <f>IFERROR(HLOOKUP($PT5,HistInfo!$G$15:$AI$37,23,0),0)</f>
        <v>0</v>
      </c>
      <c r="NX5" s="2993"/>
      <c r="NY5" s="2993"/>
      <c r="NZ5" s="2993"/>
      <c r="OA5" s="2993"/>
      <c r="OB5" s="2993"/>
      <c r="OC5" s="2993"/>
      <c r="OD5" s="2993"/>
      <c r="OE5" s="2993"/>
      <c r="OF5" s="2993"/>
      <c r="OG5" s="2993"/>
      <c r="OH5" s="2993"/>
      <c r="OI5" s="2993"/>
      <c r="PS5" s="1082">
        <v>15</v>
      </c>
      <c r="PT5" s="1082" t="str">
        <f t="shared" si="1"/>
        <v>FY15</v>
      </c>
      <c r="PU5" s="1070" t="str">
        <f t="shared" si="2"/>
        <v>2015</v>
      </c>
      <c r="PX5" s="1070" t="s">
        <v>1142</v>
      </c>
      <c r="PY5" s="1070">
        <f t="shared" si="6"/>
        <v>3</v>
      </c>
    </row>
    <row r="6" spans="1:441" x14ac:dyDescent="0.3">
      <c r="A6" s="1070" t="str">
        <f t="shared" si="5"/>
        <v>Life Sciences</v>
      </c>
      <c r="B6" s="1070" t="str">
        <f t="shared" si="5"/>
        <v>BDB</v>
      </c>
      <c r="C6" s="1070">
        <f t="shared" si="5"/>
        <v>0</v>
      </c>
      <c r="D6" s="1070">
        <f t="shared" si="3"/>
        <v>0</v>
      </c>
      <c r="E6" s="1082">
        <f>Input!D19</f>
        <v>0</v>
      </c>
      <c r="F6" s="1082">
        <f>Input!J19</f>
        <v>0</v>
      </c>
      <c r="G6" s="1070">
        <f t="shared" si="4"/>
        <v>0</v>
      </c>
      <c r="H6" s="1070">
        <f t="shared" si="4"/>
        <v>0</v>
      </c>
      <c r="I6" s="1070">
        <f t="shared" si="4"/>
        <v>0</v>
      </c>
      <c r="J6" s="1070" t="str">
        <f t="shared" si="4"/>
        <v>Budget</v>
      </c>
      <c r="K6" s="1070" t="str">
        <f t="shared" si="0"/>
        <v>2016</v>
      </c>
      <c r="L6" s="1070">
        <f>IF(PPT!$D$2="$ M",IFERROR(HLOOKUP($PT6,PPT!$E$117:$BJ$119,3,0),0)*1000,IFERROR(HLOOKUP($PT6,PPT!$E$117:$BJ$119,3,0),0))</f>
        <v>0</v>
      </c>
      <c r="M6" s="1070">
        <f>IF(PPT!$D$2="$ M",IFERROR(HLOOKUP($PT6,PPT!$E$133:$BJ$159,4,0),0)*1000,IFERROR(HLOOKUP($PT6,PPT!$E$133:$BJ$159,4,0),0))</f>
        <v>0</v>
      </c>
      <c r="N6" s="1070">
        <f>IF(PPT!$D$2="$ M",IFERROR(HLOOKUP($PT6,PPT!$E$133:$BJ$159,5,0),0)*1000,IFERROR(HLOOKUP($PT6,PPT!$E$133:$BJ$159,5,0),0))</f>
        <v>0</v>
      </c>
      <c r="O6" s="1070">
        <f>IF(PPT!$D$2="$ M",IFERROR(HLOOKUP($PT6,PPT!$E$133:$BJ$159,6,0),0)*1000,IFERROR(HLOOKUP($PT6,PPT!$E$133:$BJ$159,6,0),0))</f>
        <v>0</v>
      </c>
      <c r="P6" s="1070">
        <f>IF(PPT!$D$2="$ M",IFERROR(HLOOKUP($PT6,PPT!$E$133:$BJ$159,7,0),0)*1000,IFERROR(HLOOKUP($PT6,PPT!$E$133:$BJ$159,7,0),0))</f>
        <v>0</v>
      </c>
      <c r="Q6" s="1070">
        <f>IFERROR(HLOOKUP($PT6,Calc!$G$125:$AI$146,3,0),0)</f>
        <v>0</v>
      </c>
      <c r="R6" s="1070">
        <f>IF(PPT!$D$2="$ M",IFERROR(HLOOKUP($PT6,PPT!$E$133:$BJ$159,9,0),0),IFERROR(HLOOKUP($PT6,PPT!$E$133:$BJ$159,9,0),0))</f>
        <v>0</v>
      </c>
      <c r="S6" s="1070">
        <f>IF(PPT!$D$2="$ M",IFERROR(HLOOKUP($PT6,PPT!$E$133:$BJ$159,10,0),0),IFERROR(HLOOKUP($PT6,PPT!$E$133:$BJ$159,10,0),0))</f>
        <v>0</v>
      </c>
      <c r="T6" s="1070">
        <f>IFERROR(IF(Calc!$C$129="Dollar ($)",HLOOKUP($PT6,Calc!$G$125:$AI$146,5,0),0),0)</f>
        <v>0</v>
      </c>
      <c r="U6" s="1070">
        <f>IFERROR(IF(Calc!$C$129="Volume (units)",HLOOKUP($PT6,Calc!$G$125:$AI$146,5,0),0),0)</f>
        <v>0</v>
      </c>
      <c r="V6" s="1070">
        <f>IFERROR(HLOOKUP($PT6,Calc!$G$125:$AI$146,6,0),0)</f>
        <v>0</v>
      </c>
      <c r="W6" s="1070">
        <f>IFERROR(HLOOKUP($PT6,Calc!$G$125:$AI$146,7,0),0)</f>
        <v>0</v>
      </c>
      <c r="X6" s="1070">
        <f>IFERROR(HLOOKUP($PT6,Calc!$G$125:$AI$146,8,0),0)</f>
        <v>0</v>
      </c>
      <c r="Y6" s="1070">
        <f>IFERROR(HLOOKUP($PT6,Calc!$G$125:$AI$146,9,0),0)</f>
        <v>0</v>
      </c>
      <c r="Z6" s="1070">
        <f>IFERROR(HLOOKUP($PT6,Calc!$G$125:$AI$146,10,0),0)</f>
        <v>0</v>
      </c>
      <c r="AA6" s="1070">
        <f>IFERROR(HLOOKUP($PT6,Calc!$G$125:$AI$146,11,0),0)</f>
        <v>0</v>
      </c>
      <c r="AB6" s="1070">
        <f>IFERROR(HLOOKUP($PT6,Calc!$G$125:$AI$146,12,0),0)</f>
        <v>0</v>
      </c>
      <c r="AC6" s="1070">
        <f>IFERROR(HLOOKUP($PT6,Calc!$G$125:$AI$146,13,0),0)</f>
        <v>0</v>
      </c>
      <c r="AD6" s="1070">
        <f>IFERROR(HLOOKUP($PT6,Calc!$G$125:$AI$146,14,0),0)</f>
        <v>0</v>
      </c>
      <c r="AE6" s="1070">
        <f>IFERROR(HLOOKUP($PT6,Calc!$G$125:$AI$146,15,0),0)</f>
        <v>0</v>
      </c>
      <c r="AF6" s="1070">
        <f>IFERROR(HLOOKUP($PT6,Calc!$G$125:$AI$146,16,0),0)</f>
        <v>0</v>
      </c>
      <c r="AG6" s="1070">
        <f>IFERROR(HLOOKUP($PT6,Calc!$G$125:$AI$146,17,0),0)</f>
        <v>0</v>
      </c>
      <c r="AH6" s="1070">
        <f>IFERROR(HLOOKUP($PT6,Calc!$G$125:$AI$146,18,0),0)</f>
        <v>0</v>
      </c>
      <c r="AI6" s="1070">
        <f>IFERROR(HLOOKUP($PT6,Calc!$G$125:$AI$146,19,0),0)</f>
        <v>0</v>
      </c>
      <c r="AJ6" s="1070">
        <f>IFERROR(HLOOKUP($PT6,Calc!$G$125:$AI$146,20,0),0)</f>
        <v>0</v>
      </c>
      <c r="AK6" s="1070">
        <f>IFERROR(HLOOKUP($PT6,Calc!$G$125:$AI$146,21,0),0)</f>
        <v>0</v>
      </c>
      <c r="AL6" s="1070">
        <f>IFERROR(HLOOKUP($PT6,Calc!$G$125:$AI$146,22,0),0)</f>
        <v>0</v>
      </c>
      <c r="AM6" s="1070">
        <f>IFERROR(HLOOKUP($PT6,Calc!$G$125:$AI$147,23,0),0)</f>
        <v>0</v>
      </c>
      <c r="AN6" s="1070">
        <f>IF(PPT!$D$2="$ M",IFERROR(HLOOKUP($PT6,PPT!$E$131:$BJ$159,5,0),0)*1000,IFERROR(HLOOKUP($PT6,PPT!$E$131:$BJ$159,5,0),0))</f>
        <v>0</v>
      </c>
      <c r="AO6" s="1070">
        <f>IF(PPT!$D$2="$ M",IFERROR(HLOOKUP($PT6,PPT!$E$131:$BJ$159,6,0),0)*1000,IFERROR(HLOOKUP($PT6,PPT!$E$131:$BJ$159,6,0),0))</f>
        <v>0</v>
      </c>
      <c r="AP6" s="1070">
        <f>IF(PPT!$D$2="$ M",IFERROR(HLOOKUP($PT6,PPT!$E$131:$BJ$159,7,0),0)*1000,IFERROR(HLOOKUP($PT6,PPT!$E$131:$BJ$159,7,0),0))</f>
        <v>0</v>
      </c>
      <c r="AQ6" s="1070">
        <f>IF(PPT!$D$2="$ M",IFERROR(HLOOKUP($PT6,PPT!$E$131:$BJ$159,8,0),0)*1000,IFERROR(HLOOKUP($PT6,PPT!$E$131:$BJ$159,8,0),0))</f>
        <v>0</v>
      </c>
      <c r="AR6" s="1070">
        <f>IF(PPT!$D$2="$ M",IFERROR(HLOOKUP($PT6,PPT!$E$131:$BJ$159,9,0),0)*1000,IFERROR(HLOOKUP($PT6,PPT!$E$131:$BJ$159,9,0),0))</f>
        <v>0</v>
      </c>
      <c r="AS6" s="1070">
        <f>IF(PPT!$D$2="$ M",IFERROR(HLOOKUP($PT6,PPT!$E$131:$BJ$159,10,0),0)*1000,IFERROR(HLOOKUP($PT6,PPT!$E$131:$BJ$159,10,0),0))</f>
        <v>0</v>
      </c>
      <c r="AT6" s="1070">
        <f>IF(PPT!$D$2="$ M",IFERROR(HLOOKUP($PT6,PPT!$E$131:$BJ$159,13,0),0)*1000,IFERROR(HLOOKUP($PT6,PPT!$E$131:$BJ$159,13,0),0))</f>
        <v>0</v>
      </c>
      <c r="AU6" s="1070">
        <f>IF(PPT!$D$2="$ M",IFERROR(HLOOKUP($PT6,PPT!$E$131:$BJ$159,14,0),0)*1000,IFERROR(HLOOKUP($PT6,PPT!$E$131:$BJ$159,14,0),0))</f>
        <v>0</v>
      </c>
      <c r="AV6" s="1070">
        <f>IF(PPT!$D$2="$ M",IFERROR(HLOOKUP($PT6,PPT!$E$131:$BJ$159,15,0),0)*1000,IFERROR(HLOOKUP($PT6,PPT!$E$131:$BJ$159,15,0),0))</f>
        <v>0</v>
      </c>
      <c r="AW6" s="1070">
        <f>IF(PPT!$D$2="$ M",IFERROR(HLOOKUP($PT6,PPT!$E$131:$BJ$159,17,0),0)*1000,IFERROR(HLOOKUP($PT6,PPT!$E$131:$BJ$159,17,0),0))</f>
        <v>0</v>
      </c>
      <c r="AX6" s="1070">
        <f>IF(PPT!$D$2="$ M",IFERROR(HLOOKUP($PT6,PPT!$E$131:$BJ$159,18,0),0)*1000,IFERROR(HLOOKUP($PT6,PPT!$E$131:$BJ$159,18,0),0))</f>
        <v>0</v>
      </c>
      <c r="AY6" s="1070">
        <f>IF(PPT!$D$2="$ M",IFERROR(HLOOKUP($PT6,PPT!$E$131:$BJ$159,19,0),0)*1000,IFERROR(HLOOKUP($PT6,PPT!$E$131:$BJ$159,19,0),0))</f>
        <v>0</v>
      </c>
      <c r="AZ6" s="1070">
        <f>IF(PPT!$D$2="$ M",IFERROR(HLOOKUP($PT6,PPT!$E$131:$BJ$159,21,0),0)*1000,IFERROR(HLOOKUP($PT6,PPT!$E$131:$BJ$159,21,0),0))</f>
        <v>0</v>
      </c>
      <c r="BA6" s="1070">
        <f>IF(PPT!$D$2="$ M",IFERROR(HLOOKUP($PT6,PPT!$E$131:$BJ$159,22,0),0)*1000,IFERROR(HLOOKUP($PT6,PPT!$E$131:$BJ$159,22,0),0))</f>
        <v>0</v>
      </c>
      <c r="BB6" s="1070">
        <f>IF(PPT!$D$2="$ M",IFERROR(HLOOKUP($PT6,PPT!$E$131:$BJ$159,23,0),0)*1000,IFERROR(HLOOKUP($PT6,PPT!$E$131:$BJ$159,23,0),0))</f>
        <v>0</v>
      </c>
      <c r="BC6" s="1070">
        <f>IF(PPT!$D$2="$ M",IFERROR(HLOOKUP($PT6,PPT!$E$131:$BJ$159,25,0),0)*1000,IFERROR(HLOOKUP($PT6,PPT!$E$131:$BJ$159,25,0),0))</f>
        <v>0</v>
      </c>
      <c r="BD6" s="1070">
        <f>IF(PPT!$D$2="$ M",IFERROR(HLOOKUP($PT6,PPT!$E$131:$BJ$159,26,0),0)*1000,IFERROR(HLOOKUP($PT6,PPT!$E$131:$BJ$159,26,0),0))</f>
        <v>0</v>
      </c>
      <c r="BE6" s="1070">
        <f>IF(PPT!$D$2="$ M",IFERROR(HLOOKUP($PT6,PPT!$E$131:$BJ$159,27,0),0)*1000,IFERROR(HLOOKUP($PT6,PPT!$E$131:$BJ$159,27,0),0))</f>
        <v>0</v>
      </c>
      <c r="BF6" s="1070">
        <f>IFERROR(HLOOKUP($PT6,Calc!$F$151:$P$166,2,0),0)</f>
        <v>0</v>
      </c>
      <c r="BG6" s="1070">
        <f>IFERROR(HLOOKUP($PT6,Calc!$F$151:$P$166,3,0),0)</f>
        <v>0</v>
      </c>
      <c r="BH6" s="1070">
        <f>IFERROR(HLOOKUP($PT6,Calc!$F$151:$P$166,4,0),0)</f>
        <v>0</v>
      </c>
      <c r="BI6" s="1070">
        <f>IFERROR(HLOOKUP($PT6,Calc!$F$151:$P$166,5,0),0)</f>
        <v>0</v>
      </c>
      <c r="BJ6" s="1070">
        <f>IFERROR(HLOOKUP($PT6,Calc!$F$151:$P$166,6,0),0)</f>
        <v>0</v>
      </c>
      <c r="BK6" s="1070">
        <f>IFERROR(HLOOKUP($PT6,Calc!$F$151:$P$166,7,0),0)</f>
        <v>0</v>
      </c>
      <c r="BL6" s="1070">
        <f>IFERROR(HLOOKUP($PT6,Calc!$F$151:$P$166,8,0),0)</f>
        <v>0</v>
      </c>
      <c r="BM6" s="1070">
        <f>IFERROR(HLOOKUP($PT6,Calc!$F$151:$P$166,9,0),0)</f>
        <v>0</v>
      </c>
      <c r="BN6" s="1070">
        <f>IFERROR(HLOOKUP($PT6,Calc!$F$151:$P$166,10,0),0)</f>
        <v>0</v>
      </c>
      <c r="BO6" s="1070">
        <f>IFERROR(HLOOKUP($PT6,Calc!$F$151:$P$166,11,0),0)</f>
        <v>0</v>
      </c>
      <c r="BP6" s="1070">
        <f>IFERROR(HLOOKUP($PT6,Calc!$F$151:$P$166,12,0),0)</f>
        <v>0</v>
      </c>
      <c r="BQ6" s="1070">
        <f>IFERROR(HLOOKUP($PT6,Calc!$F$151:$P$166,13,0),0)</f>
        <v>0</v>
      </c>
      <c r="BR6" s="1070">
        <f>IFERROR(HLOOKUP($PT6,Calc!$F$151:$P$166,14,0),0)</f>
        <v>0</v>
      </c>
      <c r="BS6" s="1070">
        <f>IFERROR(HLOOKUP($PT6,Calc!$F$151:$P$166,15,0),0)</f>
        <v>0</v>
      </c>
      <c r="BT6" s="1070">
        <f>IFERROR(HLOOKUP($PT6,Calc!$F$151:$P$166,16,0),0)</f>
        <v>0</v>
      </c>
      <c r="BU6" s="1070">
        <f>IFERROR(VLOOKUP($PS6,Calc!$AF$196:$AH$203,2,0),0)</f>
        <v>0</v>
      </c>
      <c r="BV6" s="1070">
        <f>IFERROR(VLOOKUP($PS6,Calc!$AF$196:$AH$203,3,0),0)</f>
        <v>0</v>
      </c>
      <c r="BW6" s="1070">
        <f>IFERROR(VLOOKUP($PS6,Calc!$AF$196:$AI$203,4,0),0)</f>
        <v>0</v>
      </c>
      <c r="BX6" s="1070">
        <f>IFERROR(VLOOKUP($PS6,Calc!$AF$208:$AI$209,2,0),0)</f>
        <v>0</v>
      </c>
      <c r="BY6" s="1070">
        <f>IFERROR(VLOOKUP($PS6,Calc!$AF$208:$AI$209,3,0),0)</f>
        <v>0</v>
      </c>
      <c r="BZ6" s="1070">
        <f>IFERROR(VLOOKUP($PS6,Calc!$AF$208:$AI$209,4,0),0)</f>
        <v>0</v>
      </c>
      <c r="CA6" s="1070">
        <f>IFERROR(VLOOKUP($PS6,Calc!$K$420:$P$433,3,0),0)</f>
        <v>0</v>
      </c>
      <c r="CB6" s="1070">
        <f>IFERROR(VLOOKUP($PS6,Calc!$K$420:$P$433,4,0),0)</f>
        <v>0</v>
      </c>
      <c r="CC6" s="1070">
        <f>IFERROR(VLOOKUP($PS6,Calc!$K$420:$P$433,5,0),0)</f>
        <v>0</v>
      </c>
      <c r="CD6" s="1070">
        <f>IFERROR(VLOOKUP($PS6,Calc!$K$420:$P$433,6,0),0)</f>
        <v>0</v>
      </c>
      <c r="CE6" s="1070">
        <f>IFERROR(VLOOKUP($PS6,Calc!$AQ$420:$AV$433,3,0),0)</f>
        <v>0</v>
      </c>
      <c r="CF6" s="1070">
        <f>IFERROR(VLOOKUP($PS6,Calc!$AQ$420:$AV$433,4,0),0)</f>
        <v>0</v>
      </c>
      <c r="CG6" s="1070">
        <f>IFERROR(VLOOKUP($PS6,Calc!$AQ$420:$AV$433,5,0),0)</f>
        <v>0</v>
      </c>
      <c r="CH6" s="1070">
        <f>IFERROR(VLOOKUP($PS6,Calc!$AQ$420:$AV$433,6,0),0)</f>
        <v>0</v>
      </c>
      <c r="CI6" s="1070">
        <f>IFERROR(HLOOKUP($PT6,Calc!$AQ$125:$BS$146,3,0),0)</f>
        <v>0</v>
      </c>
      <c r="CJ6" s="1070">
        <f>IFERROR(HLOOKUP($PT6,Calc!$AQ$125:$BS$146,6,0),0)</f>
        <v>0</v>
      </c>
      <c r="CK6" s="1070">
        <f>IFERROR(IF(Calc!$C$129="Dollar ($)",HLOOKUP($PT6,Calc!$AQ$125:$BS$146,5,0),0),0)</f>
        <v>0</v>
      </c>
      <c r="CL6" s="1070">
        <f>IFERROR(IF(Calc!$C$129="Volume (units)",HLOOKUP($PT6,Calc!$AQ$125:$BS$146,5,0),0),0)</f>
        <v>0</v>
      </c>
      <c r="CM6" s="1070">
        <f>IFERROR(HLOOKUP($PT6,Calc!$AQ$125:$BS$146,9,0),0)</f>
        <v>0</v>
      </c>
      <c r="CN6" s="1070">
        <f>IFERROR(HLOOKUP($PT6,Calc!$AQ$125:$BS$146,10,0),0)</f>
        <v>0</v>
      </c>
      <c r="CO6" s="1070">
        <f>IFERROR(HLOOKUP($PT6,Calc!$AQ$125:$BS$146,11,0),0)</f>
        <v>0</v>
      </c>
      <c r="CP6" s="1070">
        <f>IFERROR(HLOOKUP($PT6,Calc!$AQ$125:$BS$146,12,0),0)</f>
        <v>0</v>
      </c>
      <c r="CQ6" s="1070">
        <f>IFERROR(HLOOKUP($PT6,Calc!$AQ$125:$BS$146,13,0),0)</f>
        <v>0</v>
      </c>
      <c r="CR6" s="1070">
        <f>IFERROR(HLOOKUP($PT6,Calc!$AQ$125:$BS$146,17,0),0)</f>
        <v>0</v>
      </c>
      <c r="CS6" s="1070">
        <f>IFERROR(HLOOKUP($PT6,Calc!$AQ$125:$BS$146,19,0),0)</f>
        <v>0</v>
      </c>
      <c r="CT6" s="1070">
        <f>IFERROR(HLOOKUP($PT6,Calc!$AQ$125:$BS$146,20,0),0)</f>
        <v>0</v>
      </c>
      <c r="CU6" s="1070">
        <f>IFERROR(HLOOKUP($PT6,Calc!$AQ$125:$BS$146,21,0),0)</f>
        <v>0</v>
      </c>
      <c r="CV6" s="1070">
        <f>IFERROR(HLOOKUP($PT6,Calc!$AQ$125:$BS$147,23,0),0)</f>
        <v>0</v>
      </c>
      <c r="CW6" s="1070">
        <f>IFERROR(HLOOKUP($PT6,Calc!$AQ$9:$BS$15,5,0),0)+IFERROR(HLOOKUP($PT6,Calc!$AQ$30:$BS$36,5,0),0)+IFERROR(HLOOKUP($PT6,Calc!$AQ$51:$BS$57,5,0),0)+IFERROR(HLOOKUP($PT6,Calc!$AQ$72:$BS$78,5,0),0)+IFERROR(HLOOKUP($PT6,Calc!$AQ$93:$BS$99,5,0),0)</f>
        <v>0</v>
      </c>
      <c r="CX6" s="1070">
        <f>IFERROR(HLOOKUP($PT6,Calc!$AQ$9:$BS$15,6,0),0)+IFERROR(HLOOKUP($PT6,Calc!$AQ$30:$BS$36,6,0),0)+IFERROR(HLOOKUP($PT6,Calc!$AQ$51:$BS$57,6,0),0)+IFERROR(HLOOKUP($PT6,Calc!$AQ$72:$BS$78,6,0),0)+IFERROR(HLOOKUP($PT6,Calc!$AQ$93:$BS$99,6,0),0)</f>
        <v>0</v>
      </c>
      <c r="CY6" s="1070">
        <f>IFERROR(HLOOKUP($PT6,Calc!$AQ$9:$BS$15,7,0),0)+IFERROR(HLOOKUP($PT6,Calc!$AQ$30:$BS$36,7,0),0)+IFERROR(HLOOKUP($PT6,Calc!$AQ$51:$BS$57,7,0),0)+IFERROR(HLOOKUP($PT6,Calc!$AQ$72:$BS$78,7,0),0)+IFERROR(HLOOKUP($PT6,Calc!$AQ$93:$BS$99,7,0),0)</f>
        <v>0</v>
      </c>
      <c r="IY6" s="1070">
        <f>IFERROR(HLOOKUP($PT6,Current_Prior!$AQ$9:$BS$30,3,0),0)</f>
        <v>0</v>
      </c>
      <c r="IZ6" s="1070">
        <f>IFERROR(HLOOKUP($PT6,Current_Prior!$AQ$9:$BS$30,6,0),0)</f>
        <v>0</v>
      </c>
      <c r="JA6" s="1070">
        <f>IFERROR(IF(Calc!$C$129="Dollar ($)",HLOOKUP($PT6,Current_Prior!$AQ$9:$BS$30,5,0),0),0)</f>
        <v>0</v>
      </c>
      <c r="JB6" s="1070">
        <f>IFERROR(IF(Calc!$C$129="Volume (units)",HLOOKUP($PT6,Current_Prior!$AQ$9:$BS$30,5,0),0),0)</f>
        <v>0</v>
      </c>
      <c r="JC6" s="1070">
        <f>IFERROR(HLOOKUP($PT6,Current_Prior!$AQ$9:$BS$30,9,0),0)</f>
        <v>0</v>
      </c>
      <c r="JD6" s="1070">
        <f>IFERROR(HLOOKUP($PT6,Current_Prior!$AQ$9:$BS$30,10,0),0)</f>
        <v>0</v>
      </c>
      <c r="JE6" s="1070">
        <f>IFERROR(HLOOKUP($PT6,Current_Prior!$AQ$9:$BS$30,11,0),0)</f>
        <v>0</v>
      </c>
      <c r="JF6" s="1070">
        <f>IFERROR(HLOOKUP($PT6,Current_Prior!$AQ$9:$BS$30,12,0),0)</f>
        <v>0</v>
      </c>
      <c r="JG6" s="1070">
        <f>IFERROR(HLOOKUP($PT6,Current_Prior!$AQ$9:$BS$30,13,0),0)</f>
        <v>0</v>
      </c>
      <c r="JH6" s="1070">
        <f>IFERROR(HLOOKUP($PT6,Current_Prior!$AQ$9:$BS$30,17,0),0)</f>
        <v>0</v>
      </c>
      <c r="JI6" s="1070">
        <f>IFERROR(HLOOKUP($PT6,Current_Prior!$AQ$9:$BS$30,19,0),0)</f>
        <v>0</v>
      </c>
      <c r="JJ6" s="1070">
        <f>IFERROR(HLOOKUP($PT6,Current_Prior!$AQ$9:$BS$30,20,0),0)</f>
        <v>0</v>
      </c>
      <c r="JK6" s="1070">
        <f>IFERROR(HLOOKUP($PT6,Current_Prior!$AQ$9:$BS$30,21,0),0)</f>
        <v>0</v>
      </c>
      <c r="JL6" s="1070">
        <f>IFERROR(HLOOKUP($PT6,Current_Prior!$AQ$9:$BS$31,23,0),0)</f>
        <v>0</v>
      </c>
      <c r="ML6" s="1082">
        <f>IFERROR(HLOOKUP($PT6,HistInfo!$G$15:$AI$37,3,0),0)</f>
        <v>0</v>
      </c>
      <c r="MM6" s="1082">
        <f>IFERROR(HLOOKUP($PT6,HistInfo!$G$15:$AI$37,6,0),0)</f>
        <v>0</v>
      </c>
      <c r="MN6" s="1070">
        <f>IFERROR(IF(HistInfo!$C$19="Dollar ($)",HLOOKUP($PT6,HistInfo!$G$15:$AI$37,5,0),0),0)</f>
        <v>0</v>
      </c>
      <c r="MO6" s="1070">
        <f>IFERROR(IF(HistInfo!$C$19="Volume (units)",HLOOKUP($PT6,HistInfo!$G$15:$AI$37,5,0),0),0)</f>
        <v>0</v>
      </c>
      <c r="MP6" s="1082">
        <f>IFERROR(HLOOKUP($PT6,HistInfo!$G$15:$AI$37,9,0),0)</f>
        <v>0</v>
      </c>
      <c r="MQ6" s="1082">
        <f>IFERROR(HLOOKUP($PT6,HistInfo!$G$15:$AI$37,10,0),0)</f>
        <v>0</v>
      </c>
      <c r="MR6" s="1082">
        <f>IFERROR(HLOOKUP($PT6,HistInfo!$G$15:$AI$37,11,0),0)</f>
        <v>0</v>
      </c>
      <c r="MS6" s="1082">
        <f>IFERROR(HLOOKUP($PT6,HistInfo!$G$15:$AI$37,12,0),0)</f>
        <v>0</v>
      </c>
      <c r="MT6" s="1082">
        <f>IFERROR(HLOOKUP($PT6,HistInfo!$G$15:$AI$37,13,0),0)</f>
        <v>0</v>
      </c>
      <c r="MU6" s="1082">
        <f>IFERROR(HLOOKUP($PT6,HistInfo!$G$15:$AI$37,17,0),0)</f>
        <v>0</v>
      </c>
      <c r="MV6" s="1082">
        <f>IFERROR(HLOOKUP($PT6,HistInfo!$G$15:$AI$37,19,0),0)</f>
        <v>0</v>
      </c>
      <c r="MW6" s="1082">
        <f>IFERROR(HLOOKUP($PT6,HistInfo!$G$15:$AI$37,20,0),0)</f>
        <v>0</v>
      </c>
      <c r="MX6" s="1082">
        <f>IFERROR(HLOOKUP($PT6,HistInfo!$G$15:$AI$37,21,0),0)</f>
        <v>0</v>
      </c>
      <c r="MY6" s="1082">
        <f>IFERROR(HLOOKUP($PT6,HistInfo!$G$15:$AI$37,23,0),0)</f>
        <v>0</v>
      </c>
      <c r="PS6" s="1082">
        <v>16</v>
      </c>
      <c r="PT6" s="1082" t="str">
        <f t="shared" si="1"/>
        <v>FY16</v>
      </c>
      <c r="PU6" s="1070" t="str">
        <f t="shared" si="2"/>
        <v>2016</v>
      </c>
      <c r="PX6" s="1070" t="s">
        <v>1143</v>
      </c>
      <c r="PY6" s="1070">
        <f t="shared" si="6"/>
        <v>4</v>
      </c>
    </row>
    <row r="7" spans="1:441" x14ac:dyDescent="0.3">
      <c r="A7" s="1070" t="str">
        <f t="shared" si="5"/>
        <v>Life Sciences</v>
      </c>
      <c r="B7" s="1070" t="str">
        <f t="shared" si="5"/>
        <v>BDB</v>
      </c>
      <c r="C7" s="1070">
        <f t="shared" si="5"/>
        <v>0</v>
      </c>
      <c r="D7" s="1070">
        <f t="shared" si="3"/>
        <v>0</v>
      </c>
      <c r="E7" s="1082">
        <f>Input!D20</f>
        <v>0</v>
      </c>
      <c r="F7" s="1082">
        <f>Input!J20</f>
        <v>0</v>
      </c>
      <c r="G7" s="1070">
        <f t="shared" si="4"/>
        <v>0</v>
      </c>
      <c r="H7" s="1070">
        <f t="shared" si="4"/>
        <v>0</v>
      </c>
      <c r="I7" s="1070">
        <f t="shared" si="4"/>
        <v>0</v>
      </c>
      <c r="J7" s="1070" t="str">
        <f t="shared" si="4"/>
        <v>Budget</v>
      </c>
      <c r="K7" s="1070" t="str">
        <f t="shared" si="0"/>
        <v>2017</v>
      </c>
      <c r="L7" s="1070">
        <f>IF(PPT!$D$2="$ M",IFERROR(HLOOKUP($PT7,PPT!$E$117:$BJ$119,3,0),0)*1000,IFERROR(HLOOKUP($PT7,PPT!$E$117:$BJ$119,3,0),0))</f>
        <v>0</v>
      </c>
      <c r="M7" s="1070">
        <f>IF(PPT!$D$2="$ M",IFERROR(HLOOKUP($PT7,PPT!$E$133:$BJ$159,4,0),0)*1000,IFERROR(HLOOKUP($PT7,PPT!$E$133:$BJ$159,4,0),0))</f>
        <v>0</v>
      </c>
      <c r="N7" s="1070">
        <f>IF(PPT!$D$2="$ M",IFERROR(HLOOKUP($PT7,PPT!$E$133:$BJ$159,5,0),0)*1000,IFERROR(HLOOKUP($PT7,PPT!$E$133:$BJ$159,5,0),0))</f>
        <v>0</v>
      </c>
      <c r="O7" s="1070">
        <f>IF(PPT!$D$2="$ M",IFERROR(HLOOKUP($PT7,PPT!$E$133:$BJ$159,6,0),0)*1000,IFERROR(HLOOKUP($PT7,PPT!$E$133:$BJ$159,6,0),0))</f>
        <v>0</v>
      </c>
      <c r="P7" s="1070">
        <f>IF(PPT!$D$2="$ M",IFERROR(HLOOKUP($PT7,PPT!$E$133:$BJ$159,7,0),0)*1000,IFERROR(HLOOKUP($PT7,PPT!$E$133:$BJ$159,7,0),0))</f>
        <v>0</v>
      </c>
      <c r="Q7" s="1070">
        <f>IFERROR(HLOOKUP($PT7,Calc!$G$125:$AI$146,3,0),0)</f>
        <v>0</v>
      </c>
      <c r="R7" s="1070">
        <f>IF(PPT!$D$2="$ M",IFERROR(HLOOKUP($PT7,PPT!$E$133:$BJ$159,9,0),0),IFERROR(HLOOKUP($PT7,PPT!$E$133:$BJ$159,9,0),0))</f>
        <v>0</v>
      </c>
      <c r="S7" s="1070">
        <f>IF(PPT!$D$2="$ M",IFERROR(HLOOKUP($PT7,PPT!$E$133:$BJ$159,10,0),0),IFERROR(HLOOKUP($PT7,PPT!$E$133:$BJ$159,10,0),0))</f>
        <v>0</v>
      </c>
      <c r="T7" s="1070">
        <f>IFERROR(IF(Calc!$C$129="Dollar ($)",HLOOKUP($PT7,Calc!$G$125:$AI$146,5,0),0),0)</f>
        <v>0</v>
      </c>
      <c r="U7" s="1070">
        <f>IFERROR(IF(Calc!$C$129="Volume (units)",HLOOKUP($PT7,Calc!$G$125:$AI$146,5,0),0),0)</f>
        <v>0</v>
      </c>
      <c r="V7" s="1070">
        <f>IFERROR(HLOOKUP($PT7,Calc!$G$125:$AI$146,6,0),0)</f>
        <v>0</v>
      </c>
      <c r="W7" s="1070">
        <f>IFERROR(HLOOKUP($PT7,Calc!$G$125:$AI$146,7,0),0)</f>
        <v>0</v>
      </c>
      <c r="X7" s="1070">
        <f>IFERROR(HLOOKUP($PT7,Calc!$G$125:$AI$146,8,0),0)</f>
        <v>0</v>
      </c>
      <c r="Y7" s="1070">
        <f>IFERROR(HLOOKUP($PT7,Calc!$G$125:$AI$146,9,0),0)</f>
        <v>0</v>
      </c>
      <c r="Z7" s="1070">
        <f>IFERROR(HLOOKUP($PT7,Calc!$G$125:$AI$146,10,0),0)</f>
        <v>0</v>
      </c>
      <c r="AA7" s="1070">
        <f>IFERROR(HLOOKUP($PT7,Calc!$G$125:$AI$146,11,0),0)</f>
        <v>0</v>
      </c>
      <c r="AB7" s="1070">
        <f>IFERROR(HLOOKUP($PT7,Calc!$G$125:$AI$146,12,0),0)</f>
        <v>0</v>
      </c>
      <c r="AC7" s="1070">
        <f>IFERROR(HLOOKUP($PT7,Calc!$G$125:$AI$146,13,0),0)</f>
        <v>0</v>
      </c>
      <c r="AD7" s="1070">
        <f>IFERROR(HLOOKUP($PT7,Calc!$G$125:$AI$146,14,0),0)</f>
        <v>0</v>
      </c>
      <c r="AE7" s="1070">
        <f>IFERROR(HLOOKUP($PT7,Calc!$G$125:$AI$146,15,0),0)</f>
        <v>0</v>
      </c>
      <c r="AF7" s="1070">
        <f>IFERROR(HLOOKUP($PT7,Calc!$G$125:$AI$146,16,0),0)</f>
        <v>0</v>
      </c>
      <c r="AG7" s="1070">
        <f>IFERROR(HLOOKUP($PT7,Calc!$G$125:$AI$146,17,0),0)</f>
        <v>0</v>
      </c>
      <c r="AH7" s="1070">
        <f>IFERROR(HLOOKUP($PT7,Calc!$G$125:$AI$146,18,0),0)</f>
        <v>0</v>
      </c>
      <c r="AI7" s="1070">
        <f>IFERROR(HLOOKUP($PT7,Calc!$G$125:$AI$146,19,0),0)</f>
        <v>0</v>
      </c>
      <c r="AJ7" s="1070">
        <f>IFERROR(HLOOKUP($PT7,Calc!$G$125:$AI$146,20,0),0)</f>
        <v>0</v>
      </c>
      <c r="AK7" s="1070">
        <f>IFERROR(HLOOKUP($PT7,Calc!$G$125:$AI$146,21,0),0)</f>
        <v>0</v>
      </c>
      <c r="AL7" s="1070">
        <f>IFERROR(HLOOKUP($PT7,Calc!$G$125:$AI$146,22,0),0)</f>
        <v>0</v>
      </c>
      <c r="AM7" s="1070">
        <f>IFERROR(HLOOKUP($PT7,Calc!$G$125:$AI$147,23,0),0)</f>
        <v>0</v>
      </c>
      <c r="AN7" s="1070">
        <f>IF(PPT!$D$2="$ M",IFERROR(HLOOKUP($PT7,PPT!$E$131:$BJ$159,5,0),0)*1000,IFERROR(HLOOKUP($PT7,PPT!$E$131:$BJ$159,5,0),0))</f>
        <v>0</v>
      </c>
      <c r="AO7" s="1070">
        <f>IF(PPT!$D$2="$ M",IFERROR(HLOOKUP($PT7,PPT!$E$131:$BJ$159,6,0),0)*1000,IFERROR(HLOOKUP($PT7,PPT!$E$131:$BJ$159,6,0),0))</f>
        <v>0</v>
      </c>
      <c r="AP7" s="1070">
        <f>IF(PPT!$D$2="$ M",IFERROR(HLOOKUP($PT7,PPT!$E$131:$BJ$159,7,0),0)*1000,IFERROR(HLOOKUP($PT7,PPT!$E$131:$BJ$159,7,0),0))</f>
        <v>0</v>
      </c>
      <c r="AQ7" s="1070">
        <f>IF(PPT!$D$2="$ M",IFERROR(HLOOKUP($PT7,PPT!$E$131:$BJ$159,8,0),0)*1000,IFERROR(HLOOKUP($PT7,PPT!$E$131:$BJ$159,8,0),0))</f>
        <v>0</v>
      </c>
      <c r="AR7" s="1070">
        <f>IF(PPT!$D$2="$ M",IFERROR(HLOOKUP($PT7,PPT!$E$131:$BJ$159,9,0),0)*1000,IFERROR(HLOOKUP($PT7,PPT!$E$131:$BJ$159,9,0),0))</f>
        <v>0</v>
      </c>
      <c r="AS7" s="1070">
        <f>IF(PPT!$D$2="$ M",IFERROR(HLOOKUP($PT7,PPT!$E$131:$BJ$159,10,0),0)*1000,IFERROR(HLOOKUP($PT7,PPT!$E$131:$BJ$159,10,0),0))</f>
        <v>0</v>
      </c>
      <c r="AT7" s="1070">
        <f>IF(PPT!$D$2="$ M",IFERROR(HLOOKUP($PT7,PPT!$E$131:$BJ$159,13,0),0)*1000,IFERROR(HLOOKUP($PT7,PPT!$E$131:$BJ$159,13,0),0))</f>
        <v>0</v>
      </c>
      <c r="AU7" s="1070">
        <f>IF(PPT!$D$2="$ M",IFERROR(HLOOKUP($PT7,PPT!$E$131:$BJ$159,14,0),0)*1000,IFERROR(HLOOKUP($PT7,PPT!$E$131:$BJ$159,14,0),0))</f>
        <v>0</v>
      </c>
      <c r="AV7" s="1070">
        <f>IF(PPT!$D$2="$ M",IFERROR(HLOOKUP($PT7,PPT!$E$131:$BJ$159,15,0),0)*1000,IFERROR(HLOOKUP($PT7,PPT!$E$131:$BJ$159,15,0),0))</f>
        <v>0</v>
      </c>
      <c r="AW7" s="1070">
        <f>IF(PPT!$D$2="$ M",IFERROR(HLOOKUP($PT7,PPT!$E$131:$BJ$159,17,0),0)*1000,IFERROR(HLOOKUP($PT7,PPT!$E$131:$BJ$159,17,0),0))</f>
        <v>0</v>
      </c>
      <c r="AX7" s="1070">
        <f>IF(PPT!$D$2="$ M",IFERROR(HLOOKUP($PT7,PPT!$E$131:$BJ$159,18,0),0)*1000,IFERROR(HLOOKUP($PT7,PPT!$E$131:$BJ$159,18,0),0))</f>
        <v>0</v>
      </c>
      <c r="AY7" s="1070">
        <f>IF(PPT!$D$2="$ M",IFERROR(HLOOKUP($PT7,PPT!$E$131:$BJ$159,19,0),0)*1000,IFERROR(HLOOKUP($PT7,PPT!$E$131:$BJ$159,19,0),0))</f>
        <v>0</v>
      </c>
      <c r="AZ7" s="1070">
        <f>IF(PPT!$D$2="$ M",IFERROR(HLOOKUP($PT7,PPT!$E$131:$BJ$159,21,0),0)*1000,IFERROR(HLOOKUP($PT7,PPT!$E$131:$BJ$159,21,0),0))</f>
        <v>0</v>
      </c>
      <c r="BA7" s="1070">
        <f>IF(PPT!$D$2="$ M",IFERROR(HLOOKUP($PT7,PPT!$E$131:$BJ$159,22,0),0)*1000,IFERROR(HLOOKUP($PT7,PPT!$E$131:$BJ$159,22,0),0))</f>
        <v>0</v>
      </c>
      <c r="BB7" s="1070">
        <f>IF(PPT!$D$2="$ M",IFERROR(HLOOKUP($PT7,PPT!$E$131:$BJ$159,23,0),0)*1000,IFERROR(HLOOKUP($PT7,PPT!$E$131:$BJ$159,23,0),0))</f>
        <v>0</v>
      </c>
      <c r="BC7" s="1070">
        <f>IF(PPT!$D$2="$ M",IFERROR(HLOOKUP($PT7,PPT!$E$131:$BJ$159,25,0),0)*1000,IFERROR(HLOOKUP($PT7,PPT!$E$131:$BJ$159,25,0),0))</f>
        <v>0</v>
      </c>
      <c r="BD7" s="1070">
        <f>IF(PPT!$D$2="$ M",IFERROR(HLOOKUP($PT7,PPT!$E$131:$BJ$159,26,0),0)*1000,IFERROR(HLOOKUP($PT7,PPT!$E$131:$BJ$159,26,0),0))</f>
        <v>0</v>
      </c>
      <c r="BE7" s="1070">
        <f>IF(PPT!$D$2="$ M",IFERROR(HLOOKUP($PT7,PPT!$E$131:$BJ$159,27,0),0)*1000,IFERROR(HLOOKUP($PT7,PPT!$E$131:$BJ$159,27,0),0))</f>
        <v>0</v>
      </c>
      <c r="BF7" s="1070">
        <f>IFERROR(HLOOKUP($PT7,Calc!$F$151:$P$166,2,0),0)</f>
        <v>0</v>
      </c>
      <c r="BG7" s="1070">
        <f>IFERROR(HLOOKUP($PT7,Calc!$F$151:$P$166,3,0),0)</f>
        <v>0</v>
      </c>
      <c r="BH7" s="1070">
        <f>IFERROR(HLOOKUP($PT7,Calc!$F$151:$P$166,4,0),0)</f>
        <v>0</v>
      </c>
      <c r="BI7" s="1070">
        <f>IFERROR(HLOOKUP($PT7,Calc!$F$151:$P$166,5,0),0)</f>
        <v>0</v>
      </c>
      <c r="BJ7" s="1070">
        <f>IFERROR(HLOOKUP($PT7,Calc!$F$151:$P$166,6,0),0)</f>
        <v>0</v>
      </c>
      <c r="BK7" s="1070">
        <f>IFERROR(HLOOKUP($PT7,Calc!$F$151:$P$166,7,0),0)</f>
        <v>0</v>
      </c>
      <c r="BL7" s="1070">
        <f>IFERROR(HLOOKUP($PT7,Calc!$F$151:$P$166,8,0),0)</f>
        <v>0</v>
      </c>
      <c r="BM7" s="1070">
        <f>IFERROR(HLOOKUP($PT7,Calc!$F$151:$P$166,9,0),0)</f>
        <v>0</v>
      </c>
      <c r="BN7" s="1070">
        <f>IFERROR(HLOOKUP($PT7,Calc!$F$151:$P$166,10,0),0)</f>
        <v>0</v>
      </c>
      <c r="BO7" s="1070">
        <f>IFERROR(HLOOKUP($PT7,Calc!$F$151:$P$166,11,0),0)</f>
        <v>0</v>
      </c>
      <c r="BP7" s="1070">
        <f>IFERROR(HLOOKUP($PT7,Calc!$F$151:$P$166,12,0),0)</f>
        <v>0</v>
      </c>
      <c r="BQ7" s="1070">
        <f>IFERROR(HLOOKUP($PT7,Calc!$F$151:$P$166,13,0),0)</f>
        <v>0</v>
      </c>
      <c r="BR7" s="1070">
        <f>IFERROR(HLOOKUP($PT7,Calc!$F$151:$P$166,14,0),0)</f>
        <v>0</v>
      </c>
      <c r="BS7" s="1070">
        <f>IFERROR(HLOOKUP($PT7,Calc!$F$151:$P$166,15,0),0)</f>
        <v>0</v>
      </c>
      <c r="BT7" s="1070">
        <f>IFERROR(HLOOKUP($PT7,Calc!$F$151:$P$166,16,0),0)</f>
        <v>0</v>
      </c>
      <c r="BU7" s="1070">
        <f>IFERROR(VLOOKUP($PS7,Calc!$AF$196:$AH$203,2,0),0)</f>
        <v>0</v>
      </c>
      <c r="BV7" s="1070">
        <f>IFERROR(VLOOKUP($PS7,Calc!$AF$196:$AH$203,3,0),0)</f>
        <v>0</v>
      </c>
      <c r="BW7" s="1070">
        <f>IFERROR(VLOOKUP($PS7,Calc!$AF$196:$AI$203,4,0),0)</f>
        <v>0</v>
      </c>
      <c r="BX7" s="1070">
        <f>IFERROR(VLOOKUP($PS7,Calc!$AF$208:$AI$209,2,0),0)</f>
        <v>0</v>
      </c>
      <c r="BY7" s="1070">
        <f>IFERROR(VLOOKUP($PS7,Calc!$AF$208:$AI$209,3,0),0)</f>
        <v>0</v>
      </c>
      <c r="BZ7" s="1070">
        <f>IFERROR(VLOOKUP($PS7,Calc!$AF$208:$AI$209,4,0),0)</f>
        <v>0</v>
      </c>
      <c r="CA7" s="1070">
        <f>IFERROR(VLOOKUP($PS7,Calc!$K$420:$P$433,3,0),0)</f>
        <v>0</v>
      </c>
      <c r="CB7" s="1070">
        <f>IFERROR(VLOOKUP($PS7,Calc!$K$420:$P$433,4,0),0)</f>
        <v>0</v>
      </c>
      <c r="CC7" s="1070">
        <f>IFERROR(VLOOKUP($PS7,Calc!$K$420:$P$433,5,0),0)</f>
        <v>0</v>
      </c>
      <c r="CD7" s="1070">
        <f>IFERROR(VLOOKUP($PS7,Calc!$K$420:$P$433,6,0),0)</f>
        <v>0</v>
      </c>
      <c r="CE7" s="1070">
        <f>IFERROR(VLOOKUP($PS7,Calc!$AQ$420:$AV$433,3,0),0)</f>
        <v>0</v>
      </c>
      <c r="CF7" s="1070">
        <f>IFERROR(VLOOKUP($PS7,Calc!$AQ$420:$AV$433,4,0),0)</f>
        <v>0</v>
      </c>
      <c r="CG7" s="1070">
        <f>IFERROR(VLOOKUP($PS7,Calc!$AQ$420:$AV$433,5,0),0)</f>
        <v>0</v>
      </c>
      <c r="CH7" s="1070">
        <f>IFERROR(VLOOKUP($PS7,Calc!$AQ$420:$AV$433,6,0),0)</f>
        <v>0</v>
      </c>
      <c r="CI7" s="1070">
        <f>IFERROR(HLOOKUP($PT7,Calc!$AQ$125:$BS$146,3,0),0)</f>
        <v>0</v>
      </c>
      <c r="CJ7" s="1070">
        <f>IFERROR(HLOOKUP($PT7,Calc!$AQ$125:$BS$146,6,0),0)</f>
        <v>0</v>
      </c>
      <c r="CK7" s="1070">
        <f>IFERROR(IF(Calc!$C$129="Dollar ($)",HLOOKUP($PT7,Calc!$AQ$125:$BS$146,5,0),0),0)</f>
        <v>0</v>
      </c>
      <c r="CL7" s="1070">
        <f>IFERROR(IF(Calc!$C$129="Volume (units)",HLOOKUP($PT7,Calc!$AQ$125:$BS$146,5,0),0),0)</f>
        <v>0</v>
      </c>
      <c r="CM7" s="1070">
        <f>IFERROR(HLOOKUP($PT7,Calc!$AQ$125:$BS$146,9,0),0)</f>
        <v>0</v>
      </c>
      <c r="CN7" s="1070">
        <f>IFERROR(HLOOKUP($PT7,Calc!$AQ$125:$BS$146,10,0),0)</f>
        <v>0</v>
      </c>
      <c r="CO7" s="1070">
        <f>IFERROR(HLOOKUP($PT7,Calc!$AQ$125:$BS$146,11,0),0)</f>
        <v>0</v>
      </c>
      <c r="CP7" s="1070">
        <f>IFERROR(HLOOKUP($PT7,Calc!$AQ$125:$BS$146,12,0),0)</f>
        <v>0</v>
      </c>
      <c r="CQ7" s="1070">
        <f>IFERROR(HLOOKUP($PT7,Calc!$AQ$125:$BS$146,13,0),0)</f>
        <v>0</v>
      </c>
      <c r="CR7" s="1070">
        <f>IFERROR(HLOOKUP($PT7,Calc!$AQ$125:$BS$146,17,0),0)</f>
        <v>0</v>
      </c>
      <c r="CS7" s="1070">
        <f>IFERROR(HLOOKUP($PT7,Calc!$AQ$125:$BS$146,19,0),0)</f>
        <v>0</v>
      </c>
      <c r="CT7" s="1070">
        <f>IFERROR(HLOOKUP($PT7,Calc!$AQ$125:$BS$146,20,0),0)</f>
        <v>0</v>
      </c>
      <c r="CU7" s="1070">
        <f>IFERROR(HLOOKUP($PT7,Calc!$AQ$125:$BS$146,21,0),0)</f>
        <v>0</v>
      </c>
      <c r="CV7" s="1070">
        <f>IFERROR(HLOOKUP($PT7,Calc!$AQ$125:$BS$147,23,0),0)</f>
        <v>0</v>
      </c>
      <c r="CW7" s="1070">
        <f>IFERROR(HLOOKUP($PT7,Calc!$AQ$9:$BS$15,5,0),0)+IFERROR(HLOOKUP($PT7,Calc!$AQ$30:$BS$36,5,0),0)+IFERROR(HLOOKUP($PT7,Calc!$AQ$51:$BS$57,5,0),0)+IFERROR(HLOOKUP($PT7,Calc!$AQ$72:$BS$78,5,0),0)+IFERROR(HLOOKUP($PT7,Calc!$AQ$93:$BS$99,5,0),0)</f>
        <v>0</v>
      </c>
      <c r="CX7" s="1070">
        <f>IFERROR(HLOOKUP($PT7,Calc!$AQ$9:$BS$15,6,0),0)+IFERROR(HLOOKUP($PT7,Calc!$AQ$30:$BS$36,6,0),0)+IFERROR(HLOOKUP($PT7,Calc!$AQ$51:$BS$57,6,0),0)+IFERROR(HLOOKUP($PT7,Calc!$AQ$72:$BS$78,6,0),0)+IFERROR(HLOOKUP($PT7,Calc!$AQ$93:$BS$99,6,0),0)</f>
        <v>0</v>
      </c>
      <c r="CY7" s="1070">
        <f>IFERROR(HLOOKUP($PT7,Calc!$AQ$9:$BS$15,7,0),0)+IFERROR(HLOOKUP($PT7,Calc!$AQ$30:$BS$36,7,0),0)+IFERROR(HLOOKUP($PT7,Calc!$AQ$51:$BS$57,7,0),0)+IFERROR(HLOOKUP($PT7,Calc!$AQ$72:$BS$78,7,0),0)+IFERROR(HLOOKUP($PT7,Calc!$AQ$93:$BS$99,7,0),0)</f>
        <v>0</v>
      </c>
      <c r="ET7" s="2992"/>
      <c r="IY7" s="1070">
        <f>IFERROR(HLOOKUP($PT7,Current_Prior!$AQ$9:$BS$30,3,0),0)</f>
        <v>0</v>
      </c>
      <c r="IZ7" s="1070">
        <f>IFERROR(HLOOKUP($PT7,Current_Prior!$AQ$9:$BS$30,6,0),0)</f>
        <v>0</v>
      </c>
      <c r="JA7" s="1070">
        <f>IFERROR(IF(Calc!$C$129="Dollar ($)",HLOOKUP($PT7,Current_Prior!$AQ$9:$BS$30,5,0),0),0)</f>
        <v>0</v>
      </c>
      <c r="JB7" s="1070">
        <f>IFERROR(IF(Calc!$C$129="Volume (units)",HLOOKUP($PT7,Current_Prior!$AQ$9:$BS$30,5,0),0),0)</f>
        <v>0</v>
      </c>
      <c r="JC7" s="1070">
        <f>IFERROR(HLOOKUP($PT7,Current_Prior!$AQ$9:$BS$30,9,0),0)</f>
        <v>0</v>
      </c>
      <c r="JD7" s="1070">
        <f>IFERROR(HLOOKUP($PT7,Current_Prior!$AQ$9:$BS$30,10,0),0)</f>
        <v>0</v>
      </c>
      <c r="JE7" s="1070">
        <f>IFERROR(HLOOKUP($PT7,Current_Prior!$AQ$9:$BS$30,11,0),0)</f>
        <v>0</v>
      </c>
      <c r="JF7" s="1070">
        <f>IFERROR(HLOOKUP($PT7,Current_Prior!$AQ$9:$BS$30,12,0),0)</f>
        <v>0</v>
      </c>
      <c r="JG7" s="1070">
        <f>IFERROR(HLOOKUP($PT7,Current_Prior!$AQ$9:$BS$30,13,0),0)</f>
        <v>0</v>
      </c>
      <c r="JH7" s="1070">
        <f>IFERROR(HLOOKUP($PT7,Current_Prior!$AQ$9:$BS$30,17,0),0)</f>
        <v>0</v>
      </c>
      <c r="JI7" s="1070">
        <f>IFERROR(HLOOKUP($PT7,Current_Prior!$AQ$9:$BS$30,19,0),0)</f>
        <v>0</v>
      </c>
      <c r="JJ7" s="1070">
        <f>IFERROR(HLOOKUP($PT7,Current_Prior!$AQ$9:$BS$30,20,0),0)</f>
        <v>0</v>
      </c>
      <c r="JK7" s="1070">
        <f>IFERROR(HLOOKUP($PT7,Current_Prior!$AQ$9:$BS$30,21,0),0)</f>
        <v>0</v>
      </c>
      <c r="JL7" s="1070">
        <f>IFERROR(HLOOKUP($PT7,Current_Prior!$AQ$9:$BS$31,23,0),0)</f>
        <v>0</v>
      </c>
      <c r="ML7" s="1082">
        <f>IFERROR(HLOOKUP($PT7,HistInfo!$G$15:$AI$37,3,0),0)</f>
        <v>0</v>
      </c>
      <c r="MM7" s="1082">
        <f>IFERROR(HLOOKUP($PT7,HistInfo!$G$15:$AI$37,6,0),0)</f>
        <v>0</v>
      </c>
      <c r="MN7" s="1070">
        <f>IFERROR(IF(HistInfo!$C$19="Dollar ($)",HLOOKUP($PT7,HistInfo!$G$15:$AI$37,5,0),0),0)</f>
        <v>0</v>
      </c>
      <c r="MO7" s="1070">
        <f>IFERROR(IF(HistInfo!$C$19="Volume (units)",HLOOKUP($PT7,HistInfo!$G$15:$AI$37,5,0),0),0)</f>
        <v>0</v>
      </c>
      <c r="MP7" s="1082">
        <f>IFERROR(HLOOKUP($PT7,HistInfo!$G$15:$AI$37,9,0),0)</f>
        <v>0</v>
      </c>
      <c r="MQ7" s="1082">
        <f>IFERROR(HLOOKUP($PT7,HistInfo!$G$15:$AI$37,10,0),0)</f>
        <v>0</v>
      </c>
      <c r="MR7" s="1082">
        <f>IFERROR(HLOOKUP($PT7,HistInfo!$G$15:$AI$37,11,0),0)</f>
        <v>0</v>
      </c>
      <c r="MS7" s="1082">
        <f>IFERROR(HLOOKUP($PT7,HistInfo!$G$15:$AI$37,12,0),0)</f>
        <v>0</v>
      </c>
      <c r="MT7" s="1082">
        <f>IFERROR(HLOOKUP($PT7,HistInfo!$G$15:$AI$37,13,0),0)</f>
        <v>0</v>
      </c>
      <c r="MU7" s="1082">
        <f>IFERROR(HLOOKUP($PT7,HistInfo!$G$15:$AI$37,17,0),0)</f>
        <v>0</v>
      </c>
      <c r="MV7" s="1082">
        <f>IFERROR(HLOOKUP($PT7,HistInfo!$G$15:$AI$37,19,0),0)</f>
        <v>0</v>
      </c>
      <c r="MW7" s="1082">
        <f>IFERROR(HLOOKUP($PT7,HistInfo!$G$15:$AI$37,20,0),0)</f>
        <v>0</v>
      </c>
      <c r="MX7" s="1082">
        <f>IFERROR(HLOOKUP($PT7,HistInfo!$G$15:$AI$37,21,0),0)</f>
        <v>0</v>
      </c>
      <c r="MY7" s="1082">
        <f>IFERROR(HLOOKUP($PT7,HistInfo!$G$15:$AI$37,23,0),0)</f>
        <v>0</v>
      </c>
      <c r="PS7" s="1082">
        <v>17</v>
      </c>
      <c r="PT7" s="1082" t="str">
        <f t="shared" si="1"/>
        <v>FY17</v>
      </c>
      <c r="PU7" s="1070" t="str">
        <f t="shared" si="2"/>
        <v>2017</v>
      </c>
      <c r="PX7" s="1070" t="s">
        <v>1144</v>
      </c>
      <c r="PY7" s="1070">
        <f t="shared" si="6"/>
        <v>5</v>
      </c>
    </row>
    <row r="8" spans="1:441" x14ac:dyDescent="0.3">
      <c r="A8" s="1070" t="str">
        <f t="shared" si="5"/>
        <v>Life Sciences</v>
      </c>
      <c r="B8" s="1070" t="str">
        <f t="shared" si="5"/>
        <v>BDB</v>
      </c>
      <c r="C8" s="1070">
        <f t="shared" si="5"/>
        <v>0</v>
      </c>
      <c r="D8" s="1070">
        <f t="shared" si="3"/>
        <v>0</v>
      </c>
      <c r="E8" s="1082">
        <f>Input!D21</f>
        <v>0</v>
      </c>
      <c r="F8" s="1082">
        <f>Input!J21</f>
        <v>0</v>
      </c>
      <c r="G8" s="1070">
        <f t="shared" si="4"/>
        <v>0</v>
      </c>
      <c r="H8" s="1070">
        <f t="shared" si="4"/>
        <v>0</v>
      </c>
      <c r="I8" s="1070">
        <f t="shared" si="4"/>
        <v>0</v>
      </c>
      <c r="J8" s="1070" t="str">
        <f t="shared" si="4"/>
        <v>Budget</v>
      </c>
      <c r="K8" s="1070" t="str">
        <f t="shared" si="0"/>
        <v>2018</v>
      </c>
      <c r="L8" s="1070">
        <f>IF(PPT!$D$2="$ M",IFERROR(HLOOKUP($PT8,PPT!$E$117:$BJ$119,3,0),0)*1000,IFERROR(HLOOKUP($PT8,PPT!$E$117:$BJ$119,3,0),0))</f>
        <v>0</v>
      </c>
      <c r="M8" s="1070">
        <f>IF(PPT!$D$2="$ M",IFERROR(HLOOKUP($PT8,PPT!$E$133:$BJ$159,4,0),0)*1000,IFERROR(HLOOKUP($PT8,PPT!$E$133:$BJ$159,4,0),0))</f>
        <v>0</v>
      </c>
      <c r="N8" s="1070">
        <f>IF(PPT!$D$2="$ M",IFERROR(HLOOKUP($PT8,PPT!$E$133:$BJ$159,5,0),0)*1000,IFERROR(HLOOKUP($PT8,PPT!$E$133:$BJ$159,5,0),0))</f>
        <v>0</v>
      </c>
      <c r="O8" s="1070">
        <f>IF(PPT!$D$2="$ M",IFERROR(HLOOKUP($PT8,PPT!$E$133:$BJ$159,6,0),0)*1000,IFERROR(HLOOKUP($PT8,PPT!$E$133:$BJ$159,6,0),0))</f>
        <v>0</v>
      </c>
      <c r="P8" s="1070">
        <f>IF(PPT!$D$2="$ M",IFERROR(HLOOKUP($PT8,PPT!$E$133:$BJ$159,7,0),0)*1000,IFERROR(HLOOKUP($PT8,PPT!$E$133:$BJ$159,7,0),0))</f>
        <v>0</v>
      </c>
      <c r="Q8" s="1070">
        <f>IFERROR(HLOOKUP($PT8,Calc!$G$125:$AI$146,3,0),0)</f>
        <v>0</v>
      </c>
      <c r="R8" s="1070" t="str">
        <f>IF(PPT!$D$2="$ M",IFERROR(HLOOKUP($PT8,PPT!$E$133:$BJ$159,9,0),0),IFERROR(HLOOKUP($PT8,PPT!$E$133:$BJ$159,9,0),0))</f>
        <v/>
      </c>
      <c r="S8" s="1070" t="str">
        <f>IF(PPT!$D$2="$ M",IFERROR(HLOOKUP($PT8,PPT!$E$133:$BJ$159,10,0),0),IFERROR(HLOOKUP($PT8,PPT!$E$133:$BJ$159,10,0),0))</f>
        <v/>
      </c>
      <c r="T8" s="1070">
        <f>IFERROR(IF(Calc!$C$129="Dollar ($)",HLOOKUP($PT8,Calc!$G$125:$AI$146,5,0),0),0)</f>
        <v>0</v>
      </c>
      <c r="U8" s="1070">
        <f>IFERROR(IF(Calc!$C$129="Volume (units)",HLOOKUP($PT8,Calc!$G$125:$AI$146,5,0),0),0)</f>
        <v>0</v>
      </c>
      <c r="V8" s="1070">
        <f>IFERROR(HLOOKUP($PT8,Calc!$G$125:$AI$146,6,0),0)</f>
        <v>0</v>
      </c>
      <c r="W8" s="1070">
        <f>IFERROR(HLOOKUP($PT8,Calc!$G$125:$AI$146,7,0),0)</f>
        <v>0</v>
      </c>
      <c r="X8" s="1070">
        <f>IFERROR(HLOOKUP($PT8,Calc!$G$125:$AI$146,8,0),0)</f>
        <v>0</v>
      </c>
      <c r="Y8" s="1070">
        <f>IFERROR(HLOOKUP($PT8,Calc!$G$125:$AI$146,9,0),0)</f>
        <v>0</v>
      </c>
      <c r="Z8" s="1070">
        <f>IFERROR(HLOOKUP($PT8,Calc!$G$125:$AI$146,10,0),0)</f>
        <v>0</v>
      </c>
      <c r="AA8" s="1070">
        <f>IFERROR(HLOOKUP($PT8,Calc!$G$125:$AI$146,11,0),0)</f>
        <v>200</v>
      </c>
      <c r="AB8" s="1070">
        <f>IFERROR(HLOOKUP($PT8,Calc!$G$125:$AI$146,12,0),0)</f>
        <v>4828.4206951872993</v>
      </c>
      <c r="AC8" s="1070">
        <f>IFERROR(HLOOKUP($PT8,Calc!$G$125:$AI$146,13,0),0)</f>
        <v>-5028.4206951872993</v>
      </c>
      <c r="AD8" s="1070">
        <f>IFERROR(HLOOKUP($PT8,Calc!$G$125:$AI$146,14,0),0)</f>
        <v>0</v>
      </c>
      <c r="AE8" s="1070">
        <f>IFERROR(HLOOKUP($PT8,Calc!$G$125:$AI$146,15,0),0)</f>
        <v>0</v>
      </c>
      <c r="AF8" s="1070">
        <f>IFERROR(HLOOKUP($PT8,Calc!$G$125:$AI$146,16,0),0)</f>
        <v>-1407.9577946524439</v>
      </c>
      <c r="AG8" s="1070">
        <f>IFERROR(HLOOKUP($PT8,Calc!$G$125:$AI$146,17,0),0)</f>
        <v>-3620.4629005348552</v>
      </c>
      <c r="AH8" s="1070">
        <f>IFERROR(HLOOKUP($PT8,Calc!$G$125:$AI$146,18,0),0)</f>
        <v>0</v>
      </c>
      <c r="AI8" s="1070">
        <f>IFERROR(HLOOKUP($PT8,Calc!$G$125:$AI$146,19,0),0)</f>
        <v>0</v>
      </c>
      <c r="AJ8" s="1070">
        <f>IFERROR(HLOOKUP($PT8,Calc!$G$125:$AI$146,20,0),0)</f>
        <v>0</v>
      </c>
      <c r="AK8" s="1070">
        <f>IFERROR(HLOOKUP($PT8,Calc!$G$125:$AI$146,21,0),0)</f>
        <v>-3620.4629005348552</v>
      </c>
      <c r="AL8" s="1070">
        <f>IFERROR(HLOOKUP($PT8,Calc!$G$125:$AI$146,22,0),0)</f>
        <v>0</v>
      </c>
      <c r="AM8" s="1070">
        <f>IFERROR(HLOOKUP($PT8,Calc!$G$125:$AI$147,23,0),0)</f>
        <v>-3620.4629005348552</v>
      </c>
      <c r="AN8" s="1070">
        <f>IF(PPT!$D$2="$ M",IFERROR(HLOOKUP($PT8,PPT!$E$131:$BJ$159,5,0),0)*1000,IFERROR(HLOOKUP($PT8,PPT!$E$131:$BJ$159,5,0),0))</f>
        <v>0</v>
      </c>
      <c r="AO8" s="1070">
        <f>IF(PPT!$D$2="$ M",IFERROR(HLOOKUP($PT8,PPT!$E$131:$BJ$159,6,0),0)*1000,IFERROR(HLOOKUP($PT8,PPT!$E$131:$BJ$159,6,0),0))</f>
        <v>0</v>
      </c>
      <c r="AP8" s="1070">
        <f>IF(PPT!$D$2="$ M",IFERROR(HLOOKUP($PT8,PPT!$E$131:$BJ$159,7,0),0)*1000,IFERROR(HLOOKUP($PT8,PPT!$E$131:$BJ$159,7,0),0))</f>
        <v>0</v>
      </c>
      <c r="AQ8" s="1070">
        <f>IF(PPT!$D$2="$ M",IFERROR(HLOOKUP($PT8,PPT!$E$131:$BJ$159,8,0),0)*1000,IFERROR(HLOOKUP($PT8,PPT!$E$131:$BJ$159,8,0),0))</f>
        <v>0</v>
      </c>
      <c r="AR8" s="1070">
        <f>IF(PPT!$D$2="$ M",IFERROR(HLOOKUP($PT8,PPT!$E$131:$BJ$159,9,0),0)*1000,IFERROR(HLOOKUP($PT8,PPT!$E$131:$BJ$159,9,0),0))</f>
        <v>0</v>
      </c>
      <c r="AS8" s="1070">
        <f>IF(PPT!$D$2="$ M",IFERROR(HLOOKUP($PT8,PPT!$E$131:$BJ$159,10,0),0)*1000,IFERROR(HLOOKUP($PT8,PPT!$E$131:$BJ$159,10,0),0))</f>
        <v>0</v>
      </c>
      <c r="AT8" s="1070">
        <f>IF(PPT!$D$2="$ M",IFERROR(HLOOKUP($PT8,PPT!$E$131:$BJ$159,13,0),0)*1000,IFERROR(HLOOKUP($PT8,PPT!$E$131:$BJ$159,13,0),0))</f>
        <v>0</v>
      </c>
      <c r="AU8" s="1070">
        <f>IF(PPT!$D$2="$ M",IFERROR(HLOOKUP($PT8,PPT!$E$131:$BJ$159,14,0),0)*1000,IFERROR(HLOOKUP($PT8,PPT!$E$131:$BJ$159,14,0),0))</f>
        <v>0</v>
      </c>
      <c r="AV8" s="1070">
        <f>IF(PPT!$D$2="$ M",IFERROR(HLOOKUP($PT8,PPT!$E$131:$BJ$159,15,0),0)*1000,IFERROR(HLOOKUP($PT8,PPT!$E$131:$BJ$159,15,0),0))</f>
        <v>0</v>
      </c>
      <c r="AW8" s="1070">
        <f>IF(PPT!$D$2="$ M",IFERROR(HLOOKUP($PT8,PPT!$E$131:$BJ$159,17,0),0)*1000,IFERROR(HLOOKUP($PT8,PPT!$E$131:$BJ$159,17,0),0))</f>
        <v>0</v>
      </c>
      <c r="AX8" s="1070">
        <f>IF(PPT!$D$2="$ M",IFERROR(HLOOKUP($PT8,PPT!$E$131:$BJ$159,18,0),0)*1000,IFERROR(HLOOKUP($PT8,PPT!$E$131:$BJ$159,18,0),0))</f>
        <v>0</v>
      </c>
      <c r="AY8" s="1070">
        <f>IF(PPT!$D$2="$ M",IFERROR(HLOOKUP($PT8,PPT!$E$131:$BJ$159,19,0),0)*1000,IFERROR(HLOOKUP($PT8,PPT!$E$131:$BJ$159,19,0),0))</f>
        <v>0</v>
      </c>
      <c r="AZ8" s="1070">
        <f>IF(PPT!$D$2="$ M",IFERROR(HLOOKUP($PT8,PPT!$E$131:$BJ$159,21,0),0)*1000,IFERROR(HLOOKUP($PT8,PPT!$E$131:$BJ$159,21,0),0))</f>
        <v>0</v>
      </c>
      <c r="BA8" s="1070">
        <f>IF(PPT!$D$2="$ M",IFERROR(HLOOKUP($PT8,PPT!$E$131:$BJ$159,22,0),0)*1000,IFERROR(HLOOKUP($PT8,PPT!$E$131:$BJ$159,22,0),0))</f>
        <v>0</v>
      </c>
      <c r="BB8" s="1070">
        <f>IF(PPT!$D$2="$ M",IFERROR(HLOOKUP($PT8,PPT!$E$131:$BJ$159,23,0),0)*1000,IFERROR(HLOOKUP($PT8,PPT!$E$131:$BJ$159,23,0),0))</f>
        <v>0</v>
      </c>
      <c r="BC8" s="1070">
        <f>IF(PPT!$D$2="$ M",IFERROR(HLOOKUP($PT8,PPT!$E$131:$BJ$159,25,0),0)*1000,IFERROR(HLOOKUP($PT8,PPT!$E$131:$BJ$159,25,0),0))</f>
        <v>0</v>
      </c>
      <c r="BD8" s="1070">
        <f>IF(PPT!$D$2="$ M",IFERROR(HLOOKUP($PT8,PPT!$E$131:$BJ$159,26,0),0)*1000,IFERROR(HLOOKUP($PT8,PPT!$E$131:$BJ$159,26,0),0))</f>
        <v>0</v>
      </c>
      <c r="BE8" s="1070">
        <f>IF(PPT!$D$2="$ M",IFERROR(HLOOKUP($PT8,PPT!$E$131:$BJ$159,27,0),0)*1000,IFERROR(HLOOKUP($PT8,PPT!$E$131:$BJ$159,27,0),0))</f>
        <v>0</v>
      </c>
      <c r="BF8" s="1070">
        <f>IFERROR(HLOOKUP($PT8,Calc!$F$151:$P$166,2,0),0)</f>
        <v>0</v>
      </c>
      <c r="BG8" s="1070">
        <f>IFERROR(HLOOKUP($PT8,Calc!$F$151:$P$166,3,0),0)</f>
        <v>0</v>
      </c>
      <c r="BH8" s="1070">
        <f>IFERROR(HLOOKUP($PT8,Calc!$F$151:$P$166,4,0),0)</f>
        <v>0</v>
      </c>
      <c r="BI8" s="1070">
        <f>IFERROR(HLOOKUP($PT8,Calc!$F$151:$P$166,5,0),0)</f>
        <v>0</v>
      </c>
      <c r="BJ8" s="1070">
        <f>IFERROR(HLOOKUP($PT8,Calc!$F$151:$P$166,6,0),0)</f>
        <v>0</v>
      </c>
      <c r="BK8" s="1070">
        <f>IFERROR(HLOOKUP($PT8,Calc!$F$151:$P$166,7,0),0)</f>
        <v>0</v>
      </c>
      <c r="BL8" s="1070">
        <f>IFERROR(HLOOKUP($PT8,Calc!$F$151:$P$166,8,0),0)</f>
        <v>0</v>
      </c>
      <c r="BM8" s="1070">
        <f>IFERROR(HLOOKUP($PT8,Calc!$F$151:$P$166,9,0),0)</f>
        <v>0</v>
      </c>
      <c r="BN8" s="1070">
        <f>IFERROR(HLOOKUP($PT8,Calc!$F$151:$P$166,10,0),0)</f>
        <v>0</v>
      </c>
      <c r="BO8" s="1070">
        <f>IFERROR(HLOOKUP($PT8,Calc!$F$151:$P$166,11,0),0)</f>
        <v>0</v>
      </c>
      <c r="BP8" s="1070">
        <f>IFERROR(HLOOKUP($PT8,Calc!$F$151:$P$166,12,0),0)</f>
        <v>0</v>
      </c>
      <c r="BQ8" s="1070">
        <f>IFERROR(HLOOKUP($PT8,Calc!$F$151:$P$166,13,0),0)</f>
        <v>0</v>
      </c>
      <c r="BR8" s="1070">
        <f>IFERROR(HLOOKUP($PT8,Calc!$F$151:$P$166,14,0),0)</f>
        <v>0</v>
      </c>
      <c r="BS8" s="1070">
        <f>IFERROR(HLOOKUP($PT8,Calc!$F$151:$P$166,15,0),0)</f>
        <v>0</v>
      </c>
      <c r="BT8" s="1070">
        <f>IFERROR(HLOOKUP($PT8,Calc!$F$151:$P$166,16,0),0)</f>
        <v>0</v>
      </c>
      <c r="BU8" s="1070">
        <f>IFERROR(VLOOKUP($PS8,Calc!$AF$196:$AH$203,2,0),0)</f>
        <v>0</v>
      </c>
      <c r="BV8" s="1070">
        <f>IFERROR(VLOOKUP($PS8,Calc!$AF$196:$AH$203,3,0),0)</f>
        <v>0</v>
      </c>
      <c r="BW8" s="1070">
        <f>IFERROR(VLOOKUP($PS8,Calc!$AF$196:$AI$203,4,0),0)</f>
        <v>0</v>
      </c>
      <c r="BX8" s="1070">
        <f>IFERROR(VLOOKUP($PS8,Calc!$AF$208:$AI$209,2,0),0)</f>
        <v>0</v>
      </c>
      <c r="BY8" s="1070">
        <f>IFERROR(VLOOKUP($PS8,Calc!$AF$208:$AI$209,3,0),0)</f>
        <v>0</v>
      </c>
      <c r="BZ8" s="1070">
        <f>IFERROR(VLOOKUP($PS8,Calc!$AF$208:$AI$209,4,0),0)</f>
        <v>0</v>
      </c>
      <c r="CA8" s="1070">
        <f>IFERROR(VLOOKUP($PS8,Calc!$K$420:$P$433,3,0),0)</f>
        <v>0</v>
      </c>
      <c r="CB8" s="1070">
        <f>IFERROR(VLOOKUP($PS8,Calc!$K$420:$P$433,4,0),0)</f>
        <v>0</v>
      </c>
      <c r="CC8" s="1070">
        <f>IFERROR(VLOOKUP($PS8,Calc!$K$420:$P$433,5,0),0)</f>
        <v>0</v>
      </c>
      <c r="CD8" s="1070">
        <f>IFERROR(VLOOKUP($PS8,Calc!$K$420:$P$433,6,0),0)</f>
        <v>0</v>
      </c>
      <c r="CE8" s="1070">
        <f>IFERROR(VLOOKUP($PS8,Calc!$AQ$420:$AV$433,3,0),0)</f>
        <v>0</v>
      </c>
      <c r="CF8" s="1070">
        <f>IFERROR(VLOOKUP($PS8,Calc!$AQ$420:$AV$433,4,0),0)</f>
        <v>0</v>
      </c>
      <c r="CG8" s="1070">
        <f>IFERROR(VLOOKUP($PS8,Calc!$AQ$420:$AV$433,5,0),0)</f>
        <v>0</v>
      </c>
      <c r="CH8" s="1070">
        <f>IFERROR(VLOOKUP($PS8,Calc!$AQ$420:$AV$433,6,0),0)</f>
        <v>0</v>
      </c>
      <c r="CI8" s="1070">
        <f>IFERROR(HLOOKUP($PT8,Calc!$AQ$125:$BS$146,3,0),0)</f>
        <v>0</v>
      </c>
      <c r="CJ8" s="1070">
        <f>IFERROR(HLOOKUP($PT8,Calc!$AQ$125:$BS$146,6,0),0)</f>
        <v>0</v>
      </c>
      <c r="CK8" s="1070">
        <f>IFERROR(IF(Calc!$C$129="Dollar ($)",HLOOKUP($PT8,Calc!$AQ$125:$BS$146,5,0),0),0)</f>
        <v>0</v>
      </c>
      <c r="CL8" s="1070">
        <f>IFERROR(IF(Calc!$C$129="Volume (units)",HLOOKUP($PT8,Calc!$AQ$125:$BS$146,5,0),0),0)</f>
        <v>0</v>
      </c>
      <c r="CM8" s="1070">
        <f>IFERROR(HLOOKUP($PT8,Calc!$AQ$125:$BS$146,9,0),0)</f>
        <v>0</v>
      </c>
      <c r="CN8" s="1070">
        <f>IFERROR(HLOOKUP($PT8,Calc!$AQ$125:$BS$146,10,0),0)</f>
        <v>0</v>
      </c>
      <c r="CO8" s="1070">
        <f>IFERROR(HLOOKUP($PT8,Calc!$AQ$125:$BS$146,11,0),0)</f>
        <v>0</v>
      </c>
      <c r="CP8" s="1070">
        <f>IFERROR(HLOOKUP($PT8,Calc!$AQ$125:$BS$146,12,0),0)</f>
        <v>0</v>
      </c>
      <c r="CQ8" s="1070">
        <f>IFERROR(HLOOKUP($PT8,Calc!$AQ$125:$BS$146,13,0),0)</f>
        <v>0</v>
      </c>
      <c r="CR8" s="1070">
        <f>IFERROR(HLOOKUP($PT8,Calc!$AQ$125:$BS$146,17,0),0)</f>
        <v>0</v>
      </c>
      <c r="CS8" s="1070">
        <f>IFERROR(HLOOKUP($PT8,Calc!$AQ$125:$BS$146,19,0),0)</f>
        <v>0</v>
      </c>
      <c r="CT8" s="1070">
        <f>IFERROR(HLOOKUP($PT8,Calc!$AQ$125:$BS$146,20,0),0)</f>
        <v>0</v>
      </c>
      <c r="CU8" s="1070">
        <f>IFERROR(HLOOKUP($PT8,Calc!$AQ$125:$BS$146,21,0),0)</f>
        <v>0</v>
      </c>
      <c r="CV8" s="1070">
        <f>IFERROR(HLOOKUP($PT8,Calc!$AQ$125:$BS$147,23,0),0)</f>
        <v>0</v>
      </c>
      <c r="CW8" s="1070">
        <f>IFERROR(HLOOKUP($PT8,Calc!$AQ$9:$BS$15,5,0),0)+IFERROR(HLOOKUP($PT8,Calc!$AQ$30:$BS$36,5,0),0)+IFERROR(HLOOKUP($PT8,Calc!$AQ$51:$BS$57,5,0),0)+IFERROR(HLOOKUP($PT8,Calc!$AQ$72:$BS$78,5,0),0)+IFERROR(HLOOKUP($PT8,Calc!$AQ$93:$BS$99,5,0),0)</f>
        <v>0</v>
      </c>
      <c r="CX8" s="1070">
        <f>IFERROR(HLOOKUP($PT8,Calc!$AQ$9:$BS$15,6,0),0)+IFERROR(HLOOKUP($PT8,Calc!$AQ$30:$BS$36,6,0),0)+IFERROR(HLOOKUP($PT8,Calc!$AQ$51:$BS$57,6,0),0)+IFERROR(HLOOKUP($PT8,Calc!$AQ$72:$BS$78,6,0),0)+IFERROR(HLOOKUP($PT8,Calc!$AQ$93:$BS$99,6,0),0)</f>
        <v>0</v>
      </c>
      <c r="CY8" s="1070">
        <f>IFERROR(HLOOKUP($PT8,Calc!$AQ$9:$BS$15,7,0),0)+IFERROR(HLOOKUP($PT8,Calc!$AQ$30:$BS$36,7,0),0)+IFERROR(HLOOKUP($PT8,Calc!$AQ$51:$BS$57,7,0),0)+IFERROR(HLOOKUP($PT8,Calc!$AQ$72:$BS$78,7,0),0)+IFERROR(HLOOKUP($PT8,Calc!$AQ$93:$BS$99,7,0),0)</f>
        <v>0</v>
      </c>
      <c r="IY8" s="1070">
        <f>IFERROR(HLOOKUP($PT8,Current_Prior!$AQ$9:$BS$30,3,0),0)</f>
        <v>0</v>
      </c>
      <c r="IZ8" s="1070">
        <f>IFERROR(HLOOKUP($PT8,Current_Prior!$AQ$9:$BS$30,6,0),0)</f>
        <v>0</v>
      </c>
      <c r="JA8" s="1070">
        <f>IFERROR(IF(Calc!$C$129="Dollar ($)",HLOOKUP($PT8,Current_Prior!$AQ$9:$BS$30,5,0),0),0)</f>
        <v>0</v>
      </c>
      <c r="JB8" s="1070">
        <f>IFERROR(IF(Calc!$C$129="Volume (units)",HLOOKUP($PT8,Current_Prior!$AQ$9:$BS$30,5,0),0),0)</f>
        <v>0</v>
      </c>
      <c r="JC8" s="1070">
        <f>IFERROR(HLOOKUP($PT8,Current_Prior!$AQ$9:$BS$30,9,0),0)</f>
        <v>0</v>
      </c>
      <c r="JD8" s="1070">
        <f>IFERROR(HLOOKUP($PT8,Current_Prior!$AQ$9:$BS$30,10,0),0)</f>
        <v>0</v>
      </c>
      <c r="JE8" s="1070">
        <f>IFERROR(HLOOKUP($PT8,Current_Prior!$AQ$9:$BS$30,11,0),0)</f>
        <v>0</v>
      </c>
      <c r="JF8" s="1070">
        <f>IFERROR(HLOOKUP($PT8,Current_Prior!$AQ$9:$BS$30,12,0),0)</f>
        <v>0</v>
      </c>
      <c r="JG8" s="1070">
        <f>IFERROR(HLOOKUP($PT8,Current_Prior!$AQ$9:$BS$30,13,0),0)</f>
        <v>0</v>
      </c>
      <c r="JH8" s="1070">
        <f>IFERROR(HLOOKUP($PT8,Current_Prior!$AQ$9:$BS$30,17,0),0)</f>
        <v>0</v>
      </c>
      <c r="JI8" s="1070">
        <f>IFERROR(HLOOKUP($PT8,Current_Prior!$AQ$9:$BS$30,19,0),0)</f>
        <v>0</v>
      </c>
      <c r="JJ8" s="1070">
        <f>IFERROR(HLOOKUP($PT8,Current_Prior!$AQ$9:$BS$30,20,0),0)</f>
        <v>0</v>
      </c>
      <c r="JK8" s="1070">
        <f>IFERROR(HLOOKUP($PT8,Current_Prior!$AQ$9:$BS$30,21,0),0)</f>
        <v>0</v>
      </c>
      <c r="JL8" s="1070">
        <f>IFERROR(HLOOKUP($PT8,Current_Prior!$AQ$9:$BS$31,23,0),0)</f>
        <v>0</v>
      </c>
      <c r="ML8" s="1082">
        <f>IFERROR(HLOOKUP($PT8,HistInfo!$G$15:$AI$37,3,0),0)</f>
        <v>0</v>
      </c>
      <c r="MM8" s="1082">
        <f>IFERROR(HLOOKUP($PT8,HistInfo!$G$15:$AI$37,6,0),0)</f>
        <v>0</v>
      </c>
      <c r="MN8" s="1070">
        <f>IFERROR(IF(HistInfo!$C$19="Dollar ($)",HLOOKUP($PT8,HistInfo!$G$15:$AI$37,5,0),0),0)</f>
        <v>0</v>
      </c>
      <c r="MO8" s="1070">
        <f>IFERROR(IF(HistInfo!$C$19="Volume (units)",HLOOKUP($PT8,HistInfo!$G$15:$AI$37,5,0),0),0)</f>
        <v>0</v>
      </c>
      <c r="MP8" s="1082">
        <f>IFERROR(HLOOKUP($PT8,HistInfo!$G$15:$AI$37,9,0),0)</f>
        <v>0</v>
      </c>
      <c r="MQ8" s="1082">
        <f>IFERROR(HLOOKUP($PT8,HistInfo!$G$15:$AI$37,10,0),0)</f>
        <v>0</v>
      </c>
      <c r="MR8" s="1082">
        <f>IFERROR(HLOOKUP($PT8,HistInfo!$G$15:$AI$37,11,0),0)</f>
        <v>0</v>
      </c>
      <c r="MS8" s="1082">
        <f>IFERROR(HLOOKUP($PT8,HistInfo!$G$15:$AI$37,12,0),0)</f>
        <v>0</v>
      </c>
      <c r="MT8" s="1082">
        <f>IFERROR(HLOOKUP($PT8,HistInfo!$G$15:$AI$37,13,0),0)</f>
        <v>0</v>
      </c>
      <c r="MU8" s="1082">
        <f>IFERROR(HLOOKUP($PT8,HistInfo!$G$15:$AI$37,17,0),0)</f>
        <v>0</v>
      </c>
      <c r="MV8" s="1082">
        <f>IFERROR(HLOOKUP($PT8,HistInfo!$G$15:$AI$37,19,0),0)</f>
        <v>0</v>
      </c>
      <c r="MW8" s="1082">
        <f>IFERROR(HLOOKUP($PT8,HistInfo!$G$15:$AI$37,20,0),0)</f>
        <v>0</v>
      </c>
      <c r="MX8" s="1082">
        <f>IFERROR(HLOOKUP($PT8,HistInfo!$G$15:$AI$37,21,0),0)</f>
        <v>0</v>
      </c>
      <c r="MY8" s="1082">
        <f>IFERROR(HLOOKUP($PT8,HistInfo!$G$15:$AI$37,23,0),0)</f>
        <v>0</v>
      </c>
      <c r="PS8" s="1070">
        <v>18</v>
      </c>
      <c r="PT8" s="1082" t="str">
        <f t="shared" si="1"/>
        <v>FY18</v>
      </c>
      <c r="PU8" s="1070" t="str">
        <f t="shared" si="2"/>
        <v>2018</v>
      </c>
      <c r="PX8" s="1070" t="s">
        <v>1145</v>
      </c>
      <c r="PY8" s="1070">
        <f t="shared" si="6"/>
        <v>6</v>
      </c>
    </row>
    <row r="9" spans="1:441" x14ac:dyDescent="0.3">
      <c r="A9" s="1070" t="str">
        <f t="shared" si="5"/>
        <v>Life Sciences</v>
      </c>
      <c r="B9" s="1070" t="str">
        <f t="shared" si="5"/>
        <v>BDB</v>
      </c>
      <c r="C9" s="1070">
        <f t="shared" si="5"/>
        <v>0</v>
      </c>
      <c r="D9" s="1070">
        <f t="shared" si="3"/>
        <v>0</v>
      </c>
      <c r="E9" s="1082">
        <f>Input!D22</f>
        <v>0</v>
      </c>
      <c r="F9" s="1082">
        <f>Input!J22</f>
        <v>0</v>
      </c>
      <c r="G9" s="1070">
        <f t="shared" si="4"/>
        <v>0</v>
      </c>
      <c r="H9" s="1070">
        <f t="shared" si="4"/>
        <v>0</v>
      </c>
      <c r="I9" s="1070">
        <f t="shared" si="4"/>
        <v>0</v>
      </c>
      <c r="J9" s="1070" t="str">
        <f t="shared" si="4"/>
        <v>Budget</v>
      </c>
      <c r="K9" s="1070" t="str">
        <f t="shared" si="0"/>
        <v>2019</v>
      </c>
      <c r="L9" s="1070">
        <f>IF(PPT!$D$2="$ M",IFERROR(HLOOKUP($PT9,PPT!$E$117:$BJ$119,3,0),0)*1000,IFERROR(HLOOKUP($PT9,PPT!$E$117:$BJ$119,3,0),0))</f>
        <v>0</v>
      </c>
      <c r="M9" s="1070">
        <f>IF(PPT!$D$2="$ M",IFERROR(HLOOKUP($PT9,PPT!$E$133:$BJ$159,4,0),0)*1000,IFERROR(HLOOKUP($PT9,PPT!$E$133:$BJ$159,4,0),0))</f>
        <v>0</v>
      </c>
      <c r="N9" s="1070">
        <f>IF(PPT!$D$2="$ M",IFERROR(HLOOKUP($PT9,PPT!$E$133:$BJ$159,5,0),0)*1000,IFERROR(HLOOKUP($PT9,PPT!$E$133:$BJ$159,5,0),0))</f>
        <v>0</v>
      </c>
      <c r="O9" s="1070">
        <f>IF(PPT!$D$2="$ M",IFERROR(HLOOKUP($PT9,PPT!$E$133:$BJ$159,6,0),0)*1000,IFERROR(HLOOKUP($PT9,PPT!$E$133:$BJ$159,6,0),0))</f>
        <v>0</v>
      </c>
      <c r="P9" s="1070">
        <f>IF(PPT!$D$2="$ M",IFERROR(HLOOKUP($PT9,PPT!$E$133:$BJ$159,7,0),0)*1000,IFERROR(HLOOKUP($PT9,PPT!$E$133:$BJ$159,7,0),0))</f>
        <v>0</v>
      </c>
      <c r="Q9" s="1070">
        <f>IFERROR(HLOOKUP($PT9,Calc!$G$125:$AI$146,3,0),0)</f>
        <v>0</v>
      </c>
      <c r="R9" s="1070" t="str">
        <f>IF(PPT!$D$2="$ M",IFERROR(HLOOKUP($PT9,PPT!$E$133:$BJ$159,9,0),0),IFERROR(HLOOKUP($PT9,PPT!$E$133:$BJ$159,9,0),0))</f>
        <v/>
      </c>
      <c r="S9" s="1070" t="str">
        <f>IF(PPT!$D$2="$ M",IFERROR(HLOOKUP($PT9,PPT!$E$133:$BJ$159,10,0),0),IFERROR(HLOOKUP($PT9,PPT!$E$133:$BJ$159,10,0),0))</f>
        <v/>
      </c>
      <c r="T9" s="1070">
        <f>IFERROR(IF(Calc!$C$129="Dollar ($)",HLOOKUP($PT9,Calc!$G$125:$AI$146,5,0),0),0)</f>
        <v>0</v>
      </c>
      <c r="U9" s="1070">
        <f>IFERROR(IF(Calc!$C$129="Volume (units)",HLOOKUP($PT9,Calc!$G$125:$AI$146,5,0),0),0)</f>
        <v>0</v>
      </c>
      <c r="V9" s="1070">
        <f>IFERROR(HLOOKUP($PT9,Calc!$G$125:$AI$146,6,0),0)</f>
        <v>0</v>
      </c>
      <c r="W9" s="1070">
        <f>IFERROR(HLOOKUP($PT9,Calc!$G$125:$AI$146,7,0),0)</f>
        <v>0</v>
      </c>
      <c r="X9" s="1070">
        <f>IFERROR(HLOOKUP($PT9,Calc!$G$125:$AI$146,8,0),0)</f>
        <v>0</v>
      </c>
      <c r="Y9" s="1070">
        <f>IFERROR(HLOOKUP($PT9,Calc!$G$125:$AI$146,9,0),0)</f>
        <v>0</v>
      </c>
      <c r="Z9" s="1070">
        <f>IFERROR(HLOOKUP($PT9,Calc!$G$125:$AI$146,10,0),0)</f>
        <v>0</v>
      </c>
      <c r="AA9" s="1070">
        <f>IFERROR(HLOOKUP($PT9,Calc!$G$125:$AI$146,11,0),0)</f>
        <v>1000</v>
      </c>
      <c r="AB9" s="1070">
        <f>IFERROR(HLOOKUP($PT9,Calc!$G$125:$AI$146,12,0),0)</f>
        <v>3450.6323370654059</v>
      </c>
      <c r="AC9" s="1070">
        <f>IFERROR(HLOOKUP($PT9,Calc!$G$125:$AI$146,13,0),0)</f>
        <v>-4450.6323370654063</v>
      </c>
      <c r="AD9" s="1070">
        <f>IFERROR(HLOOKUP($PT9,Calc!$G$125:$AI$146,14,0),0)</f>
        <v>0</v>
      </c>
      <c r="AE9" s="1070">
        <f>IFERROR(HLOOKUP($PT9,Calc!$G$125:$AI$146,15,0),0)</f>
        <v>0</v>
      </c>
      <c r="AF9" s="1070">
        <f>IFERROR(HLOOKUP($PT9,Calc!$G$125:$AI$146,16,0),0)</f>
        <v>-1246.1770543783139</v>
      </c>
      <c r="AG9" s="1070">
        <f>IFERROR(HLOOKUP($PT9,Calc!$G$125:$AI$146,17,0),0)</f>
        <v>-3204.4552826870922</v>
      </c>
      <c r="AH9" s="1070">
        <f>IFERROR(HLOOKUP($PT9,Calc!$G$125:$AI$146,18,0),0)</f>
        <v>0</v>
      </c>
      <c r="AI9" s="1070">
        <f>IFERROR(HLOOKUP($PT9,Calc!$G$125:$AI$146,19,0),0)</f>
        <v>0</v>
      </c>
      <c r="AJ9" s="1070">
        <f>IFERROR(HLOOKUP($PT9,Calc!$G$125:$AI$146,20,0),0)</f>
        <v>0</v>
      </c>
      <c r="AK9" s="1070">
        <f>IFERROR(HLOOKUP($PT9,Calc!$G$125:$AI$146,21,0),0)</f>
        <v>-3204.4552826870922</v>
      </c>
      <c r="AL9" s="1070">
        <f>IFERROR(HLOOKUP($PT9,Calc!$G$125:$AI$146,22,0),0)</f>
        <v>0</v>
      </c>
      <c r="AM9" s="1070">
        <f>IFERROR(HLOOKUP($PT9,Calc!$G$125:$AI$147,23,0),0)</f>
        <v>-2786.4828545105152</v>
      </c>
      <c r="AN9" s="1070">
        <f>IF(PPT!$D$2="$ M",IFERROR(HLOOKUP($PT9,PPT!$E$131:$BJ$159,5,0),0)*1000,IFERROR(HLOOKUP($PT9,PPT!$E$131:$BJ$159,5,0),0))</f>
        <v>0</v>
      </c>
      <c r="AO9" s="1070">
        <f>IF(PPT!$D$2="$ M",IFERROR(HLOOKUP($PT9,PPT!$E$131:$BJ$159,6,0),0)*1000,IFERROR(HLOOKUP($PT9,PPT!$E$131:$BJ$159,6,0),0))</f>
        <v>0</v>
      </c>
      <c r="AP9" s="1070">
        <f>IF(PPT!$D$2="$ M",IFERROR(HLOOKUP($PT9,PPT!$E$131:$BJ$159,7,0),0)*1000,IFERROR(HLOOKUP($PT9,PPT!$E$131:$BJ$159,7,0),0))</f>
        <v>0</v>
      </c>
      <c r="AQ9" s="1070">
        <f>IF(PPT!$D$2="$ M",IFERROR(HLOOKUP($PT9,PPT!$E$131:$BJ$159,8,0),0)*1000,IFERROR(HLOOKUP($PT9,PPT!$E$131:$BJ$159,8,0),0))</f>
        <v>0</v>
      </c>
      <c r="AR9" s="1070">
        <f>IF(PPT!$D$2="$ M",IFERROR(HLOOKUP($PT9,PPT!$E$131:$BJ$159,9,0),0)*1000,IFERROR(HLOOKUP($PT9,PPT!$E$131:$BJ$159,9,0),0))</f>
        <v>0</v>
      </c>
      <c r="AS9" s="1070">
        <f>IF(PPT!$D$2="$ M",IFERROR(HLOOKUP($PT9,PPT!$E$131:$BJ$159,10,0),0)*1000,IFERROR(HLOOKUP($PT9,PPT!$E$131:$BJ$159,10,0),0))</f>
        <v>0</v>
      </c>
      <c r="AT9" s="1070">
        <f>IF(PPT!$D$2="$ M",IFERROR(HLOOKUP($PT9,PPT!$E$131:$BJ$159,13,0),0)*1000,IFERROR(HLOOKUP($PT9,PPT!$E$131:$BJ$159,13,0),0))</f>
        <v>0</v>
      </c>
      <c r="AU9" s="1070">
        <f>IF(PPT!$D$2="$ M",IFERROR(HLOOKUP($PT9,PPT!$E$131:$BJ$159,14,0),0)*1000,IFERROR(HLOOKUP($PT9,PPT!$E$131:$BJ$159,14,0),0))</f>
        <v>0</v>
      </c>
      <c r="AV9" s="1070">
        <f>IF(PPT!$D$2="$ M",IFERROR(HLOOKUP($PT9,PPT!$E$131:$BJ$159,15,0),0)*1000,IFERROR(HLOOKUP($PT9,PPT!$E$131:$BJ$159,15,0),0))</f>
        <v>0</v>
      </c>
      <c r="AW9" s="1070">
        <f>IF(PPT!$D$2="$ M",IFERROR(HLOOKUP($PT9,PPT!$E$131:$BJ$159,17,0),0)*1000,IFERROR(HLOOKUP($PT9,PPT!$E$131:$BJ$159,17,0),0))</f>
        <v>0</v>
      </c>
      <c r="AX9" s="1070">
        <f>IF(PPT!$D$2="$ M",IFERROR(HLOOKUP($PT9,PPT!$E$131:$BJ$159,18,0),0)*1000,IFERROR(HLOOKUP($PT9,PPT!$E$131:$BJ$159,18,0),0))</f>
        <v>0</v>
      </c>
      <c r="AY9" s="1070">
        <f>IF(PPT!$D$2="$ M",IFERROR(HLOOKUP($PT9,PPT!$E$131:$BJ$159,19,0),0)*1000,IFERROR(HLOOKUP($PT9,PPT!$E$131:$BJ$159,19,0),0))</f>
        <v>0</v>
      </c>
      <c r="AZ9" s="1070">
        <f>IF(PPT!$D$2="$ M",IFERROR(HLOOKUP($PT9,PPT!$E$131:$BJ$159,21,0),0)*1000,IFERROR(HLOOKUP($PT9,PPT!$E$131:$BJ$159,21,0),0))</f>
        <v>0</v>
      </c>
      <c r="BA9" s="1070">
        <f>IF(PPT!$D$2="$ M",IFERROR(HLOOKUP($PT9,PPT!$E$131:$BJ$159,22,0),0)*1000,IFERROR(HLOOKUP($PT9,PPT!$E$131:$BJ$159,22,0),0))</f>
        <v>0</v>
      </c>
      <c r="BB9" s="1070">
        <f>IF(PPT!$D$2="$ M",IFERROR(HLOOKUP($PT9,PPT!$E$131:$BJ$159,23,0),0)*1000,IFERROR(HLOOKUP($PT9,PPT!$E$131:$BJ$159,23,0),0))</f>
        <v>0</v>
      </c>
      <c r="BC9" s="1070">
        <f>IF(PPT!$D$2="$ M",IFERROR(HLOOKUP($PT9,PPT!$E$131:$BJ$159,25,0),0)*1000,IFERROR(HLOOKUP($PT9,PPT!$E$131:$BJ$159,25,0),0))</f>
        <v>0</v>
      </c>
      <c r="BD9" s="1070">
        <f>IF(PPT!$D$2="$ M",IFERROR(HLOOKUP($PT9,PPT!$E$131:$BJ$159,26,0),0)*1000,IFERROR(HLOOKUP($PT9,PPT!$E$131:$BJ$159,26,0),0))</f>
        <v>0</v>
      </c>
      <c r="BE9" s="1070">
        <f>IF(PPT!$D$2="$ M",IFERROR(HLOOKUP($PT9,PPT!$E$131:$BJ$159,27,0),0)*1000,IFERROR(HLOOKUP($PT9,PPT!$E$131:$BJ$159,27,0),0))</f>
        <v>0</v>
      </c>
      <c r="BF9" s="1070">
        <f>IFERROR(HLOOKUP($PT9,Calc!$F$151:$P$166,2,0),0)</f>
        <v>0</v>
      </c>
      <c r="BG9" s="1070">
        <f>IFERROR(HLOOKUP($PT9,Calc!$F$151:$P$166,3,0),0)</f>
        <v>0</v>
      </c>
      <c r="BH9" s="1070">
        <f>IFERROR(HLOOKUP($PT9,Calc!$F$151:$P$166,4,0),0)</f>
        <v>0</v>
      </c>
      <c r="BI9" s="1070">
        <f>IFERROR(HLOOKUP($PT9,Calc!$F$151:$P$166,5,0),0)</f>
        <v>0</v>
      </c>
      <c r="BJ9" s="1070">
        <f>IFERROR(HLOOKUP($PT9,Calc!$F$151:$P$166,6,0),0)</f>
        <v>0</v>
      </c>
      <c r="BK9" s="1070">
        <f>IFERROR(HLOOKUP($PT9,Calc!$F$151:$P$166,7,0),0)</f>
        <v>0</v>
      </c>
      <c r="BL9" s="1070">
        <f>IFERROR(HLOOKUP($PT9,Calc!$F$151:$P$166,8,0),0)</f>
        <v>0</v>
      </c>
      <c r="BM9" s="1070">
        <f>IFERROR(HLOOKUP($PT9,Calc!$F$151:$P$166,9,0),0)</f>
        <v>0</v>
      </c>
      <c r="BN9" s="1070">
        <f>IFERROR(HLOOKUP($PT9,Calc!$F$151:$P$166,10,0),0)</f>
        <v>0</v>
      </c>
      <c r="BO9" s="1070">
        <f>IFERROR(HLOOKUP($PT9,Calc!$F$151:$P$166,11,0),0)</f>
        <v>0</v>
      </c>
      <c r="BP9" s="1070">
        <f>IFERROR(HLOOKUP($PT9,Calc!$F$151:$P$166,12,0),0)</f>
        <v>0</v>
      </c>
      <c r="BQ9" s="1070">
        <f>IFERROR(HLOOKUP($PT9,Calc!$F$151:$P$166,13,0),0)</f>
        <v>0</v>
      </c>
      <c r="BR9" s="1070">
        <f>IFERROR(HLOOKUP($PT9,Calc!$F$151:$P$166,14,0),0)</f>
        <v>0</v>
      </c>
      <c r="BS9" s="1070">
        <f>IFERROR(HLOOKUP($PT9,Calc!$F$151:$P$166,15,0),0)</f>
        <v>0</v>
      </c>
      <c r="BT9" s="1070">
        <f>IFERROR(HLOOKUP($PT9,Calc!$F$151:$P$166,16,0),0)</f>
        <v>0</v>
      </c>
      <c r="BU9" s="1070">
        <f>IFERROR(VLOOKUP($PS9,Calc!$AF$196:$AH$203,2,0),0)</f>
        <v>0</v>
      </c>
      <c r="BV9" s="1070">
        <f>IFERROR(VLOOKUP($PS9,Calc!$AF$196:$AH$203,3,0),0)</f>
        <v>0</v>
      </c>
      <c r="BW9" s="1070">
        <f>IFERROR(VLOOKUP($PS9,Calc!$AF$196:$AI$203,4,0),0)</f>
        <v>0</v>
      </c>
      <c r="BX9" s="1070">
        <f>IFERROR(VLOOKUP($PS9,Calc!$AF$208:$AI$209,2,0),0)</f>
        <v>0</v>
      </c>
      <c r="BY9" s="1070">
        <f>IFERROR(VLOOKUP($PS9,Calc!$AF$208:$AI$209,3,0),0)</f>
        <v>0</v>
      </c>
      <c r="BZ9" s="1070">
        <f>IFERROR(VLOOKUP($PS9,Calc!$AF$208:$AI$209,4,0),0)</f>
        <v>0</v>
      </c>
      <c r="CA9" s="1070">
        <f>IFERROR(VLOOKUP($PS9,Calc!$K$420:$P$433,3,0),0)</f>
        <v>0</v>
      </c>
      <c r="CB9" s="1070">
        <f>IFERROR(VLOOKUP($PS9,Calc!$K$420:$P$433,4,0),0)</f>
        <v>0</v>
      </c>
      <c r="CC9" s="1070">
        <f>IFERROR(VLOOKUP($PS9,Calc!$K$420:$P$433,5,0),0)</f>
        <v>0</v>
      </c>
      <c r="CD9" s="1070">
        <f>IFERROR(VLOOKUP($PS9,Calc!$K$420:$P$433,6,0),0)</f>
        <v>0</v>
      </c>
      <c r="CE9" s="1070">
        <f>IFERROR(VLOOKUP($PS9,Calc!$AQ$420:$AV$433,3,0),0)</f>
        <v>0</v>
      </c>
      <c r="CF9" s="1070">
        <f>IFERROR(VLOOKUP($PS9,Calc!$AQ$420:$AV$433,4,0),0)</f>
        <v>0</v>
      </c>
      <c r="CG9" s="1070">
        <f>IFERROR(VLOOKUP($PS9,Calc!$AQ$420:$AV$433,5,0),0)</f>
        <v>0</v>
      </c>
      <c r="CH9" s="1070">
        <f>IFERROR(VLOOKUP($PS9,Calc!$AQ$420:$AV$433,6,0),0)</f>
        <v>0</v>
      </c>
      <c r="CI9" s="1070">
        <f>IFERROR(HLOOKUP($PT9,Calc!$AQ$125:$BS$146,3,0),0)</f>
        <v>0</v>
      </c>
      <c r="CJ9" s="1070">
        <f>IFERROR(HLOOKUP($PT9,Calc!$AQ$125:$BS$146,6,0),0)</f>
        <v>0</v>
      </c>
      <c r="CK9" s="1070">
        <f>IFERROR(IF(Calc!$C$129="Dollar ($)",HLOOKUP($PT9,Calc!$AQ$125:$BS$146,5,0),0),0)</f>
        <v>0</v>
      </c>
      <c r="CL9" s="1070">
        <f>IFERROR(IF(Calc!$C$129="Volume (units)",HLOOKUP($PT9,Calc!$AQ$125:$BS$146,5,0),0),0)</f>
        <v>0</v>
      </c>
      <c r="CM9" s="1070">
        <f>IFERROR(HLOOKUP($PT9,Calc!$AQ$125:$BS$146,9,0),0)</f>
        <v>0</v>
      </c>
      <c r="CN9" s="1070">
        <f>IFERROR(HLOOKUP($PT9,Calc!$AQ$125:$BS$146,10,0),0)</f>
        <v>0</v>
      </c>
      <c r="CO9" s="1070">
        <f>IFERROR(HLOOKUP($PT9,Calc!$AQ$125:$BS$146,11,0),0)</f>
        <v>0</v>
      </c>
      <c r="CP9" s="1070">
        <f>IFERROR(HLOOKUP($PT9,Calc!$AQ$125:$BS$146,12,0),0)</f>
        <v>0</v>
      </c>
      <c r="CQ9" s="1070">
        <f>IFERROR(HLOOKUP($PT9,Calc!$AQ$125:$BS$146,13,0),0)</f>
        <v>0</v>
      </c>
      <c r="CR9" s="1070">
        <f>IFERROR(HLOOKUP($PT9,Calc!$AQ$125:$BS$146,17,0),0)</f>
        <v>0</v>
      </c>
      <c r="CS9" s="1070">
        <f>IFERROR(HLOOKUP($PT9,Calc!$AQ$125:$BS$146,19,0),0)</f>
        <v>0</v>
      </c>
      <c r="CT9" s="1070">
        <f>IFERROR(HLOOKUP($PT9,Calc!$AQ$125:$BS$146,20,0),0)</f>
        <v>0</v>
      </c>
      <c r="CU9" s="1070">
        <f>IFERROR(HLOOKUP($PT9,Calc!$AQ$125:$BS$146,21,0),0)</f>
        <v>0</v>
      </c>
      <c r="CV9" s="1070">
        <f>IFERROR(HLOOKUP($PT9,Calc!$AQ$125:$BS$147,23,0),0)</f>
        <v>0</v>
      </c>
      <c r="CW9" s="1070">
        <f>IFERROR(HLOOKUP($PT9,Calc!$AQ$9:$BS$15,5,0),0)+IFERROR(HLOOKUP($PT9,Calc!$AQ$30:$BS$36,5,0),0)+IFERROR(HLOOKUP($PT9,Calc!$AQ$51:$BS$57,5,0),0)+IFERROR(HLOOKUP($PT9,Calc!$AQ$72:$BS$78,5,0),0)+IFERROR(HLOOKUP($PT9,Calc!$AQ$93:$BS$99,5,0),0)</f>
        <v>0</v>
      </c>
      <c r="CX9" s="1070">
        <f>IFERROR(HLOOKUP($PT9,Calc!$AQ$9:$BS$15,6,0),0)+IFERROR(HLOOKUP($PT9,Calc!$AQ$30:$BS$36,6,0),0)+IFERROR(HLOOKUP($PT9,Calc!$AQ$51:$BS$57,6,0),0)+IFERROR(HLOOKUP($PT9,Calc!$AQ$72:$BS$78,6,0),0)+IFERROR(HLOOKUP($PT9,Calc!$AQ$93:$BS$99,6,0),0)</f>
        <v>0</v>
      </c>
      <c r="CY9" s="1070">
        <f>IFERROR(HLOOKUP($PT9,Calc!$AQ$9:$BS$15,7,0),0)+IFERROR(HLOOKUP($PT9,Calc!$AQ$30:$BS$36,7,0),0)+IFERROR(HLOOKUP($PT9,Calc!$AQ$51:$BS$57,7,0),0)+IFERROR(HLOOKUP($PT9,Calc!$AQ$72:$BS$78,7,0),0)+IFERROR(HLOOKUP($PT9,Calc!$AQ$93:$BS$99,7,0),0)</f>
        <v>0</v>
      </c>
      <c r="IY9" s="1070">
        <f>IFERROR(HLOOKUP($PT9,Current_Prior!$AQ$9:$BS$30,3,0),0)</f>
        <v>0</v>
      </c>
      <c r="IZ9" s="1070">
        <f>IFERROR(HLOOKUP($PT9,Current_Prior!$AQ$9:$BS$30,6,0),0)</f>
        <v>0</v>
      </c>
      <c r="JA9" s="1070">
        <f>IFERROR(IF(Calc!$C$129="Dollar ($)",HLOOKUP($PT9,Current_Prior!$AQ$9:$BS$30,5,0),0),0)</f>
        <v>0</v>
      </c>
      <c r="JB9" s="1070">
        <f>IFERROR(IF(Calc!$C$129="Volume (units)",HLOOKUP($PT9,Current_Prior!$AQ$9:$BS$30,5,0),0),0)</f>
        <v>0</v>
      </c>
      <c r="JC9" s="1070">
        <f>IFERROR(HLOOKUP($PT9,Current_Prior!$AQ$9:$BS$30,9,0),0)</f>
        <v>0</v>
      </c>
      <c r="JD9" s="1070">
        <f>IFERROR(HLOOKUP($PT9,Current_Prior!$AQ$9:$BS$30,10,0),0)</f>
        <v>0</v>
      </c>
      <c r="JE9" s="1070">
        <f>IFERROR(HLOOKUP($PT9,Current_Prior!$AQ$9:$BS$30,11,0),0)</f>
        <v>0</v>
      </c>
      <c r="JF9" s="1070">
        <f>IFERROR(HLOOKUP($PT9,Current_Prior!$AQ$9:$BS$30,12,0),0)</f>
        <v>0</v>
      </c>
      <c r="JG9" s="1070">
        <f>IFERROR(HLOOKUP($PT9,Current_Prior!$AQ$9:$BS$30,13,0),0)</f>
        <v>0</v>
      </c>
      <c r="JH9" s="1070">
        <f>IFERROR(HLOOKUP($PT9,Current_Prior!$AQ$9:$BS$30,17,0),0)</f>
        <v>0</v>
      </c>
      <c r="JI9" s="1070">
        <f>IFERROR(HLOOKUP($PT9,Current_Prior!$AQ$9:$BS$30,19,0),0)</f>
        <v>0</v>
      </c>
      <c r="JJ9" s="1070">
        <f>IFERROR(HLOOKUP($PT9,Current_Prior!$AQ$9:$BS$30,20,0),0)</f>
        <v>0</v>
      </c>
      <c r="JK9" s="1070">
        <f>IFERROR(HLOOKUP($PT9,Current_Prior!$AQ$9:$BS$30,21,0),0)</f>
        <v>0</v>
      </c>
      <c r="JL9" s="1070">
        <f>IFERROR(HLOOKUP($PT9,Current_Prior!$AQ$9:$BS$31,23,0),0)</f>
        <v>0</v>
      </c>
      <c r="ML9" s="1082">
        <f>IFERROR(HLOOKUP($PT9,HistInfo!$G$15:$AI$37,3,0),0)</f>
        <v>0</v>
      </c>
      <c r="MM9" s="1082">
        <f>IFERROR(HLOOKUP($PT9,HistInfo!$G$15:$AI$37,6,0),0)</f>
        <v>0</v>
      </c>
      <c r="MN9" s="1070">
        <f>IFERROR(IF(HistInfo!$C$19="Dollar ($)",HLOOKUP($PT9,HistInfo!$G$15:$AI$37,5,0),0),0)</f>
        <v>0</v>
      </c>
      <c r="MO9" s="1070">
        <f>IFERROR(IF(HistInfo!$C$19="Volume (units)",HLOOKUP($PT9,HistInfo!$G$15:$AI$37,5,0),0),0)</f>
        <v>0</v>
      </c>
      <c r="MP9" s="1082">
        <f>IFERROR(HLOOKUP($PT9,HistInfo!$G$15:$AI$37,9,0),0)</f>
        <v>0</v>
      </c>
      <c r="MQ9" s="1082">
        <f>IFERROR(HLOOKUP($PT9,HistInfo!$G$15:$AI$37,10,0),0)</f>
        <v>0</v>
      </c>
      <c r="MR9" s="1082">
        <f>IFERROR(HLOOKUP($PT9,HistInfo!$G$15:$AI$37,11,0),0)</f>
        <v>0</v>
      </c>
      <c r="MS9" s="1082">
        <f>IFERROR(HLOOKUP($PT9,HistInfo!$G$15:$AI$37,12,0),0)</f>
        <v>0</v>
      </c>
      <c r="MT9" s="1082">
        <f>IFERROR(HLOOKUP($PT9,HistInfo!$G$15:$AI$37,13,0),0)</f>
        <v>0</v>
      </c>
      <c r="MU9" s="1082">
        <f>IFERROR(HLOOKUP($PT9,HistInfo!$G$15:$AI$37,17,0),0)</f>
        <v>0</v>
      </c>
      <c r="MV9" s="1082">
        <f>IFERROR(HLOOKUP($PT9,HistInfo!$G$15:$AI$37,19,0),0)</f>
        <v>0</v>
      </c>
      <c r="MW9" s="1082">
        <f>IFERROR(HLOOKUP($PT9,HistInfo!$G$15:$AI$37,20,0),0)</f>
        <v>0</v>
      </c>
      <c r="MX9" s="1082">
        <f>IFERROR(HLOOKUP($PT9,HistInfo!$G$15:$AI$37,21,0),0)</f>
        <v>0</v>
      </c>
      <c r="MY9" s="1082">
        <f>IFERROR(HLOOKUP($PT9,HistInfo!$G$15:$AI$37,23,0),0)</f>
        <v>0</v>
      </c>
      <c r="PS9" s="1070">
        <v>19</v>
      </c>
      <c r="PT9" s="1082" t="str">
        <f t="shared" si="1"/>
        <v>FY19</v>
      </c>
      <c r="PU9" s="1070" t="str">
        <f t="shared" si="2"/>
        <v>2019</v>
      </c>
      <c r="PX9" s="1070" t="s">
        <v>1146</v>
      </c>
      <c r="PY9" s="1070">
        <f t="shared" si="6"/>
        <v>7</v>
      </c>
    </row>
    <row r="10" spans="1:441" x14ac:dyDescent="0.3">
      <c r="A10" s="1070" t="str">
        <f t="shared" si="5"/>
        <v>Life Sciences</v>
      </c>
      <c r="B10" s="1070" t="str">
        <f t="shared" si="5"/>
        <v>BDB</v>
      </c>
      <c r="C10" s="1070">
        <f t="shared" si="5"/>
        <v>0</v>
      </c>
      <c r="D10" s="1070">
        <f t="shared" si="3"/>
        <v>0</v>
      </c>
      <c r="E10" s="1082">
        <f>Input!D23</f>
        <v>0</v>
      </c>
      <c r="F10" s="1082">
        <f>Input!J23</f>
        <v>0</v>
      </c>
      <c r="G10" s="1070">
        <f t="shared" si="4"/>
        <v>0</v>
      </c>
      <c r="H10" s="1070">
        <f t="shared" si="4"/>
        <v>0</v>
      </c>
      <c r="I10" s="1070">
        <f t="shared" si="4"/>
        <v>0</v>
      </c>
      <c r="J10" s="1070" t="str">
        <f t="shared" si="4"/>
        <v>Budget</v>
      </c>
      <c r="K10" s="1070" t="str">
        <f t="shared" si="0"/>
        <v>2020</v>
      </c>
      <c r="L10" s="1070">
        <f>IF(PPT!$D$2="$ M",IFERROR(HLOOKUP($PT10,PPT!$E$117:$BJ$119,3,0),0)*1000,IFERROR(HLOOKUP($PT10,PPT!$E$117:$BJ$119,3,0),0))</f>
        <v>0</v>
      </c>
      <c r="M10" s="1070">
        <f>IF(PPT!$D$2="$ M",IFERROR(HLOOKUP($PT10,PPT!$E$133:$BJ$159,4,0),0)*1000,IFERROR(HLOOKUP($PT10,PPT!$E$133:$BJ$159,4,0),0))</f>
        <v>0</v>
      </c>
      <c r="N10" s="1070">
        <f>IF(PPT!$D$2="$ M",IFERROR(HLOOKUP($PT10,PPT!$E$133:$BJ$159,5,0),0)*1000,IFERROR(HLOOKUP($PT10,PPT!$E$133:$BJ$159,5,0),0))</f>
        <v>0</v>
      </c>
      <c r="O10" s="1070">
        <f>IF(PPT!$D$2="$ M",IFERROR(HLOOKUP($PT10,PPT!$E$133:$BJ$159,6,0),0)*1000,IFERROR(HLOOKUP($PT10,PPT!$E$133:$BJ$159,6,0),0))</f>
        <v>0</v>
      </c>
      <c r="P10" s="1070">
        <f>IF(PPT!$D$2="$ M",IFERROR(HLOOKUP($PT10,PPT!$E$133:$BJ$159,7,0),0)*1000,IFERROR(HLOOKUP($PT10,PPT!$E$133:$BJ$159,7,0),0))</f>
        <v>0</v>
      </c>
      <c r="Q10" s="1070">
        <f>IFERROR(HLOOKUP($PT10,Calc!$G$125:$AI$146,3,0),0)</f>
        <v>0</v>
      </c>
      <c r="R10" s="1070" t="str">
        <f>IF(PPT!$D$2="$ M",IFERROR(HLOOKUP($PT10,PPT!$E$133:$BJ$159,9,0),0),IFERROR(HLOOKUP($PT10,PPT!$E$133:$BJ$159,9,0),0))</f>
        <v/>
      </c>
      <c r="S10" s="1070" t="str">
        <f>IF(PPT!$D$2="$ M",IFERROR(HLOOKUP($PT10,PPT!$E$133:$BJ$159,10,0),0),IFERROR(HLOOKUP($PT10,PPT!$E$133:$BJ$159,10,0),0))</f>
        <v/>
      </c>
      <c r="T10" s="1070">
        <f>IFERROR(IF(Calc!$C$129="Dollar ($)",HLOOKUP($PT10,Calc!$G$125:$AI$146,5,0),0),0)</f>
        <v>0</v>
      </c>
      <c r="U10" s="1070">
        <f>IFERROR(IF(Calc!$C$129="Volume (units)",HLOOKUP($PT10,Calc!$G$125:$AI$146,5,0),0),0)</f>
        <v>0</v>
      </c>
      <c r="V10" s="1070">
        <f>IFERROR(HLOOKUP($PT10,Calc!$G$125:$AI$146,6,0),0)</f>
        <v>0</v>
      </c>
      <c r="W10" s="1070">
        <f>IFERROR(HLOOKUP($PT10,Calc!$G$125:$AI$146,7,0),0)</f>
        <v>0</v>
      </c>
      <c r="X10" s="1070">
        <f>IFERROR(HLOOKUP($PT10,Calc!$G$125:$AI$146,8,0),0)</f>
        <v>0</v>
      </c>
      <c r="Y10" s="1070">
        <f>IFERROR(HLOOKUP($PT10,Calc!$G$125:$AI$146,9,0),0)</f>
        <v>0</v>
      </c>
      <c r="Z10" s="1070">
        <f>IFERROR(HLOOKUP($PT10,Calc!$G$125:$AI$146,10,0),0)</f>
        <v>0</v>
      </c>
      <c r="AA10" s="1070">
        <f>IFERROR(HLOOKUP($PT10,Calc!$G$125:$AI$146,11,0),0)</f>
        <v>2500</v>
      </c>
      <c r="AB10" s="1070">
        <f>IFERROR(HLOOKUP($PT10,Calc!$G$125:$AI$146,12,0),0)</f>
        <v>8338.541056523256</v>
      </c>
      <c r="AC10" s="1070">
        <f>IFERROR(HLOOKUP($PT10,Calc!$G$125:$AI$146,13,0),0)</f>
        <v>-10838.541056523256</v>
      </c>
      <c r="AD10" s="1070">
        <f>IFERROR(HLOOKUP($PT10,Calc!$G$125:$AI$146,14,0),0)</f>
        <v>0</v>
      </c>
      <c r="AE10" s="1070">
        <f>IFERROR(HLOOKUP($PT10,Calc!$G$125:$AI$146,15,0),0)</f>
        <v>0</v>
      </c>
      <c r="AF10" s="1070">
        <f>IFERROR(HLOOKUP($PT10,Calc!$G$125:$AI$146,16,0),0)</f>
        <v>-3034.7914958265119</v>
      </c>
      <c r="AG10" s="1070">
        <f>IFERROR(HLOOKUP($PT10,Calc!$G$125:$AI$146,17,0),0)</f>
        <v>-7803.7495606967441</v>
      </c>
      <c r="AH10" s="1070">
        <f>IFERROR(HLOOKUP($PT10,Calc!$G$125:$AI$146,18,0),0)</f>
        <v>0</v>
      </c>
      <c r="AI10" s="1070">
        <f>IFERROR(HLOOKUP($PT10,Calc!$G$125:$AI$146,19,0),0)</f>
        <v>0</v>
      </c>
      <c r="AJ10" s="1070">
        <f>IFERROR(HLOOKUP($PT10,Calc!$G$125:$AI$146,20,0),0)</f>
        <v>0</v>
      </c>
      <c r="AK10" s="1070">
        <f>IFERROR(HLOOKUP($PT10,Calc!$G$125:$AI$146,21,0),0)</f>
        <v>-7803.7495606967441</v>
      </c>
      <c r="AL10" s="1070">
        <f>IFERROR(HLOOKUP($PT10,Calc!$G$125:$AI$146,22,0),0)</f>
        <v>0</v>
      </c>
      <c r="AM10" s="1070">
        <f>IFERROR(HLOOKUP($PT10,Calc!$G$125:$AI$147,23,0),0)</f>
        <v>-5900.7558114909225</v>
      </c>
      <c r="AN10" s="1070">
        <f>IF(PPT!$D$2="$ M",IFERROR(HLOOKUP($PT10,PPT!$E$131:$BJ$159,5,0),0)*1000,IFERROR(HLOOKUP($PT10,PPT!$E$131:$BJ$159,5,0),0))</f>
        <v>0</v>
      </c>
      <c r="AO10" s="1070">
        <f>IF(PPT!$D$2="$ M",IFERROR(HLOOKUP($PT10,PPT!$E$131:$BJ$159,6,0),0)*1000,IFERROR(HLOOKUP($PT10,PPT!$E$131:$BJ$159,6,0),0))</f>
        <v>0</v>
      </c>
      <c r="AP10" s="1070">
        <f>IF(PPT!$D$2="$ M",IFERROR(HLOOKUP($PT10,PPT!$E$131:$BJ$159,7,0),0)*1000,IFERROR(HLOOKUP($PT10,PPT!$E$131:$BJ$159,7,0),0))</f>
        <v>0</v>
      </c>
      <c r="AQ10" s="1070">
        <f>IF(PPT!$D$2="$ M",IFERROR(HLOOKUP($PT10,PPT!$E$131:$BJ$159,8,0),0)*1000,IFERROR(HLOOKUP($PT10,PPT!$E$131:$BJ$159,8,0),0))</f>
        <v>0</v>
      </c>
      <c r="AR10" s="1070">
        <f>IF(PPT!$D$2="$ M",IFERROR(HLOOKUP($PT10,PPT!$E$131:$BJ$159,9,0),0)*1000,IFERROR(HLOOKUP($PT10,PPT!$E$131:$BJ$159,9,0),0))</f>
        <v>0</v>
      </c>
      <c r="AS10" s="1070">
        <f>IF(PPT!$D$2="$ M",IFERROR(HLOOKUP($PT10,PPT!$E$131:$BJ$159,10,0),0)*1000,IFERROR(HLOOKUP($PT10,PPT!$E$131:$BJ$159,10,0),0))</f>
        <v>0</v>
      </c>
      <c r="AT10" s="1070">
        <f>IF(PPT!$D$2="$ M",IFERROR(HLOOKUP($PT10,PPT!$E$131:$BJ$159,13,0),0)*1000,IFERROR(HLOOKUP($PT10,PPT!$E$131:$BJ$159,13,0),0))</f>
        <v>0</v>
      </c>
      <c r="AU10" s="1070">
        <f>IF(PPT!$D$2="$ M",IFERROR(HLOOKUP($PT10,PPT!$E$131:$BJ$159,14,0),0)*1000,IFERROR(HLOOKUP($PT10,PPT!$E$131:$BJ$159,14,0),0))</f>
        <v>0</v>
      </c>
      <c r="AV10" s="1070">
        <f>IF(PPT!$D$2="$ M",IFERROR(HLOOKUP($PT10,PPT!$E$131:$BJ$159,15,0),0)*1000,IFERROR(HLOOKUP($PT10,PPT!$E$131:$BJ$159,15,0),0))</f>
        <v>0</v>
      </c>
      <c r="AW10" s="1070">
        <f>IF(PPT!$D$2="$ M",IFERROR(HLOOKUP($PT10,PPT!$E$131:$BJ$159,17,0),0)*1000,IFERROR(HLOOKUP($PT10,PPT!$E$131:$BJ$159,17,0),0))</f>
        <v>0</v>
      </c>
      <c r="AX10" s="1070">
        <f>IF(PPT!$D$2="$ M",IFERROR(HLOOKUP($PT10,PPT!$E$131:$BJ$159,18,0),0)*1000,IFERROR(HLOOKUP($PT10,PPT!$E$131:$BJ$159,18,0),0))</f>
        <v>0</v>
      </c>
      <c r="AY10" s="1070">
        <f>IF(PPT!$D$2="$ M",IFERROR(HLOOKUP($PT10,PPT!$E$131:$BJ$159,19,0),0)*1000,IFERROR(HLOOKUP($PT10,PPT!$E$131:$BJ$159,19,0),0))</f>
        <v>0</v>
      </c>
      <c r="AZ10" s="1070">
        <f>IF(PPT!$D$2="$ M",IFERROR(HLOOKUP($PT10,PPT!$E$131:$BJ$159,21,0),0)*1000,IFERROR(HLOOKUP($PT10,PPT!$E$131:$BJ$159,21,0),0))</f>
        <v>0</v>
      </c>
      <c r="BA10" s="1070">
        <f>IF(PPT!$D$2="$ M",IFERROR(HLOOKUP($PT10,PPT!$E$131:$BJ$159,22,0),0)*1000,IFERROR(HLOOKUP($PT10,PPT!$E$131:$BJ$159,22,0),0))</f>
        <v>0</v>
      </c>
      <c r="BB10" s="1070">
        <f>IF(PPT!$D$2="$ M",IFERROR(HLOOKUP($PT10,PPT!$E$131:$BJ$159,23,0),0)*1000,IFERROR(HLOOKUP($PT10,PPT!$E$131:$BJ$159,23,0),0))</f>
        <v>0</v>
      </c>
      <c r="BC10" s="1070">
        <f>IF(PPT!$D$2="$ M",IFERROR(HLOOKUP($PT10,PPT!$E$131:$BJ$159,25,0),0)*1000,IFERROR(HLOOKUP($PT10,PPT!$E$131:$BJ$159,25,0),0))</f>
        <v>0</v>
      </c>
      <c r="BD10" s="1070">
        <f>IF(PPT!$D$2="$ M",IFERROR(HLOOKUP($PT10,PPT!$E$131:$BJ$159,26,0),0)*1000,IFERROR(HLOOKUP($PT10,PPT!$E$131:$BJ$159,26,0),0))</f>
        <v>0</v>
      </c>
      <c r="BE10" s="1070">
        <f>IF(PPT!$D$2="$ M",IFERROR(HLOOKUP($PT10,PPT!$E$131:$BJ$159,27,0),0)*1000,IFERROR(HLOOKUP($PT10,PPT!$E$131:$BJ$159,27,0),0))</f>
        <v>0</v>
      </c>
      <c r="BF10" s="1070">
        <f>IFERROR(HLOOKUP($PT10,Calc!$F$151:$P$166,2,0),0)</f>
        <v>0</v>
      </c>
      <c r="BG10" s="1070">
        <f>IFERROR(HLOOKUP($PT10,Calc!$F$151:$P$166,3,0),0)</f>
        <v>0</v>
      </c>
      <c r="BH10" s="1070">
        <f>IFERROR(HLOOKUP($PT10,Calc!$F$151:$P$166,4,0),0)</f>
        <v>0</v>
      </c>
      <c r="BI10" s="1070">
        <f>IFERROR(HLOOKUP($PT10,Calc!$F$151:$P$166,5,0),0)</f>
        <v>0</v>
      </c>
      <c r="BJ10" s="1070">
        <f>IFERROR(HLOOKUP($PT10,Calc!$F$151:$P$166,6,0),0)</f>
        <v>0</v>
      </c>
      <c r="BK10" s="1070">
        <f>IFERROR(HLOOKUP($PT10,Calc!$F$151:$P$166,7,0),0)</f>
        <v>0</v>
      </c>
      <c r="BL10" s="1070">
        <f>IFERROR(HLOOKUP($PT10,Calc!$F$151:$P$166,8,0),0)</f>
        <v>0</v>
      </c>
      <c r="BM10" s="1070">
        <f>IFERROR(HLOOKUP($PT10,Calc!$F$151:$P$166,9,0),0)</f>
        <v>0</v>
      </c>
      <c r="BN10" s="1070">
        <f>IFERROR(HLOOKUP($PT10,Calc!$F$151:$P$166,10,0),0)</f>
        <v>0</v>
      </c>
      <c r="BO10" s="1070">
        <f>IFERROR(HLOOKUP($PT10,Calc!$F$151:$P$166,11,0),0)</f>
        <v>0</v>
      </c>
      <c r="BP10" s="1070">
        <f>IFERROR(HLOOKUP($PT10,Calc!$F$151:$P$166,12,0),0)</f>
        <v>0</v>
      </c>
      <c r="BQ10" s="1070">
        <f>IFERROR(HLOOKUP($PT10,Calc!$F$151:$P$166,13,0),0)</f>
        <v>0</v>
      </c>
      <c r="BR10" s="1070">
        <f>IFERROR(HLOOKUP($PT10,Calc!$F$151:$P$166,14,0),0)</f>
        <v>0</v>
      </c>
      <c r="BS10" s="1070">
        <f>IFERROR(HLOOKUP($PT10,Calc!$F$151:$P$166,15,0),0)</f>
        <v>0</v>
      </c>
      <c r="BT10" s="1070">
        <f>IFERROR(HLOOKUP($PT10,Calc!$F$151:$P$166,16,0),0)</f>
        <v>0</v>
      </c>
      <c r="BU10" s="1070">
        <f>IFERROR(VLOOKUP($PS10,Calc!$AF$196:$AH$203,2,0),0)</f>
        <v>0</v>
      </c>
      <c r="BV10" s="1070">
        <f>IFERROR(VLOOKUP($PS10,Calc!$AF$196:$AH$203,3,0),0)</f>
        <v>0</v>
      </c>
      <c r="BW10" s="1070">
        <f>IFERROR(VLOOKUP($PS10,Calc!$AF$196:$AI$203,4,0),0)</f>
        <v>0</v>
      </c>
      <c r="BX10" s="1070">
        <f>IFERROR(VLOOKUP($PS10,Calc!$AF$208:$AI$209,2,0),0)</f>
        <v>0</v>
      </c>
      <c r="BY10" s="1070">
        <f>IFERROR(VLOOKUP($PS10,Calc!$AF$208:$AI$209,3,0),0)</f>
        <v>0</v>
      </c>
      <c r="BZ10" s="1070">
        <f>IFERROR(VLOOKUP($PS10,Calc!$AF$208:$AI$209,4,0),0)</f>
        <v>0</v>
      </c>
      <c r="CA10" s="1070">
        <f>IFERROR(VLOOKUP($PS10,Calc!$K$420:$P$433,3,0),0)</f>
        <v>0</v>
      </c>
      <c r="CB10" s="1070">
        <f>IFERROR(VLOOKUP($PS10,Calc!$K$420:$P$433,4,0),0)</f>
        <v>0</v>
      </c>
      <c r="CC10" s="1070">
        <f>IFERROR(VLOOKUP($PS10,Calc!$K$420:$P$433,5,0),0)</f>
        <v>0</v>
      </c>
      <c r="CD10" s="1070">
        <f>IFERROR(VLOOKUP($PS10,Calc!$K$420:$P$433,6,0),0)</f>
        <v>0</v>
      </c>
      <c r="CE10" s="1070">
        <f>IFERROR(VLOOKUP($PS10,Calc!$AQ$420:$AV$433,3,0),0)</f>
        <v>0</v>
      </c>
      <c r="CF10" s="1070">
        <f>IFERROR(VLOOKUP($PS10,Calc!$AQ$420:$AV$433,4,0),0)</f>
        <v>0</v>
      </c>
      <c r="CG10" s="1070">
        <f>IFERROR(VLOOKUP($PS10,Calc!$AQ$420:$AV$433,5,0),0)</f>
        <v>0</v>
      </c>
      <c r="CH10" s="1070">
        <f>IFERROR(VLOOKUP($PS10,Calc!$AQ$420:$AV$433,6,0),0)</f>
        <v>0</v>
      </c>
      <c r="CI10" s="1070">
        <f>IFERROR(HLOOKUP($PT10,Calc!$AQ$125:$BS$146,3,0),0)</f>
        <v>0</v>
      </c>
      <c r="CJ10" s="1070">
        <f>IFERROR(HLOOKUP($PT10,Calc!$AQ$125:$BS$146,6,0),0)</f>
        <v>0</v>
      </c>
      <c r="CK10" s="1070">
        <f>IFERROR(IF(Calc!$C$129="Dollar ($)",HLOOKUP($PT10,Calc!$AQ$125:$BS$146,5,0),0),0)</f>
        <v>0</v>
      </c>
      <c r="CL10" s="1070">
        <f>IFERROR(IF(Calc!$C$129="Volume (units)",HLOOKUP($PT10,Calc!$AQ$125:$BS$146,5,0),0),0)</f>
        <v>0</v>
      </c>
      <c r="CM10" s="1070">
        <f>IFERROR(HLOOKUP($PT10,Calc!$AQ$125:$BS$146,9,0),0)</f>
        <v>0</v>
      </c>
      <c r="CN10" s="1070">
        <f>IFERROR(HLOOKUP($PT10,Calc!$AQ$125:$BS$146,10,0),0)</f>
        <v>0</v>
      </c>
      <c r="CO10" s="1070">
        <f>IFERROR(HLOOKUP($PT10,Calc!$AQ$125:$BS$146,11,0),0)</f>
        <v>0</v>
      </c>
      <c r="CP10" s="1070">
        <f>IFERROR(HLOOKUP($PT10,Calc!$AQ$125:$BS$146,12,0),0)</f>
        <v>0</v>
      </c>
      <c r="CQ10" s="1070">
        <f>IFERROR(HLOOKUP($PT10,Calc!$AQ$125:$BS$146,13,0),0)</f>
        <v>0</v>
      </c>
      <c r="CR10" s="1070">
        <f>IFERROR(HLOOKUP($PT10,Calc!$AQ$125:$BS$146,17,0),0)</f>
        <v>0</v>
      </c>
      <c r="CS10" s="1070">
        <f>IFERROR(HLOOKUP($PT10,Calc!$AQ$125:$BS$146,19,0),0)</f>
        <v>0</v>
      </c>
      <c r="CT10" s="1070">
        <f>IFERROR(HLOOKUP($PT10,Calc!$AQ$125:$BS$146,20,0),0)</f>
        <v>0</v>
      </c>
      <c r="CU10" s="1070">
        <f>IFERROR(HLOOKUP($PT10,Calc!$AQ$125:$BS$146,21,0),0)</f>
        <v>0</v>
      </c>
      <c r="CV10" s="1070">
        <f>IFERROR(HLOOKUP($PT10,Calc!$AQ$125:$BS$147,23,0),0)</f>
        <v>0</v>
      </c>
      <c r="CW10" s="1070">
        <f>IFERROR(HLOOKUP($PT10,Calc!$AQ$9:$BS$15,5,0),0)+IFERROR(HLOOKUP($PT10,Calc!$AQ$30:$BS$36,5,0),0)+IFERROR(HLOOKUP($PT10,Calc!$AQ$51:$BS$57,5,0),0)+IFERROR(HLOOKUP($PT10,Calc!$AQ$72:$BS$78,5,0),0)+IFERROR(HLOOKUP($PT10,Calc!$AQ$93:$BS$99,5,0),0)</f>
        <v>0</v>
      </c>
      <c r="CX10" s="1070">
        <f>IFERROR(HLOOKUP($PT10,Calc!$AQ$9:$BS$15,6,0),0)+IFERROR(HLOOKUP($PT10,Calc!$AQ$30:$BS$36,6,0),0)+IFERROR(HLOOKUP($PT10,Calc!$AQ$51:$BS$57,6,0),0)+IFERROR(HLOOKUP($PT10,Calc!$AQ$72:$BS$78,6,0),0)+IFERROR(HLOOKUP($PT10,Calc!$AQ$93:$BS$99,6,0),0)</f>
        <v>0</v>
      </c>
      <c r="CY10" s="1070">
        <f>IFERROR(HLOOKUP($PT10,Calc!$AQ$9:$BS$15,7,0),0)+IFERROR(HLOOKUP($PT10,Calc!$AQ$30:$BS$36,7,0),0)+IFERROR(HLOOKUP($PT10,Calc!$AQ$51:$BS$57,7,0),0)+IFERROR(HLOOKUP($PT10,Calc!$AQ$72:$BS$78,7,0),0)+IFERROR(HLOOKUP($PT10,Calc!$AQ$93:$BS$99,7,0),0)</f>
        <v>0</v>
      </c>
      <c r="IY10" s="1070">
        <f>IFERROR(HLOOKUP($PT10,Current_Prior!$AQ$9:$BS$30,3,0),0)</f>
        <v>0</v>
      </c>
      <c r="IZ10" s="1070">
        <f>IFERROR(HLOOKUP($PT10,Current_Prior!$AQ$9:$BS$30,6,0),0)</f>
        <v>0</v>
      </c>
      <c r="JA10" s="1070">
        <f>IFERROR(IF(Calc!$C$129="Dollar ($)",HLOOKUP($PT10,Current_Prior!$AQ$9:$BS$30,5,0),0),0)</f>
        <v>0</v>
      </c>
      <c r="JB10" s="1070">
        <f>IFERROR(IF(Calc!$C$129="Volume (units)",HLOOKUP($PT10,Current_Prior!$AQ$9:$BS$30,5,0),0),0)</f>
        <v>0</v>
      </c>
      <c r="JC10" s="1070">
        <f>IFERROR(HLOOKUP($PT10,Current_Prior!$AQ$9:$BS$30,9,0),0)</f>
        <v>0</v>
      </c>
      <c r="JD10" s="1070">
        <f>IFERROR(HLOOKUP($PT10,Current_Prior!$AQ$9:$BS$30,10,0),0)</f>
        <v>0</v>
      </c>
      <c r="JE10" s="1070">
        <f>IFERROR(HLOOKUP($PT10,Current_Prior!$AQ$9:$BS$30,11,0),0)</f>
        <v>0</v>
      </c>
      <c r="JF10" s="1070">
        <f>IFERROR(HLOOKUP($PT10,Current_Prior!$AQ$9:$BS$30,12,0),0)</f>
        <v>0</v>
      </c>
      <c r="JG10" s="1070">
        <f>IFERROR(HLOOKUP($PT10,Current_Prior!$AQ$9:$BS$30,13,0),0)</f>
        <v>0</v>
      </c>
      <c r="JH10" s="1070">
        <f>IFERROR(HLOOKUP($PT10,Current_Prior!$AQ$9:$BS$30,17,0),0)</f>
        <v>0</v>
      </c>
      <c r="JI10" s="1070">
        <f>IFERROR(HLOOKUP($PT10,Current_Prior!$AQ$9:$BS$30,19,0),0)</f>
        <v>0</v>
      </c>
      <c r="JJ10" s="1070">
        <f>IFERROR(HLOOKUP($PT10,Current_Prior!$AQ$9:$BS$30,20,0),0)</f>
        <v>0</v>
      </c>
      <c r="JK10" s="1070">
        <f>IFERROR(HLOOKUP($PT10,Current_Prior!$AQ$9:$BS$30,21,0),0)</f>
        <v>0</v>
      </c>
      <c r="JL10" s="1070">
        <f>IFERROR(HLOOKUP($PT10,Current_Prior!$AQ$9:$BS$31,23,0),0)</f>
        <v>0</v>
      </c>
      <c r="ML10" s="1082">
        <f>IFERROR(HLOOKUP($PT10,HistInfo!$G$15:$AI$37,3,0),0)</f>
        <v>0</v>
      </c>
      <c r="MM10" s="1082">
        <f>IFERROR(HLOOKUP($PT10,HistInfo!$G$15:$AI$37,6,0),0)</f>
        <v>0</v>
      </c>
      <c r="MN10" s="1070">
        <f>IFERROR(IF(HistInfo!$C$19="Dollar ($)",HLOOKUP($PT10,HistInfo!$G$15:$AI$37,5,0),0),0)</f>
        <v>0</v>
      </c>
      <c r="MO10" s="2998">
        <f>IFERROR(IF(HistInfo!$C$19="Volume (units)",HLOOKUP($PT10,HistInfo!$G$15:$AI$37,5,0),0),0)</f>
        <v>0</v>
      </c>
      <c r="MP10" s="1082">
        <f>IFERROR(HLOOKUP($PT10,HistInfo!$G$15:$AI$37,9,0),0)</f>
        <v>0</v>
      </c>
      <c r="MQ10" s="1082">
        <f>IFERROR(HLOOKUP($PT10,HistInfo!$G$15:$AI$37,10,0),0)</f>
        <v>0</v>
      </c>
      <c r="MR10" s="1082">
        <f>IFERROR(HLOOKUP($PT10,HistInfo!$G$15:$AI$37,11,0),0)</f>
        <v>0</v>
      </c>
      <c r="MS10" s="1082">
        <f>IFERROR(HLOOKUP($PT10,HistInfo!$G$15:$AI$37,12,0),0)</f>
        <v>0</v>
      </c>
      <c r="MT10" s="1082">
        <f>IFERROR(HLOOKUP($PT10,HistInfo!$G$15:$AI$37,13,0),0)</f>
        <v>0</v>
      </c>
      <c r="MU10" s="1082">
        <f>IFERROR(HLOOKUP($PT10,HistInfo!$G$15:$AI$37,17,0),0)</f>
        <v>0</v>
      </c>
      <c r="MV10" s="1082">
        <f>IFERROR(HLOOKUP($PT10,HistInfo!$G$15:$AI$37,19,0),0)</f>
        <v>0</v>
      </c>
      <c r="MW10" s="1082">
        <f>IFERROR(HLOOKUP($PT10,HistInfo!$G$15:$AI$37,20,0),0)</f>
        <v>0</v>
      </c>
      <c r="MX10" s="1082">
        <f>IFERROR(HLOOKUP($PT10,HistInfo!$G$15:$AI$37,21,0),0)</f>
        <v>0</v>
      </c>
      <c r="MY10" s="1082">
        <f>IFERROR(HLOOKUP($PT10,HistInfo!$G$15:$AI$37,23,0),0)</f>
        <v>0</v>
      </c>
      <c r="PS10" s="1070">
        <v>20</v>
      </c>
      <c r="PT10" s="1082" t="str">
        <f t="shared" si="1"/>
        <v>FY20</v>
      </c>
      <c r="PU10" s="1070" t="str">
        <f t="shared" si="2"/>
        <v>2020</v>
      </c>
      <c r="PX10" s="1142" t="s">
        <v>1147</v>
      </c>
      <c r="PY10" s="1070">
        <f t="shared" si="6"/>
        <v>8</v>
      </c>
    </row>
    <row r="11" spans="1:441" x14ac:dyDescent="0.3">
      <c r="A11" s="1070" t="str">
        <f t="shared" si="5"/>
        <v>Life Sciences</v>
      </c>
      <c r="B11" s="1070" t="str">
        <f t="shared" si="5"/>
        <v>BDB</v>
      </c>
      <c r="C11" s="1070">
        <f t="shared" si="5"/>
        <v>0</v>
      </c>
      <c r="D11" s="1070">
        <f t="shared" si="3"/>
        <v>0</v>
      </c>
      <c r="E11" s="1082">
        <f>Input!D24</f>
        <v>0</v>
      </c>
      <c r="F11" s="1082">
        <f>Input!J24</f>
        <v>0</v>
      </c>
      <c r="G11" s="1070">
        <f t="shared" si="4"/>
        <v>0</v>
      </c>
      <c r="H11" s="1070">
        <f t="shared" si="4"/>
        <v>0</v>
      </c>
      <c r="I11" s="1070">
        <f t="shared" si="4"/>
        <v>0</v>
      </c>
      <c r="J11" s="1070" t="str">
        <f t="shared" si="4"/>
        <v>Budget</v>
      </c>
      <c r="K11" s="1070" t="str">
        <f t="shared" si="0"/>
        <v>2021</v>
      </c>
      <c r="L11" s="1070">
        <f>IF(PPT!$D$2="$ M",IFERROR(HLOOKUP($PT11,PPT!$E$117:$BJ$119,3,0),0)*1000,IFERROR(HLOOKUP($PT11,PPT!$E$117:$BJ$119,3,0),0))</f>
        <v>0</v>
      </c>
      <c r="M11" s="1070">
        <f>IF(PPT!$D$2="$ M",IFERROR(HLOOKUP($PT11,PPT!$E$133:$BJ$159,4,0),0)*1000,IFERROR(HLOOKUP($PT11,PPT!$E$133:$BJ$159,4,0),0))</f>
        <v>0</v>
      </c>
      <c r="N11" s="1070">
        <f>IF(PPT!$D$2="$ M",IFERROR(HLOOKUP($PT11,PPT!$E$133:$BJ$159,5,0),0)*1000,IFERROR(HLOOKUP($PT11,PPT!$E$133:$BJ$159,5,0),0))</f>
        <v>0</v>
      </c>
      <c r="O11" s="1070">
        <f>IF(PPT!$D$2="$ M",IFERROR(HLOOKUP($PT11,PPT!$E$133:$BJ$159,6,0),0)*1000,IFERROR(HLOOKUP($PT11,PPT!$E$133:$BJ$159,6,0),0))</f>
        <v>0</v>
      </c>
      <c r="P11" s="1070">
        <f>IF(PPT!$D$2="$ M",IFERROR(HLOOKUP($PT11,PPT!$E$133:$BJ$159,7,0),0)*1000,IFERROR(HLOOKUP($PT11,PPT!$E$133:$BJ$159,7,0),0))</f>
        <v>0</v>
      </c>
      <c r="Q11" s="1070">
        <f>IFERROR(HLOOKUP($PT11,Calc!$G$125:$AI$146,3,0),0)</f>
        <v>0</v>
      </c>
      <c r="R11" s="1070" t="str">
        <f>IF(PPT!$D$2="$ M",IFERROR(HLOOKUP($PT11,PPT!$E$133:$BJ$159,9,0),0),IFERROR(HLOOKUP($PT11,PPT!$E$133:$BJ$159,9,0),0))</f>
        <v/>
      </c>
      <c r="S11" s="1070" t="str">
        <f>IF(PPT!$D$2="$ M",IFERROR(HLOOKUP($PT11,PPT!$E$133:$BJ$159,10,0),0),IFERROR(HLOOKUP($PT11,PPT!$E$133:$BJ$159,10,0),0))</f>
        <v/>
      </c>
      <c r="T11" s="1070">
        <f>IFERROR(IF(Calc!$C$129="Dollar ($)",HLOOKUP($PT11,Calc!$G$125:$AI$146,5,0),0),0)</f>
        <v>0</v>
      </c>
      <c r="U11" s="1070">
        <f>IFERROR(IF(Calc!$C$129="Volume (units)",HLOOKUP($PT11,Calc!$G$125:$AI$146,5,0),0),0)</f>
        <v>0</v>
      </c>
      <c r="V11" s="1070">
        <f>IFERROR(HLOOKUP($PT11,Calc!$G$125:$AI$146,6,0),0)</f>
        <v>0</v>
      </c>
      <c r="W11" s="1070">
        <f>IFERROR(HLOOKUP($PT11,Calc!$G$125:$AI$146,7,0),0)</f>
        <v>0</v>
      </c>
      <c r="X11" s="1070">
        <f>IFERROR(HLOOKUP($PT11,Calc!$G$125:$AI$146,8,0),0)</f>
        <v>0</v>
      </c>
      <c r="Y11" s="1070">
        <f>IFERROR(HLOOKUP($PT11,Calc!$G$125:$AI$146,9,0),0)</f>
        <v>0</v>
      </c>
      <c r="Z11" s="1070">
        <f>IFERROR(HLOOKUP($PT11,Calc!$G$125:$AI$146,10,0),0)</f>
        <v>0</v>
      </c>
      <c r="AA11" s="1070">
        <f>IFERROR(HLOOKUP($PT11,Calc!$G$125:$AI$146,11,0),0)</f>
        <v>3500</v>
      </c>
      <c r="AB11" s="1070">
        <f>IFERROR(HLOOKUP($PT11,Calc!$G$125:$AI$146,12,0),0)</f>
        <v>7736.0276633552903</v>
      </c>
      <c r="AC11" s="1070">
        <f>IFERROR(HLOOKUP($PT11,Calc!$G$125:$AI$146,13,0),0)</f>
        <v>-11236.027663355289</v>
      </c>
      <c r="AD11" s="1070">
        <f>IFERROR(HLOOKUP($PT11,Calc!$G$125:$AI$146,14,0),0)</f>
        <v>0</v>
      </c>
      <c r="AE11" s="1070">
        <f>IFERROR(HLOOKUP($PT11,Calc!$G$125:$AI$146,15,0),0)</f>
        <v>0</v>
      </c>
      <c r="AF11" s="1070">
        <f>IFERROR(HLOOKUP($PT11,Calc!$G$125:$AI$146,16,0),0)</f>
        <v>-3146.0877457394813</v>
      </c>
      <c r="AG11" s="1070">
        <f>IFERROR(HLOOKUP($PT11,Calc!$G$125:$AI$146,17,0),0)</f>
        <v>-8089.9399176158076</v>
      </c>
      <c r="AH11" s="1070">
        <f>IFERROR(HLOOKUP($PT11,Calc!$G$125:$AI$146,18,0),0)</f>
        <v>0</v>
      </c>
      <c r="AI11" s="1070">
        <f>IFERROR(HLOOKUP($PT11,Calc!$G$125:$AI$146,19,0),0)</f>
        <v>0</v>
      </c>
      <c r="AJ11" s="1070">
        <f>IFERROR(HLOOKUP($PT11,Calc!$G$125:$AI$146,20,0),0)</f>
        <v>0</v>
      </c>
      <c r="AK11" s="1070">
        <f>IFERROR(HLOOKUP($PT11,Calc!$G$125:$AI$146,21,0),0)</f>
        <v>-8089.9399176158076</v>
      </c>
      <c r="AL11" s="1070">
        <f>IFERROR(HLOOKUP($PT11,Calc!$G$125:$AI$146,22,0),0)</f>
        <v>0</v>
      </c>
      <c r="AM11" s="1070">
        <f>IFERROR(HLOOKUP($PT11,Calc!$G$125:$AI$147,23,0),0)</f>
        <v>-5319.2668152318965</v>
      </c>
      <c r="AN11" s="1070">
        <f>IF(PPT!$D$2="$ M",IFERROR(HLOOKUP($PT11,PPT!$E$131:$BJ$159,5,0),0)*1000,IFERROR(HLOOKUP($PT11,PPT!$E$131:$BJ$159,5,0),0))</f>
        <v>0</v>
      </c>
      <c r="AO11" s="1070">
        <f>IF(PPT!$D$2="$ M",IFERROR(HLOOKUP($PT11,PPT!$E$131:$BJ$159,6,0),0)*1000,IFERROR(HLOOKUP($PT11,PPT!$E$131:$BJ$159,6,0),0))</f>
        <v>0</v>
      </c>
      <c r="AP11" s="1070">
        <f>IF(PPT!$D$2="$ M",IFERROR(HLOOKUP($PT11,PPT!$E$131:$BJ$159,7,0),0)*1000,IFERROR(HLOOKUP($PT11,PPT!$E$131:$BJ$159,7,0),0))</f>
        <v>0</v>
      </c>
      <c r="AQ11" s="1070">
        <f>IF(PPT!$D$2="$ M",IFERROR(HLOOKUP($PT11,PPT!$E$131:$BJ$159,8,0),0)*1000,IFERROR(HLOOKUP($PT11,PPT!$E$131:$BJ$159,8,0),0))</f>
        <v>0</v>
      </c>
      <c r="AR11" s="1070">
        <f>IF(PPT!$D$2="$ M",IFERROR(HLOOKUP($PT11,PPT!$E$131:$BJ$159,9,0),0)*1000,IFERROR(HLOOKUP($PT11,PPT!$E$131:$BJ$159,9,0),0))</f>
        <v>0</v>
      </c>
      <c r="AS11" s="1070">
        <f>IF(PPT!$D$2="$ M",IFERROR(HLOOKUP($PT11,PPT!$E$131:$BJ$159,10,0),0)*1000,IFERROR(HLOOKUP($PT11,PPT!$E$131:$BJ$159,10,0),0))</f>
        <v>0</v>
      </c>
      <c r="AT11" s="1070">
        <f>IF(PPT!$D$2="$ M",IFERROR(HLOOKUP($PT11,PPT!$E$131:$BJ$159,13,0),0)*1000,IFERROR(HLOOKUP($PT11,PPT!$E$131:$BJ$159,13,0),0))</f>
        <v>0</v>
      </c>
      <c r="AU11" s="1070">
        <f>IF(PPT!$D$2="$ M",IFERROR(HLOOKUP($PT11,PPT!$E$131:$BJ$159,14,0),0)*1000,IFERROR(HLOOKUP($PT11,PPT!$E$131:$BJ$159,14,0),0))</f>
        <v>0</v>
      </c>
      <c r="AV11" s="1070">
        <f>IF(PPT!$D$2="$ M",IFERROR(HLOOKUP($PT11,PPT!$E$131:$BJ$159,15,0),0)*1000,IFERROR(HLOOKUP($PT11,PPT!$E$131:$BJ$159,15,0),0))</f>
        <v>0</v>
      </c>
      <c r="AW11" s="1070">
        <f>IF(PPT!$D$2="$ M",IFERROR(HLOOKUP($PT11,PPT!$E$131:$BJ$159,17,0),0)*1000,IFERROR(HLOOKUP($PT11,PPT!$E$131:$BJ$159,17,0),0))</f>
        <v>0</v>
      </c>
      <c r="AX11" s="1070">
        <f>IF(PPT!$D$2="$ M",IFERROR(HLOOKUP($PT11,PPT!$E$131:$BJ$159,18,0),0)*1000,IFERROR(HLOOKUP($PT11,PPT!$E$131:$BJ$159,18,0),0))</f>
        <v>0</v>
      </c>
      <c r="AY11" s="1070">
        <f>IF(PPT!$D$2="$ M",IFERROR(HLOOKUP($PT11,PPT!$E$131:$BJ$159,19,0),0)*1000,IFERROR(HLOOKUP($PT11,PPT!$E$131:$BJ$159,19,0),0))</f>
        <v>0</v>
      </c>
      <c r="AZ11" s="1070">
        <f>IF(PPT!$D$2="$ M",IFERROR(HLOOKUP($PT11,PPT!$E$131:$BJ$159,21,0),0)*1000,IFERROR(HLOOKUP($PT11,PPT!$E$131:$BJ$159,21,0),0))</f>
        <v>0</v>
      </c>
      <c r="BA11" s="1070">
        <f>IF(PPT!$D$2="$ M",IFERROR(HLOOKUP($PT11,PPT!$E$131:$BJ$159,22,0),0)*1000,IFERROR(HLOOKUP($PT11,PPT!$E$131:$BJ$159,22,0),0))</f>
        <v>0</v>
      </c>
      <c r="BB11" s="1070">
        <f>IF(PPT!$D$2="$ M",IFERROR(HLOOKUP($PT11,PPT!$E$131:$BJ$159,23,0),0)*1000,IFERROR(HLOOKUP($PT11,PPT!$E$131:$BJ$159,23,0),0))</f>
        <v>0</v>
      </c>
      <c r="BC11" s="1070">
        <f>IF(PPT!$D$2="$ M",IFERROR(HLOOKUP($PT11,PPT!$E$131:$BJ$159,25,0),0)*1000,IFERROR(HLOOKUP($PT11,PPT!$E$131:$BJ$159,25,0),0))</f>
        <v>0</v>
      </c>
      <c r="BD11" s="1070">
        <f>IF(PPT!$D$2="$ M",IFERROR(HLOOKUP($PT11,PPT!$E$131:$BJ$159,26,0),0)*1000,IFERROR(HLOOKUP($PT11,PPT!$E$131:$BJ$159,26,0),0))</f>
        <v>0</v>
      </c>
      <c r="BE11" s="1070">
        <f>IF(PPT!$D$2="$ M",IFERROR(HLOOKUP($PT11,PPT!$E$131:$BJ$159,27,0),0)*1000,IFERROR(HLOOKUP($PT11,PPT!$E$131:$BJ$159,27,0),0))</f>
        <v>0</v>
      </c>
      <c r="BF11" s="1070">
        <f>IFERROR(HLOOKUP($PT11,Calc!$F$151:$P$166,2,0),0)</f>
        <v>0</v>
      </c>
      <c r="BG11" s="1070">
        <f>IFERROR(HLOOKUP($PT11,Calc!$F$151:$P$166,3,0),0)</f>
        <v>0</v>
      </c>
      <c r="BH11" s="1070">
        <f>IFERROR(HLOOKUP($PT11,Calc!$F$151:$P$166,4,0),0)</f>
        <v>0</v>
      </c>
      <c r="BI11" s="1070">
        <f>IFERROR(HLOOKUP($PT11,Calc!$F$151:$P$166,5,0),0)</f>
        <v>0</v>
      </c>
      <c r="BJ11" s="1070">
        <f>IFERROR(HLOOKUP($PT11,Calc!$F$151:$P$166,6,0),0)</f>
        <v>0</v>
      </c>
      <c r="BK11" s="1070">
        <f>IFERROR(HLOOKUP($PT11,Calc!$F$151:$P$166,7,0),0)</f>
        <v>0</v>
      </c>
      <c r="BL11" s="1070">
        <f>IFERROR(HLOOKUP($PT11,Calc!$F$151:$P$166,8,0),0)</f>
        <v>0</v>
      </c>
      <c r="BM11" s="1070">
        <f>IFERROR(HLOOKUP($PT11,Calc!$F$151:$P$166,9,0),0)</f>
        <v>0</v>
      </c>
      <c r="BN11" s="1070">
        <f>IFERROR(HLOOKUP($PT11,Calc!$F$151:$P$166,10,0),0)</f>
        <v>0</v>
      </c>
      <c r="BO11" s="1070">
        <f>IFERROR(HLOOKUP($PT11,Calc!$F$151:$P$166,11,0),0)</f>
        <v>0</v>
      </c>
      <c r="BP11" s="1070">
        <f>IFERROR(HLOOKUP($PT11,Calc!$F$151:$P$166,12,0),0)</f>
        <v>0</v>
      </c>
      <c r="BQ11" s="1070">
        <f>IFERROR(HLOOKUP($PT11,Calc!$F$151:$P$166,13,0),0)</f>
        <v>0</v>
      </c>
      <c r="BR11" s="1070">
        <f>IFERROR(HLOOKUP($PT11,Calc!$F$151:$P$166,14,0),0)</f>
        <v>0</v>
      </c>
      <c r="BS11" s="1070">
        <f>IFERROR(HLOOKUP($PT11,Calc!$F$151:$P$166,15,0),0)</f>
        <v>0</v>
      </c>
      <c r="BT11" s="1070">
        <f>IFERROR(HLOOKUP($PT11,Calc!$F$151:$P$166,16,0),0)</f>
        <v>0</v>
      </c>
      <c r="BU11" s="1070">
        <f>IFERROR(VLOOKUP($PS11,Calc!$AF$196:$AH$203,2,0),0)</f>
        <v>0</v>
      </c>
      <c r="BV11" s="1070">
        <f>IFERROR(VLOOKUP($PS11,Calc!$AF$196:$AH$203,3,0),0)</f>
        <v>0</v>
      </c>
      <c r="BW11" s="1070">
        <f>IFERROR(VLOOKUP($PS11,Calc!$AF$196:$AI$203,4,0),0)</f>
        <v>0</v>
      </c>
      <c r="BX11" s="1070">
        <f>IFERROR(VLOOKUP($PS11,Calc!$AF$208:$AI$209,2,0),0)</f>
        <v>0</v>
      </c>
      <c r="BY11" s="1070">
        <f>IFERROR(VLOOKUP($PS11,Calc!$AF$208:$AI$209,3,0),0)</f>
        <v>0</v>
      </c>
      <c r="BZ11" s="1070">
        <f>IFERROR(VLOOKUP($PS11,Calc!$AF$208:$AI$209,4,0),0)</f>
        <v>0</v>
      </c>
      <c r="CA11" s="1070">
        <f>IFERROR(VLOOKUP($PS11,Calc!$K$420:$P$433,3,0),0)</f>
        <v>0</v>
      </c>
      <c r="CB11" s="1070">
        <f>IFERROR(VLOOKUP($PS11,Calc!$K$420:$P$433,4,0),0)</f>
        <v>0</v>
      </c>
      <c r="CC11" s="1070">
        <f>IFERROR(VLOOKUP($PS11,Calc!$K$420:$P$433,5,0),0)</f>
        <v>0</v>
      </c>
      <c r="CD11" s="1070">
        <f>IFERROR(VLOOKUP($PS11,Calc!$K$420:$P$433,6,0),0)</f>
        <v>0</v>
      </c>
      <c r="CE11" s="1070">
        <f>IFERROR(VLOOKUP($PS11,Calc!$AQ$420:$AV$433,3,0),0)</f>
        <v>0</v>
      </c>
      <c r="CF11" s="1070">
        <f>IFERROR(VLOOKUP($PS11,Calc!$AQ$420:$AV$433,4,0),0)</f>
        <v>0</v>
      </c>
      <c r="CG11" s="1070">
        <f>IFERROR(VLOOKUP($PS11,Calc!$AQ$420:$AV$433,5,0),0)</f>
        <v>0</v>
      </c>
      <c r="CH11" s="1070">
        <f>IFERROR(VLOOKUP($PS11,Calc!$AQ$420:$AV$433,6,0),0)</f>
        <v>0</v>
      </c>
      <c r="CI11" s="1070">
        <f>IFERROR(HLOOKUP($PT11,Calc!$AQ$125:$BS$146,3,0),0)</f>
        <v>0</v>
      </c>
      <c r="CJ11" s="1070">
        <f>IFERROR(HLOOKUP($PT11,Calc!$AQ$125:$BS$146,6,0),0)</f>
        <v>0</v>
      </c>
      <c r="CK11" s="1070">
        <f>IFERROR(IF(Calc!$C$129="Dollar ($)",HLOOKUP($PT11,Calc!$AQ$125:$BS$146,5,0),0),0)</f>
        <v>0</v>
      </c>
      <c r="CL11" s="1070">
        <f>IFERROR(IF(Calc!$C$129="Volume (units)",HLOOKUP($PT11,Calc!$AQ$125:$BS$146,5,0),0),0)</f>
        <v>0</v>
      </c>
      <c r="CM11" s="1070">
        <f>IFERROR(HLOOKUP($PT11,Calc!$AQ$125:$BS$146,9,0),0)</f>
        <v>0</v>
      </c>
      <c r="CN11" s="1070">
        <f>IFERROR(HLOOKUP($PT11,Calc!$AQ$125:$BS$146,10,0),0)</f>
        <v>0</v>
      </c>
      <c r="CO11" s="1070">
        <f>IFERROR(HLOOKUP($PT11,Calc!$AQ$125:$BS$146,11,0),0)</f>
        <v>0</v>
      </c>
      <c r="CP11" s="1070">
        <f>IFERROR(HLOOKUP($PT11,Calc!$AQ$125:$BS$146,12,0),0)</f>
        <v>0</v>
      </c>
      <c r="CQ11" s="1070">
        <f>IFERROR(HLOOKUP($PT11,Calc!$AQ$125:$BS$146,13,0),0)</f>
        <v>0</v>
      </c>
      <c r="CR11" s="1070">
        <f>IFERROR(HLOOKUP($PT11,Calc!$AQ$125:$BS$146,17,0),0)</f>
        <v>0</v>
      </c>
      <c r="CS11" s="1070">
        <f>IFERROR(HLOOKUP($PT11,Calc!$AQ$125:$BS$146,19,0),0)</f>
        <v>0</v>
      </c>
      <c r="CT11" s="1070">
        <f>IFERROR(HLOOKUP($PT11,Calc!$AQ$125:$BS$146,20,0),0)</f>
        <v>0</v>
      </c>
      <c r="CU11" s="1070">
        <f>IFERROR(HLOOKUP($PT11,Calc!$AQ$125:$BS$146,21,0),0)</f>
        <v>0</v>
      </c>
      <c r="CV11" s="1070">
        <f>IFERROR(HLOOKUP($PT11,Calc!$AQ$125:$BS$147,23,0),0)</f>
        <v>0</v>
      </c>
      <c r="CW11" s="1070">
        <f>IFERROR(HLOOKUP($PT11,Calc!$AQ$9:$BS$15,5,0),0)+IFERROR(HLOOKUP($PT11,Calc!$AQ$30:$BS$36,5,0),0)+IFERROR(HLOOKUP($PT11,Calc!$AQ$51:$BS$57,5,0),0)+IFERROR(HLOOKUP($PT11,Calc!$AQ$72:$BS$78,5,0),0)+IFERROR(HLOOKUP($PT11,Calc!$AQ$93:$BS$99,5,0),0)</f>
        <v>0</v>
      </c>
      <c r="CX11" s="1070">
        <f>IFERROR(HLOOKUP($PT11,Calc!$AQ$9:$BS$15,6,0),0)+IFERROR(HLOOKUP($PT11,Calc!$AQ$30:$BS$36,6,0),0)+IFERROR(HLOOKUP($PT11,Calc!$AQ$51:$BS$57,6,0),0)+IFERROR(HLOOKUP($PT11,Calc!$AQ$72:$BS$78,6,0),0)+IFERROR(HLOOKUP($PT11,Calc!$AQ$93:$BS$99,6,0),0)</f>
        <v>0</v>
      </c>
      <c r="CY11" s="1070">
        <f>IFERROR(HLOOKUP($PT11,Calc!$AQ$9:$BS$15,7,0),0)+IFERROR(HLOOKUP($PT11,Calc!$AQ$30:$BS$36,7,0),0)+IFERROR(HLOOKUP($PT11,Calc!$AQ$51:$BS$57,7,0),0)+IFERROR(HLOOKUP($PT11,Calc!$AQ$72:$BS$78,7,0),0)+IFERROR(HLOOKUP($PT11,Calc!$AQ$93:$BS$99,7,0),0)</f>
        <v>0</v>
      </c>
      <c r="IY11" s="1070">
        <f>IFERROR(HLOOKUP($PT11,Current_Prior!$AQ$9:$BS$30,3,0),0)</f>
        <v>0</v>
      </c>
      <c r="IZ11" s="1070">
        <f>IFERROR(HLOOKUP($PT11,Current_Prior!$AQ$9:$BS$30,6,0),0)</f>
        <v>0</v>
      </c>
      <c r="JA11" s="1070">
        <f>IFERROR(IF(Calc!$C$129="Dollar ($)",HLOOKUP($PT11,Current_Prior!$AQ$9:$BS$30,5,0),0),0)</f>
        <v>0</v>
      </c>
      <c r="JB11" s="1070">
        <f>IFERROR(IF(Calc!$C$129="Volume (units)",HLOOKUP($PT11,Current_Prior!$AQ$9:$BS$30,5,0),0),0)</f>
        <v>0</v>
      </c>
      <c r="JC11" s="1070">
        <f>IFERROR(HLOOKUP($PT11,Current_Prior!$AQ$9:$BS$30,9,0),0)</f>
        <v>0</v>
      </c>
      <c r="JD11" s="1070">
        <f>IFERROR(HLOOKUP($PT11,Current_Prior!$AQ$9:$BS$30,10,0),0)</f>
        <v>0</v>
      </c>
      <c r="JE11" s="1070">
        <f>IFERROR(HLOOKUP($PT11,Current_Prior!$AQ$9:$BS$30,11,0),0)</f>
        <v>0</v>
      </c>
      <c r="JF11" s="1070">
        <f>IFERROR(HLOOKUP($PT11,Current_Prior!$AQ$9:$BS$30,12,0),0)</f>
        <v>0</v>
      </c>
      <c r="JG11" s="1070">
        <f>IFERROR(HLOOKUP($PT11,Current_Prior!$AQ$9:$BS$30,13,0),0)</f>
        <v>0</v>
      </c>
      <c r="JH11" s="1070">
        <f>IFERROR(HLOOKUP($PT11,Current_Prior!$AQ$9:$BS$30,17,0),0)</f>
        <v>0</v>
      </c>
      <c r="JI11" s="1070">
        <f>IFERROR(HLOOKUP($PT11,Current_Prior!$AQ$9:$BS$30,19,0),0)</f>
        <v>0</v>
      </c>
      <c r="JJ11" s="1070">
        <f>IFERROR(HLOOKUP($PT11,Current_Prior!$AQ$9:$BS$30,20,0),0)</f>
        <v>0</v>
      </c>
      <c r="JK11" s="1070">
        <f>IFERROR(HLOOKUP($PT11,Current_Prior!$AQ$9:$BS$30,21,0),0)</f>
        <v>0</v>
      </c>
      <c r="JL11" s="1070">
        <f>IFERROR(HLOOKUP($PT11,Current_Prior!$AQ$9:$BS$31,23,0),0)</f>
        <v>0</v>
      </c>
      <c r="ML11" s="1082">
        <f>IFERROR(HLOOKUP($PT11,HistInfo!$G$15:$AI$37,3,0),0)</f>
        <v>0</v>
      </c>
      <c r="MM11" s="1082">
        <f>IFERROR(HLOOKUP($PT11,HistInfo!$G$15:$AI$37,6,0),0)</f>
        <v>0</v>
      </c>
      <c r="MN11" s="1070">
        <f>IFERROR(IF(HistInfo!$C$19="Dollar ($)",HLOOKUP($PT11,HistInfo!$G$15:$AI$37,5,0),0),0)</f>
        <v>0</v>
      </c>
      <c r="MO11" s="1070">
        <f>IFERROR(IF(HistInfo!$C$19="Volume (units)",HLOOKUP($PT11,HistInfo!$G$15:$AI$37,5,0),0),0)</f>
        <v>0</v>
      </c>
      <c r="MP11" s="1082">
        <f>IFERROR(HLOOKUP($PT11,HistInfo!$G$15:$AI$37,9,0),0)</f>
        <v>0</v>
      </c>
      <c r="MQ11" s="1082">
        <f>IFERROR(HLOOKUP($PT11,HistInfo!$G$15:$AI$37,10,0),0)</f>
        <v>0</v>
      </c>
      <c r="MR11" s="1082">
        <f>IFERROR(HLOOKUP($PT11,HistInfo!$G$15:$AI$37,11,0),0)</f>
        <v>0</v>
      </c>
      <c r="MS11" s="1082">
        <f>IFERROR(HLOOKUP($PT11,HistInfo!$G$15:$AI$37,12,0),0)</f>
        <v>0</v>
      </c>
      <c r="MT11" s="1082">
        <f>IFERROR(HLOOKUP($PT11,HistInfo!$G$15:$AI$37,13,0),0)</f>
        <v>0</v>
      </c>
      <c r="MU11" s="1082">
        <f>IFERROR(HLOOKUP($PT11,HistInfo!$G$15:$AI$37,17,0),0)</f>
        <v>0</v>
      </c>
      <c r="MV11" s="1082">
        <f>IFERROR(HLOOKUP($PT11,HistInfo!$G$15:$AI$37,19,0),0)</f>
        <v>0</v>
      </c>
      <c r="MW11" s="1082">
        <f>IFERROR(HLOOKUP($PT11,HistInfo!$G$15:$AI$37,20,0),0)</f>
        <v>0</v>
      </c>
      <c r="MX11" s="1082">
        <f>IFERROR(HLOOKUP($PT11,HistInfo!$G$15:$AI$37,21,0),0)</f>
        <v>0</v>
      </c>
      <c r="MY11" s="1082">
        <f>IFERROR(HLOOKUP($PT11,HistInfo!$G$15:$AI$37,23,0),0)</f>
        <v>0</v>
      </c>
      <c r="PS11" s="1070">
        <v>21</v>
      </c>
      <c r="PT11" s="1082" t="str">
        <f t="shared" si="1"/>
        <v>FY21</v>
      </c>
      <c r="PU11" s="1070" t="str">
        <f t="shared" si="2"/>
        <v>2021</v>
      </c>
      <c r="PX11" s="1142" t="s">
        <v>1148</v>
      </c>
      <c r="PY11" s="1070">
        <f t="shared" si="6"/>
        <v>9</v>
      </c>
    </row>
    <row r="12" spans="1:441" x14ac:dyDescent="0.3">
      <c r="A12" s="1070" t="str">
        <f t="shared" si="5"/>
        <v>Life Sciences</v>
      </c>
      <c r="B12" s="1070" t="str">
        <f t="shared" si="5"/>
        <v>BDB</v>
      </c>
      <c r="C12" s="1070">
        <f t="shared" si="5"/>
        <v>0</v>
      </c>
      <c r="D12" s="1070">
        <f t="shared" si="3"/>
        <v>0</v>
      </c>
      <c r="E12" s="1082">
        <f>Input!D25</f>
        <v>0</v>
      </c>
      <c r="F12" s="1082">
        <f>Input!J25</f>
        <v>0</v>
      </c>
      <c r="G12" s="1070">
        <f t="shared" si="4"/>
        <v>0</v>
      </c>
      <c r="H12" s="1070">
        <f t="shared" si="4"/>
        <v>0</v>
      </c>
      <c r="I12" s="1070">
        <f t="shared" si="4"/>
        <v>0</v>
      </c>
      <c r="J12" s="1070" t="str">
        <f t="shared" si="4"/>
        <v>Budget</v>
      </c>
      <c r="K12" s="1070" t="str">
        <f t="shared" si="0"/>
        <v>2022</v>
      </c>
      <c r="L12" s="1070">
        <f>IF(PPT!$D$2="$ M",IFERROR(HLOOKUP($PT12,PPT!$E$117:$BJ$119,3,0),0)*1000,IFERROR(HLOOKUP($PT12,PPT!$E$117:$BJ$119,3,0),0))</f>
        <v>0</v>
      </c>
      <c r="M12" s="1070">
        <f>IF(PPT!$D$2="$ M",IFERROR(HLOOKUP($PT12,PPT!$E$133:$BJ$159,4,0),0)*1000,IFERROR(HLOOKUP($PT12,PPT!$E$133:$BJ$159,4,0),0))</f>
        <v>0</v>
      </c>
      <c r="N12" s="1070">
        <f>IF(PPT!$D$2="$ M",IFERROR(HLOOKUP($PT12,PPT!$E$133:$BJ$159,5,0),0)*1000,IFERROR(HLOOKUP($PT12,PPT!$E$133:$BJ$159,5,0),0))</f>
        <v>0</v>
      </c>
      <c r="O12" s="1070">
        <f>IF(PPT!$D$2="$ M",IFERROR(HLOOKUP($PT12,PPT!$E$133:$BJ$159,6,0),0)*1000,IFERROR(HLOOKUP($PT12,PPT!$E$133:$BJ$159,6,0),0))</f>
        <v>0</v>
      </c>
      <c r="P12" s="1070">
        <f>IF(PPT!$D$2="$ M",IFERROR(HLOOKUP($PT12,PPT!$E$133:$BJ$159,7,0),0)*1000,IFERROR(HLOOKUP($PT12,PPT!$E$133:$BJ$159,7,0),0))</f>
        <v>0</v>
      </c>
      <c r="Q12" s="1070">
        <f>IFERROR(HLOOKUP($PT12,Calc!$G$125:$AI$146,3,0),0)</f>
        <v>0</v>
      </c>
      <c r="R12" s="1070" t="str">
        <f>IF(PPT!$D$2="$ M",IFERROR(HLOOKUP($PT12,PPT!$E$133:$BJ$159,9,0),0),IFERROR(HLOOKUP($PT12,PPT!$E$133:$BJ$159,9,0),0))</f>
        <v/>
      </c>
      <c r="S12" s="1070" t="str">
        <f>IF(PPT!$D$2="$ M",IFERROR(HLOOKUP($PT12,PPT!$E$133:$BJ$159,10,0),0),IFERROR(HLOOKUP($PT12,PPT!$E$133:$BJ$159,10,0),0))</f>
        <v/>
      </c>
      <c r="T12" s="1070">
        <f>IFERROR(IF(Calc!$C$129="Dollar ($)",HLOOKUP($PT12,Calc!$G$125:$AI$146,5,0),0),0)</f>
        <v>0</v>
      </c>
      <c r="U12" s="1070">
        <f>IFERROR(IF(Calc!$C$129="Volume (units)",HLOOKUP($PT12,Calc!$G$125:$AI$146,5,0),0),0)</f>
        <v>0</v>
      </c>
      <c r="V12" s="1070">
        <f>IFERROR(HLOOKUP($PT12,Calc!$G$125:$AI$146,6,0),0)</f>
        <v>0</v>
      </c>
      <c r="W12" s="1070">
        <f>IFERROR(HLOOKUP($PT12,Calc!$G$125:$AI$146,7,0),0)</f>
        <v>0</v>
      </c>
      <c r="X12" s="1070">
        <f>IFERROR(HLOOKUP($PT12,Calc!$G$125:$AI$146,8,0),0)</f>
        <v>0</v>
      </c>
      <c r="Y12" s="1070">
        <f>IFERROR(HLOOKUP($PT12,Calc!$G$125:$AI$146,9,0),0)</f>
        <v>0</v>
      </c>
      <c r="Z12" s="1070">
        <f>IFERROR(HLOOKUP($PT12,Calc!$G$125:$AI$146,10,0),0)</f>
        <v>0</v>
      </c>
      <c r="AA12" s="1070">
        <f>IFERROR(HLOOKUP($PT12,Calc!$G$125:$AI$146,11,0),0)</f>
        <v>4500</v>
      </c>
      <c r="AB12" s="1070">
        <f>IFERROR(HLOOKUP($PT12,Calc!$G$125:$AI$146,12,0),0)</f>
        <v>2362.6098811049887</v>
      </c>
      <c r="AC12" s="1070">
        <f>IFERROR(HLOOKUP($PT12,Calc!$G$125:$AI$146,13,0),0)</f>
        <v>-6862.6098811049887</v>
      </c>
      <c r="AD12" s="1070">
        <f>IFERROR(HLOOKUP($PT12,Calc!$G$125:$AI$146,14,0),0)</f>
        <v>0</v>
      </c>
      <c r="AE12" s="1070">
        <f>IFERROR(HLOOKUP($PT12,Calc!$G$125:$AI$146,15,0),0)</f>
        <v>0</v>
      </c>
      <c r="AF12" s="1070">
        <f>IFERROR(HLOOKUP($PT12,Calc!$G$125:$AI$146,16,0),0)</f>
        <v>-1921.5307667093971</v>
      </c>
      <c r="AG12" s="1070">
        <f>IFERROR(HLOOKUP($PT12,Calc!$G$125:$AI$146,17,0),0)</f>
        <v>-4941.0791143955921</v>
      </c>
      <c r="AH12" s="1070">
        <f>IFERROR(HLOOKUP($PT12,Calc!$G$125:$AI$146,18,0),0)</f>
        <v>0</v>
      </c>
      <c r="AI12" s="1070">
        <f>IFERROR(HLOOKUP($PT12,Calc!$G$125:$AI$146,19,0),0)</f>
        <v>0</v>
      </c>
      <c r="AJ12" s="1070">
        <f>IFERROR(HLOOKUP($PT12,Calc!$G$125:$AI$146,20,0),0)</f>
        <v>0</v>
      </c>
      <c r="AK12" s="1070">
        <f>IFERROR(HLOOKUP($PT12,Calc!$G$125:$AI$146,21,0),0)</f>
        <v>-4941.0791143955921</v>
      </c>
      <c r="AL12" s="1070">
        <f>IFERROR(HLOOKUP($PT12,Calc!$G$125:$AI$146,22,0),0)</f>
        <v>0</v>
      </c>
      <c r="AM12" s="1070">
        <f>IFERROR(HLOOKUP($PT12,Calc!$G$125:$AI$147,23,0),0)</f>
        <v>-2825.0780203876307</v>
      </c>
      <c r="AN12" s="1070">
        <f>IF(PPT!$D$2="$ M",IFERROR(HLOOKUP($PT12,PPT!$E$131:$BJ$159,5,0),0)*1000,IFERROR(HLOOKUP($PT12,PPT!$E$131:$BJ$159,5,0),0))</f>
        <v>0</v>
      </c>
      <c r="AO12" s="1070">
        <f>IF(PPT!$D$2="$ M",IFERROR(HLOOKUP($PT12,PPT!$E$131:$BJ$159,6,0),0)*1000,IFERROR(HLOOKUP($PT12,PPT!$E$131:$BJ$159,6,0),0))</f>
        <v>0</v>
      </c>
      <c r="AP12" s="1070">
        <f>IF(PPT!$D$2="$ M",IFERROR(HLOOKUP($PT12,PPT!$E$131:$BJ$159,7,0),0)*1000,IFERROR(HLOOKUP($PT12,PPT!$E$131:$BJ$159,7,0),0))</f>
        <v>0</v>
      </c>
      <c r="AQ12" s="1070">
        <f>IF(PPT!$D$2="$ M",IFERROR(HLOOKUP($PT12,PPT!$E$131:$BJ$159,8,0),0)*1000,IFERROR(HLOOKUP($PT12,PPT!$E$131:$BJ$159,8,0),0))</f>
        <v>0</v>
      </c>
      <c r="AR12" s="1070">
        <f>IF(PPT!$D$2="$ M",IFERROR(HLOOKUP($PT12,PPT!$E$131:$BJ$159,9,0),0)*1000,IFERROR(HLOOKUP($PT12,PPT!$E$131:$BJ$159,9,0),0))</f>
        <v>0</v>
      </c>
      <c r="AS12" s="1070">
        <f>IF(PPT!$D$2="$ M",IFERROR(HLOOKUP($PT12,PPT!$E$131:$BJ$159,10,0),0)*1000,IFERROR(HLOOKUP($PT12,PPT!$E$131:$BJ$159,10,0),0))</f>
        <v>0</v>
      </c>
      <c r="AT12" s="1070">
        <f>IF(PPT!$D$2="$ M",IFERROR(HLOOKUP($PT12,PPT!$E$131:$BJ$159,13,0),0)*1000,IFERROR(HLOOKUP($PT12,PPT!$E$131:$BJ$159,13,0),0))</f>
        <v>0</v>
      </c>
      <c r="AU12" s="1070">
        <f>IF(PPT!$D$2="$ M",IFERROR(HLOOKUP($PT12,PPT!$E$131:$BJ$159,14,0),0)*1000,IFERROR(HLOOKUP($PT12,PPT!$E$131:$BJ$159,14,0),0))</f>
        <v>0</v>
      </c>
      <c r="AV12" s="1070">
        <f>IF(PPT!$D$2="$ M",IFERROR(HLOOKUP($PT12,PPT!$E$131:$BJ$159,15,0),0)*1000,IFERROR(HLOOKUP($PT12,PPT!$E$131:$BJ$159,15,0),0))</f>
        <v>0</v>
      </c>
      <c r="AW12" s="1070">
        <f>IF(PPT!$D$2="$ M",IFERROR(HLOOKUP($PT12,PPT!$E$131:$BJ$159,17,0),0)*1000,IFERROR(HLOOKUP($PT12,PPT!$E$131:$BJ$159,17,0),0))</f>
        <v>0</v>
      </c>
      <c r="AX12" s="1070">
        <f>IF(PPT!$D$2="$ M",IFERROR(HLOOKUP($PT12,PPT!$E$131:$BJ$159,18,0),0)*1000,IFERROR(HLOOKUP($PT12,PPT!$E$131:$BJ$159,18,0),0))</f>
        <v>0</v>
      </c>
      <c r="AY12" s="1070">
        <f>IF(PPT!$D$2="$ M",IFERROR(HLOOKUP($PT12,PPT!$E$131:$BJ$159,19,0),0)*1000,IFERROR(HLOOKUP($PT12,PPT!$E$131:$BJ$159,19,0),0))</f>
        <v>0</v>
      </c>
      <c r="AZ12" s="1070">
        <f>IF(PPT!$D$2="$ M",IFERROR(HLOOKUP($PT12,PPT!$E$131:$BJ$159,21,0),0)*1000,IFERROR(HLOOKUP($PT12,PPT!$E$131:$BJ$159,21,0),0))</f>
        <v>0</v>
      </c>
      <c r="BA12" s="1070">
        <f>IF(PPT!$D$2="$ M",IFERROR(HLOOKUP($PT12,PPT!$E$131:$BJ$159,22,0),0)*1000,IFERROR(HLOOKUP($PT12,PPT!$E$131:$BJ$159,22,0),0))</f>
        <v>0</v>
      </c>
      <c r="BB12" s="1070">
        <f>IF(PPT!$D$2="$ M",IFERROR(HLOOKUP($PT12,PPT!$E$131:$BJ$159,23,0),0)*1000,IFERROR(HLOOKUP($PT12,PPT!$E$131:$BJ$159,23,0),0))</f>
        <v>0</v>
      </c>
      <c r="BC12" s="1070">
        <f>IF(PPT!$D$2="$ M",IFERROR(HLOOKUP($PT12,PPT!$E$131:$BJ$159,25,0),0)*1000,IFERROR(HLOOKUP($PT12,PPT!$E$131:$BJ$159,25,0),0))</f>
        <v>0</v>
      </c>
      <c r="BD12" s="1070">
        <f>IF(PPT!$D$2="$ M",IFERROR(HLOOKUP($PT12,PPT!$E$131:$BJ$159,26,0),0)*1000,IFERROR(HLOOKUP($PT12,PPT!$E$131:$BJ$159,26,0),0))</f>
        <v>0</v>
      </c>
      <c r="BE12" s="1070">
        <f>IF(PPT!$D$2="$ M",IFERROR(HLOOKUP($PT12,PPT!$E$131:$BJ$159,27,0),0)*1000,IFERROR(HLOOKUP($PT12,PPT!$E$131:$BJ$159,27,0),0))</f>
        <v>0</v>
      </c>
      <c r="BF12" s="1070">
        <f>IFERROR(HLOOKUP($PT12,Calc!$F$151:$P$166,2,0),0)</f>
        <v>0</v>
      </c>
      <c r="BG12" s="1070">
        <f>IFERROR(HLOOKUP($PT12,Calc!$F$151:$P$166,3,0),0)</f>
        <v>0</v>
      </c>
      <c r="BH12" s="1070">
        <f>IFERROR(HLOOKUP($PT12,Calc!$F$151:$P$166,4,0),0)</f>
        <v>0</v>
      </c>
      <c r="BI12" s="1070">
        <f>IFERROR(HLOOKUP($PT12,Calc!$F$151:$P$166,5,0),0)</f>
        <v>0</v>
      </c>
      <c r="BJ12" s="1070">
        <f>IFERROR(HLOOKUP($PT12,Calc!$F$151:$P$166,6,0),0)</f>
        <v>0</v>
      </c>
      <c r="BK12" s="1070">
        <f>IFERROR(HLOOKUP($PT12,Calc!$F$151:$P$166,7,0),0)</f>
        <v>0</v>
      </c>
      <c r="BL12" s="1070">
        <f>IFERROR(HLOOKUP($PT12,Calc!$F$151:$P$166,8,0),0)</f>
        <v>0</v>
      </c>
      <c r="BM12" s="1070">
        <f>IFERROR(HLOOKUP($PT12,Calc!$F$151:$P$166,9,0),0)</f>
        <v>0</v>
      </c>
      <c r="BN12" s="1070">
        <f>IFERROR(HLOOKUP($PT12,Calc!$F$151:$P$166,10,0),0)</f>
        <v>0</v>
      </c>
      <c r="BO12" s="1070">
        <f>IFERROR(HLOOKUP($PT12,Calc!$F$151:$P$166,11,0),0)</f>
        <v>0</v>
      </c>
      <c r="BP12" s="1070">
        <f>IFERROR(HLOOKUP($PT12,Calc!$F$151:$P$166,12,0),0)</f>
        <v>0</v>
      </c>
      <c r="BQ12" s="1070">
        <f>IFERROR(HLOOKUP($PT12,Calc!$F$151:$P$166,13,0),0)</f>
        <v>0</v>
      </c>
      <c r="BR12" s="1070">
        <f>IFERROR(HLOOKUP($PT12,Calc!$F$151:$P$166,14,0),0)</f>
        <v>0</v>
      </c>
      <c r="BS12" s="1070">
        <f>IFERROR(HLOOKUP($PT12,Calc!$F$151:$P$166,15,0),0)</f>
        <v>0</v>
      </c>
      <c r="BT12" s="1070">
        <f>IFERROR(HLOOKUP($PT12,Calc!$F$151:$P$166,16,0),0)</f>
        <v>0</v>
      </c>
      <c r="BU12" s="1070">
        <f>IFERROR(VLOOKUP($PS12,Calc!$AF$196:$AH$203,2,0),0)</f>
        <v>0</v>
      </c>
      <c r="BV12" s="1070">
        <f>IFERROR(VLOOKUP($PS12,Calc!$AF$196:$AH$203,3,0),0)</f>
        <v>0</v>
      </c>
      <c r="BW12" s="1070">
        <f>IFERROR(VLOOKUP($PS12,Calc!$AF$196:$AI$203,4,0),0)</f>
        <v>0</v>
      </c>
      <c r="BX12" s="1070">
        <f>IFERROR(VLOOKUP($PS12,Calc!$AF$208:$AI$209,2,0),0)</f>
        <v>0</v>
      </c>
      <c r="BY12" s="1070">
        <f>IFERROR(VLOOKUP($PS12,Calc!$AF$208:$AI$209,3,0),0)</f>
        <v>0</v>
      </c>
      <c r="BZ12" s="1070">
        <f>IFERROR(VLOOKUP($PS12,Calc!$AF$208:$AI$209,4,0),0)</f>
        <v>0</v>
      </c>
      <c r="CA12" s="1070">
        <f>IFERROR(VLOOKUP($PS12,Calc!$K$420:$P$433,3,0),0)</f>
        <v>0</v>
      </c>
      <c r="CB12" s="1070">
        <f>IFERROR(VLOOKUP($PS12,Calc!$K$420:$P$433,4,0),0)</f>
        <v>0</v>
      </c>
      <c r="CC12" s="1070">
        <f>IFERROR(VLOOKUP($PS12,Calc!$K$420:$P$433,5,0),0)</f>
        <v>0</v>
      </c>
      <c r="CD12" s="1070">
        <f>IFERROR(VLOOKUP($PS12,Calc!$K$420:$P$433,6,0),0)</f>
        <v>0</v>
      </c>
      <c r="CE12" s="1070">
        <f>IFERROR(VLOOKUP($PS12,Calc!$AQ$420:$AV$433,3,0),0)</f>
        <v>0</v>
      </c>
      <c r="CF12" s="1070">
        <f>IFERROR(VLOOKUP($PS12,Calc!$AQ$420:$AV$433,4,0),0)</f>
        <v>0</v>
      </c>
      <c r="CG12" s="1070">
        <f>IFERROR(VLOOKUP($PS12,Calc!$AQ$420:$AV$433,5,0),0)</f>
        <v>0</v>
      </c>
      <c r="CH12" s="1070">
        <f>IFERROR(VLOOKUP($PS12,Calc!$AQ$420:$AV$433,6,0),0)</f>
        <v>0</v>
      </c>
      <c r="CI12" s="1070">
        <f>IFERROR(HLOOKUP($PT12,Calc!$AQ$125:$BS$146,3,0),0)</f>
        <v>0</v>
      </c>
      <c r="CJ12" s="1070">
        <f>IFERROR(HLOOKUP($PT12,Calc!$AQ$125:$BS$146,6,0),0)</f>
        <v>0</v>
      </c>
      <c r="CK12" s="1070">
        <f>IFERROR(IF(Calc!$C$129="Dollar ($)",HLOOKUP($PT12,Calc!$AQ$125:$BS$146,5,0),0),0)</f>
        <v>0</v>
      </c>
      <c r="CL12" s="1070">
        <f>IFERROR(IF(Calc!$C$129="Volume (units)",HLOOKUP($PT12,Calc!$AQ$125:$BS$146,5,0),0),0)</f>
        <v>0</v>
      </c>
      <c r="CM12" s="1070">
        <f>IFERROR(HLOOKUP($PT12,Calc!$AQ$125:$BS$146,9,0),0)</f>
        <v>0</v>
      </c>
      <c r="CN12" s="1070">
        <f>IFERROR(HLOOKUP($PT12,Calc!$AQ$125:$BS$146,10,0),0)</f>
        <v>0</v>
      </c>
      <c r="CO12" s="1070">
        <f>IFERROR(HLOOKUP($PT12,Calc!$AQ$125:$BS$146,11,0),0)</f>
        <v>0</v>
      </c>
      <c r="CP12" s="1070">
        <f>IFERROR(HLOOKUP($PT12,Calc!$AQ$125:$BS$146,12,0),0)</f>
        <v>0</v>
      </c>
      <c r="CQ12" s="1070">
        <f>IFERROR(HLOOKUP($PT12,Calc!$AQ$125:$BS$146,13,0),0)</f>
        <v>0</v>
      </c>
      <c r="CR12" s="1070">
        <f>IFERROR(HLOOKUP($PT12,Calc!$AQ$125:$BS$146,17,0),0)</f>
        <v>0</v>
      </c>
      <c r="CS12" s="1070">
        <f>IFERROR(HLOOKUP($PT12,Calc!$AQ$125:$BS$146,19,0),0)</f>
        <v>0</v>
      </c>
      <c r="CT12" s="1070">
        <f>IFERROR(HLOOKUP($PT12,Calc!$AQ$125:$BS$146,20,0),0)</f>
        <v>0</v>
      </c>
      <c r="CU12" s="1070">
        <f>IFERROR(HLOOKUP($PT12,Calc!$AQ$125:$BS$146,21,0),0)</f>
        <v>0</v>
      </c>
      <c r="CV12" s="1070">
        <f>IFERROR(HLOOKUP($PT12,Calc!$AQ$125:$BS$147,23,0),0)</f>
        <v>0</v>
      </c>
      <c r="CW12" s="1070">
        <f>IFERROR(HLOOKUP($PT12,Calc!$AQ$9:$BS$15,5,0),0)+IFERROR(HLOOKUP($PT12,Calc!$AQ$30:$BS$36,5,0),0)+IFERROR(HLOOKUP($PT12,Calc!$AQ$51:$BS$57,5,0),0)+IFERROR(HLOOKUP($PT12,Calc!$AQ$72:$BS$78,5,0),0)+IFERROR(HLOOKUP($PT12,Calc!$AQ$93:$BS$99,5,0),0)</f>
        <v>0</v>
      </c>
      <c r="CX12" s="1070">
        <f>IFERROR(HLOOKUP($PT12,Calc!$AQ$9:$BS$15,6,0),0)+IFERROR(HLOOKUP($PT12,Calc!$AQ$30:$BS$36,6,0),0)+IFERROR(HLOOKUP($PT12,Calc!$AQ$51:$BS$57,6,0),0)+IFERROR(HLOOKUP($PT12,Calc!$AQ$72:$BS$78,6,0),0)+IFERROR(HLOOKUP($PT12,Calc!$AQ$93:$BS$99,6,0),0)</f>
        <v>0</v>
      </c>
      <c r="CY12" s="1070">
        <f>IFERROR(HLOOKUP($PT12,Calc!$AQ$9:$BS$15,7,0),0)+IFERROR(HLOOKUP($PT12,Calc!$AQ$30:$BS$36,7,0),0)+IFERROR(HLOOKUP($PT12,Calc!$AQ$51:$BS$57,7,0),0)+IFERROR(HLOOKUP($PT12,Calc!$AQ$72:$BS$78,7,0),0)+IFERROR(HLOOKUP($PT12,Calc!$AQ$93:$BS$99,7,0),0)</f>
        <v>0</v>
      </c>
      <c r="IY12" s="1070">
        <f>IFERROR(HLOOKUP($PT12,Current_Prior!$AQ$9:$BS$30,3,0),0)</f>
        <v>0</v>
      </c>
      <c r="IZ12" s="1070">
        <f>IFERROR(HLOOKUP($PT12,Current_Prior!$AQ$9:$BS$30,6,0),0)</f>
        <v>0</v>
      </c>
      <c r="JA12" s="1070">
        <f>IFERROR(IF(Calc!$C$129="Dollar ($)",HLOOKUP($PT12,Current_Prior!$AQ$9:$BS$30,5,0),0),0)</f>
        <v>0</v>
      </c>
      <c r="JB12" s="1070">
        <f>IFERROR(IF(Calc!$C$129="Volume (units)",HLOOKUP($PT12,Current_Prior!$AQ$9:$BS$30,5,0),0),0)</f>
        <v>0</v>
      </c>
      <c r="JC12" s="1070">
        <f>IFERROR(HLOOKUP($PT12,Current_Prior!$AQ$9:$BS$30,9,0),0)</f>
        <v>0</v>
      </c>
      <c r="JD12" s="1070">
        <f>IFERROR(HLOOKUP($PT12,Current_Prior!$AQ$9:$BS$30,10,0),0)</f>
        <v>0</v>
      </c>
      <c r="JE12" s="1070">
        <f>IFERROR(HLOOKUP($PT12,Current_Prior!$AQ$9:$BS$30,11,0),0)</f>
        <v>0</v>
      </c>
      <c r="JF12" s="1070">
        <f>IFERROR(HLOOKUP($PT12,Current_Prior!$AQ$9:$BS$30,12,0),0)</f>
        <v>0</v>
      </c>
      <c r="JG12" s="1070">
        <f>IFERROR(HLOOKUP($PT12,Current_Prior!$AQ$9:$BS$30,13,0),0)</f>
        <v>0</v>
      </c>
      <c r="JH12" s="1070">
        <f>IFERROR(HLOOKUP($PT12,Current_Prior!$AQ$9:$BS$30,17,0),0)</f>
        <v>0</v>
      </c>
      <c r="JI12" s="1070">
        <f>IFERROR(HLOOKUP($PT12,Current_Prior!$AQ$9:$BS$30,19,0),0)</f>
        <v>0</v>
      </c>
      <c r="JJ12" s="1070">
        <f>IFERROR(HLOOKUP($PT12,Current_Prior!$AQ$9:$BS$30,20,0),0)</f>
        <v>0</v>
      </c>
      <c r="JK12" s="1070">
        <f>IFERROR(HLOOKUP($PT12,Current_Prior!$AQ$9:$BS$30,21,0),0)</f>
        <v>0</v>
      </c>
      <c r="JL12" s="1070">
        <f>IFERROR(HLOOKUP($PT12,Current_Prior!$AQ$9:$BS$31,23,0),0)</f>
        <v>0</v>
      </c>
      <c r="ML12" s="1082">
        <f>IFERROR(HLOOKUP($PT12,HistInfo!$G$15:$AI$37,3,0),0)</f>
        <v>0</v>
      </c>
      <c r="MM12" s="1082">
        <f>IFERROR(HLOOKUP($PT12,HistInfo!$G$15:$AI$37,6,0),0)</f>
        <v>0</v>
      </c>
      <c r="MN12" s="1070">
        <f>IFERROR(IF(HistInfo!$C$19="Dollar ($)",HLOOKUP($PT12,HistInfo!$G$15:$AI$37,5,0),0),0)</f>
        <v>0</v>
      </c>
      <c r="MO12" s="1070">
        <f>IFERROR(IF(HistInfo!$C$19="Volume (units)",HLOOKUP($PT12,HistInfo!$G$15:$AI$37,5,0),0),0)</f>
        <v>0</v>
      </c>
      <c r="MP12" s="1082">
        <f>IFERROR(HLOOKUP($PT12,HistInfo!$G$15:$AI$37,9,0),0)</f>
        <v>0</v>
      </c>
      <c r="MQ12" s="1082">
        <f>IFERROR(HLOOKUP($PT12,HistInfo!$G$15:$AI$37,10,0),0)</f>
        <v>0</v>
      </c>
      <c r="MR12" s="1082">
        <f>IFERROR(HLOOKUP($PT12,HistInfo!$G$15:$AI$37,11,0),0)</f>
        <v>0</v>
      </c>
      <c r="MS12" s="1082">
        <f>IFERROR(HLOOKUP($PT12,HistInfo!$G$15:$AI$37,12,0),0)</f>
        <v>0</v>
      </c>
      <c r="MT12" s="1082">
        <f>IFERROR(HLOOKUP($PT12,HistInfo!$G$15:$AI$37,13,0),0)</f>
        <v>0</v>
      </c>
      <c r="MU12" s="1082">
        <f>IFERROR(HLOOKUP($PT12,HistInfo!$G$15:$AI$37,17,0),0)</f>
        <v>0</v>
      </c>
      <c r="MV12" s="1082">
        <f>IFERROR(HLOOKUP($PT12,HistInfo!$G$15:$AI$37,19,0),0)</f>
        <v>0</v>
      </c>
      <c r="MW12" s="1082">
        <f>IFERROR(HLOOKUP($PT12,HistInfo!$G$15:$AI$37,20,0),0)</f>
        <v>0</v>
      </c>
      <c r="MX12" s="1082">
        <f>IFERROR(HLOOKUP($PT12,HistInfo!$G$15:$AI$37,21,0),0)</f>
        <v>0</v>
      </c>
      <c r="MY12" s="1082">
        <f>IFERROR(HLOOKUP($PT12,HistInfo!$G$15:$AI$37,23,0),0)</f>
        <v>0</v>
      </c>
      <c r="PS12" s="1070">
        <v>22</v>
      </c>
      <c r="PT12" s="1082" t="str">
        <f t="shared" si="1"/>
        <v>FY22</v>
      </c>
      <c r="PU12" s="1070" t="str">
        <f t="shared" si="2"/>
        <v>2022</v>
      </c>
      <c r="PX12" s="1070" t="s">
        <v>1137</v>
      </c>
      <c r="PY12" s="1070">
        <f t="shared" si="6"/>
        <v>10</v>
      </c>
    </row>
    <row r="13" spans="1:441" x14ac:dyDescent="0.3">
      <c r="A13" s="1070" t="str">
        <f t="shared" si="5"/>
        <v>Life Sciences</v>
      </c>
      <c r="B13" s="1070" t="str">
        <f t="shared" si="5"/>
        <v>BDB</v>
      </c>
      <c r="C13" s="1070">
        <f t="shared" si="5"/>
        <v>0</v>
      </c>
      <c r="D13" s="1070">
        <f t="shared" si="3"/>
        <v>0</v>
      </c>
      <c r="E13" s="1082">
        <f>Input!D26</f>
        <v>0</v>
      </c>
      <c r="F13" s="1082">
        <f>Input!J26</f>
        <v>0</v>
      </c>
      <c r="G13" s="1070">
        <f t="shared" si="4"/>
        <v>0</v>
      </c>
      <c r="H13" s="1070">
        <f t="shared" si="4"/>
        <v>0</v>
      </c>
      <c r="I13" s="1070">
        <f t="shared" si="4"/>
        <v>0</v>
      </c>
      <c r="J13" s="1070" t="str">
        <f t="shared" si="4"/>
        <v>Budget</v>
      </c>
      <c r="K13" s="1070" t="str">
        <f t="shared" si="0"/>
        <v>2023</v>
      </c>
      <c r="L13" s="1070">
        <f>IF(PPT!$D$2="$ M",IFERROR(HLOOKUP($PT13,PPT!$E$117:$BJ$119,3,0),0)*1000,IFERROR(HLOOKUP($PT13,PPT!$E$117:$BJ$119,3,0),0))</f>
        <v>16667.203805107201</v>
      </c>
      <c r="M13" s="1070">
        <f>IF(PPT!$D$2="$ M",IFERROR(HLOOKUP($PT13,PPT!$E$133:$BJ$159,4,0),0)*1000,IFERROR(HLOOKUP($PT13,PPT!$E$133:$BJ$159,4,0),0))</f>
        <v>0</v>
      </c>
      <c r="N13" s="1070">
        <f>IF(PPT!$D$2="$ M",IFERROR(HLOOKUP($PT13,PPT!$E$133:$BJ$159,5,0),0)*1000,IFERROR(HLOOKUP($PT13,PPT!$E$133:$BJ$159,5,0),0))</f>
        <v>0</v>
      </c>
      <c r="O13" s="1070">
        <f>IF(PPT!$D$2="$ M",IFERROR(HLOOKUP($PT13,PPT!$E$133:$BJ$159,6,0),0)*1000,IFERROR(HLOOKUP($PT13,PPT!$E$133:$BJ$159,6,0),0))</f>
        <v>0</v>
      </c>
      <c r="P13" s="1070">
        <f>IF(PPT!$D$2="$ M",IFERROR(HLOOKUP($PT13,PPT!$E$133:$BJ$159,7,0),0)*1000,IFERROR(HLOOKUP($PT13,PPT!$E$133:$BJ$159,7,0),0))</f>
        <v>0</v>
      </c>
      <c r="Q13" s="1070">
        <f>IFERROR(HLOOKUP($PT13,Calc!$G$125:$AI$146,3,0),0)</f>
        <v>16667.203805107201</v>
      </c>
      <c r="R13" s="1070" t="str">
        <f>IF(PPT!$D$2="$ M",IFERROR(HLOOKUP($PT13,PPT!$E$133:$BJ$159,9,0),0),IFERROR(HLOOKUP($PT13,PPT!$E$133:$BJ$159,9,0),0))</f>
        <v/>
      </c>
      <c r="S13" s="1070" t="str">
        <f>IF(PPT!$D$2="$ M",IFERROR(HLOOKUP($PT13,PPT!$E$133:$BJ$159,10,0),0),IFERROR(HLOOKUP($PT13,PPT!$E$133:$BJ$159,10,0),0))</f>
        <v/>
      </c>
      <c r="T13" s="1070">
        <f>IFERROR(IF(Calc!$C$129="Dollar ($)",HLOOKUP($PT13,Calc!$G$125:$AI$146,5,0),0),0)</f>
        <v>0</v>
      </c>
      <c r="U13" s="1070">
        <f>IFERROR(IF(Calc!$C$129="Volume (units)",HLOOKUP($PT13,Calc!$G$125:$AI$146,5,0),0),0)</f>
        <v>0</v>
      </c>
      <c r="V13" s="1070">
        <f>IFERROR(HLOOKUP($PT13,Calc!$G$125:$AI$146,6,0),0)</f>
        <v>16667.203805107201</v>
      </c>
      <c r="W13" s="1070">
        <f>IFERROR(HLOOKUP($PT13,Calc!$G$125:$AI$146,7,0),0)</f>
        <v>4910.06814799104</v>
      </c>
      <c r="X13" s="1070">
        <f>IFERROR(HLOOKUP($PT13,Calc!$G$125:$AI$146,8,0),0)</f>
        <v>0</v>
      </c>
      <c r="Y13" s="1070">
        <f>IFERROR(HLOOKUP($PT13,Calc!$G$125:$AI$146,9,0),0)</f>
        <v>11757.135657116161</v>
      </c>
      <c r="Z13" s="1070">
        <f>IFERROR(HLOOKUP($PT13,Calc!$G$125:$AI$146,10,0),0)</f>
        <v>0.70540540540540542</v>
      </c>
      <c r="AA13" s="1070">
        <f>IFERROR(HLOOKUP($PT13,Calc!$G$125:$AI$146,11,0),0)</f>
        <v>3300.0096684919295</v>
      </c>
      <c r="AB13" s="1070">
        <f>IFERROR(HLOOKUP($PT13,Calc!$G$125:$AI$146,12,0),0)</f>
        <v>1451.8026343507922</v>
      </c>
      <c r="AC13" s="1070">
        <f>IFERROR(HLOOKUP($PT13,Calc!$G$125:$AI$146,13,0),0)</f>
        <v>7005.3233542734397</v>
      </c>
      <c r="AD13" s="1070">
        <f>IFERROR(HLOOKUP($PT13,Calc!$G$125:$AI$146,14,0),0)</f>
        <v>0.42030585551049982</v>
      </c>
      <c r="AE13" s="1070">
        <f>IFERROR(HLOOKUP($PT13,Calc!$G$125:$AI$146,15,0),0)</f>
        <v>933.33333333333337</v>
      </c>
      <c r="AF13" s="1070">
        <f>IFERROR(HLOOKUP($PT13,Calc!$G$125:$AI$146,16,0),0)</f>
        <v>1700.15720586323</v>
      </c>
      <c r="AG13" s="1070">
        <f>IFERROR(HLOOKUP($PT13,Calc!$G$125:$AI$146,17,0),0)</f>
        <v>4371.8328150768766</v>
      </c>
      <c r="AH13" s="1070">
        <f>IFERROR(HLOOKUP($PT13,Calc!$G$125:$AI$146,18,0),0)</f>
        <v>0.26230151537099761</v>
      </c>
      <c r="AI13" s="1070">
        <f>IFERROR(HLOOKUP($PT13,Calc!$G$125:$AI$146,19,0),0)</f>
        <v>13066.666666666666</v>
      </c>
      <c r="AJ13" s="1070">
        <f>IFERROR(HLOOKUP($PT13,Calc!$G$125:$AI$146,20,0),0)</f>
        <v>3160.13687761248</v>
      </c>
      <c r="AK13" s="1070">
        <f>IFERROR(HLOOKUP($PT13,Calc!$G$125:$AI$146,21,0),0)</f>
        <v>-11854.970729202269</v>
      </c>
      <c r="AL13" s="1070">
        <f>IFERROR(HLOOKUP($PT13,Calc!$G$125:$AI$146,22,0),0)</f>
        <v>-0.71127532055314779</v>
      </c>
      <c r="AM13" s="1070">
        <f>IFERROR(HLOOKUP($PT13,Calc!$G$125:$AI$147,23,0),0)</f>
        <v>-5894.0156442015705</v>
      </c>
      <c r="AN13" s="1070">
        <f>IF(PPT!$D$2="$ M",IFERROR(HLOOKUP($PT13,PPT!$E$131:$BJ$159,5,0),0)*1000,IFERROR(HLOOKUP($PT13,PPT!$E$131:$BJ$159,5,0),0))</f>
        <v>0</v>
      </c>
      <c r="AO13" s="1070">
        <f>IF(PPT!$D$2="$ M",IFERROR(HLOOKUP($PT13,PPT!$E$131:$BJ$159,6,0),0)*1000,IFERROR(HLOOKUP($PT13,PPT!$E$131:$BJ$159,6,0),0))</f>
        <v>0</v>
      </c>
      <c r="AP13" s="1070">
        <f>IF(PPT!$D$2="$ M",IFERROR(HLOOKUP($PT13,PPT!$E$131:$BJ$159,7,0),0)*1000,IFERROR(HLOOKUP($PT13,PPT!$E$131:$BJ$159,7,0),0))</f>
        <v>0</v>
      </c>
      <c r="AQ13" s="1070">
        <f>IF(PPT!$D$2="$ M",IFERROR(HLOOKUP($PT13,PPT!$E$131:$BJ$159,8,0),0)*1000,IFERROR(HLOOKUP($PT13,PPT!$E$131:$BJ$159,8,0),0))</f>
        <v>0</v>
      </c>
      <c r="AR13" s="1070">
        <f>IF(PPT!$D$2="$ M",IFERROR(HLOOKUP($PT13,PPT!$E$131:$BJ$159,9,0),0)*1000,IFERROR(HLOOKUP($PT13,PPT!$E$131:$BJ$159,9,0),0))</f>
        <v>0</v>
      </c>
      <c r="AS13" s="1070">
        <f>IF(PPT!$D$2="$ M",IFERROR(HLOOKUP($PT13,PPT!$E$131:$BJ$159,10,0),0)*1000,IFERROR(HLOOKUP($PT13,PPT!$E$131:$BJ$159,10,0),0))</f>
        <v>0</v>
      </c>
      <c r="AT13" s="1070">
        <f>IF(PPT!$D$2="$ M",IFERROR(HLOOKUP($PT13,PPT!$E$131:$BJ$159,13,0),0)*1000,IFERROR(HLOOKUP($PT13,PPT!$E$131:$BJ$159,13,0),0))</f>
        <v>0</v>
      </c>
      <c r="AU13" s="1070">
        <f>IF(PPT!$D$2="$ M",IFERROR(HLOOKUP($PT13,PPT!$E$131:$BJ$159,14,0),0)*1000,IFERROR(HLOOKUP($PT13,PPT!$E$131:$BJ$159,14,0),0))</f>
        <v>0</v>
      </c>
      <c r="AV13" s="1070">
        <f>IF(PPT!$D$2="$ M",IFERROR(HLOOKUP($PT13,PPT!$E$131:$BJ$159,15,0),0)*1000,IFERROR(HLOOKUP($PT13,PPT!$E$131:$BJ$159,15,0),0))</f>
        <v>0</v>
      </c>
      <c r="AW13" s="1070">
        <f>IF(PPT!$D$2="$ M",IFERROR(HLOOKUP($PT13,PPT!$E$131:$BJ$159,17,0),0)*1000,IFERROR(HLOOKUP($PT13,PPT!$E$131:$BJ$159,17,0),0))</f>
        <v>0</v>
      </c>
      <c r="AX13" s="1070">
        <f>IF(PPT!$D$2="$ M",IFERROR(HLOOKUP($PT13,PPT!$E$131:$BJ$159,18,0),0)*1000,IFERROR(HLOOKUP($PT13,PPT!$E$131:$BJ$159,18,0),0))</f>
        <v>0</v>
      </c>
      <c r="AY13" s="1070">
        <f>IF(PPT!$D$2="$ M",IFERROR(HLOOKUP($PT13,PPT!$E$131:$BJ$159,19,0),0)*1000,IFERROR(HLOOKUP($PT13,PPT!$E$131:$BJ$159,19,0),0))</f>
        <v>0</v>
      </c>
      <c r="AZ13" s="1070">
        <f>IF(PPT!$D$2="$ M",IFERROR(HLOOKUP($PT13,PPT!$E$131:$BJ$159,21,0),0)*1000,IFERROR(HLOOKUP($PT13,PPT!$E$131:$BJ$159,21,0),0))</f>
        <v>0</v>
      </c>
      <c r="BA13" s="1070">
        <f>IF(PPT!$D$2="$ M",IFERROR(HLOOKUP($PT13,PPT!$E$131:$BJ$159,22,0),0)*1000,IFERROR(HLOOKUP($PT13,PPT!$E$131:$BJ$159,22,0),0))</f>
        <v>0</v>
      </c>
      <c r="BB13" s="1070">
        <f>IF(PPT!$D$2="$ M",IFERROR(HLOOKUP($PT13,PPT!$E$131:$BJ$159,23,0),0)*1000,IFERROR(HLOOKUP($PT13,PPT!$E$131:$BJ$159,23,0),0))</f>
        <v>0</v>
      </c>
      <c r="BC13" s="1070">
        <f>IF(PPT!$D$2="$ M",IFERROR(HLOOKUP($PT13,PPT!$E$131:$BJ$159,25,0),0)*1000,IFERROR(HLOOKUP($PT13,PPT!$E$131:$BJ$159,25,0),0))</f>
        <v>0</v>
      </c>
      <c r="BD13" s="1070">
        <f>IF(PPT!$D$2="$ M",IFERROR(HLOOKUP($PT13,PPT!$E$131:$BJ$159,26,0),0)*1000,IFERROR(HLOOKUP($PT13,PPT!$E$131:$BJ$159,26,0),0))</f>
        <v>0</v>
      </c>
      <c r="BE13" s="1070">
        <f>IF(PPT!$D$2="$ M",IFERROR(HLOOKUP($PT13,PPT!$E$131:$BJ$159,27,0),0)*1000,IFERROR(HLOOKUP($PT13,PPT!$E$131:$BJ$159,27,0),0))</f>
        <v>0</v>
      </c>
      <c r="BF13" s="1070">
        <f>IFERROR(HLOOKUP($PT13,Calc!$F$151:$P$166,2,0),0)</f>
        <v>0</v>
      </c>
      <c r="BG13" s="1070">
        <f>IFERROR(HLOOKUP($PT13,Calc!$F$151:$P$166,3,0),0)</f>
        <v>0</v>
      </c>
      <c r="BH13" s="1070">
        <f>IFERROR(HLOOKUP($PT13,Calc!$F$151:$P$166,4,0),0)</f>
        <v>0</v>
      </c>
      <c r="BI13" s="1070">
        <f>IFERROR(HLOOKUP($PT13,Calc!$F$151:$P$166,5,0),0)</f>
        <v>0</v>
      </c>
      <c r="BJ13" s="1070">
        <f>IFERROR(HLOOKUP($PT13,Calc!$F$151:$P$166,6,0),0)</f>
        <v>0</v>
      </c>
      <c r="BK13" s="1070">
        <f>IFERROR(HLOOKUP($PT13,Calc!$F$151:$P$166,7,0),0)</f>
        <v>0</v>
      </c>
      <c r="BL13" s="1070">
        <f>IFERROR(HLOOKUP($PT13,Calc!$F$151:$P$166,8,0),0)</f>
        <v>0</v>
      </c>
      <c r="BM13" s="1070">
        <f>IFERROR(HLOOKUP($PT13,Calc!$F$151:$P$166,9,0),0)</f>
        <v>0</v>
      </c>
      <c r="BN13" s="1070">
        <f>IFERROR(HLOOKUP($PT13,Calc!$F$151:$P$166,10,0),0)</f>
        <v>0</v>
      </c>
      <c r="BO13" s="1070">
        <f>IFERROR(HLOOKUP($PT13,Calc!$F$151:$P$166,11,0),0)</f>
        <v>0</v>
      </c>
      <c r="BP13" s="1070">
        <f>IFERROR(HLOOKUP($PT13,Calc!$F$151:$P$166,12,0),0)</f>
        <v>0</v>
      </c>
      <c r="BQ13" s="1070">
        <f>IFERROR(HLOOKUP($PT13,Calc!$F$151:$P$166,13,0),0)</f>
        <v>0</v>
      </c>
      <c r="BR13" s="1070">
        <f>IFERROR(HLOOKUP($PT13,Calc!$F$151:$P$166,14,0),0)</f>
        <v>0</v>
      </c>
      <c r="BS13" s="1070">
        <f>IFERROR(HLOOKUP($PT13,Calc!$F$151:$P$166,15,0),0)</f>
        <v>0</v>
      </c>
      <c r="BT13" s="1070">
        <f>IFERROR(HLOOKUP($PT13,Calc!$F$151:$P$166,16,0),0)</f>
        <v>0</v>
      </c>
      <c r="BU13" s="1070">
        <f>IFERROR(VLOOKUP($PS13,Calc!$AF$196:$AH$203,2,0),0)</f>
        <v>0</v>
      </c>
      <c r="BV13" s="1070">
        <f>IFERROR(VLOOKUP($PS13,Calc!$AF$196:$AH$203,3,0),0)</f>
        <v>0</v>
      </c>
      <c r="BW13" s="1070">
        <f>IFERROR(VLOOKUP($PS13,Calc!$AF$196:$AI$203,4,0),0)</f>
        <v>0</v>
      </c>
      <c r="BX13" s="1070">
        <f>IFERROR(VLOOKUP($PS13,Calc!$AF$208:$AI$209,2,0),0)</f>
        <v>0</v>
      </c>
      <c r="BY13" s="1070">
        <f>IFERROR(VLOOKUP($PS13,Calc!$AF$208:$AI$209,3,0),0)</f>
        <v>0</v>
      </c>
      <c r="BZ13" s="1070">
        <f>IFERROR(VLOOKUP($PS13,Calc!$AF$208:$AI$209,4,0),0)</f>
        <v>0</v>
      </c>
      <c r="CA13" s="1070">
        <f>IFERROR(VLOOKUP($PS13,Calc!$K$420:$P$433,3,0),0)</f>
        <v>0</v>
      </c>
      <c r="CB13" s="1070">
        <f>IFERROR(VLOOKUP($PS13,Calc!$K$420:$P$433,4,0),0)</f>
        <v>0</v>
      </c>
      <c r="CC13" s="1070">
        <f>IFERROR(VLOOKUP($PS13,Calc!$K$420:$P$433,5,0),0)</f>
        <v>0</v>
      </c>
      <c r="CD13" s="1070">
        <f>IFERROR(VLOOKUP($PS13,Calc!$K$420:$P$433,6,0),0)</f>
        <v>0</v>
      </c>
      <c r="CE13" s="1070">
        <f>IFERROR(VLOOKUP($PS13,Calc!$AQ$420:$AV$433,3,0),0)</f>
        <v>0</v>
      </c>
      <c r="CF13" s="1070">
        <f>IFERROR(VLOOKUP($PS13,Calc!$AQ$420:$AV$433,4,0),0)</f>
        <v>0</v>
      </c>
      <c r="CG13" s="1070">
        <f>IFERROR(VLOOKUP($PS13,Calc!$AQ$420:$AV$433,5,0),0)</f>
        <v>0</v>
      </c>
      <c r="CH13" s="1070">
        <f>IFERROR(VLOOKUP($PS13,Calc!$AQ$420:$AV$433,6,0),0)</f>
        <v>0</v>
      </c>
      <c r="CI13" s="1070">
        <f>IFERROR(HLOOKUP($PT13,Calc!$AQ$125:$BS$146,3,0),0)</f>
        <v>0</v>
      </c>
      <c r="CJ13" s="1070">
        <f>IFERROR(HLOOKUP($PT13,Calc!$AQ$125:$BS$146,6,0),0)</f>
        <v>0</v>
      </c>
      <c r="CK13" s="1070">
        <f>IFERROR(IF(Calc!$C$129="Dollar ($)",HLOOKUP($PT13,Calc!$AQ$125:$BS$146,5,0),0),0)</f>
        <v>0</v>
      </c>
      <c r="CL13" s="1070">
        <f>IFERROR(IF(Calc!$C$129="Volume (units)",HLOOKUP($PT13,Calc!$AQ$125:$BS$146,5,0),0),0)</f>
        <v>0</v>
      </c>
      <c r="CM13" s="1070">
        <f>IFERROR(HLOOKUP($PT13,Calc!$AQ$125:$BS$146,9,0),0)</f>
        <v>0</v>
      </c>
      <c r="CN13" s="1070">
        <f>IFERROR(HLOOKUP($PT13,Calc!$AQ$125:$BS$146,10,0),0)</f>
        <v>0</v>
      </c>
      <c r="CO13" s="1070">
        <f>IFERROR(HLOOKUP($PT13,Calc!$AQ$125:$BS$146,11,0),0)</f>
        <v>0</v>
      </c>
      <c r="CP13" s="1070">
        <f>IFERROR(HLOOKUP($PT13,Calc!$AQ$125:$BS$146,12,0),0)</f>
        <v>0</v>
      </c>
      <c r="CQ13" s="1070">
        <f>IFERROR(HLOOKUP($PT13,Calc!$AQ$125:$BS$146,13,0),0)</f>
        <v>0</v>
      </c>
      <c r="CR13" s="1070">
        <f>IFERROR(HLOOKUP($PT13,Calc!$AQ$125:$BS$146,17,0),0)</f>
        <v>0</v>
      </c>
      <c r="CS13" s="1070">
        <f>IFERROR(HLOOKUP($PT13,Calc!$AQ$125:$BS$146,19,0),0)</f>
        <v>0</v>
      </c>
      <c r="CT13" s="1070">
        <f>IFERROR(HLOOKUP($PT13,Calc!$AQ$125:$BS$146,20,0),0)</f>
        <v>0</v>
      </c>
      <c r="CU13" s="1070">
        <f>IFERROR(HLOOKUP($PT13,Calc!$AQ$125:$BS$146,21,0),0)</f>
        <v>0</v>
      </c>
      <c r="CV13" s="1070">
        <f>IFERROR(HLOOKUP($PT13,Calc!$AQ$125:$BS$147,23,0),0)</f>
        <v>0</v>
      </c>
      <c r="CW13" s="1070">
        <f>IFERROR(HLOOKUP($PT13,Calc!$AQ$9:$BS$15,5,0),0)+IFERROR(HLOOKUP($PT13,Calc!$AQ$30:$BS$36,5,0),0)+IFERROR(HLOOKUP($PT13,Calc!$AQ$51:$BS$57,5,0),0)+IFERROR(HLOOKUP($PT13,Calc!$AQ$72:$BS$78,5,0),0)+IFERROR(HLOOKUP($PT13,Calc!$AQ$93:$BS$99,5,0),0)</f>
        <v>0</v>
      </c>
      <c r="CX13" s="1070">
        <f>IFERROR(HLOOKUP($PT13,Calc!$AQ$9:$BS$15,6,0),0)+IFERROR(HLOOKUP($PT13,Calc!$AQ$30:$BS$36,6,0),0)+IFERROR(HLOOKUP($PT13,Calc!$AQ$51:$BS$57,6,0),0)+IFERROR(HLOOKUP($PT13,Calc!$AQ$72:$BS$78,6,0),0)+IFERROR(HLOOKUP($PT13,Calc!$AQ$93:$BS$99,6,0),0)</f>
        <v>0</v>
      </c>
      <c r="CY13" s="1070">
        <f>IFERROR(HLOOKUP($PT13,Calc!$AQ$9:$BS$15,7,0),0)+IFERROR(HLOOKUP($PT13,Calc!$AQ$30:$BS$36,7,0),0)+IFERROR(HLOOKUP($PT13,Calc!$AQ$51:$BS$57,7,0),0)+IFERROR(HLOOKUP($PT13,Calc!$AQ$72:$BS$78,7,0),0)+IFERROR(HLOOKUP($PT13,Calc!$AQ$93:$BS$99,7,0),0)</f>
        <v>0</v>
      </c>
      <c r="IY13" s="1070">
        <f>IFERROR(HLOOKUP($PT13,Current_Prior!$AQ$9:$BS$30,3,0),0)</f>
        <v>0</v>
      </c>
      <c r="IZ13" s="1070">
        <f>IFERROR(HLOOKUP($PT13,Current_Prior!$AQ$9:$BS$30,6,0),0)</f>
        <v>0</v>
      </c>
      <c r="JA13" s="1070">
        <f>IFERROR(IF(Calc!$C$129="Dollar ($)",HLOOKUP($PT13,Current_Prior!$AQ$9:$BS$30,5,0),0),0)</f>
        <v>0</v>
      </c>
      <c r="JB13" s="1070">
        <f>IFERROR(IF(Calc!$C$129="Volume (units)",HLOOKUP($PT13,Current_Prior!$AQ$9:$BS$30,5,0),0),0)</f>
        <v>0</v>
      </c>
      <c r="JC13" s="1070">
        <f>IFERROR(HLOOKUP($PT13,Current_Prior!$AQ$9:$BS$30,9,0),0)</f>
        <v>0</v>
      </c>
      <c r="JD13" s="1070">
        <f>IFERROR(HLOOKUP($PT13,Current_Prior!$AQ$9:$BS$30,10,0),0)</f>
        <v>0</v>
      </c>
      <c r="JE13" s="1070">
        <f>IFERROR(HLOOKUP($PT13,Current_Prior!$AQ$9:$BS$30,11,0),0)</f>
        <v>0</v>
      </c>
      <c r="JF13" s="1070">
        <f>IFERROR(HLOOKUP($PT13,Current_Prior!$AQ$9:$BS$30,12,0),0)</f>
        <v>0</v>
      </c>
      <c r="JG13" s="1070">
        <f>IFERROR(HLOOKUP($PT13,Current_Prior!$AQ$9:$BS$30,13,0),0)</f>
        <v>0</v>
      </c>
      <c r="JH13" s="1070">
        <f>IFERROR(HLOOKUP($PT13,Current_Prior!$AQ$9:$BS$30,17,0),0)</f>
        <v>0</v>
      </c>
      <c r="JI13" s="1070">
        <f>IFERROR(HLOOKUP($PT13,Current_Prior!$AQ$9:$BS$30,19,0),0)</f>
        <v>0</v>
      </c>
      <c r="JJ13" s="1070">
        <f>IFERROR(HLOOKUP($PT13,Current_Prior!$AQ$9:$BS$30,20,0),0)</f>
        <v>0</v>
      </c>
      <c r="JK13" s="1070">
        <f>IFERROR(HLOOKUP($PT13,Current_Prior!$AQ$9:$BS$30,21,0),0)</f>
        <v>0</v>
      </c>
      <c r="JL13" s="1070">
        <f>IFERROR(HLOOKUP($PT13,Current_Prior!$AQ$9:$BS$31,23,0),0)</f>
        <v>0</v>
      </c>
      <c r="ML13" s="1082">
        <f>IFERROR(HLOOKUP($PT13,HistInfo!$G$15:$AI$37,3,0),0)</f>
        <v>0</v>
      </c>
      <c r="MM13" s="1082">
        <f>IFERROR(HLOOKUP($PT13,HistInfo!$G$15:$AI$37,6,0),0)</f>
        <v>0</v>
      </c>
      <c r="MN13" s="1070">
        <f>IFERROR(IF(HistInfo!$C$19="Dollar ($)",HLOOKUP($PT13,HistInfo!$G$15:$AI$37,5,0),0),0)</f>
        <v>0</v>
      </c>
      <c r="MO13" s="1070">
        <f>IFERROR(IF(HistInfo!$C$19="Volume (units)",HLOOKUP($PT13,HistInfo!$G$15:$AI$37,5,0),0),0)</f>
        <v>0</v>
      </c>
      <c r="MP13" s="1082">
        <f>IFERROR(HLOOKUP($PT13,HistInfo!$G$15:$AI$37,9,0),0)</f>
        <v>0</v>
      </c>
      <c r="MQ13" s="1082">
        <f>IFERROR(HLOOKUP($PT13,HistInfo!$G$15:$AI$37,10,0),0)</f>
        <v>0</v>
      </c>
      <c r="MR13" s="1082">
        <f>IFERROR(HLOOKUP($PT13,HistInfo!$G$15:$AI$37,11,0),0)</f>
        <v>0</v>
      </c>
      <c r="MS13" s="1082">
        <f>IFERROR(HLOOKUP($PT13,HistInfo!$G$15:$AI$37,12,0),0)</f>
        <v>0</v>
      </c>
      <c r="MT13" s="1082">
        <f>IFERROR(HLOOKUP($PT13,HistInfo!$G$15:$AI$37,13,0),0)</f>
        <v>0</v>
      </c>
      <c r="MU13" s="1082">
        <f>IFERROR(HLOOKUP($PT13,HistInfo!$G$15:$AI$37,17,0),0)</f>
        <v>0</v>
      </c>
      <c r="MV13" s="1082">
        <f>IFERROR(HLOOKUP($PT13,HistInfo!$G$15:$AI$37,19,0),0)</f>
        <v>0</v>
      </c>
      <c r="MW13" s="1082">
        <f>IFERROR(HLOOKUP($PT13,HistInfo!$G$15:$AI$37,20,0),0)</f>
        <v>0</v>
      </c>
      <c r="MX13" s="1082">
        <f>IFERROR(HLOOKUP($PT13,HistInfo!$G$15:$AI$37,21,0),0)</f>
        <v>0</v>
      </c>
      <c r="MY13" s="1082">
        <f>IFERROR(HLOOKUP($PT13,HistInfo!$G$15:$AI$37,23,0),0)</f>
        <v>0</v>
      </c>
      <c r="PS13" s="1070">
        <v>23</v>
      </c>
      <c r="PT13" s="1082" t="str">
        <f t="shared" si="1"/>
        <v>FY23</v>
      </c>
      <c r="PU13" s="1070" t="str">
        <f t="shared" si="2"/>
        <v>2023</v>
      </c>
      <c r="PX13" s="1070" t="s">
        <v>1138</v>
      </c>
      <c r="PY13" s="1070">
        <f t="shared" si="6"/>
        <v>11</v>
      </c>
    </row>
    <row r="14" spans="1:441" x14ac:dyDescent="0.3">
      <c r="A14" s="1070" t="str">
        <f t="shared" si="5"/>
        <v>Life Sciences</v>
      </c>
      <c r="B14" s="1070" t="str">
        <f t="shared" si="5"/>
        <v>BDB</v>
      </c>
      <c r="C14" s="1070">
        <f t="shared" si="5"/>
        <v>0</v>
      </c>
      <c r="D14" s="1070">
        <f t="shared" si="3"/>
        <v>0</v>
      </c>
      <c r="E14" s="1082">
        <f>Input!D27</f>
        <v>0</v>
      </c>
      <c r="F14" s="1082">
        <f>Input!J27</f>
        <v>0</v>
      </c>
      <c r="G14" s="1070">
        <f t="shared" si="4"/>
        <v>0</v>
      </c>
      <c r="H14" s="1070">
        <f t="shared" si="4"/>
        <v>0</v>
      </c>
      <c r="I14" s="1070">
        <f t="shared" si="4"/>
        <v>0</v>
      </c>
      <c r="J14" s="1070" t="str">
        <f t="shared" si="4"/>
        <v>Budget</v>
      </c>
      <c r="K14" s="1070" t="str">
        <f t="shared" si="0"/>
        <v>2024</v>
      </c>
      <c r="L14" s="1070">
        <f>IF(PPT!$D$2="$ M",IFERROR(HLOOKUP($PT14,PPT!$E$117:$BJ$119,3,0),0)*1000,IFERROR(HLOOKUP($PT14,PPT!$E$117:$BJ$119,3,0),0))</f>
        <v>38568.729451259293</v>
      </c>
      <c r="M14" s="1070">
        <f>IF(PPT!$D$2="$ M",IFERROR(HLOOKUP($PT14,PPT!$E$133:$BJ$159,4,0),0)*1000,IFERROR(HLOOKUP($PT14,PPT!$E$133:$BJ$159,4,0),0))</f>
        <v>0</v>
      </c>
      <c r="N14" s="1070">
        <f>IF(PPT!$D$2="$ M",IFERROR(HLOOKUP($PT14,PPT!$E$133:$BJ$159,5,0),0)*1000,IFERROR(HLOOKUP($PT14,PPT!$E$133:$BJ$159,5,0),0))</f>
        <v>0</v>
      </c>
      <c r="O14" s="1070">
        <f>IF(PPT!$D$2="$ M",IFERROR(HLOOKUP($PT14,PPT!$E$133:$BJ$159,6,0),0)*1000,IFERROR(HLOOKUP($PT14,PPT!$E$133:$BJ$159,6,0),0))</f>
        <v>0</v>
      </c>
      <c r="P14" s="1070">
        <f>IF(PPT!$D$2="$ M",IFERROR(HLOOKUP($PT14,PPT!$E$133:$BJ$159,7,0),0)*1000,IFERROR(HLOOKUP($PT14,PPT!$E$133:$BJ$159,7,0),0))</f>
        <v>0</v>
      </c>
      <c r="Q14" s="1070">
        <f>IFERROR(HLOOKUP($PT14,Calc!$G$125:$AI$146,3,0),0)</f>
        <v>38568.729451259293</v>
      </c>
      <c r="R14" s="1070">
        <f>IF(PPT!$D$2="$ M",IFERROR(HLOOKUP($PT14,PPT!$E$133:$BJ$159,9,0),0),IFERROR(HLOOKUP($PT14,PPT!$E$133:$BJ$159,9,0),0))</f>
        <v>1.3140491891891894</v>
      </c>
      <c r="S14" s="1070" t="str">
        <f>IF(PPT!$D$2="$ M",IFERROR(HLOOKUP($PT14,PPT!$E$133:$BJ$159,10,0),0),IFERROR(HLOOKUP($PT14,PPT!$E$133:$BJ$159,10,0),0))</f>
        <v/>
      </c>
      <c r="T14" s="1070">
        <f>IFERROR(IF(Calc!$C$129="Dollar ($)",HLOOKUP($PT14,Calc!$G$125:$AI$146,5,0),0),0)</f>
        <v>0</v>
      </c>
      <c r="U14" s="1070">
        <f>IFERROR(IF(Calc!$C$129="Volume (units)",HLOOKUP($PT14,Calc!$G$125:$AI$146,5,0),0),0)</f>
        <v>0</v>
      </c>
      <c r="V14" s="1070">
        <f>IFERROR(HLOOKUP($PT14,Calc!$G$125:$AI$146,6,0),0)</f>
        <v>38568.729451259293</v>
      </c>
      <c r="W14" s="1070">
        <f>IFERROR(HLOOKUP($PT14,Calc!$G$125:$AI$146,7,0),0)</f>
        <v>11698.892563884183</v>
      </c>
      <c r="X14" s="1070">
        <f>IFERROR(HLOOKUP($PT14,Calc!$G$125:$AI$146,8,0),0)</f>
        <v>0</v>
      </c>
      <c r="Y14" s="1070">
        <f>IFERROR(HLOOKUP($PT14,Calc!$G$125:$AI$146,9,0),0)</f>
        <v>26869.83688737511</v>
      </c>
      <c r="Z14" s="1070">
        <f>IFERROR(HLOOKUP($PT14,Calc!$G$125:$AI$146,10,0),0)</f>
        <v>0.69667415208301064</v>
      </c>
      <c r="AA14" s="1070">
        <f>IFERROR(HLOOKUP($PT14,Calc!$G$125:$AI$146,11,0),0)</f>
        <v>3694.2371301226672</v>
      </c>
      <c r="AB14" s="1070">
        <f>IFERROR(HLOOKUP($PT14,Calc!$G$125:$AI$146,12,0),0)</f>
        <v>205.83868703780806</v>
      </c>
      <c r="AC14" s="1070">
        <f>IFERROR(HLOOKUP($PT14,Calc!$G$125:$AI$146,13,0),0)</f>
        <v>22969.761070214634</v>
      </c>
      <c r="AD14" s="1070">
        <f>IFERROR(HLOOKUP($PT14,Calc!$G$125:$AI$146,14,0),0)</f>
        <v>0.5955539992377078</v>
      </c>
      <c r="AE14" s="1070">
        <f>IFERROR(HLOOKUP($PT14,Calc!$G$125:$AI$146,15,0),0)</f>
        <v>933.33333333333337</v>
      </c>
      <c r="AF14" s="1070">
        <f>IFERROR(HLOOKUP($PT14,Calc!$G$125:$AI$146,16,0),0)</f>
        <v>6170.1997663267648</v>
      </c>
      <c r="AG14" s="1070">
        <f>IFERROR(HLOOKUP($PT14,Calc!$G$125:$AI$146,17,0),0)</f>
        <v>15866.227970554537</v>
      </c>
      <c r="AH14" s="1070">
        <f>IFERROR(HLOOKUP($PT14,Calc!$G$125:$AI$146,18,0),0)</f>
        <v>0.41137543798546089</v>
      </c>
      <c r="AI14" s="1070">
        <f>IFERROR(HLOOKUP($PT14,Calc!$G$125:$AI$146,19,0),0)</f>
        <v>-933.33333333333337</v>
      </c>
      <c r="AJ14" s="1070">
        <f>IFERROR(HLOOKUP($PT14,Calc!$G$125:$AI$146,20,0),0)</f>
        <v>4194.6694701487686</v>
      </c>
      <c r="AK14" s="1070">
        <f>IFERROR(HLOOKUP($PT14,Calc!$G$125:$AI$146,21,0),0)</f>
        <v>12604.891833739101</v>
      </c>
      <c r="AL14" s="1070">
        <f>IFERROR(HLOOKUP($PT14,Calc!$G$125:$AI$146,22,0),0)</f>
        <v>0.32681636167632538</v>
      </c>
      <c r="AM14" s="1070">
        <f>IFERROR(HLOOKUP($PT14,Calc!$G$125:$AI$147,23,0),0)</f>
        <v>5449.4425832056359</v>
      </c>
      <c r="AN14" s="1070">
        <f>IF(PPT!$D$2="$ M",IFERROR(HLOOKUP($PT14,PPT!$E$131:$BJ$159,5,0),0)*1000,IFERROR(HLOOKUP($PT14,PPT!$E$131:$BJ$159,5,0),0))</f>
        <v>0</v>
      </c>
      <c r="AO14" s="1070">
        <f>IF(PPT!$D$2="$ M",IFERROR(HLOOKUP($PT14,PPT!$E$131:$BJ$159,6,0),0)*1000,IFERROR(HLOOKUP($PT14,PPT!$E$131:$BJ$159,6,0),0))</f>
        <v>0</v>
      </c>
      <c r="AP14" s="1070">
        <f>IF(PPT!$D$2="$ M",IFERROR(HLOOKUP($PT14,PPT!$E$131:$BJ$159,7,0),0)*1000,IFERROR(HLOOKUP($PT14,PPT!$E$131:$BJ$159,7,0),0))</f>
        <v>0</v>
      </c>
      <c r="AQ14" s="1070">
        <f>IF(PPT!$D$2="$ M",IFERROR(HLOOKUP($PT14,PPT!$E$131:$BJ$159,8,0),0)*1000,IFERROR(HLOOKUP($PT14,PPT!$E$131:$BJ$159,8,0),0))</f>
        <v>0</v>
      </c>
      <c r="AR14" s="1070">
        <f>IF(PPT!$D$2="$ M",IFERROR(HLOOKUP($PT14,PPT!$E$131:$BJ$159,9,0),0)*1000,IFERROR(HLOOKUP($PT14,PPT!$E$131:$BJ$159,9,0),0))</f>
        <v>0</v>
      </c>
      <c r="AS14" s="1070">
        <f>IF(PPT!$D$2="$ M",IFERROR(HLOOKUP($PT14,PPT!$E$131:$BJ$159,10,0),0)*1000,IFERROR(HLOOKUP($PT14,PPT!$E$131:$BJ$159,10,0),0))</f>
        <v>0</v>
      </c>
      <c r="AT14" s="1070">
        <f>IF(PPT!$D$2="$ M",IFERROR(HLOOKUP($PT14,PPT!$E$131:$BJ$159,13,0),0)*1000,IFERROR(HLOOKUP($PT14,PPT!$E$131:$BJ$159,13,0),0))</f>
        <v>0</v>
      </c>
      <c r="AU14" s="1070">
        <f>IF(PPT!$D$2="$ M",IFERROR(HLOOKUP($PT14,PPT!$E$131:$BJ$159,14,0),0)*1000,IFERROR(HLOOKUP($PT14,PPT!$E$131:$BJ$159,14,0),0))</f>
        <v>0</v>
      </c>
      <c r="AV14" s="1070">
        <f>IF(PPT!$D$2="$ M",IFERROR(HLOOKUP($PT14,PPT!$E$131:$BJ$159,15,0),0)*1000,IFERROR(HLOOKUP($PT14,PPT!$E$131:$BJ$159,15,0),0))</f>
        <v>0</v>
      </c>
      <c r="AW14" s="1070">
        <f>IF(PPT!$D$2="$ M",IFERROR(HLOOKUP($PT14,PPT!$E$131:$BJ$159,17,0),0)*1000,IFERROR(HLOOKUP($PT14,PPT!$E$131:$BJ$159,17,0),0))</f>
        <v>0</v>
      </c>
      <c r="AX14" s="1070">
        <f>IF(PPT!$D$2="$ M",IFERROR(HLOOKUP($PT14,PPT!$E$131:$BJ$159,18,0),0)*1000,IFERROR(HLOOKUP($PT14,PPT!$E$131:$BJ$159,18,0),0))</f>
        <v>0</v>
      </c>
      <c r="AY14" s="1070">
        <f>IF(PPT!$D$2="$ M",IFERROR(HLOOKUP($PT14,PPT!$E$131:$BJ$159,19,0),0)*1000,IFERROR(HLOOKUP($PT14,PPT!$E$131:$BJ$159,19,0),0))</f>
        <v>0</v>
      </c>
      <c r="AZ14" s="1070">
        <f>IF(PPT!$D$2="$ M",IFERROR(HLOOKUP($PT14,PPT!$E$131:$BJ$159,21,0),0)*1000,IFERROR(HLOOKUP($PT14,PPT!$E$131:$BJ$159,21,0),0))</f>
        <v>0</v>
      </c>
      <c r="BA14" s="1070">
        <f>IF(PPT!$D$2="$ M",IFERROR(HLOOKUP($PT14,PPT!$E$131:$BJ$159,22,0),0)*1000,IFERROR(HLOOKUP($PT14,PPT!$E$131:$BJ$159,22,0),0))</f>
        <v>0</v>
      </c>
      <c r="BB14" s="1070">
        <f>IF(PPT!$D$2="$ M",IFERROR(HLOOKUP($PT14,PPT!$E$131:$BJ$159,23,0),0)*1000,IFERROR(HLOOKUP($PT14,PPT!$E$131:$BJ$159,23,0),0))</f>
        <v>0</v>
      </c>
      <c r="BC14" s="1070">
        <f>IF(PPT!$D$2="$ M",IFERROR(HLOOKUP($PT14,PPT!$E$131:$BJ$159,25,0),0)*1000,IFERROR(HLOOKUP($PT14,PPT!$E$131:$BJ$159,25,0),0))</f>
        <v>0</v>
      </c>
      <c r="BD14" s="1070">
        <f>IF(PPT!$D$2="$ M",IFERROR(HLOOKUP($PT14,PPT!$E$131:$BJ$159,26,0),0)*1000,IFERROR(HLOOKUP($PT14,PPT!$E$131:$BJ$159,26,0),0))</f>
        <v>0</v>
      </c>
      <c r="BE14" s="1070">
        <f>IF(PPT!$D$2="$ M",IFERROR(HLOOKUP($PT14,PPT!$E$131:$BJ$159,27,0),0)*1000,IFERROR(HLOOKUP($PT14,PPT!$E$131:$BJ$159,27,0),0))</f>
        <v>0</v>
      </c>
      <c r="BF14" s="1070">
        <f>IFERROR(HLOOKUP($PT14,Calc!$F$151:$P$166,2,0),0)</f>
        <v>0</v>
      </c>
      <c r="BG14" s="1070">
        <f>IFERROR(HLOOKUP($PT14,Calc!$F$151:$P$166,3,0),0)</f>
        <v>0</v>
      </c>
      <c r="BH14" s="1070">
        <f>IFERROR(HLOOKUP($PT14,Calc!$F$151:$P$166,4,0),0)</f>
        <v>0</v>
      </c>
      <c r="BI14" s="1070">
        <f>IFERROR(HLOOKUP($PT14,Calc!$F$151:$P$166,5,0),0)</f>
        <v>0</v>
      </c>
      <c r="BJ14" s="1070">
        <f>IFERROR(HLOOKUP($PT14,Calc!$F$151:$P$166,6,0),0)</f>
        <v>0</v>
      </c>
      <c r="BK14" s="1070">
        <f>IFERROR(HLOOKUP($PT14,Calc!$F$151:$P$166,7,0),0)</f>
        <v>0</v>
      </c>
      <c r="BL14" s="1070">
        <f>IFERROR(HLOOKUP($PT14,Calc!$F$151:$P$166,8,0),0)</f>
        <v>0</v>
      </c>
      <c r="BM14" s="1070">
        <f>IFERROR(HLOOKUP($PT14,Calc!$F$151:$P$166,9,0),0)</f>
        <v>0</v>
      </c>
      <c r="BN14" s="1070">
        <f>IFERROR(HLOOKUP($PT14,Calc!$F$151:$P$166,10,0),0)</f>
        <v>0</v>
      </c>
      <c r="BO14" s="1070">
        <f>IFERROR(HLOOKUP($PT14,Calc!$F$151:$P$166,11,0),0)</f>
        <v>0</v>
      </c>
      <c r="BP14" s="1070">
        <f>IFERROR(HLOOKUP($PT14,Calc!$F$151:$P$166,12,0),0)</f>
        <v>0</v>
      </c>
      <c r="BQ14" s="1070">
        <f>IFERROR(HLOOKUP($PT14,Calc!$F$151:$P$166,13,0),0)</f>
        <v>0</v>
      </c>
      <c r="BR14" s="1070">
        <f>IFERROR(HLOOKUP($PT14,Calc!$F$151:$P$166,14,0),0)</f>
        <v>0</v>
      </c>
      <c r="BS14" s="1070">
        <f>IFERROR(HLOOKUP($PT14,Calc!$F$151:$P$166,15,0),0)</f>
        <v>0</v>
      </c>
      <c r="BT14" s="1070">
        <f>IFERROR(HLOOKUP($PT14,Calc!$F$151:$P$166,16,0),0)</f>
        <v>0</v>
      </c>
      <c r="BU14" s="1070">
        <f>IFERROR(VLOOKUP($PS14,Calc!$AF$196:$AH$203,2,0),0)</f>
        <v>0</v>
      </c>
      <c r="BV14" s="1070">
        <f>IFERROR(VLOOKUP($PS14,Calc!$AF$196:$AH$203,3,0),0)</f>
        <v>0</v>
      </c>
      <c r="BW14" s="1070">
        <f>IFERROR(VLOOKUP($PS14,Calc!$AF$196:$AI$203,4,0),0)</f>
        <v>0</v>
      </c>
      <c r="BX14" s="1070">
        <f>IFERROR(VLOOKUP($PS14,Calc!$AF$208:$AI$209,2,0),0)</f>
        <v>0</v>
      </c>
      <c r="BY14" s="1070">
        <f>IFERROR(VLOOKUP($PS14,Calc!$AF$208:$AI$209,3,0),0)</f>
        <v>0</v>
      </c>
      <c r="BZ14" s="1070">
        <f>IFERROR(VLOOKUP($PS14,Calc!$AF$208:$AI$209,4,0),0)</f>
        <v>0</v>
      </c>
      <c r="CA14" s="1070">
        <f>IFERROR(VLOOKUP($PS14,Calc!$K$420:$P$433,3,0),0)</f>
        <v>0</v>
      </c>
      <c r="CB14" s="1070">
        <f>IFERROR(VLOOKUP($PS14,Calc!$K$420:$P$433,4,0),0)</f>
        <v>0</v>
      </c>
      <c r="CC14" s="1070">
        <f>IFERROR(VLOOKUP($PS14,Calc!$K$420:$P$433,5,0),0)</f>
        <v>0</v>
      </c>
      <c r="CD14" s="1070">
        <f>IFERROR(VLOOKUP($PS14,Calc!$K$420:$P$433,6,0),0)</f>
        <v>0</v>
      </c>
      <c r="CE14" s="1070">
        <f>IFERROR(VLOOKUP($PS14,Calc!$AQ$420:$AV$433,3,0),0)</f>
        <v>0</v>
      </c>
      <c r="CF14" s="1070">
        <f>IFERROR(VLOOKUP($PS14,Calc!$AQ$420:$AV$433,4,0),0)</f>
        <v>0</v>
      </c>
      <c r="CG14" s="1070">
        <f>IFERROR(VLOOKUP($PS14,Calc!$AQ$420:$AV$433,5,0),0)</f>
        <v>0</v>
      </c>
      <c r="CH14" s="1070">
        <f>IFERROR(VLOOKUP($PS14,Calc!$AQ$420:$AV$433,6,0),0)</f>
        <v>0</v>
      </c>
      <c r="CI14" s="1070">
        <f>IFERROR(HLOOKUP($PT14,Calc!$AQ$125:$BS$146,3,0),0)</f>
        <v>0</v>
      </c>
      <c r="CJ14" s="1070">
        <f>IFERROR(HLOOKUP($PT14,Calc!$AQ$125:$BS$146,6,0),0)</f>
        <v>0</v>
      </c>
      <c r="CK14" s="1070">
        <f>IFERROR(IF(Calc!$C$129="Dollar ($)",HLOOKUP($PT14,Calc!$AQ$125:$BS$146,5,0),0),0)</f>
        <v>0</v>
      </c>
      <c r="CL14" s="1070">
        <f>IFERROR(IF(Calc!$C$129="Volume (units)",HLOOKUP($PT14,Calc!$AQ$125:$BS$146,5,0),0),0)</f>
        <v>0</v>
      </c>
      <c r="CM14" s="1070">
        <f>IFERROR(HLOOKUP($PT14,Calc!$AQ$125:$BS$146,9,0),0)</f>
        <v>0</v>
      </c>
      <c r="CN14" s="1070">
        <f>IFERROR(HLOOKUP($PT14,Calc!$AQ$125:$BS$146,10,0),0)</f>
        <v>0</v>
      </c>
      <c r="CO14" s="1070">
        <f>IFERROR(HLOOKUP($PT14,Calc!$AQ$125:$BS$146,11,0),0)</f>
        <v>0</v>
      </c>
      <c r="CP14" s="1070">
        <f>IFERROR(HLOOKUP($PT14,Calc!$AQ$125:$BS$146,12,0),0)</f>
        <v>0</v>
      </c>
      <c r="CQ14" s="1070">
        <f>IFERROR(HLOOKUP($PT14,Calc!$AQ$125:$BS$146,13,0),0)</f>
        <v>0</v>
      </c>
      <c r="CR14" s="1070">
        <f>IFERROR(HLOOKUP($PT14,Calc!$AQ$125:$BS$146,17,0),0)</f>
        <v>0</v>
      </c>
      <c r="CS14" s="1070">
        <f>IFERROR(HLOOKUP($PT14,Calc!$AQ$125:$BS$146,19,0),0)</f>
        <v>0</v>
      </c>
      <c r="CT14" s="1070">
        <f>IFERROR(HLOOKUP($PT14,Calc!$AQ$125:$BS$146,20,0),0)</f>
        <v>0</v>
      </c>
      <c r="CU14" s="1070">
        <f>IFERROR(HLOOKUP($PT14,Calc!$AQ$125:$BS$146,21,0),0)</f>
        <v>0</v>
      </c>
      <c r="CV14" s="1070">
        <f>IFERROR(HLOOKUP($PT14,Calc!$AQ$125:$BS$147,23,0),0)</f>
        <v>0</v>
      </c>
      <c r="CW14" s="1070">
        <f>IFERROR(HLOOKUP($PT14,Calc!$AQ$9:$BS$15,5,0),0)+IFERROR(HLOOKUP($PT14,Calc!$AQ$30:$BS$36,5,0),0)+IFERROR(HLOOKUP($PT14,Calc!$AQ$51:$BS$57,5,0),0)+IFERROR(HLOOKUP($PT14,Calc!$AQ$72:$BS$78,5,0),0)+IFERROR(HLOOKUP($PT14,Calc!$AQ$93:$BS$99,5,0),0)</f>
        <v>0</v>
      </c>
      <c r="CX14" s="1070">
        <f>IFERROR(HLOOKUP($PT14,Calc!$AQ$9:$BS$15,6,0),0)+IFERROR(HLOOKUP($PT14,Calc!$AQ$30:$BS$36,6,0),0)+IFERROR(HLOOKUP($PT14,Calc!$AQ$51:$BS$57,6,0),0)+IFERROR(HLOOKUP($PT14,Calc!$AQ$72:$BS$78,6,0),0)+IFERROR(HLOOKUP($PT14,Calc!$AQ$93:$BS$99,6,0),0)</f>
        <v>0</v>
      </c>
      <c r="CY14" s="1070">
        <f>IFERROR(HLOOKUP($PT14,Calc!$AQ$9:$BS$15,7,0),0)+IFERROR(HLOOKUP($PT14,Calc!$AQ$30:$BS$36,7,0),0)+IFERROR(HLOOKUP($PT14,Calc!$AQ$51:$BS$57,7,0),0)+IFERROR(HLOOKUP($PT14,Calc!$AQ$72:$BS$78,7,0),0)+IFERROR(HLOOKUP($PT14,Calc!$AQ$93:$BS$99,7,0),0)</f>
        <v>0</v>
      </c>
      <c r="IY14" s="1070">
        <f>IFERROR(HLOOKUP($PT14,Current_Prior!$AQ$9:$BS$30,3,0),0)</f>
        <v>0</v>
      </c>
      <c r="IZ14" s="1070">
        <f>IFERROR(HLOOKUP($PT14,Current_Prior!$AQ$9:$BS$30,6,0),0)</f>
        <v>0</v>
      </c>
      <c r="JA14" s="1070">
        <f>IFERROR(IF(Calc!$C$129="Dollar ($)",HLOOKUP($PT14,Current_Prior!$AQ$9:$BS$30,5,0),0),0)</f>
        <v>0</v>
      </c>
      <c r="JB14" s="1070">
        <f>IFERROR(IF(Calc!$C$129="Volume (units)",HLOOKUP($PT14,Current_Prior!$AQ$9:$BS$30,5,0),0),0)</f>
        <v>0</v>
      </c>
      <c r="JC14" s="1070">
        <f>IFERROR(HLOOKUP($PT14,Current_Prior!$AQ$9:$BS$30,9,0),0)</f>
        <v>0</v>
      </c>
      <c r="JD14" s="1070">
        <f>IFERROR(HLOOKUP($PT14,Current_Prior!$AQ$9:$BS$30,10,0),0)</f>
        <v>0</v>
      </c>
      <c r="JE14" s="1070">
        <f>IFERROR(HLOOKUP($PT14,Current_Prior!$AQ$9:$BS$30,11,0),0)</f>
        <v>0</v>
      </c>
      <c r="JF14" s="1070">
        <f>IFERROR(HLOOKUP($PT14,Current_Prior!$AQ$9:$BS$30,12,0),0)</f>
        <v>0</v>
      </c>
      <c r="JG14" s="1070">
        <f>IFERROR(HLOOKUP($PT14,Current_Prior!$AQ$9:$BS$30,13,0),0)</f>
        <v>0</v>
      </c>
      <c r="JH14" s="1070">
        <f>IFERROR(HLOOKUP($PT14,Current_Prior!$AQ$9:$BS$30,17,0),0)</f>
        <v>0</v>
      </c>
      <c r="JI14" s="1070">
        <f>IFERROR(HLOOKUP($PT14,Current_Prior!$AQ$9:$BS$30,19,0),0)</f>
        <v>0</v>
      </c>
      <c r="JJ14" s="1070">
        <f>IFERROR(HLOOKUP($PT14,Current_Prior!$AQ$9:$BS$30,20,0),0)</f>
        <v>0</v>
      </c>
      <c r="JK14" s="1070">
        <f>IFERROR(HLOOKUP($PT14,Current_Prior!$AQ$9:$BS$30,21,0),0)</f>
        <v>0</v>
      </c>
      <c r="JL14" s="1070">
        <f>IFERROR(HLOOKUP($PT14,Current_Prior!$AQ$9:$BS$31,23,0),0)</f>
        <v>0</v>
      </c>
      <c r="ML14" s="1082">
        <f>IFERROR(HLOOKUP($PT14,HistInfo!$G$15:$AI$37,3,0),0)</f>
        <v>0</v>
      </c>
      <c r="MM14" s="1082">
        <f>IFERROR(HLOOKUP($PT14,HistInfo!$G$15:$AI$37,6,0),0)</f>
        <v>0</v>
      </c>
      <c r="MN14" s="1070">
        <f>IFERROR(IF(HistInfo!$C$19="Dollar ($)",HLOOKUP($PT14,HistInfo!$G$15:$AI$37,5,0),0),0)</f>
        <v>0</v>
      </c>
      <c r="MO14" s="1070">
        <f>IFERROR(IF(HistInfo!$C$19="Volume (units)",HLOOKUP($PT14,HistInfo!$G$15:$AI$37,5,0),0),0)</f>
        <v>0</v>
      </c>
      <c r="MP14" s="1082">
        <f>IFERROR(HLOOKUP($PT14,HistInfo!$G$15:$AI$37,9,0),0)</f>
        <v>0</v>
      </c>
      <c r="MQ14" s="1082">
        <f>IFERROR(HLOOKUP($PT14,HistInfo!$G$15:$AI$37,10,0),0)</f>
        <v>0</v>
      </c>
      <c r="MR14" s="1082">
        <f>IFERROR(HLOOKUP($PT14,HistInfo!$G$15:$AI$37,11,0),0)</f>
        <v>0</v>
      </c>
      <c r="MS14" s="1082">
        <f>IFERROR(HLOOKUP($PT14,HistInfo!$G$15:$AI$37,12,0),0)</f>
        <v>0</v>
      </c>
      <c r="MT14" s="1082">
        <f>IFERROR(HLOOKUP($PT14,HistInfo!$G$15:$AI$37,13,0),0)</f>
        <v>0</v>
      </c>
      <c r="MU14" s="1082">
        <f>IFERROR(HLOOKUP($PT14,HistInfo!$G$15:$AI$37,17,0),0)</f>
        <v>0</v>
      </c>
      <c r="MV14" s="1082">
        <f>IFERROR(HLOOKUP($PT14,HistInfo!$G$15:$AI$37,19,0),0)</f>
        <v>0</v>
      </c>
      <c r="MW14" s="1082">
        <f>IFERROR(HLOOKUP($PT14,HistInfo!$G$15:$AI$37,20,0),0)</f>
        <v>0</v>
      </c>
      <c r="MX14" s="1082">
        <f>IFERROR(HLOOKUP($PT14,HistInfo!$G$15:$AI$37,21,0),0)</f>
        <v>0</v>
      </c>
      <c r="MY14" s="1082">
        <f>IFERROR(HLOOKUP($PT14,HistInfo!$G$15:$AI$37,23,0),0)</f>
        <v>0</v>
      </c>
      <c r="PS14" s="1070">
        <v>24</v>
      </c>
      <c r="PT14" s="1082" t="str">
        <f t="shared" si="1"/>
        <v>FY24</v>
      </c>
      <c r="PU14" s="1070" t="str">
        <f t="shared" si="2"/>
        <v>2024</v>
      </c>
      <c r="PX14" s="1070" t="s">
        <v>1139</v>
      </c>
      <c r="PY14" s="1070">
        <f t="shared" si="6"/>
        <v>12</v>
      </c>
    </row>
    <row r="15" spans="1:441" x14ac:dyDescent="0.3">
      <c r="A15" s="1070" t="str">
        <f t="shared" si="5"/>
        <v>Life Sciences</v>
      </c>
      <c r="B15" s="1070" t="str">
        <f t="shared" si="5"/>
        <v>BDB</v>
      </c>
      <c r="C15" s="1070">
        <f t="shared" si="5"/>
        <v>0</v>
      </c>
      <c r="D15" s="1070">
        <f t="shared" si="3"/>
        <v>0</v>
      </c>
      <c r="E15" s="1082">
        <f>Input!D28</f>
        <v>0</v>
      </c>
      <c r="F15" s="1082">
        <f>Input!J28</f>
        <v>0</v>
      </c>
      <c r="G15" s="1070">
        <f t="shared" si="4"/>
        <v>0</v>
      </c>
      <c r="H15" s="1070">
        <f t="shared" si="4"/>
        <v>0</v>
      </c>
      <c r="I15" s="1070">
        <f t="shared" si="4"/>
        <v>0</v>
      </c>
      <c r="J15" s="1070" t="str">
        <f t="shared" si="4"/>
        <v>Budget</v>
      </c>
      <c r="K15" s="1070" t="str">
        <f t="shared" si="0"/>
        <v>2025</v>
      </c>
      <c r="L15" s="1070">
        <f>IF(PPT!$D$2="$ M",IFERROR(HLOOKUP($PT15,PPT!$E$117:$BJ$119,3,0),0)*1000,IFERROR(HLOOKUP($PT15,PPT!$E$117:$BJ$119,3,0),0))</f>
        <v>73523.96947665418</v>
      </c>
      <c r="M15" s="1070">
        <f>IF(PPT!$D$2="$ M",IFERROR(HLOOKUP($PT15,PPT!$E$133:$BJ$159,4,0),0)*1000,IFERROR(HLOOKUP($PT15,PPT!$E$133:$BJ$159,4,0),0))</f>
        <v>0</v>
      </c>
      <c r="N15" s="1070">
        <f>IF(PPT!$D$2="$ M",IFERROR(HLOOKUP($PT15,PPT!$E$133:$BJ$159,5,0),0)*1000,IFERROR(HLOOKUP($PT15,PPT!$E$133:$BJ$159,5,0),0))</f>
        <v>0</v>
      </c>
      <c r="O15" s="1070">
        <f>IF(PPT!$D$2="$ M",IFERROR(HLOOKUP($PT15,PPT!$E$133:$BJ$159,6,0),0)*1000,IFERROR(HLOOKUP($PT15,PPT!$E$133:$BJ$159,6,0),0))</f>
        <v>0</v>
      </c>
      <c r="P15" s="1070">
        <f>IF(PPT!$D$2="$ M",IFERROR(HLOOKUP($PT15,PPT!$E$133:$BJ$159,7,0),0)*1000,IFERROR(HLOOKUP($PT15,PPT!$E$133:$BJ$159,7,0),0))</f>
        <v>0</v>
      </c>
      <c r="Q15" s="1070">
        <f>IFERROR(HLOOKUP($PT15,Calc!$G$125:$AI$146,3,0),0)</f>
        <v>73523.96947665418</v>
      </c>
      <c r="R15" s="1070">
        <f>IF(PPT!$D$2="$ M",IFERROR(HLOOKUP($PT15,PPT!$E$133:$BJ$159,9,0),0),IFERROR(HLOOKUP($PT15,PPT!$E$133:$BJ$159,9,0),0))</f>
        <v>0.90631038467495006</v>
      </c>
      <c r="S15" s="1070" t="str">
        <f>IF(PPT!$D$2="$ M",IFERROR(HLOOKUP($PT15,PPT!$E$133:$BJ$159,10,0),0),IFERROR(HLOOKUP($PT15,PPT!$E$133:$BJ$159,10,0),0))</f>
        <v/>
      </c>
      <c r="T15" s="1070">
        <f>IFERROR(IF(Calc!$C$129="Dollar ($)",HLOOKUP($PT15,Calc!$G$125:$AI$146,5,0),0),0)</f>
        <v>0</v>
      </c>
      <c r="U15" s="1070">
        <f>IFERROR(IF(Calc!$C$129="Volume (units)",HLOOKUP($PT15,Calc!$G$125:$AI$146,5,0),0),0)</f>
        <v>0</v>
      </c>
      <c r="V15" s="1070">
        <f>IFERROR(HLOOKUP($PT15,Calc!$G$125:$AI$146,6,0),0)</f>
        <v>73523.96947665418</v>
      </c>
      <c r="W15" s="1070">
        <f>IFERROR(HLOOKUP($PT15,Calc!$G$125:$AI$146,7,0),0)</f>
        <v>22368.383574590458</v>
      </c>
      <c r="X15" s="1070">
        <f>IFERROR(HLOOKUP($PT15,Calc!$G$125:$AI$146,8,0),0)</f>
        <v>0</v>
      </c>
      <c r="Y15" s="1070">
        <f>IFERROR(HLOOKUP($PT15,Calc!$G$125:$AI$146,9,0),0)</f>
        <v>51155.585902063722</v>
      </c>
      <c r="Z15" s="1070">
        <f>IFERROR(HLOOKUP($PT15,Calc!$G$125:$AI$146,10,0),0)</f>
        <v>0.69576746557878633</v>
      </c>
      <c r="AA15" s="1070">
        <f>IFERROR(HLOOKUP($PT15,Calc!$G$125:$AI$146,11,0),0)</f>
        <v>3323.4314505797752</v>
      </c>
      <c r="AB15" s="1070">
        <f>IFERROR(HLOOKUP($PT15,Calc!$G$125:$AI$146,12,0),0)</f>
        <v>209.9554607785642</v>
      </c>
      <c r="AC15" s="1070">
        <f>IFERROR(HLOOKUP($PT15,Calc!$G$125:$AI$146,13,0),0)</f>
        <v>47622.198990705387</v>
      </c>
      <c r="AD15" s="1070">
        <f>IFERROR(HLOOKUP($PT15,Calc!$G$125:$AI$146,14,0),0)</f>
        <v>0.64770984659399689</v>
      </c>
      <c r="AE15" s="1070">
        <f>IFERROR(HLOOKUP($PT15,Calc!$G$125:$AI$146,15,0),0)</f>
        <v>933.33333333333337</v>
      </c>
      <c r="AF15" s="1070">
        <f>IFERROR(HLOOKUP($PT15,Calc!$G$125:$AI$146,16,0),0)</f>
        <v>13072.882384064176</v>
      </c>
      <c r="AG15" s="1070">
        <f>IFERROR(HLOOKUP($PT15,Calc!$G$125:$AI$146,17,0),0)</f>
        <v>33615.983273307873</v>
      </c>
      <c r="AH15" s="1070">
        <f>IFERROR(HLOOKUP($PT15,Calc!$G$125:$AI$146,18,0),0)</f>
        <v>0.45721121305864537</v>
      </c>
      <c r="AI15" s="1070">
        <f>IFERROR(HLOOKUP($PT15,Calc!$G$125:$AI$146,19,0),0)</f>
        <v>-933.33333333333337</v>
      </c>
      <c r="AJ15" s="1070">
        <f>IFERROR(HLOOKUP($PT15,Calc!$G$125:$AI$146,20,0),0)</f>
        <v>6674.0702691069473</v>
      </c>
      <c r="AK15" s="1070">
        <f>IFERROR(HLOOKUP($PT15,Calc!$G$125:$AI$146,21,0),0)</f>
        <v>27875.246337534263</v>
      </c>
      <c r="AL15" s="1070">
        <f>IFERROR(HLOOKUP($PT15,Calc!$G$125:$AI$146,22,0),0)</f>
        <v>0.37913141164644815</v>
      </c>
      <c r="AM15" s="1070">
        <f>IFERROR(HLOOKUP($PT15,Calc!$G$125:$AI$147,23,0),0)</f>
        <v>10479.337595259662</v>
      </c>
      <c r="AN15" s="1070">
        <f>IF(PPT!$D$2="$ M",IFERROR(HLOOKUP($PT15,PPT!$E$131:$BJ$159,5,0),0)*1000,IFERROR(HLOOKUP($PT15,PPT!$E$131:$BJ$159,5,0),0))</f>
        <v>0</v>
      </c>
      <c r="AO15" s="1070">
        <f>IF(PPT!$D$2="$ M",IFERROR(HLOOKUP($PT15,PPT!$E$131:$BJ$159,6,0),0)*1000,IFERROR(HLOOKUP($PT15,PPT!$E$131:$BJ$159,6,0),0))</f>
        <v>0</v>
      </c>
      <c r="AP15" s="1070">
        <f>IF(PPT!$D$2="$ M",IFERROR(HLOOKUP($PT15,PPT!$E$131:$BJ$159,7,0),0)*1000,IFERROR(HLOOKUP($PT15,PPT!$E$131:$BJ$159,7,0),0))</f>
        <v>0</v>
      </c>
      <c r="AQ15" s="1070">
        <f>IF(PPT!$D$2="$ M",IFERROR(HLOOKUP($PT15,PPT!$E$131:$BJ$159,8,0),0)*1000,IFERROR(HLOOKUP($PT15,PPT!$E$131:$BJ$159,8,0),0))</f>
        <v>0</v>
      </c>
      <c r="AR15" s="1070">
        <f>IF(PPT!$D$2="$ M",IFERROR(HLOOKUP($PT15,PPT!$E$131:$BJ$159,9,0),0)*1000,IFERROR(HLOOKUP($PT15,PPT!$E$131:$BJ$159,9,0),0))</f>
        <v>0</v>
      </c>
      <c r="AS15" s="1070">
        <f>IF(PPT!$D$2="$ M",IFERROR(HLOOKUP($PT15,PPT!$E$131:$BJ$159,10,0),0)*1000,IFERROR(HLOOKUP($PT15,PPT!$E$131:$BJ$159,10,0),0))</f>
        <v>0</v>
      </c>
      <c r="AT15" s="1070">
        <f>IF(PPT!$D$2="$ M",IFERROR(HLOOKUP($PT15,PPT!$E$131:$BJ$159,13,0),0)*1000,IFERROR(HLOOKUP($PT15,PPT!$E$131:$BJ$159,13,0),0))</f>
        <v>0</v>
      </c>
      <c r="AU15" s="1070">
        <f>IF(PPT!$D$2="$ M",IFERROR(HLOOKUP($PT15,PPT!$E$131:$BJ$159,14,0),0)*1000,IFERROR(HLOOKUP($PT15,PPT!$E$131:$BJ$159,14,0),0))</f>
        <v>0</v>
      </c>
      <c r="AV15" s="1070">
        <f>IF(PPT!$D$2="$ M",IFERROR(HLOOKUP($PT15,PPT!$E$131:$BJ$159,15,0),0)*1000,IFERROR(HLOOKUP($PT15,PPT!$E$131:$BJ$159,15,0),0))</f>
        <v>0</v>
      </c>
      <c r="AW15" s="1070">
        <f>IF(PPT!$D$2="$ M",IFERROR(HLOOKUP($PT15,PPT!$E$131:$BJ$159,17,0),0)*1000,IFERROR(HLOOKUP($PT15,PPT!$E$131:$BJ$159,17,0),0))</f>
        <v>0</v>
      </c>
      <c r="AX15" s="1070">
        <f>IF(PPT!$D$2="$ M",IFERROR(HLOOKUP($PT15,PPT!$E$131:$BJ$159,18,0),0)*1000,IFERROR(HLOOKUP($PT15,PPT!$E$131:$BJ$159,18,0),0))</f>
        <v>0</v>
      </c>
      <c r="AY15" s="1070">
        <f>IF(PPT!$D$2="$ M",IFERROR(HLOOKUP($PT15,PPT!$E$131:$BJ$159,19,0),0)*1000,IFERROR(HLOOKUP($PT15,PPT!$E$131:$BJ$159,19,0),0))</f>
        <v>0</v>
      </c>
      <c r="AZ15" s="1070">
        <f>IF(PPT!$D$2="$ M",IFERROR(HLOOKUP($PT15,PPT!$E$131:$BJ$159,21,0),0)*1000,IFERROR(HLOOKUP($PT15,PPT!$E$131:$BJ$159,21,0),0))</f>
        <v>0</v>
      </c>
      <c r="BA15" s="1070">
        <f>IF(PPT!$D$2="$ M",IFERROR(HLOOKUP($PT15,PPT!$E$131:$BJ$159,22,0),0)*1000,IFERROR(HLOOKUP($PT15,PPT!$E$131:$BJ$159,22,0),0))</f>
        <v>0</v>
      </c>
      <c r="BB15" s="1070">
        <f>IF(PPT!$D$2="$ M",IFERROR(HLOOKUP($PT15,PPT!$E$131:$BJ$159,23,0),0)*1000,IFERROR(HLOOKUP($PT15,PPT!$E$131:$BJ$159,23,0),0))</f>
        <v>0</v>
      </c>
      <c r="BC15" s="1070">
        <f>IF(PPT!$D$2="$ M",IFERROR(HLOOKUP($PT15,PPT!$E$131:$BJ$159,25,0),0)*1000,IFERROR(HLOOKUP($PT15,PPT!$E$131:$BJ$159,25,0),0))</f>
        <v>0</v>
      </c>
      <c r="BD15" s="1070">
        <f>IF(PPT!$D$2="$ M",IFERROR(HLOOKUP($PT15,PPT!$E$131:$BJ$159,26,0),0)*1000,IFERROR(HLOOKUP($PT15,PPT!$E$131:$BJ$159,26,0),0))</f>
        <v>0</v>
      </c>
      <c r="BE15" s="1070">
        <f>IF(PPT!$D$2="$ M",IFERROR(HLOOKUP($PT15,PPT!$E$131:$BJ$159,27,0),0)*1000,IFERROR(HLOOKUP($PT15,PPT!$E$131:$BJ$159,27,0),0))</f>
        <v>0</v>
      </c>
      <c r="BF15" s="1070">
        <f>IFERROR(HLOOKUP($PT15,Calc!$F$151:$P$166,2,0),0)</f>
        <v>0</v>
      </c>
      <c r="BG15" s="1070">
        <f>IFERROR(HLOOKUP($PT15,Calc!$F$151:$P$166,3,0),0)</f>
        <v>0</v>
      </c>
      <c r="BH15" s="1070">
        <f>IFERROR(HLOOKUP($PT15,Calc!$F$151:$P$166,4,0),0)</f>
        <v>0</v>
      </c>
      <c r="BI15" s="1070">
        <f>IFERROR(HLOOKUP($PT15,Calc!$F$151:$P$166,5,0),0)</f>
        <v>0</v>
      </c>
      <c r="BJ15" s="1070">
        <f>IFERROR(HLOOKUP($PT15,Calc!$F$151:$P$166,6,0),0)</f>
        <v>0</v>
      </c>
      <c r="BK15" s="1070">
        <f>IFERROR(HLOOKUP($PT15,Calc!$F$151:$P$166,7,0),0)</f>
        <v>0</v>
      </c>
      <c r="BL15" s="1070">
        <f>IFERROR(HLOOKUP($PT15,Calc!$F$151:$P$166,8,0),0)</f>
        <v>0</v>
      </c>
      <c r="BM15" s="1070">
        <f>IFERROR(HLOOKUP($PT15,Calc!$F$151:$P$166,9,0),0)</f>
        <v>0</v>
      </c>
      <c r="BN15" s="1070">
        <f>IFERROR(HLOOKUP($PT15,Calc!$F$151:$P$166,10,0),0)</f>
        <v>0</v>
      </c>
      <c r="BO15" s="1070">
        <f>IFERROR(HLOOKUP($PT15,Calc!$F$151:$P$166,11,0),0)</f>
        <v>0</v>
      </c>
      <c r="BP15" s="1070">
        <f>IFERROR(HLOOKUP($PT15,Calc!$F$151:$P$166,12,0),0)</f>
        <v>0</v>
      </c>
      <c r="BQ15" s="1070">
        <f>IFERROR(HLOOKUP($PT15,Calc!$F$151:$P$166,13,0),0)</f>
        <v>0</v>
      </c>
      <c r="BR15" s="1070">
        <f>IFERROR(HLOOKUP($PT15,Calc!$F$151:$P$166,14,0),0)</f>
        <v>0</v>
      </c>
      <c r="BS15" s="1070">
        <f>IFERROR(HLOOKUP($PT15,Calc!$F$151:$P$166,15,0),0)</f>
        <v>0</v>
      </c>
      <c r="BT15" s="1070">
        <f>IFERROR(HLOOKUP($PT15,Calc!$F$151:$P$166,16,0),0)</f>
        <v>0</v>
      </c>
      <c r="BU15" s="1070">
        <f>IFERROR(VLOOKUP($PS15,Calc!$AF$196:$AH$203,2,0),0)</f>
        <v>0</v>
      </c>
      <c r="BV15" s="1070">
        <f>IFERROR(VLOOKUP($PS15,Calc!$AF$196:$AH$203,3,0),0)</f>
        <v>0</v>
      </c>
      <c r="BW15" s="1070">
        <f>IFERROR(VLOOKUP($PS15,Calc!$AF$196:$AI$203,4,0),0)</f>
        <v>0</v>
      </c>
      <c r="BX15" s="1070">
        <f>IFERROR(VLOOKUP($PS15,Calc!$AF$208:$AI$209,2,0),0)</f>
        <v>0</v>
      </c>
      <c r="BY15" s="1070">
        <f>IFERROR(VLOOKUP($PS15,Calc!$AF$208:$AI$209,3,0),0)</f>
        <v>0</v>
      </c>
      <c r="BZ15" s="1070">
        <f>IFERROR(VLOOKUP($PS15,Calc!$AF$208:$AI$209,4,0),0)</f>
        <v>0</v>
      </c>
      <c r="CA15" s="1070">
        <f>IFERROR(VLOOKUP($PS15,Calc!$K$420:$P$433,3,0),0)</f>
        <v>0</v>
      </c>
      <c r="CB15" s="1070">
        <f>IFERROR(VLOOKUP($PS15,Calc!$K$420:$P$433,4,0),0)</f>
        <v>0</v>
      </c>
      <c r="CC15" s="1070">
        <f>IFERROR(VLOOKUP($PS15,Calc!$K$420:$P$433,5,0),0)</f>
        <v>0</v>
      </c>
      <c r="CD15" s="1070">
        <f>IFERROR(VLOOKUP($PS15,Calc!$K$420:$P$433,6,0),0)</f>
        <v>0</v>
      </c>
      <c r="CE15" s="1070">
        <f>IFERROR(VLOOKUP($PS15,Calc!$AQ$420:$AV$433,3,0),0)</f>
        <v>0</v>
      </c>
      <c r="CF15" s="1070">
        <f>IFERROR(VLOOKUP($PS15,Calc!$AQ$420:$AV$433,4,0),0)</f>
        <v>0</v>
      </c>
      <c r="CG15" s="1070">
        <f>IFERROR(VLOOKUP($PS15,Calc!$AQ$420:$AV$433,5,0),0)</f>
        <v>0</v>
      </c>
      <c r="CH15" s="1070">
        <f>IFERROR(VLOOKUP($PS15,Calc!$AQ$420:$AV$433,6,0),0)</f>
        <v>0</v>
      </c>
      <c r="CI15" s="1070">
        <f>IFERROR(HLOOKUP($PT15,Calc!$AQ$125:$BS$146,3,0),0)</f>
        <v>0</v>
      </c>
      <c r="CJ15" s="1070">
        <f>IFERROR(HLOOKUP($PT15,Calc!$AQ$125:$BS$146,6,0),0)</f>
        <v>0</v>
      </c>
      <c r="CK15" s="1070">
        <f>IFERROR(IF(Calc!$C$129="Dollar ($)",HLOOKUP($PT15,Calc!$AQ$125:$BS$146,5,0),0),0)</f>
        <v>0</v>
      </c>
      <c r="CL15" s="1070">
        <f>IFERROR(IF(Calc!$C$129="Volume (units)",HLOOKUP($PT15,Calc!$AQ$125:$BS$146,5,0),0),0)</f>
        <v>0</v>
      </c>
      <c r="CM15" s="1070">
        <f>IFERROR(HLOOKUP($PT15,Calc!$AQ$125:$BS$146,9,0),0)</f>
        <v>0</v>
      </c>
      <c r="CN15" s="1070">
        <f>IFERROR(HLOOKUP($PT15,Calc!$AQ$125:$BS$146,10,0),0)</f>
        <v>0</v>
      </c>
      <c r="CO15" s="1070">
        <f>IFERROR(HLOOKUP($PT15,Calc!$AQ$125:$BS$146,11,0),0)</f>
        <v>0</v>
      </c>
      <c r="CP15" s="1070">
        <f>IFERROR(HLOOKUP($PT15,Calc!$AQ$125:$BS$146,12,0),0)</f>
        <v>0</v>
      </c>
      <c r="CQ15" s="1070">
        <f>IFERROR(HLOOKUP($PT15,Calc!$AQ$125:$BS$146,13,0),0)</f>
        <v>0</v>
      </c>
      <c r="CR15" s="1070">
        <f>IFERROR(HLOOKUP($PT15,Calc!$AQ$125:$BS$146,17,0),0)</f>
        <v>0</v>
      </c>
      <c r="CS15" s="1070">
        <f>IFERROR(HLOOKUP($PT15,Calc!$AQ$125:$BS$146,19,0),0)</f>
        <v>0</v>
      </c>
      <c r="CT15" s="1070">
        <f>IFERROR(HLOOKUP($PT15,Calc!$AQ$125:$BS$146,20,0),0)</f>
        <v>0</v>
      </c>
      <c r="CU15" s="1070">
        <f>IFERROR(HLOOKUP($PT15,Calc!$AQ$125:$BS$146,21,0),0)</f>
        <v>0</v>
      </c>
      <c r="CV15" s="1070">
        <f>IFERROR(HLOOKUP($PT15,Calc!$AQ$125:$BS$147,23,0),0)</f>
        <v>0</v>
      </c>
      <c r="CW15" s="1070">
        <f>IFERROR(HLOOKUP($PT15,Calc!$AQ$9:$BS$15,5,0),0)+IFERROR(HLOOKUP($PT15,Calc!$AQ$30:$BS$36,5,0),0)+IFERROR(HLOOKUP($PT15,Calc!$AQ$51:$BS$57,5,0),0)+IFERROR(HLOOKUP($PT15,Calc!$AQ$72:$BS$78,5,0),0)+IFERROR(HLOOKUP($PT15,Calc!$AQ$93:$BS$99,5,0),0)</f>
        <v>0</v>
      </c>
      <c r="CX15" s="1070">
        <f>IFERROR(HLOOKUP($PT15,Calc!$AQ$9:$BS$15,6,0),0)+IFERROR(HLOOKUP($PT15,Calc!$AQ$30:$BS$36,6,0),0)+IFERROR(HLOOKUP($PT15,Calc!$AQ$51:$BS$57,6,0),0)+IFERROR(HLOOKUP($PT15,Calc!$AQ$72:$BS$78,6,0),0)+IFERROR(HLOOKUP($PT15,Calc!$AQ$93:$BS$99,6,0),0)</f>
        <v>0</v>
      </c>
      <c r="CY15" s="1070">
        <f>IFERROR(HLOOKUP($PT15,Calc!$AQ$9:$BS$15,7,0),0)+IFERROR(HLOOKUP($PT15,Calc!$AQ$30:$BS$36,7,0),0)+IFERROR(HLOOKUP($PT15,Calc!$AQ$51:$BS$57,7,0),0)+IFERROR(HLOOKUP($PT15,Calc!$AQ$72:$BS$78,7,0),0)+IFERROR(HLOOKUP($PT15,Calc!$AQ$93:$BS$99,7,0),0)</f>
        <v>0</v>
      </c>
      <c r="IY15" s="1070">
        <f>IFERROR(HLOOKUP($PT15,Current_Prior!$AQ$9:$BS$30,3,0),0)</f>
        <v>0</v>
      </c>
      <c r="IZ15" s="1070">
        <f>IFERROR(HLOOKUP($PT15,Current_Prior!$AQ$9:$BS$30,6,0),0)</f>
        <v>0</v>
      </c>
      <c r="JA15" s="1070">
        <f>IFERROR(IF(Calc!$C$129="Dollar ($)",HLOOKUP($PT15,Current_Prior!$AQ$9:$BS$30,5,0),0),0)</f>
        <v>0</v>
      </c>
      <c r="JB15" s="1070">
        <f>IFERROR(IF(Calc!$C$129="Volume (units)",HLOOKUP($PT15,Current_Prior!$AQ$9:$BS$30,5,0),0),0)</f>
        <v>0</v>
      </c>
      <c r="JC15" s="1070">
        <f>IFERROR(HLOOKUP($PT15,Current_Prior!$AQ$9:$BS$30,9,0),0)</f>
        <v>0</v>
      </c>
      <c r="JD15" s="1070">
        <f>IFERROR(HLOOKUP($PT15,Current_Prior!$AQ$9:$BS$30,10,0),0)</f>
        <v>0</v>
      </c>
      <c r="JE15" s="1070">
        <f>IFERROR(HLOOKUP($PT15,Current_Prior!$AQ$9:$BS$30,11,0),0)</f>
        <v>0</v>
      </c>
      <c r="JF15" s="1070">
        <f>IFERROR(HLOOKUP($PT15,Current_Prior!$AQ$9:$BS$30,12,0),0)</f>
        <v>0</v>
      </c>
      <c r="JG15" s="1070">
        <f>IFERROR(HLOOKUP($PT15,Current_Prior!$AQ$9:$BS$30,13,0),0)</f>
        <v>0</v>
      </c>
      <c r="JH15" s="1070">
        <f>IFERROR(HLOOKUP($PT15,Current_Prior!$AQ$9:$BS$30,17,0),0)</f>
        <v>0</v>
      </c>
      <c r="JI15" s="1070">
        <f>IFERROR(HLOOKUP($PT15,Current_Prior!$AQ$9:$BS$30,19,0),0)</f>
        <v>0</v>
      </c>
      <c r="JJ15" s="1070">
        <f>IFERROR(HLOOKUP($PT15,Current_Prior!$AQ$9:$BS$30,20,0),0)</f>
        <v>0</v>
      </c>
      <c r="JK15" s="1070">
        <f>IFERROR(HLOOKUP($PT15,Current_Prior!$AQ$9:$BS$30,21,0),0)</f>
        <v>0</v>
      </c>
      <c r="JL15" s="1070">
        <f>IFERROR(HLOOKUP($PT15,Current_Prior!$AQ$9:$BS$31,23,0),0)</f>
        <v>0</v>
      </c>
      <c r="ML15" s="1082">
        <f>IFERROR(HLOOKUP($PT15,HistInfo!$G$15:$AI$37,3,0),0)</f>
        <v>0</v>
      </c>
      <c r="MM15" s="1082">
        <f>IFERROR(HLOOKUP($PT15,HistInfo!$G$15:$AI$37,6,0),0)</f>
        <v>0</v>
      </c>
      <c r="MN15" s="1070">
        <f>IFERROR(IF(HistInfo!$C$19="Dollar ($)",HLOOKUP($PT15,HistInfo!$G$15:$AI$37,5,0),0),0)</f>
        <v>0</v>
      </c>
      <c r="MO15" s="1070">
        <f>IFERROR(IF(HistInfo!$C$19="Volume (units)",HLOOKUP($PT15,HistInfo!$G$15:$AI$37,5,0),0),0)</f>
        <v>0</v>
      </c>
      <c r="MP15" s="1082">
        <f>IFERROR(HLOOKUP($PT15,HistInfo!$G$15:$AI$37,9,0),0)</f>
        <v>0</v>
      </c>
      <c r="MQ15" s="1082">
        <f>IFERROR(HLOOKUP($PT15,HistInfo!$G$15:$AI$37,10,0),0)</f>
        <v>0</v>
      </c>
      <c r="MR15" s="1082">
        <f>IFERROR(HLOOKUP($PT15,HistInfo!$G$15:$AI$37,11,0),0)</f>
        <v>0</v>
      </c>
      <c r="MS15" s="1082">
        <f>IFERROR(HLOOKUP($PT15,HistInfo!$G$15:$AI$37,12,0),0)</f>
        <v>0</v>
      </c>
      <c r="MT15" s="1082">
        <f>IFERROR(HLOOKUP($PT15,HistInfo!$G$15:$AI$37,13,0),0)</f>
        <v>0</v>
      </c>
      <c r="MU15" s="1082">
        <f>IFERROR(HLOOKUP($PT15,HistInfo!$G$15:$AI$37,17,0),0)</f>
        <v>0</v>
      </c>
      <c r="MV15" s="1082">
        <f>IFERROR(HLOOKUP($PT15,HistInfo!$G$15:$AI$37,19,0),0)</f>
        <v>0</v>
      </c>
      <c r="MW15" s="1082">
        <f>IFERROR(HLOOKUP($PT15,HistInfo!$G$15:$AI$37,20,0),0)</f>
        <v>0</v>
      </c>
      <c r="MX15" s="1082">
        <f>IFERROR(HLOOKUP($PT15,HistInfo!$G$15:$AI$37,21,0),0)</f>
        <v>0</v>
      </c>
      <c r="MY15" s="1082">
        <f>IFERROR(HLOOKUP($PT15,HistInfo!$G$15:$AI$37,23,0),0)</f>
        <v>0</v>
      </c>
      <c r="PS15" s="1070">
        <v>25</v>
      </c>
      <c r="PT15" s="1082" t="str">
        <f t="shared" si="1"/>
        <v>FY25</v>
      </c>
      <c r="PU15" s="1070" t="str">
        <f t="shared" si="2"/>
        <v>2025</v>
      </c>
      <c r="PX15" s="1070" t="s">
        <v>1445</v>
      </c>
    </row>
    <row r="16" spans="1:441" x14ac:dyDescent="0.3">
      <c r="A16" s="1070" t="str">
        <f t="shared" si="5"/>
        <v>Life Sciences</v>
      </c>
      <c r="B16" s="1070" t="str">
        <f t="shared" si="5"/>
        <v>BDB</v>
      </c>
      <c r="C16" s="1070">
        <f t="shared" si="5"/>
        <v>0</v>
      </c>
      <c r="D16" s="1070">
        <f t="shared" si="3"/>
        <v>0</v>
      </c>
      <c r="E16" s="1082">
        <f>Input!D29</f>
        <v>0</v>
      </c>
      <c r="F16" s="1082">
        <f>Input!J29</f>
        <v>0</v>
      </c>
      <c r="G16" s="1070">
        <f t="shared" si="4"/>
        <v>0</v>
      </c>
      <c r="H16" s="1070">
        <f t="shared" si="4"/>
        <v>0</v>
      </c>
      <c r="I16" s="1070">
        <f t="shared" si="4"/>
        <v>0</v>
      </c>
      <c r="J16" s="1070" t="str">
        <f t="shared" si="4"/>
        <v>Budget</v>
      </c>
      <c r="K16" s="1070" t="str">
        <f t="shared" si="0"/>
        <v>2026</v>
      </c>
      <c r="L16" s="1070">
        <f>IF(PPT!$D$2="$ M",IFERROR(HLOOKUP($PT16,PPT!$E$117:$BJ$119,3,0),0)*1000,IFERROR(HLOOKUP($PT16,PPT!$E$117:$BJ$119,3,0),0))</f>
        <v>110318.99500952553</v>
      </c>
      <c r="M16" s="1070">
        <f>IF(PPT!$D$2="$ M",IFERROR(HLOOKUP($PT16,PPT!$E$133:$BJ$159,4,0),0)*1000,IFERROR(HLOOKUP($PT16,PPT!$E$133:$BJ$159,4,0),0))</f>
        <v>0</v>
      </c>
      <c r="N16" s="1070">
        <f>IF(PPT!$D$2="$ M",IFERROR(HLOOKUP($PT16,PPT!$E$133:$BJ$159,5,0),0)*1000,IFERROR(HLOOKUP($PT16,PPT!$E$133:$BJ$159,5,0),0))</f>
        <v>0</v>
      </c>
      <c r="O16" s="1070">
        <f>IF(PPT!$D$2="$ M",IFERROR(HLOOKUP($PT16,PPT!$E$133:$BJ$159,6,0),0)*1000,IFERROR(HLOOKUP($PT16,PPT!$E$133:$BJ$159,6,0),0))</f>
        <v>0</v>
      </c>
      <c r="P16" s="1070">
        <f>IF(PPT!$D$2="$ M",IFERROR(HLOOKUP($PT16,PPT!$E$133:$BJ$159,7,0),0)*1000,IFERROR(HLOOKUP($PT16,PPT!$E$133:$BJ$159,7,0),0))</f>
        <v>0</v>
      </c>
      <c r="Q16" s="1070">
        <f>IFERROR(HLOOKUP($PT16,Calc!$G$125:$AI$146,3,0),0)</f>
        <v>110318.99500952553</v>
      </c>
      <c r="R16" s="1070">
        <f>IF(PPT!$D$2="$ M",IFERROR(HLOOKUP($PT16,PPT!$E$133:$BJ$159,9,0),0),IFERROR(HLOOKUP($PT16,PPT!$E$133:$BJ$159,9,0),0))</f>
        <v>0.50044938806731265</v>
      </c>
      <c r="S16" s="1070" t="str">
        <f>IF(PPT!$D$2="$ M",IFERROR(HLOOKUP($PT16,PPT!$E$133:$BJ$159,10,0),0),IFERROR(HLOOKUP($PT16,PPT!$E$133:$BJ$159,10,0),0))</f>
        <v/>
      </c>
      <c r="T16" s="1070">
        <f>IFERROR(IF(Calc!$C$129="Dollar ($)",HLOOKUP($PT16,Calc!$G$125:$AI$146,5,0),0),0)</f>
        <v>0</v>
      </c>
      <c r="U16" s="1070">
        <f>IFERROR(IF(Calc!$C$129="Volume (units)",HLOOKUP($PT16,Calc!$G$125:$AI$146,5,0),0),0)</f>
        <v>0</v>
      </c>
      <c r="V16" s="1070">
        <f>IFERROR(HLOOKUP($PT16,Calc!$G$125:$AI$146,6,0),0)</f>
        <v>110318.99500952553</v>
      </c>
      <c r="W16" s="1070">
        <f>IFERROR(HLOOKUP($PT16,Calc!$G$125:$AI$146,7,0),0)</f>
        <v>33659.483422105237</v>
      </c>
      <c r="X16" s="1070">
        <f>IFERROR(HLOOKUP($PT16,Calc!$G$125:$AI$146,8,0),0)</f>
        <v>0</v>
      </c>
      <c r="Y16" s="1070">
        <f>IFERROR(HLOOKUP($PT16,Calc!$G$125:$AI$146,9,0),0)</f>
        <v>76659.511587420304</v>
      </c>
      <c r="Z16" s="1070">
        <f>IFERROR(HLOOKUP($PT16,Calc!$G$125:$AI$146,10,0),0)</f>
        <v>0.694889502762431</v>
      </c>
      <c r="AA16" s="1070">
        <f>IFERROR(HLOOKUP($PT16,Calc!$G$125:$AI$146,11,0),0)</f>
        <v>3485.7419101714595</v>
      </c>
      <c r="AB16" s="1070">
        <f>IFERROR(HLOOKUP($PT16,Calc!$G$125:$AI$146,12,0),0)</f>
        <v>214.1545699941355</v>
      </c>
      <c r="AC16" s="1070">
        <f>IFERROR(HLOOKUP($PT16,Calc!$G$125:$AI$146,13,0),0)</f>
        <v>72959.615107254707</v>
      </c>
      <c r="AD16" s="1070">
        <f>IFERROR(HLOOKUP($PT16,Calc!$G$125:$AI$146,14,0),0)</f>
        <v>0.66135133936775792</v>
      </c>
      <c r="AE16" s="1070">
        <f>IFERROR(HLOOKUP($PT16,Calc!$G$125:$AI$146,15,0),0)</f>
        <v>933.33333333333337</v>
      </c>
      <c r="AF16" s="1070">
        <f>IFERROR(HLOOKUP($PT16,Calc!$G$125:$AI$146,16,0),0)</f>
        <v>20167.358896697988</v>
      </c>
      <c r="AG16" s="1070">
        <f>IFERROR(HLOOKUP($PT16,Calc!$G$125:$AI$146,17,0),0)</f>
        <v>51858.922877223391</v>
      </c>
      <c r="AH16" s="1070">
        <f>IFERROR(HLOOKUP($PT16,Calc!$G$125:$AI$146,18,0),0)</f>
        <v>0.47008153829488397</v>
      </c>
      <c r="AI16" s="1070">
        <f>IFERROR(HLOOKUP($PT16,Calc!$G$125:$AI$146,19,0),0)</f>
        <v>-933.33333333333337</v>
      </c>
      <c r="AJ16" s="1070">
        <f>IFERROR(HLOOKUP($PT16,Calc!$G$125:$AI$146,20,0),0)</f>
        <v>7032.8497151280262</v>
      </c>
      <c r="AK16" s="1070">
        <f>IFERROR(HLOOKUP($PT16,Calc!$G$125:$AI$146,21,0),0)</f>
        <v>45759.406495428702</v>
      </c>
      <c r="AL16" s="1070">
        <f>IFERROR(HLOOKUP($PT16,Calc!$G$125:$AI$146,22,0),0)</f>
        <v>0.41479172731294001</v>
      </c>
      <c r="AM16" s="1070">
        <f>IFERROR(HLOOKUP($PT16,Calc!$G$125:$AI$147,23,0),0)</f>
        <v>14958.831153503485</v>
      </c>
      <c r="AN16" s="1070">
        <f>IF(PPT!$D$2="$ M",IFERROR(HLOOKUP($PT16,PPT!$E$131:$BJ$159,5,0),0)*1000,IFERROR(HLOOKUP($PT16,PPT!$E$131:$BJ$159,5,0),0))</f>
        <v>0</v>
      </c>
      <c r="AO16" s="1070">
        <f>IF(PPT!$D$2="$ M",IFERROR(HLOOKUP($PT16,PPT!$E$131:$BJ$159,6,0),0)*1000,IFERROR(HLOOKUP($PT16,PPT!$E$131:$BJ$159,6,0),0))</f>
        <v>0</v>
      </c>
      <c r="AP16" s="1070">
        <f>IF(PPT!$D$2="$ M",IFERROR(HLOOKUP($PT16,PPT!$E$131:$BJ$159,7,0),0)*1000,IFERROR(HLOOKUP($PT16,PPT!$E$131:$BJ$159,7,0),0))</f>
        <v>0</v>
      </c>
      <c r="AQ16" s="1070">
        <f>IF(PPT!$D$2="$ M",IFERROR(HLOOKUP($PT16,PPT!$E$131:$BJ$159,8,0),0)*1000,IFERROR(HLOOKUP($PT16,PPT!$E$131:$BJ$159,8,0),0))</f>
        <v>0</v>
      </c>
      <c r="AR16" s="1070">
        <f>IF(PPT!$D$2="$ M",IFERROR(HLOOKUP($PT16,PPT!$E$131:$BJ$159,9,0),0)*1000,IFERROR(HLOOKUP($PT16,PPT!$E$131:$BJ$159,9,0),0))</f>
        <v>0</v>
      </c>
      <c r="AS16" s="1070">
        <f>IF(PPT!$D$2="$ M",IFERROR(HLOOKUP($PT16,PPT!$E$131:$BJ$159,10,0),0)*1000,IFERROR(HLOOKUP($PT16,PPT!$E$131:$BJ$159,10,0),0))</f>
        <v>0</v>
      </c>
      <c r="AT16" s="1070">
        <f>IF(PPT!$D$2="$ M",IFERROR(HLOOKUP($PT16,PPT!$E$131:$BJ$159,13,0),0)*1000,IFERROR(HLOOKUP($PT16,PPT!$E$131:$BJ$159,13,0),0))</f>
        <v>0</v>
      </c>
      <c r="AU16" s="1070">
        <f>IF(PPT!$D$2="$ M",IFERROR(HLOOKUP($PT16,PPT!$E$131:$BJ$159,14,0),0)*1000,IFERROR(HLOOKUP($PT16,PPT!$E$131:$BJ$159,14,0),0))</f>
        <v>0</v>
      </c>
      <c r="AV16" s="1070">
        <f>IF(PPT!$D$2="$ M",IFERROR(HLOOKUP($PT16,PPT!$E$131:$BJ$159,15,0),0)*1000,IFERROR(HLOOKUP($PT16,PPT!$E$131:$BJ$159,15,0),0))</f>
        <v>0</v>
      </c>
      <c r="AW16" s="1070">
        <f>IF(PPT!$D$2="$ M",IFERROR(HLOOKUP($PT16,PPT!$E$131:$BJ$159,17,0),0)*1000,IFERROR(HLOOKUP($PT16,PPT!$E$131:$BJ$159,17,0),0))</f>
        <v>0</v>
      </c>
      <c r="AX16" s="1070">
        <f>IF(PPT!$D$2="$ M",IFERROR(HLOOKUP($PT16,PPT!$E$131:$BJ$159,18,0),0)*1000,IFERROR(HLOOKUP($PT16,PPT!$E$131:$BJ$159,18,0),0))</f>
        <v>0</v>
      </c>
      <c r="AY16" s="1070">
        <f>IF(PPT!$D$2="$ M",IFERROR(HLOOKUP($PT16,PPT!$E$131:$BJ$159,19,0),0)*1000,IFERROR(HLOOKUP($PT16,PPT!$E$131:$BJ$159,19,0),0))</f>
        <v>0</v>
      </c>
      <c r="AZ16" s="1070">
        <f>IF(PPT!$D$2="$ M",IFERROR(HLOOKUP($PT16,PPT!$E$131:$BJ$159,21,0),0)*1000,IFERROR(HLOOKUP($PT16,PPT!$E$131:$BJ$159,21,0),0))</f>
        <v>0</v>
      </c>
      <c r="BA16" s="1070">
        <f>IF(PPT!$D$2="$ M",IFERROR(HLOOKUP($PT16,PPT!$E$131:$BJ$159,22,0),0)*1000,IFERROR(HLOOKUP($PT16,PPT!$E$131:$BJ$159,22,0),0))</f>
        <v>0</v>
      </c>
      <c r="BB16" s="1070">
        <f>IF(PPT!$D$2="$ M",IFERROR(HLOOKUP($PT16,PPT!$E$131:$BJ$159,23,0),0)*1000,IFERROR(HLOOKUP($PT16,PPT!$E$131:$BJ$159,23,0),0))</f>
        <v>0</v>
      </c>
      <c r="BC16" s="1070">
        <f>IF(PPT!$D$2="$ M",IFERROR(HLOOKUP($PT16,PPT!$E$131:$BJ$159,25,0),0)*1000,IFERROR(HLOOKUP($PT16,PPT!$E$131:$BJ$159,25,0),0))</f>
        <v>0</v>
      </c>
      <c r="BD16" s="1070">
        <f>IF(PPT!$D$2="$ M",IFERROR(HLOOKUP($PT16,PPT!$E$131:$BJ$159,26,0),0)*1000,IFERROR(HLOOKUP($PT16,PPT!$E$131:$BJ$159,26,0),0))</f>
        <v>0</v>
      </c>
      <c r="BE16" s="1070">
        <f>IF(PPT!$D$2="$ M",IFERROR(HLOOKUP($PT16,PPT!$E$131:$BJ$159,27,0),0)*1000,IFERROR(HLOOKUP($PT16,PPT!$E$131:$BJ$159,27,0),0))</f>
        <v>0</v>
      </c>
      <c r="BF16" s="1070">
        <f>IFERROR(HLOOKUP($PT16,Calc!$F$151:$P$166,2,0),0)</f>
        <v>0</v>
      </c>
      <c r="BG16" s="1070">
        <f>IFERROR(HLOOKUP($PT16,Calc!$F$151:$P$166,3,0),0)</f>
        <v>0</v>
      </c>
      <c r="BH16" s="1070">
        <f>IFERROR(HLOOKUP($PT16,Calc!$F$151:$P$166,4,0),0)</f>
        <v>0</v>
      </c>
      <c r="BI16" s="1070">
        <f>IFERROR(HLOOKUP($PT16,Calc!$F$151:$P$166,5,0),0)</f>
        <v>0</v>
      </c>
      <c r="BJ16" s="1070">
        <f>IFERROR(HLOOKUP($PT16,Calc!$F$151:$P$166,6,0),0)</f>
        <v>0</v>
      </c>
      <c r="BK16" s="1070">
        <f>IFERROR(HLOOKUP($PT16,Calc!$F$151:$P$166,7,0),0)</f>
        <v>0</v>
      </c>
      <c r="BL16" s="1070">
        <f>IFERROR(HLOOKUP($PT16,Calc!$F$151:$P$166,8,0),0)</f>
        <v>0</v>
      </c>
      <c r="BM16" s="1070">
        <f>IFERROR(HLOOKUP($PT16,Calc!$F$151:$P$166,9,0),0)</f>
        <v>0</v>
      </c>
      <c r="BN16" s="1070">
        <f>IFERROR(HLOOKUP($PT16,Calc!$F$151:$P$166,10,0),0)</f>
        <v>0</v>
      </c>
      <c r="BO16" s="1070">
        <f>IFERROR(HLOOKUP($PT16,Calc!$F$151:$P$166,11,0),0)</f>
        <v>0</v>
      </c>
      <c r="BP16" s="1070">
        <f>IFERROR(HLOOKUP($PT16,Calc!$F$151:$P$166,12,0),0)</f>
        <v>0</v>
      </c>
      <c r="BQ16" s="1070">
        <f>IFERROR(HLOOKUP($PT16,Calc!$F$151:$P$166,13,0),0)</f>
        <v>0</v>
      </c>
      <c r="BR16" s="1070">
        <f>IFERROR(HLOOKUP($PT16,Calc!$F$151:$P$166,14,0),0)</f>
        <v>0</v>
      </c>
      <c r="BS16" s="1070">
        <f>IFERROR(HLOOKUP($PT16,Calc!$F$151:$P$166,15,0),0)</f>
        <v>0</v>
      </c>
      <c r="BT16" s="1070">
        <f>IFERROR(HLOOKUP($PT16,Calc!$F$151:$P$166,16,0),0)</f>
        <v>0</v>
      </c>
      <c r="BU16" s="1070">
        <f>IFERROR(VLOOKUP($PS16,Calc!$AF$196:$AH$203,2,0),0)</f>
        <v>0</v>
      </c>
      <c r="BV16" s="1070">
        <f>IFERROR(VLOOKUP($PS16,Calc!$AF$196:$AH$203,3,0),0)</f>
        <v>0</v>
      </c>
      <c r="BW16" s="1070">
        <f>IFERROR(VLOOKUP($PS16,Calc!$AF$196:$AI$203,4,0),0)</f>
        <v>0</v>
      </c>
      <c r="BX16" s="1070">
        <f>IFERROR(VLOOKUP($PS16,Calc!$AF$208:$AI$209,2,0),0)</f>
        <v>0</v>
      </c>
      <c r="BY16" s="1070">
        <f>IFERROR(VLOOKUP($PS16,Calc!$AF$208:$AI$209,3,0),0)</f>
        <v>0</v>
      </c>
      <c r="BZ16" s="1070">
        <f>IFERROR(VLOOKUP($PS16,Calc!$AF$208:$AI$209,4,0),0)</f>
        <v>0</v>
      </c>
      <c r="CA16" s="1070">
        <f>IFERROR(VLOOKUP($PS16,Calc!$K$420:$P$433,3,0),0)</f>
        <v>0</v>
      </c>
      <c r="CB16" s="1070">
        <f>IFERROR(VLOOKUP($PS16,Calc!$K$420:$P$433,4,0),0)</f>
        <v>0</v>
      </c>
      <c r="CC16" s="1070">
        <f>IFERROR(VLOOKUP($PS16,Calc!$K$420:$P$433,5,0),0)</f>
        <v>0</v>
      </c>
      <c r="CD16" s="1070">
        <f>IFERROR(VLOOKUP($PS16,Calc!$K$420:$P$433,6,0),0)</f>
        <v>0</v>
      </c>
      <c r="CE16" s="1070">
        <f>IFERROR(VLOOKUP($PS16,Calc!$AQ$420:$AV$433,3,0),0)</f>
        <v>0</v>
      </c>
      <c r="CF16" s="1070">
        <f>IFERROR(VLOOKUP($PS16,Calc!$AQ$420:$AV$433,4,0),0)</f>
        <v>0</v>
      </c>
      <c r="CG16" s="1070">
        <f>IFERROR(VLOOKUP($PS16,Calc!$AQ$420:$AV$433,5,0),0)</f>
        <v>0</v>
      </c>
      <c r="CH16" s="1070">
        <f>IFERROR(VLOOKUP($PS16,Calc!$AQ$420:$AV$433,6,0),0)</f>
        <v>0</v>
      </c>
      <c r="CI16" s="1070">
        <f>IFERROR(HLOOKUP($PT16,Calc!$AQ$125:$BS$146,3,0),0)</f>
        <v>0</v>
      </c>
      <c r="CJ16" s="1070">
        <f>IFERROR(HLOOKUP($PT16,Calc!$AQ$125:$BS$146,6,0),0)</f>
        <v>0</v>
      </c>
      <c r="CK16" s="1070">
        <f>IFERROR(IF(Calc!$C$129="Dollar ($)",HLOOKUP($PT16,Calc!$AQ$125:$BS$146,5,0),0),0)</f>
        <v>0</v>
      </c>
      <c r="CL16" s="1070">
        <f>IFERROR(IF(Calc!$C$129="Volume (units)",HLOOKUP($PT16,Calc!$AQ$125:$BS$146,5,0),0),0)</f>
        <v>0</v>
      </c>
      <c r="CM16" s="1070">
        <f>IFERROR(HLOOKUP($PT16,Calc!$AQ$125:$BS$146,9,0),0)</f>
        <v>0</v>
      </c>
      <c r="CN16" s="1070">
        <f>IFERROR(HLOOKUP($PT16,Calc!$AQ$125:$BS$146,10,0),0)</f>
        <v>0</v>
      </c>
      <c r="CO16" s="1070">
        <f>IFERROR(HLOOKUP($PT16,Calc!$AQ$125:$BS$146,11,0),0)</f>
        <v>0</v>
      </c>
      <c r="CP16" s="1070">
        <f>IFERROR(HLOOKUP($PT16,Calc!$AQ$125:$BS$146,12,0),0)</f>
        <v>0</v>
      </c>
      <c r="CQ16" s="1070">
        <f>IFERROR(HLOOKUP($PT16,Calc!$AQ$125:$BS$146,13,0),0)</f>
        <v>0</v>
      </c>
      <c r="CR16" s="1070">
        <f>IFERROR(HLOOKUP($PT16,Calc!$AQ$125:$BS$146,17,0),0)</f>
        <v>0</v>
      </c>
      <c r="CS16" s="1070">
        <f>IFERROR(HLOOKUP($PT16,Calc!$AQ$125:$BS$146,19,0),0)</f>
        <v>0</v>
      </c>
      <c r="CT16" s="1070">
        <f>IFERROR(HLOOKUP($PT16,Calc!$AQ$125:$BS$146,20,0),0)</f>
        <v>0</v>
      </c>
      <c r="CU16" s="1070">
        <f>IFERROR(HLOOKUP($PT16,Calc!$AQ$125:$BS$146,21,0),0)</f>
        <v>0</v>
      </c>
      <c r="CV16" s="1070">
        <f>IFERROR(HLOOKUP($PT16,Calc!$AQ$125:$BS$147,23,0),0)</f>
        <v>0</v>
      </c>
      <c r="CW16" s="1070">
        <f>IFERROR(HLOOKUP($PT16,Calc!$AQ$9:$BS$15,5,0),0)+IFERROR(HLOOKUP($PT16,Calc!$AQ$30:$BS$36,5,0),0)+IFERROR(HLOOKUP($PT16,Calc!$AQ$51:$BS$57,5,0),0)+IFERROR(HLOOKUP($PT16,Calc!$AQ$72:$BS$78,5,0),0)+IFERROR(HLOOKUP($PT16,Calc!$AQ$93:$BS$99,5,0),0)</f>
        <v>0</v>
      </c>
      <c r="CX16" s="1070">
        <f>IFERROR(HLOOKUP($PT16,Calc!$AQ$9:$BS$15,6,0),0)+IFERROR(HLOOKUP($PT16,Calc!$AQ$30:$BS$36,6,0),0)+IFERROR(HLOOKUP($PT16,Calc!$AQ$51:$BS$57,6,0),0)+IFERROR(HLOOKUP($PT16,Calc!$AQ$72:$BS$78,6,0),0)+IFERROR(HLOOKUP($PT16,Calc!$AQ$93:$BS$99,6,0),0)</f>
        <v>0</v>
      </c>
      <c r="CY16" s="1070">
        <f>IFERROR(HLOOKUP($PT16,Calc!$AQ$9:$BS$15,7,0),0)+IFERROR(HLOOKUP($PT16,Calc!$AQ$30:$BS$36,7,0),0)+IFERROR(HLOOKUP($PT16,Calc!$AQ$51:$BS$57,7,0),0)+IFERROR(HLOOKUP($PT16,Calc!$AQ$72:$BS$78,7,0),0)+IFERROR(HLOOKUP($PT16,Calc!$AQ$93:$BS$99,7,0),0)</f>
        <v>0</v>
      </c>
      <c r="IY16" s="1070">
        <f>IFERROR(HLOOKUP($PT16,Current_Prior!$AQ$9:$BS$30,3,0),0)</f>
        <v>0</v>
      </c>
      <c r="IZ16" s="1070">
        <f>IFERROR(HLOOKUP($PT16,Current_Prior!$AQ$9:$BS$30,6,0),0)</f>
        <v>0</v>
      </c>
      <c r="JA16" s="1070">
        <f>IFERROR(IF(Calc!$C$129="Dollar ($)",HLOOKUP($PT16,Current_Prior!$AQ$9:$BS$30,5,0),0),0)</f>
        <v>0</v>
      </c>
      <c r="JB16" s="1070">
        <f>IFERROR(IF(Calc!$C$129="Volume (units)",HLOOKUP($PT16,Current_Prior!$AQ$9:$BS$30,5,0),0),0)</f>
        <v>0</v>
      </c>
      <c r="JC16" s="1070">
        <f>IFERROR(HLOOKUP($PT16,Current_Prior!$AQ$9:$BS$30,9,0),0)</f>
        <v>0</v>
      </c>
      <c r="JD16" s="1070">
        <f>IFERROR(HLOOKUP($PT16,Current_Prior!$AQ$9:$BS$30,10,0),0)</f>
        <v>0</v>
      </c>
      <c r="JE16" s="1070">
        <f>IFERROR(HLOOKUP($PT16,Current_Prior!$AQ$9:$BS$30,11,0),0)</f>
        <v>0</v>
      </c>
      <c r="JF16" s="1070">
        <f>IFERROR(HLOOKUP($PT16,Current_Prior!$AQ$9:$BS$30,12,0),0)</f>
        <v>0</v>
      </c>
      <c r="JG16" s="1070">
        <f>IFERROR(HLOOKUP($PT16,Current_Prior!$AQ$9:$BS$30,13,0),0)</f>
        <v>0</v>
      </c>
      <c r="JH16" s="1070">
        <f>IFERROR(HLOOKUP($PT16,Current_Prior!$AQ$9:$BS$30,17,0),0)</f>
        <v>0</v>
      </c>
      <c r="JI16" s="1070">
        <f>IFERROR(HLOOKUP($PT16,Current_Prior!$AQ$9:$BS$30,19,0),0)</f>
        <v>0</v>
      </c>
      <c r="JJ16" s="1070">
        <f>IFERROR(HLOOKUP($PT16,Current_Prior!$AQ$9:$BS$30,20,0),0)</f>
        <v>0</v>
      </c>
      <c r="JK16" s="1070">
        <f>IFERROR(HLOOKUP($PT16,Current_Prior!$AQ$9:$BS$30,21,0),0)</f>
        <v>0</v>
      </c>
      <c r="JL16" s="1070">
        <f>IFERROR(HLOOKUP($PT16,Current_Prior!$AQ$9:$BS$31,23,0),0)</f>
        <v>0</v>
      </c>
      <c r="ML16" s="1082">
        <f>IFERROR(HLOOKUP($PT16,HistInfo!$G$15:$AI$37,3,0),0)</f>
        <v>0</v>
      </c>
      <c r="MM16" s="1082">
        <f>IFERROR(HLOOKUP($PT16,HistInfo!$G$15:$AI$37,6,0),0)</f>
        <v>0</v>
      </c>
      <c r="MN16" s="1070">
        <f>IFERROR(IF(HistInfo!$C$19="Dollar ($)",HLOOKUP($PT16,HistInfo!$G$15:$AI$37,5,0),0),0)</f>
        <v>0</v>
      </c>
      <c r="MO16" s="1070">
        <f>IFERROR(IF(HistInfo!$C$19="Volume (units)",HLOOKUP($PT16,HistInfo!$G$15:$AI$37,5,0),0),0)</f>
        <v>0</v>
      </c>
      <c r="MP16" s="1082">
        <f>IFERROR(HLOOKUP($PT16,HistInfo!$G$15:$AI$37,9,0),0)</f>
        <v>0</v>
      </c>
      <c r="MQ16" s="1082">
        <f>IFERROR(HLOOKUP($PT16,HistInfo!$G$15:$AI$37,10,0),0)</f>
        <v>0</v>
      </c>
      <c r="MR16" s="1082">
        <f>IFERROR(HLOOKUP($PT16,HistInfo!$G$15:$AI$37,11,0),0)</f>
        <v>0</v>
      </c>
      <c r="MS16" s="1082">
        <f>IFERROR(HLOOKUP($PT16,HistInfo!$G$15:$AI$37,12,0),0)</f>
        <v>0</v>
      </c>
      <c r="MT16" s="1082">
        <f>IFERROR(HLOOKUP($PT16,HistInfo!$G$15:$AI$37,13,0),0)</f>
        <v>0</v>
      </c>
      <c r="MU16" s="1082">
        <f>IFERROR(HLOOKUP($PT16,HistInfo!$G$15:$AI$37,17,0),0)</f>
        <v>0</v>
      </c>
      <c r="MV16" s="1082">
        <f>IFERROR(HLOOKUP($PT16,HistInfo!$G$15:$AI$37,19,0),0)</f>
        <v>0</v>
      </c>
      <c r="MW16" s="1082">
        <f>IFERROR(HLOOKUP($PT16,HistInfo!$G$15:$AI$37,20,0),0)</f>
        <v>0</v>
      </c>
      <c r="MX16" s="1082">
        <f>IFERROR(HLOOKUP($PT16,HistInfo!$G$15:$AI$37,21,0),0)</f>
        <v>0</v>
      </c>
      <c r="MY16" s="1082">
        <f>IFERROR(HLOOKUP($PT16,HistInfo!$G$15:$AI$37,23,0),0)</f>
        <v>0</v>
      </c>
      <c r="PS16" s="1070">
        <v>26</v>
      </c>
      <c r="PT16" s="1082" t="str">
        <f t="shared" si="1"/>
        <v>FY26</v>
      </c>
      <c r="PU16" s="1070" t="str">
        <f t="shared" si="2"/>
        <v>2026</v>
      </c>
    </row>
    <row r="17" spans="1:437" x14ac:dyDescent="0.3">
      <c r="A17" s="1070" t="str">
        <f t="shared" si="5"/>
        <v>Life Sciences</v>
      </c>
      <c r="B17" s="1070" t="str">
        <f t="shared" si="5"/>
        <v>BDB</v>
      </c>
      <c r="C17" s="1070">
        <f t="shared" si="5"/>
        <v>0</v>
      </c>
      <c r="D17" s="1070">
        <f t="shared" si="3"/>
        <v>0</v>
      </c>
      <c r="E17" s="1070">
        <v>0</v>
      </c>
      <c r="F17" s="1070">
        <v>0</v>
      </c>
      <c r="G17" s="1070">
        <f t="shared" si="4"/>
        <v>0</v>
      </c>
      <c r="H17" s="1070">
        <f t="shared" si="4"/>
        <v>0</v>
      </c>
      <c r="I17" s="1070">
        <f t="shared" si="4"/>
        <v>0</v>
      </c>
      <c r="J17" s="1070" t="str">
        <f t="shared" si="4"/>
        <v>Budget</v>
      </c>
      <c r="K17" s="1070" t="str">
        <f t="shared" si="0"/>
        <v>2027</v>
      </c>
      <c r="L17" s="1070">
        <f>IF(PPT!$D$2="$ M",IFERROR(HLOOKUP($PT17,PPT!$E$117:$BJ$119,3,0),0)*1000,IFERROR(HLOOKUP($PT17,PPT!$E$117:$BJ$119,3,0),0))</f>
        <v>137341.05381475933</v>
      </c>
      <c r="M17" s="1070">
        <f>IF(PPT!$D$2="$ M",IFERROR(HLOOKUP($PT17,PPT!$E$133:$BJ$159,4,0),0)*1000,IFERROR(HLOOKUP($PT17,PPT!$E$133:$BJ$159,4,0),0))</f>
        <v>0</v>
      </c>
      <c r="N17" s="1070">
        <f>IF(PPT!$D$2="$ M",IFERROR(HLOOKUP($PT17,PPT!$E$133:$BJ$159,5,0),0)*1000,IFERROR(HLOOKUP($PT17,PPT!$E$133:$BJ$159,5,0),0))</f>
        <v>0</v>
      </c>
      <c r="O17" s="1070">
        <f>IF(PPT!$D$2="$ M",IFERROR(HLOOKUP($PT17,PPT!$E$133:$BJ$159,6,0),0)*1000,IFERROR(HLOOKUP($PT17,PPT!$E$133:$BJ$159,6,0),0))</f>
        <v>0</v>
      </c>
      <c r="P17" s="1070">
        <f>IF(PPT!$D$2="$ M",IFERROR(HLOOKUP($PT17,PPT!$E$133:$BJ$159,7,0),0)*1000,IFERROR(HLOOKUP($PT17,PPT!$E$133:$BJ$159,7,0),0))</f>
        <v>0</v>
      </c>
      <c r="Q17" s="1070">
        <f>IFERROR(HLOOKUP($PT17,Calc!$G$125:$AI$146,3,0),0)</f>
        <v>137341.05381475933</v>
      </c>
      <c r="R17" s="1070">
        <f>IF(PPT!$D$2="$ M",IFERROR(HLOOKUP($PT17,PPT!$E$133:$BJ$159,9,0),0),IFERROR(HLOOKUP($PT17,PPT!$E$133:$BJ$159,9,0),0))</f>
        <v>0.24494475138121563</v>
      </c>
      <c r="S17" s="1070" t="str">
        <f>IF(PPT!$D$2="$ M",IFERROR(HLOOKUP($PT17,PPT!$E$133:$BJ$159,10,0),0),IFERROR(HLOOKUP($PT17,PPT!$E$133:$BJ$159,10,0),0))</f>
        <v/>
      </c>
      <c r="T17" s="1070">
        <f>IFERROR(IF(Calc!$C$129="Dollar ($)",HLOOKUP($PT17,Calc!$G$125:$AI$146,5,0),0),0)</f>
        <v>0</v>
      </c>
      <c r="U17" s="1070">
        <f>IFERROR(IF(Calc!$C$129="Volume (units)",HLOOKUP($PT17,Calc!$G$125:$AI$146,5,0),0),0)</f>
        <v>0</v>
      </c>
      <c r="V17" s="1070">
        <f>IFERROR(HLOOKUP($PT17,Calc!$G$125:$AI$146,6,0),0)</f>
        <v>137341.05381475933</v>
      </c>
      <c r="W17" s="1070">
        <f>IFERROR(HLOOKUP($PT17,Calc!$G$125:$AI$146,7,0),0)</f>
        <v>42194.943300629529</v>
      </c>
      <c r="X17" s="1070">
        <f>IFERROR(HLOOKUP($PT17,Calc!$G$125:$AI$146,8,0),0)</f>
        <v>0</v>
      </c>
      <c r="Y17" s="1070">
        <f>IFERROR(HLOOKUP($PT17,Calc!$G$125:$AI$146,9,0),0)</f>
        <v>95146.110514129803</v>
      </c>
      <c r="Z17" s="1070">
        <f>IFERROR(HLOOKUP($PT17,Calc!$G$125:$AI$146,10,0),0)</f>
        <v>0.69277253866465482</v>
      </c>
      <c r="AA17" s="1070">
        <f>IFERROR(HLOOKUP($PT17,Calc!$G$125:$AI$146,11,0),0)</f>
        <v>3972.1389686656671</v>
      </c>
      <c r="AB17" s="1070">
        <f>IFERROR(HLOOKUP($PT17,Calc!$G$125:$AI$146,12,0),0)</f>
        <v>218.43766139401816</v>
      </c>
      <c r="AC17" s="1070">
        <f>IFERROR(HLOOKUP($PT17,Calc!$G$125:$AI$146,13,0),0)</f>
        <v>90955.53388407013</v>
      </c>
      <c r="AD17" s="1070">
        <f>IFERROR(HLOOKUP($PT17,Calc!$G$125:$AI$146,14,0),0)</f>
        <v>0.66226034647111187</v>
      </c>
      <c r="AE17" s="1070">
        <f>IFERROR(HLOOKUP($PT17,Calc!$G$125:$AI$146,15,0),0)</f>
        <v>933.33333333333337</v>
      </c>
      <c r="AF17" s="1070">
        <f>IFERROR(HLOOKUP($PT17,Calc!$G$125:$AI$146,16,0),0)</f>
        <v>25206.216154206308</v>
      </c>
      <c r="AG17" s="1070">
        <f>IFERROR(HLOOKUP($PT17,Calc!$G$125:$AI$146,17,0),0)</f>
        <v>64815.98439653049</v>
      </c>
      <c r="AH17" s="1070">
        <f>IFERROR(HLOOKUP($PT17,Calc!$G$125:$AI$146,18,0),0)</f>
        <v>0.47193452064196301</v>
      </c>
      <c r="AI17" s="1070">
        <f>IFERROR(HLOOKUP($PT17,Calc!$G$125:$AI$146,19,0),0)</f>
        <v>-933.33333333333337</v>
      </c>
      <c r="AJ17" s="1070">
        <f>IFERROR(HLOOKUP($PT17,Calc!$G$125:$AI$146,20,0),0)</f>
        <v>5195.3025800595897</v>
      </c>
      <c r="AK17" s="1070">
        <f>IFERROR(HLOOKUP($PT17,Calc!$G$125:$AI$146,21,0),0)</f>
        <v>60554.015149804225</v>
      </c>
      <c r="AL17" s="1070">
        <f>IFERROR(HLOOKUP($PT17,Calc!$G$125:$AI$146,22,0),0)</f>
        <v>0.44090250852070278</v>
      </c>
      <c r="AM17" s="1070">
        <f>IFERROR(HLOOKUP($PT17,Calc!$G$125:$AI$147,23,0),0)</f>
        <v>17213.230405198876</v>
      </c>
      <c r="AN17" s="1070">
        <f>IF(PPT!$D$2="$ M",IFERROR(HLOOKUP($PT17,PPT!$E$131:$BJ$159,5,0),0)*1000,IFERROR(HLOOKUP($PT17,PPT!$E$131:$BJ$159,5,0),0))</f>
        <v>0</v>
      </c>
      <c r="AO17" s="1070">
        <f>IF(PPT!$D$2="$ M",IFERROR(HLOOKUP($PT17,PPT!$E$131:$BJ$159,6,0),0)*1000,IFERROR(HLOOKUP($PT17,PPT!$E$131:$BJ$159,6,0),0))</f>
        <v>0</v>
      </c>
      <c r="AP17" s="1070">
        <f>IF(PPT!$D$2="$ M",IFERROR(HLOOKUP($PT17,PPT!$E$131:$BJ$159,7,0),0)*1000,IFERROR(HLOOKUP($PT17,PPT!$E$131:$BJ$159,7,0),0))</f>
        <v>0</v>
      </c>
      <c r="AQ17" s="1070">
        <f>IF(PPT!$D$2="$ M",IFERROR(HLOOKUP($PT17,PPT!$E$131:$BJ$159,8,0),0)*1000,IFERROR(HLOOKUP($PT17,PPT!$E$131:$BJ$159,8,0),0))</f>
        <v>0</v>
      </c>
      <c r="AR17" s="1070">
        <f>IF(PPT!$D$2="$ M",IFERROR(HLOOKUP($PT17,PPT!$E$131:$BJ$159,9,0),0)*1000,IFERROR(HLOOKUP($PT17,PPT!$E$131:$BJ$159,9,0),0))</f>
        <v>0</v>
      </c>
      <c r="AS17" s="1070">
        <f>IF(PPT!$D$2="$ M",IFERROR(HLOOKUP($PT17,PPT!$E$131:$BJ$159,10,0),0)*1000,IFERROR(HLOOKUP($PT17,PPT!$E$131:$BJ$159,10,0),0))</f>
        <v>0</v>
      </c>
      <c r="AT17" s="1070">
        <f>IF(PPT!$D$2="$ M",IFERROR(HLOOKUP($PT17,PPT!$E$131:$BJ$159,13,0),0)*1000,IFERROR(HLOOKUP($PT17,PPT!$E$131:$BJ$159,13,0),0))</f>
        <v>0</v>
      </c>
      <c r="AU17" s="1070">
        <f>IF(PPT!$D$2="$ M",IFERROR(HLOOKUP($PT17,PPT!$E$131:$BJ$159,14,0),0)*1000,IFERROR(HLOOKUP($PT17,PPT!$E$131:$BJ$159,14,0),0))</f>
        <v>0</v>
      </c>
      <c r="AV17" s="1070">
        <f>IF(PPT!$D$2="$ M",IFERROR(HLOOKUP($PT17,PPT!$E$131:$BJ$159,15,0),0)*1000,IFERROR(HLOOKUP($PT17,PPT!$E$131:$BJ$159,15,0),0))</f>
        <v>0</v>
      </c>
      <c r="AW17" s="1070">
        <f>IF(PPT!$D$2="$ M",IFERROR(HLOOKUP($PT17,PPT!$E$131:$BJ$159,17,0),0)*1000,IFERROR(HLOOKUP($PT17,PPT!$E$131:$BJ$159,17,0),0))</f>
        <v>0</v>
      </c>
      <c r="AX17" s="1070">
        <f>IF(PPT!$D$2="$ M",IFERROR(HLOOKUP($PT17,PPT!$E$131:$BJ$159,18,0),0)*1000,IFERROR(HLOOKUP($PT17,PPT!$E$131:$BJ$159,18,0),0))</f>
        <v>0</v>
      </c>
      <c r="AY17" s="1070">
        <f>IF(PPT!$D$2="$ M",IFERROR(HLOOKUP($PT17,PPT!$E$131:$BJ$159,19,0),0)*1000,IFERROR(HLOOKUP($PT17,PPT!$E$131:$BJ$159,19,0),0))</f>
        <v>0</v>
      </c>
      <c r="AZ17" s="1070">
        <f>IF(PPT!$D$2="$ M",IFERROR(HLOOKUP($PT17,PPT!$E$131:$BJ$159,21,0),0)*1000,IFERROR(HLOOKUP($PT17,PPT!$E$131:$BJ$159,21,0),0))</f>
        <v>0</v>
      </c>
      <c r="BA17" s="1070">
        <f>IF(PPT!$D$2="$ M",IFERROR(HLOOKUP($PT17,PPT!$E$131:$BJ$159,22,0),0)*1000,IFERROR(HLOOKUP($PT17,PPT!$E$131:$BJ$159,22,0),0))</f>
        <v>0</v>
      </c>
      <c r="BB17" s="1070">
        <f>IF(PPT!$D$2="$ M",IFERROR(HLOOKUP($PT17,PPT!$E$131:$BJ$159,23,0),0)*1000,IFERROR(HLOOKUP($PT17,PPT!$E$131:$BJ$159,23,0),0))</f>
        <v>0</v>
      </c>
      <c r="BC17" s="1070">
        <f>IF(PPT!$D$2="$ M",IFERROR(HLOOKUP($PT17,PPT!$E$131:$BJ$159,25,0),0)*1000,IFERROR(HLOOKUP($PT17,PPT!$E$131:$BJ$159,25,0),0))</f>
        <v>0</v>
      </c>
      <c r="BD17" s="1070">
        <f>IF(PPT!$D$2="$ M",IFERROR(HLOOKUP($PT17,PPT!$E$131:$BJ$159,26,0),0)*1000,IFERROR(HLOOKUP($PT17,PPT!$E$131:$BJ$159,26,0),0))</f>
        <v>0</v>
      </c>
      <c r="BE17" s="1070">
        <f>IF(PPT!$D$2="$ M",IFERROR(HLOOKUP($PT17,PPT!$E$131:$BJ$159,27,0),0)*1000,IFERROR(HLOOKUP($PT17,PPT!$E$131:$BJ$159,27,0),0))</f>
        <v>0</v>
      </c>
      <c r="BF17" s="1070">
        <f>IFERROR(HLOOKUP($PT17,Calc!$F$151:$P$166,2,0),0)</f>
        <v>0</v>
      </c>
      <c r="BG17" s="1070">
        <f>IFERROR(HLOOKUP($PT17,Calc!$F$151:$P$166,3,0),0)</f>
        <v>0</v>
      </c>
      <c r="BH17" s="1070">
        <f>IFERROR(HLOOKUP($PT17,Calc!$F$151:$P$166,4,0),0)</f>
        <v>0</v>
      </c>
      <c r="BI17" s="1070">
        <f>IFERROR(HLOOKUP($PT17,Calc!$F$151:$P$166,5,0),0)</f>
        <v>0</v>
      </c>
      <c r="BJ17" s="1070">
        <f>IFERROR(HLOOKUP($PT17,Calc!$F$151:$P$166,6,0),0)</f>
        <v>0</v>
      </c>
      <c r="BK17" s="1070">
        <f>IFERROR(HLOOKUP($PT17,Calc!$F$151:$P$166,7,0),0)</f>
        <v>0</v>
      </c>
      <c r="BL17" s="1070">
        <f>IFERROR(HLOOKUP($PT17,Calc!$F$151:$P$166,8,0),0)</f>
        <v>0</v>
      </c>
      <c r="BM17" s="1070">
        <f>IFERROR(HLOOKUP($PT17,Calc!$F$151:$P$166,9,0),0)</f>
        <v>0</v>
      </c>
      <c r="BN17" s="1070">
        <f>IFERROR(HLOOKUP($PT17,Calc!$F$151:$P$166,10,0),0)</f>
        <v>0</v>
      </c>
      <c r="BO17" s="1070">
        <f>IFERROR(HLOOKUP($PT17,Calc!$F$151:$P$166,11,0),0)</f>
        <v>0</v>
      </c>
      <c r="BP17" s="1070">
        <f>IFERROR(HLOOKUP($PT17,Calc!$F$151:$P$166,12,0),0)</f>
        <v>0</v>
      </c>
      <c r="BQ17" s="1070">
        <f>IFERROR(HLOOKUP($PT17,Calc!$F$151:$P$166,13,0),0)</f>
        <v>0</v>
      </c>
      <c r="BR17" s="1070">
        <f>IFERROR(HLOOKUP($PT17,Calc!$F$151:$P$166,14,0),0)</f>
        <v>0</v>
      </c>
      <c r="BS17" s="1070">
        <f>IFERROR(HLOOKUP($PT17,Calc!$F$151:$P$166,15,0),0)</f>
        <v>0</v>
      </c>
      <c r="BT17" s="1070">
        <f>IFERROR(HLOOKUP($PT17,Calc!$F$151:$P$166,16,0),0)</f>
        <v>0</v>
      </c>
      <c r="BU17" s="1070">
        <f>IFERROR(VLOOKUP($PS17,Calc!$AF$196:$AH$203,2,0),0)</f>
        <v>475116.11886769469</v>
      </c>
      <c r="BV17" s="1070">
        <f>IFERROR(VLOOKUP($PS17,Calc!$AF$196:$AH$203,3,0),0)</f>
        <v>0</v>
      </c>
      <c r="BW17" s="1070">
        <f>IFERROR(VLOOKUP($PS17,Calc!$AF$196:$AI$203,4,0),0)</f>
        <v>0</v>
      </c>
      <c r="BX17" s="1070">
        <f>IFERROR(VLOOKUP($PS17,Calc!$AF$208:$AI$209,2,0),0)</f>
        <v>0</v>
      </c>
      <c r="BY17" s="1070">
        <f>IFERROR(VLOOKUP($PS17,Calc!$AF$208:$AI$209,3,0),0)</f>
        <v>0</v>
      </c>
      <c r="BZ17" s="1070">
        <f>IFERROR(VLOOKUP($PS17,Calc!$AF$208:$AI$209,4,0),0)</f>
        <v>0</v>
      </c>
      <c r="CA17" s="1070">
        <f>IFERROR(VLOOKUP($PS17,Calc!$K$420:$P$433,3,0),0)</f>
        <v>0</v>
      </c>
      <c r="CB17" s="1070">
        <f>IFERROR(VLOOKUP($PS17,Calc!$K$420:$P$433,4,0),0)</f>
        <v>0</v>
      </c>
      <c r="CC17" s="1070">
        <f>IFERROR(VLOOKUP($PS17,Calc!$K$420:$P$433,5,0),0)</f>
        <v>0</v>
      </c>
      <c r="CD17" s="1070">
        <f>IFERROR(VLOOKUP($PS17,Calc!$K$420:$P$433,6,0),0)</f>
        <v>0</v>
      </c>
      <c r="CE17" s="1070">
        <f>IFERROR(VLOOKUP($PS17,Calc!$AQ$420:$AV$433,3,0),0)</f>
        <v>0</v>
      </c>
      <c r="CF17" s="1070">
        <f>IFERROR(VLOOKUP($PS17,Calc!$AQ$420:$AV$433,4,0),0)</f>
        <v>0</v>
      </c>
      <c r="CG17" s="1070">
        <f>IFERROR(VLOOKUP($PS17,Calc!$AQ$420:$AV$433,5,0),0)</f>
        <v>0</v>
      </c>
      <c r="CH17" s="1070">
        <f>IFERROR(VLOOKUP($PS17,Calc!$AQ$420:$AV$433,6,0),0)</f>
        <v>0</v>
      </c>
      <c r="CI17" s="1070">
        <f>IFERROR(HLOOKUP($PT17,Calc!$AQ$125:$BS$146,3,0),0)</f>
        <v>0</v>
      </c>
      <c r="CJ17" s="1070">
        <f>IFERROR(HLOOKUP($PT17,Calc!$AQ$125:$BS$146,6,0),0)</f>
        <v>0</v>
      </c>
      <c r="CK17" s="1070">
        <f>IFERROR(IF(Calc!$C$129="Dollar ($)",HLOOKUP($PT17,Calc!$AQ$125:$BS$146,5,0),0),0)</f>
        <v>0</v>
      </c>
      <c r="CL17" s="1070">
        <f>IFERROR(IF(Calc!$C$129="Volume (units)",HLOOKUP($PT17,Calc!$AQ$125:$BS$146,5,0),0),0)</f>
        <v>0</v>
      </c>
      <c r="CM17" s="1070">
        <f>IFERROR(HLOOKUP($PT17,Calc!$AQ$125:$BS$146,9,0),0)</f>
        <v>0</v>
      </c>
      <c r="CN17" s="1070">
        <f>IFERROR(HLOOKUP($PT17,Calc!$AQ$125:$BS$146,10,0),0)</f>
        <v>0</v>
      </c>
      <c r="CO17" s="1070">
        <f>IFERROR(HLOOKUP($PT17,Calc!$AQ$125:$BS$146,11,0),0)</f>
        <v>0</v>
      </c>
      <c r="CP17" s="1070">
        <f>IFERROR(HLOOKUP($PT17,Calc!$AQ$125:$BS$146,12,0),0)</f>
        <v>0</v>
      </c>
      <c r="CQ17" s="1070">
        <f>IFERROR(HLOOKUP($PT17,Calc!$AQ$125:$BS$146,13,0),0)</f>
        <v>0</v>
      </c>
      <c r="CR17" s="1070">
        <f>IFERROR(HLOOKUP($PT17,Calc!$AQ$125:$BS$146,17,0),0)</f>
        <v>0</v>
      </c>
      <c r="CS17" s="1070">
        <f>IFERROR(HLOOKUP($PT17,Calc!$AQ$125:$BS$146,19,0),0)</f>
        <v>0</v>
      </c>
      <c r="CT17" s="1070">
        <f>IFERROR(HLOOKUP($PT17,Calc!$AQ$125:$BS$146,20,0),0)</f>
        <v>0</v>
      </c>
      <c r="CU17" s="1070">
        <f>IFERROR(HLOOKUP($PT17,Calc!$AQ$125:$BS$146,21,0),0)</f>
        <v>0</v>
      </c>
      <c r="CV17" s="1070">
        <f>IFERROR(HLOOKUP($PT17,Calc!$AQ$125:$BS$147,23,0),0)</f>
        <v>0</v>
      </c>
      <c r="CW17" s="1070">
        <f>IFERROR(HLOOKUP($PT17,Calc!$AQ$9:$BS$15,5,0),0)+IFERROR(HLOOKUP($PT17,Calc!$AQ$30:$BS$36,5,0),0)+IFERROR(HLOOKUP($PT17,Calc!$AQ$51:$BS$57,5,0),0)+IFERROR(HLOOKUP($PT17,Calc!$AQ$72:$BS$78,5,0),0)+IFERROR(HLOOKUP($PT17,Calc!$AQ$93:$BS$99,5,0),0)</f>
        <v>0</v>
      </c>
      <c r="CX17" s="1070">
        <f>IFERROR(HLOOKUP($PT17,Calc!$AQ$9:$BS$15,6,0),0)+IFERROR(HLOOKUP($PT17,Calc!$AQ$30:$BS$36,6,0),0)+IFERROR(HLOOKUP($PT17,Calc!$AQ$51:$BS$57,6,0),0)+IFERROR(HLOOKUP($PT17,Calc!$AQ$72:$BS$78,6,0),0)+IFERROR(HLOOKUP($PT17,Calc!$AQ$93:$BS$99,6,0),0)</f>
        <v>0</v>
      </c>
      <c r="CY17" s="1070">
        <f>IFERROR(HLOOKUP($PT17,Calc!$AQ$9:$BS$15,7,0),0)+IFERROR(HLOOKUP($PT17,Calc!$AQ$30:$BS$36,7,0),0)+IFERROR(HLOOKUP($PT17,Calc!$AQ$51:$BS$57,7,0),0)+IFERROR(HLOOKUP($PT17,Calc!$AQ$72:$BS$78,7,0),0)+IFERROR(HLOOKUP($PT17,Calc!$AQ$93:$BS$99,7,0),0)</f>
        <v>0</v>
      </c>
      <c r="IY17" s="1070">
        <f>IFERROR(HLOOKUP($PT17,Current_Prior!$AQ$9:$BS$30,3,0),0)</f>
        <v>0</v>
      </c>
      <c r="IZ17" s="1070">
        <f>IFERROR(HLOOKUP($PT17,Current_Prior!$AQ$9:$BS$30,6,0),0)</f>
        <v>0</v>
      </c>
      <c r="JA17" s="1070">
        <f>IFERROR(IF(Calc!$C$129="Dollar ($)",HLOOKUP($PT17,Current_Prior!$AQ$9:$BS$30,5,0),0),0)</f>
        <v>0</v>
      </c>
      <c r="JB17" s="1070">
        <f>IFERROR(IF(Calc!$C$129="Volume (units)",HLOOKUP($PT17,Current_Prior!$AQ$9:$BS$30,5,0),0),0)</f>
        <v>0</v>
      </c>
      <c r="JC17" s="1070">
        <f>IFERROR(HLOOKUP($PT17,Current_Prior!$AQ$9:$BS$30,9,0),0)</f>
        <v>0</v>
      </c>
      <c r="JD17" s="1070">
        <f>IFERROR(HLOOKUP($PT17,Current_Prior!$AQ$9:$BS$30,10,0),0)</f>
        <v>0</v>
      </c>
      <c r="JE17" s="1070">
        <f>IFERROR(HLOOKUP($PT17,Current_Prior!$AQ$9:$BS$30,11,0),0)</f>
        <v>0</v>
      </c>
      <c r="JF17" s="1070">
        <f>IFERROR(HLOOKUP($PT17,Current_Prior!$AQ$9:$BS$30,12,0),0)</f>
        <v>0</v>
      </c>
      <c r="JG17" s="1070">
        <f>IFERROR(HLOOKUP($PT17,Current_Prior!$AQ$9:$BS$30,13,0),0)</f>
        <v>0</v>
      </c>
      <c r="JH17" s="1070">
        <f>IFERROR(HLOOKUP($PT17,Current_Prior!$AQ$9:$BS$30,17,0),0)</f>
        <v>0</v>
      </c>
      <c r="JI17" s="1070">
        <f>IFERROR(HLOOKUP($PT17,Current_Prior!$AQ$9:$BS$30,19,0),0)</f>
        <v>0</v>
      </c>
      <c r="JJ17" s="1070">
        <f>IFERROR(HLOOKUP($PT17,Current_Prior!$AQ$9:$BS$30,20,0),0)</f>
        <v>0</v>
      </c>
      <c r="JK17" s="1070">
        <f>IFERROR(HLOOKUP($PT17,Current_Prior!$AQ$9:$BS$30,21,0),0)</f>
        <v>0</v>
      </c>
      <c r="JL17" s="1070">
        <f>IFERROR(HLOOKUP($PT17,Current_Prior!$AQ$9:$BS$31,23,0),0)</f>
        <v>0</v>
      </c>
      <c r="ML17" s="1082">
        <f>IFERROR(HLOOKUP($PT17,HistInfo!$G$15:$AI$37,3,0),0)</f>
        <v>0</v>
      </c>
      <c r="MM17" s="1082">
        <f>IFERROR(HLOOKUP($PT17,HistInfo!$G$15:$AI$37,6,0),0)</f>
        <v>0</v>
      </c>
      <c r="MN17" s="1070">
        <f>IFERROR(IF(HistInfo!$C$19="Dollar ($)",HLOOKUP($PT17,HistInfo!$G$15:$AI$37,5,0),0),0)</f>
        <v>0</v>
      </c>
      <c r="MO17" s="1070">
        <f>IFERROR(IF(HistInfo!$C$19="Volume (units)",HLOOKUP($PT17,HistInfo!$G$15:$AI$37,5,0),0),0)</f>
        <v>0</v>
      </c>
      <c r="MP17" s="1082">
        <f>IFERROR(HLOOKUP($PT17,HistInfo!$G$15:$AI$37,9,0),0)</f>
        <v>0</v>
      </c>
      <c r="MQ17" s="1082">
        <f>IFERROR(HLOOKUP($PT17,HistInfo!$G$15:$AI$37,10,0),0)</f>
        <v>0</v>
      </c>
      <c r="MR17" s="1082">
        <f>IFERROR(HLOOKUP($PT17,HistInfo!$G$15:$AI$37,11,0),0)</f>
        <v>0</v>
      </c>
      <c r="MS17" s="1082">
        <f>IFERROR(HLOOKUP($PT17,HistInfo!$G$15:$AI$37,12,0),0)</f>
        <v>0</v>
      </c>
      <c r="MT17" s="1082">
        <f>IFERROR(HLOOKUP($PT17,HistInfo!$G$15:$AI$37,13,0),0)</f>
        <v>0</v>
      </c>
      <c r="MU17" s="1082">
        <f>IFERROR(HLOOKUP($PT17,HistInfo!$G$15:$AI$37,17,0),0)</f>
        <v>0</v>
      </c>
      <c r="MV17" s="1082">
        <f>IFERROR(HLOOKUP($PT17,HistInfo!$G$15:$AI$37,19,0),0)</f>
        <v>0</v>
      </c>
      <c r="MW17" s="1082">
        <f>IFERROR(HLOOKUP($PT17,HistInfo!$G$15:$AI$37,20,0),0)</f>
        <v>0</v>
      </c>
      <c r="MX17" s="1082">
        <f>IFERROR(HLOOKUP($PT17,HistInfo!$G$15:$AI$37,21,0),0)</f>
        <v>0</v>
      </c>
      <c r="MY17" s="1082">
        <f>IFERROR(HLOOKUP($PT17,HistInfo!$G$15:$AI$37,23,0),0)</f>
        <v>0</v>
      </c>
      <c r="PS17" s="1070">
        <v>27</v>
      </c>
      <c r="PT17" s="1082" t="str">
        <f t="shared" si="1"/>
        <v>FY27</v>
      </c>
      <c r="PU17" s="1070" t="str">
        <f t="shared" si="2"/>
        <v>2027</v>
      </c>
    </row>
    <row r="18" spans="1:437" x14ac:dyDescent="0.3">
      <c r="A18" s="1070" t="str">
        <f t="shared" si="5"/>
        <v>Life Sciences</v>
      </c>
      <c r="B18" s="1070" t="str">
        <f t="shared" si="5"/>
        <v>BDB</v>
      </c>
      <c r="C18" s="1070">
        <f t="shared" si="5"/>
        <v>0</v>
      </c>
      <c r="D18" s="1070">
        <f t="shared" si="3"/>
        <v>0</v>
      </c>
      <c r="E18" s="1070">
        <v>0</v>
      </c>
      <c r="F18" s="1070">
        <v>0</v>
      </c>
      <c r="G18" s="1070">
        <f t="shared" si="4"/>
        <v>0</v>
      </c>
      <c r="H18" s="1070">
        <f t="shared" si="4"/>
        <v>0</v>
      </c>
      <c r="I18" s="1070">
        <f t="shared" si="4"/>
        <v>0</v>
      </c>
      <c r="J18" s="1070" t="str">
        <f t="shared" si="4"/>
        <v>Budget</v>
      </c>
      <c r="K18" s="1070" t="str">
        <f t="shared" si="0"/>
        <v>2028</v>
      </c>
      <c r="L18" s="1070">
        <f>IF(PPT!$D$2="$ M",IFERROR(HLOOKUP($PT18,PPT!$E$117:$BJ$119,3,0),0)*1000,IFERROR(HLOOKUP($PT18,PPT!$E$117:$BJ$119,3,0),0))</f>
        <v>152865.10012769504</v>
      </c>
      <c r="M18" s="1070">
        <f>IF(PPT!$D$2="$ M",IFERROR(HLOOKUP($PT18,PPT!$E$133:$BJ$159,4,0),0)*1000,IFERROR(HLOOKUP($PT18,PPT!$E$133:$BJ$159,4,0),0))</f>
        <v>0</v>
      </c>
      <c r="N18" s="1070">
        <f>IF(PPT!$D$2="$ M",IFERROR(HLOOKUP($PT18,PPT!$E$133:$BJ$159,5,0),0)*1000,IFERROR(HLOOKUP($PT18,PPT!$E$133:$BJ$159,5,0),0))</f>
        <v>0</v>
      </c>
      <c r="O18" s="1070">
        <f>IF(PPT!$D$2="$ M",IFERROR(HLOOKUP($PT18,PPT!$E$133:$BJ$159,6,0),0)*1000,IFERROR(HLOOKUP($PT18,PPT!$E$133:$BJ$159,6,0),0))</f>
        <v>0</v>
      </c>
      <c r="P18" s="1070">
        <f>IF(PPT!$D$2="$ M",IFERROR(HLOOKUP($PT18,PPT!$E$133:$BJ$159,7,0),0)*1000,IFERROR(HLOOKUP($PT18,PPT!$E$133:$BJ$159,7,0),0))</f>
        <v>0</v>
      </c>
      <c r="Q18" s="1070">
        <f>IFERROR(HLOOKUP($PT18,Calc!$G$125:$AI$146,3,0),0)</f>
        <v>152865.10012769504</v>
      </c>
      <c r="R18" s="1070">
        <f>IF(PPT!$D$2="$ M",IFERROR(HLOOKUP($PT18,PPT!$E$133:$BJ$159,9,0),0),IFERROR(HLOOKUP($PT18,PPT!$E$133:$BJ$159,9,0),0))</f>
        <v>0.11303281780460184</v>
      </c>
      <c r="S18" s="1070" t="str">
        <f>IF(PPT!$D$2="$ M",IFERROR(HLOOKUP($PT18,PPT!$E$133:$BJ$159,10,0),0),IFERROR(HLOOKUP($PT18,PPT!$E$133:$BJ$159,10,0),0))</f>
        <v/>
      </c>
      <c r="T18" s="1070">
        <f>IFERROR(IF(Calc!$C$129="Dollar ($)",HLOOKUP($PT18,Calc!$G$125:$AI$146,5,0),0),0)</f>
        <v>0</v>
      </c>
      <c r="U18" s="1070">
        <f>IFERROR(IF(Calc!$C$129="Volume (units)",HLOOKUP($PT18,Calc!$G$125:$AI$146,5,0),0),0)</f>
        <v>0</v>
      </c>
      <c r="V18" s="1070">
        <f>IFERROR(HLOOKUP($PT18,Calc!$G$125:$AI$146,6,0),0)</f>
        <v>152865.10012769504</v>
      </c>
      <c r="W18" s="1070">
        <f>IFERROR(HLOOKUP($PT18,Calc!$G$125:$AI$146,7,0),0)</f>
        <v>47128.704363602352</v>
      </c>
      <c r="X18" s="1070">
        <f>IFERROR(HLOOKUP($PT18,Calc!$G$125:$AI$146,8,0),0)</f>
        <v>0</v>
      </c>
      <c r="Y18" s="1070">
        <f>IFERROR(HLOOKUP($PT18,Calc!$G$125:$AI$146,9,0),0)</f>
        <v>105736.39576409268</v>
      </c>
      <c r="Z18" s="1070">
        <f>IFERROR(HLOOKUP($PT18,Calc!$G$125:$AI$146,10,0),0)</f>
        <v>0.69169742260179956</v>
      </c>
      <c r="AA18" s="1070">
        <f>IFERROR(HLOOKUP($PT18,Calc!$G$125:$AI$146,11,0),0)</f>
        <v>4251.5718022985111</v>
      </c>
      <c r="AB18" s="1070">
        <f>IFERROR(HLOOKUP($PT18,Calc!$G$125:$AI$146,12,0),0)</f>
        <v>222.80641462189857</v>
      </c>
      <c r="AC18" s="1070">
        <f>IFERROR(HLOOKUP($PT18,Calc!$G$125:$AI$146,13,0),0)</f>
        <v>101262.01754717228</v>
      </c>
      <c r="AD18" s="1070">
        <f>IFERROR(HLOOKUP($PT18,Calc!$G$125:$AI$146,14,0),0)</f>
        <v>0.66242731311845271</v>
      </c>
      <c r="AE18" s="1070">
        <f>IFERROR(HLOOKUP($PT18,Calc!$G$125:$AI$146,15,0),0)</f>
        <v>933.33333333333337</v>
      </c>
      <c r="AF18" s="1070">
        <f>IFERROR(HLOOKUP($PT18,Calc!$G$125:$AI$146,16,0),0)</f>
        <v>28092.031579874907</v>
      </c>
      <c r="AG18" s="1070">
        <f>IFERROR(HLOOKUP($PT18,Calc!$G$125:$AI$146,17,0),0)</f>
        <v>72236.65263396404</v>
      </c>
      <c r="AH18" s="1070">
        <f>IFERROR(HLOOKUP($PT18,Calc!$G$125:$AI$146,18,0),0)</f>
        <v>0.47255163260692951</v>
      </c>
      <c r="AI18" s="1070">
        <f>IFERROR(HLOOKUP($PT18,Calc!$G$125:$AI$146,19,0),0)</f>
        <v>-933.33333333333337</v>
      </c>
      <c r="AJ18" s="1070">
        <f>IFERROR(HLOOKUP($PT18,Calc!$G$125:$AI$146,20,0),0)</f>
        <v>2988.4494306812239</v>
      </c>
      <c r="AK18" s="1070">
        <f>IFERROR(HLOOKUP($PT18,Calc!$G$125:$AI$146,21,0),0)</f>
        <v>70181.536536616142</v>
      </c>
      <c r="AL18" s="1070">
        <f>IFERROR(HLOOKUP($PT18,Calc!$G$125:$AI$146,22,0),0)</f>
        <v>0.45910764771023843</v>
      </c>
      <c r="AM18" s="1070">
        <f>IFERROR(HLOOKUP($PT18,Calc!$G$125:$AI$147,23,0),0)</f>
        <v>17347.802483984455</v>
      </c>
      <c r="AN18" s="1070">
        <f>IF(PPT!$D$2="$ M",IFERROR(HLOOKUP($PT18,PPT!$E$131:$BJ$159,5,0),0)*1000,IFERROR(HLOOKUP($PT18,PPT!$E$131:$BJ$159,5,0),0))</f>
        <v>0</v>
      </c>
      <c r="AO18" s="1070">
        <f>IF(PPT!$D$2="$ M",IFERROR(HLOOKUP($PT18,PPT!$E$131:$BJ$159,6,0),0)*1000,IFERROR(HLOOKUP($PT18,PPT!$E$131:$BJ$159,6,0),0))</f>
        <v>0</v>
      </c>
      <c r="AP18" s="1070">
        <f>IF(PPT!$D$2="$ M",IFERROR(HLOOKUP($PT18,PPT!$E$131:$BJ$159,7,0),0)*1000,IFERROR(HLOOKUP($PT18,PPT!$E$131:$BJ$159,7,0),0))</f>
        <v>0</v>
      </c>
      <c r="AQ18" s="1070">
        <f>IF(PPT!$D$2="$ M",IFERROR(HLOOKUP($PT18,PPT!$E$131:$BJ$159,8,0),0)*1000,IFERROR(HLOOKUP($PT18,PPT!$E$131:$BJ$159,8,0),0))</f>
        <v>0</v>
      </c>
      <c r="AR18" s="1070">
        <f>IF(PPT!$D$2="$ M",IFERROR(HLOOKUP($PT18,PPT!$E$131:$BJ$159,9,0),0)*1000,IFERROR(HLOOKUP($PT18,PPT!$E$131:$BJ$159,9,0),0))</f>
        <v>0</v>
      </c>
      <c r="AS18" s="1070">
        <f>IF(PPT!$D$2="$ M",IFERROR(HLOOKUP($PT18,PPT!$E$131:$BJ$159,10,0),0)*1000,IFERROR(HLOOKUP($PT18,PPT!$E$131:$BJ$159,10,0),0))</f>
        <v>0</v>
      </c>
      <c r="AT18" s="1070">
        <f>IF(PPT!$D$2="$ M",IFERROR(HLOOKUP($PT18,PPT!$E$131:$BJ$159,13,0),0)*1000,IFERROR(HLOOKUP($PT18,PPT!$E$131:$BJ$159,13,0),0))</f>
        <v>0</v>
      </c>
      <c r="AU18" s="1070">
        <f>IF(PPT!$D$2="$ M",IFERROR(HLOOKUP($PT18,PPT!$E$131:$BJ$159,14,0),0)*1000,IFERROR(HLOOKUP($PT18,PPT!$E$131:$BJ$159,14,0),0))</f>
        <v>0</v>
      </c>
      <c r="AV18" s="1070">
        <f>IF(PPT!$D$2="$ M",IFERROR(HLOOKUP($PT18,PPT!$E$131:$BJ$159,15,0),0)*1000,IFERROR(HLOOKUP($PT18,PPT!$E$131:$BJ$159,15,0),0))</f>
        <v>0</v>
      </c>
      <c r="AW18" s="1070">
        <f>IF(PPT!$D$2="$ M",IFERROR(HLOOKUP($PT18,PPT!$E$131:$BJ$159,17,0),0)*1000,IFERROR(HLOOKUP($PT18,PPT!$E$131:$BJ$159,17,0),0))</f>
        <v>0</v>
      </c>
      <c r="AX18" s="1070">
        <f>IF(PPT!$D$2="$ M",IFERROR(HLOOKUP($PT18,PPT!$E$131:$BJ$159,18,0),0)*1000,IFERROR(HLOOKUP($PT18,PPT!$E$131:$BJ$159,18,0),0))</f>
        <v>0</v>
      </c>
      <c r="AY18" s="1070">
        <f>IF(PPT!$D$2="$ M",IFERROR(HLOOKUP($PT18,PPT!$E$131:$BJ$159,19,0),0)*1000,IFERROR(HLOOKUP($PT18,PPT!$E$131:$BJ$159,19,0),0))</f>
        <v>0</v>
      </c>
      <c r="AZ18" s="1070">
        <f>IF(PPT!$D$2="$ M",IFERROR(HLOOKUP($PT18,PPT!$E$131:$BJ$159,21,0),0)*1000,IFERROR(HLOOKUP($PT18,PPT!$E$131:$BJ$159,21,0),0))</f>
        <v>0</v>
      </c>
      <c r="BA18" s="1070">
        <f>IF(PPT!$D$2="$ M",IFERROR(HLOOKUP($PT18,PPT!$E$131:$BJ$159,22,0),0)*1000,IFERROR(HLOOKUP($PT18,PPT!$E$131:$BJ$159,22,0),0))</f>
        <v>0</v>
      </c>
      <c r="BB18" s="1070">
        <f>IF(PPT!$D$2="$ M",IFERROR(HLOOKUP($PT18,PPT!$E$131:$BJ$159,23,0),0)*1000,IFERROR(HLOOKUP($PT18,PPT!$E$131:$BJ$159,23,0),0))</f>
        <v>0</v>
      </c>
      <c r="BC18" s="1070">
        <f>IF(PPT!$D$2="$ M",IFERROR(HLOOKUP($PT18,PPT!$E$131:$BJ$159,25,0),0)*1000,IFERROR(HLOOKUP($PT18,PPT!$E$131:$BJ$159,25,0),0))</f>
        <v>0</v>
      </c>
      <c r="BD18" s="1070">
        <f>IF(PPT!$D$2="$ M",IFERROR(HLOOKUP($PT18,PPT!$E$131:$BJ$159,26,0),0)*1000,IFERROR(HLOOKUP($PT18,PPT!$E$131:$BJ$159,26,0),0))</f>
        <v>0</v>
      </c>
      <c r="BE18" s="1070">
        <f>IF(PPT!$D$2="$ M",IFERROR(HLOOKUP($PT18,PPT!$E$131:$BJ$159,27,0),0)*1000,IFERROR(HLOOKUP($PT18,PPT!$E$131:$BJ$159,27,0),0))</f>
        <v>0</v>
      </c>
      <c r="BF18" s="1070">
        <f>IFERROR(HLOOKUP($PT18,Calc!$F$151:$P$166,2,0),0)</f>
        <v>0</v>
      </c>
      <c r="BG18" s="1070">
        <f>IFERROR(HLOOKUP($PT18,Calc!$F$151:$P$166,3,0),0)</f>
        <v>0</v>
      </c>
      <c r="BH18" s="1070">
        <f>IFERROR(HLOOKUP($PT18,Calc!$F$151:$P$166,4,0),0)</f>
        <v>0</v>
      </c>
      <c r="BI18" s="1070">
        <f>IFERROR(HLOOKUP($PT18,Calc!$F$151:$P$166,5,0),0)</f>
        <v>0</v>
      </c>
      <c r="BJ18" s="1070">
        <f>IFERROR(HLOOKUP($PT18,Calc!$F$151:$P$166,6,0),0)</f>
        <v>0</v>
      </c>
      <c r="BK18" s="1070">
        <f>IFERROR(HLOOKUP($PT18,Calc!$F$151:$P$166,7,0),0)</f>
        <v>0</v>
      </c>
      <c r="BL18" s="1070">
        <f>IFERROR(HLOOKUP($PT18,Calc!$F$151:$P$166,8,0),0)</f>
        <v>0</v>
      </c>
      <c r="BM18" s="1070">
        <f>IFERROR(HLOOKUP($PT18,Calc!$F$151:$P$166,9,0),0)</f>
        <v>0</v>
      </c>
      <c r="BN18" s="1070">
        <f>IFERROR(HLOOKUP($PT18,Calc!$F$151:$P$166,10,0),0)</f>
        <v>0</v>
      </c>
      <c r="BO18" s="1070">
        <f>IFERROR(HLOOKUP($PT18,Calc!$F$151:$P$166,11,0),0)</f>
        <v>0</v>
      </c>
      <c r="BP18" s="1070">
        <f>IFERROR(HLOOKUP($PT18,Calc!$F$151:$P$166,12,0),0)</f>
        <v>0</v>
      </c>
      <c r="BQ18" s="1070">
        <f>IFERROR(HLOOKUP($PT18,Calc!$F$151:$P$166,13,0),0)</f>
        <v>0</v>
      </c>
      <c r="BR18" s="1070">
        <f>IFERROR(HLOOKUP($PT18,Calc!$F$151:$P$166,14,0),0)</f>
        <v>0</v>
      </c>
      <c r="BS18" s="1070">
        <f>IFERROR(HLOOKUP($PT18,Calc!$F$151:$P$166,15,0),0)</f>
        <v>0</v>
      </c>
      <c r="BT18" s="1070">
        <f>IFERROR(HLOOKUP($PT18,Calc!$F$151:$P$166,16,0),0)</f>
        <v>0</v>
      </c>
      <c r="BU18" s="1070">
        <f>IFERROR(VLOOKUP($PS18,Calc!$AF$196:$AH$203,2,0),0)</f>
        <v>0</v>
      </c>
      <c r="BV18" s="1070">
        <f>IFERROR(VLOOKUP($PS18,Calc!$AF$196:$AH$203,3,0),0)</f>
        <v>0</v>
      </c>
      <c r="BW18" s="1070">
        <f>IFERROR(VLOOKUP($PS18,Calc!$AF$196:$AI$203,4,0),0)</f>
        <v>0</v>
      </c>
      <c r="BX18" s="1070">
        <f>IFERROR(VLOOKUP($PS18,Calc!$AF$208:$AI$209,2,0),0)</f>
        <v>0</v>
      </c>
      <c r="BY18" s="1070">
        <f>IFERROR(VLOOKUP($PS18,Calc!$AF$208:$AI$209,3,0),0)</f>
        <v>0</v>
      </c>
      <c r="BZ18" s="1070">
        <f>IFERROR(VLOOKUP($PS18,Calc!$AF$208:$AI$209,4,0),0)</f>
        <v>0</v>
      </c>
      <c r="CA18" s="1070">
        <f>IFERROR(VLOOKUP($PS18,Calc!$K$420:$P$433,3,0),0)</f>
        <v>0</v>
      </c>
      <c r="CB18" s="1070">
        <f>IFERROR(VLOOKUP($PS18,Calc!$K$420:$P$433,4,0),0)</f>
        <v>0</v>
      </c>
      <c r="CC18" s="1070">
        <f>IFERROR(VLOOKUP($PS18,Calc!$K$420:$P$433,5,0),0)</f>
        <v>0</v>
      </c>
      <c r="CD18" s="1070">
        <f>IFERROR(VLOOKUP($PS18,Calc!$K$420:$P$433,6,0),0)</f>
        <v>0</v>
      </c>
      <c r="CE18" s="1070">
        <f>IFERROR(VLOOKUP($PS18,Calc!$AQ$420:$AV$433,3,0),0)</f>
        <v>0</v>
      </c>
      <c r="CF18" s="1070">
        <f>IFERROR(VLOOKUP($PS18,Calc!$AQ$420:$AV$433,4,0),0)</f>
        <v>0</v>
      </c>
      <c r="CG18" s="1070">
        <f>IFERROR(VLOOKUP($PS18,Calc!$AQ$420:$AV$433,5,0),0)</f>
        <v>0</v>
      </c>
      <c r="CH18" s="1070">
        <f>IFERROR(VLOOKUP($PS18,Calc!$AQ$420:$AV$433,6,0),0)</f>
        <v>0</v>
      </c>
      <c r="CI18" s="1070">
        <f>IFERROR(HLOOKUP($PT18,Calc!$AQ$125:$BS$146,3,0),0)</f>
        <v>0</v>
      </c>
      <c r="CJ18" s="1070">
        <f>IFERROR(HLOOKUP($PT18,Calc!$AQ$125:$BS$146,6,0),0)</f>
        <v>0</v>
      </c>
      <c r="CK18" s="1070">
        <f>IFERROR(IF(Calc!$C$129="Dollar ($)",HLOOKUP($PT18,Calc!$AQ$125:$BS$146,5,0),0),0)</f>
        <v>0</v>
      </c>
      <c r="CL18" s="1070">
        <f>IFERROR(IF(Calc!$C$129="Volume (units)",HLOOKUP($PT18,Calc!$AQ$125:$BS$146,5,0),0),0)</f>
        <v>0</v>
      </c>
      <c r="CM18" s="1070">
        <f>IFERROR(HLOOKUP($PT18,Calc!$AQ$125:$BS$146,9,0),0)</f>
        <v>0</v>
      </c>
      <c r="CN18" s="1070">
        <f>IFERROR(HLOOKUP($PT18,Calc!$AQ$125:$BS$146,10,0),0)</f>
        <v>0</v>
      </c>
      <c r="CO18" s="1070">
        <f>IFERROR(HLOOKUP($PT18,Calc!$AQ$125:$BS$146,11,0),0)</f>
        <v>0</v>
      </c>
      <c r="CP18" s="1070">
        <f>IFERROR(HLOOKUP($PT18,Calc!$AQ$125:$BS$146,12,0),0)</f>
        <v>0</v>
      </c>
      <c r="CQ18" s="1070">
        <f>IFERROR(HLOOKUP($PT18,Calc!$AQ$125:$BS$146,13,0),0)</f>
        <v>0</v>
      </c>
      <c r="CR18" s="1070">
        <f>IFERROR(HLOOKUP($PT18,Calc!$AQ$125:$BS$146,17,0),0)</f>
        <v>0</v>
      </c>
      <c r="CS18" s="1070">
        <f>IFERROR(HLOOKUP($PT18,Calc!$AQ$125:$BS$146,19,0),0)</f>
        <v>0</v>
      </c>
      <c r="CT18" s="1070">
        <f>IFERROR(HLOOKUP($PT18,Calc!$AQ$125:$BS$146,20,0),0)</f>
        <v>0</v>
      </c>
      <c r="CU18" s="1070">
        <f>IFERROR(HLOOKUP($PT18,Calc!$AQ$125:$BS$146,21,0),0)</f>
        <v>0</v>
      </c>
      <c r="CV18" s="1070">
        <f>IFERROR(HLOOKUP($PT18,Calc!$AQ$125:$BS$147,23,0),0)</f>
        <v>0</v>
      </c>
      <c r="CW18" s="1070">
        <f>IFERROR(HLOOKUP($PT18,Calc!$AQ$9:$BS$15,5,0),0)+IFERROR(HLOOKUP($PT18,Calc!$AQ$30:$BS$36,5,0),0)+IFERROR(HLOOKUP($PT18,Calc!$AQ$51:$BS$57,5,0),0)+IFERROR(HLOOKUP($PT18,Calc!$AQ$72:$BS$78,5,0),0)+IFERROR(HLOOKUP($PT18,Calc!$AQ$93:$BS$99,5,0),0)</f>
        <v>0</v>
      </c>
      <c r="CX18" s="1070">
        <f>IFERROR(HLOOKUP($PT18,Calc!$AQ$9:$BS$15,6,0),0)+IFERROR(HLOOKUP($PT18,Calc!$AQ$30:$BS$36,6,0),0)+IFERROR(HLOOKUP($PT18,Calc!$AQ$51:$BS$57,6,0),0)+IFERROR(HLOOKUP($PT18,Calc!$AQ$72:$BS$78,6,0),0)+IFERROR(HLOOKUP($PT18,Calc!$AQ$93:$BS$99,6,0),0)</f>
        <v>0</v>
      </c>
      <c r="CY18" s="1070">
        <f>IFERROR(HLOOKUP($PT18,Calc!$AQ$9:$BS$15,7,0),0)+IFERROR(HLOOKUP($PT18,Calc!$AQ$30:$BS$36,7,0),0)+IFERROR(HLOOKUP($PT18,Calc!$AQ$51:$BS$57,7,0),0)+IFERROR(HLOOKUP($PT18,Calc!$AQ$72:$BS$78,7,0),0)+IFERROR(HLOOKUP($PT18,Calc!$AQ$93:$BS$99,7,0),0)</f>
        <v>0</v>
      </c>
      <c r="IY18" s="1070">
        <f>IFERROR(HLOOKUP($PT18,Current_Prior!$AQ$9:$BS$30,3,0),0)</f>
        <v>0</v>
      </c>
      <c r="IZ18" s="1070">
        <f>IFERROR(HLOOKUP($PT18,Current_Prior!$AQ$9:$BS$30,6,0),0)</f>
        <v>0</v>
      </c>
      <c r="JA18" s="1070">
        <f>IFERROR(IF(Calc!$C$129="Dollar ($)",HLOOKUP($PT18,Current_Prior!$AQ$9:$BS$30,5,0),0),0)</f>
        <v>0</v>
      </c>
      <c r="JB18" s="1070">
        <f>IFERROR(IF(Calc!$C$129="Volume (units)",HLOOKUP($PT18,Current_Prior!$AQ$9:$BS$30,5,0),0),0)</f>
        <v>0</v>
      </c>
      <c r="JC18" s="1070">
        <f>IFERROR(HLOOKUP($PT18,Current_Prior!$AQ$9:$BS$30,9,0),0)</f>
        <v>0</v>
      </c>
      <c r="JD18" s="1070">
        <f>IFERROR(HLOOKUP($PT18,Current_Prior!$AQ$9:$BS$30,10,0),0)</f>
        <v>0</v>
      </c>
      <c r="JE18" s="1070">
        <f>IFERROR(HLOOKUP($PT18,Current_Prior!$AQ$9:$BS$30,11,0),0)</f>
        <v>0</v>
      </c>
      <c r="JF18" s="1070">
        <f>IFERROR(HLOOKUP($PT18,Current_Prior!$AQ$9:$BS$30,12,0),0)</f>
        <v>0</v>
      </c>
      <c r="JG18" s="1070">
        <f>IFERROR(HLOOKUP($PT18,Current_Prior!$AQ$9:$BS$30,13,0),0)</f>
        <v>0</v>
      </c>
      <c r="JH18" s="1070">
        <f>IFERROR(HLOOKUP($PT18,Current_Prior!$AQ$9:$BS$30,17,0),0)</f>
        <v>0</v>
      </c>
      <c r="JI18" s="1070">
        <f>IFERROR(HLOOKUP($PT18,Current_Prior!$AQ$9:$BS$30,19,0),0)</f>
        <v>0</v>
      </c>
      <c r="JJ18" s="1070">
        <f>IFERROR(HLOOKUP($PT18,Current_Prior!$AQ$9:$BS$30,20,0),0)</f>
        <v>0</v>
      </c>
      <c r="JK18" s="1070">
        <f>IFERROR(HLOOKUP($PT18,Current_Prior!$AQ$9:$BS$30,21,0),0)</f>
        <v>0</v>
      </c>
      <c r="JL18" s="1070">
        <f>IFERROR(HLOOKUP($PT18,Current_Prior!$AQ$9:$BS$31,23,0),0)</f>
        <v>0</v>
      </c>
      <c r="ML18" s="1082">
        <f>IFERROR(HLOOKUP($PT18,HistInfo!$G$15:$AI$37,3,0),0)</f>
        <v>0</v>
      </c>
      <c r="MM18" s="1082">
        <f>IFERROR(HLOOKUP($PT18,HistInfo!$G$15:$AI$37,6,0),0)</f>
        <v>0</v>
      </c>
      <c r="MN18" s="1070">
        <f>IFERROR(IF(HistInfo!$C$19="Dollar ($)",HLOOKUP($PT18,HistInfo!$G$15:$AI$37,5,0),0),0)</f>
        <v>0</v>
      </c>
      <c r="MO18" s="1070">
        <f>IFERROR(IF(HistInfo!$C$19="Volume (units)",HLOOKUP($PT18,HistInfo!$G$15:$AI$37,5,0),0),0)</f>
        <v>0</v>
      </c>
      <c r="MP18" s="1082">
        <f>IFERROR(HLOOKUP($PT18,HistInfo!$G$15:$AI$37,9,0),0)</f>
        <v>0</v>
      </c>
      <c r="MQ18" s="1082">
        <f>IFERROR(HLOOKUP($PT18,HistInfo!$G$15:$AI$37,10,0),0)</f>
        <v>0</v>
      </c>
      <c r="MR18" s="1082">
        <f>IFERROR(HLOOKUP($PT18,HistInfo!$G$15:$AI$37,11,0),0)</f>
        <v>0</v>
      </c>
      <c r="MS18" s="1082">
        <f>IFERROR(HLOOKUP($PT18,HistInfo!$G$15:$AI$37,12,0),0)</f>
        <v>0</v>
      </c>
      <c r="MT18" s="1082">
        <f>IFERROR(HLOOKUP($PT18,HistInfo!$G$15:$AI$37,13,0),0)</f>
        <v>0</v>
      </c>
      <c r="MU18" s="1082">
        <f>IFERROR(HLOOKUP($PT18,HistInfo!$G$15:$AI$37,17,0),0)</f>
        <v>0</v>
      </c>
      <c r="MV18" s="1082">
        <f>IFERROR(HLOOKUP($PT18,HistInfo!$G$15:$AI$37,19,0),0)</f>
        <v>0</v>
      </c>
      <c r="MW18" s="1082">
        <f>IFERROR(HLOOKUP($PT18,HistInfo!$G$15:$AI$37,20,0),0)</f>
        <v>0</v>
      </c>
      <c r="MX18" s="1082">
        <f>IFERROR(HLOOKUP($PT18,HistInfo!$G$15:$AI$37,21,0),0)</f>
        <v>0</v>
      </c>
      <c r="MY18" s="1082">
        <f>IFERROR(HLOOKUP($PT18,HistInfo!$G$15:$AI$37,23,0),0)</f>
        <v>0</v>
      </c>
      <c r="PS18" s="1070">
        <v>28</v>
      </c>
      <c r="PT18" s="1082" t="str">
        <f t="shared" si="1"/>
        <v>FY28</v>
      </c>
      <c r="PU18" s="1070" t="str">
        <f t="shared" si="2"/>
        <v>2028</v>
      </c>
    </row>
    <row r="19" spans="1:437" x14ac:dyDescent="0.3">
      <c r="A19" s="1070" t="str">
        <f t="shared" si="5"/>
        <v>Life Sciences</v>
      </c>
      <c r="B19" s="1070" t="str">
        <f t="shared" si="5"/>
        <v>BDB</v>
      </c>
      <c r="C19" s="1070">
        <f t="shared" si="5"/>
        <v>0</v>
      </c>
      <c r="D19" s="1070">
        <f t="shared" si="5"/>
        <v>0</v>
      </c>
      <c r="E19" s="1070">
        <v>0</v>
      </c>
      <c r="F19" s="1070">
        <v>0</v>
      </c>
      <c r="G19" s="1070">
        <f t="shared" ref="G19:J34" si="7">G18</f>
        <v>0</v>
      </c>
      <c r="H19" s="1070">
        <f t="shared" si="7"/>
        <v>0</v>
      </c>
      <c r="I19" s="1070">
        <f t="shared" si="7"/>
        <v>0</v>
      </c>
      <c r="J19" s="1070" t="str">
        <f t="shared" si="7"/>
        <v>Budget</v>
      </c>
      <c r="K19" s="1070" t="str">
        <f t="shared" si="0"/>
        <v>2029</v>
      </c>
      <c r="L19" s="1070">
        <f>IF(PPT!$D$2="$ M",IFERROR(HLOOKUP($PT19,PPT!$E$117:$BJ$119,3,0),0)*1000,IFERROR(HLOOKUP($PT19,PPT!$E$117:$BJ$119,3,0),0))</f>
        <v>165744.56703901547</v>
      </c>
      <c r="M19" s="1070">
        <f>IF(PPT!$D$2="$ M",IFERROR(HLOOKUP($PT19,PPT!$E$133:$BJ$159,4,0),0)*1000,IFERROR(HLOOKUP($PT19,PPT!$E$133:$BJ$159,4,0),0))</f>
        <v>0</v>
      </c>
      <c r="N19" s="1070">
        <f>IF(PPT!$D$2="$ M",IFERROR(HLOOKUP($PT19,PPT!$E$133:$BJ$159,5,0),0)*1000,IFERROR(HLOOKUP($PT19,PPT!$E$133:$BJ$159,5,0),0))</f>
        <v>0</v>
      </c>
      <c r="O19" s="1070">
        <f>IF(PPT!$D$2="$ M",IFERROR(HLOOKUP($PT19,PPT!$E$133:$BJ$159,6,0),0)*1000,IFERROR(HLOOKUP($PT19,PPT!$E$133:$BJ$159,6,0),0))</f>
        <v>0</v>
      </c>
      <c r="P19" s="1070">
        <f>IF(PPT!$D$2="$ M",IFERROR(HLOOKUP($PT19,PPT!$E$133:$BJ$159,7,0),0)*1000,IFERROR(HLOOKUP($PT19,PPT!$E$133:$BJ$159,7,0),0))</f>
        <v>0</v>
      </c>
      <c r="Q19" s="1070">
        <f>IFERROR(HLOOKUP($PT19,Calc!$G$125:$AI$146,3,0),0)</f>
        <v>165744.56703901547</v>
      </c>
      <c r="R19" s="1070">
        <f>IF(PPT!$D$2="$ M",IFERROR(HLOOKUP($PT19,PPT!$E$133:$BJ$159,9,0),0),IFERROR(HLOOKUP($PT19,PPT!$E$133:$BJ$159,9,0),0))</f>
        <v>8.4253808754003595E-2</v>
      </c>
      <c r="S19" s="1070" t="str">
        <f>IF(PPT!$D$2="$ M",IFERROR(HLOOKUP($PT19,PPT!$E$133:$BJ$159,10,0),0),IFERROR(HLOOKUP($PT19,PPT!$E$133:$BJ$159,10,0),0))</f>
        <v/>
      </c>
      <c r="T19" s="1070">
        <f>IFERROR(IF(Calc!$C$129="Dollar ($)",HLOOKUP($PT19,Calc!$G$125:$AI$146,5,0),0),0)</f>
        <v>0</v>
      </c>
      <c r="U19" s="1070">
        <f>IFERROR(IF(Calc!$C$129="Volume (units)",HLOOKUP($PT19,Calc!$G$125:$AI$146,5,0),0),0)</f>
        <v>0</v>
      </c>
      <c r="V19" s="1070">
        <f>IFERROR(HLOOKUP($PT19,Calc!$G$125:$AI$146,6,0),0)</f>
        <v>165744.56703901547</v>
      </c>
      <c r="W19" s="1070">
        <f>IFERROR(HLOOKUP($PT19,Calc!$G$125:$AI$146,7,0),0)</f>
        <v>53019.586338411653</v>
      </c>
      <c r="X19" s="1070">
        <f>IFERROR(HLOOKUP($PT19,Calc!$G$125:$AI$146,8,0),0)</f>
        <v>0</v>
      </c>
      <c r="Y19" s="1070">
        <f>IFERROR(HLOOKUP($PT19,Calc!$G$125:$AI$146,9,0),0)</f>
        <v>112724.98070060382</v>
      </c>
      <c r="Z19" s="1070">
        <f>IFERROR(HLOOKUP($PT19,Calc!$G$125:$AI$146,10,0),0)</f>
        <v>0.68011267406471854</v>
      </c>
      <c r="AA19" s="1070">
        <f>IFERROR(HLOOKUP($PT19,Calc!$G$125:$AI$146,11,0),0)</f>
        <v>3983.4022067022779</v>
      </c>
      <c r="AB19" s="1070">
        <f>IFERROR(HLOOKUP($PT19,Calc!$G$125:$AI$146,12,0),0)</f>
        <v>0</v>
      </c>
      <c r="AC19" s="1070">
        <f>IFERROR(HLOOKUP($PT19,Calc!$G$125:$AI$146,13,0),0)</f>
        <v>108741.57849390154</v>
      </c>
      <c r="AD19" s="1070">
        <f>IFERROR(HLOOKUP($PT19,Calc!$G$125:$AI$146,14,0),0)</f>
        <v>0.65607929379853702</v>
      </c>
      <c r="AE19" s="1070">
        <f>IFERROR(HLOOKUP($PT19,Calc!$G$125:$AI$146,15,0),0)</f>
        <v>933.33333333333337</v>
      </c>
      <c r="AF19" s="1070">
        <f>IFERROR(HLOOKUP($PT19,Calc!$G$125:$AI$146,16,0),0)</f>
        <v>30186.308644959103</v>
      </c>
      <c r="AG19" s="1070">
        <f>IFERROR(HLOOKUP($PT19,Calc!$G$125:$AI$146,17,0),0)</f>
        <v>77621.936515609108</v>
      </c>
      <c r="AH19" s="1070">
        <f>IFERROR(HLOOKUP($PT19,Calc!$G$125:$AI$146,18,0),0)</f>
        <v>0.46832265999607264</v>
      </c>
      <c r="AI19" s="1070">
        <f>IFERROR(HLOOKUP($PT19,Calc!$G$125:$AI$146,19,0),0)</f>
        <v>-933.33333333333337</v>
      </c>
      <c r="AJ19" s="1070">
        <f>IFERROR(HLOOKUP($PT19,Calc!$G$125:$AI$146,20,0),0)</f>
        <v>2704.0565805251163</v>
      </c>
      <c r="AK19" s="1070">
        <f>IFERROR(HLOOKUP($PT19,Calc!$G$125:$AI$146,21,0),0)</f>
        <v>75851.213268417327</v>
      </c>
      <c r="AL19" s="1070">
        <f>IFERROR(HLOOKUP($PT19,Calc!$G$125:$AI$146,22,0),0)</f>
        <v>0.45763921329959684</v>
      </c>
      <c r="AM19" s="1070">
        <f>IFERROR(HLOOKUP($PT19,Calc!$G$125:$AI$147,23,0),0)</f>
        <v>16303.704226731053</v>
      </c>
      <c r="AN19" s="1070">
        <f>IF(PPT!$D$2="$ M",IFERROR(HLOOKUP($PT19,PPT!$E$131:$BJ$159,5,0),0)*1000,IFERROR(HLOOKUP($PT19,PPT!$E$131:$BJ$159,5,0),0))</f>
        <v>0</v>
      </c>
      <c r="AO19" s="1070">
        <f>IF(PPT!$D$2="$ M",IFERROR(HLOOKUP($PT19,PPT!$E$131:$BJ$159,6,0),0)*1000,IFERROR(HLOOKUP($PT19,PPT!$E$131:$BJ$159,6,0),0))</f>
        <v>0</v>
      </c>
      <c r="AP19" s="1070">
        <f>IF(PPT!$D$2="$ M",IFERROR(HLOOKUP($PT19,PPT!$E$131:$BJ$159,7,0),0)*1000,IFERROR(HLOOKUP($PT19,PPT!$E$131:$BJ$159,7,0),0))</f>
        <v>0</v>
      </c>
      <c r="AQ19" s="1070">
        <f>IF(PPT!$D$2="$ M",IFERROR(HLOOKUP($PT19,PPT!$E$131:$BJ$159,8,0),0)*1000,IFERROR(HLOOKUP($PT19,PPT!$E$131:$BJ$159,8,0),0))</f>
        <v>0</v>
      </c>
      <c r="AR19" s="1070">
        <f>IF(PPT!$D$2="$ M",IFERROR(HLOOKUP($PT19,PPT!$E$131:$BJ$159,9,0),0)*1000,IFERROR(HLOOKUP($PT19,PPT!$E$131:$BJ$159,9,0),0))</f>
        <v>0</v>
      </c>
      <c r="AS19" s="1070">
        <f>IF(PPT!$D$2="$ M",IFERROR(HLOOKUP($PT19,PPT!$E$131:$BJ$159,10,0),0)*1000,IFERROR(HLOOKUP($PT19,PPT!$E$131:$BJ$159,10,0),0))</f>
        <v>0</v>
      </c>
      <c r="AT19" s="1070">
        <f>IF(PPT!$D$2="$ M",IFERROR(HLOOKUP($PT19,PPT!$E$131:$BJ$159,13,0),0)*1000,IFERROR(HLOOKUP($PT19,PPT!$E$131:$BJ$159,13,0),0))</f>
        <v>0</v>
      </c>
      <c r="AU19" s="1070">
        <f>IF(PPT!$D$2="$ M",IFERROR(HLOOKUP($PT19,PPT!$E$131:$BJ$159,14,0),0)*1000,IFERROR(HLOOKUP($PT19,PPT!$E$131:$BJ$159,14,0),0))</f>
        <v>0</v>
      </c>
      <c r="AV19" s="1070">
        <f>IF(PPT!$D$2="$ M",IFERROR(HLOOKUP($PT19,PPT!$E$131:$BJ$159,15,0),0)*1000,IFERROR(HLOOKUP($PT19,PPT!$E$131:$BJ$159,15,0),0))</f>
        <v>0</v>
      </c>
      <c r="AW19" s="1070">
        <f>IF(PPT!$D$2="$ M",IFERROR(HLOOKUP($PT19,PPT!$E$131:$BJ$159,17,0),0)*1000,IFERROR(HLOOKUP($PT19,PPT!$E$131:$BJ$159,17,0),0))</f>
        <v>0</v>
      </c>
      <c r="AX19" s="1070">
        <f>IF(PPT!$D$2="$ M",IFERROR(HLOOKUP($PT19,PPT!$E$131:$BJ$159,18,0),0)*1000,IFERROR(HLOOKUP($PT19,PPT!$E$131:$BJ$159,18,0),0))</f>
        <v>0</v>
      </c>
      <c r="AY19" s="1070">
        <f>IF(PPT!$D$2="$ M",IFERROR(HLOOKUP($PT19,PPT!$E$131:$BJ$159,19,0),0)*1000,IFERROR(HLOOKUP($PT19,PPT!$E$131:$BJ$159,19,0),0))</f>
        <v>0</v>
      </c>
      <c r="AZ19" s="1070">
        <f>IF(PPT!$D$2="$ M",IFERROR(HLOOKUP($PT19,PPT!$E$131:$BJ$159,21,0),0)*1000,IFERROR(HLOOKUP($PT19,PPT!$E$131:$BJ$159,21,0),0))</f>
        <v>0</v>
      </c>
      <c r="BA19" s="1070">
        <f>IF(PPT!$D$2="$ M",IFERROR(HLOOKUP($PT19,PPT!$E$131:$BJ$159,22,0),0)*1000,IFERROR(HLOOKUP($PT19,PPT!$E$131:$BJ$159,22,0),0))</f>
        <v>0</v>
      </c>
      <c r="BB19" s="1070">
        <f>IF(PPT!$D$2="$ M",IFERROR(HLOOKUP($PT19,PPT!$E$131:$BJ$159,23,0),0)*1000,IFERROR(HLOOKUP($PT19,PPT!$E$131:$BJ$159,23,0),0))</f>
        <v>0</v>
      </c>
      <c r="BC19" s="1070">
        <f>IF(PPT!$D$2="$ M",IFERROR(HLOOKUP($PT19,PPT!$E$131:$BJ$159,25,0),0)*1000,IFERROR(HLOOKUP($PT19,PPT!$E$131:$BJ$159,25,0),0))</f>
        <v>0</v>
      </c>
      <c r="BD19" s="1070">
        <f>IF(PPT!$D$2="$ M",IFERROR(HLOOKUP($PT19,PPT!$E$131:$BJ$159,26,0),0)*1000,IFERROR(HLOOKUP($PT19,PPT!$E$131:$BJ$159,26,0),0))</f>
        <v>0</v>
      </c>
      <c r="BE19" s="1070">
        <f>IF(PPT!$D$2="$ M",IFERROR(HLOOKUP($PT19,PPT!$E$131:$BJ$159,27,0),0)*1000,IFERROR(HLOOKUP($PT19,PPT!$E$131:$BJ$159,27,0),0))</f>
        <v>0</v>
      </c>
      <c r="BF19" s="1070">
        <f>IFERROR(HLOOKUP($PT19,Calc!$F$151:$P$166,2,0),0)</f>
        <v>0</v>
      </c>
      <c r="BG19" s="1070">
        <f>IFERROR(HLOOKUP($PT19,Calc!$F$151:$P$166,3,0),0)</f>
        <v>0</v>
      </c>
      <c r="BH19" s="1070">
        <f>IFERROR(HLOOKUP($PT19,Calc!$F$151:$P$166,4,0),0)</f>
        <v>0</v>
      </c>
      <c r="BI19" s="1070">
        <f>IFERROR(HLOOKUP($PT19,Calc!$F$151:$P$166,5,0),0)</f>
        <v>0</v>
      </c>
      <c r="BJ19" s="1070">
        <f>IFERROR(HLOOKUP($PT19,Calc!$F$151:$P$166,6,0),0)</f>
        <v>0</v>
      </c>
      <c r="BK19" s="1070">
        <f>IFERROR(HLOOKUP($PT19,Calc!$F$151:$P$166,7,0),0)</f>
        <v>0</v>
      </c>
      <c r="BL19" s="1070">
        <f>IFERROR(HLOOKUP($PT19,Calc!$F$151:$P$166,8,0),0)</f>
        <v>0</v>
      </c>
      <c r="BM19" s="1070">
        <f>IFERROR(HLOOKUP($PT19,Calc!$F$151:$P$166,9,0),0)</f>
        <v>0</v>
      </c>
      <c r="BN19" s="1070">
        <f>IFERROR(HLOOKUP($PT19,Calc!$F$151:$P$166,10,0),0)</f>
        <v>0</v>
      </c>
      <c r="BO19" s="1070">
        <f>IFERROR(HLOOKUP($PT19,Calc!$F$151:$P$166,11,0),0)</f>
        <v>0</v>
      </c>
      <c r="BP19" s="1070">
        <f>IFERROR(HLOOKUP($PT19,Calc!$F$151:$P$166,12,0),0)</f>
        <v>0</v>
      </c>
      <c r="BQ19" s="1070">
        <f>IFERROR(HLOOKUP($PT19,Calc!$F$151:$P$166,13,0),0)</f>
        <v>0</v>
      </c>
      <c r="BR19" s="1070">
        <f>IFERROR(HLOOKUP($PT19,Calc!$F$151:$P$166,14,0),0)</f>
        <v>0</v>
      </c>
      <c r="BS19" s="1070">
        <f>IFERROR(HLOOKUP($PT19,Calc!$F$151:$P$166,15,0),0)</f>
        <v>0</v>
      </c>
      <c r="BT19" s="1070">
        <f>IFERROR(HLOOKUP($PT19,Calc!$F$151:$P$166,16,0),0)</f>
        <v>0</v>
      </c>
      <c r="BU19" s="1070">
        <f>IFERROR(VLOOKUP($PS19,Calc!$AF$196:$AH$203,2,0),0)</f>
        <v>0</v>
      </c>
      <c r="BV19" s="1070">
        <f>IFERROR(VLOOKUP($PS19,Calc!$AF$196:$AH$203,3,0),0)</f>
        <v>0</v>
      </c>
      <c r="BW19" s="1070">
        <f>IFERROR(VLOOKUP($PS19,Calc!$AF$196:$AI$203,4,0),0)</f>
        <v>0</v>
      </c>
      <c r="BX19" s="1070">
        <f>IFERROR(VLOOKUP($PS19,Calc!$AF$208:$AI$209,2,0),0)</f>
        <v>0</v>
      </c>
      <c r="BY19" s="1070">
        <f>IFERROR(VLOOKUP($PS19,Calc!$AF$208:$AI$209,3,0),0)</f>
        <v>0</v>
      </c>
      <c r="BZ19" s="1070">
        <f>IFERROR(VLOOKUP($PS19,Calc!$AF$208:$AI$209,4,0),0)</f>
        <v>0</v>
      </c>
      <c r="CA19" s="1070">
        <f>IFERROR(VLOOKUP($PS19,Calc!$K$420:$P$433,3,0),0)</f>
        <v>0</v>
      </c>
      <c r="CB19" s="1070">
        <f>IFERROR(VLOOKUP($PS19,Calc!$K$420:$P$433,4,0),0)</f>
        <v>0</v>
      </c>
      <c r="CC19" s="1070">
        <f>IFERROR(VLOOKUP($PS19,Calc!$K$420:$P$433,5,0),0)</f>
        <v>0</v>
      </c>
      <c r="CD19" s="1070">
        <f>IFERROR(VLOOKUP($PS19,Calc!$K$420:$P$433,6,0),0)</f>
        <v>0</v>
      </c>
      <c r="CE19" s="1070">
        <f>IFERROR(VLOOKUP($PS19,Calc!$AQ$420:$AV$433,3,0),0)</f>
        <v>0</v>
      </c>
      <c r="CF19" s="1070">
        <f>IFERROR(VLOOKUP($PS19,Calc!$AQ$420:$AV$433,4,0),0)</f>
        <v>0</v>
      </c>
      <c r="CG19" s="1070">
        <f>IFERROR(VLOOKUP($PS19,Calc!$AQ$420:$AV$433,5,0),0)</f>
        <v>0</v>
      </c>
      <c r="CH19" s="1070">
        <f>IFERROR(VLOOKUP($PS19,Calc!$AQ$420:$AV$433,6,0),0)</f>
        <v>0</v>
      </c>
      <c r="CI19" s="1070">
        <f>IFERROR(HLOOKUP($PT19,Calc!$AQ$125:$BS$146,3,0),0)</f>
        <v>0</v>
      </c>
      <c r="CJ19" s="1070">
        <f>IFERROR(HLOOKUP($PT19,Calc!$AQ$125:$BS$146,6,0),0)</f>
        <v>0</v>
      </c>
      <c r="CK19" s="1070">
        <f>IFERROR(IF(Calc!$C$129="Dollar ($)",HLOOKUP($PT19,Calc!$AQ$125:$BS$146,5,0),0),0)</f>
        <v>0</v>
      </c>
      <c r="CL19" s="1070">
        <f>IFERROR(IF(Calc!$C$129="Volume (units)",HLOOKUP($PT19,Calc!$AQ$125:$BS$146,5,0),0),0)</f>
        <v>0</v>
      </c>
      <c r="CM19" s="1070">
        <f>IFERROR(HLOOKUP($PT19,Calc!$AQ$125:$BS$146,9,0),0)</f>
        <v>0</v>
      </c>
      <c r="CN19" s="1070">
        <f>IFERROR(HLOOKUP($PT19,Calc!$AQ$125:$BS$146,10,0),0)</f>
        <v>0</v>
      </c>
      <c r="CO19" s="1070">
        <f>IFERROR(HLOOKUP($PT19,Calc!$AQ$125:$BS$146,11,0),0)</f>
        <v>0</v>
      </c>
      <c r="CP19" s="1070">
        <f>IFERROR(HLOOKUP($PT19,Calc!$AQ$125:$BS$146,12,0),0)</f>
        <v>0</v>
      </c>
      <c r="CQ19" s="1070">
        <f>IFERROR(HLOOKUP($PT19,Calc!$AQ$125:$BS$146,13,0),0)</f>
        <v>0</v>
      </c>
      <c r="CR19" s="1070">
        <f>IFERROR(HLOOKUP($PT19,Calc!$AQ$125:$BS$146,17,0),0)</f>
        <v>0</v>
      </c>
      <c r="CS19" s="1070">
        <f>IFERROR(HLOOKUP($PT19,Calc!$AQ$125:$BS$146,19,0),0)</f>
        <v>0</v>
      </c>
      <c r="CT19" s="1070">
        <f>IFERROR(HLOOKUP($PT19,Calc!$AQ$125:$BS$146,20,0),0)</f>
        <v>0</v>
      </c>
      <c r="CU19" s="1070">
        <f>IFERROR(HLOOKUP($PT19,Calc!$AQ$125:$BS$146,21,0),0)</f>
        <v>0</v>
      </c>
      <c r="CV19" s="1070">
        <f>IFERROR(HLOOKUP($PT19,Calc!$AQ$125:$BS$147,23,0),0)</f>
        <v>0</v>
      </c>
      <c r="CW19" s="1070">
        <f>IFERROR(HLOOKUP($PT19,Calc!$AQ$9:$BS$15,5,0),0)+IFERROR(HLOOKUP($PT19,Calc!$AQ$30:$BS$36,5,0),0)+IFERROR(HLOOKUP($PT19,Calc!$AQ$51:$BS$57,5,0),0)+IFERROR(HLOOKUP($PT19,Calc!$AQ$72:$BS$78,5,0),0)+IFERROR(HLOOKUP($PT19,Calc!$AQ$93:$BS$99,5,0),0)</f>
        <v>0</v>
      </c>
      <c r="CX19" s="1070">
        <f>IFERROR(HLOOKUP($PT19,Calc!$AQ$9:$BS$15,6,0),0)+IFERROR(HLOOKUP($PT19,Calc!$AQ$30:$BS$36,6,0),0)+IFERROR(HLOOKUP($PT19,Calc!$AQ$51:$BS$57,6,0),0)+IFERROR(HLOOKUP($PT19,Calc!$AQ$72:$BS$78,6,0),0)+IFERROR(HLOOKUP($PT19,Calc!$AQ$93:$BS$99,6,0),0)</f>
        <v>0</v>
      </c>
      <c r="CY19" s="1070">
        <f>IFERROR(HLOOKUP($PT19,Calc!$AQ$9:$BS$15,7,0),0)+IFERROR(HLOOKUP($PT19,Calc!$AQ$30:$BS$36,7,0),0)+IFERROR(HLOOKUP($PT19,Calc!$AQ$51:$BS$57,7,0),0)+IFERROR(HLOOKUP($PT19,Calc!$AQ$72:$BS$78,7,0),0)+IFERROR(HLOOKUP($PT19,Calc!$AQ$93:$BS$99,7,0),0)</f>
        <v>0</v>
      </c>
      <c r="IY19" s="1070">
        <f>IFERROR(HLOOKUP($PT19,Current_Prior!$AQ$9:$BS$30,3,0),0)</f>
        <v>0</v>
      </c>
      <c r="IZ19" s="1070">
        <f>IFERROR(HLOOKUP($PT19,Current_Prior!$AQ$9:$BS$30,6,0),0)</f>
        <v>0</v>
      </c>
      <c r="JA19" s="1070">
        <f>IFERROR(IF(Calc!$C$129="Dollar ($)",HLOOKUP($PT19,Current_Prior!$AQ$9:$BS$30,5,0),0),0)</f>
        <v>0</v>
      </c>
      <c r="JB19" s="1070">
        <f>IFERROR(IF(Calc!$C$129="Volume (units)",HLOOKUP($PT19,Current_Prior!$AQ$9:$BS$30,5,0),0),0)</f>
        <v>0</v>
      </c>
      <c r="JC19" s="1070">
        <f>IFERROR(HLOOKUP($PT19,Current_Prior!$AQ$9:$BS$30,9,0),0)</f>
        <v>0</v>
      </c>
      <c r="JD19" s="1070">
        <f>IFERROR(HLOOKUP($PT19,Current_Prior!$AQ$9:$BS$30,10,0),0)</f>
        <v>0</v>
      </c>
      <c r="JE19" s="1070">
        <f>IFERROR(HLOOKUP($PT19,Current_Prior!$AQ$9:$BS$30,11,0),0)</f>
        <v>0</v>
      </c>
      <c r="JF19" s="1070">
        <f>IFERROR(HLOOKUP($PT19,Current_Prior!$AQ$9:$BS$30,12,0),0)</f>
        <v>0</v>
      </c>
      <c r="JG19" s="1070">
        <f>IFERROR(HLOOKUP($PT19,Current_Prior!$AQ$9:$BS$30,13,0),0)</f>
        <v>0</v>
      </c>
      <c r="JH19" s="1070">
        <f>IFERROR(HLOOKUP($PT19,Current_Prior!$AQ$9:$BS$30,17,0),0)</f>
        <v>0</v>
      </c>
      <c r="JI19" s="1070">
        <f>IFERROR(HLOOKUP($PT19,Current_Prior!$AQ$9:$BS$30,19,0),0)</f>
        <v>0</v>
      </c>
      <c r="JJ19" s="1070">
        <f>IFERROR(HLOOKUP($PT19,Current_Prior!$AQ$9:$BS$30,20,0),0)</f>
        <v>0</v>
      </c>
      <c r="JK19" s="1070">
        <f>IFERROR(HLOOKUP($PT19,Current_Prior!$AQ$9:$BS$30,21,0),0)</f>
        <v>0</v>
      </c>
      <c r="JL19" s="1070">
        <f>IFERROR(HLOOKUP($PT19,Current_Prior!$AQ$9:$BS$31,23,0),0)</f>
        <v>0</v>
      </c>
      <c r="ML19" s="1082">
        <f>IFERROR(HLOOKUP($PT19,HistInfo!$G$15:$AI$37,3,0),0)</f>
        <v>0</v>
      </c>
      <c r="MM19" s="1082">
        <f>IFERROR(HLOOKUP($PT19,HistInfo!$G$15:$AI$37,6,0),0)</f>
        <v>0</v>
      </c>
      <c r="MN19" s="1070">
        <f>IFERROR(IF(HistInfo!$C$19="Dollar ($)",HLOOKUP($PT19,HistInfo!$G$15:$AI$37,5,0),0),0)</f>
        <v>0</v>
      </c>
      <c r="MO19" s="1070">
        <f>IFERROR(IF(HistInfo!$C$19="Volume (units)",HLOOKUP($PT19,HistInfo!$G$15:$AI$37,5,0),0),0)</f>
        <v>0</v>
      </c>
      <c r="MP19" s="1082">
        <f>IFERROR(HLOOKUP($PT19,HistInfo!$G$15:$AI$37,9,0),0)</f>
        <v>0</v>
      </c>
      <c r="MQ19" s="1082">
        <f>IFERROR(HLOOKUP($PT19,HistInfo!$G$15:$AI$37,10,0),0)</f>
        <v>0</v>
      </c>
      <c r="MR19" s="1082">
        <f>IFERROR(HLOOKUP($PT19,HistInfo!$G$15:$AI$37,11,0),0)</f>
        <v>0</v>
      </c>
      <c r="MS19" s="1082">
        <f>IFERROR(HLOOKUP($PT19,HistInfo!$G$15:$AI$37,12,0),0)</f>
        <v>0</v>
      </c>
      <c r="MT19" s="1082">
        <f>IFERROR(HLOOKUP($PT19,HistInfo!$G$15:$AI$37,13,0),0)</f>
        <v>0</v>
      </c>
      <c r="MU19" s="1082">
        <f>IFERROR(HLOOKUP($PT19,HistInfo!$G$15:$AI$37,17,0),0)</f>
        <v>0</v>
      </c>
      <c r="MV19" s="1082">
        <f>IFERROR(HLOOKUP($PT19,HistInfo!$G$15:$AI$37,19,0),0)</f>
        <v>0</v>
      </c>
      <c r="MW19" s="1082">
        <f>IFERROR(HLOOKUP($PT19,HistInfo!$G$15:$AI$37,20,0),0)</f>
        <v>0</v>
      </c>
      <c r="MX19" s="1082">
        <f>IFERROR(HLOOKUP($PT19,HistInfo!$G$15:$AI$37,21,0),0)</f>
        <v>0</v>
      </c>
      <c r="MY19" s="1082">
        <f>IFERROR(HLOOKUP($PT19,HistInfo!$G$15:$AI$37,23,0),0)</f>
        <v>0</v>
      </c>
      <c r="PS19" s="1070">
        <v>29</v>
      </c>
      <c r="PT19" s="1082" t="str">
        <f t="shared" si="1"/>
        <v>FY29</v>
      </c>
      <c r="PU19" s="1070" t="str">
        <f t="shared" si="2"/>
        <v>2029</v>
      </c>
    </row>
    <row r="20" spans="1:437" x14ac:dyDescent="0.3">
      <c r="A20" s="1070" t="str">
        <f t="shared" ref="A20:D34" si="8">A19</f>
        <v>Life Sciences</v>
      </c>
      <c r="B20" s="1070" t="str">
        <f t="shared" si="8"/>
        <v>BDB</v>
      </c>
      <c r="C20" s="1070">
        <f t="shared" si="8"/>
        <v>0</v>
      </c>
      <c r="D20" s="1070">
        <f t="shared" si="8"/>
        <v>0</v>
      </c>
      <c r="E20" s="1070">
        <v>0</v>
      </c>
      <c r="F20" s="1070">
        <v>0</v>
      </c>
      <c r="G20" s="1070">
        <f t="shared" si="7"/>
        <v>0</v>
      </c>
      <c r="H20" s="1070">
        <f t="shared" si="7"/>
        <v>0</v>
      </c>
      <c r="I20" s="1070">
        <f t="shared" si="7"/>
        <v>0</v>
      </c>
      <c r="J20" s="1070" t="str">
        <f t="shared" si="7"/>
        <v>Budget</v>
      </c>
      <c r="K20" s="1070" t="str">
        <f t="shared" si="0"/>
        <v>2030</v>
      </c>
      <c r="L20" s="1070">
        <f>IF(PPT!$D$2="$ M",IFERROR(HLOOKUP($PT20,PPT!$E$117:$BJ$119,3,0),0)*1000,IFERROR(HLOOKUP($PT20,PPT!$E$117:$BJ$119,3,0),0))</f>
        <v>190189.87253450209</v>
      </c>
      <c r="M20" s="1070">
        <f>IF(PPT!$D$2="$ M",IFERROR(HLOOKUP($PT20,PPT!$E$133:$BJ$159,4,0),0)*1000,IFERROR(HLOOKUP($PT20,PPT!$E$133:$BJ$159,4,0),0))</f>
        <v>0</v>
      </c>
      <c r="N20" s="1070">
        <f>IF(PPT!$D$2="$ M",IFERROR(HLOOKUP($PT20,PPT!$E$133:$BJ$159,5,0),0)*1000,IFERROR(HLOOKUP($PT20,PPT!$E$133:$BJ$159,5,0),0))</f>
        <v>0</v>
      </c>
      <c r="O20" s="1070">
        <f>IF(PPT!$D$2="$ M",IFERROR(HLOOKUP($PT20,PPT!$E$133:$BJ$159,6,0),0)*1000,IFERROR(HLOOKUP($PT20,PPT!$E$133:$BJ$159,6,0),0))</f>
        <v>0</v>
      </c>
      <c r="P20" s="1070">
        <f>IF(PPT!$D$2="$ M",IFERROR(HLOOKUP($PT20,PPT!$E$133:$BJ$159,7,0),0)*1000,IFERROR(HLOOKUP($PT20,PPT!$E$133:$BJ$159,7,0),0))</f>
        <v>0</v>
      </c>
      <c r="Q20" s="1070">
        <f>IFERROR(HLOOKUP($PT20,Calc!$G$125:$AI$146,3,0),0)</f>
        <v>190189.87253450209</v>
      </c>
      <c r="R20" s="1070">
        <f>IF(PPT!$D$2="$ M",IFERROR(HLOOKUP($PT20,PPT!$E$133:$BJ$159,9,0),0),IFERROR(HLOOKUP($PT20,PPT!$E$133:$BJ$159,9,0),0))</f>
        <v>0.14748782377724826</v>
      </c>
      <c r="S20" s="1070" t="str">
        <f>IF(PPT!$D$2="$ M",IFERROR(HLOOKUP($PT20,PPT!$E$133:$BJ$159,10,0),0),IFERROR(HLOOKUP($PT20,PPT!$E$133:$BJ$159,10,0),0))</f>
        <v/>
      </c>
      <c r="T20" s="1070">
        <f>IFERROR(IF(Calc!$C$129="Dollar ($)",HLOOKUP($PT20,Calc!$G$125:$AI$146,5,0),0),0)</f>
        <v>0</v>
      </c>
      <c r="U20" s="1070">
        <f>IFERROR(IF(Calc!$C$129="Volume (units)",HLOOKUP($PT20,Calc!$G$125:$AI$146,5,0),0),0)</f>
        <v>0</v>
      </c>
      <c r="V20" s="1070">
        <f>IFERROR(HLOOKUP($PT20,Calc!$G$125:$AI$146,6,0),0)</f>
        <v>190189.87253450209</v>
      </c>
      <c r="W20" s="1070">
        <f>IFERROR(HLOOKUP($PT20,Calc!$G$125:$AI$146,7,0),0)</f>
        <v>59927.682727453757</v>
      </c>
      <c r="X20" s="1070">
        <f>IFERROR(HLOOKUP($PT20,Calc!$G$125:$AI$146,8,0),0)</f>
        <v>0</v>
      </c>
      <c r="Y20" s="1070">
        <f>IFERROR(HLOOKUP($PT20,Calc!$G$125:$AI$146,9,0),0)</f>
        <v>130262.18980704833</v>
      </c>
      <c r="Z20" s="1070">
        <f>IFERROR(HLOOKUP($PT20,Calc!$G$125:$AI$146,10,0),0)</f>
        <v>0.68490602612616835</v>
      </c>
      <c r="AA20" s="1070">
        <f>IFERROR(HLOOKUP($PT20,Calc!$G$125:$AI$146,11,0),0)</f>
        <v>4423.4177056210374</v>
      </c>
      <c r="AB20" s="1070">
        <f>IFERROR(HLOOKUP($PT20,Calc!$G$125:$AI$146,12,0),0)</f>
        <v>0</v>
      </c>
      <c r="AC20" s="1070">
        <f>IFERROR(HLOOKUP($PT20,Calc!$G$125:$AI$146,13,0),0)</f>
        <v>125838.7721014273</v>
      </c>
      <c r="AD20" s="1070">
        <f>IFERROR(HLOOKUP($PT20,Calc!$G$125:$AI$146,14,0),0)</f>
        <v>0.661648122607575</v>
      </c>
      <c r="AE20" s="1070">
        <f>IFERROR(HLOOKUP($PT20,Calc!$G$125:$AI$146,15,0),0)</f>
        <v>933.33333333333337</v>
      </c>
      <c r="AF20" s="1070">
        <f>IFERROR(HLOOKUP($PT20,Calc!$G$125:$AI$146,16,0),0)</f>
        <v>34973.522855066316</v>
      </c>
      <c r="AG20" s="1070">
        <f>IFERROR(HLOOKUP($PT20,Calc!$G$125:$AI$146,17,0),0)</f>
        <v>89931.915913027653</v>
      </c>
      <c r="AH20" s="1070">
        <f>IFERROR(HLOOKUP($PT20,Calc!$G$125:$AI$146,18,0),0)</f>
        <v>0.47285333711295918</v>
      </c>
      <c r="AI20" s="1070">
        <f>IFERROR(HLOOKUP($PT20,Calc!$G$125:$AI$146,19,0),0)</f>
        <v>-933.33333333333337</v>
      </c>
      <c r="AJ20" s="1070">
        <f>IFERROR(HLOOKUP($PT20,Calc!$G$125:$AI$146,20,0),0)</f>
        <v>4598.2114993296118</v>
      </c>
      <c r="AK20" s="1070">
        <f>IFERROR(HLOOKUP($PT20,Calc!$G$125:$AI$146,21,0),0)</f>
        <v>86267.037747031369</v>
      </c>
      <c r="AL20" s="1070">
        <f>IFERROR(HLOOKUP($PT20,Calc!$G$125:$AI$146,22,0),0)</f>
        <v>0.45358376130875094</v>
      </c>
      <c r="AM20" s="1070">
        <f>IFERROR(HLOOKUP($PT20,Calc!$G$125:$AI$147,23,0),0)</f>
        <v>16123.926180343185</v>
      </c>
      <c r="AN20" s="1070">
        <f>IF(PPT!$D$2="$ M",IFERROR(HLOOKUP($PT20,PPT!$E$131:$BJ$159,5,0),0)*1000,IFERROR(HLOOKUP($PT20,PPT!$E$131:$BJ$159,5,0),0))</f>
        <v>0</v>
      </c>
      <c r="AO20" s="1070">
        <f>IF(PPT!$D$2="$ M",IFERROR(HLOOKUP($PT20,PPT!$E$131:$BJ$159,6,0),0)*1000,IFERROR(HLOOKUP($PT20,PPT!$E$131:$BJ$159,6,0),0))</f>
        <v>0</v>
      </c>
      <c r="AP20" s="1070">
        <f>IF(PPT!$D$2="$ M",IFERROR(HLOOKUP($PT20,PPT!$E$131:$BJ$159,7,0),0)*1000,IFERROR(HLOOKUP($PT20,PPT!$E$131:$BJ$159,7,0),0))</f>
        <v>0</v>
      </c>
      <c r="AQ20" s="1070">
        <f>IF(PPT!$D$2="$ M",IFERROR(HLOOKUP($PT20,PPT!$E$131:$BJ$159,8,0),0)*1000,IFERROR(HLOOKUP($PT20,PPT!$E$131:$BJ$159,8,0),0))</f>
        <v>0</v>
      </c>
      <c r="AR20" s="1070">
        <f>IF(PPT!$D$2="$ M",IFERROR(HLOOKUP($PT20,PPT!$E$131:$BJ$159,9,0),0)*1000,IFERROR(HLOOKUP($PT20,PPT!$E$131:$BJ$159,9,0),0))</f>
        <v>0</v>
      </c>
      <c r="AS20" s="1070">
        <f>IF(PPT!$D$2="$ M",IFERROR(HLOOKUP($PT20,PPT!$E$131:$BJ$159,10,0),0)*1000,IFERROR(HLOOKUP($PT20,PPT!$E$131:$BJ$159,10,0),0))</f>
        <v>0</v>
      </c>
      <c r="AT20" s="1070">
        <f>IF(PPT!$D$2="$ M",IFERROR(HLOOKUP($PT20,PPT!$E$131:$BJ$159,13,0),0)*1000,IFERROR(HLOOKUP($PT20,PPT!$E$131:$BJ$159,13,0),0))</f>
        <v>0</v>
      </c>
      <c r="AU20" s="1070">
        <f>IF(PPT!$D$2="$ M",IFERROR(HLOOKUP($PT20,PPT!$E$131:$BJ$159,14,0),0)*1000,IFERROR(HLOOKUP($PT20,PPT!$E$131:$BJ$159,14,0),0))</f>
        <v>0</v>
      </c>
      <c r="AV20" s="1070">
        <f>IF(PPT!$D$2="$ M",IFERROR(HLOOKUP($PT20,PPT!$E$131:$BJ$159,15,0),0)*1000,IFERROR(HLOOKUP($PT20,PPT!$E$131:$BJ$159,15,0),0))</f>
        <v>0</v>
      </c>
      <c r="AW20" s="1070">
        <f>IF(PPT!$D$2="$ M",IFERROR(HLOOKUP($PT20,PPT!$E$131:$BJ$159,17,0),0)*1000,IFERROR(HLOOKUP($PT20,PPT!$E$131:$BJ$159,17,0),0))</f>
        <v>0</v>
      </c>
      <c r="AX20" s="1070">
        <f>IF(PPT!$D$2="$ M",IFERROR(HLOOKUP($PT20,PPT!$E$131:$BJ$159,18,0),0)*1000,IFERROR(HLOOKUP($PT20,PPT!$E$131:$BJ$159,18,0),0))</f>
        <v>0</v>
      </c>
      <c r="AY20" s="1070">
        <f>IF(PPT!$D$2="$ M",IFERROR(HLOOKUP($PT20,PPT!$E$131:$BJ$159,19,0),0)*1000,IFERROR(HLOOKUP($PT20,PPT!$E$131:$BJ$159,19,0),0))</f>
        <v>0</v>
      </c>
      <c r="AZ20" s="1070">
        <f>IF(PPT!$D$2="$ M",IFERROR(HLOOKUP($PT20,PPT!$E$131:$BJ$159,21,0),0)*1000,IFERROR(HLOOKUP($PT20,PPT!$E$131:$BJ$159,21,0),0))</f>
        <v>0</v>
      </c>
      <c r="BA20" s="1070">
        <f>IF(PPT!$D$2="$ M",IFERROR(HLOOKUP($PT20,PPT!$E$131:$BJ$159,22,0),0)*1000,IFERROR(HLOOKUP($PT20,PPT!$E$131:$BJ$159,22,0),0))</f>
        <v>0</v>
      </c>
      <c r="BB20" s="1070">
        <f>IF(PPT!$D$2="$ M",IFERROR(HLOOKUP($PT20,PPT!$E$131:$BJ$159,23,0),0)*1000,IFERROR(HLOOKUP($PT20,PPT!$E$131:$BJ$159,23,0),0))</f>
        <v>0</v>
      </c>
      <c r="BC20" s="1070">
        <f>IF(PPT!$D$2="$ M",IFERROR(HLOOKUP($PT20,PPT!$E$131:$BJ$159,25,0),0)*1000,IFERROR(HLOOKUP($PT20,PPT!$E$131:$BJ$159,25,0),0))</f>
        <v>0</v>
      </c>
      <c r="BD20" s="1070">
        <f>IF(PPT!$D$2="$ M",IFERROR(HLOOKUP($PT20,PPT!$E$131:$BJ$159,26,0),0)*1000,IFERROR(HLOOKUP($PT20,PPT!$E$131:$BJ$159,26,0),0))</f>
        <v>0</v>
      </c>
      <c r="BE20" s="1070">
        <f>IF(PPT!$D$2="$ M",IFERROR(HLOOKUP($PT20,PPT!$E$131:$BJ$159,27,0),0)*1000,IFERROR(HLOOKUP($PT20,PPT!$E$131:$BJ$159,27,0),0))</f>
        <v>0</v>
      </c>
      <c r="BF20" s="1070">
        <f>IFERROR(HLOOKUP($PT20,Calc!$F$151:$P$166,2,0),0)</f>
        <v>0</v>
      </c>
      <c r="BG20" s="1070">
        <f>IFERROR(HLOOKUP($PT20,Calc!$F$151:$P$166,3,0),0)</f>
        <v>0</v>
      </c>
      <c r="BH20" s="1070">
        <f>IFERROR(HLOOKUP($PT20,Calc!$F$151:$P$166,4,0),0)</f>
        <v>0</v>
      </c>
      <c r="BI20" s="1070">
        <f>IFERROR(HLOOKUP($PT20,Calc!$F$151:$P$166,5,0),0)</f>
        <v>0</v>
      </c>
      <c r="BJ20" s="1070">
        <f>IFERROR(HLOOKUP($PT20,Calc!$F$151:$P$166,6,0),0)</f>
        <v>0</v>
      </c>
      <c r="BK20" s="1070">
        <f>IFERROR(HLOOKUP($PT20,Calc!$F$151:$P$166,7,0),0)</f>
        <v>0</v>
      </c>
      <c r="BL20" s="1070">
        <f>IFERROR(HLOOKUP($PT20,Calc!$F$151:$P$166,8,0),0)</f>
        <v>0</v>
      </c>
      <c r="BM20" s="1070">
        <f>IFERROR(HLOOKUP($PT20,Calc!$F$151:$P$166,9,0),0)</f>
        <v>0</v>
      </c>
      <c r="BN20" s="1070">
        <f>IFERROR(HLOOKUP($PT20,Calc!$F$151:$P$166,10,0),0)</f>
        <v>0</v>
      </c>
      <c r="BO20" s="1070">
        <f>IFERROR(HLOOKUP($PT20,Calc!$F$151:$P$166,11,0),0)</f>
        <v>0</v>
      </c>
      <c r="BP20" s="1070">
        <f>IFERROR(HLOOKUP($PT20,Calc!$F$151:$P$166,12,0),0)</f>
        <v>0</v>
      </c>
      <c r="BQ20" s="1070">
        <f>IFERROR(HLOOKUP($PT20,Calc!$F$151:$P$166,13,0),0)</f>
        <v>0</v>
      </c>
      <c r="BR20" s="1070">
        <f>IFERROR(HLOOKUP($PT20,Calc!$F$151:$P$166,14,0),0)</f>
        <v>0</v>
      </c>
      <c r="BS20" s="1070">
        <f>IFERROR(HLOOKUP($PT20,Calc!$F$151:$P$166,15,0),0)</f>
        <v>0</v>
      </c>
      <c r="BT20" s="1070">
        <f>IFERROR(HLOOKUP($PT20,Calc!$F$151:$P$166,16,0),0)</f>
        <v>0</v>
      </c>
      <c r="BU20" s="1070">
        <f>IFERROR(VLOOKUP($PS20,Calc!$AF$196:$AH$203,2,0),0)</f>
        <v>0</v>
      </c>
      <c r="BV20" s="1070">
        <f>IFERROR(VLOOKUP($PS20,Calc!$AF$196:$AH$203,3,0),0)</f>
        <v>0</v>
      </c>
      <c r="BW20" s="1070">
        <f>IFERROR(VLOOKUP($PS20,Calc!$AF$196:$AI$203,4,0),0)</f>
        <v>0</v>
      </c>
      <c r="BX20" s="1070">
        <f>IFERROR(VLOOKUP($PS20,Calc!$AF$208:$AI$209,2,0),0)</f>
        <v>0</v>
      </c>
      <c r="BY20" s="1070">
        <f>IFERROR(VLOOKUP($PS20,Calc!$AF$208:$AI$209,3,0),0)</f>
        <v>0</v>
      </c>
      <c r="BZ20" s="1070">
        <f>IFERROR(VLOOKUP($PS20,Calc!$AF$208:$AI$209,4,0),0)</f>
        <v>0</v>
      </c>
      <c r="CA20" s="1070">
        <f>IFERROR(VLOOKUP($PS20,Calc!$K$420:$P$433,3,0),0)</f>
        <v>0</v>
      </c>
      <c r="CB20" s="1070">
        <f>IFERROR(VLOOKUP($PS20,Calc!$K$420:$P$433,4,0),0)</f>
        <v>0</v>
      </c>
      <c r="CC20" s="1070">
        <f>IFERROR(VLOOKUP($PS20,Calc!$K$420:$P$433,5,0),0)</f>
        <v>0</v>
      </c>
      <c r="CD20" s="1070">
        <f>IFERROR(VLOOKUP($PS20,Calc!$K$420:$P$433,6,0),0)</f>
        <v>0</v>
      </c>
      <c r="CE20" s="1070">
        <f>IFERROR(VLOOKUP($PS20,Calc!$AQ$420:$AV$433,3,0),0)</f>
        <v>0</v>
      </c>
      <c r="CF20" s="1070">
        <f>IFERROR(VLOOKUP($PS20,Calc!$AQ$420:$AV$433,4,0),0)</f>
        <v>0</v>
      </c>
      <c r="CG20" s="1070">
        <f>IFERROR(VLOOKUP($PS20,Calc!$AQ$420:$AV$433,5,0),0)</f>
        <v>0</v>
      </c>
      <c r="CH20" s="1070">
        <f>IFERROR(VLOOKUP($PS20,Calc!$AQ$420:$AV$433,6,0),0)</f>
        <v>0</v>
      </c>
      <c r="CI20" s="1070">
        <f>IFERROR(HLOOKUP($PT20,Calc!$AQ$125:$BS$146,3,0),0)</f>
        <v>0</v>
      </c>
      <c r="CJ20" s="1070">
        <f>IFERROR(HLOOKUP($PT20,Calc!$AQ$125:$BS$146,6,0),0)</f>
        <v>0</v>
      </c>
      <c r="CK20" s="1070">
        <f>IFERROR(IF(Calc!$C$129="Dollar ($)",HLOOKUP($PT20,Calc!$AQ$125:$BS$146,5,0),0),0)</f>
        <v>0</v>
      </c>
      <c r="CL20" s="1070">
        <f>IFERROR(IF(Calc!$C$129="Volume (units)",HLOOKUP($PT20,Calc!$AQ$125:$BS$146,5,0),0),0)</f>
        <v>0</v>
      </c>
      <c r="CM20" s="1070">
        <f>IFERROR(HLOOKUP($PT20,Calc!$AQ$125:$BS$146,9,0),0)</f>
        <v>0</v>
      </c>
      <c r="CN20" s="1070">
        <f>IFERROR(HLOOKUP($PT20,Calc!$AQ$125:$BS$146,10,0),0)</f>
        <v>0</v>
      </c>
      <c r="CO20" s="1070">
        <f>IFERROR(HLOOKUP($PT20,Calc!$AQ$125:$BS$146,11,0),0)</f>
        <v>0</v>
      </c>
      <c r="CP20" s="1070">
        <f>IFERROR(HLOOKUP($PT20,Calc!$AQ$125:$BS$146,12,0),0)</f>
        <v>0</v>
      </c>
      <c r="CQ20" s="1070">
        <f>IFERROR(HLOOKUP($PT20,Calc!$AQ$125:$BS$146,13,0),0)</f>
        <v>0</v>
      </c>
      <c r="CR20" s="1070">
        <f>IFERROR(HLOOKUP($PT20,Calc!$AQ$125:$BS$146,17,0),0)</f>
        <v>0</v>
      </c>
      <c r="CS20" s="1070">
        <f>IFERROR(HLOOKUP($PT20,Calc!$AQ$125:$BS$146,19,0),0)</f>
        <v>0</v>
      </c>
      <c r="CT20" s="1070">
        <f>IFERROR(HLOOKUP($PT20,Calc!$AQ$125:$BS$146,20,0),0)</f>
        <v>0</v>
      </c>
      <c r="CU20" s="1070">
        <f>IFERROR(HLOOKUP($PT20,Calc!$AQ$125:$BS$146,21,0),0)</f>
        <v>0</v>
      </c>
      <c r="CV20" s="1070">
        <f>IFERROR(HLOOKUP($PT20,Calc!$AQ$125:$BS$147,23,0),0)</f>
        <v>0</v>
      </c>
      <c r="CW20" s="1070">
        <f>IFERROR(HLOOKUP($PT20,Calc!$AQ$9:$BS$15,5,0),0)+IFERROR(HLOOKUP($PT20,Calc!$AQ$30:$BS$36,5,0),0)+IFERROR(HLOOKUP($PT20,Calc!$AQ$51:$BS$57,5,0),0)+IFERROR(HLOOKUP($PT20,Calc!$AQ$72:$BS$78,5,0),0)+IFERROR(HLOOKUP($PT20,Calc!$AQ$93:$BS$99,5,0),0)</f>
        <v>0</v>
      </c>
      <c r="CX20" s="1070">
        <f>IFERROR(HLOOKUP($PT20,Calc!$AQ$9:$BS$15,6,0),0)+IFERROR(HLOOKUP($PT20,Calc!$AQ$30:$BS$36,6,0),0)+IFERROR(HLOOKUP($PT20,Calc!$AQ$51:$BS$57,6,0),0)+IFERROR(HLOOKUP($PT20,Calc!$AQ$72:$BS$78,6,0),0)+IFERROR(HLOOKUP($PT20,Calc!$AQ$93:$BS$99,6,0),0)</f>
        <v>0</v>
      </c>
      <c r="CY20" s="1070">
        <f>IFERROR(HLOOKUP($PT20,Calc!$AQ$9:$BS$15,7,0),0)+IFERROR(HLOOKUP($PT20,Calc!$AQ$30:$BS$36,7,0),0)+IFERROR(HLOOKUP($PT20,Calc!$AQ$51:$BS$57,7,0),0)+IFERROR(HLOOKUP($PT20,Calc!$AQ$72:$BS$78,7,0),0)+IFERROR(HLOOKUP($PT20,Calc!$AQ$93:$BS$99,7,0),0)</f>
        <v>0</v>
      </c>
      <c r="IY20" s="1070">
        <f>IFERROR(HLOOKUP($PT20,Current_Prior!$AQ$9:$BS$30,3,0),0)</f>
        <v>0</v>
      </c>
      <c r="IZ20" s="1070">
        <f>IFERROR(HLOOKUP($PT20,Current_Prior!$AQ$9:$BS$30,6,0),0)</f>
        <v>0</v>
      </c>
      <c r="JA20" s="1070">
        <f>IFERROR(IF(Calc!$C$129="Dollar ($)",HLOOKUP($PT20,Current_Prior!$AQ$9:$BS$30,5,0),0),0)</f>
        <v>0</v>
      </c>
      <c r="JB20" s="1070">
        <f>IFERROR(IF(Calc!$C$129="Volume (units)",HLOOKUP($PT20,Current_Prior!$AQ$9:$BS$30,5,0),0),0)</f>
        <v>0</v>
      </c>
      <c r="JC20" s="1070">
        <f>IFERROR(HLOOKUP($PT20,Current_Prior!$AQ$9:$BS$30,9,0),0)</f>
        <v>0</v>
      </c>
      <c r="JD20" s="1070">
        <f>IFERROR(HLOOKUP($PT20,Current_Prior!$AQ$9:$BS$30,10,0),0)</f>
        <v>0</v>
      </c>
      <c r="JE20" s="1070">
        <f>IFERROR(HLOOKUP($PT20,Current_Prior!$AQ$9:$BS$30,11,0),0)</f>
        <v>0</v>
      </c>
      <c r="JF20" s="1070">
        <f>IFERROR(HLOOKUP($PT20,Current_Prior!$AQ$9:$BS$30,12,0),0)</f>
        <v>0</v>
      </c>
      <c r="JG20" s="1070">
        <f>IFERROR(HLOOKUP($PT20,Current_Prior!$AQ$9:$BS$30,13,0),0)</f>
        <v>0</v>
      </c>
      <c r="JH20" s="1070">
        <f>IFERROR(HLOOKUP($PT20,Current_Prior!$AQ$9:$BS$30,17,0),0)</f>
        <v>0</v>
      </c>
      <c r="JI20" s="1070">
        <f>IFERROR(HLOOKUP($PT20,Current_Prior!$AQ$9:$BS$30,19,0),0)</f>
        <v>0</v>
      </c>
      <c r="JJ20" s="1070">
        <f>IFERROR(HLOOKUP($PT20,Current_Prior!$AQ$9:$BS$30,20,0),0)</f>
        <v>0</v>
      </c>
      <c r="JK20" s="1070">
        <f>IFERROR(HLOOKUP($PT20,Current_Prior!$AQ$9:$BS$30,21,0),0)</f>
        <v>0</v>
      </c>
      <c r="JL20" s="1070">
        <f>IFERROR(HLOOKUP($PT20,Current_Prior!$AQ$9:$BS$31,23,0),0)</f>
        <v>0</v>
      </c>
      <c r="ML20" s="1082">
        <f>IFERROR(HLOOKUP($PT20,HistInfo!$G$15:$AI$37,3,0),0)</f>
        <v>0</v>
      </c>
      <c r="MM20" s="1082">
        <f>IFERROR(HLOOKUP($PT20,HistInfo!$G$15:$AI$37,6,0),0)</f>
        <v>0</v>
      </c>
      <c r="MN20" s="1070">
        <f>IFERROR(IF(HistInfo!$C$19="Dollar ($)",HLOOKUP($PT20,HistInfo!$G$15:$AI$37,5,0),0),0)</f>
        <v>0</v>
      </c>
      <c r="MO20" s="1070">
        <f>IFERROR(IF(HistInfo!$C$19="Volume (units)",HLOOKUP($PT20,HistInfo!$G$15:$AI$37,5,0),0),0)</f>
        <v>0</v>
      </c>
      <c r="MP20" s="1082">
        <f>IFERROR(HLOOKUP($PT20,HistInfo!$G$15:$AI$37,9,0),0)</f>
        <v>0</v>
      </c>
      <c r="MQ20" s="1082">
        <f>IFERROR(HLOOKUP($PT20,HistInfo!$G$15:$AI$37,10,0),0)</f>
        <v>0</v>
      </c>
      <c r="MR20" s="1082">
        <f>IFERROR(HLOOKUP($PT20,HistInfo!$G$15:$AI$37,11,0),0)</f>
        <v>0</v>
      </c>
      <c r="MS20" s="1082">
        <f>IFERROR(HLOOKUP($PT20,HistInfo!$G$15:$AI$37,12,0),0)</f>
        <v>0</v>
      </c>
      <c r="MT20" s="1082">
        <f>IFERROR(HLOOKUP($PT20,HistInfo!$G$15:$AI$37,13,0),0)</f>
        <v>0</v>
      </c>
      <c r="MU20" s="1082">
        <f>IFERROR(HLOOKUP($PT20,HistInfo!$G$15:$AI$37,17,0),0)</f>
        <v>0</v>
      </c>
      <c r="MV20" s="1082">
        <f>IFERROR(HLOOKUP($PT20,HistInfo!$G$15:$AI$37,19,0),0)</f>
        <v>0</v>
      </c>
      <c r="MW20" s="1082">
        <f>IFERROR(HLOOKUP($PT20,HistInfo!$G$15:$AI$37,20,0),0)</f>
        <v>0</v>
      </c>
      <c r="MX20" s="1082">
        <f>IFERROR(HLOOKUP($PT20,HistInfo!$G$15:$AI$37,21,0),0)</f>
        <v>0</v>
      </c>
      <c r="MY20" s="1082">
        <f>IFERROR(HLOOKUP($PT20,HistInfo!$G$15:$AI$37,23,0),0)</f>
        <v>0</v>
      </c>
      <c r="PS20" s="1070">
        <v>30</v>
      </c>
      <c r="PT20" s="1082" t="str">
        <f t="shared" si="1"/>
        <v>FY30</v>
      </c>
      <c r="PU20" s="1070" t="str">
        <f t="shared" si="2"/>
        <v>2030</v>
      </c>
    </row>
    <row r="21" spans="1:437" x14ac:dyDescent="0.3">
      <c r="A21" s="1070" t="str">
        <f t="shared" si="8"/>
        <v>Life Sciences</v>
      </c>
      <c r="B21" s="1070" t="str">
        <f t="shared" si="8"/>
        <v>BDB</v>
      </c>
      <c r="C21" s="1070">
        <f t="shared" si="8"/>
        <v>0</v>
      </c>
      <c r="D21" s="1070">
        <f t="shared" si="8"/>
        <v>0</v>
      </c>
      <c r="E21" s="1070">
        <v>0</v>
      </c>
      <c r="F21" s="1070">
        <v>0</v>
      </c>
      <c r="G21" s="1070">
        <f t="shared" si="7"/>
        <v>0</v>
      </c>
      <c r="H21" s="1070">
        <f t="shared" si="7"/>
        <v>0</v>
      </c>
      <c r="I21" s="1070">
        <f t="shared" si="7"/>
        <v>0</v>
      </c>
      <c r="J21" s="1070" t="str">
        <f t="shared" si="7"/>
        <v>Budget</v>
      </c>
      <c r="K21" s="1070" t="str">
        <f t="shared" si="0"/>
        <v>2031</v>
      </c>
      <c r="L21" s="1070">
        <f>IF(PPT!$D$2="$ M",IFERROR(HLOOKUP($PT21,PPT!$E$117:$BJ$119,3,0),0)*1000,IFERROR(HLOOKUP($PT21,PPT!$E$117:$BJ$119,3,0),0))</f>
        <v>198826.88370596603</v>
      </c>
      <c r="M21" s="1070">
        <f>IF(PPT!$D$2="$ M",IFERROR(HLOOKUP($PT21,PPT!$E$133:$BJ$159,4,0),0)*1000,IFERROR(HLOOKUP($PT21,PPT!$E$133:$BJ$159,4,0),0))</f>
        <v>0</v>
      </c>
      <c r="N21" s="1070">
        <f>IF(PPT!$D$2="$ M",IFERROR(HLOOKUP($PT21,PPT!$E$133:$BJ$159,5,0),0)*1000,IFERROR(HLOOKUP($PT21,PPT!$E$133:$BJ$159,5,0),0))</f>
        <v>0</v>
      </c>
      <c r="O21" s="1070">
        <f>IF(PPT!$D$2="$ M",IFERROR(HLOOKUP($PT21,PPT!$E$133:$BJ$159,6,0),0)*1000,IFERROR(HLOOKUP($PT21,PPT!$E$133:$BJ$159,6,0),0))</f>
        <v>0</v>
      </c>
      <c r="P21" s="1070">
        <f>IF(PPT!$D$2="$ M",IFERROR(HLOOKUP($PT21,PPT!$E$133:$BJ$159,7,0),0)*1000,IFERROR(HLOOKUP($PT21,PPT!$E$133:$BJ$159,7,0),0))</f>
        <v>0</v>
      </c>
      <c r="Q21" s="1070">
        <f>IFERROR(HLOOKUP($PT21,Calc!$G$125:$AI$146,3,0),0)</f>
        <v>198826.88370596603</v>
      </c>
      <c r="R21" s="1070">
        <f>IF(PPT!$D$2="$ M",IFERROR(HLOOKUP($PT21,PPT!$E$133:$BJ$159,9,0),0),IFERROR(HLOOKUP($PT21,PPT!$E$133:$BJ$159,9,0),0))</f>
        <v>4.541257142857124E-2</v>
      </c>
      <c r="S21" s="1070" t="str">
        <f>IF(PPT!$D$2="$ M",IFERROR(HLOOKUP($PT21,PPT!$E$133:$BJ$159,10,0),0),IFERROR(HLOOKUP($PT21,PPT!$E$133:$BJ$159,10,0),0))</f>
        <v/>
      </c>
      <c r="T21" s="1070">
        <f>IFERROR(IF(Calc!$C$129="Dollar ($)",HLOOKUP($PT21,Calc!$G$125:$AI$146,5,0),0),0)</f>
        <v>0</v>
      </c>
      <c r="U21" s="1070">
        <f>IFERROR(IF(Calc!$C$129="Volume (units)",HLOOKUP($PT21,Calc!$G$125:$AI$146,5,0),0),0)</f>
        <v>0</v>
      </c>
      <c r="V21" s="1070">
        <f>IFERROR(HLOOKUP($PT21,Calc!$G$125:$AI$146,6,0),0)</f>
        <v>198826.88370596603</v>
      </c>
      <c r="W21" s="1070">
        <f>IFERROR(HLOOKUP($PT21,Calc!$G$125:$AI$146,7,0),0)</f>
        <v>64900.019454034955</v>
      </c>
      <c r="X21" s="1070">
        <f>IFERROR(HLOOKUP($PT21,Calc!$G$125:$AI$146,8,0),0)</f>
        <v>0</v>
      </c>
      <c r="Y21" s="1070">
        <f>IFERROR(HLOOKUP($PT21,Calc!$G$125:$AI$146,9,0),0)</f>
        <v>133926.86425193108</v>
      </c>
      <c r="Z21" s="1070">
        <f>IFERROR(HLOOKUP($PT21,Calc!$G$125:$AI$146,10,0),0)</f>
        <v>0.67358529065912454</v>
      </c>
      <c r="AA21" s="1070">
        <f>IFERROR(HLOOKUP($PT21,Calc!$G$125:$AI$146,11,0),0)</f>
        <v>4578.8839067073877</v>
      </c>
      <c r="AB21" s="1070">
        <f>IFERROR(HLOOKUP($PT21,Calc!$G$125:$AI$146,12,0),0)</f>
        <v>0</v>
      </c>
      <c r="AC21" s="1070">
        <f>IFERROR(HLOOKUP($PT21,Calc!$G$125:$AI$146,13,0),0)</f>
        <v>129347.9803452237</v>
      </c>
      <c r="AD21" s="1070">
        <f>IFERROR(HLOOKUP($PT21,Calc!$G$125:$AI$146,14,0),0)</f>
        <v>0.65055578971156236</v>
      </c>
      <c r="AE21" s="1070">
        <f>IFERROR(HLOOKUP($PT21,Calc!$G$125:$AI$146,15,0),0)</f>
        <v>933.33333333333337</v>
      </c>
      <c r="AF21" s="1070">
        <f>IFERROR(HLOOKUP($PT21,Calc!$G$125:$AI$146,16,0),0)</f>
        <v>35956.101163329309</v>
      </c>
      <c r="AG21" s="1070">
        <f>IFERROR(HLOOKUP($PT21,Calc!$G$125:$AI$146,17,0),0)</f>
        <v>92458.545848561058</v>
      </c>
      <c r="AH21" s="1070">
        <f>IFERROR(HLOOKUP($PT21,Calc!$G$125:$AI$146,18,0),0)</f>
        <v>0.46502034395556308</v>
      </c>
      <c r="AI21" s="1070">
        <f>IFERROR(HLOOKUP($PT21,Calc!$G$125:$AI$146,19,0),0)</f>
        <v>-933.33333333333337</v>
      </c>
      <c r="AJ21" s="1070">
        <f>IFERROR(HLOOKUP($PT21,Calc!$G$125:$AI$146,20,0),0)</f>
        <v>1941.0854642407503</v>
      </c>
      <c r="AK21" s="1070">
        <f>IFERROR(HLOOKUP($PT21,Calc!$G$125:$AI$146,21,0),0)</f>
        <v>91450.793717653636</v>
      </c>
      <c r="AL21" s="1070">
        <f>IFERROR(HLOOKUP($PT21,Calc!$G$125:$AI$146,22,0),0)</f>
        <v>0.4599518536582563</v>
      </c>
      <c r="AM21" s="1070">
        <f>IFERROR(HLOOKUP($PT21,Calc!$G$125:$AI$147,23,0),0)</f>
        <v>14863.310640065485</v>
      </c>
      <c r="AN21" s="1070">
        <f>IF(PPT!$D$2="$ M",IFERROR(HLOOKUP($PT21,PPT!$E$131:$BJ$159,5,0),0)*1000,IFERROR(HLOOKUP($PT21,PPT!$E$131:$BJ$159,5,0),0))</f>
        <v>0</v>
      </c>
      <c r="AO21" s="1070">
        <f>IF(PPT!$D$2="$ M",IFERROR(HLOOKUP($PT21,PPT!$E$131:$BJ$159,6,0),0)*1000,IFERROR(HLOOKUP($PT21,PPT!$E$131:$BJ$159,6,0),0))</f>
        <v>0</v>
      </c>
      <c r="AP21" s="1070">
        <f>IF(PPT!$D$2="$ M",IFERROR(HLOOKUP($PT21,PPT!$E$131:$BJ$159,7,0),0)*1000,IFERROR(HLOOKUP($PT21,PPT!$E$131:$BJ$159,7,0),0))</f>
        <v>0</v>
      </c>
      <c r="AQ21" s="1070">
        <f>IF(PPT!$D$2="$ M",IFERROR(HLOOKUP($PT21,PPT!$E$131:$BJ$159,8,0),0)*1000,IFERROR(HLOOKUP($PT21,PPT!$E$131:$BJ$159,8,0),0))</f>
        <v>0</v>
      </c>
      <c r="AR21" s="1070">
        <f>IF(PPT!$D$2="$ M",IFERROR(HLOOKUP($PT21,PPT!$E$131:$BJ$159,9,0),0)*1000,IFERROR(HLOOKUP($PT21,PPT!$E$131:$BJ$159,9,0),0))</f>
        <v>0</v>
      </c>
      <c r="AS21" s="1070">
        <f>IF(PPT!$D$2="$ M",IFERROR(HLOOKUP($PT21,PPT!$E$131:$BJ$159,10,0),0)*1000,IFERROR(HLOOKUP($PT21,PPT!$E$131:$BJ$159,10,0),0))</f>
        <v>0</v>
      </c>
      <c r="AT21" s="1070">
        <f>IF(PPT!$D$2="$ M",IFERROR(HLOOKUP($PT21,PPT!$E$131:$BJ$159,13,0),0)*1000,IFERROR(HLOOKUP($PT21,PPT!$E$131:$BJ$159,13,0),0))</f>
        <v>0</v>
      </c>
      <c r="AU21" s="1070">
        <f>IF(PPT!$D$2="$ M",IFERROR(HLOOKUP($PT21,PPT!$E$131:$BJ$159,14,0),0)*1000,IFERROR(HLOOKUP($PT21,PPT!$E$131:$BJ$159,14,0),0))</f>
        <v>0</v>
      </c>
      <c r="AV21" s="1070">
        <f>IF(PPT!$D$2="$ M",IFERROR(HLOOKUP($PT21,PPT!$E$131:$BJ$159,15,0),0)*1000,IFERROR(HLOOKUP($PT21,PPT!$E$131:$BJ$159,15,0),0))</f>
        <v>0</v>
      </c>
      <c r="AW21" s="1070">
        <f>IF(PPT!$D$2="$ M",IFERROR(HLOOKUP($PT21,PPT!$E$131:$BJ$159,17,0),0)*1000,IFERROR(HLOOKUP($PT21,PPT!$E$131:$BJ$159,17,0),0))</f>
        <v>0</v>
      </c>
      <c r="AX21" s="1070">
        <f>IF(PPT!$D$2="$ M",IFERROR(HLOOKUP($PT21,PPT!$E$131:$BJ$159,18,0),0)*1000,IFERROR(HLOOKUP($PT21,PPT!$E$131:$BJ$159,18,0),0))</f>
        <v>0</v>
      </c>
      <c r="AY21" s="1070">
        <f>IF(PPT!$D$2="$ M",IFERROR(HLOOKUP($PT21,PPT!$E$131:$BJ$159,19,0),0)*1000,IFERROR(HLOOKUP($PT21,PPT!$E$131:$BJ$159,19,0),0))</f>
        <v>0</v>
      </c>
      <c r="AZ21" s="1070">
        <f>IF(PPT!$D$2="$ M",IFERROR(HLOOKUP($PT21,PPT!$E$131:$BJ$159,21,0),0)*1000,IFERROR(HLOOKUP($PT21,PPT!$E$131:$BJ$159,21,0),0))</f>
        <v>0</v>
      </c>
      <c r="BA21" s="1070">
        <f>IF(PPT!$D$2="$ M",IFERROR(HLOOKUP($PT21,PPT!$E$131:$BJ$159,22,0),0)*1000,IFERROR(HLOOKUP($PT21,PPT!$E$131:$BJ$159,22,0),0))</f>
        <v>0</v>
      </c>
      <c r="BB21" s="1070">
        <f>IF(PPT!$D$2="$ M",IFERROR(HLOOKUP($PT21,PPT!$E$131:$BJ$159,23,0),0)*1000,IFERROR(HLOOKUP($PT21,PPT!$E$131:$BJ$159,23,0),0))</f>
        <v>0</v>
      </c>
      <c r="BC21" s="1070">
        <f>IF(PPT!$D$2="$ M",IFERROR(HLOOKUP($PT21,PPT!$E$131:$BJ$159,25,0),0)*1000,IFERROR(HLOOKUP($PT21,PPT!$E$131:$BJ$159,25,0),0))</f>
        <v>0</v>
      </c>
      <c r="BD21" s="1070">
        <f>IF(PPT!$D$2="$ M",IFERROR(HLOOKUP($PT21,PPT!$E$131:$BJ$159,26,0),0)*1000,IFERROR(HLOOKUP($PT21,PPT!$E$131:$BJ$159,26,0),0))</f>
        <v>0</v>
      </c>
      <c r="BE21" s="1070">
        <f>IF(PPT!$D$2="$ M",IFERROR(HLOOKUP($PT21,PPT!$E$131:$BJ$159,27,0),0)*1000,IFERROR(HLOOKUP($PT21,PPT!$E$131:$BJ$159,27,0),0))</f>
        <v>0</v>
      </c>
      <c r="BF21" s="1070">
        <f>IFERROR(HLOOKUP($PT21,Calc!$F$151:$P$166,2,0),0)</f>
        <v>0</v>
      </c>
      <c r="BG21" s="1070">
        <f>IFERROR(HLOOKUP($PT21,Calc!$F$151:$P$166,3,0),0)</f>
        <v>0</v>
      </c>
      <c r="BH21" s="1070">
        <f>IFERROR(HLOOKUP($PT21,Calc!$F$151:$P$166,4,0),0)</f>
        <v>0</v>
      </c>
      <c r="BI21" s="1070">
        <f>IFERROR(HLOOKUP($PT21,Calc!$F$151:$P$166,5,0),0)</f>
        <v>0</v>
      </c>
      <c r="BJ21" s="1070">
        <f>IFERROR(HLOOKUP($PT21,Calc!$F$151:$P$166,6,0),0)</f>
        <v>0</v>
      </c>
      <c r="BK21" s="1070">
        <f>IFERROR(HLOOKUP($PT21,Calc!$F$151:$P$166,7,0),0)</f>
        <v>0</v>
      </c>
      <c r="BL21" s="1070">
        <f>IFERROR(HLOOKUP($PT21,Calc!$F$151:$P$166,8,0),0)</f>
        <v>0</v>
      </c>
      <c r="BM21" s="1070">
        <f>IFERROR(HLOOKUP($PT21,Calc!$F$151:$P$166,9,0),0)</f>
        <v>0</v>
      </c>
      <c r="BN21" s="1070">
        <f>IFERROR(HLOOKUP($PT21,Calc!$F$151:$P$166,10,0),0)</f>
        <v>0</v>
      </c>
      <c r="BO21" s="1070">
        <f>IFERROR(HLOOKUP($PT21,Calc!$F$151:$P$166,11,0),0)</f>
        <v>0</v>
      </c>
      <c r="BP21" s="1070">
        <f>IFERROR(HLOOKUP($PT21,Calc!$F$151:$P$166,12,0),0)</f>
        <v>0</v>
      </c>
      <c r="BQ21" s="1070">
        <f>IFERROR(HLOOKUP($PT21,Calc!$F$151:$P$166,13,0),0)</f>
        <v>0</v>
      </c>
      <c r="BR21" s="1070">
        <f>IFERROR(HLOOKUP($PT21,Calc!$F$151:$P$166,14,0),0)</f>
        <v>0</v>
      </c>
      <c r="BS21" s="1070">
        <f>IFERROR(HLOOKUP($PT21,Calc!$F$151:$P$166,15,0),0)</f>
        <v>0</v>
      </c>
      <c r="BT21" s="1070">
        <f>IFERROR(HLOOKUP($PT21,Calc!$F$151:$P$166,16,0),0)</f>
        <v>0</v>
      </c>
      <c r="BU21" s="1070">
        <f>IFERROR(VLOOKUP($PS21,Calc!$AF$196:$AH$203,2,0),0)</f>
        <v>0</v>
      </c>
      <c r="BV21" s="1070">
        <f>IFERROR(VLOOKUP($PS21,Calc!$AF$196:$AH$203,3,0),0)</f>
        <v>0</v>
      </c>
      <c r="BW21" s="1070">
        <f>IFERROR(VLOOKUP($PS21,Calc!$AF$196:$AI$203,4,0),0)</f>
        <v>0</v>
      </c>
      <c r="BX21" s="1070">
        <f>IFERROR(VLOOKUP($PS21,Calc!$AF$208:$AI$209,2,0),0)</f>
        <v>0</v>
      </c>
      <c r="BY21" s="1070">
        <f>IFERROR(VLOOKUP($PS21,Calc!$AF$208:$AI$209,3,0),0)</f>
        <v>0</v>
      </c>
      <c r="BZ21" s="1070">
        <f>IFERROR(VLOOKUP($PS21,Calc!$AF$208:$AI$209,4,0),0)</f>
        <v>0</v>
      </c>
      <c r="CA21" s="1070">
        <f>IFERROR(VLOOKUP($PS21,Calc!$K$420:$P$433,3,0),0)</f>
        <v>0</v>
      </c>
      <c r="CB21" s="1070">
        <f>IFERROR(VLOOKUP($PS21,Calc!$K$420:$P$433,4,0),0)</f>
        <v>0</v>
      </c>
      <c r="CC21" s="1070">
        <f>IFERROR(VLOOKUP($PS21,Calc!$K$420:$P$433,5,0),0)</f>
        <v>0</v>
      </c>
      <c r="CD21" s="1070">
        <f>IFERROR(VLOOKUP($PS21,Calc!$K$420:$P$433,6,0),0)</f>
        <v>0</v>
      </c>
      <c r="CE21" s="1070">
        <f>IFERROR(VLOOKUP($PS21,Calc!$AQ$420:$AV$433,3,0),0)</f>
        <v>0</v>
      </c>
      <c r="CF21" s="1070">
        <f>IFERROR(VLOOKUP($PS21,Calc!$AQ$420:$AV$433,4,0),0)</f>
        <v>0</v>
      </c>
      <c r="CG21" s="1070">
        <f>IFERROR(VLOOKUP($PS21,Calc!$AQ$420:$AV$433,5,0),0)</f>
        <v>0</v>
      </c>
      <c r="CH21" s="1070">
        <f>IFERROR(VLOOKUP($PS21,Calc!$AQ$420:$AV$433,6,0),0)</f>
        <v>0</v>
      </c>
      <c r="CI21" s="1070">
        <f>IFERROR(HLOOKUP($PT21,Calc!$AQ$125:$BS$146,3,0),0)</f>
        <v>0</v>
      </c>
      <c r="CJ21" s="1070">
        <f>IFERROR(HLOOKUP($PT21,Calc!$AQ$125:$BS$146,6,0),0)</f>
        <v>0</v>
      </c>
      <c r="CK21" s="1070">
        <f>IFERROR(IF(Calc!$C$129="Dollar ($)",HLOOKUP($PT21,Calc!$AQ$125:$BS$146,5,0),0),0)</f>
        <v>0</v>
      </c>
      <c r="CL21" s="1070">
        <f>IFERROR(IF(Calc!$C$129="Volume (units)",HLOOKUP($PT21,Calc!$AQ$125:$BS$146,5,0),0),0)</f>
        <v>0</v>
      </c>
      <c r="CM21" s="1070">
        <f>IFERROR(HLOOKUP($PT21,Calc!$AQ$125:$BS$146,9,0),0)</f>
        <v>0</v>
      </c>
      <c r="CN21" s="1070">
        <f>IFERROR(HLOOKUP($PT21,Calc!$AQ$125:$BS$146,10,0),0)</f>
        <v>0</v>
      </c>
      <c r="CO21" s="1070">
        <f>IFERROR(HLOOKUP($PT21,Calc!$AQ$125:$BS$146,11,0),0)</f>
        <v>0</v>
      </c>
      <c r="CP21" s="1070">
        <f>IFERROR(HLOOKUP($PT21,Calc!$AQ$125:$BS$146,12,0),0)</f>
        <v>0</v>
      </c>
      <c r="CQ21" s="1070">
        <f>IFERROR(HLOOKUP($PT21,Calc!$AQ$125:$BS$146,13,0),0)</f>
        <v>0</v>
      </c>
      <c r="CR21" s="1070">
        <f>IFERROR(HLOOKUP($PT21,Calc!$AQ$125:$BS$146,17,0),0)</f>
        <v>0</v>
      </c>
      <c r="CS21" s="1070">
        <f>IFERROR(HLOOKUP($PT21,Calc!$AQ$125:$BS$146,19,0),0)</f>
        <v>0</v>
      </c>
      <c r="CT21" s="1070">
        <f>IFERROR(HLOOKUP($PT21,Calc!$AQ$125:$BS$146,20,0),0)</f>
        <v>0</v>
      </c>
      <c r="CU21" s="1070">
        <f>IFERROR(HLOOKUP($PT21,Calc!$AQ$125:$BS$146,21,0),0)</f>
        <v>0</v>
      </c>
      <c r="CV21" s="1070">
        <f>IFERROR(HLOOKUP($PT21,Calc!$AQ$125:$BS$147,23,0),0)</f>
        <v>0</v>
      </c>
      <c r="CW21" s="1070">
        <f>IFERROR(HLOOKUP($PT21,Calc!$AQ$9:$BS$15,5,0),0)+IFERROR(HLOOKUP($PT21,Calc!$AQ$30:$BS$36,5,0),0)+IFERROR(HLOOKUP($PT21,Calc!$AQ$51:$BS$57,5,0),0)+IFERROR(HLOOKUP($PT21,Calc!$AQ$72:$BS$78,5,0),0)+IFERROR(HLOOKUP($PT21,Calc!$AQ$93:$BS$99,5,0),0)</f>
        <v>0</v>
      </c>
      <c r="CX21" s="1070">
        <f>IFERROR(HLOOKUP($PT21,Calc!$AQ$9:$BS$15,6,0),0)+IFERROR(HLOOKUP($PT21,Calc!$AQ$30:$BS$36,6,0),0)+IFERROR(HLOOKUP($PT21,Calc!$AQ$51:$BS$57,6,0),0)+IFERROR(HLOOKUP($PT21,Calc!$AQ$72:$BS$78,6,0),0)+IFERROR(HLOOKUP($PT21,Calc!$AQ$93:$BS$99,6,0),0)</f>
        <v>0</v>
      </c>
      <c r="CY21" s="1070">
        <f>IFERROR(HLOOKUP($PT21,Calc!$AQ$9:$BS$15,7,0),0)+IFERROR(HLOOKUP($PT21,Calc!$AQ$30:$BS$36,7,0),0)+IFERROR(HLOOKUP($PT21,Calc!$AQ$51:$BS$57,7,0),0)+IFERROR(HLOOKUP($PT21,Calc!$AQ$72:$BS$78,7,0),0)+IFERROR(HLOOKUP($PT21,Calc!$AQ$93:$BS$99,7,0),0)</f>
        <v>0</v>
      </c>
      <c r="IY21" s="1070">
        <f>IFERROR(HLOOKUP($PT21,Current_Prior!$AQ$9:$BS$30,3,0),0)</f>
        <v>0</v>
      </c>
      <c r="IZ21" s="1070">
        <f>IFERROR(HLOOKUP($PT21,Current_Prior!$AQ$9:$BS$30,6,0),0)</f>
        <v>0</v>
      </c>
      <c r="JA21" s="1070">
        <f>IFERROR(IF(Calc!$C$129="Dollar ($)",HLOOKUP($PT21,Current_Prior!$AQ$9:$BS$30,5,0),0),0)</f>
        <v>0</v>
      </c>
      <c r="JB21" s="1070">
        <f>IFERROR(IF(Calc!$C$129="Volume (units)",HLOOKUP($PT21,Current_Prior!$AQ$9:$BS$30,5,0),0),0)</f>
        <v>0</v>
      </c>
      <c r="JC21" s="1070">
        <f>IFERROR(HLOOKUP($PT21,Current_Prior!$AQ$9:$BS$30,9,0),0)</f>
        <v>0</v>
      </c>
      <c r="JD21" s="1070">
        <f>IFERROR(HLOOKUP($PT21,Current_Prior!$AQ$9:$BS$30,10,0),0)</f>
        <v>0</v>
      </c>
      <c r="JE21" s="1070">
        <f>IFERROR(HLOOKUP($PT21,Current_Prior!$AQ$9:$BS$30,11,0),0)</f>
        <v>0</v>
      </c>
      <c r="JF21" s="1070">
        <f>IFERROR(HLOOKUP($PT21,Current_Prior!$AQ$9:$BS$30,12,0),0)</f>
        <v>0</v>
      </c>
      <c r="JG21" s="1070">
        <f>IFERROR(HLOOKUP($PT21,Current_Prior!$AQ$9:$BS$30,13,0),0)</f>
        <v>0</v>
      </c>
      <c r="JH21" s="1070">
        <f>IFERROR(HLOOKUP($PT21,Current_Prior!$AQ$9:$BS$30,17,0),0)</f>
        <v>0</v>
      </c>
      <c r="JI21" s="1070">
        <f>IFERROR(HLOOKUP($PT21,Current_Prior!$AQ$9:$BS$30,19,0),0)</f>
        <v>0</v>
      </c>
      <c r="JJ21" s="1070">
        <f>IFERROR(HLOOKUP($PT21,Current_Prior!$AQ$9:$BS$30,20,0),0)</f>
        <v>0</v>
      </c>
      <c r="JK21" s="1070">
        <f>IFERROR(HLOOKUP($PT21,Current_Prior!$AQ$9:$BS$30,21,0),0)</f>
        <v>0</v>
      </c>
      <c r="JL21" s="1070">
        <f>IFERROR(HLOOKUP($PT21,Current_Prior!$AQ$9:$BS$31,23,0),0)</f>
        <v>0</v>
      </c>
      <c r="ML21" s="1082">
        <f>IFERROR(HLOOKUP($PT21,HistInfo!$G$15:$AI$37,3,0),0)</f>
        <v>0</v>
      </c>
      <c r="MM21" s="1082">
        <f>IFERROR(HLOOKUP($PT21,HistInfo!$G$15:$AI$37,6,0),0)</f>
        <v>0</v>
      </c>
      <c r="MN21" s="1070">
        <f>IFERROR(IF(HistInfo!$C$19="Dollar ($)",HLOOKUP($PT21,HistInfo!$G$15:$AI$37,5,0),0),0)</f>
        <v>0</v>
      </c>
      <c r="MO21" s="1070">
        <f>IFERROR(IF(HistInfo!$C$19="Volume (units)",HLOOKUP($PT21,HistInfo!$G$15:$AI$37,5,0),0),0)</f>
        <v>0</v>
      </c>
      <c r="MP21" s="1082">
        <f>IFERROR(HLOOKUP($PT21,HistInfo!$G$15:$AI$37,9,0),0)</f>
        <v>0</v>
      </c>
      <c r="MQ21" s="1082">
        <f>IFERROR(HLOOKUP($PT21,HistInfo!$G$15:$AI$37,10,0),0)</f>
        <v>0</v>
      </c>
      <c r="MR21" s="1082">
        <f>IFERROR(HLOOKUP($PT21,HistInfo!$G$15:$AI$37,11,0),0)</f>
        <v>0</v>
      </c>
      <c r="MS21" s="1082">
        <f>IFERROR(HLOOKUP($PT21,HistInfo!$G$15:$AI$37,12,0),0)</f>
        <v>0</v>
      </c>
      <c r="MT21" s="1082">
        <f>IFERROR(HLOOKUP($PT21,HistInfo!$G$15:$AI$37,13,0),0)</f>
        <v>0</v>
      </c>
      <c r="MU21" s="1082">
        <f>IFERROR(HLOOKUP($PT21,HistInfo!$G$15:$AI$37,17,0),0)</f>
        <v>0</v>
      </c>
      <c r="MV21" s="1082">
        <f>IFERROR(HLOOKUP($PT21,HistInfo!$G$15:$AI$37,19,0),0)</f>
        <v>0</v>
      </c>
      <c r="MW21" s="1082">
        <f>IFERROR(HLOOKUP($PT21,HistInfo!$G$15:$AI$37,20,0),0)</f>
        <v>0</v>
      </c>
      <c r="MX21" s="1082">
        <f>IFERROR(HLOOKUP($PT21,HistInfo!$G$15:$AI$37,21,0),0)</f>
        <v>0</v>
      </c>
      <c r="MY21" s="1082">
        <f>IFERROR(HLOOKUP($PT21,HistInfo!$G$15:$AI$37,23,0),0)</f>
        <v>0</v>
      </c>
      <c r="PS21" s="1070">
        <v>31</v>
      </c>
      <c r="PT21" s="1082" t="str">
        <f t="shared" si="1"/>
        <v>FY31</v>
      </c>
      <c r="PU21" s="1070" t="str">
        <f t="shared" si="2"/>
        <v>2031</v>
      </c>
    </row>
    <row r="22" spans="1:437" x14ac:dyDescent="0.3">
      <c r="A22" s="1070" t="str">
        <f t="shared" si="8"/>
        <v>Life Sciences</v>
      </c>
      <c r="B22" s="1070" t="str">
        <f t="shared" si="8"/>
        <v>BDB</v>
      </c>
      <c r="C22" s="1070">
        <f t="shared" si="8"/>
        <v>0</v>
      </c>
      <c r="D22" s="1070">
        <f t="shared" si="8"/>
        <v>0</v>
      </c>
      <c r="E22" s="1070">
        <v>0</v>
      </c>
      <c r="F22" s="1070">
        <v>0</v>
      </c>
      <c r="G22" s="1070">
        <f t="shared" si="7"/>
        <v>0</v>
      </c>
      <c r="H22" s="1070">
        <f t="shared" si="7"/>
        <v>0</v>
      </c>
      <c r="I22" s="1070">
        <f t="shared" si="7"/>
        <v>0</v>
      </c>
      <c r="J22" s="1070" t="str">
        <f t="shared" si="7"/>
        <v>Budget</v>
      </c>
      <c r="K22" s="1070" t="str">
        <f t="shared" si="0"/>
        <v>2032</v>
      </c>
      <c r="L22" s="1070">
        <f>IF(PPT!$D$2="$ M",IFERROR(HLOOKUP($PT22,PPT!$E$117:$BJ$119,3,0),0)*1000,IFERROR(HLOOKUP($PT22,PPT!$E$117:$BJ$119,3,0),0))</f>
        <v>239308.03722850067</v>
      </c>
      <c r="M22" s="1070">
        <f>IF(PPT!$D$2="$ M",IFERROR(HLOOKUP($PT22,PPT!$E$133:$BJ$159,4,0),0)*1000,IFERROR(HLOOKUP($PT22,PPT!$E$133:$BJ$159,4,0),0))</f>
        <v>0</v>
      </c>
      <c r="N22" s="1070">
        <f>IF(PPT!$D$2="$ M",IFERROR(HLOOKUP($PT22,PPT!$E$133:$BJ$159,5,0),0)*1000,IFERROR(HLOOKUP($PT22,PPT!$E$133:$BJ$159,5,0),0))</f>
        <v>0</v>
      </c>
      <c r="O22" s="1070">
        <f>IF(PPT!$D$2="$ M",IFERROR(HLOOKUP($PT22,PPT!$E$133:$BJ$159,6,0),0)*1000,IFERROR(HLOOKUP($PT22,PPT!$E$133:$BJ$159,6,0),0))</f>
        <v>0</v>
      </c>
      <c r="P22" s="1070">
        <f>IF(PPT!$D$2="$ M",IFERROR(HLOOKUP($PT22,PPT!$E$133:$BJ$159,7,0),0)*1000,IFERROR(HLOOKUP($PT22,PPT!$E$133:$BJ$159,7,0),0))</f>
        <v>0</v>
      </c>
      <c r="Q22" s="1070">
        <f>IFERROR(HLOOKUP($PT22,Calc!$G$125:$AI$146,3,0),0)</f>
        <v>239308.03722850067</v>
      </c>
      <c r="R22" s="1070">
        <f>IF(PPT!$D$2="$ M",IFERROR(HLOOKUP($PT22,PPT!$E$133:$BJ$159,9,0),0),IFERROR(HLOOKUP($PT22,PPT!$E$133:$BJ$159,9,0),0))</f>
        <v>0.20359999999999981</v>
      </c>
      <c r="S22" s="1070" t="str">
        <f>IF(PPT!$D$2="$ M",IFERROR(HLOOKUP($PT22,PPT!$E$133:$BJ$159,10,0),0),IFERROR(HLOOKUP($PT22,PPT!$E$133:$BJ$159,10,0),0))</f>
        <v/>
      </c>
      <c r="T22" s="1070">
        <f>IFERROR(IF(Calc!$C$129="Dollar ($)",HLOOKUP($PT22,Calc!$G$125:$AI$146,5,0),0),0)</f>
        <v>0</v>
      </c>
      <c r="U22" s="1070">
        <f>IFERROR(IF(Calc!$C$129="Volume (units)",HLOOKUP($PT22,Calc!$G$125:$AI$146,5,0),0),0)</f>
        <v>0</v>
      </c>
      <c r="V22" s="1070">
        <f>IFERROR(HLOOKUP($PT22,Calc!$G$125:$AI$146,6,0),0)</f>
        <v>239308.03722850067</v>
      </c>
      <c r="W22" s="1070">
        <f>IFERROR(HLOOKUP($PT22,Calc!$G$125:$AI$146,7,0),0)</f>
        <v>73945.751130874429</v>
      </c>
      <c r="X22" s="1070">
        <f>IFERROR(HLOOKUP($PT22,Calc!$G$125:$AI$146,8,0),0)</f>
        <v>0</v>
      </c>
      <c r="Y22" s="1070">
        <f>IFERROR(HLOOKUP($PT22,Calc!$G$125:$AI$146,9,0),0)</f>
        <v>165362.28609762626</v>
      </c>
      <c r="Z22" s="1070">
        <f>IFERROR(HLOOKUP($PT22,Calc!$G$125:$AI$146,10,0),0)</f>
        <v>0.69100180676226886</v>
      </c>
      <c r="AA22" s="1070">
        <f>IFERROR(HLOOKUP($PT22,Calc!$G$125:$AI$146,11,0),0)</f>
        <v>5307.5446701130122</v>
      </c>
      <c r="AB22" s="1070">
        <f>IFERROR(HLOOKUP($PT22,Calc!$G$125:$AI$146,12,0),0)</f>
        <v>0</v>
      </c>
      <c r="AC22" s="1070">
        <f>IFERROR(HLOOKUP($PT22,Calc!$G$125:$AI$146,13,0),0)</f>
        <v>160054.74142751325</v>
      </c>
      <c r="AD22" s="1070">
        <f>IFERROR(HLOOKUP($PT22,Calc!$G$125:$AI$146,14,0),0)</f>
        <v>0.66882309211657076</v>
      </c>
      <c r="AE22" s="1070">
        <f>IFERROR(HLOOKUP($PT22,Calc!$G$125:$AI$146,15,0),0)</f>
        <v>933.33333333333337</v>
      </c>
      <c r="AF22" s="1070">
        <f>IFERROR(HLOOKUP($PT22,Calc!$G$125:$AI$146,16,0),0)</f>
        <v>44553.994266370377</v>
      </c>
      <c r="AG22" s="1070">
        <f>IFERROR(HLOOKUP($PT22,Calc!$G$125:$AI$146,17,0),0)</f>
        <v>114567.41382780953</v>
      </c>
      <c r="AH22" s="1070">
        <f>IFERROR(HLOOKUP($PT22,Calc!$G$125:$AI$146,18,0),0)</f>
        <v>0.47874453008202178</v>
      </c>
      <c r="AI22" s="1070">
        <f>IFERROR(HLOOKUP($PT22,Calc!$G$125:$AI$146,19,0),0)</f>
        <v>-933.33333333333337</v>
      </c>
      <c r="AJ22" s="1070">
        <f>IFERROR(HLOOKUP($PT22,Calc!$G$125:$AI$146,20,0),0)</f>
        <v>7315.3371366588362</v>
      </c>
      <c r="AK22" s="1070">
        <f>IFERROR(HLOOKUP($PT22,Calc!$G$125:$AI$146,21,0),0)</f>
        <v>108185.41002448402</v>
      </c>
      <c r="AL22" s="1070">
        <f>IFERROR(HLOOKUP($PT22,Calc!$G$125:$AI$146,22,0),0)</f>
        <v>0.45207595732016453</v>
      </c>
      <c r="AM22" s="1070">
        <f>IFERROR(HLOOKUP($PT22,Calc!$G$125:$AI$147,23,0),0)</f>
        <v>15289.698812440292</v>
      </c>
      <c r="AN22" s="1070">
        <f>IF(PPT!$D$2="$ M",IFERROR(HLOOKUP($PT22,PPT!$E$131:$BJ$159,5,0),0)*1000,IFERROR(HLOOKUP($PT22,PPT!$E$131:$BJ$159,5,0),0))</f>
        <v>0</v>
      </c>
      <c r="AO22" s="1070">
        <f>IF(PPT!$D$2="$ M",IFERROR(HLOOKUP($PT22,PPT!$E$131:$BJ$159,6,0),0)*1000,IFERROR(HLOOKUP($PT22,PPT!$E$131:$BJ$159,6,0),0))</f>
        <v>0</v>
      </c>
      <c r="AP22" s="1070">
        <f>IF(PPT!$D$2="$ M",IFERROR(HLOOKUP($PT22,PPT!$E$131:$BJ$159,7,0),0)*1000,IFERROR(HLOOKUP($PT22,PPT!$E$131:$BJ$159,7,0),0))</f>
        <v>0</v>
      </c>
      <c r="AQ22" s="1070">
        <f>IF(PPT!$D$2="$ M",IFERROR(HLOOKUP($PT22,PPT!$E$131:$BJ$159,8,0),0)*1000,IFERROR(HLOOKUP($PT22,PPT!$E$131:$BJ$159,8,0),0))</f>
        <v>0</v>
      </c>
      <c r="AR22" s="1070">
        <f>IF(PPT!$D$2="$ M",IFERROR(HLOOKUP($PT22,PPT!$E$131:$BJ$159,9,0),0)*1000,IFERROR(HLOOKUP($PT22,PPT!$E$131:$BJ$159,9,0),0))</f>
        <v>0</v>
      </c>
      <c r="AS22" s="1070">
        <f>IF(PPT!$D$2="$ M",IFERROR(HLOOKUP($PT22,PPT!$E$131:$BJ$159,10,0),0)*1000,IFERROR(HLOOKUP($PT22,PPT!$E$131:$BJ$159,10,0),0))</f>
        <v>0</v>
      </c>
      <c r="AT22" s="1070">
        <f>IF(PPT!$D$2="$ M",IFERROR(HLOOKUP($PT22,PPT!$E$131:$BJ$159,13,0),0)*1000,IFERROR(HLOOKUP($PT22,PPT!$E$131:$BJ$159,13,0),0))</f>
        <v>0</v>
      </c>
      <c r="AU22" s="1070">
        <f>IF(PPT!$D$2="$ M",IFERROR(HLOOKUP($PT22,PPT!$E$131:$BJ$159,14,0),0)*1000,IFERROR(HLOOKUP($PT22,PPT!$E$131:$BJ$159,14,0),0))</f>
        <v>0</v>
      </c>
      <c r="AV22" s="1070">
        <f>IF(PPT!$D$2="$ M",IFERROR(HLOOKUP($PT22,PPT!$E$131:$BJ$159,15,0),0)*1000,IFERROR(HLOOKUP($PT22,PPT!$E$131:$BJ$159,15,0),0))</f>
        <v>0</v>
      </c>
      <c r="AW22" s="1070">
        <f>IF(PPT!$D$2="$ M",IFERROR(HLOOKUP($PT22,PPT!$E$131:$BJ$159,17,0),0)*1000,IFERROR(HLOOKUP($PT22,PPT!$E$131:$BJ$159,17,0),0))</f>
        <v>0</v>
      </c>
      <c r="AX22" s="1070">
        <f>IF(PPT!$D$2="$ M",IFERROR(HLOOKUP($PT22,PPT!$E$131:$BJ$159,18,0),0)*1000,IFERROR(HLOOKUP($PT22,PPT!$E$131:$BJ$159,18,0),0))</f>
        <v>0</v>
      </c>
      <c r="AY22" s="1070">
        <f>IF(PPT!$D$2="$ M",IFERROR(HLOOKUP($PT22,PPT!$E$131:$BJ$159,19,0),0)*1000,IFERROR(HLOOKUP($PT22,PPT!$E$131:$BJ$159,19,0),0))</f>
        <v>0</v>
      </c>
      <c r="AZ22" s="1070">
        <f>IF(PPT!$D$2="$ M",IFERROR(HLOOKUP($PT22,PPT!$E$131:$BJ$159,21,0),0)*1000,IFERROR(HLOOKUP($PT22,PPT!$E$131:$BJ$159,21,0),0))</f>
        <v>0</v>
      </c>
      <c r="BA22" s="1070">
        <f>IF(PPT!$D$2="$ M",IFERROR(HLOOKUP($PT22,PPT!$E$131:$BJ$159,22,0),0)*1000,IFERROR(HLOOKUP($PT22,PPT!$E$131:$BJ$159,22,0),0))</f>
        <v>0</v>
      </c>
      <c r="BB22" s="1070">
        <f>IF(PPT!$D$2="$ M",IFERROR(HLOOKUP($PT22,PPT!$E$131:$BJ$159,23,0),0)*1000,IFERROR(HLOOKUP($PT22,PPT!$E$131:$BJ$159,23,0),0))</f>
        <v>0</v>
      </c>
      <c r="BC22" s="1070">
        <f>IF(PPT!$D$2="$ M",IFERROR(HLOOKUP($PT22,PPT!$E$131:$BJ$159,25,0),0)*1000,IFERROR(HLOOKUP($PT22,PPT!$E$131:$BJ$159,25,0),0))</f>
        <v>0</v>
      </c>
      <c r="BD22" s="1070">
        <f>IF(PPT!$D$2="$ M",IFERROR(HLOOKUP($PT22,PPT!$E$131:$BJ$159,26,0),0)*1000,IFERROR(HLOOKUP($PT22,PPT!$E$131:$BJ$159,26,0),0))</f>
        <v>0</v>
      </c>
      <c r="BE22" s="1070">
        <f>IF(PPT!$D$2="$ M",IFERROR(HLOOKUP($PT22,PPT!$E$131:$BJ$159,27,0),0)*1000,IFERROR(HLOOKUP($PT22,PPT!$E$131:$BJ$159,27,0),0))</f>
        <v>0</v>
      </c>
      <c r="BF22" s="1070">
        <f>IFERROR(HLOOKUP($PT22,Calc!$F$151:$P$166,2,0),0)</f>
        <v>0</v>
      </c>
      <c r="BG22" s="1070">
        <f>IFERROR(HLOOKUP($PT22,Calc!$F$151:$P$166,3,0),0)</f>
        <v>0</v>
      </c>
      <c r="BH22" s="1070">
        <f>IFERROR(HLOOKUP($PT22,Calc!$F$151:$P$166,4,0),0)</f>
        <v>0</v>
      </c>
      <c r="BI22" s="1070">
        <f>IFERROR(HLOOKUP($PT22,Calc!$F$151:$P$166,5,0),0)</f>
        <v>0</v>
      </c>
      <c r="BJ22" s="1070">
        <f>IFERROR(HLOOKUP($PT22,Calc!$F$151:$P$166,6,0),0)</f>
        <v>0</v>
      </c>
      <c r="BK22" s="1070">
        <f>IFERROR(HLOOKUP($PT22,Calc!$F$151:$P$166,7,0),0)</f>
        <v>0</v>
      </c>
      <c r="BL22" s="1070">
        <f>IFERROR(HLOOKUP($PT22,Calc!$F$151:$P$166,8,0),0)</f>
        <v>0</v>
      </c>
      <c r="BM22" s="1070">
        <f>IFERROR(HLOOKUP($PT22,Calc!$F$151:$P$166,9,0),0)</f>
        <v>0</v>
      </c>
      <c r="BN22" s="1070">
        <f>IFERROR(HLOOKUP($PT22,Calc!$F$151:$P$166,10,0),0)</f>
        <v>0</v>
      </c>
      <c r="BO22" s="1070">
        <f>IFERROR(HLOOKUP($PT22,Calc!$F$151:$P$166,11,0),0)</f>
        <v>0</v>
      </c>
      <c r="BP22" s="1070">
        <f>IFERROR(HLOOKUP($PT22,Calc!$F$151:$P$166,12,0),0)</f>
        <v>0</v>
      </c>
      <c r="BQ22" s="1070">
        <f>IFERROR(HLOOKUP($PT22,Calc!$F$151:$P$166,13,0),0)</f>
        <v>0</v>
      </c>
      <c r="BR22" s="1070">
        <f>IFERROR(HLOOKUP($PT22,Calc!$F$151:$P$166,14,0),0)</f>
        <v>0</v>
      </c>
      <c r="BS22" s="1070">
        <f>IFERROR(HLOOKUP($PT22,Calc!$F$151:$P$166,15,0),0)</f>
        <v>0</v>
      </c>
      <c r="BT22" s="1070">
        <f>IFERROR(HLOOKUP($PT22,Calc!$F$151:$P$166,16,0),0)</f>
        <v>0</v>
      </c>
      <c r="BU22" s="1070">
        <f>IFERROR(VLOOKUP($PS22,Calc!$AF$196:$AH$203,2,0),0)</f>
        <v>0</v>
      </c>
      <c r="BV22" s="1070">
        <f>IFERROR(VLOOKUP($PS22,Calc!$AF$196:$AH$203,3,0),0)</f>
        <v>0</v>
      </c>
      <c r="BW22" s="1070">
        <f>IFERROR(VLOOKUP($PS22,Calc!$AF$196:$AI$203,4,0),0)</f>
        <v>0</v>
      </c>
      <c r="BX22" s="1070">
        <f>IFERROR(VLOOKUP($PS22,Calc!$AF$208:$AI$209,2,0),0)</f>
        <v>0</v>
      </c>
      <c r="BY22" s="1070">
        <f>IFERROR(VLOOKUP($PS22,Calc!$AF$208:$AI$209,3,0),0)</f>
        <v>0</v>
      </c>
      <c r="BZ22" s="1070">
        <f>IFERROR(VLOOKUP($PS22,Calc!$AF$208:$AI$209,4,0),0)</f>
        <v>0</v>
      </c>
      <c r="CA22" s="1070">
        <f>IFERROR(VLOOKUP($PS22,Calc!$K$420:$P$433,3,0),0)</f>
        <v>0</v>
      </c>
      <c r="CB22" s="1070">
        <f>IFERROR(VLOOKUP($PS22,Calc!$K$420:$P$433,4,0),0)</f>
        <v>0</v>
      </c>
      <c r="CC22" s="1070">
        <f>IFERROR(VLOOKUP($PS22,Calc!$K$420:$P$433,5,0),0)</f>
        <v>0</v>
      </c>
      <c r="CD22" s="1070">
        <f>IFERROR(VLOOKUP($PS22,Calc!$K$420:$P$433,6,0),0)</f>
        <v>0</v>
      </c>
      <c r="CE22" s="1070">
        <f>IFERROR(VLOOKUP($PS22,Calc!$AQ$420:$AV$433,3,0),0)</f>
        <v>0</v>
      </c>
      <c r="CF22" s="1070">
        <f>IFERROR(VLOOKUP($PS22,Calc!$AQ$420:$AV$433,4,0),0)</f>
        <v>0</v>
      </c>
      <c r="CG22" s="1070">
        <f>IFERROR(VLOOKUP($PS22,Calc!$AQ$420:$AV$433,5,0),0)</f>
        <v>0</v>
      </c>
      <c r="CH22" s="1070">
        <f>IFERROR(VLOOKUP($PS22,Calc!$AQ$420:$AV$433,6,0),0)</f>
        <v>0</v>
      </c>
      <c r="CI22" s="1070">
        <f>IFERROR(HLOOKUP($PT22,Calc!$AQ$125:$BS$146,3,0),0)</f>
        <v>0</v>
      </c>
      <c r="CJ22" s="1070">
        <f>IFERROR(HLOOKUP($PT22,Calc!$AQ$125:$BS$146,6,0),0)</f>
        <v>0</v>
      </c>
      <c r="CK22" s="1070">
        <f>IFERROR(IF(Calc!$C$129="Dollar ($)",HLOOKUP($PT22,Calc!$AQ$125:$BS$146,5,0),0),0)</f>
        <v>0</v>
      </c>
      <c r="CL22" s="1070">
        <f>IFERROR(IF(Calc!$C$129="Volume (units)",HLOOKUP($PT22,Calc!$AQ$125:$BS$146,5,0),0),0)</f>
        <v>0</v>
      </c>
      <c r="CM22" s="1070">
        <f>IFERROR(HLOOKUP($PT22,Calc!$AQ$125:$BS$146,9,0),0)</f>
        <v>0</v>
      </c>
      <c r="CN22" s="1070">
        <f>IFERROR(HLOOKUP($PT22,Calc!$AQ$125:$BS$146,10,0),0)</f>
        <v>0</v>
      </c>
      <c r="CO22" s="1070">
        <f>IFERROR(HLOOKUP($PT22,Calc!$AQ$125:$BS$146,11,0),0)</f>
        <v>0</v>
      </c>
      <c r="CP22" s="1070">
        <f>IFERROR(HLOOKUP($PT22,Calc!$AQ$125:$BS$146,12,0),0)</f>
        <v>0</v>
      </c>
      <c r="CQ22" s="1070">
        <f>IFERROR(HLOOKUP($PT22,Calc!$AQ$125:$BS$146,13,0),0)</f>
        <v>0</v>
      </c>
      <c r="CR22" s="1070">
        <f>IFERROR(HLOOKUP($PT22,Calc!$AQ$125:$BS$146,17,0),0)</f>
        <v>0</v>
      </c>
      <c r="CS22" s="1070">
        <f>IFERROR(HLOOKUP($PT22,Calc!$AQ$125:$BS$146,19,0),0)</f>
        <v>0</v>
      </c>
      <c r="CT22" s="1070">
        <f>IFERROR(HLOOKUP($PT22,Calc!$AQ$125:$BS$146,20,0),0)</f>
        <v>0</v>
      </c>
      <c r="CU22" s="1070">
        <f>IFERROR(HLOOKUP($PT22,Calc!$AQ$125:$BS$146,21,0),0)</f>
        <v>0</v>
      </c>
      <c r="CV22" s="1070">
        <f>IFERROR(HLOOKUP($PT22,Calc!$AQ$125:$BS$147,23,0),0)</f>
        <v>0</v>
      </c>
      <c r="CW22" s="1070">
        <f>IFERROR(HLOOKUP($PT22,Calc!$AQ$9:$BS$15,5,0),0)+IFERROR(HLOOKUP($PT22,Calc!$AQ$30:$BS$36,5,0),0)+IFERROR(HLOOKUP($PT22,Calc!$AQ$51:$BS$57,5,0),0)+IFERROR(HLOOKUP($PT22,Calc!$AQ$72:$BS$78,5,0),0)+IFERROR(HLOOKUP($PT22,Calc!$AQ$93:$BS$99,5,0),0)</f>
        <v>0</v>
      </c>
      <c r="CX22" s="1070">
        <f>IFERROR(HLOOKUP($PT22,Calc!$AQ$9:$BS$15,6,0),0)+IFERROR(HLOOKUP($PT22,Calc!$AQ$30:$BS$36,6,0),0)+IFERROR(HLOOKUP($PT22,Calc!$AQ$51:$BS$57,6,0),0)+IFERROR(HLOOKUP($PT22,Calc!$AQ$72:$BS$78,6,0),0)+IFERROR(HLOOKUP($PT22,Calc!$AQ$93:$BS$99,6,0),0)</f>
        <v>0</v>
      </c>
      <c r="CY22" s="1070">
        <f>IFERROR(HLOOKUP($PT22,Calc!$AQ$9:$BS$15,7,0),0)+IFERROR(HLOOKUP($PT22,Calc!$AQ$30:$BS$36,7,0),0)+IFERROR(HLOOKUP($PT22,Calc!$AQ$51:$BS$57,7,0),0)+IFERROR(HLOOKUP($PT22,Calc!$AQ$72:$BS$78,7,0),0)+IFERROR(HLOOKUP($PT22,Calc!$AQ$93:$BS$99,7,0),0)</f>
        <v>0</v>
      </c>
      <c r="IY22" s="1070">
        <f>IFERROR(HLOOKUP($PT22,Current_Prior!$AQ$9:$BS$30,3,0),0)</f>
        <v>0</v>
      </c>
      <c r="IZ22" s="1070">
        <f>IFERROR(HLOOKUP($PT22,Current_Prior!$AQ$9:$BS$30,6,0),0)</f>
        <v>0</v>
      </c>
      <c r="JA22" s="1070">
        <f>IFERROR(IF(Calc!$C$129="Dollar ($)",HLOOKUP($PT22,Current_Prior!$AQ$9:$BS$30,5,0),0),0)</f>
        <v>0</v>
      </c>
      <c r="JB22" s="1070">
        <f>IFERROR(IF(Calc!$C$129="Volume (units)",HLOOKUP($PT22,Current_Prior!$AQ$9:$BS$30,5,0),0),0)</f>
        <v>0</v>
      </c>
      <c r="JC22" s="1070">
        <f>IFERROR(HLOOKUP($PT22,Current_Prior!$AQ$9:$BS$30,9,0),0)</f>
        <v>0</v>
      </c>
      <c r="JD22" s="1070">
        <f>IFERROR(HLOOKUP($PT22,Current_Prior!$AQ$9:$BS$30,10,0),0)</f>
        <v>0</v>
      </c>
      <c r="JE22" s="1070">
        <f>IFERROR(HLOOKUP($PT22,Current_Prior!$AQ$9:$BS$30,11,0),0)</f>
        <v>0</v>
      </c>
      <c r="JF22" s="1070">
        <f>IFERROR(HLOOKUP($PT22,Current_Prior!$AQ$9:$BS$30,12,0),0)</f>
        <v>0</v>
      </c>
      <c r="JG22" s="1070">
        <f>IFERROR(HLOOKUP($PT22,Current_Prior!$AQ$9:$BS$30,13,0),0)</f>
        <v>0</v>
      </c>
      <c r="JH22" s="1070">
        <f>IFERROR(HLOOKUP($PT22,Current_Prior!$AQ$9:$BS$30,17,0),0)</f>
        <v>0</v>
      </c>
      <c r="JI22" s="1070">
        <f>IFERROR(HLOOKUP($PT22,Current_Prior!$AQ$9:$BS$30,19,0),0)</f>
        <v>0</v>
      </c>
      <c r="JJ22" s="1070">
        <f>IFERROR(HLOOKUP($PT22,Current_Prior!$AQ$9:$BS$30,20,0),0)</f>
        <v>0</v>
      </c>
      <c r="JK22" s="1070">
        <f>IFERROR(HLOOKUP($PT22,Current_Prior!$AQ$9:$BS$30,21,0),0)</f>
        <v>0</v>
      </c>
      <c r="JL22" s="1070">
        <f>IFERROR(HLOOKUP($PT22,Current_Prior!$AQ$9:$BS$31,23,0),0)</f>
        <v>0</v>
      </c>
      <c r="ML22" s="1082">
        <f>IFERROR(HLOOKUP($PT22,HistInfo!$G$15:$AI$37,3,0),0)</f>
        <v>0</v>
      </c>
      <c r="MM22" s="1082">
        <f>IFERROR(HLOOKUP($PT22,HistInfo!$G$15:$AI$37,6,0),0)</f>
        <v>0</v>
      </c>
      <c r="MN22" s="1070">
        <f>IFERROR(IF(HistInfo!$C$19="Dollar ($)",HLOOKUP($PT22,HistInfo!$G$15:$AI$37,5,0),0),0)</f>
        <v>0</v>
      </c>
      <c r="MO22" s="1070">
        <f>IFERROR(IF(HistInfo!$C$19="Volume (units)",HLOOKUP($PT22,HistInfo!$G$15:$AI$37,5,0),0),0)</f>
        <v>0</v>
      </c>
      <c r="MP22" s="1082">
        <f>IFERROR(HLOOKUP($PT22,HistInfo!$G$15:$AI$37,9,0),0)</f>
        <v>0</v>
      </c>
      <c r="MQ22" s="1082">
        <f>IFERROR(HLOOKUP($PT22,HistInfo!$G$15:$AI$37,10,0),0)</f>
        <v>0</v>
      </c>
      <c r="MR22" s="1082">
        <f>IFERROR(HLOOKUP($PT22,HistInfo!$G$15:$AI$37,11,0),0)</f>
        <v>0</v>
      </c>
      <c r="MS22" s="1082">
        <f>IFERROR(HLOOKUP($PT22,HistInfo!$G$15:$AI$37,12,0),0)</f>
        <v>0</v>
      </c>
      <c r="MT22" s="1082">
        <f>IFERROR(HLOOKUP($PT22,HistInfo!$G$15:$AI$37,13,0),0)</f>
        <v>0</v>
      </c>
      <c r="MU22" s="1082">
        <f>IFERROR(HLOOKUP($PT22,HistInfo!$G$15:$AI$37,17,0),0)</f>
        <v>0</v>
      </c>
      <c r="MV22" s="1082">
        <f>IFERROR(HLOOKUP($PT22,HistInfo!$G$15:$AI$37,19,0),0)</f>
        <v>0</v>
      </c>
      <c r="MW22" s="1082">
        <f>IFERROR(HLOOKUP($PT22,HistInfo!$G$15:$AI$37,20,0),0)</f>
        <v>0</v>
      </c>
      <c r="MX22" s="1082">
        <f>IFERROR(HLOOKUP($PT22,HistInfo!$G$15:$AI$37,21,0),0)</f>
        <v>0</v>
      </c>
      <c r="MY22" s="1082">
        <f>IFERROR(HLOOKUP($PT22,HistInfo!$G$15:$AI$37,23,0),0)</f>
        <v>0</v>
      </c>
      <c r="PS22" s="1070">
        <v>32</v>
      </c>
      <c r="PT22" s="1082" t="str">
        <f t="shared" si="1"/>
        <v>FY32</v>
      </c>
      <c r="PU22" s="1070" t="str">
        <f t="shared" si="2"/>
        <v>2032</v>
      </c>
    </row>
    <row r="23" spans="1:437" x14ac:dyDescent="0.3">
      <c r="A23" s="1070" t="str">
        <f t="shared" si="8"/>
        <v>Life Sciences</v>
      </c>
      <c r="B23" s="1070" t="str">
        <f t="shared" si="8"/>
        <v>BDB</v>
      </c>
      <c r="C23" s="1070">
        <f t="shared" si="8"/>
        <v>0</v>
      </c>
      <c r="D23" s="1070">
        <f t="shared" si="8"/>
        <v>0</v>
      </c>
      <c r="E23" s="1070">
        <v>0</v>
      </c>
      <c r="F23" s="1070">
        <v>0</v>
      </c>
      <c r="G23" s="1070">
        <f t="shared" si="7"/>
        <v>0</v>
      </c>
      <c r="H23" s="1070">
        <f t="shared" si="7"/>
        <v>0</v>
      </c>
      <c r="I23" s="1070">
        <f t="shared" si="7"/>
        <v>0</v>
      </c>
      <c r="J23" s="1070" t="str">
        <f t="shared" si="7"/>
        <v>Budget</v>
      </c>
      <c r="K23" s="1070" t="str">
        <f t="shared" si="0"/>
        <v>2033</v>
      </c>
      <c r="L23" s="1070">
        <f>IF(PPT!$D$2="$ M",IFERROR(HLOOKUP($PT23,PPT!$E$117:$BJ$119,3,0),0)*1000,IFERROR(HLOOKUP($PT23,PPT!$E$117:$BJ$119,3,0),0))</f>
        <v>268535.02227712964</v>
      </c>
      <c r="M23" s="1070">
        <f>IF(PPT!$D$2="$ M",IFERROR(HLOOKUP($PT23,PPT!$E$133:$BJ$159,4,0),0)*1000,IFERROR(HLOOKUP($PT23,PPT!$E$133:$BJ$159,4,0),0))</f>
        <v>0</v>
      </c>
      <c r="N23" s="1070">
        <f>IF(PPT!$D$2="$ M",IFERROR(HLOOKUP($PT23,PPT!$E$133:$BJ$159,5,0),0)*1000,IFERROR(HLOOKUP($PT23,PPT!$E$133:$BJ$159,5,0),0))</f>
        <v>0</v>
      </c>
      <c r="O23" s="1070">
        <f>IF(PPT!$D$2="$ M",IFERROR(HLOOKUP($PT23,PPT!$E$133:$BJ$159,6,0),0)*1000,IFERROR(HLOOKUP($PT23,PPT!$E$133:$BJ$159,6,0),0))</f>
        <v>0</v>
      </c>
      <c r="P23" s="1070">
        <f>IF(PPT!$D$2="$ M",IFERROR(HLOOKUP($PT23,PPT!$E$133:$BJ$159,7,0),0)*1000,IFERROR(HLOOKUP($PT23,PPT!$E$133:$BJ$159,7,0),0))</f>
        <v>0</v>
      </c>
      <c r="Q23" s="1070">
        <f>IFERROR(HLOOKUP($PT23,Calc!$G$125:$AI$146,3,0),0)</f>
        <v>268535.02227712964</v>
      </c>
      <c r="R23" s="1070">
        <f>IF(PPT!$D$2="$ M",IFERROR(HLOOKUP($PT23,PPT!$E$133:$BJ$159,9,0),0),IFERROR(HLOOKUP($PT23,PPT!$E$133:$BJ$159,9,0),0))</f>
        <v>0.12213123047230502</v>
      </c>
      <c r="S23" s="1070" t="str">
        <f>IF(PPT!$D$2="$ M",IFERROR(HLOOKUP($PT23,PPT!$E$133:$BJ$159,10,0),0),IFERROR(HLOOKUP($PT23,PPT!$E$133:$BJ$159,10,0),0))</f>
        <v/>
      </c>
      <c r="T23" s="1070">
        <f>IFERROR(IF(Calc!$C$129="Dollar ($)",HLOOKUP($PT23,Calc!$G$125:$AI$146,5,0),0),0)</f>
        <v>0</v>
      </c>
      <c r="U23" s="1070">
        <f>IFERROR(IF(Calc!$C$129="Volume (units)",HLOOKUP($PT23,Calc!$G$125:$AI$146,5,0),0),0)</f>
        <v>0</v>
      </c>
      <c r="V23" s="1070">
        <f>IFERROR(HLOOKUP($PT23,Calc!$G$125:$AI$146,6,0),0)</f>
        <v>268535.02227712964</v>
      </c>
      <c r="W23" s="1070">
        <f>IFERROR(HLOOKUP($PT23,Calc!$G$125:$AI$146,7,0),0)</f>
        <v>86050.724936225582</v>
      </c>
      <c r="X23" s="1070">
        <f>IFERROR(HLOOKUP($PT23,Calc!$G$125:$AI$146,8,0),0)</f>
        <v>0</v>
      </c>
      <c r="Y23" s="1070">
        <f>IFERROR(HLOOKUP($PT23,Calc!$G$125:$AI$146,9,0),0)</f>
        <v>182484.29734090407</v>
      </c>
      <c r="Z23" s="1070">
        <f>IFERROR(HLOOKUP($PT23,Calc!$G$125:$AI$146,10,0),0)</f>
        <v>0.67955492655471683</v>
      </c>
      <c r="AA23" s="1070">
        <f>IFERROR(HLOOKUP($PT23,Calc!$G$125:$AI$146,11,0),0)</f>
        <v>5833.6304009883333</v>
      </c>
      <c r="AB23" s="1070">
        <f>IFERROR(HLOOKUP($PT23,Calc!$G$125:$AI$146,12,0),0)</f>
        <v>0</v>
      </c>
      <c r="AC23" s="1070">
        <f>IFERROR(HLOOKUP($PT23,Calc!$G$125:$AI$146,13,0),0)</f>
        <v>176650.66693991574</v>
      </c>
      <c r="AD23" s="1070">
        <f>IFERROR(HLOOKUP($PT23,Calc!$G$125:$AI$146,14,0),0)</f>
        <v>0.65783101750359874</v>
      </c>
      <c r="AE23" s="1070">
        <f>IFERROR(HLOOKUP($PT23,Calc!$G$125:$AI$146,15,0),0)</f>
        <v>933.33333333333337</v>
      </c>
      <c r="AF23" s="1070">
        <f>IFERROR(HLOOKUP($PT23,Calc!$G$125:$AI$146,16,0),0)</f>
        <v>49200.853409843075</v>
      </c>
      <c r="AG23" s="1070">
        <f>IFERROR(HLOOKUP($PT23,Calc!$G$125:$AI$146,17,0),0)</f>
        <v>126516.48019673931</v>
      </c>
      <c r="AH23" s="1070">
        <f>IFERROR(HLOOKUP($PT23,Calc!$G$125:$AI$146,18,0),0)</f>
        <v>0.47113586572023963</v>
      </c>
      <c r="AI23" s="1070">
        <f>IFERROR(HLOOKUP($PT23,Calc!$G$125:$AI$146,19,0),0)</f>
        <v>-933.33333333333337</v>
      </c>
      <c r="AJ23" s="1070">
        <f>IFERROR(HLOOKUP($PT23,Calc!$G$125:$AI$146,20,0),0)</f>
        <v>5978.3555525427637</v>
      </c>
      <c r="AK23" s="1070">
        <f>IFERROR(HLOOKUP($PT23,Calc!$G$125:$AI$146,21,0),0)</f>
        <v>121471.45797752988</v>
      </c>
      <c r="AL23" s="1070">
        <f>IFERROR(HLOOKUP($PT23,Calc!$G$125:$AI$146,22,0),0)</f>
        <v>0.4523486618150338</v>
      </c>
      <c r="AM23" s="1070">
        <f>IFERROR(HLOOKUP($PT23,Calc!$G$125:$AI$147,23,0),0)</f>
        <v>14928.1722952902</v>
      </c>
      <c r="AN23" s="1070">
        <f>IF(PPT!$D$2="$ M",IFERROR(HLOOKUP($PT23,PPT!$E$131:$BJ$159,5,0),0)*1000,IFERROR(HLOOKUP($PT23,PPT!$E$131:$BJ$159,5,0),0))</f>
        <v>0</v>
      </c>
      <c r="AO23" s="1070">
        <f>IF(PPT!$D$2="$ M",IFERROR(HLOOKUP($PT23,PPT!$E$131:$BJ$159,6,0),0)*1000,IFERROR(HLOOKUP($PT23,PPT!$E$131:$BJ$159,6,0),0))</f>
        <v>0</v>
      </c>
      <c r="AP23" s="1070">
        <f>IF(PPT!$D$2="$ M",IFERROR(HLOOKUP($PT23,PPT!$E$131:$BJ$159,7,0),0)*1000,IFERROR(HLOOKUP($PT23,PPT!$E$131:$BJ$159,7,0),0))</f>
        <v>0</v>
      </c>
      <c r="AQ23" s="1070">
        <f>IF(PPT!$D$2="$ M",IFERROR(HLOOKUP($PT23,PPT!$E$131:$BJ$159,8,0),0)*1000,IFERROR(HLOOKUP($PT23,PPT!$E$131:$BJ$159,8,0),0))</f>
        <v>0</v>
      </c>
      <c r="AR23" s="1070">
        <f>IF(PPT!$D$2="$ M",IFERROR(HLOOKUP($PT23,PPT!$E$131:$BJ$159,9,0),0)*1000,IFERROR(HLOOKUP($PT23,PPT!$E$131:$BJ$159,9,0),0))</f>
        <v>0</v>
      </c>
      <c r="AS23" s="1070">
        <f>IF(PPT!$D$2="$ M",IFERROR(HLOOKUP($PT23,PPT!$E$131:$BJ$159,10,0),0)*1000,IFERROR(HLOOKUP($PT23,PPT!$E$131:$BJ$159,10,0),0))</f>
        <v>0</v>
      </c>
      <c r="AT23" s="1070">
        <f>IF(PPT!$D$2="$ M",IFERROR(HLOOKUP($PT23,PPT!$E$131:$BJ$159,13,0),0)*1000,IFERROR(HLOOKUP($PT23,PPT!$E$131:$BJ$159,13,0),0))</f>
        <v>0</v>
      </c>
      <c r="AU23" s="1070">
        <f>IF(PPT!$D$2="$ M",IFERROR(HLOOKUP($PT23,PPT!$E$131:$BJ$159,14,0),0)*1000,IFERROR(HLOOKUP($PT23,PPT!$E$131:$BJ$159,14,0),0))</f>
        <v>0</v>
      </c>
      <c r="AV23" s="1070">
        <f>IF(PPT!$D$2="$ M",IFERROR(HLOOKUP($PT23,PPT!$E$131:$BJ$159,15,0),0)*1000,IFERROR(HLOOKUP($PT23,PPT!$E$131:$BJ$159,15,0),0))</f>
        <v>0</v>
      </c>
      <c r="AW23" s="1070">
        <f>IF(PPT!$D$2="$ M",IFERROR(HLOOKUP($PT23,PPT!$E$131:$BJ$159,17,0),0)*1000,IFERROR(HLOOKUP($PT23,PPT!$E$131:$BJ$159,17,0),0))</f>
        <v>0</v>
      </c>
      <c r="AX23" s="1070">
        <f>IF(PPT!$D$2="$ M",IFERROR(HLOOKUP($PT23,PPT!$E$131:$BJ$159,18,0),0)*1000,IFERROR(HLOOKUP($PT23,PPT!$E$131:$BJ$159,18,0),0))</f>
        <v>0</v>
      </c>
      <c r="AY23" s="1070">
        <f>IF(PPT!$D$2="$ M",IFERROR(HLOOKUP($PT23,PPT!$E$131:$BJ$159,19,0),0)*1000,IFERROR(HLOOKUP($PT23,PPT!$E$131:$BJ$159,19,0),0))</f>
        <v>0</v>
      </c>
      <c r="AZ23" s="1070">
        <f>IF(PPT!$D$2="$ M",IFERROR(HLOOKUP($PT23,PPT!$E$131:$BJ$159,21,0),0)*1000,IFERROR(HLOOKUP($PT23,PPT!$E$131:$BJ$159,21,0),0))</f>
        <v>0</v>
      </c>
      <c r="BA23" s="1070">
        <f>IF(PPT!$D$2="$ M",IFERROR(HLOOKUP($PT23,PPT!$E$131:$BJ$159,22,0),0)*1000,IFERROR(HLOOKUP($PT23,PPT!$E$131:$BJ$159,22,0),0))</f>
        <v>0</v>
      </c>
      <c r="BB23" s="1070">
        <f>IF(PPT!$D$2="$ M",IFERROR(HLOOKUP($PT23,PPT!$E$131:$BJ$159,23,0),0)*1000,IFERROR(HLOOKUP($PT23,PPT!$E$131:$BJ$159,23,0),0))</f>
        <v>0</v>
      </c>
      <c r="BC23" s="1070">
        <f>IF(PPT!$D$2="$ M",IFERROR(HLOOKUP($PT23,PPT!$E$131:$BJ$159,25,0),0)*1000,IFERROR(HLOOKUP($PT23,PPT!$E$131:$BJ$159,25,0),0))</f>
        <v>0</v>
      </c>
      <c r="BD23" s="1070">
        <f>IF(PPT!$D$2="$ M",IFERROR(HLOOKUP($PT23,PPT!$E$131:$BJ$159,26,0),0)*1000,IFERROR(HLOOKUP($PT23,PPT!$E$131:$BJ$159,26,0),0))</f>
        <v>0</v>
      </c>
      <c r="BE23" s="1070">
        <f>IF(PPT!$D$2="$ M",IFERROR(HLOOKUP($PT23,PPT!$E$131:$BJ$159,27,0),0)*1000,IFERROR(HLOOKUP($PT23,PPT!$E$131:$BJ$159,27,0),0))</f>
        <v>0</v>
      </c>
      <c r="BF23" s="1070">
        <f>IFERROR(HLOOKUP($PT23,Calc!$F$151:$P$166,2,0),0)</f>
        <v>0</v>
      </c>
      <c r="BG23" s="1070">
        <f>IFERROR(HLOOKUP($PT23,Calc!$F$151:$P$166,3,0),0)</f>
        <v>0</v>
      </c>
      <c r="BH23" s="1070">
        <f>IFERROR(HLOOKUP($PT23,Calc!$F$151:$P$166,4,0),0)</f>
        <v>0</v>
      </c>
      <c r="BI23" s="1070">
        <f>IFERROR(HLOOKUP($PT23,Calc!$F$151:$P$166,5,0),0)</f>
        <v>0</v>
      </c>
      <c r="BJ23" s="1070">
        <f>IFERROR(HLOOKUP($PT23,Calc!$F$151:$P$166,6,0),0)</f>
        <v>0</v>
      </c>
      <c r="BK23" s="1070">
        <f>IFERROR(HLOOKUP($PT23,Calc!$F$151:$P$166,7,0),0)</f>
        <v>0</v>
      </c>
      <c r="BL23" s="1070">
        <f>IFERROR(HLOOKUP($PT23,Calc!$F$151:$P$166,8,0),0)</f>
        <v>0</v>
      </c>
      <c r="BM23" s="1070">
        <f>IFERROR(HLOOKUP($PT23,Calc!$F$151:$P$166,9,0),0)</f>
        <v>0</v>
      </c>
      <c r="BN23" s="1070">
        <f>IFERROR(HLOOKUP($PT23,Calc!$F$151:$P$166,10,0),0)</f>
        <v>0</v>
      </c>
      <c r="BO23" s="1070">
        <f>IFERROR(HLOOKUP($PT23,Calc!$F$151:$P$166,11,0),0)</f>
        <v>0</v>
      </c>
      <c r="BP23" s="1070">
        <f>IFERROR(HLOOKUP($PT23,Calc!$F$151:$P$166,12,0),0)</f>
        <v>0</v>
      </c>
      <c r="BQ23" s="1070">
        <f>IFERROR(HLOOKUP($PT23,Calc!$F$151:$P$166,13,0),0)</f>
        <v>0</v>
      </c>
      <c r="BR23" s="1070">
        <f>IFERROR(HLOOKUP($PT23,Calc!$F$151:$P$166,14,0),0)</f>
        <v>0</v>
      </c>
      <c r="BS23" s="1070">
        <f>IFERROR(HLOOKUP($PT23,Calc!$F$151:$P$166,15,0),0)</f>
        <v>0</v>
      </c>
      <c r="BT23" s="1070">
        <f>IFERROR(HLOOKUP($PT23,Calc!$F$151:$P$166,16,0),0)</f>
        <v>0</v>
      </c>
      <c r="BU23" s="1070">
        <f>IFERROR(VLOOKUP($PS23,Calc!$AF$196:$AH$203,2,0),0)</f>
        <v>0</v>
      </c>
      <c r="BV23" s="1070">
        <f>IFERROR(VLOOKUP($PS23,Calc!$AF$196:$AH$203,3,0),0)</f>
        <v>0</v>
      </c>
      <c r="BW23" s="1070">
        <f>IFERROR(VLOOKUP($PS23,Calc!$AF$196:$AI$203,4,0),0)</f>
        <v>0</v>
      </c>
      <c r="BX23" s="1070">
        <f>IFERROR(VLOOKUP($PS23,Calc!$AF$208:$AI$209,2,0),0)</f>
        <v>0</v>
      </c>
      <c r="BY23" s="1070">
        <f>IFERROR(VLOOKUP($PS23,Calc!$AF$208:$AI$209,3,0),0)</f>
        <v>0</v>
      </c>
      <c r="BZ23" s="1070">
        <f>IFERROR(VLOOKUP($PS23,Calc!$AF$208:$AI$209,4,0),0)</f>
        <v>0</v>
      </c>
      <c r="CA23" s="1070">
        <f>IFERROR(VLOOKUP($PS23,Calc!$K$420:$P$433,3,0),0)</f>
        <v>0</v>
      </c>
      <c r="CB23" s="1070">
        <f>IFERROR(VLOOKUP($PS23,Calc!$K$420:$P$433,4,0),0)</f>
        <v>0</v>
      </c>
      <c r="CC23" s="1070">
        <f>IFERROR(VLOOKUP($PS23,Calc!$K$420:$P$433,5,0),0)</f>
        <v>0</v>
      </c>
      <c r="CD23" s="1070">
        <f>IFERROR(VLOOKUP($PS23,Calc!$K$420:$P$433,6,0),0)</f>
        <v>0</v>
      </c>
      <c r="CE23" s="1070">
        <f>IFERROR(VLOOKUP($PS23,Calc!$AQ$420:$AV$433,3,0),0)</f>
        <v>0</v>
      </c>
      <c r="CF23" s="1070">
        <f>IFERROR(VLOOKUP($PS23,Calc!$AQ$420:$AV$433,4,0),0)</f>
        <v>0</v>
      </c>
      <c r="CG23" s="1070">
        <f>IFERROR(VLOOKUP($PS23,Calc!$AQ$420:$AV$433,5,0),0)</f>
        <v>0</v>
      </c>
      <c r="CH23" s="1070">
        <f>IFERROR(VLOOKUP($PS23,Calc!$AQ$420:$AV$433,6,0),0)</f>
        <v>0</v>
      </c>
      <c r="CI23" s="1070">
        <f>IFERROR(HLOOKUP($PT23,Calc!$AQ$125:$BS$146,3,0),0)</f>
        <v>0</v>
      </c>
      <c r="CJ23" s="1070">
        <f>IFERROR(HLOOKUP($PT23,Calc!$AQ$125:$BS$146,6,0),0)</f>
        <v>0</v>
      </c>
      <c r="CK23" s="1070">
        <f>IFERROR(IF(Calc!$C$129="Dollar ($)",HLOOKUP($PT23,Calc!$AQ$125:$BS$146,5,0),0),0)</f>
        <v>0</v>
      </c>
      <c r="CL23" s="1070">
        <f>IFERROR(IF(Calc!$C$129="Volume (units)",HLOOKUP($PT23,Calc!$AQ$125:$BS$146,5,0),0),0)</f>
        <v>0</v>
      </c>
      <c r="CM23" s="1070">
        <f>IFERROR(HLOOKUP($PT23,Calc!$AQ$125:$BS$146,9,0),0)</f>
        <v>0</v>
      </c>
      <c r="CN23" s="1070">
        <f>IFERROR(HLOOKUP($PT23,Calc!$AQ$125:$BS$146,10,0),0)</f>
        <v>0</v>
      </c>
      <c r="CO23" s="1070">
        <f>IFERROR(HLOOKUP($PT23,Calc!$AQ$125:$BS$146,11,0),0)</f>
        <v>0</v>
      </c>
      <c r="CP23" s="1070">
        <f>IFERROR(HLOOKUP($PT23,Calc!$AQ$125:$BS$146,12,0),0)</f>
        <v>0</v>
      </c>
      <c r="CQ23" s="1070">
        <f>IFERROR(HLOOKUP($PT23,Calc!$AQ$125:$BS$146,13,0),0)</f>
        <v>0</v>
      </c>
      <c r="CR23" s="1070">
        <f>IFERROR(HLOOKUP($PT23,Calc!$AQ$125:$BS$146,17,0),0)</f>
        <v>0</v>
      </c>
      <c r="CS23" s="1070">
        <f>IFERROR(HLOOKUP($PT23,Calc!$AQ$125:$BS$146,19,0),0)</f>
        <v>0</v>
      </c>
      <c r="CT23" s="1070">
        <f>IFERROR(HLOOKUP($PT23,Calc!$AQ$125:$BS$146,20,0),0)</f>
        <v>0</v>
      </c>
      <c r="CU23" s="1070">
        <f>IFERROR(HLOOKUP($PT23,Calc!$AQ$125:$BS$146,21,0),0)</f>
        <v>0</v>
      </c>
      <c r="CV23" s="1070">
        <f>IFERROR(HLOOKUP($PT23,Calc!$AQ$125:$BS$147,23,0),0)</f>
        <v>0</v>
      </c>
      <c r="CW23" s="1070">
        <f>IFERROR(HLOOKUP($PT23,Calc!$AQ$9:$BS$15,5,0),0)+IFERROR(HLOOKUP($PT23,Calc!$AQ$30:$BS$36,5,0),0)+IFERROR(HLOOKUP($PT23,Calc!$AQ$51:$BS$57,5,0),0)+IFERROR(HLOOKUP($PT23,Calc!$AQ$72:$BS$78,5,0),0)+IFERROR(HLOOKUP($PT23,Calc!$AQ$93:$BS$99,5,0),0)</f>
        <v>0</v>
      </c>
      <c r="CX23" s="1070">
        <f>IFERROR(HLOOKUP($PT23,Calc!$AQ$9:$BS$15,6,0),0)+IFERROR(HLOOKUP($PT23,Calc!$AQ$30:$BS$36,6,0),0)+IFERROR(HLOOKUP($PT23,Calc!$AQ$51:$BS$57,6,0),0)+IFERROR(HLOOKUP($PT23,Calc!$AQ$72:$BS$78,6,0),0)+IFERROR(HLOOKUP($PT23,Calc!$AQ$93:$BS$99,6,0),0)</f>
        <v>0</v>
      </c>
      <c r="CY23" s="1070">
        <f>IFERROR(HLOOKUP($PT23,Calc!$AQ$9:$BS$15,7,0),0)+IFERROR(HLOOKUP($PT23,Calc!$AQ$30:$BS$36,7,0),0)+IFERROR(HLOOKUP($PT23,Calc!$AQ$51:$BS$57,7,0),0)+IFERROR(HLOOKUP($PT23,Calc!$AQ$72:$BS$78,7,0),0)+IFERROR(HLOOKUP($PT23,Calc!$AQ$93:$BS$99,7,0),0)</f>
        <v>0</v>
      </c>
      <c r="IY23" s="1070">
        <f>IFERROR(HLOOKUP($PT23,Current_Prior!$AQ$9:$BS$30,3,0),0)</f>
        <v>0</v>
      </c>
      <c r="IZ23" s="1070">
        <f>IFERROR(HLOOKUP($PT23,Current_Prior!$AQ$9:$BS$30,6,0),0)</f>
        <v>0</v>
      </c>
      <c r="JA23" s="1070">
        <f>IFERROR(IF(Calc!$C$129="Dollar ($)",HLOOKUP($PT23,Current_Prior!$AQ$9:$BS$30,5,0),0),0)</f>
        <v>0</v>
      </c>
      <c r="JB23" s="1070">
        <f>IFERROR(IF(Calc!$C$129="Volume (units)",HLOOKUP($PT23,Current_Prior!$AQ$9:$BS$30,5,0),0),0)</f>
        <v>0</v>
      </c>
      <c r="JC23" s="1070">
        <f>IFERROR(HLOOKUP($PT23,Current_Prior!$AQ$9:$BS$30,9,0),0)</f>
        <v>0</v>
      </c>
      <c r="JD23" s="1070">
        <f>IFERROR(HLOOKUP($PT23,Current_Prior!$AQ$9:$BS$30,10,0),0)</f>
        <v>0</v>
      </c>
      <c r="JE23" s="1070">
        <f>IFERROR(HLOOKUP($PT23,Current_Prior!$AQ$9:$BS$30,11,0),0)</f>
        <v>0</v>
      </c>
      <c r="JF23" s="1070">
        <f>IFERROR(HLOOKUP($PT23,Current_Prior!$AQ$9:$BS$30,12,0),0)</f>
        <v>0</v>
      </c>
      <c r="JG23" s="1070">
        <f>IFERROR(HLOOKUP($PT23,Current_Prior!$AQ$9:$BS$30,13,0),0)</f>
        <v>0</v>
      </c>
      <c r="JH23" s="1070">
        <f>IFERROR(HLOOKUP($PT23,Current_Prior!$AQ$9:$BS$30,17,0),0)</f>
        <v>0</v>
      </c>
      <c r="JI23" s="1070">
        <f>IFERROR(HLOOKUP($PT23,Current_Prior!$AQ$9:$BS$30,19,0),0)</f>
        <v>0</v>
      </c>
      <c r="JJ23" s="1070">
        <f>IFERROR(HLOOKUP($PT23,Current_Prior!$AQ$9:$BS$30,20,0),0)</f>
        <v>0</v>
      </c>
      <c r="JK23" s="1070">
        <f>IFERROR(HLOOKUP($PT23,Current_Prior!$AQ$9:$BS$30,21,0),0)</f>
        <v>0</v>
      </c>
      <c r="JL23" s="1070">
        <f>IFERROR(HLOOKUP($PT23,Current_Prior!$AQ$9:$BS$31,23,0),0)</f>
        <v>0</v>
      </c>
      <c r="ML23" s="1082">
        <f>IFERROR(HLOOKUP($PT23,HistInfo!$G$15:$AI$37,3,0),0)</f>
        <v>0</v>
      </c>
      <c r="MM23" s="1082">
        <f>IFERROR(HLOOKUP($PT23,HistInfo!$G$15:$AI$37,6,0),0)</f>
        <v>0</v>
      </c>
      <c r="MN23" s="1070">
        <f>IFERROR(IF(HistInfo!$C$19="Dollar ($)",HLOOKUP($PT23,HistInfo!$G$15:$AI$37,5,0),0),0)</f>
        <v>0</v>
      </c>
      <c r="MO23" s="1070">
        <f>IFERROR(IF(HistInfo!$C$19="Volume (units)",HLOOKUP($PT23,HistInfo!$G$15:$AI$37,5,0),0),0)</f>
        <v>0</v>
      </c>
      <c r="MP23" s="1082">
        <f>IFERROR(HLOOKUP($PT23,HistInfo!$G$15:$AI$37,9,0),0)</f>
        <v>0</v>
      </c>
      <c r="MQ23" s="1082">
        <f>IFERROR(HLOOKUP($PT23,HistInfo!$G$15:$AI$37,10,0),0)</f>
        <v>0</v>
      </c>
      <c r="MR23" s="1082">
        <f>IFERROR(HLOOKUP($PT23,HistInfo!$G$15:$AI$37,11,0),0)</f>
        <v>0</v>
      </c>
      <c r="MS23" s="1082">
        <f>IFERROR(HLOOKUP($PT23,HistInfo!$G$15:$AI$37,12,0),0)</f>
        <v>0</v>
      </c>
      <c r="MT23" s="1082">
        <f>IFERROR(HLOOKUP($PT23,HistInfo!$G$15:$AI$37,13,0),0)</f>
        <v>0</v>
      </c>
      <c r="MU23" s="1082">
        <f>IFERROR(HLOOKUP($PT23,HistInfo!$G$15:$AI$37,17,0),0)</f>
        <v>0</v>
      </c>
      <c r="MV23" s="1082">
        <f>IFERROR(HLOOKUP($PT23,HistInfo!$G$15:$AI$37,19,0),0)</f>
        <v>0</v>
      </c>
      <c r="MW23" s="1082">
        <f>IFERROR(HLOOKUP($PT23,HistInfo!$G$15:$AI$37,20,0),0)</f>
        <v>0</v>
      </c>
      <c r="MX23" s="1082">
        <f>IFERROR(HLOOKUP($PT23,HistInfo!$G$15:$AI$37,21,0),0)</f>
        <v>0</v>
      </c>
      <c r="MY23" s="1082">
        <f>IFERROR(HLOOKUP($PT23,HistInfo!$G$15:$AI$37,23,0),0)</f>
        <v>0</v>
      </c>
      <c r="PS23" s="1070">
        <v>33</v>
      </c>
      <c r="PT23" s="1082" t="str">
        <f t="shared" si="1"/>
        <v>FY33</v>
      </c>
      <c r="PU23" s="1070" t="str">
        <f t="shared" si="2"/>
        <v>2033</v>
      </c>
    </row>
    <row r="24" spans="1:437" x14ac:dyDescent="0.3">
      <c r="A24" s="1070" t="str">
        <f t="shared" si="8"/>
        <v>Life Sciences</v>
      </c>
      <c r="B24" s="1070" t="str">
        <f t="shared" si="8"/>
        <v>BDB</v>
      </c>
      <c r="C24" s="1070">
        <f t="shared" si="8"/>
        <v>0</v>
      </c>
      <c r="D24" s="1070">
        <f t="shared" si="8"/>
        <v>0</v>
      </c>
      <c r="E24" s="1070">
        <v>0</v>
      </c>
      <c r="F24" s="1070">
        <v>0</v>
      </c>
      <c r="G24" s="1070">
        <f t="shared" si="7"/>
        <v>0</v>
      </c>
      <c r="H24" s="1070">
        <f t="shared" si="7"/>
        <v>0</v>
      </c>
      <c r="I24" s="1070">
        <f t="shared" si="7"/>
        <v>0</v>
      </c>
      <c r="J24" s="1070" t="str">
        <f t="shared" si="7"/>
        <v>Budget</v>
      </c>
      <c r="K24" s="1070" t="str">
        <f t="shared" si="0"/>
        <v>2034</v>
      </c>
      <c r="L24" s="1070">
        <f>IF(PPT!$D$2="$ M",IFERROR(HLOOKUP($PT24,PPT!$E$117:$BJ$119,3,0),0)*1000,IFERROR(HLOOKUP($PT24,PPT!$E$117:$BJ$119,3,0),0))</f>
        <v>308703.14307628642</v>
      </c>
      <c r="M24" s="1070">
        <f>IF(PPT!$D$2="$ M",IFERROR(HLOOKUP($PT24,PPT!$E$133:$BJ$159,4,0),0)*1000,IFERROR(HLOOKUP($PT24,PPT!$E$133:$BJ$159,4,0),0))</f>
        <v>0</v>
      </c>
      <c r="N24" s="1070">
        <f>IF(PPT!$D$2="$ M",IFERROR(HLOOKUP($PT24,PPT!$E$133:$BJ$159,5,0),0)*1000,IFERROR(HLOOKUP($PT24,PPT!$E$133:$BJ$159,5,0),0))</f>
        <v>0</v>
      </c>
      <c r="O24" s="1070">
        <f>IF(PPT!$D$2="$ M",IFERROR(HLOOKUP($PT24,PPT!$E$133:$BJ$159,6,0),0)*1000,IFERROR(HLOOKUP($PT24,PPT!$E$133:$BJ$159,6,0),0))</f>
        <v>0</v>
      </c>
      <c r="P24" s="1070">
        <f>IF(PPT!$D$2="$ M",IFERROR(HLOOKUP($PT24,PPT!$E$133:$BJ$159,7,0),0)*1000,IFERROR(HLOOKUP($PT24,PPT!$E$133:$BJ$159,7,0),0))</f>
        <v>0</v>
      </c>
      <c r="Q24" s="1070">
        <f>IFERROR(HLOOKUP($PT24,Calc!$G$125:$AI$146,3,0),0)</f>
        <v>308703.14307628642</v>
      </c>
      <c r="R24" s="1070">
        <f>IF(PPT!$D$2="$ M",IFERROR(HLOOKUP($PT24,PPT!$E$133:$BJ$159,9,0),0),IFERROR(HLOOKUP($PT24,PPT!$E$133:$BJ$159,9,0),0))</f>
        <v>0.14958242861038459</v>
      </c>
      <c r="S24" s="1070" t="str">
        <f>IF(PPT!$D$2="$ M",IFERROR(HLOOKUP($PT24,PPT!$E$133:$BJ$159,10,0),0),IFERROR(HLOOKUP($PT24,PPT!$E$133:$BJ$159,10,0),0))</f>
        <v/>
      </c>
      <c r="T24" s="1070">
        <f>IFERROR(IF(Calc!$C$129="Dollar ($)",HLOOKUP($PT24,Calc!$G$125:$AI$146,5,0),0),0)</f>
        <v>0</v>
      </c>
      <c r="U24" s="1070">
        <f>IFERROR(IF(Calc!$C$129="Volume (units)",HLOOKUP($PT24,Calc!$G$125:$AI$146,5,0),0),0)</f>
        <v>0</v>
      </c>
      <c r="V24" s="1070">
        <f>IFERROR(HLOOKUP($PT24,Calc!$G$125:$AI$146,6,0),0)</f>
        <v>308703.14307628642</v>
      </c>
      <c r="W24" s="1070">
        <f>IFERROR(HLOOKUP($PT24,Calc!$G$125:$AI$146,7,0),0)</f>
        <v>99177.233202950083</v>
      </c>
      <c r="X24" s="1070">
        <f>IFERROR(HLOOKUP($PT24,Calc!$G$125:$AI$146,8,0),0)</f>
        <v>0</v>
      </c>
      <c r="Y24" s="1070">
        <f>IFERROR(HLOOKUP($PT24,Calc!$G$125:$AI$146,9,0),0)</f>
        <v>209525.90987333632</v>
      </c>
      <c r="Z24" s="1070">
        <f>IFERROR(HLOOKUP($PT24,Calc!$G$125:$AI$146,10,0),0)</f>
        <v>0.67872943496904559</v>
      </c>
      <c r="AA24" s="1070">
        <f>IFERROR(HLOOKUP($PT24,Calc!$G$125:$AI$146,11,0),0)</f>
        <v>6556.6565753731547</v>
      </c>
      <c r="AB24" s="1070">
        <f>IFERROR(HLOOKUP($PT24,Calc!$G$125:$AI$146,12,0),0)</f>
        <v>0</v>
      </c>
      <c r="AC24" s="1070">
        <f>IFERROR(HLOOKUP($PT24,Calc!$G$125:$AI$146,13,0),0)</f>
        <v>202969.25329796318</v>
      </c>
      <c r="AD24" s="1070">
        <f>IFERROR(HLOOKUP($PT24,Calc!$G$125:$AI$146,14,0),0)</f>
        <v>0.65749007695657191</v>
      </c>
      <c r="AE24" s="1070">
        <f>IFERROR(HLOOKUP($PT24,Calc!$G$125:$AI$146,15,0),0)</f>
        <v>933.33333333333337</v>
      </c>
      <c r="AF24" s="1070">
        <f>IFERROR(HLOOKUP($PT24,Calc!$G$125:$AI$146,16,0),0)</f>
        <v>56570.057590096359</v>
      </c>
      <c r="AG24" s="1070">
        <f>IFERROR(HLOOKUP($PT24,Calc!$G$125:$AI$146,17,0),0)</f>
        <v>145465.86237453349</v>
      </c>
      <c r="AH24" s="1070">
        <f>IFERROR(HLOOKUP($PT24,Calc!$G$125:$AI$146,18,0),0)</f>
        <v>0.47121600682434939</v>
      </c>
      <c r="AI24" s="1070">
        <f>IFERROR(HLOOKUP($PT24,Calc!$G$125:$AI$146,19,0),0)</f>
        <v>-933.33333333333337</v>
      </c>
      <c r="AJ24" s="1070">
        <f>IFERROR(HLOOKUP($PT24,Calc!$G$125:$AI$146,20,0),0)</f>
        <v>7777.6097665450779</v>
      </c>
      <c r="AK24" s="1070">
        <f>IFERROR(HLOOKUP($PT24,Calc!$G$125:$AI$146,21,0),0)</f>
        <v>138621.58594132177</v>
      </c>
      <c r="AL24" s="1070">
        <f>IFERROR(HLOOKUP($PT24,Calc!$G$125:$AI$146,22,0),0)</f>
        <v>0.44904494512083976</v>
      </c>
      <c r="AM24" s="1070">
        <f>IFERROR(HLOOKUP($PT24,Calc!$G$125:$AI$147,23,0),0)</f>
        <v>14813.763863135699</v>
      </c>
      <c r="AN24" s="1070">
        <f>IF(PPT!$D$2="$ M",IFERROR(HLOOKUP($PT24,PPT!$E$131:$BJ$159,5,0),0)*1000,IFERROR(HLOOKUP($PT24,PPT!$E$131:$BJ$159,5,0),0))</f>
        <v>0</v>
      </c>
      <c r="AO24" s="1070">
        <f>IF(PPT!$D$2="$ M",IFERROR(HLOOKUP($PT24,PPT!$E$131:$BJ$159,6,0),0)*1000,IFERROR(HLOOKUP($PT24,PPT!$E$131:$BJ$159,6,0),0))</f>
        <v>0</v>
      </c>
      <c r="AP24" s="1070">
        <f>IF(PPT!$D$2="$ M",IFERROR(HLOOKUP($PT24,PPT!$E$131:$BJ$159,7,0),0)*1000,IFERROR(HLOOKUP($PT24,PPT!$E$131:$BJ$159,7,0),0))</f>
        <v>0</v>
      </c>
      <c r="AQ24" s="1070">
        <f>IF(PPT!$D$2="$ M",IFERROR(HLOOKUP($PT24,PPT!$E$131:$BJ$159,8,0),0)*1000,IFERROR(HLOOKUP($PT24,PPT!$E$131:$BJ$159,8,0),0))</f>
        <v>0</v>
      </c>
      <c r="AR24" s="1070">
        <f>IF(PPT!$D$2="$ M",IFERROR(HLOOKUP($PT24,PPT!$E$131:$BJ$159,9,0),0)*1000,IFERROR(HLOOKUP($PT24,PPT!$E$131:$BJ$159,9,0),0))</f>
        <v>0</v>
      </c>
      <c r="AS24" s="1070">
        <f>IF(PPT!$D$2="$ M",IFERROR(HLOOKUP($PT24,PPT!$E$131:$BJ$159,10,0),0)*1000,IFERROR(HLOOKUP($PT24,PPT!$E$131:$BJ$159,10,0),0))</f>
        <v>0</v>
      </c>
      <c r="AT24" s="1070">
        <f>IF(PPT!$D$2="$ M",IFERROR(HLOOKUP($PT24,PPT!$E$131:$BJ$159,13,0),0)*1000,IFERROR(HLOOKUP($PT24,PPT!$E$131:$BJ$159,13,0),0))</f>
        <v>0</v>
      </c>
      <c r="AU24" s="1070">
        <f>IF(PPT!$D$2="$ M",IFERROR(HLOOKUP($PT24,PPT!$E$131:$BJ$159,14,0),0)*1000,IFERROR(HLOOKUP($PT24,PPT!$E$131:$BJ$159,14,0),0))</f>
        <v>0</v>
      </c>
      <c r="AV24" s="1070">
        <f>IF(PPT!$D$2="$ M",IFERROR(HLOOKUP($PT24,PPT!$E$131:$BJ$159,15,0),0)*1000,IFERROR(HLOOKUP($PT24,PPT!$E$131:$BJ$159,15,0),0))</f>
        <v>0</v>
      </c>
      <c r="AW24" s="1070">
        <f>IF(PPT!$D$2="$ M",IFERROR(HLOOKUP($PT24,PPT!$E$131:$BJ$159,17,0),0)*1000,IFERROR(HLOOKUP($PT24,PPT!$E$131:$BJ$159,17,0),0))</f>
        <v>0</v>
      </c>
      <c r="AX24" s="1070">
        <f>IF(PPT!$D$2="$ M",IFERROR(HLOOKUP($PT24,PPT!$E$131:$BJ$159,18,0),0)*1000,IFERROR(HLOOKUP($PT24,PPT!$E$131:$BJ$159,18,0),0))</f>
        <v>0</v>
      </c>
      <c r="AY24" s="1070">
        <f>IF(PPT!$D$2="$ M",IFERROR(HLOOKUP($PT24,PPT!$E$131:$BJ$159,19,0),0)*1000,IFERROR(HLOOKUP($PT24,PPT!$E$131:$BJ$159,19,0),0))</f>
        <v>0</v>
      </c>
      <c r="AZ24" s="1070">
        <f>IF(PPT!$D$2="$ M",IFERROR(HLOOKUP($PT24,PPT!$E$131:$BJ$159,21,0),0)*1000,IFERROR(HLOOKUP($PT24,PPT!$E$131:$BJ$159,21,0),0))</f>
        <v>0</v>
      </c>
      <c r="BA24" s="1070">
        <f>IF(PPT!$D$2="$ M",IFERROR(HLOOKUP($PT24,PPT!$E$131:$BJ$159,22,0),0)*1000,IFERROR(HLOOKUP($PT24,PPT!$E$131:$BJ$159,22,0),0))</f>
        <v>0</v>
      </c>
      <c r="BB24" s="1070">
        <f>IF(PPT!$D$2="$ M",IFERROR(HLOOKUP($PT24,PPT!$E$131:$BJ$159,23,0),0)*1000,IFERROR(HLOOKUP($PT24,PPT!$E$131:$BJ$159,23,0),0))</f>
        <v>0</v>
      </c>
      <c r="BC24" s="1070">
        <f>IF(PPT!$D$2="$ M",IFERROR(HLOOKUP($PT24,PPT!$E$131:$BJ$159,25,0),0)*1000,IFERROR(HLOOKUP($PT24,PPT!$E$131:$BJ$159,25,0),0))</f>
        <v>0</v>
      </c>
      <c r="BD24" s="1070">
        <f>IF(PPT!$D$2="$ M",IFERROR(HLOOKUP($PT24,PPT!$E$131:$BJ$159,26,0),0)*1000,IFERROR(HLOOKUP($PT24,PPT!$E$131:$BJ$159,26,0),0))</f>
        <v>0</v>
      </c>
      <c r="BE24" s="1070">
        <f>IF(PPT!$D$2="$ M",IFERROR(HLOOKUP($PT24,PPT!$E$131:$BJ$159,27,0),0)*1000,IFERROR(HLOOKUP($PT24,PPT!$E$131:$BJ$159,27,0),0))</f>
        <v>0</v>
      </c>
      <c r="BF24" s="1070">
        <f>IFERROR(HLOOKUP($PT24,Calc!$F$151:$P$166,2,0),0)</f>
        <v>0</v>
      </c>
      <c r="BG24" s="1070">
        <f>IFERROR(HLOOKUP($PT24,Calc!$F$151:$P$166,3,0),0)</f>
        <v>0</v>
      </c>
      <c r="BH24" s="1070">
        <f>IFERROR(HLOOKUP($PT24,Calc!$F$151:$P$166,4,0),0)</f>
        <v>0</v>
      </c>
      <c r="BI24" s="1070">
        <f>IFERROR(HLOOKUP($PT24,Calc!$F$151:$P$166,5,0),0)</f>
        <v>0</v>
      </c>
      <c r="BJ24" s="1070">
        <f>IFERROR(HLOOKUP($PT24,Calc!$F$151:$P$166,6,0),0)</f>
        <v>0</v>
      </c>
      <c r="BK24" s="1070">
        <f>IFERROR(HLOOKUP($PT24,Calc!$F$151:$P$166,7,0),0)</f>
        <v>0</v>
      </c>
      <c r="BL24" s="1070">
        <f>IFERROR(HLOOKUP($PT24,Calc!$F$151:$P$166,8,0),0)</f>
        <v>0</v>
      </c>
      <c r="BM24" s="1070">
        <f>IFERROR(HLOOKUP($PT24,Calc!$F$151:$P$166,9,0),0)</f>
        <v>0</v>
      </c>
      <c r="BN24" s="1070">
        <f>IFERROR(HLOOKUP($PT24,Calc!$F$151:$P$166,10,0),0)</f>
        <v>0</v>
      </c>
      <c r="BO24" s="1070">
        <f>IFERROR(HLOOKUP($PT24,Calc!$F$151:$P$166,11,0),0)</f>
        <v>0</v>
      </c>
      <c r="BP24" s="1070">
        <f>IFERROR(HLOOKUP($PT24,Calc!$F$151:$P$166,12,0),0)</f>
        <v>0</v>
      </c>
      <c r="BQ24" s="1070">
        <f>IFERROR(HLOOKUP($PT24,Calc!$F$151:$P$166,13,0),0)</f>
        <v>0</v>
      </c>
      <c r="BR24" s="1070">
        <f>IFERROR(HLOOKUP($PT24,Calc!$F$151:$P$166,14,0),0)</f>
        <v>0</v>
      </c>
      <c r="BS24" s="1070">
        <f>IFERROR(HLOOKUP($PT24,Calc!$F$151:$P$166,15,0),0)</f>
        <v>0</v>
      </c>
      <c r="BT24" s="1070">
        <f>IFERROR(HLOOKUP($PT24,Calc!$F$151:$P$166,16,0),0)</f>
        <v>0</v>
      </c>
      <c r="BU24" s="1070">
        <f>IFERROR(VLOOKUP($PS24,Calc!$AF$196:$AH$203,2,0),0)</f>
        <v>0</v>
      </c>
      <c r="BV24" s="1070">
        <f>IFERROR(VLOOKUP($PS24,Calc!$AF$196:$AH$203,3,0),0)</f>
        <v>0</v>
      </c>
      <c r="BW24" s="1070">
        <f>IFERROR(VLOOKUP($PS24,Calc!$AF$196:$AI$203,4,0),0)</f>
        <v>0</v>
      </c>
      <c r="BX24" s="1070">
        <f>IFERROR(VLOOKUP($PS24,Calc!$AF$208:$AI$209,2,0),0)</f>
        <v>0</v>
      </c>
      <c r="BY24" s="1070">
        <f>IFERROR(VLOOKUP($PS24,Calc!$AF$208:$AI$209,3,0),0)</f>
        <v>0</v>
      </c>
      <c r="BZ24" s="1070">
        <f>IFERROR(VLOOKUP($PS24,Calc!$AF$208:$AI$209,4,0),0)</f>
        <v>0</v>
      </c>
      <c r="CA24" s="1070">
        <f>IFERROR(VLOOKUP($PS24,Calc!$K$420:$P$433,3,0),0)</f>
        <v>0</v>
      </c>
      <c r="CB24" s="1070">
        <f>IFERROR(VLOOKUP($PS24,Calc!$K$420:$P$433,4,0),0)</f>
        <v>0</v>
      </c>
      <c r="CC24" s="1070">
        <f>IFERROR(VLOOKUP($PS24,Calc!$K$420:$P$433,5,0),0)</f>
        <v>0</v>
      </c>
      <c r="CD24" s="1070">
        <f>IFERROR(VLOOKUP($PS24,Calc!$K$420:$P$433,6,0),0)</f>
        <v>0</v>
      </c>
      <c r="CE24" s="1070">
        <f>IFERROR(VLOOKUP($PS24,Calc!$AQ$420:$AV$433,3,0),0)</f>
        <v>0</v>
      </c>
      <c r="CF24" s="1070">
        <f>IFERROR(VLOOKUP($PS24,Calc!$AQ$420:$AV$433,4,0),0)</f>
        <v>0</v>
      </c>
      <c r="CG24" s="1070">
        <f>IFERROR(VLOOKUP($PS24,Calc!$AQ$420:$AV$433,5,0),0)</f>
        <v>0</v>
      </c>
      <c r="CH24" s="1070">
        <f>IFERROR(VLOOKUP($PS24,Calc!$AQ$420:$AV$433,6,0),0)</f>
        <v>0</v>
      </c>
      <c r="CI24" s="1070">
        <f>IFERROR(HLOOKUP($PT24,Calc!$AQ$125:$BS$146,3,0),0)</f>
        <v>0</v>
      </c>
      <c r="CJ24" s="1070">
        <f>IFERROR(HLOOKUP($PT24,Calc!$AQ$125:$BS$146,6,0),0)</f>
        <v>0</v>
      </c>
      <c r="CK24" s="1070">
        <f>IFERROR(IF(Calc!$C$129="Dollar ($)",HLOOKUP($PT24,Calc!$AQ$125:$BS$146,5,0),0),0)</f>
        <v>0</v>
      </c>
      <c r="CL24" s="1070">
        <f>IFERROR(IF(Calc!$C$129="Volume (units)",HLOOKUP($PT24,Calc!$AQ$125:$BS$146,5,0),0),0)</f>
        <v>0</v>
      </c>
      <c r="CM24" s="1070">
        <f>IFERROR(HLOOKUP($PT24,Calc!$AQ$125:$BS$146,9,0),0)</f>
        <v>0</v>
      </c>
      <c r="CN24" s="1070">
        <f>IFERROR(HLOOKUP($PT24,Calc!$AQ$125:$BS$146,10,0),0)</f>
        <v>0</v>
      </c>
      <c r="CO24" s="1070">
        <f>IFERROR(HLOOKUP($PT24,Calc!$AQ$125:$BS$146,11,0),0)</f>
        <v>0</v>
      </c>
      <c r="CP24" s="1070">
        <f>IFERROR(HLOOKUP($PT24,Calc!$AQ$125:$BS$146,12,0),0)</f>
        <v>0</v>
      </c>
      <c r="CQ24" s="1070">
        <f>IFERROR(HLOOKUP($PT24,Calc!$AQ$125:$BS$146,13,0),0)</f>
        <v>0</v>
      </c>
      <c r="CR24" s="1070">
        <f>IFERROR(HLOOKUP($PT24,Calc!$AQ$125:$BS$146,17,0),0)</f>
        <v>0</v>
      </c>
      <c r="CS24" s="1070">
        <f>IFERROR(HLOOKUP($PT24,Calc!$AQ$125:$BS$146,19,0),0)</f>
        <v>0</v>
      </c>
      <c r="CT24" s="1070">
        <f>IFERROR(HLOOKUP($PT24,Calc!$AQ$125:$BS$146,20,0),0)</f>
        <v>0</v>
      </c>
      <c r="CU24" s="1070">
        <f>IFERROR(HLOOKUP($PT24,Calc!$AQ$125:$BS$146,21,0),0)</f>
        <v>0</v>
      </c>
      <c r="CV24" s="1070">
        <f>IFERROR(HLOOKUP($PT24,Calc!$AQ$125:$BS$147,23,0),0)</f>
        <v>0</v>
      </c>
      <c r="CW24" s="1070">
        <f>IFERROR(HLOOKUP($PT24,Calc!$AQ$9:$BS$15,5,0),0)+IFERROR(HLOOKUP($PT24,Calc!$AQ$30:$BS$36,5,0),0)+IFERROR(HLOOKUP($PT24,Calc!$AQ$51:$BS$57,5,0),0)+IFERROR(HLOOKUP($PT24,Calc!$AQ$72:$BS$78,5,0),0)+IFERROR(HLOOKUP($PT24,Calc!$AQ$93:$BS$99,5,0),0)</f>
        <v>0</v>
      </c>
      <c r="CX24" s="1070">
        <f>IFERROR(HLOOKUP($PT24,Calc!$AQ$9:$BS$15,6,0),0)+IFERROR(HLOOKUP($PT24,Calc!$AQ$30:$BS$36,6,0),0)+IFERROR(HLOOKUP($PT24,Calc!$AQ$51:$BS$57,6,0),0)+IFERROR(HLOOKUP($PT24,Calc!$AQ$72:$BS$78,6,0),0)+IFERROR(HLOOKUP($PT24,Calc!$AQ$93:$BS$99,6,0),0)</f>
        <v>0</v>
      </c>
      <c r="CY24" s="1070">
        <f>IFERROR(HLOOKUP($PT24,Calc!$AQ$9:$BS$15,7,0),0)+IFERROR(HLOOKUP($PT24,Calc!$AQ$30:$BS$36,7,0),0)+IFERROR(HLOOKUP($PT24,Calc!$AQ$51:$BS$57,7,0),0)+IFERROR(HLOOKUP($PT24,Calc!$AQ$72:$BS$78,7,0),0)+IFERROR(HLOOKUP($PT24,Calc!$AQ$93:$BS$99,7,0),0)</f>
        <v>0</v>
      </c>
      <c r="IY24" s="1070">
        <f>IFERROR(HLOOKUP($PT24,Current_Prior!$AQ$9:$BS$30,3,0),0)</f>
        <v>0</v>
      </c>
      <c r="IZ24" s="1070">
        <f>IFERROR(HLOOKUP($PT24,Current_Prior!$AQ$9:$BS$30,6,0),0)</f>
        <v>0</v>
      </c>
      <c r="JA24" s="1070">
        <f>IFERROR(IF(Calc!$C$129="Dollar ($)",HLOOKUP($PT24,Current_Prior!$AQ$9:$BS$30,5,0),0),0)</f>
        <v>0</v>
      </c>
      <c r="JB24" s="1070">
        <f>IFERROR(IF(Calc!$C$129="Volume (units)",HLOOKUP($PT24,Current_Prior!$AQ$9:$BS$30,5,0),0),0)</f>
        <v>0</v>
      </c>
      <c r="JC24" s="1070">
        <f>IFERROR(HLOOKUP($PT24,Current_Prior!$AQ$9:$BS$30,9,0),0)</f>
        <v>0</v>
      </c>
      <c r="JD24" s="1070">
        <f>IFERROR(HLOOKUP($PT24,Current_Prior!$AQ$9:$BS$30,10,0),0)</f>
        <v>0</v>
      </c>
      <c r="JE24" s="1070">
        <f>IFERROR(HLOOKUP($PT24,Current_Prior!$AQ$9:$BS$30,11,0),0)</f>
        <v>0</v>
      </c>
      <c r="JF24" s="1070">
        <f>IFERROR(HLOOKUP($PT24,Current_Prior!$AQ$9:$BS$30,12,0),0)</f>
        <v>0</v>
      </c>
      <c r="JG24" s="1070">
        <f>IFERROR(HLOOKUP($PT24,Current_Prior!$AQ$9:$BS$30,13,0),0)</f>
        <v>0</v>
      </c>
      <c r="JH24" s="1070">
        <f>IFERROR(HLOOKUP($PT24,Current_Prior!$AQ$9:$BS$30,17,0),0)</f>
        <v>0</v>
      </c>
      <c r="JI24" s="1070">
        <f>IFERROR(HLOOKUP($PT24,Current_Prior!$AQ$9:$BS$30,19,0),0)</f>
        <v>0</v>
      </c>
      <c r="JJ24" s="1070">
        <f>IFERROR(HLOOKUP($PT24,Current_Prior!$AQ$9:$BS$30,20,0),0)</f>
        <v>0</v>
      </c>
      <c r="JK24" s="1070">
        <f>IFERROR(HLOOKUP($PT24,Current_Prior!$AQ$9:$BS$30,21,0),0)</f>
        <v>0</v>
      </c>
      <c r="JL24" s="1070">
        <f>IFERROR(HLOOKUP($PT24,Current_Prior!$AQ$9:$BS$31,23,0),0)</f>
        <v>0</v>
      </c>
      <c r="ML24" s="1082">
        <f>IFERROR(HLOOKUP($PT24,HistInfo!$G$15:$AI$37,3,0),0)</f>
        <v>0</v>
      </c>
      <c r="MM24" s="1082">
        <f>IFERROR(HLOOKUP($PT24,HistInfo!$G$15:$AI$37,6,0),0)</f>
        <v>0</v>
      </c>
      <c r="MN24" s="1070">
        <f>IFERROR(IF(HistInfo!$C$19="Dollar ($)",HLOOKUP($PT24,HistInfo!$G$15:$AI$37,5,0),0),0)</f>
        <v>0</v>
      </c>
      <c r="MO24" s="1070">
        <f>IFERROR(IF(HistInfo!$C$19="Volume (units)",HLOOKUP($PT24,HistInfo!$G$15:$AI$37,5,0),0),0)</f>
        <v>0</v>
      </c>
      <c r="MP24" s="1082">
        <f>IFERROR(HLOOKUP($PT24,HistInfo!$G$15:$AI$37,9,0),0)</f>
        <v>0</v>
      </c>
      <c r="MQ24" s="1082">
        <f>IFERROR(HLOOKUP($PT24,HistInfo!$G$15:$AI$37,10,0),0)</f>
        <v>0</v>
      </c>
      <c r="MR24" s="1082">
        <f>IFERROR(HLOOKUP($PT24,HistInfo!$G$15:$AI$37,11,0),0)</f>
        <v>0</v>
      </c>
      <c r="MS24" s="1082">
        <f>IFERROR(HLOOKUP($PT24,HistInfo!$G$15:$AI$37,12,0),0)</f>
        <v>0</v>
      </c>
      <c r="MT24" s="1082">
        <f>IFERROR(HLOOKUP($PT24,HistInfo!$G$15:$AI$37,13,0),0)</f>
        <v>0</v>
      </c>
      <c r="MU24" s="1082">
        <f>IFERROR(HLOOKUP($PT24,HistInfo!$G$15:$AI$37,17,0),0)</f>
        <v>0</v>
      </c>
      <c r="MV24" s="1082">
        <f>IFERROR(HLOOKUP($PT24,HistInfo!$G$15:$AI$37,19,0),0)</f>
        <v>0</v>
      </c>
      <c r="MW24" s="1082">
        <f>IFERROR(HLOOKUP($PT24,HistInfo!$G$15:$AI$37,20,0),0)</f>
        <v>0</v>
      </c>
      <c r="MX24" s="1082">
        <f>IFERROR(HLOOKUP($PT24,HistInfo!$G$15:$AI$37,21,0),0)</f>
        <v>0</v>
      </c>
      <c r="MY24" s="1082">
        <f>IFERROR(HLOOKUP($PT24,HistInfo!$G$15:$AI$37,23,0),0)</f>
        <v>0</v>
      </c>
      <c r="PS24" s="1070">
        <v>34</v>
      </c>
      <c r="PT24" s="1082" t="str">
        <f t="shared" si="1"/>
        <v>FY34</v>
      </c>
      <c r="PU24" s="1070" t="str">
        <f t="shared" si="2"/>
        <v>2034</v>
      </c>
    </row>
    <row r="25" spans="1:437" x14ac:dyDescent="0.3">
      <c r="A25" s="1070" t="str">
        <f t="shared" si="8"/>
        <v>Life Sciences</v>
      </c>
      <c r="B25" s="1070" t="str">
        <f t="shared" si="8"/>
        <v>BDB</v>
      </c>
      <c r="C25" s="1070">
        <f t="shared" si="8"/>
        <v>0</v>
      </c>
      <c r="D25" s="1070">
        <f t="shared" si="8"/>
        <v>0</v>
      </c>
      <c r="E25" s="1070">
        <v>0</v>
      </c>
      <c r="F25" s="1070">
        <v>0</v>
      </c>
      <c r="G25" s="1070">
        <f t="shared" si="7"/>
        <v>0</v>
      </c>
      <c r="H25" s="1070">
        <f t="shared" si="7"/>
        <v>0</v>
      </c>
      <c r="I25" s="1070">
        <f t="shared" si="7"/>
        <v>0</v>
      </c>
      <c r="J25" s="1070" t="str">
        <f t="shared" si="7"/>
        <v>Budget</v>
      </c>
      <c r="K25" s="1070" t="str">
        <f t="shared" si="0"/>
        <v>2035</v>
      </c>
      <c r="L25" s="1070">
        <f>IF(PPT!$D$2="$ M",IFERROR(HLOOKUP($PT25,PPT!$E$117:$BJ$119,3,0),0)*1000,IFERROR(HLOOKUP($PT25,PPT!$E$117:$BJ$119,3,0),0))</f>
        <v>252787.09082071079</v>
      </c>
      <c r="M25" s="1070">
        <f>IF(PPT!$D$2="$ M",IFERROR(HLOOKUP($PT25,PPT!$E$133:$BJ$159,4,0),0)*1000,IFERROR(HLOOKUP($PT25,PPT!$E$133:$BJ$159,4,0),0))</f>
        <v>0</v>
      </c>
      <c r="N25" s="1070">
        <f>IF(PPT!$D$2="$ M",IFERROR(HLOOKUP($PT25,PPT!$E$133:$BJ$159,5,0),0)*1000,IFERROR(HLOOKUP($PT25,PPT!$E$133:$BJ$159,5,0),0))</f>
        <v>0</v>
      </c>
      <c r="O25" s="1070">
        <f>IF(PPT!$D$2="$ M",IFERROR(HLOOKUP($PT25,PPT!$E$133:$BJ$159,6,0),0)*1000,IFERROR(HLOOKUP($PT25,PPT!$E$133:$BJ$159,6,0),0))</f>
        <v>0</v>
      </c>
      <c r="P25" s="1070">
        <f>IF(PPT!$D$2="$ M",IFERROR(HLOOKUP($PT25,PPT!$E$133:$BJ$159,7,0),0)*1000,IFERROR(HLOOKUP($PT25,PPT!$E$133:$BJ$159,7,0),0))</f>
        <v>0</v>
      </c>
      <c r="Q25" s="1070">
        <f>IFERROR(HLOOKUP($PT25,Calc!$G$125:$AI$146,3,0),0)</f>
        <v>252787.09082071079</v>
      </c>
      <c r="R25" s="1070">
        <f>IF(PPT!$D$2="$ M",IFERROR(HLOOKUP($PT25,PPT!$E$133:$BJ$159,9,0),0),IFERROR(HLOOKUP($PT25,PPT!$E$133:$BJ$159,9,0),0))</f>
        <v>-0.18113211190000003</v>
      </c>
      <c r="S25" s="1070" t="str">
        <f>IF(PPT!$D$2="$ M",IFERROR(HLOOKUP($PT25,PPT!$E$133:$BJ$159,10,0),0),IFERROR(HLOOKUP($PT25,PPT!$E$133:$BJ$159,10,0),0))</f>
        <v/>
      </c>
      <c r="T25" s="1070">
        <f>IFERROR(IF(Calc!$C$129="Dollar ($)",HLOOKUP($PT25,Calc!$G$125:$AI$146,5,0),0),0)</f>
        <v>0</v>
      </c>
      <c r="U25" s="1070">
        <f>IFERROR(IF(Calc!$C$129="Volume (units)",HLOOKUP($PT25,Calc!$G$125:$AI$146,5,0),0),0)</f>
        <v>0</v>
      </c>
      <c r="V25" s="1070">
        <f>IFERROR(HLOOKUP($PT25,Calc!$G$125:$AI$146,6,0),0)</f>
        <v>252787.09082071079</v>
      </c>
      <c r="W25" s="1070">
        <f>IFERROR(HLOOKUP($PT25,Calc!$G$125:$AI$146,7,0),0)</f>
        <v>0</v>
      </c>
      <c r="X25" s="1070">
        <f>IFERROR(HLOOKUP($PT25,Calc!$G$125:$AI$146,8,0),0)</f>
        <v>0</v>
      </c>
      <c r="Y25" s="1070">
        <f>IFERROR(HLOOKUP($PT25,Calc!$G$125:$AI$146,9,0),0)</f>
        <v>252787.09082071079</v>
      </c>
      <c r="Z25" s="1070">
        <f>IFERROR(HLOOKUP($PT25,Calc!$G$125:$AI$146,10,0),0)</f>
        <v>1</v>
      </c>
      <c r="AA25" s="1070">
        <f>IFERROR(HLOOKUP($PT25,Calc!$G$125:$AI$146,11,0),0)</f>
        <v>0</v>
      </c>
      <c r="AB25" s="1070">
        <f>IFERROR(HLOOKUP($PT25,Calc!$G$125:$AI$146,12,0),0)</f>
        <v>0</v>
      </c>
      <c r="AC25" s="1070">
        <f>IFERROR(HLOOKUP($PT25,Calc!$G$125:$AI$146,13,0),0)</f>
        <v>252787.09082071079</v>
      </c>
      <c r="AD25" s="1070">
        <f>IFERROR(HLOOKUP($PT25,Calc!$G$125:$AI$146,14,0),0)</f>
        <v>1</v>
      </c>
      <c r="AE25" s="1070">
        <f>IFERROR(HLOOKUP($PT25,Calc!$G$125:$AI$146,15,0),0)</f>
        <v>933.33333333333337</v>
      </c>
      <c r="AF25" s="1070">
        <f>IFERROR(HLOOKUP($PT25,Calc!$G$125:$AI$146,16,0),0)</f>
        <v>70519.05209646569</v>
      </c>
      <c r="AG25" s="1070">
        <f>IFERROR(HLOOKUP($PT25,Calc!$G$125:$AI$146,17,0),0)</f>
        <v>181334.70539091175</v>
      </c>
      <c r="AH25" s="1070">
        <f>IFERROR(HLOOKUP($PT25,Calc!$G$125:$AI$146,18,0),0)</f>
        <v>0.71734163640311588</v>
      </c>
      <c r="AI25" s="1070">
        <f>IFERROR(HLOOKUP($PT25,Calc!$G$125:$AI$146,19,0),0)</f>
        <v>-933.33333333333337</v>
      </c>
      <c r="AJ25" s="1070">
        <f>IFERROR(HLOOKUP($PT25,Calc!$G$125:$AI$146,20,0),0)</f>
        <v>-20939.884356081711</v>
      </c>
      <c r="AK25" s="1070">
        <f>IFERROR(HLOOKUP($PT25,Calc!$G$125:$AI$146,21,0),0)</f>
        <v>203207.92308032681</v>
      </c>
      <c r="AL25" s="1070">
        <f>IFERROR(HLOOKUP($PT25,Calc!$G$125:$AI$146,22,0),0)</f>
        <v>0.80386985909993325</v>
      </c>
      <c r="AM25" s="1070">
        <f>IFERROR(HLOOKUP($PT25,Calc!$G$125:$AI$147,23,0),0)</f>
        <v>18883.276443555682</v>
      </c>
      <c r="AN25" s="1070">
        <f>IF(PPT!$D$2="$ M",IFERROR(HLOOKUP($PT25,PPT!$E$131:$BJ$159,5,0),0)*1000,IFERROR(HLOOKUP($PT25,PPT!$E$131:$BJ$159,5,0),0))</f>
        <v>0</v>
      </c>
      <c r="AO25" s="1070">
        <f>IF(PPT!$D$2="$ M",IFERROR(HLOOKUP($PT25,PPT!$E$131:$BJ$159,6,0),0)*1000,IFERROR(HLOOKUP($PT25,PPT!$E$131:$BJ$159,6,0),0))</f>
        <v>0</v>
      </c>
      <c r="AP25" s="1070">
        <f>IF(PPT!$D$2="$ M",IFERROR(HLOOKUP($PT25,PPT!$E$131:$BJ$159,7,0),0)*1000,IFERROR(HLOOKUP($PT25,PPT!$E$131:$BJ$159,7,0),0))</f>
        <v>0</v>
      </c>
      <c r="AQ25" s="1070">
        <f>IF(PPT!$D$2="$ M",IFERROR(HLOOKUP($PT25,PPT!$E$131:$BJ$159,8,0),0)*1000,IFERROR(HLOOKUP($PT25,PPT!$E$131:$BJ$159,8,0),0))</f>
        <v>0</v>
      </c>
      <c r="AR25" s="1070">
        <f>IF(PPT!$D$2="$ M",IFERROR(HLOOKUP($PT25,PPT!$E$131:$BJ$159,9,0),0)*1000,IFERROR(HLOOKUP($PT25,PPT!$E$131:$BJ$159,9,0),0))</f>
        <v>0</v>
      </c>
      <c r="AS25" s="1070">
        <f>IF(PPT!$D$2="$ M",IFERROR(HLOOKUP($PT25,PPT!$E$131:$BJ$159,10,0),0)*1000,IFERROR(HLOOKUP($PT25,PPT!$E$131:$BJ$159,10,0),0))</f>
        <v>0</v>
      </c>
      <c r="AT25" s="1070">
        <f>IF(PPT!$D$2="$ M",IFERROR(HLOOKUP($PT25,PPT!$E$131:$BJ$159,13,0),0)*1000,IFERROR(HLOOKUP($PT25,PPT!$E$131:$BJ$159,13,0),0))</f>
        <v>0</v>
      </c>
      <c r="AU25" s="1070">
        <f>IF(PPT!$D$2="$ M",IFERROR(HLOOKUP($PT25,PPT!$E$131:$BJ$159,14,0),0)*1000,IFERROR(HLOOKUP($PT25,PPT!$E$131:$BJ$159,14,0),0))</f>
        <v>0</v>
      </c>
      <c r="AV25" s="1070">
        <f>IF(PPT!$D$2="$ M",IFERROR(HLOOKUP($PT25,PPT!$E$131:$BJ$159,15,0),0)*1000,IFERROR(HLOOKUP($PT25,PPT!$E$131:$BJ$159,15,0),0))</f>
        <v>0</v>
      </c>
      <c r="AW25" s="1070">
        <f>IF(PPT!$D$2="$ M",IFERROR(HLOOKUP($PT25,PPT!$E$131:$BJ$159,17,0),0)*1000,IFERROR(HLOOKUP($PT25,PPT!$E$131:$BJ$159,17,0),0))</f>
        <v>0</v>
      </c>
      <c r="AX25" s="1070">
        <f>IF(PPT!$D$2="$ M",IFERROR(HLOOKUP($PT25,PPT!$E$131:$BJ$159,18,0),0)*1000,IFERROR(HLOOKUP($PT25,PPT!$E$131:$BJ$159,18,0),0))</f>
        <v>0</v>
      </c>
      <c r="AY25" s="1070">
        <f>IF(PPT!$D$2="$ M",IFERROR(HLOOKUP($PT25,PPT!$E$131:$BJ$159,19,0),0)*1000,IFERROR(HLOOKUP($PT25,PPT!$E$131:$BJ$159,19,0),0))</f>
        <v>0</v>
      </c>
      <c r="AZ25" s="1070">
        <f>IF(PPT!$D$2="$ M",IFERROR(HLOOKUP($PT25,PPT!$E$131:$BJ$159,21,0),0)*1000,IFERROR(HLOOKUP($PT25,PPT!$E$131:$BJ$159,21,0),0))</f>
        <v>0</v>
      </c>
      <c r="BA25" s="1070">
        <f>IF(PPT!$D$2="$ M",IFERROR(HLOOKUP($PT25,PPT!$E$131:$BJ$159,22,0),0)*1000,IFERROR(HLOOKUP($PT25,PPT!$E$131:$BJ$159,22,0),0))</f>
        <v>0</v>
      </c>
      <c r="BB25" s="1070">
        <f>IF(PPT!$D$2="$ M",IFERROR(HLOOKUP($PT25,PPT!$E$131:$BJ$159,23,0),0)*1000,IFERROR(HLOOKUP($PT25,PPT!$E$131:$BJ$159,23,0),0))</f>
        <v>0</v>
      </c>
      <c r="BC25" s="1070">
        <f>IF(PPT!$D$2="$ M",IFERROR(HLOOKUP($PT25,PPT!$E$131:$BJ$159,25,0),0)*1000,IFERROR(HLOOKUP($PT25,PPT!$E$131:$BJ$159,25,0),0))</f>
        <v>0</v>
      </c>
      <c r="BD25" s="1070">
        <f>IF(PPT!$D$2="$ M",IFERROR(HLOOKUP($PT25,PPT!$E$131:$BJ$159,26,0),0)*1000,IFERROR(HLOOKUP($PT25,PPT!$E$131:$BJ$159,26,0),0))</f>
        <v>0</v>
      </c>
      <c r="BE25" s="1070">
        <f>IF(PPT!$D$2="$ M",IFERROR(HLOOKUP($PT25,PPT!$E$131:$BJ$159,27,0),0)*1000,IFERROR(HLOOKUP($PT25,PPT!$E$131:$BJ$159,27,0),0))</f>
        <v>0</v>
      </c>
      <c r="BF25" s="1070">
        <f>IFERROR(HLOOKUP($PT25,Calc!$F$151:$P$166,2,0),0)</f>
        <v>0</v>
      </c>
      <c r="BG25" s="1070">
        <f>IFERROR(HLOOKUP($PT25,Calc!$F$151:$P$166,3,0),0)</f>
        <v>0</v>
      </c>
      <c r="BH25" s="1070">
        <f>IFERROR(HLOOKUP($PT25,Calc!$F$151:$P$166,4,0),0)</f>
        <v>0</v>
      </c>
      <c r="BI25" s="1070">
        <f>IFERROR(HLOOKUP($PT25,Calc!$F$151:$P$166,5,0),0)</f>
        <v>0</v>
      </c>
      <c r="BJ25" s="1070">
        <f>IFERROR(HLOOKUP($PT25,Calc!$F$151:$P$166,6,0),0)</f>
        <v>0</v>
      </c>
      <c r="BK25" s="1070">
        <f>IFERROR(HLOOKUP($PT25,Calc!$F$151:$P$166,7,0),0)</f>
        <v>0</v>
      </c>
      <c r="BL25" s="1070">
        <f>IFERROR(HLOOKUP($PT25,Calc!$F$151:$P$166,8,0),0)</f>
        <v>0</v>
      </c>
      <c r="BM25" s="1070">
        <f>IFERROR(HLOOKUP($PT25,Calc!$F$151:$P$166,9,0),0)</f>
        <v>0</v>
      </c>
      <c r="BN25" s="1070">
        <f>IFERROR(HLOOKUP($PT25,Calc!$F$151:$P$166,10,0),0)</f>
        <v>0</v>
      </c>
      <c r="BO25" s="1070">
        <f>IFERROR(HLOOKUP($PT25,Calc!$F$151:$P$166,11,0),0)</f>
        <v>0</v>
      </c>
      <c r="BP25" s="1070">
        <f>IFERROR(HLOOKUP($PT25,Calc!$F$151:$P$166,12,0),0)</f>
        <v>0</v>
      </c>
      <c r="BQ25" s="1070">
        <f>IFERROR(HLOOKUP($PT25,Calc!$F$151:$P$166,13,0),0)</f>
        <v>0</v>
      </c>
      <c r="BR25" s="1070">
        <f>IFERROR(HLOOKUP($PT25,Calc!$F$151:$P$166,14,0),0)</f>
        <v>0</v>
      </c>
      <c r="BS25" s="1070">
        <f>IFERROR(HLOOKUP($PT25,Calc!$F$151:$P$166,15,0),0)</f>
        <v>0</v>
      </c>
      <c r="BT25" s="1070">
        <f>IFERROR(HLOOKUP($PT25,Calc!$F$151:$P$166,16,0),0)</f>
        <v>0</v>
      </c>
      <c r="BU25" s="1070">
        <f>IFERROR(VLOOKUP($PS25,Calc!$AF$196:$AH$203,2,0),0)</f>
        <v>0</v>
      </c>
      <c r="BV25" s="1070">
        <f>IFERROR(VLOOKUP($PS25,Calc!$AF$196:$AH$203,3,0),0)</f>
        <v>0</v>
      </c>
      <c r="BW25" s="1070">
        <f>IFERROR(VLOOKUP($PS25,Calc!$AF$196:$AI$203,4,0),0)</f>
        <v>0</v>
      </c>
      <c r="BX25" s="1070">
        <f>IFERROR(VLOOKUP($PS25,Calc!$AF$208:$AI$209,2,0),0)</f>
        <v>0</v>
      </c>
      <c r="BY25" s="1070">
        <f>IFERROR(VLOOKUP($PS25,Calc!$AF$208:$AI$209,3,0),0)</f>
        <v>0</v>
      </c>
      <c r="BZ25" s="1070">
        <f>IFERROR(VLOOKUP($PS25,Calc!$AF$208:$AI$209,4,0),0)</f>
        <v>0</v>
      </c>
      <c r="CA25" s="1070">
        <f>IFERROR(VLOOKUP($PS25,Calc!$K$420:$P$433,3,0),0)</f>
        <v>0</v>
      </c>
      <c r="CB25" s="1070">
        <f>IFERROR(VLOOKUP($PS25,Calc!$K$420:$P$433,4,0),0)</f>
        <v>0</v>
      </c>
      <c r="CC25" s="1070">
        <f>IFERROR(VLOOKUP($PS25,Calc!$K$420:$P$433,5,0),0)</f>
        <v>0</v>
      </c>
      <c r="CD25" s="1070">
        <f>IFERROR(VLOOKUP($PS25,Calc!$K$420:$P$433,6,0),0)</f>
        <v>0</v>
      </c>
      <c r="CE25" s="1070">
        <f>IFERROR(VLOOKUP($PS25,Calc!$AQ$420:$AV$433,3,0),0)</f>
        <v>0</v>
      </c>
      <c r="CF25" s="1070">
        <f>IFERROR(VLOOKUP($PS25,Calc!$AQ$420:$AV$433,4,0),0)</f>
        <v>0</v>
      </c>
      <c r="CG25" s="1070">
        <f>IFERROR(VLOOKUP($PS25,Calc!$AQ$420:$AV$433,5,0),0)</f>
        <v>0</v>
      </c>
      <c r="CH25" s="1070">
        <f>IFERROR(VLOOKUP($PS25,Calc!$AQ$420:$AV$433,6,0),0)</f>
        <v>0</v>
      </c>
      <c r="CI25" s="1070">
        <f>IFERROR(HLOOKUP($PT25,Calc!$AQ$125:$BS$146,3,0),0)</f>
        <v>0</v>
      </c>
      <c r="CJ25" s="1070">
        <f>IFERROR(HLOOKUP($PT25,Calc!$AQ$125:$BS$146,6,0),0)</f>
        <v>0</v>
      </c>
      <c r="CK25" s="1070">
        <f>IFERROR(IF(Calc!$C$129="Dollar ($)",HLOOKUP($PT25,Calc!$AQ$125:$BS$146,5,0),0),0)</f>
        <v>0</v>
      </c>
      <c r="CL25" s="1070">
        <f>IFERROR(IF(Calc!$C$129="Volume (units)",HLOOKUP($PT25,Calc!$AQ$125:$BS$146,5,0),0),0)</f>
        <v>0</v>
      </c>
      <c r="CM25" s="1070">
        <f>IFERROR(HLOOKUP($PT25,Calc!$AQ$125:$BS$146,9,0),0)</f>
        <v>0</v>
      </c>
      <c r="CN25" s="1070">
        <f>IFERROR(HLOOKUP($PT25,Calc!$AQ$125:$BS$146,10,0),0)</f>
        <v>0</v>
      </c>
      <c r="CO25" s="1070">
        <f>IFERROR(HLOOKUP($PT25,Calc!$AQ$125:$BS$146,11,0),0)</f>
        <v>0</v>
      </c>
      <c r="CP25" s="1070">
        <f>IFERROR(HLOOKUP($PT25,Calc!$AQ$125:$BS$146,12,0),0)</f>
        <v>0</v>
      </c>
      <c r="CQ25" s="1070">
        <f>IFERROR(HLOOKUP($PT25,Calc!$AQ$125:$BS$146,13,0),0)</f>
        <v>0</v>
      </c>
      <c r="CR25" s="1070">
        <f>IFERROR(HLOOKUP($PT25,Calc!$AQ$125:$BS$146,17,0),0)</f>
        <v>0</v>
      </c>
      <c r="CS25" s="1070">
        <f>IFERROR(HLOOKUP($PT25,Calc!$AQ$125:$BS$146,19,0),0)</f>
        <v>0</v>
      </c>
      <c r="CT25" s="1070">
        <f>IFERROR(HLOOKUP($PT25,Calc!$AQ$125:$BS$146,20,0),0)</f>
        <v>0</v>
      </c>
      <c r="CU25" s="1070">
        <f>IFERROR(HLOOKUP($PT25,Calc!$AQ$125:$BS$146,21,0),0)</f>
        <v>0</v>
      </c>
      <c r="CV25" s="1070">
        <f>IFERROR(HLOOKUP($PT25,Calc!$AQ$125:$BS$147,23,0),0)</f>
        <v>0</v>
      </c>
      <c r="CW25" s="1070">
        <f>IFERROR(HLOOKUP($PT25,Calc!$AQ$9:$BS$15,5,0),0)+IFERROR(HLOOKUP($PT25,Calc!$AQ$30:$BS$36,5,0),0)+IFERROR(HLOOKUP($PT25,Calc!$AQ$51:$BS$57,5,0),0)+IFERROR(HLOOKUP($PT25,Calc!$AQ$72:$BS$78,5,0),0)+IFERROR(HLOOKUP($PT25,Calc!$AQ$93:$BS$99,5,0),0)</f>
        <v>0</v>
      </c>
      <c r="CX25" s="1070">
        <f>IFERROR(HLOOKUP($PT25,Calc!$AQ$9:$BS$15,6,0),0)+IFERROR(HLOOKUP($PT25,Calc!$AQ$30:$BS$36,6,0),0)+IFERROR(HLOOKUP($PT25,Calc!$AQ$51:$BS$57,6,0),0)+IFERROR(HLOOKUP($PT25,Calc!$AQ$72:$BS$78,6,0),0)+IFERROR(HLOOKUP($PT25,Calc!$AQ$93:$BS$99,6,0),0)</f>
        <v>0</v>
      </c>
      <c r="CY25" s="1070">
        <f>IFERROR(HLOOKUP($PT25,Calc!$AQ$9:$BS$15,7,0),0)+IFERROR(HLOOKUP($PT25,Calc!$AQ$30:$BS$36,7,0),0)+IFERROR(HLOOKUP($PT25,Calc!$AQ$51:$BS$57,7,0),0)+IFERROR(HLOOKUP($PT25,Calc!$AQ$72:$BS$78,7,0),0)+IFERROR(HLOOKUP($PT25,Calc!$AQ$93:$BS$99,7,0),0)</f>
        <v>0</v>
      </c>
      <c r="IY25" s="1070">
        <f>IFERROR(HLOOKUP($PT25,Current_Prior!$AQ$9:$BS$30,3,0),0)</f>
        <v>0</v>
      </c>
      <c r="IZ25" s="1070">
        <f>IFERROR(HLOOKUP($PT25,Current_Prior!$AQ$9:$BS$30,6,0),0)</f>
        <v>0</v>
      </c>
      <c r="JA25" s="1070">
        <f>IFERROR(IF(Calc!$C$129="Dollar ($)",HLOOKUP($PT25,Current_Prior!$AQ$9:$BS$30,5,0),0),0)</f>
        <v>0</v>
      </c>
      <c r="JB25" s="1070">
        <f>IFERROR(IF(Calc!$C$129="Volume (units)",HLOOKUP($PT25,Current_Prior!$AQ$9:$BS$30,5,0),0),0)</f>
        <v>0</v>
      </c>
      <c r="JC25" s="1070">
        <f>IFERROR(HLOOKUP($PT25,Current_Prior!$AQ$9:$BS$30,9,0),0)</f>
        <v>0</v>
      </c>
      <c r="JD25" s="1070">
        <f>IFERROR(HLOOKUP($PT25,Current_Prior!$AQ$9:$BS$30,10,0),0)</f>
        <v>0</v>
      </c>
      <c r="JE25" s="1070">
        <f>IFERROR(HLOOKUP($PT25,Current_Prior!$AQ$9:$BS$30,11,0),0)</f>
        <v>0</v>
      </c>
      <c r="JF25" s="1070">
        <f>IFERROR(HLOOKUP($PT25,Current_Prior!$AQ$9:$BS$30,12,0),0)</f>
        <v>0</v>
      </c>
      <c r="JG25" s="1070">
        <f>IFERROR(HLOOKUP($PT25,Current_Prior!$AQ$9:$BS$30,13,0),0)</f>
        <v>0</v>
      </c>
      <c r="JH25" s="1070">
        <f>IFERROR(HLOOKUP($PT25,Current_Prior!$AQ$9:$BS$30,17,0),0)</f>
        <v>0</v>
      </c>
      <c r="JI25" s="1070">
        <f>IFERROR(HLOOKUP($PT25,Current_Prior!$AQ$9:$BS$30,19,0),0)</f>
        <v>0</v>
      </c>
      <c r="JJ25" s="1070">
        <f>IFERROR(HLOOKUP($PT25,Current_Prior!$AQ$9:$BS$30,20,0),0)</f>
        <v>0</v>
      </c>
      <c r="JK25" s="1070">
        <f>IFERROR(HLOOKUP($PT25,Current_Prior!$AQ$9:$BS$30,21,0),0)</f>
        <v>0</v>
      </c>
      <c r="JL25" s="1070">
        <f>IFERROR(HLOOKUP($PT25,Current_Prior!$AQ$9:$BS$31,23,0),0)</f>
        <v>0</v>
      </c>
      <c r="ML25" s="1082">
        <f>IFERROR(HLOOKUP($PT25,HistInfo!$G$15:$AI$37,3,0),0)</f>
        <v>0</v>
      </c>
      <c r="MM25" s="1082">
        <f>IFERROR(HLOOKUP($PT25,HistInfo!$G$15:$AI$37,6,0),0)</f>
        <v>0</v>
      </c>
      <c r="MN25" s="1070">
        <f>IFERROR(IF(HistInfo!$C$19="Dollar ($)",HLOOKUP($PT25,HistInfo!$G$15:$AI$37,5,0),0),0)</f>
        <v>0</v>
      </c>
      <c r="MO25" s="1070">
        <f>IFERROR(IF(HistInfo!$C$19="Volume (units)",HLOOKUP($PT25,HistInfo!$G$15:$AI$37,5,0),0),0)</f>
        <v>0</v>
      </c>
      <c r="MP25" s="1082">
        <f>IFERROR(HLOOKUP($PT25,HistInfo!$G$15:$AI$37,9,0),0)</f>
        <v>0</v>
      </c>
      <c r="MQ25" s="1082">
        <f>IFERROR(HLOOKUP($PT25,HistInfo!$G$15:$AI$37,10,0),0)</f>
        <v>0</v>
      </c>
      <c r="MR25" s="1082">
        <f>IFERROR(HLOOKUP($PT25,HistInfo!$G$15:$AI$37,11,0),0)</f>
        <v>0</v>
      </c>
      <c r="MS25" s="1082">
        <f>IFERROR(HLOOKUP($PT25,HistInfo!$G$15:$AI$37,12,0),0)</f>
        <v>0</v>
      </c>
      <c r="MT25" s="1082">
        <f>IFERROR(HLOOKUP($PT25,HistInfo!$G$15:$AI$37,13,0),0)</f>
        <v>0</v>
      </c>
      <c r="MU25" s="1082">
        <f>IFERROR(HLOOKUP($PT25,HistInfo!$G$15:$AI$37,17,0),0)</f>
        <v>0</v>
      </c>
      <c r="MV25" s="1082">
        <f>IFERROR(HLOOKUP($PT25,HistInfo!$G$15:$AI$37,19,0),0)</f>
        <v>0</v>
      </c>
      <c r="MW25" s="1082">
        <f>IFERROR(HLOOKUP($PT25,HistInfo!$G$15:$AI$37,20,0),0)</f>
        <v>0</v>
      </c>
      <c r="MX25" s="1082">
        <f>IFERROR(HLOOKUP($PT25,HistInfo!$G$15:$AI$37,21,0),0)</f>
        <v>0</v>
      </c>
      <c r="MY25" s="1082">
        <f>IFERROR(HLOOKUP($PT25,HistInfo!$G$15:$AI$37,23,0),0)</f>
        <v>0</v>
      </c>
      <c r="PS25" s="1070">
        <v>35</v>
      </c>
      <c r="PT25" s="1082" t="str">
        <f t="shared" si="1"/>
        <v>FY35</v>
      </c>
      <c r="PU25" s="1070" t="str">
        <f t="shared" si="2"/>
        <v>2035</v>
      </c>
    </row>
    <row r="26" spans="1:437" x14ac:dyDescent="0.3">
      <c r="A26" s="1070" t="str">
        <f t="shared" si="8"/>
        <v>Life Sciences</v>
      </c>
      <c r="B26" s="1070" t="str">
        <f t="shared" si="8"/>
        <v>BDB</v>
      </c>
      <c r="C26" s="1070">
        <f t="shared" si="8"/>
        <v>0</v>
      </c>
      <c r="D26" s="1070">
        <f t="shared" si="8"/>
        <v>0</v>
      </c>
      <c r="E26" s="1070">
        <v>0</v>
      </c>
      <c r="F26" s="1070">
        <v>0</v>
      </c>
      <c r="G26" s="1070">
        <f t="shared" si="7"/>
        <v>0</v>
      </c>
      <c r="H26" s="1070">
        <f t="shared" si="7"/>
        <v>0</v>
      </c>
      <c r="I26" s="1070">
        <f t="shared" si="7"/>
        <v>0</v>
      </c>
      <c r="J26" s="1070" t="str">
        <f t="shared" si="7"/>
        <v>Budget</v>
      </c>
      <c r="K26" s="1070" t="str">
        <f t="shared" si="0"/>
        <v>2036</v>
      </c>
      <c r="L26" s="1070">
        <f>IF(PPT!$D$2="$ M",IFERROR(HLOOKUP($PT26,PPT!$E$117:$BJ$119,3,0),0)*1000,IFERROR(HLOOKUP($PT26,PPT!$E$117:$BJ$119,3,0),0))</f>
        <v>0</v>
      </c>
      <c r="M26" s="1070">
        <f>IF(PPT!$D$2="$ M",IFERROR(HLOOKUP($PT26,PPT!$E$133:$BJ$159,4,0),0)*1000,IFERROR(HLOOKUP($PT26,PPT!$E$133:$BJ$159,4,0),0))</f>
        <v>0</v>
      </c>
      <c r="N26" s="1070">
        <f>IF(PPT!$D$2="$ M",IFERROR(HLOOKUP($PT26,PPT!$E$133:$BJ$159,5,0),0)*1000,IFERROR(HLOOKUP($PT26,PPT!$E$133:$BJ$159,5,0),0))</f>
        <v>0</v>
      </c>
      <c r="O26" s="1070">
        <f>IF(PPT!$D$2="$ M",IFERROR(HLOOKUP($PT26,PPT!$E$133:$BJ$159,6,0),0)*1000,IFERROR(HLOOKUP($PT26,PPT!$E$133:$BJ$159,6,0),0))</f>
        <v>0</v>
      </c>
      <c r="P26" s="1070">
        <f>IF(PPT!$D$2="$ M",IFERROR(HLOOKUP($PT26,PPT!$E$133:$BJ$159,7,0),0)*1000,IFERROR(HLOOKUP($PT26,PPT!$E$133:$BJ$159,7,0),0))</f>
        <v>0</v>
      </c>
      <c r="Q26" s="1070">
        <f>IFERROR(HLOOKUP($PT26,Calc!$G$125:$AI$146,3,0),0)</f>
        <v>0</v>
      </c>
      <c r="R26" s="1070">
        <f>IF(PPT!$D$2="$ M",IFERROR(HLOOKUP($PT26,PPT!$E$133:$BJ$159,9,0),0),IFERROR(HLOOKUP($PT26,PPT!$E$133:$BJ$159,9,0),0))</f>
        <v>-1</v>
      </c>
      <c r="S26" s="1070" t="str">
        <f>IF(PPT!$D$2="$ M",IFERROR(HLOOKUP($PT26,PPT!$E$133:$BJ$159,10,0),0),IFERROR(HLOOKUP($PT26,PPT!$E$133:$BJ$159,10,0),0))</f>
        <v/>
      </c>
      <c r="T26" s="1070">
        <f>IFERROR(IF(Calc!$C$129="Dollar ($)",HLOOKUP($PT26,Calc!$G$125:$AI$146,5,0),0),0)</f>
        <v>0</v>
      </c>
      <c r="U26" s="1070">
        <f>IFERROR(IF(Calc!$C$129="Volume (units)",HLOOKUP($PT26,Calc!$G$125:$AI$146,5,0),0),0)</f>
        <v>0</v>
      </c>
      <c r="V26" s="1070">
        <f>IFERROR(HLOOKUP($PT26,Calc!$G$125:$AI$146,6,0),0)</f>
        <v>0</v>
      </c>
      <c r="W26" s="1070">
        <f>IFERROR(HLOOKUP($PT26,Calc!$G$125:$AI$146,7,0),0)</f>
        <v>0</v>
      </c>
      <c r="X26" s="1070">
        <f>IFERROR(HLOOKUP($PT26,Calc!$G$125:$AI$146,8,0),0)</f>
        <v>0</v>
      </c>
      <c r="Y26" s="1070">
        <f>IFERROR(HLOOKUP($PT26,Calc!$G$125:$AI$146,9,0),0)</f>
        <v>0</v>
      </c>
      <c r="Z26" s="1070">
        <f>IFERROR(HLOOKUP($PT26,Calc!$G$125:$AI$146,10,0),0)</f>
        <v>0</v>
      </c>
      <c r="AA26" s="1070">
        <f>IFERROR(HLOOKUP($PT26,Calc!$G$125:$AI$146,11,0),0)</f>
        <v>0</v>
      </c>
      <c r="AB26" s="1070">
        <f>IFERROR(HLOOKUP($PT26,Calc!$G$125:$AI$146,12,0),0)</f>
        <v>0</v>
      </c>
      <c r="AC26" s="1070">
        <f>IFERROR(HLOOKUP($PT26,Calc!$G$125:$AI$146,13,0),0)</f>
        <v>0</v>
      </c>
      <c r="AD26" s="1070">
        <f>IFERROR(HLOOKUP($PT26,Calc!$G$125:$AI$146,14,0),0)</f>
        <v>0</v>
      </c>
      <c r="AE26" s="1070">
        <f>IFERROR(HLOOKUP($PT26,Calc!$G$125:$AI$146,15,0),0)</f>
        <v>933.33333333333337</v>
      </c>
      <c r="AF26" s="1070">
        <f>IFERROR(HLOOKUP($PT26,Calc!$G$125:$AI$146,16,0),0)</f>
        <v>-261.33333333333337</v>
      </c>
      <c r="AG26" s="1070">
        <f>IFERROR(HLOOKUP($PT26,Calc!$G$125:$AI$146,17,0),0)</f>
        <v>-672</v>
      </c>
      <c r="AH26" s="1070">
        <f>IFERROR(HLOOKUP($PT26,Calc!$G$125:$AI$146,18,0),0)</f>
        <v>0</v>
      </c>
      <c r="AI26" s="1070">
        <f>IFERROR(HLOOKUP($PT26,Calc!$G$125:$AI$146,19,0),0)</f>
        <v>-933.33333333333337</v>
      </c>
      <c r="AJ26" s="1070">
        <f>IFERROR(HLOOKUP($PT26,Calc!$G$125:$AI$146,20,0),0)</f>
        <v>-38620.249986497482</v>
      </c>
      <c r="AK26" s="1070">
        <f>IFERROR(HLOOKUP($PT26,Calc!$G$125:$AI$146,21,0),0)</f>
        <v>38881.583319830817</v>
      </c>
      <c r="AL26" s="1070">
        <f>IFERROR(HLOOKUP($PT26,Calc!$G$125:$AI$146,22,0),0)</f>
        <v>0</v>
      </c>
      <c r="AM26" s="1070">
        <f>IFERROR(HLOOKUP($PT26,Calc!$G$125:$AI$147,23,0),0)</f>
        <v>3141.8309631357006</v>
      </c>
      <c r="AN26" s="1070">
        <f>IF(PPT!$D$2="$ M",IFERROR(HLOOKUP($PT26,PPT!$E$131:$BJ$159,5,0),0)*1000,IFERROR(HLOOKUP($PT26,PPT!$E$131:$BJ$159,5,0),0))</f>
        <v>0</v>
      </c>
      <c r="AO26" s="1070">
        <f>IF(PPT!$D$2="$ M",IFERROR(HLOOKUP($PT26,PPT!$E$131:$BJ$159,6,0),0)*1000,IFERROR(HLOOKUP($PT26,PPT!$E$131:$BJ$159,6,0),0))</f>
        <v>0</v>
      </c>
      <c r="AP26" s="1070">
        <f>IF(PPT!$D$2="$ M",IFERROR(HLOOKUP($PT26,PPT!$E$131:$BJ$159,7,0),0)*1000,IFERROR(HLOOKUP($PT26,PPT!$E$131:$BJ$159,7,0),0))</f>
        <v>0</v>
      </c>
      <c r="AQ26" s="1070">
        <f>IF(PPT!$D$2="$ M",IFERROR(HLOOKUP($PT26,PPT!$E$131:$BJ$159,8,0),0)*1000,IFERROR(HLOOKUP($PT26,PPT!$E$131:$BJ$159,8,0),0))</f>
        <v>0</v>
      </c>
      <c r="AR26" s="1070">
        <f>IF(PPT!$D$2="$ M",IFERROR(HLOOKUP($PT26,PPT!$E$131:$BJ$159,9,0),0)*1000,IFERROR(HLOOKUP($PT26,PPT!$E$131:$BJ$159,9,0),0))</f>
        <v>0</v>
      </c>
      <c r="AS26" s="1070">
        <f>IF(PPT!$D$2="$ M",IFERROR(HLOOKUP($PT26,PPT!$E$131:$BJ$159,10,0),0)*1000,IFERROR(HLOOKUP($PT26,PPT!$E$131:$BJ$159,10,0),0))</f>
        <v>0</v>
      </c>
      <c r="AT26" s="1070">
        <f>IF(PPT!$D$2="$ M",IFERROR(HLOOKUP($PT26,PPT!$E$131:$BJ$159,13,0),0)*1000,IFERROR(HLOOKUP($PT26,PPT!$E$131:$BJ$159,13,0),0))</f>
        <v>0</v>
      </c>
      <c r="AU26" s="1070">
        <f>IF(PPT!$D$2="$ M",IFERROR(HLOOKUP($PT26,PPT!$E$131:$BJ$159,14,0),0)*1000,IFERROR(HLOOKUP($PT26,PPT!$E$131:$BJ$159,14,0),0))</f>
        <v>0</v>
      </c>
      <c r="AV26" s="1070">
        <f>IF(PPT!$D$2="$ M",IFERROR(HLOOKUP($PT26,PPT!$E$131:$BJ$159,15,0),0)*1000,IFERROR(HLOOKUP($PT26,PPT!$E$131:$BJ$159,15,0),0))</f>
        <v>0</v>
      </c>
      <c r="AW26" s="1070">
        <f>IF(PPT!$D$2="$ M",IFERROR(HLOOKUP($PT26,PPT!$E$131:$BJ$159,17,0),0)*1000,IFERROR(HLOOKUP($PT26,PPT!$E$131:$BJ$159,17,0),0))</f>
        <v>0</v>
      </c>
      <c r="AX26" s="1070">
        <f>IF(PPT!$D$2="$ M",IFERROR(HLOOKUP($PT26,PPT!$E$131:$BJ$159,18,0),0)*1000,IFERROR(HLOOKUP($PT26,PPT!$E$131:$BJ$159,18,0),0))</f>
        <v>0</v>
      </c>
      <c r="AY26" s="1070">
        <f>IF(PPT!$D$2="$ M",IFERROR(HLOOKUP($PT26,PPT!$E$131:$BJ$159,19,0),0)*1000,IFERROR(HLOOKUP($PT26,PPT!$E$131:$BJ$159,19,0),0))</f>
        <v>0</v>
      </c>
      <c r="AZ26" s="1070">
        <f>IF(PPT!$D$2="$ M",IFERROR(HLOOKUP($PT26,PPT!$E$131:$BJ$159,21,0),0)*1000,IFERROR(HLOOKUP($PT26,PPT!$E$131:$BJ$159,21,0),0))</f>
        <v>0</v>
      </c>
      <c r="BA26" s="1070">
        <f>IF(PPT!$D$2="$ M",IFERROR(HLOOKUP($PT26,PPT!$E$131:$BJ$159,22,0),0)*1000,IFERROR(HLOOKUP($PT26,PPT!$E$131:$BJ$159,22,0),0))</f>
        <v>0</v>
      </c>
      <c r="BB26" s="1070">
        <f>IF(PPT!$D$2="$ M",IFERROR(HLOOKUP($PT26,PPT!$E$131:$BJ$159,23,0),0)*1000,IFERROR(HLOOKUP($PT26,PPT!$E$131:$BJ$159,23,0),0))</f>
        <v>0</v>
      </c>
      <c r="BC26" s="1070">
        <f>IF(PPT!$D$2="$ M",IFERROR(HLOOKUP($PT26,PPT!$E$131:$BJ$159,25,0),0)*1000,IFERROR(HLOOKUP($PT26,PPT!$E$131:$BJ$159,25,0),0))</f>
        <v>0</v>
      </c>
      <c r="BD26" s="1070">
        <f>IF(PPT!$D$2="$ M",IFERROR(HLOOKUP($PT26,PPT!$E$131:$BJ$159,26,0),0)*1000,IFERROR(HLOOKUP($PT26,PPT!$E$131:$BJ$159,26,0),0))</f>
        <v>0</v>
      </c>
      <c r="BE26" s="1070">
        <f>IF(PPT!$D$2="$ M",IFERROR(HLOOKUP($PT26,PPT!$E$131:$BJ$159,27,0),0)*1000,IFERROR(HLOOKUP($PT26,PPT!$E$131:$BJ$159,27,0),0))</f>
        <v>0</v>
      </c>
      <c r="BF26" s="1070">
        <f>IFERROR(HLOOKUP($PT26,Calc!$F$151:$P$166,2,0),0)</f>
        <v>0</v>
      </c>
      <c r="BG26" s="1070">
        <f>IFERROR(HLOOKUP($PT26,Calc!$F$151:$P$166,3,0),0)</f>
        <v>0</v>
      </c>
      <c r="BH26" s="1070">
        <f>IFERROR(HLOOKUP($PT26,Calc!$F$151:$P$166,4,0),0)</f>
        <v>0</v>
      </c>
      <c r="BI26" s="1070">
        <f>IFERROR(HLOOKUP($PT26,Calc!$F$151:$P$166,5,0),0)</f>
        <v>0</v>
      </c>
      <c r="BJ26" s="1070">
        <f>IFERROR(HLOOKUP($PT26,Calc!$F$151:$P$166,6,0),0)</f>
        <v>0</v>
      </c>
      <c r="BK26" s="1070">
        <f>IFERROR(HLOOKUP($PT26,Calc!$F$151:$P$166,7,0),0)</f>
        <v>0</v>
      </c>
      <c r="BL26" s="1070">
        <f>IFERROR(HLOOKUP($PT26,Calc!$F$151:$P$166,8,0),0)</f>
        <v>0</v>
      </c>
      <c r="BM26" s="1070">
        <f>IFERROR(HLOOKUP($PT26,Calc!$F$151:$P$166,9,0),0)</f>
        <v>0</v>
      </c>
      <c r="BN26" s="1070">
        <f>IFERROR(HLOOKUP($PT26,Calc!$F$151:$P$166,10,0),0)</f>
        <v>0</v>
      </c>
      <c r="BO26" s="1070">
        <f>IFERROR(HLOOKUP($PT26,Calc!$F$151:$P$166,11,0),0)</f>
        <v>0</v>
      </c>
      <c r="BP26" s="1070">
        <f>IFERROR(HLOOKUP($PT26,Calc!$F$151:$P$166,12,0),0)</f>
        <v>0</v>
      </c>
      <c r="BQ26" s="1070">
        <f>IFERROR(HLOOKUP($PT26,Calc!$F$151:$P$166,13,0),0)</f>
        <v>0</v>
      </c>
      <c r="BR26" s="1070">
        <f>IFERROR(HLOOKUP($PT26,Calc!$F$151:$P$166,14,0),0)</f>
        <v>0</v>
      </c>
      <c r="BS26" s="1070">
        <f>IFERROR(HLOOKUP($PT26,Calc!$F$151:$P$166,15,0),0)</f>
        <v>0</v>
      </c>
      <c r="BT26" s="1070">
        <f>IFERROR(HLOOKUP($PT26,Calc!$F$151:$P$166,16,0),0)</f>
        <v>0</v>
      </c>
      <c r="BU26" s="1070">
        <f>IFERROR(VLOOKUP($PS26,Calc!$AF$196:$AH$203,2,0),0)</f>
        <v>0</v>
      </c>
      <c r="BV26" s="1070">
        <f>IFERROR(VLOOKUP($PS26,Calc!$AF$196:$AH$203,3,0),0)</f>
        <v>0</v>
      </c>
      <c r="BW26" s="1070">
        <f>IFERROR(VLOOKUP($PS26,Calc!$AF$196:$AI$203,4,0),0)</f>
        <v>0</v>
      </c>
      <c r="BX26" s="1070">
        <f>IFERROR(VLOOKUP($PS26,Calc!$AF$208:$AI$209,2,0),0)</f>
        <v>0</v>
      </c>
      <c r="BY26" s="1070">
        <f>IFERROR(VLOOKUP($PS26,Calc!$AF$208:$AI$209,3,0),0)</f>
        <v>0</v>
      </c>
      <c r="BZ26" s="1070">
        <f>IFERROR(VLOOKUP($PS26,Calc!$AF$208:$AI$209,4,0),0)</f>
        <v>0</v>
      </c>
      <c r="CA26" s="1070">
        <f>IFERROR(VLOOKUP($PS26,Calc!$K$420:$P$433,3,0),0)</f>
        <v>0</v>
      </c>
      <c r="CB26" s="1070">
        <f>IFERROR(VLOOKUP($PS26,Calc!$K$420:$P$433,4,0),0)</f>
        <v>0</v>
      </c>
      <c r="CC26" s="1070">
        <f>IFERROR(VLOOKUP($PS26,Calc!$K$420:$P$433,5,0),0)</f>
        <v>0</v>
      </c>
      <c r="CD26" s="1070">
        <f>IFERROR(VLOOKUP($PS26,Calc!$K$420:$P$433,6,0),0)</f>
        <v>0</v>
      </c>
      <c r="CE26" s="1070">
        <f>IFERROR(VLOOKUP($PS26,Calc!$AQ$420:$AV$433,3,0),0)</f>
        <v>0</v>
      </c>
      <c r="CF26" s="1070">
        <f>IFERROR(VLOOKUP($PS26,Calc!$AQ$420:$AV$433,4,0),0)</f>
        <v>0</v>
      </c>
      <c r="CG26" s="1070">
        <f>IFERROR(VLOOKUP($PS26,Calc!$AQ$420:$AV$433,5,0),0)</f>
        <v>0</v>
      </c>
      <c r="CH26" s="1070">
        <f>IFERROR(VLOOKUP($PS26,Calc!$AQ$420:$AV$433,6,0),0)</f>
        <v>0</v>
      </c>
      <c r="CI26" s="1070">
        <f>IFERROR(HLOOKUP($PT26,Calc!$AQ$125:$BS$146,3,0),0)</f>
        <v>0</v>
      </c>
      <c r="CJ26" s="1070">
        <f>IFERROR(HLOOKUP($PT26,Calc!$AQ$125:$BS$146,6,0),0)</f>
        <v>0</v>
      </c>
      <c r="CK26" s="1070">
        <f>IFERROR(IF(Calc!$C$129="Dollar ($)",HLOOKUP($PT26,Calc!$AQ$125:$BS$146,5,0),0),0)</f>
        <v>0</v>
      </c>
      <c r="CL26" s="1070">
        <f>IFERROR(IF(Calc!$C$129="Volume (units)",HLOOKUP($PT26,Calc!$AQ$125:$BS$146,5,0),0),0)</f>
        <v>0</v>
      </c>
      <c r="CM26" s="1070">
        <f>IFERROR(HLOOKUP($PT26,Calc!$AQ$125:$BS$146,9,0),0)</f>
        <v>0</v>
      </c>
      <c r="CN26" s="1070">
        <f>IFERROR(HLOOKUP($PT26,Calc!$AQ$125:$BS$146,10,0),0)</f>
        <v>0</v>
      </c>
      <c r="CO26" s="1070">
        <f>IFERROR(HLOOKUP($PT26,Calc!$AQ$125:$BS$146,11,0),0)</f>
        <v>0</v>
      </c>
      <c r="CP26" s="1070">
        <f>IFERROR(HLOOKUP($PT26,Calc!$AQ$125:$BS$146,12,0),0)</f>
        <v>0</v>
      </c>
      <c r="CQ26" s="1070">
        <f>IFERROR(HLOOKUP($PT26,Calc!$AQ$125:$BS$146,13,0),0)</f>
        <v>0</v>
      </c>
      <c r="CR26" s="1070">
        <f>IFERROR(HLOOKUP($PT26,Calc!$AQ$125:$BS$146,17,0),0)</f>
        <v>0</v>
      </c>
      <c r="CS26" s="1070">
        <f>IFERROR(HLOOKUP($PT26,Calc!$AQ$125:$BS$146,19,0),0)</f>
        <v>0</v>
      </c>
      <c r="CT26" s="1070">
        <f>IFERROR(HLOOKUP($PT26,Calc!$AQ$125:$BS$146,20,0),0)</f>
        <v>0</v>
      </c>
      <c r="CU26" s="1070">
        <f>IFERROR(HLOOKUP($PT26,Calc!$AQ$125:$BS$146,21,0),0)</f>
        <v>0</v>
      </c>
      <c r="CV26" s="1070">
        <f>IFERROR(HLOOKUP($PT26,Calc!$AQ$125:$BS$147,23,0),0)</f>
        <v>0</v>
      </c>
      <c r="CW26" s="1070">
        <f>IFERROR(HLOOKUP($PT26,Calc!$AQ$9:$BS$15,5,0),0)+IFERROR(HLOOKUP($PT26,Calc!$AQ$30:$BS$36,5,0),0)+IFERROR(HLOOKUP($PT26,Calc!$AQ$51:$BS$57,5,0),0)+IFERROR(HLOOKUP($PT26,Calc!$AQ$72:$BS$78,5,0),0)+IFERROR(HLOOKUP($PT26,Calc!$AQ$93:$BS$99,5,0),0)</f>
        <v>0</v>
      </c>
      <c r="CX26" s="1070">
        <f>IFERROR(HLOOKUP($PT26,Calc!$AQ$9:$BS$15,6,0),0)+IFERROR(HLOOKUP($PT26,Calc!$AQ$30:$BS$36,6,0),0)+IFERROR(HLOOKUP($PT26,Calc!$AQ$51:$BS$57,6,0),0)+IFERROR(HLOOKUP($PT26,Calc!$AQ$72:$BS$78,6,0),0)+IFERROR(HLOOKUP($PT26,Calc!$AQ$93:$BS$99,6,0),0)</f>
        <v>0</v>
      </c>
      <c r="CY26" s="1070">
        <f>IFERROR(HLOOKUP($PT26,Calc!$AQ$9:$BS$15,7,0),0)+IFERROR(HLOOKUP($PT26,Calc!$AQ$30:$BS$36,7,0),0)+IFERROR(HLOOKUP($PT26,Calc!$AQ$51:$BS$57,7,0),0)+IFERROR(HLOOKUP($PT26,Calc!$AQ$72:$BS$78,7,0),0)+IFERROR(HLOOKUP($PT26,Calc!$AQ$93:$BS$99,7,0),0)</f>
        <v>0</v>
      </c>
      <c r="IY26" s="1070">
        <f>IFERROR(HLOOKUP($PT26,Current_Prior!$AQ$9:$BS$30,3,0),0)</f>
        <v>0</v>
      </c>
      <c r="IZ26" s="1070">
        <f>IFERROR(HLOOKUP($PT26,Current_Prior!$AQ$9:$BS$30,6,0),0)</f>
        <v>0</v>
      </c>
      <c r="JA26" s="1070">
        <f>IFERROR(IF(Calc!$C$129="Dollar ($)",HLOOKUP($PT26,Current_Prior!$AQ$9:$BS$30,5,0),0),0)</f>
        <v>0</v>
      </c>
      <c r="JB26" s="1070">
        <f>IFERROR(IF(Calc!$C$129="Volume (units)",HLOOKUP($PT26,Current_Prior!$AQ$9:$BS$30,5,0),0),0)</f>
        <v>0</v>
      </c>
      <c r="JC26" s="1070">
        <f>IFERROR(HLOOKUP($PT26,Current_Prior!$AQ$9:$BS$30,9,0),0)</f>
        <v>0</v>
      </c>
      <c r="JD26" s="1070">
        <f>IFERROR(HLOOKUP($PT26,Current_Prior!$AQ$9:$BS$30,10,0),0)</f>
        <v>0</v>
      </c>
      <c r="JE26" s="1070">
        <f>IFERROR(HLOOKUP($PT26,Current_Prior!$AQ$9:$BS$30,11,0),0)</f>
        <v>0</v>
      </c>
      <c r="JF26" s="1070">
        <f>IFERROR(HLOOKUP($PT26,Current_Prior!$AQ$9:$BS$30,12,0),0)</f>
        <v>0</v>
      </c>
      <c r="JG26" s="1070">
        <f>IFERROR(HLOOKUP($PT26,Current_Prior!$AQ$9:$BS$30,13,0),0)</f>
        <v>0</v>
      </c>
      <c r="JH26" s="1070">
        <f>IFERROR(HLOOKUP($PT26,Current_Prior!$AQ$9:$BS$30,17,0),0)</f>
        <v>0</v>
      </c>
      <c r="JI26" s="1070">
        <f>IFERROR(HLOOKUP($PT26,Current_Prior!$AQ$9:$BS$30,19,0),0)</f>
        <v>0</v>
      </c>
      <c r="JJ26" s="1070">
        <f>IFERROR(HLOOKUP($PT26,Current_Prior!$AQ$9:$BS$30,20,0),0)</f>
        <v>0</v>
      </c>
      <c r="JK26" s="1070">
        <f>IFERROR(HLOOKUP($PT26,Current_Prior!$AQ$9:$BS$30,21,0),0)</f>
        <v>0</v>
      </c>
      <c r="JL26" s="1070">
        <f>IFERROR(HLOOKUP($PT26,Current_Prior!$AQ$9:$BS$31,23,0),0)</f>
        <v>0</v>
      </c>
      <c r="ML26" s="1082">
        <f>IFERROR(HLOOKUP($PT26,HistInfo!$G$15:$AI$37,3,0),0)</f>
        <v>0</v>
      </c>
      <c r="MM26" s="1082">
        <f>IFERROR(HLOOKUP($PT26,HistInfo!$G$15:$AI$37,6,0),0)</f>
        <v>0</v>
      </c>
      <c r="MN26" s="1070">
        <f>IFERROR(IF(HistInfo!$C$19="Dollar ($)",HLOOKUP($PT26,HistInfo!$G$15:$AI$37,5,0),0),0)</f>
        <v>0</v>
      </c>
      <c r="MO26" s="1070">
        <f>IFERROR(IF(HistInfo!$C$19="Volume (units)",HLOOKUP($PT26,HistInfo!$G$15:$AI$37,5,0),0),0)</f>
        <v>0</v>
      </c>
      <c r="MP26" s="1082">
        <f>IFERROR(HLOOKUP($PT26,HistInfo!$G$15:$AI$37,9,0),0)</f>
        <v>0</v>
      </c>
      <c r="MQ26" s="1082">
        <f>IFERROR(HLOOKUP($PT26,HistInfo!$G$15:$AI$37,10,0),0)</f>
        <v>0</v>
      </c>
      <c r="MR26" s="1082">
        <f>IFERROR(HLOOKUP($PT26,HistInfo!$G$15:$AI$37,11,0),0)</f>
        <v>0</v>
      </c>
      <c r="MS26" s="1082">
        <f>IFERROR(HLOOKUP($PT26,HistInfo!$G$15:$AI$37,12,0),0)</f>
        <v>0</v>
      </c>
      <c r="MT26" s="1082">
        <f>IFERROR(HLOOKUP($PT26,HistInfo!$G$15:$AI$37,13,0),0)</f>
        <v>0</v>
      </c>
      <c r="MU26" s="1082">
        <f>IFERROR(HLOOKUP($PT26,HistInfo!$G$15:$AI$37,17,0),0)</f>
        <v>0</v>
      </c>
      <c r="MV26" s="1082">
        <f>IFERROR(HLOOKUP($PT26,HistInfo!$G$15:$AI$37,19,0),0)</f>
        <v>0</v>
      </c>
      <c r="MW26" s="1082">
        <f>IFERROR(HLOOKUP($PT26,HistInfo!$G$15:$AI$37,20,0),0)</f>
        <v>0</v>
      </c>
      <c r="MX26" s="1082">
        <f>IFERROR(HLOOKUP($PT26,HistInfo!$G$15:$AI$37,21,0),0)</f>
        <v>0</v>
      </c>
      <c r="MY26" s="1082">
        <f>IFERROR(HLOOKUP($PT26,HistInfo!$G$15:$AI$37,23,0),0)</f>
        <v>0</v>
      </c>
      <c r="PS26" s="1070">
        <v>36</v>
      </c>
      <c r="PT26" s="1082" t="str">
        <f t="shared" si="1"/>
        <v>FY36</v>
      </c>
      <c r="PU26" s="1070" t="str">
        <f t="shared" si="2"/>
        <v>2036</v>
      </c>
    </row>
    <row r="27" spans="1:437" x14ac:dyDescent="0.3">
      <c r="A27" s="1070" t="str">
        <f t="shared" si="8"/>
        <v>Life Sciences</v>
      </c>
      <c r="B27" s="1070" t="str">
        <f t="shared" si="8"/>
        <v>BDB</v>
      </c>
      <c r="C27" s="1070">
        <f t="shared" si="8"/>
        <v>0</v>
      </c>
      <c r="D27" s="1070">
        <f t="shared" si="8"/>
        <v>0</v>
      </c>
      <c r="E27" s="1070">
        <v>0</v>
      </c>
      <c r="F27" s="1070">
        <v>0</v>
      </c>
      <c r="G27" s="1070">
        <f t="shared" si="7"/>
        <v>0</v>
      </c>
      <c r="H27" s="1070">
        <f t="shared" si="7"/>
        <v>0</v>
      </c>
      <c r="I27" s="1070">
        <f t="shared" si="7"/>
        <v>0</v>
      </c>
      <c r="J27" s="1070" t="str">
        <f t="shared" si="7"/>
        <v>Budget</v>
      </c>
      <c r="K27" s="1070" t="str">
        <f t="shared" si="0"/>
        <v>2037</v>
      </c>
      <c r="L27" s="1070">
        <f>IF(PPT!$D$2="$ M",IFERROR(HLOOKUP($PT27,PPT!$E$117:$BJ$119,3,0),0)*1000,IFERROR(HLOOKUP($PT27,PPT!$E$117:$BJ$119,3,0),0))</f>
        <v>0</v>
      </c>
      <c r="M27" s="1070">
        <f>IF(PPT!$D$2="$ M",IFERROR(HLOOKUP($PT27,PPT!$E$133:$BJ$159,4,0),0)*1000,IFERROR(HLOOKUP($PT27,PPT!$E$133:$BJ$159,4,0),0))</f>
        <v>0</v>
      </c>
      <c r="N27" s="1070">
        <f>IF(PPT!$D$2="$ M",IFERROR(HLOOKUP($PT27,PPT!$E$133:$BJ$159,5,0),0)*1000,IFERROR(HLOOKUP($PT27,PPT!$E$133:$BJ$159,5,0),0))</f>
        <v>0</v>
      </c>
      <c r="O27" s="1070">
        <f>IF(PPT!$D$2="$ M",IFERROR(HLOOKUP($PT27,PPT!$E$133:$BJ$159,6,0),0)*1000,IFERROR(HLOOKUP($PT27,PPT!$E$133:$BJ$159,6,0),0))</f>
        <v>0</v>
      </c>
      <c r="P27" s="1070">
        <f>IF(PPT!$D$2="$ M",IFERROR(HLOOKUP($PT27,PPT!$E$133:$BJ$159,7,0),0)*1000,IFERROR(HLOOKUP($PT27,PPT!$E$133:$BJ$159,7,0),0))</f>
        <v>0</v>
      </c>
      <c r="Q27" s="1070">
        <f>IFERROR(HLOOKUP($PT27,Calc!$G$125:$AI$146,3,0),0)</f>
        <v>0</v>
      </c>
      <c r="R27" s="1070" t="str">
        <f>IF(PPT!$D$2="$ M",IFERROR(HLOOKUP($PT27,PPT!$E$133:$BJ$159,9,0),0),IFERROR(HLOOKUP($PT27,PPT!$E$133:$BJ$159,9,0),0))</f>
        <v/>
      </c>
      <c r="S27" s="1070" t="str">
        <f>IF(PPT!$D$2="$ M",IFERROR(HLOOKUP($PT27,PPT!$E$133:$BJ$159,10,0),0),IFERROR(HLOOKUP($PT27,PPT!$E$133:$BJ$159,10,0),0))</f>
        <v/>
      </c>
      <c r="T27" s="1070">
        <f>IFERROR(IF(Calc!$C$129="Dollar ($)",HLOOKUP($PT27,Calc!$G$125:$AI$146,5,0),0),0)</f>
        <v>0</v>
      </c>
      <c r="U27" s="1070">
        <f>IFERROR(IF(Calc!$C$129="Volume (units)",HLOOKUP($PT27,Calc!$G$125:$AI$146,5,0),0),0)</f>
        <v>0</v>
      </c>
      <c r="V27" s="1070">
        <f>IFERROR(HLOOKUP($PT27,Calc!$G$125:$AI$146,6,0),0)</f>
        <v>0</v>
      </c>
      <c r="W27" s="1070">
        <f>IFERROR(HLOOKUP($PT27,Calc!$G$125:$AI$146,7,0),0)</f>
        <v>0</v>
      </c>
      <c r="X27" s="1070">
        <f>IFERROR(HLOOKUP($PT27,Calc!$G$125:$AI$146,8,0),0)</f>
        <v>0</v>
      </c>
      <c r="Y27" s="1070">
        <f>IFERROR(HLOOKUP($PT27,Calc!$G$125:$AI$146,9,0),0)</f>
        <v>0</v>
      </c>
      <c r="Z27" s="1070">
        <f>IFERROR(HLOOKUP($PT27,Calc!$G$125:$AI$146,10,0),0)</f>
        <v>0</v>
      </c>
      <c r="AA27" s="1070">
        <f>IFERROR(HLOOKUP($PT27,Calc!$G$125:$AI$146,11,0),0)</f>
        <v>0</v>
      </c>
      <c r="AB27" s="1070">
        <f>IFERROR(HLOOKUP($PT27,Calc!$G$125:$AI$146,12,0),0)</f>
        <v>0</v>
      </c>
      <c r="AC27" s="1070">
        <f>IFERROR(HLOOKUP($PT27,Calc!$G$125:$AI$146,13,0),0)</f>
        <v>0</v>
      </c>
      <c r="AD27" s="1070">
        <f>IFERROR(HLOOKUP($PT27,Calc!$G$125:$AI$146,14,0),0)</f>
        <v>0</v>
      </c>
      <c r="AE27" s="1070">
        <f>IFERROR(HLOOKUP($PT27,Calc!$G$125:$AI$146,15,0),0)</f>
        <v>933.33333333333337</v>
      </c>
      <c r="AF27" s="1070">
        <f>IFERROR(HLOOKUP($PT27,Calc!$G$125:$AI$146,16,0),0)</f>
        <v>-261.33333333333337</v>
      </c>
      <c r="AG27" s="1070">
        <f>IFERROR(HLOOKUP($PT27,Calc!$G$125:$AI$146,17,0),0)</f>
        <v>-672</v>
      </c>
      <c r="AH27" s="1070">
        <f>IFERROR(HLOOKUP($PT27,Calc!$G$125:$AI$146,18,0),0)</f>
        <v>0</v>
      </c>
      <c r="AI27" s="1070">
        <f>IFERROR(HLOOKUP($PT27,Calc!$G$125:$AI$146,19,0),0)</f>
        <v>-933.33333333333337</v>
      </c>
      <c r="AJ27" s="1070">
        <f>IFERROR(HLOOKUP($PT27,Calc!$G$125:$AI$146,20,0),0)</f>
        <v>0</v>
      </c>
      <c r="AK27" s="1070">
        <f>IFERROR(HLOOKUP($PT27,Calc!$G$125:$AI$146,21,0),0)</f>
        <v>261.33333333333337</v>
      </c>
      <c r="AL27" s="1070">
        <f>IFERROR(HLOOKUP($PT27,Calc!$G$125:$AI$146,22,0),0)</f>
        <v>0</v>
      </c>
      <c r="AM27" s="1070">
        <f>IFERROR(HLOOKUP($PT27,Calc!$G$125:$AI$147,23,0),0)</f>
        <v>18.362670497600924</v>
      </c>
      <c r="AN27" s="1070">
        <f>IF(PPT!$D$2="$ M",IFERROR(HLOOKUP($PT27,PPT!$E$131:$BJ$159,5,0),0)*1000,IFERROR(HLOOKUP($PT27,PPT!$E$131:$BJ$159,5,0),0))</f>
        <v>0</v>
      </c>
      <c r="AO27" s="1070">
        <f>IF(PPT!$D$2="$ M",IFERROR(HLOOKUP($PT27,PPT!$E$131:$BJ$159,6,0),0)*1000,IFERROR(HLOOKUP($PT27,PPT!$E$131:$BJ$159,6,0),0))</f>
        <v>0</v>
      </c>
      <c r="AP27" s="1070">
        <f>IF(PPT!$D$2="$ M",IFERROR(HLOOKUP($PT27,PPT!$E$131:$BJ$159,7,0),0)*1000,IFERROR(HLOOKUP($PT27,PPT!$E$131:$BJ$159,7,0),0))</f>
        <v>0</v>
      </c>
      <c r="AQ27" s="1070">
        <f>IF(PPT!$D$2="$ M",IFERROR(HLOOKUP($PT27,PPT!$E$131:$BJ$159,8,0),0)*1000,IFERROR(HLOOKUP($PT27,PPT!$E$131:$BJ$159,8,0),0))</f>
        <v>0</v>
      </c>
      <c r="AR27" s="1070">
        <f>IF(PPT!$D$2="$ M",IFERROR(HLOOKUP($PT27,PPT!$E$131:$BJ$159,9,0),0)*1000,IFERROR(HLOOKUP($PT27,PPT!$E$131:$BJ$159,9,0),0))</f>
        <v>0</v>
      </c>
      <c r="AS27" s="1070">
        <f>IF(PPT!$D$2="$ M",IFERROR(HLOOKUP($PT27,PPT!$E$131:$BJ$159,10,0),0)*1000,IFERROR(HLOOKUP($PT27,PPT!$E$131:$BJ$159,10,0),0))</f>
        <v>0</v>
      </c>
      <c r="AT27" s="1070">
        <f>IF(PPT!$D$2="$ M",IFERROR(HLOOKUP($PT27,PPT!$E$131:$BJ$159,13,0),0)*1000,IFERROR(HLOOKUP($PT27,PPT!$E$131:$BJ$159,13,0),0))</f>
        <v>0</v>
      </c>
      <c r="AU27" s="1070">
        <f>IF(PPT!$D$2="$ M",IFERROR(HLOOKUP($PT27,PPT!$E$131:$BJ$159,14,0),0)*1000,IFERROR(HLOOKUP($PT27,PPT!$E$131:$BJ$159,14,0),0))</f>
        <v>0</v>
      </c>
      <c r="AV27" s="1070">
        <f>IF(PPT!$D$2="$ M",IFERROR(HLOOKUP($PT27,PPT!$E$131:$BJ$159,15,0),0)*1000,IFERROR(HLOOKUP($PT27,PPT!$E$131:$BJ$159,15,0),0))</f>
        <v>0</v>
      </c>
      <c r="AW27" s="1070">
        <f>IF(PPT!$D$2="$ M",IFERROR(HLOOKUP($PT27,PPT!$E$131:$BJ$159,17,0),0)*1000,IFERROR(HLOOKUP($PT27,PPT!$E$131:$BJ$159,17,0),0))</f>
        <v>0</v>
      </c>
      <c r="AX27" s="1070">
        <f>IF(PPT!$D$2="$ M",IFERROR(HLOOKUP($PT27,PPT!$E$131:$BJ$159,18,0),0)*1000,IFERROR(HLOOKUP($PT27,PPT!$E$131:$BJ$159,18,0),0))</f>
        <v>0</v>
      </c>
      <c r="AY27" s="1070">
        <f>IF(PPT!$D$2="$ M",IFERROR(HLOOKUP($PT27,PPT!$E$131:$BJ$159,19,0),0)*1000,IFERROR(HLOOKUP($PT27,PPT!$E$131:$BJ$159,19,0),0))</f>
        <v>0</v>
      </c>
      <c r="AZ27" s="1070">
        <f>IF(PPT!$D$2="$ M",IFERROR(HLOOKUP($PT27,PPT!$E$131:$BJ$159,21,0),0)*1000,IFERROR(HLOOKUP($PT27,PPT!$E$131:$BJ$159,21,0),0))</f>
        <v>0</v>
      </c>
      <c r="BA27" s="1070">
        <f>IF(PPT!$D$2="$ M",IFERROR(HLOOKUP($PT27,PPT!$E$131:$BJ$159,22,0),0)*1000,IFERROR(HLOOKUP($PT27,PPT!$E$131:$BJ$159,22,0),0))</f>
        <v>0</v>
      </c>
      <c r="BB27" s="1070">
        <f>IF(PPT!$D$2="$ M",IFERROR(HLOOKUP($PT27,PPT!$E$131:$BJ$159,23,0),0)*1000,IFERROR(HLOOKUP($PT27,PPT!$E$131:$BJ$159,23,0),0))</f>
        <v>0</v>
      </c>
      <c r="BC27" s="1070">
        <f>IF(PPT!$D$2="$ M",IFERROR(HLOOKUP($PT27,PPT!$E$131:$BJ$159,25,0),0)*1000,IFERROR(HLOOKUP($PT27,PPT!$E$131:$BJ$159,25,0),0))</f>
        <v>0</v>
      </c>
      <c r="BD27" s="1070">
        <f>IF(PPT!$D$2="$ M",IFERROR(HLOOKUP($PT27,PPT!$E$131:$BJ$159,26,0),0)*1000,IFERROR(HLOOKUP($PT27,PPT!$E$131:$BJ$159,26,0),0))</f>
        <v>0</v>
      </c>
      <c r="BE27" s="1070">
        <f>IF(PPT!$D$2="$ M",IFERROR(HLOOKUP($PT27,PPT!$E$131:$BJ$159,27,0),0)*1000,IFERROR(HLOOKUP($PT27,PPT!$E$131:$BJ$159,27,0),0))</f>
        <v>0</v>
      </c>
      <c r="BF27" s="1070">
        <f>IFERROR(HLOOKUP($PT27,Calc!$F$151:$P$166,2,0),0)</f>
        <v>0</v>
      </c>
      <c r="BG27" s="1070">
        <f>IFERROR(HLOOKUP($PT27,Calc!$F$151:$P$166,3,0),0)</f>
        <v>0</v>
      </c>
      <c r="BH27" s="1070">
        <f>IFERROR(HLOOKUP($PT27,Calc!$F$151:$P$166,4,0),0)</f>
        <v>0</v>
      </c>
      <c r="BI27" s="1070">
        <f>IFERROR(HLOOKUP($PT27,Calc!$F$151:$P$166,5,0),0)</f>
        <v>0</v>
      </c>
      <c r="BJ27" s="1070">
        <f>IFERROR(HLOOKUP($PT27,Calc!$F$151:$P$166,6,0),0)</f>
        <v>0</v>
      </c>
      <c r="BK27" s="1070">
        <f>IFERROR(HLOOKUP($PT27,Calc!$F$151:$P$166,7,0),0)</f>
        <v>0</v>
      </c>
      <c r="BL27" s="1070">
        <f>IFERROR(HLOOKUP($PT27,Calc!$F$151:$P$166,8,0),0)</f>
        <v>0</v>
      </c>
      <c r="BM27" s="1070">
        <f>IFERROR(HLOOKUP($PT27,Calc!$F$151:$P$166,9,0),0)</f>
        <v>0</v>
      </c>
      <c r="BN27" s="1070">
        <f>IFERROR(HLOOKUP($PT27,Calc!$F$151:$P$166,10,0),0)</f>
        <v>0</v>
      </c>
      <c r="BO27" s="1070">
        <f>IFERROR(HLOOKUP($PT27,Calc!$F$151:$P$166,11,0),0)</f>
        <v>0</v>
      </c>
      <c r="BP27" s="1070">
        <f>IFERROR(HLOOKUP($PT27,Calc!$F$151:$P$166,12,0),0)</f>
        <v>0</v>
      </c>
      <c r="BQ27" s="1070">
        <f>IFERROR(HLOOKUP($PT27,Calc!$F$151:$P$166,13,0),0)</f>
        <v>0</v>
      </c>
      <c r="BR27" s="1070">
        <f>IFERROR(HLOOKUP($PT27,Calc!$F$151:$P$166,14,0),0)</f>
        <v>0</v>
      </c>
      <c r="BS27" s="1070">
        <f>IFERROR(HLOOKUP($PT27,Calc!$F$151:$P$166,15,0),0)</f>
        <v>0</v>
      </c>
      <c r="BT27" s="1070">
        <f>IFERROR(HLOOKUP($PT27,Calc!$F$151:$P$166,16,0),0)</f>
        <v>0</v>
      </c>
      <c r="BU27" s="1070">
        <f>IFERROR(VLOOKUP($PS27,Calc!$AF$196:$AH$203,2,0),0)</f>
        <v>0</v>
      </c>
      <c r="BV27" s="1070">
        <f>IFERROR(VLOOKUP($PS27,Calc!$AF$196:$AH$203,3,0),0)</f>
        <v>0</v>
      </c>
      <c r="BW27" s="1070">
        <f>IFERROR(VLOOKUP($PS27,Calc!$AF$196:$AI$203,4,0),0)</f>
        <v>0</v>
      </c>
      <c r="BX27" s="1070">
        <f>IFERROR(VLOOKUP($PS27,Calc!$AF$208:$AI$209,2,0),0)</f>
        <v>0</v>
      </c>
      <c r="BY27" s="1070">
        <f>IFERROR(VLOOKUP($PS27,Calc!$AF$208:$AI$209,3,0),0)</f>
        <v>0</v>
      </c>
      <c r="BZ27" s="1070">
        <f>IFERROR(VLOOKUP($PS27,Calc!$AF$208:$AI$209,4,0),0)</f>
        <v>0</v>
      </c>
      <c r="CA27" s="1070">
        <f>IFERROR(VLOOKUP($PS27,Calc!$K$420:$P$433,3,0),0)</f>
        <v>0</v>
      </c>
      <c r="CB27" s="1070">
        <f>IFERROR(VLOOKUP($PS27,Calc!$K$420:$P$433,4,0),0)</f>
        <v>0</v>
      </c>
      <c r="CC27" s="1070">
        <f>IFERROR(VLOOKUP($PS27,Calc!$K$420:$P$433,5,0),0)</f>
        <v>0</v>
      </c>
      <c r="CD27" s="1070">
        <f>IFERROR(VLOOKUP($PS27,Calc!$K$420:$P$433,6,0),0)</f>
        <v>0</v>
      </c>
      <c r="CE27" s="1070">
        <f>IFERROR(VLOOKUP($PS27,Calc!$AQ$420:$AV$433,3,0),0)</f>
        <v>0</v>
      </c>
      <c r="CF27" s="1070">
        <f>IFERROR(VLOOKUP($PS27,Calc!$AQ$420:$AV$433,4,0),0)</f>
        <v>0</v>
      </c>
      <c r="CG27" s="1070">
        <f>IFERROR(VLOOKUP($PS27,Calc!$AQ$420:$AV$433,5,0),0)</f>
        <v>0</v>
      </c>
      <c r="CH27" s="1070">
        <f>IFERROR(VLOOKUP($PS27,Calc!$AQ$420:$AV$433,6,0),0)</f>
        <v>0</v>
      </c>
      <c r="CI27" s="1070">
        <f>IFERROR(HLOOKUP($PT27,Calc!$AQ$125:$BS$146,3,0),0)</f>
        <v>0</v>
      </c>
      <c r="CJ27" s="1070">
        <f>IFERROR(HLOOKUP($PT27,Calc!$AQ$125:$BS$146,6,0),0)</f>
        <v>0</v>
      </c>
      <c r="CK27" s="1070">
        <f>IFERROR(IF(Calc!$C$129="Dollar ($)",HLOOKUP($PT27,Calc!$AQ$125:$BS$146,5,0),0),0)</f>
        <v>0</v>
      </c>
      <c r="CL27" s="1070">
        <f>IFERROR(IF(Calc!$C$129="Volume (units)",HLOOKUP($PT27,Calc!$AQ$125:$BS$146,5,0),0),0)</f>
        <v>0</v>
      </c>
      <c r="CM27" s="1070">
        <f>IFERROR(HLOOKUP($PT27,Calc!$AQ$125:$BS$146,9,0),0)</f>
        <v>0</v>
      </c>
      <c r="CN27" s="1070">
        <f>IFERROR(HLOOKUP($PT27,Calc!$AQ$125:$BS$146,10,0),0)</f>
        <v>0</v>
      </c>
      <c r="CO27" s="1070">
        <f>IFERROR(HLOOKUP($PT27,Calc!$AQ$125:$BS$146,11,0),0)</f>
        <v>0</v>
      </c>
      <c r="CP27" s="1070">
        <f>IFERROR(HLOOKUP($PT27,Calc!$AQ$125:$BS$146,12,0),0)</f>
        <v>0</v>
      </c>
      <c r="CQ27" s="1070">
        <f>IFERROR(HLOOKUP($PT27,Calc!$AQ$125:$BS$146,13,0),0)</f>
        <v>0</v>
      </c>
      <c r="CR27" s="1070">
        <f>IFERROR(HLOOKUP($PT27,Calc!$AQ$125:$BS$146,17,0),0)</f>
        <v>0</v>
      </c>
      <c r="CS27" s="1070">
        <f>IFERROR(HLOOKUP($PT27,Calc!$AQ$125:$BS$146,19,0),0)</f>
        <v>0</v>
      </c>
      <c r="CT27" s="1070">
        <f>IFERROR(HLOOKUP($PT27,Calc!$AQ$125:$BS$146,20,0),0)</f>
        <v>0</v>
      </c>
      <c r="CU27" s="1070">
        <f>IFERROR(HLOOKUP($PT27,Calc!$AQ$125:$BS$146,21,0),0)</f>
        <v>0</v>
      </c>
      <c r="CV27" s="1070">
        <f>IFERROR(HLOOKUP($PT27,Calc!$AQ$125:$BS$147,23,0),0)</f>
        <v>0</v>
      </c>
      <c r="CW27" s="1070">
        <f>IFERROR(HLOOKUP($PT27,Calc!$AQ$9:$BS$15,5,0),0)+IFERROR(HLOOKUP($PT27,Calc!$AQ$30:$BS$36,5,0),0)+IFERROR(HLOOKUP($PT27,Calc!$AQ$51:$BS$57,5,0),0)+IFERROR(HLOOKUP($PT27,Calc!$AQ$72:$BS$78,5,0),0)+IFERROR(HLOOKUP($PT27,Calc!$AQ$93:$BS$99,5,0),0)</f>
        <v>0</v>
      </c>
      <c r="CX27" s="1070">
        <f>IFERROR(HLOOKUP($PT27,Calc!$AQ$9:$BS$15,6,0),0)+IFERROR(HLOOKUP($PT27,Calc!$AQ$30:$BS$36,6,0),0)+IFERROR(HLOOKUP($PT27,Calc!$AQ$51:$BS$57,6,0),0)+IFERROR(HLOOKUP($PT27,Calc!$AQ$72:$BS$78,6,0),0)+IFERROR(HLOOKUP($PT27,Calc!$AQ$93:$BS$99,6,0),0)</f>
        <v>0</v>
      </c>
      <c r="CY27" s="1070">
        <f>IFERROR(HLOOKUP($PT27,Calc!$AQ$9:$BS$15,7,0),0)+IFERROR(HLOOKUP($PT27,Calc!$AQ$30:$BS$36,7,0),0)+IFERROR(HLOOKUP($PT27,Calc!$AQ$51:$BS$57,7,0),0)+IFERROR(HLOOKUP($PT27,Calc!$AQ$72:$BS$78,7,0),0)+IFERROR(HLOOKUP($PT27,Calc!$AQ$93:$BS$99,7,0),0)</f>
        <v>0</v>
      </c>
      <c r="IY27" s="1070">
        <f>IFERROR(HLOOKUP($PT27,Current_Prior!$AQ$9:$BS$30,3,0),0)</f>
        <v>0</v>
      </c>
      <c r="IZ27" s="1070">
        <f>IFERROR(HLOOKUP($PT27,Current_Prior!$AQ$9:$BS$30,6,0),0)</f>
        <v>0</v>
      </c>
      <c r="JA27" s="1070">
        <f>IFERROR(IF(Calc!$C$129="Dollar ($)",HLOOKUP($PT27,Current_Prior!$AQ$9:$BS$30,5,0),0),0)</f>
        <v>0</v>
      </c>
      <c r="JB27" s="1070">
        <f>IFERROR(IF(Calc!$C$129="Volume (units)",HLOOKUP($PT27,Current_Prior!$AQ$9:$BS$30,5,0),0),0)</f>
        <v>0</v>
      </c>
      <c r="JC27" s="1070">
        <f>IFERROR(HLOOKUP($PT27,Current_Prior!$AQ$9:$BS$30,9,0),0)</f>
        <v>0</v>
      </c>
      <c r="JD27" s="1070">
        <f>IFERROR(HLOOKUP($PT27,Current_Prior!$AQ$9:$BS$30,10,0),0)</f>
        <v>0</v>
      </c>
      <c r="JE27" s="1070">
        <f>IFERROR(HLOOKUP($PT27,Current_Prior!$AQ$9:$BS$30,11,0),0)</f>
        <v>0</v>
      </c>
      <c r="JF27" s="1070">
        <f>IFERROR(HLOOKUP($PT27,Current_Prior!$AQ$9:$BS$30,12,0),0)</f>
        <v>0</v>
      </c>
      <c r="JG27" s="1070">
        <f>IFERROR(HLOOKUP($PT27,Current_Prior!$AQ$9:$BS$30,13,0),0)</f>
        <v>0</v>
      </c>
      <c r="JH27" s="1070">
        <f>IFERROR(HLOOKUP($PT27,Current_Prior!$AQ$9:$BS$30,17,0),0)</f>
        <v>0</v>
      </c>
      <c r="JI27" s="1070">
        <f>IFERROR(HLOOKUP($PT27,Current_Prior!$AQ$9:$BS$30,19,0),0)</f>
        <v>0</v>
      </c>
      <c r="JJ27" s="1070">
        <f>IFERROR(HLOOKUP($PT27,Current_Prior!$AQ$9:$BS$30,20,0),0)</f>
        <v>0</v>
      </c>
      <c r="JK27" s="1070">
        <f>IFERROR(HLOOKUP($PT27,Current_Prior!$AQ$9:$BS$30,21,0),0)</f>
        <v>0</v>
      </c>
      <c r="JL27" s="1070">
        <f>IFERROR(HLOOKUP($PT27,Current_Prior!$AQ$9:$BS$31,23,0),0)</f>
        <v>0</v>
      </c>
      <c r="ML27" s="1082">
        <f>IFERROR(HLOOKUP($PT27,HistInfo!$G$15:$AI$37,3,0),0)</f>
        <v>0</v>
      </c>
      <c r="MM27" s="1082">
        <f>IFERROR(HLOOKUP($PT27,HistInfo!$G$15:$AI$37,6,0),0)</f>
        <v>0</v>
      </c>
      <c r="MN27" s="1070">
        <f>IFERROR(IF(HistInfo!$C$19="Dollar ($)",HLOOKUP($PT27,HistInfo!$G$15:$AI$37,5,0),0),0)</f>
        <v>0</v>
      </c>
      <c r="MO27" s="1070">
        <f>IFERROR(IF(HistInfo!$C$19="Volume (units)",HLOOKUP($PT27,HistInfo!$G$15:$AI$37,5,0),0),0)</f>
        <v>0</v>
      </c>
      <c r="MP27" s="1082">
        <f>IFERROR(HLOOKUP($PT27,HistInfo!$G$15:$AI$37,9,0),0)</f>
        <v>0</v>
      </c>
      <c r="MQ27" s="1082">
        <f>IFERROR(HLOOKUP($PT27,HistInfo!$G$15:$AI$37,10,0),0)</f>
        <v>0</v>
      </c>
      <c r="MR27" s="1082">
        <f>IFERROR(HLOOKUP($PT27,HistInfo!$G$15:$AI$37,11,0),0)</f>
        <v>0</v>
      </c>
      <c r="MS27" s="1082">
        <f>IFERROR(HLOOKUP($PT27,HistInfo!$G$15:$AI$37,12,0),0)</f>
        <v>0</v>
      </c>
      <c r="MT27" s="1082">
        <f>IFERROR(HLOOKUP($PT27,HistInfo!$G$15:$AI$37,13,0),0)</f>
        <v>0</v>
      </c>
      <c r="MU27" s="1082">
        <f>IFERROR(HLOOKUP($PT27,HistInfo!$G$15:$AI$37,17,0),0)</f>
        <v>0</v>
      </c>
      <c r="MV27" s="1082">
        <f>IFERROR(HLOOKUP($PT27,HistInfo!$G$15:$AI$37,19,0),0)</f>
        <v>0</v>
      </c>
      <c r="MW27" s="1082">
        <f>IFERROR(HLOOKUP($PT27,HistInfo!$G$15:$AI$37,20,0),0)</f>
        <v>0</v>
      </c>
      <c r="MX27" s="1082">
        <f>IFERROR(HLOOKUP($PT27,HistInfo!$G$15:$AI$37,21,0),0)</f>
        <v>0</v>
      </c>
      <c r="MY27" s="1082">
        <f>IFERROR(HLOOKUP($PT27,HistInfo!$G$15:$AI$37,23,0),0)</f>
        <v>0</v>
      </c>
      <c r="PS27" s="1070">
        <v>37</v>
      </c>
      <c r="PT27" s="1082" t="str">
        <f t="shared" si="1"/>
        <v>FY37</v>
      </c>
      <c r="PU27" s="1070" t="str">
        <f t="shared" si="2"/>
        <v>2037</v>
      </c>
    </row>
    <row r="28" spans="1:437" x14ac:dyDescent="0.3">
      <c r="A28" s="1070" t="str">
        <f t="shared" si="8"/>
        <v>Life Sciences</v>
      </c>
      <c r="B28" s="1070" t="str">
        <f t="shared" si="8"/>
        <v>BDB</v>
      </c>
      <c r="C28" s="1070">
        <f t="shared" si="8"/>
        <v>0</v>
      </c>
      <c r="D28" s="1070">
        <f t="shared" si="8"/>
        <v>0</v>
      </c>
      <c r="E28" s="1070">
        <v>0</v>
      </c>
      <c r="F28" s="1070">
        <v>0</v>
      </c>
      <c r="G28" s="1070">
        <f t="shared" si="7"/>
        <v>0</v>
      </c>
      <c r="H28" s="1070">
        <f t="shared" si="7"/>
        <v>0</v>
      </c>
      <c r="I28" s="1070">
        <f t="shared" si="7"/>
        <v>0</v>
      </c>
      <c r="J28" s="1070" t="str">
        <f t="shared" si="7"/>
        <v>Budget</v>
      </c>
      <c r="K28" s="1070" t="str">
        <f t="shared" si="0"/>
        <v>2038</v>
      </c>
      <c r="L28" s="1070">
        <f>IF(PPT!$D$2="$ M",IFERROR(HLOOKUP($PT28,PPT!$E$117:$BJ$119,3,0),0)*1000,IFERROR(HLOOKUP($PT28,PPT!$E$117:$BJ$119,3,0),0))</f>
        <v>0</v>
      </c>
      <c r="M28" s="1070">
        <f>IF(PPT!$D$2="$ M",IFERROR(HLOOKUP($PT28,PPT!$E$133:$BJ$159,4,0),0)*1000,IFERROR(HLOOKUP($PT28,PPT!$E$133:$BJ$159,4,0),0))</f>
        <v>0</v>
      </c>
      <c r="N28" s="1070">
        <f>IF(PPT!$D$2="$ M",IFERROR(HLOOKUP($PT28,PPT!$E$133:$BJ$159,5,0),0)*1000,IFERROR(HLOOKUP($PT28,PPT!$E$133:$BJ$159,5,0),0))</f>
        <v>0</v>
      </c>
      <c r="O28" s="1070">
        <f>IF(PPT!$D$2="$ M",IFERROR(HLOOKUP($PT28,PPT!$E$133:$BJ$159,6,0),0)*1000,IFERROR(HLOOKUP($PT28,PPT!$E$133:$BJ$159,6,0),0))</f>
        <v>0</v>
      </c>
      <c r="P28" s="1070">
        <f>IF(PPT!$D$2="$ M",IFERROR(HLOOKUP($PT28,PPT!$E$133:$BJ$159,7,0),0)*1000,IFERROR(HLOOKUP($PT28,PPT!$E$133:$BJ$159,7,0),0))</f>
        <v>0</v>
      </c>
      <c r="Q28" s="1070">
        <f>IFERROR(HLOOKUP($PT28,Calc!$G$125:$AI$146,3,0),0)</f>
        <v>0</v>
      </c>
      <c r="R28" s="1070" t="str">
        <f>IF(PPT!$D$2="$ M",IFERROR(HLOOKUP($PT28,PPT!$E$133:$BJ$159,9,0),0),IFERROR(HLOOKUP($PT28,PPT!$E$133:$BJ$159,9,0),0))</f>
        <v/>
      </c>
      <c r="S28" s="1070" t="str">
        <f>IF(PPT!$D$2="$ M",IFERROR(HLOOKUP($PT28,PPT!$E$133:$BJ$159,10,0),0),IFERROR(HLOOKUP($PT28,PPT!$E$133:$BJ$159,10,0),0))</f>
        <v/>
      </c>
      <c r="T28" s="1070">
        <f>IFERROR(IF(Calc!$C$129="Dollar ($)",HLOOKUP($PT28,Calc!$G$125:$AI$146,5,0),0),0)</f>
        <v>0</v>
      </c>
      <c r="U28" s="1070">
        <f>IFERROR(IF(Calc!$C$129="Volume (units)",HLOOKUP($PT28,Calc!$G$125:$AI$146,5,0),0),0)</f>
        <v>0</v>
      </c>
      <c r="V28" s="1070">
        <f>IFERROR(HLOOKUP($PT28,Calc!$G$125:$AI$146,6,0),0)</f>
        <v>0</v>
      </c>
      <c r="W28" s="1070">
        <f>IFERROR(HLOOKUP($PT28,Calc!$G$125:$AI$146,7,0),0)</f>
        <v>0</v>
      </c>
      <c r="X28" s="1070">
        <f>IFERROR(HLOOKUP($PT28,Calc!$G$125:$AI$146,8,0),0)</f>
        <v>0</v>
      </c>
      <c r="Y28" s="1070">
        <f>IFERROR(HLOOKUP($PT28,Calc!$G$125:$AI$146,9,0),0)</f>
        <v>0</v>
      </c>
      <c r="Z28" s="1070">
        <f>IFERROR(HLOOKUP($PT28,Calc!$G$125:$AI$146,10,0),0)</f>
        <v>0</v>
      </c>
      <c r="AA28" s="1070">
        <f>IFERROR(HLOOKUP($PT28,Calc!$G$125:$AI$146,11,0),0)</f>
        <v>0</v>
      </c>
      <c r="AB28" s="1070">
        <f>IFERROR(HLOOKUP($PT28,Calc!$G$125:$AI$146,12,0),0)</f>
        <v>0</v>
      </c>
      <c r="AC28" s="1070">
        <f>IFERROR(HLOOKUP($PT28,Calc!$G$125:$AI$146,13,0),0)</f>
        <v>0</v>
      </c>
      <c r="AD28" s="1070">
        <f>IFERROR(HLOOKUP($PT28,Calc!$G$125:$AI$146,14,0),0)</f>
        <v>0</v>
      </c>
      <c r="AE28" s="1070">
        <f>IFERROR(HLOOKUP($PT28,Calc!$G$125:$AI$146,15,0),0)</f>
        <v>0</v>
      </c>
      <c r="AF28" s="1070">
        <f>IFERROR(HLOOKUP($PT28,Calc!$G$125:$AI$146,16,0),0)</f>
        <v>0</v>
      </c>
      <c r="AG28" s="1070">
        <f>IFERROR(HLOOKUP($PT28,Calc!$G$125:$AI$146,17,0),0)</f>
        <v>0</v>
      </c>
      <c r="AH28" s="1070">
        <f>IFERROR(HLOOKUP($PT28,Calc!$G$125:$AI$146,18,0),0)</f>
        <v>0</v>
      </c>
      <c r="AI28" s="1070">
        <f>IFERROR(HLOOKUP($PT28,Calc!$G$125:$AI$146,19,0),0)</f>
        <v>0</v>
      </c>
      <c r="AJ28" s="1070">
        <f>IFERROR(HLOOKUP($PT28,Calc!$G$125:$AI$146,20,0),0)</f>
        <v>0</v>
      </c>
      <c r="AK28" s="1070">
        <f>IFERROR(HLOOKUP($PT28,Calc!$G$125:$AI$146,21,0),0)</f>
        <v>0</v>
      </c>
      <c r="AL28" s="1070">
        <f>IFERROR(HLOOKUP($PT28,Calc!$G$125:$AI$146,22,0),0)</f>
        <v>0</v>
      </c>
      <c r="AM28" s="1070">
        <f>IFERROR(HLOOKUP($PT28,Calc!$G$125:$AI$147,23,0),0)</f>
        <v>0</v>
      </c>
      <c r="AN28" s="1070">
        <f>IF(PPT!$D$2="$ M",IFERROR(HLOOKUP($PT28,PPT!$E$131:$BJ$159,5,0),0)*1000,IFERROR(HLOOKUP($PT28,PPT!$E$131:$BJ$159,5,0),0))</f>
        <v>0</v>
      </c>
      <c r="AO28" s="1070">
        <f>IF(PPT!$D$2="$ M",IFERROR(HLOOKUP($PT28,PPT!$E$131:$BJ$159,6,0),0)*1000,IFERROR(HLOOKUP($PT28,PPT!$E$131:$BJ$159,6,0),0))</f>
        <v>0</v>
      </c>
      <c r="AP28" s="1070">
        <f>IF(PPT!$D$2="$ M",IFERROR(HLOOKUP($PT28,PPT!$E$131:$BJ$159,7,0),0)*1000,IFERROR(HLOOKUP($PT28,PPT!$E$131:$BJ$159,7,0),0))</f>
        <v>0</v>
      </c>
      <c r="AQ28" s="1070">
        <f>IF(PPT!$D$2="$ M",IFERROR(HLOOKUP($PT28,PPT!$E$131:$BJ$159,8,0),0)*1000,IFERROR(HLOOKUP($PT28,PPT!$E$131:$BJ$159,8,0),0))</f>
        <v>0</v>
      </c>
      <c r="AR28" s="1070">
        <f>IF(PPT!$D$2="$ M",IFERROR(HLOOKUP($PT28,PPT!$E$131:$BJ$159,9,0),0)*1000,IFERROR(HLOOKUP($PT28,PPT!$E$131:$BJ$159,9,0),0))</f>
        <v>0</v>
      </c>
      <c r="AS28" s="1070">
        <f>IF(PPT!$D$2="$ M",IFERROR(HLOOKUP($PT28,PPT!$E$131:$BJ$159,10,0),0)*1000,IFERROR(HLOOKUP($PT28,PPT!$E$131:$BJ$159,10,0),0))</f>
        <v>0</v>
      </c>
      <c r="AT28" s="1070">
        <f>IF(PPT!$D$2="$ M",IFERROR(HLOOKUP($PT28,PPT!$E$131:$BJ$159,13,0),0)*1000,IFERROR(HLOOKUP($PT28,PPT!$E$131:$BJ$159,13,0),0))</f>
        <v>0</v>
      </c>
      <c r="AU28" s="1070">
        <f>IF(PPT!$D$2="$ M",IFERROR(HLOOKUP($PT28,PPT!$E$131:$BJ$159,14,0),0)*1000,IFERROR(HLOOKUP($PT28,PPT!$E$131:$BJ$159,14,0),0))</f>
        <v>0</v>
      </c>
      <c r="AV28" s="1070">
        <f>IF(PPT!$D$2="$ M",IFERROR(HLOOKUP($PT28,PPT!$E$131:$BJ$159,15,0),0)*1000,IFERROR(HLOOKUP($PT28,PPT!$E$131:$BJ$159,15,0),0))</f>
        <v>0</v>
      </c>
      <c r="AW28" s="1070">
        <f>IF(PPT!$D$2="$ M",IFERROR(HLOOKUP($PT28,PPT!$E$131:$BJ$159,17,0),0)*1000,IFERROR(HLOOKUP($PT28,PPT!$E$131:$BJ$159,17,0),0))</f>
        <v>0</v>
      </c>
      <c r="AX28" s="1070">
        <f>IF(PPT!$D$2="$ M",IFERROR(HLOOKUP($PT28,PPT!$E$131:$BJ$159,18,0),0)*1000,IFERROR(HLOOKUP($PT28,PPT!$E$131:$BJ$159,18,0),0))</f>
        <v>0</v>
      </c>
      <c r="AY28" s="1070">
        <f>IF(PPT!$D$2="$ M",IFERROR(HLOOKUP($PT28,PPT!$E$131:$BJ$159,19,0),0)*1000,IFERROR(HLOOKUP($PT28,PPT!$E$131:$BJ$159,19,0),0))</f>
        <v>0</v>
      </c>
      <c r="AZ28" s="1070">
        <f>IF(PPT!$D$2="$ M",IFERROR(HLOOKUP($PT28,PPT!$E$131:$BJ$159,21,0),0)*1000,IFERROR(HLOOKUP($PT28,PPT!$E$131:$BJ$159,21,0),0))</f>
        <v>0</v>
      </c>
      <c r="BA28" s="1070">
        <f>IF(PPT!$D$2="$ M",IFERROR(HLOOKUP($PT28,PPT!$E$131:$BJ$159,22,0),0)*1000,IFERROR(HLOOKUP($PT28,PPT!$E$131:$BJ$159,22,0),0))</f>
        <v>0</v>
      </c>
      <c r="BB28" s="1070">
        <f>IF(PPT!$D$2="$ M",IFERROR(HLOOKUP($PT28,PPT!$E$131:$BJ$159,23,0),0)*1000,IFERROR(HLOOKUP($PT28,PPT!$E$131:$BJ$159,23,0),0))</f>
        <v>0</v>
      </c>
      <c r="BC28" s="1070">
        <f>IF(PPT!$D$2="$ M",IFERROR(HLOOKUP($PT28,PPT!$E$131:$BJ$159,25,0),0)*1000,IFERROR(HLOOKUP($PT28,PPT!$E$131:$BJ$159,25,0),0))</f>
        <v>0</v>
      </c>
      <c r="BD28" s="1070">
        <f>IF(PPT!$D$2="$ M",IFERROR(HLOOKUP($PT28,PPT!$E$131:$BJ$159,26,0),0)*1000,IFERROR(HLOOKUP($PT28,PPT!$E$131:$BJ$159,26,0),0))</f>
        <v>0</v>
      </c>
      <c r="BE28" s="1070">
        <f>IF(PPT!$D$2="$ M",IFERROR(HLOOKUP($PT28,PPT!$E$131:$BJ$159,27,0),0)*1000,IFERROR(HLOOKUP($PT28,PPT!$E$131:$BJ$159,27,0),0))</f>
        <v>0</v>
      </c>
      <c r="BF28" s="1070">
        <f>IFERROR(HLOOKUP($PT28,Calc!$F$151:$P$166,2,0),0)</f>
        <v>0</v>
      </c>
      <c r="BG28" s="1070">
        <f>IFERROR(HLOOKUP($PT28,Calc!$F$151:$P$166,3,0),0)</f>
        <v>0</v>
      </c>
      <c r="BH28" s="1070">
        <f>IFERROR(HLOOKUP($PT28,Calc!$F$151:$P$166,4,0),0)</f>
        <v>0</v>
      </c>
      <c r="BI28" s="1070">
        <f>IFERROR(HLOOKUP($PT28,Calc!$F$151:$P$166,5,0),0)</f>
        <v>0</v>
      </c>
      <c r="BJ28" s="1070">
        <f>IFERROR(HLOOKUP($PT28,Calc!$F$151:$P$166,6,0),0)</f>
        <v>0</v>
      </c>
      <c r="BK28" s="1070">
        <f>IFERROR(HLOOKUP($PT28,Calc!$F$151:$P$166,7,0),0)</f>
        <v>0</v>
      </c>
      <c r="BL28" s="1070">
        <f>IFERROR(HLOOKUP($PT28,Calc!$F$151:$P$166,8,0),0)</f>
        <v>0</v>
      </c>
      <c r="BM28" s="1070">
        <f>IFERROR(HLOOKUP($PT28,Calc!$F$151:$P$166,9,0),0)</f>
        <v>0</v>
      </c>
      <c r="BN28" s="1070">
        <f>IFERROR(HLOOKUP($PT28,Calc!$F$151:$P$166,10,0),0)</f>
        <v>0</v>
      </c>
      <c r="BO28" s="1070">
        <f>IFERROR(HLOOKUP($PT28,Calc!$F$151:$P$166,11,0),0)</f>
        <v>0</v>
      </c>
      <c r="BP28" s="1070">
        <f>IFERROR(HLOOKUP($PT28,Calc!$F$151:$P$166,12,0),0)</f>
        <v>0</v>
      </c>
      <c r="BQ28" s="1070">
        <f>IFERROR(HLOOKUP($PT28,Calc!$F$151:$P$166,13,0),0)</f>
        <v>0</v>
      </c>
      <c r="BR28" s="1070">
        <f>IFERROR(HLOOKUP($PT28,Calc!$F$151:$P$166,14,0),0)</f>
        <v>0</v>
      </c>
      <c r="BS28" s="1070">
        <f>IFERROR(HLOOKUP($PT28,Calc!$F$151:$P$166,15,0),0)</f>
        <v>0</v>
      </c>
      <c r="BT28" s="1070">
        <f>IFERROR(HLOOKUP($PT28,Calc!$F$151:$P$166,16,0),0)</f>
        <v>0</v>
      </c>
      <c r="BU28" s="1070">
        <f>IFERROR(VLOOKUP($PS28,Calc!$AF$196:$AH$203,2,0),0)</f>
        <v>0</v>
      </c>
      <c r="BV28" s="1070">
        <f>IFERROR(VLOOKUP($PS28,Calc!$AF$196:$AH$203,3,0),0)</f>
        <v>0</v>
      </c>
      <c r="BW28" s="1070">
        <f>IFERROR(VLOOKUP($PS28,Calc!$AF$196:$AI$203,4,0),0)</f>
        <v>0</v>
      </c>
      <c r="BX28" s="1070">
        <f>IFERROR(VLOOKUP($PS28,Calc!$AF$208:$AI$209,2,0),0)</f>
        <v>0</v>
      </c>
      <c r="BY28" s="1070">
        <f>IFERROR(VLOOKUP($PS28,Calc!$AF$208:$AI$209,3,0),0)</f>
        <v>0</v>
      </c>
      <c r="BZ28" s="1070">
        <f>IFERROR(VLOOKUP($PS28,Calc!$AF$208:$AI$209,4,0),0)</f>
        <v>0</v>
      </c>
      <c r="CA28" s="1070">
        <f>IFERROR(VLOOKUP($PS28,Calc!$K$420:$P$433,3,0),0)</f>
        <v>0</v>
      </c>
      <c r="CB28" s="1070">
        <f>IFERROR(VLOOKUP($PS28,Calc!$K$420:$P$433,4,0),0)</f>
        <v>0</v>
      </c>
      <c r="CC28" s="1070">
        <f>IFERROR(VLOOKUP($PS28,Calc!$K$420:$P$433,5,0),0)</f>
        <v>0</v>
      </c>
      <c r="CD28" s="1070">
        <f>IFERROR(VLOOKUP($PS28,Calc!$K$420:$P$433,6,0),0)</f>
        <v>0</v>
      </c>
      <c r="CE28" s="1070">
        <f>IFERROR(VLOOKUP($PS28,Calc!$AQ$420:$AV$433,3,0),0)</f>
        <v>0</v>
      </c>
      <c r="CF28" s="1070">
        <f>IFERROR(VLOOKUP($PS28,Calc!$AQ$420:$AV$433,4,0),0)</f>
        <v>0</v>
      </c>
      <c r="CG28" s="1070">
        <f>IFERROR(VLOOKUP($PS28,Calc!$AQ$420:$AV$433,5,0),0)</f>
        <v>0</v>
      </c>
      <c r="CH28" s="1070">
        <f>IFERROR(VLOOKUP($PS28,Calc!$AQ$420:$AV$433,6,0),0)</f>
        <v>0</v>
      </c>
      <c r="CI28" s="1070">
        <f>IFERROR(HLOOKUP($PT28,Calc!$AQ$125:$BS$146,3,0),0)</f>
        <v>0</v>
      </c>
      <c r="CJ28" s="1070">
        <f>IFERROR(HLOOKUP($PT28,Calc!$AQ$125:$BS$146,6,0),0)</f>
        <v>0</v>
      </c>
      <c r="CK28" s="1070">
        <f>IFERROR(IF(Calc!$C$129="Dollar ($)",HLOOKUP($PT28,Calc!$AQ$125:$BS$146,5,0),0),0)</f>
        <v>0</v>
      </c>
      <c r="CL28" s="1070">
        <f>IFERROR(IF(Calc!$C$129="Volume (units)",HLOOKUP($PT28,Calc!$AQ$125:$BS$146,5,0),0),0)</f>
        <v>0</v>
      </c>
      <c r="CM28" s="1070">
        <f>IFERROR(HLOOKUP($PT28,Calc!$AQ$125:$BS$146,9,0),0)</f>
        <v>0</v>
      </c>
      <c r="CN28" s="1070">
        <f>IFERROR(HLOOKUP($PT28,Calc!$AQ$125:$BS$146,10,0),0)</f>
        <v>0</v>
      </c>
      <c r="CO28" s="1070">
        <f>IFERROR(HLOOKUP($PT28,Calc!$AQ$125:$BS$146,11,0),0)</f>
        <v>0</v>
      </c>
      <c r="CP28" s="1070">
        <f>IFERROR(HLOOKUP($PT28,Calc!$AQ$125:$BS$146,12,0),0)</f>
        <v>0</v>
      </c>
      <c r="CQ28" s="1070">
        <f>IFERROR(HLOOKUP($PT28,Calc!$AQ$125:$BS$146,13,0),0)</f>
        <v>0</v>
      </c>
      <c r="CR28" s="1070">
        <f>IFERROR(HLOOKUP($PT28,Calc!$AQ$125:$BS$146,17,0),0)</f>
        <v>0</v>
      </c>
      <c r="CS28" s="1070">
        <f>IFERROR(HLOOKUP($PT28,Calc!$AQ$125:$BS$146,19,0),0)</f>
        <v>0</v>
      </c>
      <c r="CT28" s="1070">
        <f>IFERROR(HLOOKUP($PT28,Calc!$AQ$125:$BS$146,20,0),0)</f>
        <v>0</v>
      </c>
      <c r="CU28" s="1070">
        <f>IFERROR(HLOOKUP($PT28,Calc!$AQ$125:$BS$146,21,0),0)</f>
        <v>0</v>
      </c>
      <c r="CV28" s="1070">
        <f>IFERROR(HLOOKUP($PT28,Calc!$AQ$125:$BS$147,23,0),0)</f>
        <v>0</v>
      </c>
      <c r="CW28" s="1070">
        <f>IFERROR(HLOOKUP($PT28,Calc!$AQ$9:$BS$15,5,0),0)+IFERROR(HLOOKUP($PT28,Calc!$AQ$30:$BS$36,5,0),0)+IFERROR(HLOOKUP($PT28,Calc!$AQ$51:$BS$57,5,0),0)+IFERROR(HLOOKUP($PT28,Calc!$AQ$72:$BS$78,5,0),0)+IFERROR(HLOOKUP($PT28,Calc!$AQ$93:$BS$99,5,0),0)</f>
        <v>0</v>
      </c>
      <c r="CX28" s="1070">
        <f>IFERROR(HLOOKUP($PT28,Calc!$AQ$9:$BS$15,6,0),0)+IFERROR(HLOOKUP($PT28,Calc!$AQ$30:$BS$36,6,0),0)+IFERROR(HLOOKUP($PT28,Calc!$AQ$51:$BS$57,6,0),0)+IFERROR(HLOOKUP($PT28,Calc!$AQ$72:$BS$78,6,0),0)+IFERROR(HLOOKUP($PT28,Calc!$AQ$93:$BS$99,6,0),0)</f>
        <v>0</v>
      </c>
      <c r="CY28" s="1070">
        <f>IFERROR(HLOOKUP($PT28,Calc!$AQ$9:$BS$15,7,0),0)+IFERROR(HLOOKUP($PT28,Calc!$AQ$30:$BS$36,7,0),0)+IFERROR(HLOOKUP($PT28,Calc!$AQ$51:$BS$57,7,0),0)+IFERROR(HLOOKUP($PT28,Calc!$AQ$72:$BS$78,7,0),0)+IFERROR(HLOOKUP($PT28,Calc!$AQ$93:$BS$99,7,0),0)</f>
        <v>0</v>
      </c>
      <c r="IY28" s="1070">
        <f>IFERROR(HLOOKUP($PT28,Current_Prior!$AQ$9:$BS$30,3,0),0)</f>
        <v>0</v>
      </c>
      <c r="IZ28" s="1070">
        <f>IFERROR(HLOOKUP($PT28,Current_Prior!$AQ$9:$BS$30,6,0),0)</f>
        <v>0</v>
      </c>
      <c r="JA28" s="1070">
        <f>IFERROR(IF(Calc!$C$129="Dollar ($)",HLOOKUP($PT28,Current_Prior!$AQ$9:$BS$30,5,0),0),0)</f>
        <v>0</v>
      </c>
      <c r="JB28" s="1070">
        <f>IFERROR(IF(Calc!$C$129="Volume (units)",HLOOKUP($PT28,Current_Prior!$AQ$9:$BS$30,5,0),0),0)</f>
        <v>0</v>
      </c>
      <c r="JC28" s="1070">
        <f>IFERROR(HLOOKUP($PT28,Current_Prior!$AQ$9:$BS$30,9,0),0)</f>
        <v>0</v>
      </c>
      <c r="JD28" s="1070">
        <f>IFERROR(HLOOKUP($PT28,Current_Prior!$AQ$9:$BS$30,10,0),0)</f>
        <v>0</v>
      </c>
      <c r="JE28" s="1070">
        <f>IFERROR(HLOOKUP($PT28,Current_Prior!$AQ$9:$BS$30,11,0),0)</f>
        <v>0</v>
      </c>
      <c r="JF28" s="1070">
        <f>IFERROR(HLOOKUP($PT28,Current_Prior!$AQ$9:$BS$30,12,0),0)</f>
        <v>0</v>
      </c>
      <c r="JG28" s="1070">
        <f>IFERROR(HLOOKUP($PT28,Current_Prior!$AQ$9:$BS$30,13,0),0)</f>
        <v>0</v>
      </c>
      <c r="JH28" s="1070">
        <f>IFERROR(HLOOKUP($PT28,Current_Prior!$AQ$9:$BS$30,17,0),0)</f>
        <v>0</v>
      </c>
      <c r="JI28" s="1070">
        <f>IFERROR(HLOOKUP($PT28,Current_Prior!$AQ$9:$BS$30,19,0),0)</f>
        <v>0</v>
      </c>
      <c r="JJ28" s="1070">
        <f>IFERROR(HLOOKUP($PT28,Current_Prior!$AQ$9:$BS$30,20,0),0)</f>
        <v>0</v>
      </c>
      <c r="JK28" s="1070">
        <f>IFERROR(HLOOKUP($PT28,Current_Prior!$AQ$9:$BS$30,21,0),0)</f>
        <v>0</v>
      </c>
      <c r="JL28" s="1070">
        <f>IFERROR(HLOOKUP($PT28,Current_Prior!$AQ$9:$BS$31,23,0),0)</f>
        <v>0</v>
      </c>
      <c r="ML28" s="1082">
        <f>IFERROR(HLOOKUP($PT28,HistInfo!$G$15:$AI$37,3,0),0)</f>
        <v>0</v>
      </c>
      <c r="MM28" s="1082">
        <f>IFERROR(HLOOKUP($PT28,HistInfo!$G$15:$AI$37,6,0),0)</f>
        <v>0</v>
      </c>
      <c r="MN28" s="1070">
        <f>IFERROR(IF(HistInfo!$C$19="Dollar ($)",HLOOKUP($PT28,HistInfo!$G$15:$AI$37,5,0),0),0)</f>
        <v>0</v>
      </c>
      <c r="MO28" s="1070">
        <f>IFERROR(IF(HistInfo!$C$19="Volume (units)",HLOOKUP($PT28,HistInfo!$G$15:$AI$37,5,0),0),0)</f>
        <v>0</v>
      </c>
      <c r="MP28" s="1082">
        <f>IFERROR(HLOOKUP($PT28,HistInfo!$G$15:$AI$37,9,0),0)</f>
        <v>0</v>
      </c>
      <c r="MQ28" s="1082">
        <f>IFERROR(HLOOKUP($PT28,HistInfo!$G$15:$AI$37,10,0),0)</f>
        <v>0</v>
      </c>
      <c r="MR28" s="1082">
        <f>IFERROR(HLOOKUP($PT28,HistInfo!$G$15:$AI$37,11,0),0)</f>
        <v>0</v>
      </c>
      <c r="MS28" s="1082">
        <f>IFERROR(HLOOKUP($PT28,HistInfo!$G$15:$AI$37,12,0),0)</f>
        <v>0</v>
      </c>
      <c r="MT28" s="1082">
        <f>IFERROR(HLOOKUP($PT28,HistInfo!$G$15:$AI$37,13,0),0)</f>
        <v>0</v>
      </c>
      <c r="MU28" s="1082">
        <f>IFERROR(HLOOKUP($PT28,HistInfo!$G$15:$AI$37,17,0),0)</f>
        <v>0</v>
      </c>
      <c r="MV28" s="1082">
        <f>IFERROR(HLOOKUP($PT28,HistInfo!$G$15:$AI$37,19,0),0)</f>
        <v>0</v>
      </c>
      <c r="MW28" s="1082">
        <f>IFERROR(HLOOKUP($PT28,HistInfo!$G$15:$AI$37,20,0),0)</f>
        <v>0</v>
      </c>
      <c r="MX28" s="1082">
        <f>IFERROR(HLOOKUP($PT28,HistInfo!$G$15:$AI$37,21,0),0)</f>
        <v>0</v>
      </c>
      <c r="MY28" s="1082">
        <f>IFERROR(HLOOKUP($PT28,HistInfo!$G$15:$AI$37,23,0),0)</f>
        <v>0</v>
      </c>
      <c r="PS28" s="1070">
        <v>38</v>
      </c>
      <c r="PT28" s="1082" t="str">
        <f t="shared" si="1"/>
        <v>FY38</v>
      </c>
      <c r="PU28" s="1070" t="str">
        <f t="shared" si="2"/>
        <v>2038</v>
      </c>
    </row>
    <row r="29" spans="1:437" x14ac:dyDescent="0.3">
      <c r="A29" s="1070" t="str">
        <f t="shared" si="8"/>
        <v>Life Sciences</v>
      </c>
      <c r="B29" s="1070" t="str">
        <f t="shared" si="8"/>
        <v>BDB</v>
      </c>
      <c r="C29" s="1070">
        <f t="shared" si="8"/>
        <v>0</v>
      </c>
      <c r="D29" s="1070">
        <f t="shared" si="8"/>
        <v>0</v>
      </c>
      <c r="E29" s="1070">
        <v>0</v>
      </c>
      <c r="F29" s="1070">
        <v>0</v>
      </c>
      <c r="G29" s="1070">
        <f t="shared" si="7"/>
        <v>0</v>
      </c>
      <c r="H29" s="1070">
        <f t="shared" si="7"/>
        <v>0</v>
      </c>
      <c r="I29" s="1070">
        <f t="shared" si="7"/>
        <v>0</v>
      </c>
      <c r="J29" s="1070" t="str">
        <f t="shared" si="7"/>
        <v>Budget</v>
      </c>
      <c r="K29" s="1082" t="str">
        <f t="shared" si="0"/>
        <v>2039</v>
      </c>
      <c r="L29" s="1070">
        <f>IF(PPT!$D$2="$ M",IFERROR(HLOOKUP($PT29,PPT!$E$117:$BJ$119,3,0),0)*1000,IFERROR(HLOOKUP($PT29,PPT!$E$117:$BJ$119,3,0),0))</f>
        <v>0</v>
      </c>
      <c r="M29" s="1070">
        <f>IF(PPT!$D$2="$ M",IFERROR(HLOOKUP($PT29,PPT!$E$133:$BJ$159,4,0),0)*1000,IFERROR(HLOOKUP($PT29,PPT!$E$133:$BJ$159,4,0),0))</f>
        <v>0</v>
      </c>
      <c r="N29" s="1070">
        <f>IF(PPT!$D$2="$ M",IFERROR(HLOOKUP($PT29,PPT!$E$133:$BJ$159,5,0),0)*1000,IFERROR(HLOOKUP($PT29,PPT!$E$133:$BJ$159,5,0),0))</f>
        <v>0</v>
      </c>
      <c r="O29" s="1070">
        <f>IF(PPT!$D$2="$ M",IFERROR(HLOOKUP($PT29,PPT!$E$133:$BJ$159,6,0),0)*1000,IFERROR(HLOOKUP($PT29,PPT!$E$133:$BJ$159,6,0),0))</f>
        <v>0</v>
      </c>
      <c r="P29" s="1070">
        <f>IF(PPT!$D$2="$ M",IFERROR(HLOOKUP($PT29,PPT!$E$133:$BJ$159,7,0),0)*1000,IFERROR(HLOOKUP($PT29,PPT!$E$133:$BJ$159,7,0),0))</f>
        <v>0</v>
      </c>
      <c r="Q29" s="1070">
        <f>IFERROR(HLOOKUP($PT29,Calc!$G$125:$AI$146,3,0),0)</f>
        <v>0</v>
      </c>
      <c r="R29" s="1070" t="str">
        <f>IF(PPT!$D$2="$ M",IFERROR(HLOOKUP($PT29,PPT!$E$133:$BJ$159,9,0),0),IFERROR(HLOOKUP($PT29,PPT!$E$133:$BJ$159,9,0),0))</f>
        <v/>
      </c>
      <c r="S29" s="1070" t="str">
        <f>IF(PPT!$D$2="$ M",IFERROR(HLOOKUP($PT29,PPT!$E$133:$BJ$159,10,0),0),IFERROR(HLOOKUP($PT29,PPT!$E$133:$BJ$159,10,0),0))</f>
        <v/>
      </c>
      <c r="T29" s="1070">
        <f>IFERROR(IF(Calc!$C$129="Dollar ($)",HLOOKUP($PT29,Calc!$G$125:$AI$146,5,0),0),0)</f>
        <v>0</v>
      </c>
      <c r="U29" s="1070">
        <f>IFERROR(IF(Calc!$C$129="Volume (units)",HLOOKUP($PT29,Calc!$G$125:$AI$146,5,0),0),0)</f>
        <v>0</v>
      </c>
      <c r="V29" s="1070">
        <f>IFERROR(HLOOKUP($PT29,Calc!$G$125:$AI$146,6,0),0)</f>
        <v>0</v>
      </c>
      <c r="W29" s="1070">
        <f>IFERROR(HLOOKUP($PT29,Calc!$G$125:$AI$146,7,0),0)</f>
        <v>0</v>
      </c>
      <c r="X29" s="1070">
        <f>IFERROR(HLOOKUP($PT29,Calc!$G$125:$AI$146,8,0),0)</f>
        <v>0</v>
      </c>
      <c r="Y29" s="1070">
        <f>IFERROR(HLOOKUP($PT29,Calc!$G$125:$AI$146,9,0),0)</f>
        <v>0</v>
      </c>
      <c r="Z29" s="1070">
        <f>IFERROR(HLOOKUP($PT29,Calc!$G$125:$AI$146,10,0),0)</f>
        <v>0</v>
      </c>
      <c r="AA29" s="1070">
        <f>IFERROR(HLOOKUP($PT29,Calc!$G$125:$AI$146,11,0),0)</f>
        <v>0</v>
      </c>
      <c r="AB29" s="1070">
        <f>IFERROR(HLOOKUP($PT29,Calc!$G$125:$AI$146,12,0),0)</f>
        <v>0</v>
      </c>
      <c r="AC29" s="1070">
        <f>IFERROR(HLOOKUP($PT29,Calc!$G$125:$AI$146,13,0),0)</f>
        <v>0</v>
      </c>
      <c r="AD29" s="1070">
        <f>IFERROR(HLOOKUP($PT29,Calc!$G$125:$AI$146,14,0),0)</f>
        <v>0</v>
      </c>
      <c r="AE29" s="1070">
        <f>IFERROR(HLOOKUP($PT29,Calc!$G$125:$AI$146,15,0),0)</f>
        <v>0</v>
      </c>
      <c r="AF29" s="1070">
        <f>IFERROR(HLOOKUP($PT29,Calc!$G$125:$AI$146,16,0),0)</f>
        <v>0</v>
      </c>
      <c r="AG29" s="1070">
        <f>IFERROR(HLOOKUP($PT29,Calc!$G$125:$AI$146,17,0),0)</f>
        <v>0</v>
      </c>
      <c r="AH29" s="1070">
        <f>IFERROR(HLOOKUP($PT29,Calc!$G$125:$AI$146,18,0),0)</f>
        <v>0</v>
      </c>
      <c r="AI29" s="1070">
        <f>IFERROR(HLOOKUP($PT29,Calc!$G$125:$AI$146,19,0),0)</f>
        <v>0</v>
      </c>
      <c r="AJ29" s="1070">
        <f>IFERROR(HLOOKUP($PT29,Calc!$G$125:$AI$146,20,0),0)</f>
        <v>0</v>
      </c>
      <c r="AK29" s="1070">
        <f>IFERROR(HLOOKUP($PT29,Calc!$G$125:$AI$146,21,0),0)</f>
        <v>0</v>
      </c>
      <c r="AL29" s="1070">
        <f>IFERROR(HLOOKUP($PT29,Calc!$G$125:$AI$146,22,0),0)</f>
        <v>0</v>
      </c>
      <c r="AM29" s="1070">
        <f>IFERROR(HLOOKUP($PT29,Calc!$G$125:$AI$147,23,0),0)</f>
        <v>0</v>
      </c>
      <c r="AN29" s="1070">
        <f>IF(PPT!$D$2="$ M",IFERROR(HLOOKUP($PT29,PPT!$E$131:$BJ$159,5,0),0)*1000,IFERROR(HLOOKUP($PT29,PPT!$E$131:$BJ$159,5,0),0))</f>
        <v>0</v>
      </c>
      <c r="AO29" s="1070">
        <f>IF(PPT!$D$2="$ M",IFERROR(HLOOKUP($PT29,PPT!$E$131:$BJ$159,6,0),0)*1000,IFERROR(HLOOKUP($PT29,PPT!$E$131:$BJ$159,6,0),0))</f>
        <v>0</v>
      </c>
      <c r="AP29" s="1070">
        <f>IF(PPT!$D$2="$ M",IFERROR(HLOOKUP($PT29,PPT!$E$131:$BJ$159,7,0),0)*1000,IFERROR(HLOOKUP($PT29,PPT!$E$131:$BJ$159,7,0),0))</f>
        <v>0</v>
      </c>
      <c r="AQ29" s="1070">
        <f>IF(PPT!$D$2="$ M",IFERROR(HLOOKUP($PT29,PPT!$E$131:$BJ$159,8,0),0)*1000,IFERROR(HLOOKUP($PT29,PPT!$E$131:$BJ$159,8,0),0))</f>
        <v>0</v>
      </c>
      <c r="AR29" s="1070">
        <f>IF(PPT!$D$2="$ M",IFERROR(HLOOKUP($PT29,PPT!$E$131:$BJ$159,9,0),0)*1000,IFERROR(HLOOKUP($PT29,PPT!$E$131:$BJ$159,9,0),0))</f>
        <v>0</v>
      </c>
      <c r="AS29" s="1070">
        <f>IF(PPT!$D$2="$ M",IFERROR(HLOOKUP($PT29,PPT!$E$131:$BJ$159,10,0),0)*1000,IFERROR(HLOOKUP($PT29,PPT!$E$131:$BJ$159,10,0),0))</f>
        <v>0</v>
      </c>
      <c r="AT29" s="1070">
        <f>IF(PPT!$D$2="$ M",IFERROR(HLOOKUP($PT29,PPT!$E$131:$BJ$159,13,0),0)*1000,IFERROR(HLOOKUP($PT29,PPT!$E$131:$BJ$159,13,0),0))</f>
        <v>0</v>
      </c>
      <c r="AU29" s="1070">
        <f>IF(PPT!$D$2="$ M",IFERROR(HLOOKUP($PT29,PPT!$E$131:$BJ$159,14,0),0)*1000,IFERROR(HLOOKUP($PT29,PPT!$E$131:$BJ$159,14,0),0))</f>
        <v>0</v>
      </c>
      <c r="AV29" s="1070">
        <f>IF(PPT!$D$2="$ M",IFERROR(HLOOKUP($PT29,PPT!$E$131:$BJ$159,15,0),0)*1000,IFERROR(HLOOKUP($PT29,PPT!$E$131:$BJ$159,15,0),0))</f>
        <v>0</v>
      </c>
      <c r="AW29" s="1070">
        <f>IF(PPT!$D$2="$ M",IFERROR(HLOOKUP($PT29,PPT!$E$131:$BJ$159,17,0),0)*1000,IFERROR(HLOOKUP($PT29,PPT!$E$131:$BJ$159,17,0),0))</f>
        <v>0</v>
      </c>
      <c r="AX29" s="1070">
        <f>IF(PPT!$D$2="$ M",IFERROR(HLOOKUP($PT29,PPT!$E$131:$BJ$159,18,0),0)*1000,IFERROR(HLOOKUP($PT29,PPT!$E$131:$BJ$159,18,0),0))</f>
        <v>0</v>
      </c>
      <c r="AY29" s="1070">
        <f>IF(PPT!$D$2="$ M",IFERROR(HLOOKUP($PT29,PPT!$E$131:$BJ$159,19,0),0)*1000,IFERROR(HLOOKUP($PT29,PPT!$E$131:$BJ$159,19,0),0))</f>
        <v>0</v>
      </c>
      <c r="AZ29" s="1070">
        <f>IF(PPT!$D$2="$ M",IFERROR(HLOOKUP($PT29,PPT!$E$131:$BJ$159,21,0),0)*1000,IFERROR(HLOOKUP($PT29,PPT!$E$131:$BJ$159,21,0),0))</f>
        <v>0</v>
      </c>
      <c r="BA29" s="1070">
        <f>IF(PPT!$D$2="$ M",IFERROR(HLOOKUP($PT29,PPT!$E$131:$BJ$159,22,0),0)*1000,IFERROR(HLOOKUP($PT29,PPT!$E$131:$BJ$159,22,0),0))</f>
        <v>0</v>
      </c>
      <c r="BB29" s="1070">
        <f>IF(PPT!$D$2="$ M",IFERROR(HLOOKUP($PT29,PPT!$E$131:$BJ$159,23,0),0)*1000,IFERROR(HLOOKUP($PT29,PPT!$E$131:$BJ$159,23,0),0))</f>
        <v>0</v>
      </c>
      <c r="BC29" s="1070">
        <f>IF(PPT!$D$2="$ M",IFERROR(HLOOKUP($PT29,PPT!$E$131:$BJ$159,25,0),0)*1000,IFERROR(HLOOKUP($PT29,PPT!$E$131:$BJ$159,25,0),0))</f>
        <v>0</v>
      </c>
      <c r="BD29" s="1070">
        <f>IF(PPT!$D$2="$ M",IFERROR(HLOOKUP($PT29,PPT!$E$131:$BJ$159,26,0),0)*1000,IFERROR(HLOOKUP($PT29,PPT!$E$131:$BJ$159,26,0),0))</f>
        <v>0</v>
      </c>
      <c r="BE29" s="1070">
        <f>IF(PPT!$D$2="$ M",IFERROR(HLOOKUP($PT29,PPT!$E$131:$BJ$159,27,0),0)*1000,IFERROR(HLOOKUP($PT29,PPT!$E$131:$BJ$159,27,0),0))</f>
        <v>0</v>
      </c>
      <c r="BF29" s="1070">
        <f>IFERROR(HLOOKUP($PT29,Calc!$F$151:$P$166,2,0),0)</f>
        <v>0</v>
      </c>
      <c r="BG29" s="1070">
        <f>IFERROR(HLOOKUP($PT29,Calc!$F$151:$P$166,3,0),0)</f>
        <v>0</v>
      </c>
      <c r="BH29" s="1070">
        <f>IFERROR(HLOOKUP($PT29,Calc!$F$151:$P$166,4,0),0)</f>
        <v>0</v>
      </c>
      <c r="BI29" s="1070">
        <f>IFERROR(HLOOKUP($PT29,Calc!$F$151:$P$166,5,0),0)</f>
        <v>0</v>
      </c>
      <c r="BJ29" s="1070">
        <f>IFERROR(HLOOKUP($PT29,Calc!$F$151:$P$166,6,0),0)</f>
        <v>0</v>
      </c>
      <c r="BK29" s="1070">
        <f>IFERROR(HLOOKUP($PT29,Calc!$F$151:$P$166,7,0),0)</f>
        <v>0</v>
      </c>
      <c r="BL29" s="1070">
        <f>IFERROR(HLOOKUP($PT29,Calc!$F$151:$P$166,8,0),0)</f>
        <v>0</v>
      </c>
      <c r="BM29" s="1070">
        <f>IFERROR(HLOOKUP($PT29,Calc!$F$151:$P$166,9,0),0)</f>
        <v>0</v>
      </c>
      <c r="BN29" s="1070">
        <f>IFERROR(HLOOKUP($PT29,Calc!$F$151:$P$166,10,0),0)</f>
        <v>0</v>
      </c>
      <c r="BO29" s="1070">
        <f>IFERROR(HLOOKUP($PT29,Calc!$F$151:$P$166,11,0),0)</f>
        <v>0</v>
      </c>
      <c r="BP29" s="1070">
        <f>IFERROR(HLOOKUP($PT29,Calc!$F$151:$P$166,12,0),0)</f>
        <v>0</v>
      </c>
      <c r="BQ29" s="1070">
        <f>IFERROR(HLOOKUP($PT29,Calc!$F$151:$P$166,13,0),0)</f>
        <v>0</v>
      </c>
      <c r="BR29" s="1070">
        <f>IFERROR(HLOOKUP($PT29,Calc!$F$151:$P$166,14,0),0)</f>
        <v>0</v>
      </c>
      <c r="BS29" s="1070">
        <f>IFERROR(HLOOKUP($PT29,Calc!$F$151:$P$166,15,0),0)</f>
        <v>0</v>
      </c>
      <c r="BT29" s="1070">
        <f>IFERROR(HLOOKUP($PT29,Calc!$F$151:$P$166,16,0),0)</f>
        <v>0</v>
      </c>
      <c r="BU29" s="1070">
        <f>IFERROR(VLOOKUP($PS29,Calc!$AF$196:$AH$203,2,0),0)</f>
        <v>0</v>
      </c>
      <c r="BV29" s="1070">
        <f>IFERROR(VLOOKUP($PS29,Calc!$AF$196:$AH$203,3,0),0)</f>
        <v>0</v>
      </c>
      <c r="BW29" s="1070">
        <f>IFERROR(VLOOKUP($PS29,Calc!$AF$196:$AI$203,4,0),0)</f>
        <v>0</v>
      </c>
      <c r="BX29" s="1070">
        <f>IFERROR(VLOOKUP($PS29,Calc!$AF$208:$AI$209,2,0),0)</f>
        <v>0</v>
      </c>
      <c r="BY29" s="1070">
        <f>IFERROR(VLOOKUP($PS29,Calc!$AF$208:$AI$209,3,0),0)</f>
        <v>0</v>
      </c>
      <c r="BZ29" s="1070">
        <f>IFERROR(VLOOKUP($PS29,Calc!$AF$208:$AI$209,4,0),0)</f>
        <v>0</v>
      </c>
      <c r="CA29" s="1070">
        <f>IFERROR(VLOOKUP($PS29,Calc!$K$420:$P$433,3,0),0)</f>
        <v>0</v>
      </c>
      <c r="CB29" s="1070">
        <f>IFERROR(VLOOKUP($PS29,Calc!$K$420:$P$433,4,0),0)</f>
        <v>0</v>
      </c>
      <c r="CC29" s="1070">
        <f>IFERROR(VLOOKUP($PS29,Calc!$K$420:$P$433,5,0),0)</f>
        <v>0</v>
      </c>
      <c r="CD29" s="1070">
        <f>IFERROR(VLOOKUP($PS29,Calc!$K$420:$P$433,6,0),0)</f>
        <v>0</v>
      </c>
      <c r="CE29" s="1070">
        <f>IFERROR(VLOOKUP($PS29,Calc!$AQ$420:$AV$433,3,0),0)</f>
        <v>0</v>
      </c>
      <c r="CF29" s="1070">
        <f>IFERROR(VLOOKUP($PS29,Calc!$AQ$420:$AV$433,4,0),0)</f>
        <v>0</v>
      </c>
      <c r="CG29" s="1070">
        <f>IFERROR(VLOOKUP($PS29,Calc!$AQ$420:$AV$433,5,0),0)</f>
        <v>0</v>
      </c>
      <c r="CH29" s="1070">
        <f>IFERROR(VLOOKUP($PS29,Calc!$AQ$420:$AV$433,6,0),0)</f>
        <v>0</v>
      </c>
      <c r="CI29" s="1070">
        <f>IFERROR(HLOOKUP($PT29,Calc!$AQ$125:$BS$146,3,0),0)</f>
        <v>0</v>
      </c>
      <c r="CJ29" s="1070">
        <f>IFERROR(HLOOKUP($PT29,Calc!$AQ$125:$BS$146,6,0),0)</f>
        <v>0</v>
      </c>
      <c r="CK29" s="1070">
        <f>IFERROR(IF(Calc!$C$129="Dollar ($)",HLOOKUP($PT29,Calc!$AQ$125:$BS$146,5,0),0),0)</f>
        <v>0</v>
      </c>
      <c r="CL29" s="1070">
        <f>IFERROR(IF(Calc!$C$129="Volume (units)",HLOOKUP($PT29,Calc!$AQ$125:$BS$146,5,0),0),0)</f>
        <v>0</v>
      </c>
      <c r="CM29" s="1070">
        <f>IFERROR(HLOOKUP($PT29,Calc!$AQ$125:$BS$146,9,0),0)</f>
        <v>0</v>
      </c>
      <c r="CN29" s="1070">
        <f>IFERROR(HLOOKUP($PT29,Calc!$AQ$125:$BS$146,10,0),0)</f>
        <v>0</v>
      </c>
      <c r="CO29" s="1070">
        <f>IFERROR(HLOOKUP($PT29,Calc!$AQ$125:$BS$146,11,0),0)</f>
        <v>0</v>
      </c>
      <c r="CP29" s="1070">
        <f>IFERROR(HLOOKUP($PT29,Calc!$AQ$125:$BS$146,12,0),0)</f>
        <v>0</v>
      </c>
      <c r="CQ29" s="1070">
        <f>IFERROR(HLOOKUP($PT29,Calc!$AQ$125:$BS$146,13,0),0)</f>
        <v>0</v>
      </c>
      <c r="CR29" s="1070">
        <f>IFERROR(HLOOKUP($PT29,Calc!$AQ$125:$BS$146,17,0),0)</f>
        <v>0</v>
      </c>
      <c r="CS29" s="1070">
        <f>IFERROR(HLOOKUP($PT29,Calc!$AQ$125:$BS$146,19,0),0)</f>
        <v>0</v>
      </c>
      <c r="CT29" s="1070">
        <f>IFERROR(HLOOKUP($PT29,Calc!$AQ$125:$BS$146,20,0),0)</f>
        <v>0</v>
      </c>
      <c r="CU29" s="1070">
        <f>IFERROR(HLOOKUP($PT29,Calc!$AQ$125:$BS$146,21,0),0)</f>
        <v>0</v>
      </c>
      <c r="CV29" s="1070">
        <f>IFERROR(HLOOKUP($PT29,Calc!$AQ$125:$BS$147,23,0),0)</f>
        <v>0</v>
      </c>
      <c r="CW29" s="1070">
        <f>IFERROR(HLOOKUP($PT29,Calc!$AQ$9:$BS$15,5,0),0)+IFERROR(HLOOKUP($PT29,Calc!$AQ$30:$BS$36,5,0),0)+IFERROR(HLOOKUP($PT29,Calc!$AQ$51:$BS$57,5,0),0)+IFERROR(HLOOKUP($PT29,Calc!$AQ$72:$BS$78,5,0),0)+IFERROR(HLOOKUP($PT29,Calc!$AQ$93:$BS$99,5,0),0)</f>
        <v>0</v>
      </c>
      <c r="CX29" s="1070">
        <f>IFERROR(HLOOKUP($PT29,Calc!$AQ$9:$BS$15,6,0),0)+IFERROR(HLOOKUP($PT29,Calc!$AQ$30:$BS$36,6,0),0)+IFERROR(HLOOKUP($PT29,Calc!$AQ$51:$BS$57,6,0),0)+IFERROR(HLOOKUP($PT29,Calc!$AQ$72:$BS$78,6,0),0)+IFERROR(HLOOKUP($PT29,Calc!$AQ$93:$BS$99,6,0),0)</f>
        <v>0</v>
      </c>
      <c r="CY29" s="1070">
        <f>IFERROR(HLOOKUP($PT29,Calc!$AQ$9:$BS$15,7,0),0)+IFERROR(HLOOKUP($PT29,Calc!$AQ$30:$BS$36,7,0),0)+IFERROR(HLOOKUP($PT29,Calc!$AQ$51:$BS$57,7,0),0)+IFERROR(HLOOKUP($PT29,Calc!$AQ$72:$BS$78,7,0),0)+IFERROR(HLOOKUP($PT29,Calc!$AQ$93:$BS$99,7,0),0)</f>
        <v>0</v>
      </c>
      <c r="IY29" s="1070">
        <f>IFERROR(HLOOKUP($PT29,Current_Prior!$AQ$9:$BS$30,3,0),0)</f>
        <v>0</v>
      </c>
      <c r="IZ29" s="1070">
        <f>IFERROR(HLOOKUP($PT29,Current_Prior!$AQ$9:$BS$30,6,0),0)</f>
        <v>0</v>
      </c>
      <c r="JA29" s="1070">
        <f>IFERROR(IF(Calc!$C$129="Dollar ($)",HLOOKUP($PT29,Current_Prior!$AQ$9:$BS$30,5,0),0),0)</f>
        <v>0</v>
      </c>
      <c r="JB29" s="1070">
        <f>IFERROR(IF(Calc!$C$129="Volume (units)",HLOOKUP($PT29,Current_Prior!$AQ$9:$BS$30,5,0),0),0)</f>
        <v>0</v>
      </c>
      <c r="JC29" s="1070">
        <f>IFERROR(HLOOKUP($PT29,Current_Prior!$AQ$9:$BS$30,9,0),0)</f>
        <v>0</v>
      </c>
      <c r="JD29" s="1070">
        <f>IFERROR(HLOOKUP($PT29,Current_Prior!$AQ$9:$BS$30,10,0),0)</f>
        <v>0</v>
      </c>
      <c r="JE29" s="1070">
        <f>IFERROR(HLOOKUP($PT29,Current_Prior!$AQ$9:$BS$30,11,0),0)</f>
        <v>0</v>
      </c>
      <c r="JF29" s="1070">
        <f>IFERROR(HLOOKUP($PT29,Current_Prior!$AQ$9:$BS$30,12,0),0)</f>
        <v>0</v>
      </c>
      <c r="JG29" s="1070">
        <f>IFERROR(HLOOKUP($PT29,Current_Prior!$AQ$9:$BS$30,13,0),0)</f>
        <v>0</v>
      </c>
      <c r="JH29" s="1070">
        <f>IFERROR(HLOOKUP($PT29,Current_Prior!$AQ$9:$BS$30,17,0),0)</f>
        <v>0</v>
      </c>
      <c r="JI29" s="1070">
        <f>IFERROR(HLOOKUP($PT29,Current_Prior!$AQ$9:$BS$30,19,0),0)</f>
        <v>0</v>
      </c>
      <c r="JJ29" s="1070">
        <f>IFERROR(HLOOKUP($PT29,Current_Prior!$AQ$9:$BS$30,20,0),0)</f>
        <v>0</v>
      </c>
      <c r="JK29" s="1070">
        <f>IFERROR(HLOOKUP($PT29,Current_Prior!$AQ$9:$BS$30,21,0),0)</f>
        <v>0</v>
      </c>
      <c r="JL29" s="1070">
        <f>IFERROR(HLOOKUP($PT29,Current_Prior!$AQ$9:$BS$31,23,0),0)</f>
        <v>0</v>
      </c>
      <c r="ML29" s="1082">
        <f>IFERROR(HLOOKUP($PT29,HistInfo!$G$15:$AI$37,3,0),0)</f>
        <v>0</v>
      </c>
      <c r="MM29" s="1082">
        <f>IFERROR(HLOOKUP($PT29,HistInfo!$G$15:$AI$37,6,0),0)</f>
        <v>0</v>
      </c>
      <c r="MN29" s="1070">
        <f>IFERROR(IF(HistInfo!$C$19="Dollar ($)",HLOOKUP($PT29,HistInfo!$G$15:$AI$37,5,0),0),0)</f>
        <v>0</v>
      </c>
      <c r="MO29" s="1070">
        <f>IFERROR(IF(HistInfo!$C$19="Volume (units)",HLOOKUP($PT29,HistInfo!$G$15:$AI$37,5,0),0),0)</f>
        <v>0</v>
      </c>
      <c r="MP29" s="1082">
        <f>IFERROR(HLOOKUP($PT29,HistInfo!$G$15:$AI$37,9,0),0)</f>
        <v>0</v>
      </c>
      <c r="MQ29" s="1082">
        <f>IFERROR(HLOOKUP($PT29,HistInfo!$G$15:$AI$37,10,0),0)</f>
        <v>0</v>
      </c>
      <c r="MR29" s="1082">
        <f>IFERROR(HLOOKUP($PT29,HistInfo!$G$15:$AI$37,11,0),0)</f>
        <v>0</v>
      </c>
      <c r="MS29" s="1082">
        <f>IFERROR(HLOOKUP($PT29,HistInfo!$G$15:$AI$37,12,0),0)</f>
        <v>0</v>
      </c>
      <c r="MT29" s="1082">
        <f>IFERROR(HLOOKUP($PT29,HistInfo!$G$15:$AI$37,13,0),0)</f>
        <v>0</v>
      </c>
      <c r="MU29" s="1082">
        <f>IFERROR(HLOOKUP($PT29,HistInfo!$G$15:$AI$37,17,0),0)</f>
        <v>0</v>
      </c>
      <c r="MV29" s="1082">
        <f>IFERROR(HLOOKUP($PT29,HistInfo!$G$15:$AI$37,19,0),0)</f>
        <v>0</v>
      </c>
      <c r="MW29" s="1082">
        <f>IFERROR(HLOOKUP($PT29,HistInfo!$G$15:$AI$37,20,0),0)</f>
        <v>0</v>
      </c>
      <c r="MX29" s="1082">
        <f>IFERROR(HLOOKUP($PT29,HistInfo!$G$15:$AI$37,21,0),0)</f>
        <v>0</v>
      </c>
      <c r="MY29" s="1082">
        <f>IFERROR(HLOOKUP($PT29,HistInfo!$G$15:$AI$37,23,0),0)</f>
        <v>0</v>
      </c>
      <c r="PS29" s="1070">
        <v>39</v>
      </c>
      <c r="PT29" s="1082" t="str">
        <f t="shared" si="1"/>
        <v>FY39</v>
      </c>
      <c r="PU29" s="1070" t="str">
        <f t="shared" si="2"/>
        <v>2039</v>
      </c>
    </row>
    <row r="30" spans="1:437" x14ac:dyDescent="0.3">
      <c r="A30" s="1070" t="str">
        <f t="shared" si="8"/>
        <v>Life Sciences</v>
      </c>
      <c r="B30" s="1070" t="str">
        <f t="shared" si="8"/>
        <v>BDB</v>
      </c>
      <c r="C30" s="1070">
        <f t="shared" si="8"/>
        <v>0</v>
      </c>
      <c r="D30" s="1070">
        <f t="shared" si="8"/>
        <v>0</v>
      </c>
      <c r="E30" s="1070">
        <v>0</v>
      </c>
      <c r="F30" s="1070">
        <v>0</v>
      </c>
      <c r="G30" s="1070">
        <f t="shared" si="7"/>
        <v>0</v>
      </c>
      <c r="H30" s="1070">
        <f t="shared" si="7"/>
        <v>0</v>
      </c>
      <c r="I30" s="1070">
        <f t="shared" si="7"/>
        <v>0</v>
      </c>
      <c r="J30" s="1070" t="str">
        <f t="shared" si="7"/>
        <v>Budget</v>
      </c>
      <c r="K30" s="1082" t="str">
        <f t="shared" si="0"/>
        <v>2040</v>
      </c>
      <c r="L30" s="1070">
        <f>IF(PPT!$D$2="$ M",IFERROR(HLOOKUP($PT30,PPT!$E$117:$BJ$119,3,0),0)*1000,IFERROR(HLOOKUP($PT30,PPT!$E$117:$BJ$119,3,0),0))</f>
        <v>0</v>
      </c>
      <c r="M30" s="1070">
        <f>IF(PPT!$D$2="$ M",IFERROR(HLOOKUP($PT30,PPT!$E$133:$BJ$159,4,0),0)*1000,IFERROR(HLOOKUP($PT30,PPT!$E$133:$BJ$159,4,0),0))</f>
        <v>0</v>
      </c>
      <c r="N30" s="1070">
        <f>IF(PPT!$D$2="$ M",IFERROR(HLOOKUP($PT30,PPT!$E$133:$BJ$159,5,0),0)*1000,IFERROR(HLOOKUP($PT30,PPT!$E$133:$BJ$159,5,0),0))</f>
        <v>0</v>
      </c>
      <c r="O30" s="1070">
        <f>IF(PPT!$D$2="$ M",IFERROR(HLOOKUP($PT30,PPT!$E$133:$BJ$159,6,0),0)*1000,IFERROR(HLOOKUP($PT30,PPT!$E$133:$BJ$159,6,0),0))</f>
        <v>0</v>
      </c>
      <c r="P30" s="1070">
        <f>IF(PPT!$D$2="$ M",IFERROR(HLOOKUP($PT30,PPT!$E$133:$BJ$159,7,0),0)*1000,IFERROR(HLOOKUP($PT30,PPT!$E$133:$BJ$159,7,0),0))</f>
        <v>0</v>
      </c>
      <c r="Q30" s="1070">
        <f>IFERROR(HLOOKUP($PT30,Calc!$G$125:$AI$146,3,0),0)</f>
        <v>0</v>
      </c>
      <c r="R30" s="1070" t="str">
        <f>IF(PPT!$D$2="$ M",IFERROR(HLOOKUP($PT30,PPT!$E$133:$BJ$159,9,0),0),IFERROR(HLOOKUP($PT30,PPT!$E$133:$BJ$159,9,0),0))</f>
        <v/>
      </c>
      <c r="S30" s="1070" t="str">
        <f>IF(PPT!$D$2="$ M",IFERROR(HLOOKUP($PT30,PPT!$E$133:$BJ$159,10,0),0),IFERROR(HLOOKUP($PT30,PPT!$E$133:$BJ$159,10,0),0))</f>
        <v/>
      </c>
      <c r="T30" s="1070">
        <f>IFERROR(IF(Calc!$C$129="Dollar ($)",HLOOKUP($PT30,Calc!$G$125:$AI$146,5,0),0),0)</f>
        <v>0</v>
      </c>
      <c r="U30" s="1070">
        <f>IFERROR(IF(Calc!$C$129="Volume (units)",HLOOKUP($PT30,Calc!$G$125:$AI$146,5,0),0),0)</f>
        <v>0</v>
      </c>
      <c r="V30" s="1070">
        <f>IFERROR(HLOOKUP($PT30,Calc!$G$125:$AI$146,6,0),0)</f>
        <v>0</v>
      </c>
      <c r="W30" s="1070">
        <f>IFERROR(HLOOKUP($PT30,Calc!$G$125:$AI$146,7,0),0)</f>
        <v>0</v>
      </c>
      <c r="X30" s="1070">
        <f>IFERROR(HLOOKUP($PT30,Calc!$G$125:$AI$146,8,0),0)</f>
        <v>0</v>
      </c>
      <c r="Y30" s="1070">
        <f>IFERROR(HLOOKUP($PT30,Calc!$G$125:$AI$146,9,0),0)</f>
        <v>0</v>
      </c>
      <c r="Z30" s="1070">
        <f>IFERROR(HLOOKUP($PT30,Calc!$G$125:$AI$146,10,0),0)</f>
        <v>0</v>
      </c>
      <c r="AA30" s="1070">
        <f>IFERROR(HLOOKUP($PT30,Calc!$G$125:$AI$146,11,0),0)</f>
        <v>0</v>
      </c>
      <c r="AB30" s="1070">
        <f>IFERROR(HLOOKUP($PT30,Calc!$G$125:$AI$146,12,0),0)</f>
        <v>0</v>
      </c>
      <c r="AC30" s="1070">
        <f>IFERROR(HLOOKUP($PT30,Calc!$G$125:$AI$146,13,0),0)</f>
        <v>0</v>
      </c>
      <c r="AD30" s="1070">
        <f>IFERROR(HLOOKUP($PT30,Calc!$G$125:$AI$146,14,0),0)</f>
        <v>0</v>
      </c>
      <c r="AE30" s="1070">
        <f>IFERROR(HLOOKUP($PT30,Calc!$G$125:$AI$146,15,0),0)</f>
        <v>0</v>
      </c>
      <c r="AF30" s="1070">
        <f>IFERROR(HLOOKUP($PT30,Calc!$G$125:$AI$146,16,0),0)</f>
        <v>0</v>
      </c>
      <c r="AG30" s="1070">
        <f>IFERROR(HLOOKUP($PT30,Calc!$G$125:$AI$146,17,0),0)</f>
        <v>0</v>
      </c>
      <c r="AH30" s="1070">
        <f>IFERROR(HLOOKUP($PT30,Calc!$G$125:$AI$146,18,0),0)</f>
        <v>0</v>
      </c>
      <c r="AI30" s="1070">
        <f>IFERROR(HLOOKUP($PT30,Calc!$G$125:$AI$146,19,0),0)</f>
        <v>0</v>
      </c>
      <c r="AJ30" s="1070">
        <f>IFERROR(HLOOKUP($PT30,Calc!$G$125:$AI$146,20,0),0)</f>
        <v>0</v>
      </c>
      <c r="AK30" s="1070">
        <f>IFERROR(HLOOKUP($PT30,Calc!$G$125:$AI$146,21,0),0)</f>
        <v>0</v>
      </c>
      <c r="AL30" s="1070">
        <f>IFERROR(HLOOKUP($PT30,Calc!$G$125:$AI$146,22,0),0)</f>
        <v>0</v>
      </c>
      <c r="AM30" s="1070">
        <f>IFERROR(HLOOKUP($PT30,Calc!$G$125:$AI$147,23,0),0)</f>
        <v>0</v>
      </c>
      <c r="AN30" s="1070">
        <f>IF(PPT!$D$2="$ M",IFERROR(HLOOKUP($PT30,PPT!$E$131:$BJ$159,5,0),0)*1000,IFERROR(HLOOKUP($PT30,PPT!$E$131:$BJ$159,5,0),0))</f>
        <v>0</v>
      </c>
      <c r="AO30" s="1070">
        <f>IF(PPT!$D$2="$ M",IFERROR(HLOOKUP($PT30,PPT!$E$131:$BJ$159,6,0),0)*1000,IFERROR(HLOOKUP($PT30,PPT!$E$131:$BJ$159,6,0),0))</f>
        <v>0</v>
      </c>
      <c r="AP30" s="1070">
        <f>IF(PPT!$D$2="$ M",IFERROR(HLOOKUP($PT30,PPT!$E$131:$BJ$159,7,0),0)*1000,IFERROR(HLOOKUP($PT30,PPT!$E$131:$BJ$159,7,0),0))</f>
        <v>0</v>
      </c>
      <c r="AQ30" s="1070">
        <f>IF(PPT!$D$2="$ M",IFERROR(HLOOKUP($PT30,PPT!$E$131:$BJ$159,8,0),0)*1000,IFERROR(HLOOKUP($PT30,PPT!$E$131:$BJ$159,8,0),0))</f>
        <v>0</v>
      </c>
      <c r="AR30" s="1070">
        <f>IF(PPT!$D$2="$ M",IFERROR(HLOOKUP($PT30,PPT!$E$131:$BJ$159,9,0),0)*1000,IFERROR(HLOOKUP($PT30,PPT!$E$131:$BJ$159,9,0),0))</f>
        <v>0</v>
      </c>
      <c r="AS30" s="1070">
        <f>IF(PPT!$D$2="$ M",IFERROR(HLOOKUP($PT30,PPT!$E$131:$BJ$159,10,0),0)*1000,IFERROR(HLOOKUP($PT30,PPT!$E$131:$BJ$159,10,0),0))</f>
        <v>0</v>
      </c>
      <c r="AT30" s="1070">
        <f>IF(PPT!$D$2="$ M",IFERROR(HLOOKUP($PT30,PPT!$E$131:$BJ$159,13,0),0)*1000,IFERROR(HLOOKUP($PT30,PPT!$E$131:$BJ$159,13,0),0))</f>
        <v>0</v>
      </c>
      <c r="AU30" s="1070">
        <f>IF(PPT!$D$2="$ M",IFERROR(HLOOKUP($PT30,PPT!$E$131:$BJ$159,14,0),0)*1000,IFERROR(HLOOKUP($PT30,PPT!$E$131:$BJ$159,14,0),0))</f>
        <v>0</v>
      </c>
      <c r="AV30" s="1070">
        <f>IF(PPT!$D$2="$ M",IFERROR(HLOOKUP($PT30,PPT!$E$131:$BJ$159,15,0),0)*1000,IFERROR(HLOOKUP($PT30,PPT!$E$131:$BJ$159,15,0),0))</f>
        <v>0</v>
      </c>
      <c r="AW30" s="1070">
        <f>IF(PPT!$D$2="$ M",IFERROR(HLOOKUP($PT30,PPT!$E$131:$BJ$159,17,0),0)*1000,IFERROR(HLOOKUP($PT30,PPT!$E$131:$BJ$159,17,0),0))</f>
        <v>0</v>
      </c>
      <c r="AX30" s="1070">
        <f>IF(PPT!$D$2="$ M",IFERROR(HLOOKUP($PT30,PPT!$E$131:$BJ$159,18,0),0)*1000,IFERROR(HLOOKUP($PT30,PPT!$E$131:$BJ$159,18,0),0))</f>
        <v>0</v>
      </c>
      <c r="AY30" s="1070">
        <f>IF(PPT!$D$2="$ M",IFERROR(HLOOKUP($PT30,PPT!$E$131:$BJ$159,19,0),0)*1000,IFERROR(HLOOKUP($PT30,PPT!$E$131:$BJ$159,19,0),0))</f>
        <v>0</v>
      </c>
      <c r="AZ30" s="1070">
        <f>IF(PPT!$D$2="$ M",IFERROR(HLOOKUP($PT30,PPT!$E$131:$BJ$159,21,0),0)*1000,IFERROR(HLOOKUP($PT30,PPT!$E$131:$BJ$159,21,0),0))</f>
        <v>0</v>
      </c>
      <c r="BA30" s="1070">
        <f>IF(PPT!$D$2="$ M",IFERROR(HLOOKUP($PT30,PPT!$E$131:$BJ$159,22,0),0)*1000,IFERROR(HLOOKUP($PT30,PPT!$E$131:$BJ$159,22,0),0))</f>
        <v>0</v>
      </c>
      <c r="BB30" s="1070">
        <f>IF(PPT!$D$2="$ M",IFERROR(HLOOKUP($PT30,PPT!$E$131:$BJ$159,23,0),0)*1000,IFERROR(HLOOKUP($PT30,PPT!$E$131:$BJ$159,23,0),0))</f>
        <v>0</v>
      </c>
      <c r="BC30" s="1070">
        <f>IF(PPT!$D$2="$ M",IFERROR(HLOOKUP($PT30,PPT!$E$131:$BJ$159,25,0),0)*1000,IFERROR(HLOOKUP($PT30,PPT!$E$131:$BJ$159,25,0),0))</f>
        <v>0</v>
      </c>
      <c r="BD30" s="1070">
        <f>IF(PPT!$D$2="$ M",IFERROR(HLOOKUP($PT30,PPT!$E$131:$BJ$159,26,0),0)*1000,IFERROR(HLOOKUP($PT30,PPT!$E$131:$BJ$159,26,0),0))</f>
        <v>0</v>
      </c>
      <c r="BE30" s="1070">
        <f>IF(PPT!$D$2="$ M",IFERROR(HLOOKUP($PT30,PPT!$E$131:$BJ$159,27,0),0)*1000,IFERROR(HLOOKUP($PT30,PPT!$E$131:$BJ$159,27,0),0))</f>
        <v>0</v>
      </c>
      <c r="BF30" s="1070">
        <f>IFERROR(HLOOKUP($PT30,Calc!$F$151:$P$166,2,0),0)</f>
        <v>0</v>
      </c>
      <c r="BG30" s="1070">
        <f>IFERROR(HLOOKUP($PT30,Calc!$F$151:$P$166,3,0),0)</f>
        <v>0</v>
      </c>
      <c r="BH30" s="1070">
        <f>IFERROR(HLOOKUP($PT30,Calc!$F$151:$P$166,4,0),0)</f>
        <v>0</v>
      </c>
      <c r="BI30" s="1070">
        <f>IFERROR(HLOOKUP($PT30,Calc!$F$151:$P$166,5,0),0)</f>
        <v>0</v>
      </c>
      <c r="BJ30" s="1070">
        <f>IFERROR(HLOOKUP($PT30,Calc!$F$151:$P$166,6,0),0)</f>
        <v>0</v>
      </c>
      <c r="BK30" s="1070">
        <f>IFERROR(HLOOKUP($PT30,Calc!$F$151:$P$166,7,0),0)</f>
        <v>0</v>
      </c>
      <c r="BL30" s="1070">
        <f>IFERROR(HLOOKUP($PT30,Calc!$F$151:$P$166,8,0),0)</f>
        <v>0</v>
      </c>
      <c r="BM30" s="1070">
        <f>IFERROR(HLOOKUP($PT30,Calc!$F$151:$P$166,9,0),0)</f>
        <v>0</v>
      </c>
      <c r="BN30" s="1070">
        <f>IFERROR(HLOOKUP($PT30,Calc!$F$151:$P$166,10,0),0)</f>
        <v>0</v>
      </c>
      <c r="BO30" s="1070">
        <f>IFERROR(HLOOKUP($PT30,Calc!$F$151:$P$166,11,0),0)</f>
        <v>0</v>
      </c>
      <c r="BP30" s="1070">
        <f>IFERROR(HLOOKUP($PT30,Calc!$F$151:$P$166,12,0),0)</f>
        <v>0</v>
      </c>
      <c r="BQ30" s="1070">
        <f>IFERROR(HLOOKUP($PT30,Calc!$F$151:$P$166,13,0),0)</f>
        <v>0</v>
      </c>
      <c r="BR30" s="1070">
        <f>IFERROR(HLOOKUP($PT30,Calc!$F$151:$P$166,14,0),0)</f>
        <v>0</v>
      </c>
      <c r="BS30" s="1070">
        <f>IFERROR(HLOOKUP($PT30,Calc!$F$151:$P$166,15,0),0)</f>
        <v>0</v>
      </c>
      <c r="BT30" s="1070">
        <f>IFERROR(HLOOKUP($PT30,Calc!$F$151:$P$166,16,0),0)</f>
        <v>0</v>
      </c>
      <c r="BU30" s="1070">
        <f>IFERROR(VLOOKUP($PS30,Calc!$AF$196:$AH$203,2,0),0)</f>
        <v>0</v>
      </c>
      <c r="BV30" s="1070">
        <f>IFERROR(VLOOKUP($PS30,Calc!$AF$196:$AH$203,3,0),0)</f>
        <v>0</v>
      </c>
      <c r="BW30" s="1070">
        <f>IFERROR(VLOOKUP($PS30,Calc!$AF$196:$AI$203,4,0),0)</f>
        <v>0</v>
      </c>
      <c r="BX30" s="1070">
        <f>IFERROR(VLOOKUP($PS30,Calc!$AF$208:$AI$209,2,0),0)</f>
        <v>0</v>
      </c>
      <c r="BY30" s="1070">
        <f>IFERROR(VLOOKUP($PS30,Calc!$AF$208:$AI$209,3,0),0)</f>
        <v>0</v>
      </c>
      <c r="BZ30" s="1070">
        <f>IFERROR(VLOOKUP($PS30,Calc!$AF$208:$AI$209,4,0),0)</f>
        <v>0</v>
      </c>
      <c r="CA30" s="1070">
        <f>IFERROR(VLOOKUP($PS30,Calc!$K$420:$P$433,3,0),0)</f>
        <v>0</v>
      </c>
      <c r="CB30" s="1070">
        <f>IFERROR(VLOOKUP($PS30,Calc!$K$420:$P$433,4,0),0)</f>
        <v>0</v>
      </c>
      <c r="CC30" s="1070">
        <f>IFERROR(VLOOKUP($PS30,Calc!$K$420:$P$433,5,0),0)</f>
        <v>0</v>
      </c>
      <c r="CD30" s="1070">
        <f>IFERROR(VLOOKUP($PS30,Calc!$K$420:$P$433,6,0),0)</f>
        <v>0</v>
      </c>
      <c r="CE30" s="1070">
        <f>IFERROR(VLOOKUP($PS30,Calc!$AQ$420:$AV$433,3,0),0)</f>
        <v>0</v>
      </c>
      <c r="CF30" s="1070">
        <f>IFERROR(VLOOKUP($PS30,Calc!$AQ$420:$AV$433,4,0),0)</f>
        <v>0</v>
      </c>
      <c r="CG30" s="1070">
        <f>IFERROR(VLOOKUP($PS30,Calc!$AQ$420:$AV$433,5,0),0)</f>
        <v>0</v>
      </c>
      <c r="CH30" s="1070">
        <f>IFERROR(VLOOKUP($PS30,Calc!$AQ$420:$AV$433,6,0),0)</f>
        <v>0</v>
      </c>
      <c r="CI30" s="1070">
        <f>IFERROR(HLOOKUP($PT30,Calc!$AQ$125:$BS$146,3,0),0)</f>
        <v>0</v>
      </c>
      <c r="CJ30" s="1070">
        <f>IFERROR(HLOOKUP($PT30,Calc!$AQ$125:$BS$146,6,0),0)</f>
        <v>0</v>
      </c>
      <c r="CK30" s="1070">
        <f>IFERROR(IF(Calc!$C$129="Dollar ($)",HLOOKUP($PT30,Calc!$AQ$125:$BS$146,5,0),0),0)</f>
        <v>0</v>
      </c>
      <c r="CL30" s="1070">
        <f>IFERROR(IF(Calc!$C$129="Volume (units)",HLOOKUP($PT30,Calc!$AQ$125:$BS$146,5,0),0),0)</f>
        <v>0</v>
      </c>
      <c r="CM30" s="1070">
        <f>IFERROR(HLOOKUP($PT30,Calc!$AQ$125:$BS$146,9,0),0)</f>
        <v>0</v>
      </c>
      <c r="CN30" s="1070">
        <f>IFERROR(HLOOKUP($PT30,Calc!$AQ$125:$BS$146,10,0),0)</f>
        <v>0</v>
      </c>
      <c r="CO30" s="1070">
        <f>IFERROR(HLOOKUP($PT30,Calc!$AQ$125:$BS$146,11,0),0)</f>
        <v>0</v>
      </c>
      <c r="CP30" s="1070">
        <f>IFERROR(HLOOKUP($PT30,Calc!$AQ$125:$BS$146,12,0),0)</f>
        <v>0</v>
      </c>
      <c r="CQ30" s="1070">
        <f>IFERROR(HLOOKUP($PT30,Calc!$AQ$125:$BS$146,13,0),0)</f>
        <v>0</v>
      </c>
      <c r="CR30" s="1070">
        <f>IFERROR(HLOOKUP($PT30,Calc!$AQ$125:$BS$146,17,0),0)</f>
        <v>0</v>
      </c>
      <c r="CS30" s="1070">
        <f>IFERROR(HLOOKUP($PT30,Calc!$AQ$125:$BS$146,19,0),0)</f>
        <v>0</v>
      </c>
      <c r="CT30" s="1070">
        <f>IFERROR(HLOOKUP($PT30,Calc!$AQ$125:$BS$146,20,0),0)</f>
        <v>0</v>
      </c>
      <c r="CU30" s="1070">
        <f>IFERROR(HLOOKUP($PT30,Calc!$AQ$125:$BS$146,21,0),0)</f>
        <v>0</v>
      </c>
      <c r="CV30" s="1070">
        <f>IFERROR(HLOOKUP($PT30,Calc!$AQ$125:$BS$147,23,0),0)</f>
        <v>0</v>
      </c>
      <c r="CW30" s="1070">
        <f>IFERROR(HLOOKUP($PT30,Calc!$AQ$9:$BS$15,5,0),0)+IFERROR(HLOOKUP($PT30,Calc!$AQ$30:$BS$36,5,0),0)+IFERROR(HLOOKUP($PT30,Calc!$AQ$51:$BS$57,5,0),0)+IFERROR(HLOOKUP($PT30,Calc!$AQ$72:$BS$78,5,0),0)+IFERROR(HLOOKUP($PT30,Calc!$AQ$93:$BS$99,5,0),0)</f>
        <v>0</v>
      </c>
      <c r="CX30" s="1070">
        <f>IFERROR(HLOOKUP($PT30,Calc!$AQ$9:$BS$15,6,0),0)+IFERROR(HLOOKUP($PT30,Calc!$AQ$30:$BS$36,6,0),0)+IFERROR(HLOOKUP($PT30,Calc!$AQ$51:$BS$57,6,0),0)+IFERROR(HLOOKUP($PT30,Calc!$AQ$72:$BS$78,6,0),0)+IFERROR(HLOOKUP($PT30,Calc!$AQ$93:$BS$99,6,0),0)</f>
        <v>0</v>
      </c>
      <c r="CY30" s="1070">
        <f>IFERROR(HLOOKUP($PT30,Calc!$AQ$9:$BS$15,7,0),0)+IFERROR(HLOOKUP($PT30,Calc!$AQ$30:$BS$36,7,0),0)+IFERROR(HLOOKUP($PT30,Calc!$AQ$51:$BS$57,7,0),0)+IFERROR(HLOOKUP($PT30,Calc!$AQ$72:$BS$78,7,0),0)+IFERROR(HLOOKUP($PT30,Calc!$AQ$93:$BS$99,7,0),0)</f>
        <v>0</v>
      </c>
      <c r="IY30" s="1070">
        <f>IFERROR(HLOOKUP($PT30,Current_Prior!$AQ$9:$BS$30,3,0),0)</f>
        <v>0</v>
      </c>
      <c r="IZ30" s="1070">
        <f>IFERROR(HLOOKUP($PT30,Current_Prior!$AQ$9:$BS$30,6,0),0)</f>
        <v>0</v>
      </c>
      <c r="JA30" s="1070">
        <f>IFERROR(IF(Calc!$C$129="Dollar ($)",HLOOKUP($PT30,Current_Prior!$AQ$9:$BS$30,5,0),0),0)</f>
        <v>0</v>
      </c>
      <c r="JB30" s="1070">
        <f>IFERROR(IF(Calc!$C$129="Volume (units)",HLOOKUP($PT30,Current_Prior!$AQ$9:$BS$30,5,0),0),0)</f>
        <v>0</v>
      </c>
      <c r="JC30" s="1070">
        <f>IFERROR(HLOOKUP($PT30,Current_Prior!$AQ$9:$BS$30,9,0),0)</f>
        <v>0</v>
      </c>
      <c r="JD30" s="1070">
        <f>IFERROR(HLOOKUP($PT30,Current_Prior!$AQ$9:$BS$30,10,0),0)</f>
        <v>0</v>
      </c>
      <c r="JE30" s="1070">
        <f>IFERROR(HLOOKUP($PT30,Current_Prior!$AQ$9:$BS$30,11,0),0)</f>
        <v>0</v>
      </c>
      <c r="JF30" s="1070">
        <f>IFERROR(HLOOKUP($PT30,Current_Prior!$AQ$9:$BS$30,12,0),0)</f>
        <v>0</v>
      </c>
      <c r="JG30" s="1070">
        <f>IFERROR(HLOOKUP($PT30,Current_Prior!$AQ$9:$BS$30,13,0),0)</f>
        <v>0</v>
      </c>
      <c r="JH30" s="1070">
        <f>IFERROR(HLOOKUP($PT30,Current_Prior!$AQ$9:$BS$30,17,0),0)</f>
        <v>0</v>
      </c>
      <c r="JI30" s="1070">
        <f>IFERROR(HLOOKUP($PT30,Current_Prior!$AQ$9:$BS$30,19,0),0)</f>
        <v>0</v>
      </c>
      <c r="JJ30" s="1070">
        <f>IFERROR(HLOOKUP($PT30,Current_Prior!$AQ$9:$BS$30,20,0),0)</f>
        <v>0</v>
      </c>
      <c r="JK30" s="1070">
        <f>IFERROR(HLOOKUP($PT30,Current_Prior!$AQ$9:$BS$30,21,0),0)</f>
        <v>0</v>
      </c>
      <c r="JL30" s="1070">
        <f>IFERROR(HLOOKUP($PT30,Current_Prior!$AQ$9:$BS$31,23,0),0)</f>
        <v>0</v>
      </c>
      <c r="ML30" s="1082">
        <f>IFERROR(HLOOKUP($PT30,HistInfo!$G$15:$AI$37,3,0),0)</f>
        <v>0</v>
      </c>
      <c r="MM30" s="1082">
        <f>IFERROR(HLOOKUP($PT30,HistInfo!$G$15:$AI$37,6,0),0)</f>
        <v>0</v>
      </c>
      <c r="MN30" s="1070">
        <f>IFERROR(IF(HistInfo!$C$19="Dollar ($)",HLOOKUP($PT30,HistInfo!$G$15:$AI$37,5,0),0),0)</f>
        <v>0</v>
      </c>
      <c r="MO30" s="1070">
        <f>IFERROR(IF(HistInfo!$C$19="Volume (units)",HLOOKUP($PT30,HistInfo!$G$15:$AI$37,5,0),0),0)</f>
        <v>0</v>
      </c>
      <c r="MP30" s="1082">
        <f>IFERROR(HLOOKUP($PT30,HistInfo!$G$15:$AI$37,9,0),0)</f>
        <v>0</v>
      </c>
      <c r="MQ30" s="1082">
        <f>IFERROR(HLOOKUP($PT30,HistInfo!$G$15:$AI$37,10,0),0)</f>
        <v>0</v>
      </c>
      <c r="MR30" s="1082">
        <f>IFERROR(HLOOKUP($PT30,HistInfo!$G$15:$AI$37,11,0),0)</f>
        <v>0</v>
      </c>
      <c r="MS30" s="1082">
        <f>IFERROR(HLOOKUP($PT30,HistInfo!$G$15:$AI$37,12,0),0)</f>
        <v>0</v>
      </c>
      <c r="MT30" s="1082">
        <f>IFERROR(HLOOKUP($PT30,HistInfo!$G$15:$AI$37,13,0),0)</f>
        <v>0</v>
      </c>
      <c r="MU30" s="1082">
        <f>IFERROR(HLOOKUP($PT30,HistInfo!$G$15:$AI$37,17,0),0)</f>
        <v>0</v>
      </c>
      <c r="MV30" s="1082">
        <f>IFERROR(HLOOKUP($PT30,HistInfo!$G$15:$AI$37,19,0),0)</f>
        <v>0</v>
      </c>
      <c r="MW30" s="1082">
        <f>IFERROR(HLOOKUP($PT30,HistInfo!$G$15:$AI$37,20,0),0)</f>
        <v>0</v>
      </c>
      <c r="MX30" s="1082">
        <f>IFERROR(HLOOKUP($PT30,HistInfo!$G$15:$AI$37,21,0),0)</f>
        <v>0</v>
      </c>
      <c r="MY30" s="1082">
        <f>IFERROR(HLOOKUP($PT30,HistInfo!$G$15:$AI$37,23,0),0)</f>
        <v>0</v>
      </c>
      <c r="PS30" s="1070">
        <v>40</v>
      </c>
      <c r="PT30" s="1082" t="str">
        <f t="shared" si="1"/>
        <v>FY40</v>
      </c>
      <c r="PU30" s="1070" t="str">
        <f t="shared" si="2"/>
        <v>2040</v>
      </c>
    </row>
    <row r="31" spans="1:437" x14ac:dyDescent="0.3">
      <c r="A31" s="1070" t="str">
        <f t="shared" si="8"/>
        <v>Life Sciences</v>
      </c>
      <c r="B31" s="1070" t="str">
        <f t="shared" si="8"/>
        <v>BDB</v>
      </c>
      <c r="C31" s="1070">
        <f t="shared" si="8"/>
        <v>0</v>
      </c>
      <c r="D31" s="1070">
        <f t="shared" si="8"/>
        <v>0</v>
      </c>
      <c r="E31" s="1070">
        <v>0</v>
      </c>
      <c r="F31" s="1070">
        <v>0</v>
      </c>
      <c r="G31" s="1070">
        <f t="shared" si="7"/>
        <v>0</v>
      </c>
      <c r="H31" s="1070">
        <f t="shared" si="7"/>
        <v>0</v>
      </c>
      <c r="I31" s="1070">
        <f t="shared" si="7"/>
        <v>0</v>
      </c>
      <c r="J31" s="1070" t="str">
        <f t="shared" si="7"/>
        <v>Budget</v>
      </c>
      <c r="K31" s="1082" t="str">
        <f t="shared" si="0"/>
        <v>2041</v>
      </c>
      <c r="L31" s="1070">
        <f>IF(PPT!$D$2="$ M",IFERROR(HLOOKUP($PT31,PPT!$E$117:$BJ$119,3,0),0)*1000,IFERROR(HLOOKUP($PT31,PPT!$E$117:$BJ$119,3,0),0))</f>
        <v>0</v>
      </c>
      <c r="M31" s="1070">
        <f>IF(PPT!$D$2="$ M",IFERROR(HLOOKUP($PT31,PPT!$E$133:$BJ$159,4,0),0)*1000,IFERROR(HLOOKUP($PT31,PPT!$E$133:$BJ$159,4,0),0))</f>
        <v>0</v>
      </c>
      <c r="N31" s="1070">
        <f>IF(PPT!$D$2="$ M",IFERROR(HLOOKUP($PT31,PPT!$E$133:$BJ$159,5,0),0)*1000,IFERROR(HLOOKUP($PT31,PPT!$E$133:$BJ$159,5,0),0))</f>
        <v>0</v>
      </c>
      <c r="O31" s="1070">
        <f>IF(PPT!$D$2="$ M",IFERROR(HLOOKUP($PT31,PPT!$E$133:$BJ$159,6,0),0)*1000,IFERROR(HLOOKUP($PT31,PPT!$E$133:$BJ$159,6,0),0))</f>
        <v>0</v>
      </c>
      <c r="P31" s="1070">
        <f>IF(PPT!$D$2="$ M",IFERROR(HLOOKUP($PT31,PPT!$E$133:$BJ$159,7,0),0)*1000,IFERROR(HLOOKUP($PT31,PPT!$E$133:$BJ$159,7,0),0))</f>
        <v>0</v>
      </c>
      <c r="Q31" s="1070">
        <f>IFERROR(HLOOKUP($PT31,Calc!$G$125:$AI$146,3,0),0)</f>
        <v>0</v>
      </c>
      <c r="R31" s="1070" t="str">
        <f>IF(PPT!$D$2="$ M",IFERROR(HLOOKUP($PT31,PPT!$E$133:$BJ$159,9,0),0),IFERROR(HLOOKUP($PT31,PPT!$E$133:$BJ$159,9,0),0))</f>
        <v/>
      </c>
      <c r="S31" s="1070" t="str">
        <f>IF(PPT!$D$2="$ M",IFERROR(HLOOKUP($PT31,PPT!$E$133:$BJ$159,10,0),0),IFERROR(HLOOKUP($PT31,PPT!$E$133:$BJ$159,10,0),0))</f>
        <v/>
      </c>
      <c r="T31" s="1070">
        <f>IFERROR(IF(Calc!$C$129="Dollar ($)",HLOOKUP($PT31,Calc!$G$125:$AI$146,5,0),0),0)</f>
        <v>0</v>
      </c>
      <c r="U31" s="1070">
        <f>IFERROR(IF(Calc!$C$129="Volume (units)",HLOOKUP($PT31,Calc!$G$125:$AI$146,5,0),0),0)</f>
        <v>0</v>
      </c>
      <c r="V31" s="1070">
        <f>IFERROR(HLOOKUP($PT31,Calc!$G$125:$AI$146,6,0),0)</f>
        <v>0</v>
      </c>
      <c r="W31" s="1070">
        <f>IFERROR(HLOOKUP($PT31,Calc!$G$125:$AI$146,7,0),0)</f>
        <v>0</v>
      </c>
      <c r="X31" s="1070">
        <f>IFERROR(HLOOKUP($PT31,Calc!$G$125:$AI$146,8,0),0)</f>
        <v>0</v>
      </c>
      <c r="Y31" s="1070">
        <f>IFERROR(HLOOKUP($PT31,Calc!$G$125:$AI$146,9,0),0)</f>
        <v>0</v>
      </c>
      <c r="Z31" s="1070">
        <f>IFERROR(HLOOKUP($PT31,Calc!$G$125:$AI$146,10,0),0)</f>
        <v>0</v>
      </c>
      <c r="AA31" s="1070">
        <f>IFERROR(HLOOKUP($PT31,Calc!$G$125:$AI$146,11,0),0)</f>
        <v>0</v>
      </c>
      <c r="AB31" s="1070">
        <f>IFERROR(HLOOKUP($PT31,Calc!$G$125:$AI$146,12,0),0)</f>
        <v>0</v>
      </c>
      <c r="AC31" s="1070">
        <f>IFERROR(HLOOKUP($PT31,Calc!$G$125:$AI$146,13,0),0)</f>
        <v>0</v>
      </c>
      <c r="AD31" s="1070">
        <f>IFERROR(HLOOKUP($PT31,Calc!$G$125:$AI$146,14,0),0)</f>
        <v>0</v>
      </c>
      <c r="AE31" s="1070">
        <f>IFERROR(HLOOKUP($PT31,Calc!$G$125:$AI$146,15,0),0)</f>
        <v>0</v>
      </c>
      <c r="AF31" s="1070">
        <f>IFERROR(HLOOKUP($PT31,Calc!$G$125:$AI$146,16,0),0)</f>
        <v>0</v>
      </c>
      <c r="AG31" s="1070">
        <f>IFERROR(HLOOKUP($PT31,Calc!$G$125:$AI$146,17,0),0)</f>
        <v>0</v>
      </c>
      <c r="AH31" s="1070">
        <f>IFERROR(HLOOKUP($PT31,Calc!$G$125:$AI$146,18,0),0)</f>
        <v>0</v>
      </c>
      <c r="AI31" s="1070">
        <f>IFERROR(HLOOKUP($PT31,Calc!$G$125:$AI$146,19,0),0)</f>
        <v>0</v>
      </c>
      <c r="AJ31" s="1070">
        <f>IFERROR(HLOOKUP($PT31,Calc!$G$125:$AI$146,20,0),0)</f>
        <v>0</v>
      </c>
      <c r="AK31" s="1070">
        <f>IFERROR(HLOOKUP($PT31,Calc!$G$125:$AI$146,21,0),0)</f>
        <v>0</v>
      </c>
      <c r="AL31" s="1070">
        <f>IFERROR(HLOOKUP($PT31,Calc!$G$125:$AI$146,22,0),0)</f>
        <v>0</v>
      </c>
      <c r="AM31" s="1070">
        <f>IFERROR(HLOOKUP($PT31,Calc!$G$125:$AI$147,23,0),0)</f>
        <v>0</v>
      </c>
      <c r="AN31" s="1070">
        <f>IF(PPT!$D$2="$ M",IFERROR(HLOOKUP($PT31,PPT!$E$131:$BJ$159,5,0),0)*1000,IFERROR(HLOOKUP($PT31,PPT!$E$131:$BJ$159,5,0),0))</f>
        <v>0</v>
      </c>
      <c r="AO31" s="1070">
        <f>IF(PPT!$D$2="$ M",IFERROR(HLOOKUP($PT31,PPT!$E$131:$BJ$159,6,0),0)*1000,IFERROR(HLOOKUP($PT31,PPT!$E$131:$BJ$159,6,0),0))</f>
        <v>0</v>
      </c>
      <c r="AP31" s="1070">
        <f>IF(PPT!$D$2="$ M",IFERROR(HLOOKUP($PT31,PPT!$E$131:$BJ$159,7,0),0)*1000,IFERROR(HLOOKUP($PT31,PPT!$E$131:$BJ$159,7,0),0))</f>
        <v>0</v>
      </c>
      <c r="AQ31" s="1070">
        <f>IF(PPT!$D$2="$ M",IFERROR(HLOOKUP($PT31,PPT!$E$131:$BJ$159,8,0),0)*1000,IFERROR(HLOOKUP($PT31,PPT!$E$131:$BJ$159,8,0),0))</f>
        <v>0</v>
      </c>
      <c r="AR31" s="1070">
        <f>IF(PPT!$D$2="$ M",IFERROR(HLOOKUP($PT31,PPT!$E$131:$BJ$159,9,0),0)*1000,IFERROR(HLOOKUP($PT31,PPT!$E$131:$BJ$159,9,0),0))</f>
        <v>0</v>
      </c>
      <c r="AS31" s="1070">
        <f>IF(PPT!$D$2="$ M",IFERROR(HLOOKUP($PT31,PPT!$E$131:$BJ$159,10,0),0)*1000,IFERROR(HLOOKUP($PT31,PPT!$E$131:$BJ$159,10,0),0))</f>
        <v>0</v>
      </c>
      <c r="AT31" s="1070">
        <f>IF(PPT!$D$2="$ M",IFERROR(HLOOKUP($PT31,PPT!$E$131:$BJ$159,13,0),0)*1000,IFERROR(HLOOKUP($PT31,PPT!$E$131:$BJ$159,13,0),0))</f>
        <v>0</v>
      </c>
      <c r="AU31" s="1070">
        <f>IF(PPT!$D$2="$ M",IFERROR(HLOOKUP($PT31,PPT!$E$131:$BJ$159,14,0),0)*1000,IFERROR(HLOOKUP($PT31,PPT!$E$131:$BJ$159,14,0),0))</f>
        <v>0</v>
      </c>
      <c r="AV31" s="1070">
        <f>IF(PPT!$D$2="$ M",IFERROR(HLOOKUP($PT31,PPT!$E$131:$BJ$159,15,0),0)*1000,IFERROR(HLOOKUP($PT31,PPT!$E$131:$BJ$159,15,0),0))</f>
        <v>0</v>
      </c>
      <c r="AW31" s="1070">
        <f>IF(PPT!$D$2="$ M",IFERROR(HLOOKUP($PT31,PPT!$E$131:$BJ$159,17,0),0)*1000,IFERROR(HLOOKUP($PT31,PPT!$E$131:$BJ$159,17,0),0))</f>
        <v>0</v>
      </c>
      <c r="AX31" s="1070">
        <f>IF(PPT!$D$2="$ M",IFERROR(HLOOKUP($PT31,PPT!$E$131:$BJ$159,18,0),0)*1000,IFERROR(HLOOKUP($PT31,PPT!$E$131:$BJ$159,18,0),0))</f>
        <v>0</v>
      </c>
      <c r="AY31" s="1070">
        <f>IF(PPT!$D$2="$ M",IFERROR(HLOOKUP($PT31,PPT!$E$131:$BJ$159,19,0),0)*1000,IFERROR(HLOOKUP($PT31,PPT!$E$131:$BJ$159,19,0),0))</f>
        <v>0</v>
      </c>
      <c r="AZ31" s="1070">
        <f>IF(PPT!$D$2="$ M",IFERROR(HLOOKUP($PT31,PPT!$E$131:$BJ$159,21,0),0)*1000,IFERROR(HLOOKUP($PT31,PPT!$E$131:$BJ$159,21,0),0))</f>
        <v>0</v>
      </c>
      <c r="BA31" s="1070">
        <f>IF(PPT!$D$2="$ M",IFERROR(HLOOKUP($PT31,PPT!$E$131:$BJ$159,22,0),0)*1000,IFERROR(HLOOKUP($PT31,PPT!$E$131:$BJ$159,22,0),0))</f>
        <v>0</v>
      </c>
      <c r="BB31" s="1070">
        <f>IF(PPT!$D$2="$ M",IFERROR(HLOOKUP($PT31,PPT!$E$131:$BJ$159,23,0),0)*1000,IFERROR(HLOOKUP($PT31,PPT!$E$131:$BJ$159,23,0),0))</f>
        <v>0</v>
      </c>
      <c r="BC31" s="1070">
        <f>IF(PPT!$D$2="$ M",IFERROR(HLOOKUP($PT31,PPT!$E$131:$BJ$159,25,0),0)*1000,IFERROR(HLOOKUP($PT31,PPT!$E$131:$BJ$159,25,0),0))</f>
        <v>0</v>
      </c>
      <c r="BD31" s="1070">
        <f>IF(PPT!$D$2="$ M",IFERROR(HLOOKUP($PT31,PPT!$E$131:$BJ$159,26,0),0)*1000,IFERROR(HLOOKUP($PT31,PPT!$E$131:$BJ$159,26,0),0))</f>
        <v>0</v>
      </c>
      <c r="BE31" s="1070">
        <f>IF(PPT!$D$2="$ M",IFERROR(HLOOKUP($PT31,PPT!$E$131:$BJ$159,27,0),0)*1000,IFERROR(HLOOKUP($PT31,PPT!$E$131:$BJ$159,27,0),0))</f>
        <v>0</v>
      </c>
      <c r="BF31" s="1070">
        <f>IFERROR(HLOOKUP($PT31,Calc!$F$151:$P$166,2,0),0)</f>
        <v>0</v>
      </c>
      <c r="BG31" s="1070">
        <f>IFERROR(HLOOKUP($PT31,Calc!$F$151:$P$166,3,0),0)</f>
        <v>0</v>
      </c>
      <c r="BH31" s="1070">
        <f>IFERROR(HLOOKUP($PT31,Calc!$F$151:$P$166,4,0),0)</f>
        <v>0</v>
      </c>
      <c r="BI31" s="1070">
        <f>IFERROR(HLOOKUP($PT31,Calc!$F$151:$P$166,5,0),0)</f>
        <v>0</v>
      </c>
      <c r="BJ31" s="1070">
        <f>IFERROR(HLOOKUP($PT31,Calc!$F$151:$P$166,6,0),0)</f>
        <v>0</v>
      </c>
      <c r="BK31" s="1070">
        <f>IFERROR(HLOOKUP($PT31,Calc!$F$151:$P$166,7,0),0)</f>
        <v>0</v>
      </c>
      <c r="BL31" s="1070">
        <f>IFERROR(HLOOKUP($PT31,Calc!$F$151:$P$166,8,0),0)</f>
        <v>0</v>
      </c>
      <c r="BM31" s="1070">
        <f>IFERROR(HLOOKUP($PT31,Calc!$F$151:$P$166,9,0),0)</f>
        <v>0</v>
      </c>
      <c r="BN31" s="1070">
        <f>IFERROR(HLOOKUP($PT31,Calc!$F$151:$P$166,10,0),0)</f>
        <v>0</v>
      </c>
      <c r="BO31" s="1070">
        <f>IFERROR(HLOOKUP($PT31,Calc!$F$151:$P$166,11,0),0)</f>
        <v>0</v>
      </c>
      <c r="BP31" s="1070">
        <f>IFERROR(HLOOKUP($PT31,Calc!$F$151:$P$166,12,0),0)</f>
        <v>0</v>
      </c>
      <c r="BQ31" s="1070">
        <f>IFERROR(HLOOKUP($PT31,Calc!$F$151:$P$166,13,0),0)</f>
        <v>0</v>
      </c>
      <c r="BR31" s="1070">
        <f>IFERROR(HLOOKUP($PT31,Calc!$F$151:$P$166,14,0),0)</f>
        <v>0</v>
      </c>
      <c r="BS31" s="1070">
        <f>IFERROR(HLOOKUP($PT31,Calc!$F$151:$P$166,15,0),0)</f>
        <v>0</v>
      </c>
      <c r="BT31" s="1070">
        <f>IFERROR(HLOOKUP($PT31,Calc!$F$151:$P$166,16,0),0)</f>
        <v>0</v>
      </c>
      <c r="BU31" s="1070">
        <f>IFERROR(VLOOKUP($PS31,Calc!$AF$196:$AH$203,2,0),0)</f>
        <v>0</v>
      </c>
      <c r="BV31" s="1070">
        <f>IFERROR(VLOOKUP($PS31,Calc!$AF$196:$AH$203,3,0),0)</f>
        <v>0</v>
      </c>
      <c r="BW31" s="1070">
        <f>IFERROR(VLOOKUP($PS31,Calc!$AF$196:$AI$203,4,0),0)</f>
        <v>0</v>
      </c>
      <c r="BX31" s="1070">
        <f>IFERROR(VLOOKUP($PS31,Calc!$AF$208:$AI$209,2,0),0)</f>
        <v>0</v>
      </c>
      <c r="BY31" s="1070">
        <f>IFERROR(VLOOKUP($PS31,Calc!$AF$208:$AI$209,3,0),0)</f>
        <v>0</v>
      </c>
      <c r="BZ31" s="1070">
        <f>IFERROR(VLOOKUP($PS31,Calc!$AF$208:$AI$209,4,0),0)</f>
        <v>0</v>
      </c>
      <c r="CA31" s="1070">
        <f>IFERROR(VLOOKUP($PS31,Calc!$K$420:$P$433,3,0),0)</f>
        <v>0</v>
      </c>
      <c r="CB31" s="1070">
        <f>IFERROR(VLOOKUP($PS31,Calc!$K$420:$P$433,4,0),0)</f>
        <v>0</v>
      </c>
      <c r="CC31" s="1070">
        <f>IFERROR(VLOOKUP($PS31,Calc!$K$420:$P$433,5,0),0)</f>
        <v>0</v>
      </c>
      <c r="CD31" s="1070">
        <f>IFERROR(VLOOKUP($PS31,Calc!$K$420:$P$433,6,0),0)</f>
        <v>0</v>
      </c>
      <c r="CE31" s="1070">
        <f>IFERROR(VLOOKUP($PS31,Calc!$AQ$420:$AV$433,3,0),0)</f>
        <v>0</v>
      </c>
      <c r="CF31" s="1070">
        <f>IFERROR(VLOOKUP($PS31,Calc!$AQ$420:$AV$433,4,0),0)</f>
        <v>0</v>
      </c>
      <c r="CG31" s="1070">
        <f>IFERROR(VLOOKUP($PS31,Calc!$AQ$420:$AV$433,5,0),0)</f>
        <v>0</v>
      </c>
      <c r="CH31" s="1070">
        <f>IFERROR(VLOOKUP($PS31,Calc!$AQ$420:$AV$433,6,0),0)</f>
        <v>0</v>
      </c>
      <c r="CI31" s="1070">
        <f>IFERROR(HLOOKUP($PT31,Calc!$AQ$125:$BS$146,3,0),0)</f>
        <v>0</v>
      </c>
      <c r="CJ31" s="1070">
        <f>IFERROR(HLOOKUP($PT31,Calc!$AQ$125:$BS$146,6,0),0)</f>
        <v>0</v>
      </c>
      <c r="CK31" s="1070">
        <f>IFERROR(IF(Calc!$C$129="Dollar ($)",HLOOKUP($PT31,Calc!$AQ$125:$BS$146,5,0),0),0)</f>
        <v>0</v>
      </c>
      <c r="CL31" s="1070">
        <f>IFERROR(IF(Calc!$C$129="Volume (units)",HLOOKUP($PT31,Calc!$AQ$125:$BS$146,5,0),0),0)</f>
        <v>0</v>
      </c>
      <c r="CM31" s="1070">
        <f>IFERROR(HLOOKUP($PT31,Calc!$AQ$125:$BS$146,9,0),0)</f>
        <v>0</v>
      </c>
      <c r="CN31" s="1070">
        <f>IFERROR(HLOOKUP($PT31,Calc!$AQ$125:$BS$146,10,0),0)</f>
        <v>0</v>
      </c>
      <c r="CO31" s="1070">
        <f>IFERROR(HLOOKUP($PT31,Calc!$AQ$125:$BS$146,11,0),0)</f>
        <v>0</v>
      </c>
      <c r="CP31" s="1070">
        <f>IFERROR(HLOOKUP($PT31,Calc!$AQ$125:$BS$146,12,0),0)</f>
        <v>0</v>
      </c>
      <c r="CQ31" s="1070">
        <f>IFERROR(HLOOKUP($PT31,Calc!$AQ$125:$BS$146,13,0),0)</f>
        <v>0</v>
      </c>
      <c r="CR31" s="1070">
        <f>IFERROR(HLOOKUP($PT31,Calc!$AQ$125:$BS$146,17,0),0)</f>
        <v>0</v>
      </c>
      <c r="CS31" s="1070">
        <f>IFERROR(HLOOKUP($PT31,Calc!$AQ$125:$BS$146,19,0),0)</f>
        <v>0</v>
      </c>
      <c r="CT31" s="1070">
        <f>IFERROR(HLOOKUP($PT31,Calc!$AQ$125:$BS$146,20,0),0)</f>
        <v>0</v>
      </c>
      <c r="CU31" s="1070">
        <f>IFERROR(HLOOKUP($PT31,Calc!$AQ$125:$BS$146,21,0),0)</f>
        <v>0</v>
      </c>
      <c r="CV31" s="1070">
        <f>IFERROR(HLOOKUP($PT31,Calc!$AQ$125:$BS$147,23,0),0)</f>
        <v>0</v>
      </c>
      <c r="CW31" s="1070">
        <f>IFERROR(HLOOKUP($PT31,Calc!$AQ$9:$BS$15,5,0),0)+IFERROR(HLOOKUP($PT31,Calc!$AQ$30:$BS$36,5,0),0)+IFERROR(HLOOKUP($PT31,Calc!$AQ$51:$BS$57,5,0),0)+IFERROR(HLOOKUP($PT31,Calc!$AQ$72:$BS$78,5,0),0)+IFERROR(HLOOKUP($PT31,Calc!$AQ$93:$BS$99,5,0),0)</f>
        <v>0</v>
      </c>
      <c r="CX31" s="1070">
        <f>IFERROR(HLOOKUP($PT31,Calc!$AQ$9:$BS$15,6,0),0)+IFERROR(HLOOKUP($PT31,Calc!$AQ$30:$BS$36,6,0),0)+IFERROR(HLOOKUP($PT31,Calc!$AQ$51:$BS$57,6,0),0)+IFERROR(HLOOKUP($PT31,Calc!$AQ$72:$BS$78,6,0),0)+IFERROR(HLOOKUP($PT31,Calc!$AQ$93:$BS$99,6,0),0)</f>
        <v>0</v>
      </c>
      <c r="CY31" s="1070">
        <f>IFERROR(HLOOKUP($PT31,Calc!$AQ$9:$BS$15,7,0),0)+IFERROR(HLOOKUP($PT31,Calc!$AQ$30:$BS$36,7,0),0)+IFERROR(HLOOKUP($PT31,Calc!$AQ$51:$BS$57,7,0),0)+IFERROR(HLOOKUP($PT31,Calc!$AQ$72:$BS$78,7,0),0)+IFERROR(HLOOKUP($PT31,Calc!$AQ$93:$BS$99,7,0),0)</f>
        <v>0</v>
      </c>
      <c r="IY31" s="1070">
        <f>IFERROR(HLOOKUP($PT31,Current_Prior!$AQ$9:$BS$30,3,0),0)</f>
        <v>0</v>
      </c>
      <c r="IZ31" s="1070">
        <f>IFERROR(HLOOKUP($PT31,Current_Prior!$AQ$9:$BS$30,6,0),0)</f>
        <v>0</v>
      </c>
      <c r="JA31" s="1070">
        <f>IFERROR(IF(Calc!$C$129="Dollar ($)",HLOOKUP($PT31,Current_Prior!$AQ$9:$BS$30,5,0),0),0)</f>
        <v>0</v>
      </c>
      <c r="JB31" s="1070">
        <f>IFERROR(IF(Calc!$C$129="Volume (units)",HLOOKUP($PT31,Current_Prior!$AQ$9:$BS$30,5,0),0),0)</f>
        <v>0</v>
      </c>
      <c r="JC31" s="1070">
        <f>IFERROR(HLOOKUP($PT31,Current_Prior!$AQ$9:$BS$30,9,0),0)</f>
        <v>0</v>
      </c>
      <c r="JD31" s="1070">
        <f>IFERROR(HLOOKUP($PT31,Current_Prior!$AQ$9:$BS$30,10,0),0)</f>
        <v>0</v>
      </c>
      <c r="JE31" s="1070">
        <f>IFERROR(HLOOKUP($PT31,Current_Prior!$AQ$9:$BS$30,11,0),0)</f>
        <v>0</v>
      </c>
      <c r="JF31" s="1070">
        <f>IFERROR(HLOOKUP($PT31,Current_Prior!$AQ$9:$BS$30,12,0),0)</f>
        <v>0</v>
      </c>
      <c r="JG31" s="1070">
        <f>IFERROR(HLOOKUP($PT31,Current_Prior!$AQ$9:$BS$30,13,0),0)</f>
        <v>0</v>
      </c>
      <c r="JH31" s="1070">
        <f>IFERROR(HLOOKUP($PT31,Current_Prior!$AQ$9:$BS$30,17,0),0)</f>
        <v>0</v>
      </c>
      <c r="JI31" s="1070">
        <f>IFERROR(HLOOKUP($PT31,Current_Prior!$AQ$9:$BS$30,19,0),0)</f>
        <v>0</v>
      </c>
      <c r="JJ31" s="1070">
        <f>IFERROR(HLOOKUP($PT31,Current_Prior!$AQ$9:$BS$30,20,0),0)</f>
        <v>0</v>
      </c>
      <c r="JK31" s="1070">
        <f>IFERROR(HLOOKUP($PT31,Current_Prior!$AQ$9:$BS$30,21,0),0)</f>
        <v>0</v>
      </c>
      <c r="JL31" s="1070">
        <f>IFERROR(HLOOKUP($PT31,Current_Prior!$AQ$9:$BS$31,23,0),0)</f>
        <v>0</v>
      </c>
      <c r="ML31" s="1082">
        <f>IFERROR(HLOOKUP($PT31,HistInfo!$G$15:$AI$37,3,0),0)</f>
        <v>0</v>
      </c>
      <c r="MM31" s="1082">
        <f>IFERROR(HLOOKUP($PT31,HistInfo!$G$15:$AI$37,6,0),0)</f>
        <v>0</v>
      </c>
      <c r="MN31" s="1070">
        <f>IFERROR(IF(HistInfo!$C$19="Dollar ($)",HLOOKUP($PT31,HistInfo!$G$15:$AI$37,5,0),0),0)</f>
        <v>0</v>
      </c>
      <c r="MO31" s="1070">
        <f>IFERROR(IF(HistInfo!$C$19="Volume (units)",HLOOKUP($PT31,HistInfo!$G$15:$AI$37,5,0),0),0)</f>
        <v>0</v>
      </c>
      <c r="MP31" s="1082">
        <f>IFERROR(HLOOKUP($PT31,HistInfo!$G$15:$AI$37,9,0),0)</f>
        <v>0</v>
      </c>
      <c r="MQ31" s="1082">
        <f>IFERROR(HLOOKUP($PT31,HistInfo!$G$15:$AI$37,10,0),0)</f>
        <v>0</v>
      </c>
      <c r="MR31" s="1082">
        <f>IFERROR(HLOOKUP($PT31,HistInfo!$G$15:$AI$37,11,0),0)</f>
        <v>0</v>
      </c>
      <c r="MS31" s="1082">
        <f>IFERROR(HLOOKUP($PT31,HistInfo!$G$15:$AI$37,12,0),0)</f>
        <v>0</v>
      </c>
      <c r="MT31" s="1082">
        <f>IFERROR(HLOOKUP($PT31,HistInfo!$G$15:$AI$37,13,0),0)</f>
        <v>0</v>
      </c>
      <c r="MU31" s="1082">
        <f>IFERROR(HLOOKUP($PT31,HistInfo!$G$15:$AI$37,17,0),0)</f>
        <v>0</v>
      </c>
      <c r="MV31" s="1082">
        <f>IFERROR(HLOOKUP($PT31,HistInfo!$G$15:$AI$37,19,0),0)</f>
        <v>0</v>
      </c>
      <c r="MW31" s="1082">
        <f>IFERROR(HLOOKUP($PT31,HistInfo!$G$15:$AI$37,20,0),0)</f>
        <v>0</v>
      </c>
      <c r="MX31" s="1082">
        <f>IFERROR(HLOOKUP($PT31,HistInfo!$G$15:$AI$37,21,0),0)</f>
        <v>0</v>
      </c>
      <c r="MY31" s="1082">
        <f>IFERROR(HLOOKUP($PT31,HistInfo!$G$15:$AI$37,23,0),0)</f>
        <v>0</v>
      </c>
      <c r="PS31" s="1070">
        <v>41</v>
      </c>
      <c r="PT31" s="1082" t="str">
        <f t="shared" si="1"/>
        <v>FY41</v>
      </c>
      <c r="PU31" s="1070" t="str">
        <f t="shared" si="2"/>
        <v>2041</v>
      </c>
    </row>
    <row r="32" spans="1:437" x14ac:dyDescent="0.3">
      <c r="A32" s="1070" t="str">
        <f t="shared" si="8"/>
        <v>Life Sciences</v>
      </c>
      <c r="B32" s="1070" t="str">
        <f t="shared" si="8"/>
        <v>BDB</v>
      </c>
      <c r="C32" s="1070">
        <f t="shared" si="8"/>
        <v>0</v>
      </c>
      <c r="D32" s="1070">
        <f t="shared" si="8"/>
        <v>0</v>
      </c>
      <c r="E32" s="1070">
        <v>0</v>
      </c>
      <c r="F32" s="1070">
        <v>0</v>
      </c>
      <c r="G32" s="1070">
        <f t="shared" si="7"/>
        <v>0</v>
      </c>
      <c r="H32" s="1070">
        <f t="shared" si="7"/>
        <v>0</v>
      </c>
      <c r="I32" s="1070">
        <f t="shared" si="7"/>
        <v>0</v>
      </c>
      <c r="J32" s="1070" t="str">
        <f t="shared" si="7"/>
        <v>Budget</v>
      </c>
      <c r="K32" s="1082" t="str">
        <f t="shared" si="0"/>
        <v>2042</v>
      </c>
      <c r="L32" s="1070">
        <f>IF(PPT!$D$2="$ M",IFERROR(HLOOKUP($PT32,PPT!$E$117:$BJ$119,3,0),0)*1000,IFERROR(HLOOKUP($PT32,PPT!$E$117:$BJ$119,3,0),0))</f>
        <v>0</v>
      </c>
      <c r="M32" s="1070">
        <f>IF(PPT!$D$2="$ M",IFERROR(HLOOKUP($PT32,PPT!$E$133:$BJ$159,4,0),0)*1000,IFERROR(HLOOKUP($PT32,PPT!$E$133:$BJ$159,4,0),0))</f>
        <v>0</v>
      </c>
      <c r="N32" s="1070">
        <f>IF(PPT!$D$2="$ M",IFERROR(HLOOKUP($PT32,PPT!$E$133:$BJ$159,5,0),0)*1000,IFERROR(HLOOKUP($PT32,PPT!$E$133:$BJ$159,5,0),0))</f>
        <v>0</v>
      </c>
      <c r="O32" s="1070">
        <f>IF(PPT!$D$2="$ M",IFERROR(HLOOKUP($PT32,PPT!$E$133:$BJ$159,6,0),0)*1000,IFERROR(HLOOKUP($PT32,PPT!$E$133:$BJ$159,6,0),0))</f>
        <v>0</v>
      </c>
      <c r="P32" s="1070">
        <f>IF(PPT!$D$2="$ M",IFERROR(HLOOKUP($PT32,PPT!$E$133:$BJ$159,7,0),0)*1000,IFERROR(HLOOKUP($PT32,PPT!$E$133:$BJ$159,7,0),0))</f>
        <v>0</v>
      </c>
      <c r="Q32" s="1070">
        <f>IFERROR(HLOOKUP($PT32,Calc!$G$125:$AI$146,3,0),0)</f>
        <v>0</v>
      </c>
      <c r="R32" s="1070" t="str">
        <f>IF(PPT!$D$2="$ M",IFERROR(HLOOKUP($PT32,PPT!$E$133:$BJ$159,9,0),0),IFERROR(HLOOKUP($PT32,PPT!$E$133:$BJ$159,9,0),0))</f>
        <v/>
      </c>
      <c r="S32" s="1070" t="str">
        <f>IF(PPT!$D$2="$ M",IFERROR(HLOOKUP($PT32,PPT!$E$133:$BJ$159,10,0),0),IFERROR(HLOOKUP($PT32,PPT!$E$133:$BJ$159,10,0),0))</f>
        <v/>
      </c>
      <c r="T32" s="1070">
        <f>IFERROR(IF(Calc!$C$129="Dollar ($)",HLOOKUP($PT32,Calc!$G$125:$AI$146,5,0),0),0)</f>
        <v>0</v>
      </c>
      <c r="U32" s="1070">
        <f>IFERROR(IF(Calc!$C$129="Volume (units)",HLOOKUP($PT32,Calc!$G$125:$AI$146,5,0),0),0)</f>
        <v>0</v>
      </c>
      <c r="V32" s="1070">
        <f>IFERROR(HLOOKUP($PT32,Calc!$G$125:$AI$146,6,0),0)</f>
        <v>0</v>
      </c>
      <c r="W32" s="1070">
        <f>IFERROR(HLOOKUP($PT32,Calc!$G$125:$AI$146,7,0),0)</f>
        <v>0</v>
      </c>
      <c r="X32" s="1070">
        <f>IFERROR(HLOOKUP($PT32,Calc!$G$125:$AI$146,8,0),0)</f>
        <v>0</v>
      </c>
      <c r="Y32" s="1070">
        <f>IFERROR(HLOOKUP($PT32,Calc!$G$125:$AI$146,9,0),0)</f>
        <v>0</v>
      </c>
      <c r="Z32" s="1070">
        <f>IFERROR(HLOOKUP($PT32,Calc!$G$125:$AI$146,10,0),0)</f>
        <v>0</v>
      </c>
      <c r="AA32" s="1070">
        <f>IFERROR(HLOOKUP($PT32,Calc!$G$125:$AI$146,11,0),0)</f>
        <v>0</v>
      </c>
      <c r="AB32" s="1070">
        <f>IFERROR(HLOOKUP($PT32,Calc!$G$125:$AI$146,12,0),0)</f>
        <v>0</v>
      </c>
      <c r="AC32" s="1070">
        <f>IFERROR(HLOOKUP($PT32,Calc!$G$125:$AI$146,13,0),0)</f>
        <v>0</v>
      </c>
      <c r="AD32" s="1070">
        <f>IFERROR(HLOOKUP($PT32,Calc!$G$125:$AI$146,14,0),0)</f>
        <v>0</v>
      </c>
      <c r="AE32" s="1070">
        <f>IFERROR(HLOOKUP($PT32,Calc!$G$125:$AI$146,15,0),0)</f>
        <v>0</v>
      </c>
      <c r="AF32" s="1070">
        <f>IFERROR(HLOOKUP($PT32,Calc!$G$125:$AI$146,16,0),0)</f>
        <v>0</v>
      </c>
      <c r="AG32" s="1070">
        <f>IFERROR(HLOOKUP($PT32,Calc!$G$125:$AI$146,17,0),0)</f>
        <v>0</v>
      </c>
      <c r="AH32" s="1070">
        <f>IFERROR(HLOOKUP($PT32,Calc!$G$125:$AI$146,18,0),0)</f>
        <v>0</v>
      </c>
      <c r="AI32" s="1070">
        <f>IFERROR(HLOOKUP($PT32,Calc!$G$125:$AI$146,19,0),0)</f>
        <v>0</v>
      </c>
      <c r="AJ32" s="1070">
        <f>IFERROR(HLOOKUP($PT32,Calc!$G$125:$AI$146,20,0),0)</f>
        <v>0</v>
      </c>
      <c r="AK32" s="1070">
        <f>IFERROR(HLOOKUP($PT32,Calc!$G$125:$AI$146,21,0),0)</f>
        <v>0</v>
      </c>
      <c r="AL32" s="1070">
        <f>IFERROR(HLOOKUP($PT32,Calc!$G$125:$AI$146,22,0),0)</f>
        <v>0</v>
      </c>
      <c r="AM32" s="1070">
        <f>IFERROR(HLOOKUP($PT32,Calc!$G$125:$AI$147,23,0),0)</f>
        <v>0</v>
      </c>
      <c r="AN32" s="1070">
        <f>IF(PPT!$D$2="$ M",IFERROR(HLOOKUP($PT32,PPT!$E$131:$BJ$159,5,0),0)*1000,IFERROR(HLOOKUP($PT32,PPT!$E$131:$BJ$159,5,0),0))</f>
        <v>0</v>
      </c>
      <c r="AO32" s="1070">
        <f>IF(PPT!$D$2="$ M",IFERROR(HLOOKUP($PT32,PPT!$E$131:$BJ$159,6,0),0)*1000,IFERROR(HLOOKUP($PT32,PPT!$E$131:$BJ$159,6,0),0))</f>
        <v>0</v>
      </c>
      <c r="AP32" s="1070">
        <f>IF(PPT!$D$2="$ M",IFERROR(HLOOKUP($PT32,PPT!$E$131:$BJ$159,7,0),0)*1000,IFERROR(HLOOKUP($PT32,PPT!$E$131:$BJ$159,7,0),0))</f>
        <v>0</v>
      </c>
      <c r="AQ32" s="1070">
        <f>IF(PPT!$D$2="$ M",IFERROR(HLOOKUP($PT32,PPT!$E$131:$BJ$159,8,0),0)*1000,IFERROR(HLOOKUP($PT32,PPT!$E$131:$BJ$159,8,0),0))</f>
        <v>0</v>
      </c>
      <c r="AR32" s="1070">
        <f>IF(PPT!$D$2="$ M",IFERROR(HLOOKUP($PT32,PPT!$E$131:$BJ$159,9,0),0)*1000,IFERROR(HLOOKUP($PT32,PPT!$E$131:$BJ$159,9,0),0))</f>
        <v>0</v>
      </c>
      <c r="AS32" s="1070">
        <f>IF(PPT!$D$2="$ M",IFERROR(HLOOKUP($PT32,PPT!$E$131:$BJ$159,10,0),0)*1000,IFERROR(HLOOKUP($PT32,PPT!$E$131:$BJ$159,10,0),0))</f>
        <v>0</v>
      </c>
      <c r="AT32" s="1070">
        <f>IF(PPT!$D$2="$ M",IFERROR(HLOOKUP($PT32,PPT!$E$131:$BJ$159,13,0),0)*1000,IFERROR(HLOOKUP($PT32,PPT!$E$131:$BJ$159,13,0),0))</f>
        <v>0</v>
      </c>
      <c r="AU32" s="1070">
        <f>IF(PPT!$D$2="$ M",IFERROR(HLOOKUP($PT32,PPT!$E$131:$BJ$159,14,0),0)*1000,IFERROR(HLOOKUP($PT32,PPT!$E$131:$BJ$159,14,0),0))</f>
        <v>0</v>
      </c>
      <c r="AV32" s="1070">
        <f>IF(PPT!$D$2="$ M",IFERROR(HLOOKUP($PT32,PPT!$E$131:$BJ$159,15,0),0)*1000,IFERROR(HLOOKUP($PT32,PPT!$E$131:$BJ$159,15,0),0))</f>
        <v>0</v>
      </c>
      <c r="AW32" s="1070">
        <f>IF(PPT!$D$2="$ M",IFERROR(HLOOKUP($PT32,PPT!$E$131:$BJ$159,17,0),0)*1000,IFERROR(HLOOKUP($PT32,PPT!$E$131:$BJ$159,17,0),0))</f>
        <v>0</v>
      </c>
      <c r="AX32" s="1070">
        <f>IF(PPT!$D$2="$ M",IFERROR(HLOOKUP($PT32,PPT!$E$131:$BJ$159,18,0),0)*1000,IFERROR(HLOOKUP($PT32,PPT!$E$131:$BJ$159,18,0),0))</f>
        <v>0</v>
      </c>
      <c r="AY32" s="1070">
        <f>IF(PPT!$D$2="$ M",IFERROR(HLOOKUP($PT32,PPT!$E$131:$BJ$159,19,0),0)*1000,IFERROR(HLOOKUP($PT32,PPT!$E$131:$BJ$159,19,0),0))</f>
        <v>0</v>
      </c>
      <c r="AZ32" s="1070">
        <f>IF(PPT!$D$2="$ M",IFERROR(HLOOKUP($PT32,PPT!$E$131:$BJ$159,21,0),0)*1000,IFERROR(HLOOKUP($PT32,PPT!$E$131:$BJ$159,21,0),0))</f>
        <v>0</v>
      </c>
      <c r="BA32" s="1070">
        <f>IF(PPT!$D$2="$ M",IFERROR(HLOOKUP($PT32,PPT!$E$131:$BJ$159,22,0),0)*1000,IFERROR(HLOOKUP($PT32,PPT!$E$131:$BJ$159,22,0),0))</f>
        <v>0</v>
      </c>
      <c r="BB32" s="1070">
        <f>IF(PPT!$D$2="$ M",IFERROR(HLOOKUP($PT32,PPT!$E$131:$BJ$159,23,0),0)*1000,IFERROR(HLOOKUP($PT32,PPT!$E$131:$BJ$159,23,0),0))</f>
        <v>0</v>
      </c>
      <c r="BC32" s="1070">
        <f>IF(PPT!$D$2="$ M",IFERROR(HLOOKUP($PT32,PPT!$E$131:$BJ$159,25,0),0)*1000,IFERROR(HLOOKUP($PT32,PPT!$E$131:$BJ$159,25,0),0))</f>
        <v>0</v>
      </c>
      <c r="BD32" s="1070">
        <f>IF(PPT!$D$2="$ M",IFERROR(HLOOKUP($PT32,PPT!$E$131:$BJ$159,26,0),0)*1000,IFERROR(HLOOKUP($PT32,PPT!$E$131:$BJ$159,26,0),0))</f>
        <v>0</v>
      </c>
      <c r="BE32" s="1070">
        <f>IF(PPT!$D$2="$ M",IFERROR(HLOOKUP($PT32,PPT!$E$131:$BJ$159,27,0),0)*1000,IFERROR(HLOOKUP($PT32,PPT!$E$131:$BJ$159,27,0),0))</f>
        <v>0</v>
      </c>
      <c r="BF32" s="1070">
        <f>IFERROR(HLOOKUP($PT32,Calc!$F$151:$P$166,2,0),0)</f>
        <v>0</v>
      </c>
      <c r="BG32" s="1070">
        <f>IFERROR(HLOOKUP($PT32,Calc!$F$151:$P$166,3,0),0)</f>
        <v>0</v>
      </c>
      <c r="BH32" s="1070">
        <f>IFERROR(HLOOKUP($PT32,Calc!$F$151:$P$166,4,0),0)</f>
        <v>0</v>
      </c>
      <c r="BI32" s="1070">
        <f>IFERROR(HLOOKUP($PT32,Calc!$F$151:$P$166,5,0),0)</f>
        <v>0</v>
      </c>
      <c r="BJ32" s="1070">
        <f>IFERROR(HLOOKUP($PT32,Calc!$F$151:$P$166,6,0),0)</f>
        <v>0</v>
      </c>
      <c r="BK32" s="1070">
        <f>IFERROR(HLOOKUP($PT32,Calc!$F$151:$P$166,7,0),0)</f>
        <v>0</v>
      </c>
      <c r="BL32" s="1070">
        <f>IFERROR(HLOOKUP($PT32,Calc!$F$151:$P$166,8,0),0)</f>
        <v>0</v>
      </c>
      <c r="BM32" s="1070">
        <f>IFERROR(HLOOKUP($PT32,Calc!$F$151:$P$166,9,0),0)</f>
        <v>0</v>
      </c>
      <c r="BN32" s="1070">
        <f>IFERROR(HLOOKUP($PT32,Calc!$F$151:$P$166,10,0),0)</f>
        <v>0</v>
      </c>
      <c r="BO32" s="1070">
        <f>IFERROR(HLOOKUP($PT32,Calc!$F$151:$P$166,11,0),0)</f>
        <v>0</v>
      </c>
      <c r="BP32" s="1070">
        <f>IFERROR(HLOOKUP($PT32,Calc!$F$151:$P$166,12,0),0)</f>
        <v>0</v>
      </c>
      <c r="BQ32" s="1070">
        <f>IFERROR(HLOOKUP($PT32,Calc!$F$151:$P$166,13,0),0)</f>
        <v>0</v>
      </c>
      <c r="BR32" s="1070">
        <f>IFERROR(HLOOKUP($PT32,Calc!$F$151:$P$166,14,0),0)</f>
        <v>0</v>
      </c>
      <c r="BS32" s="1070">
        <f>IFERROR(HLOOKUP($PT32,Calc!$F$151:$P$166,15,0),0)</f>
        <v>0</v>
      </c>
      <c r="BT32" s="1070">
        <f>IFERROR(HLOOKUP($PT32,Calc!$F$151:$P$166,16,0),0)</f>
        <v>0</v>
      </c>
      <c r="BU32" s="1070">
        <f>IFERROR(VLOOKUP($PS32,Calc!$AF$196:$AH$203,2,0),0)</f>
        <v>0</v>
      </c>
      <c r="BV32" s="1070">
        <f>IFERROR(VLOOKUP($PS32,Calc!$AF$196:$AH$203,3,0),0)</f>
        <v>0</v>
      </c>
      <c r="BW32" s="1070">
        <f>IFERROR(VLOOKUP($PS32,Calc!$AF$196:$AI$203,4,0),0)</f>
        <v>0</v>
      </c>
      <c r="BX32" s="1070">
        <f>IFERROR(VLOOKUP($PS32,Calc!$AF$208:$AI$209,2,0),0)</f>
        <v>0</v>
      </c>
      <c r="BY32" s="1070">
        <f>IFERROR(VLOOKUP($PS32,Calc!$AF$208:$AI$209,3,0),0)</f>
        <v>0</v>
      </c>
      <c r="BZ32" s="1070">
        <f>IFERROR(VLOOKUP($PS32,Calc!$AF$208:$AI$209,4,0),0)</f>
        <v>0</v>
      </c>
      <c r="CA32" s="1070">
        <f>IFERROR(VLOOKUP($PS32,Calc!$K$420:$P$433,3,0),0)</f>
        <v>0</v>
      </c>
      <c r="CB32" s="1070">
        <f>IFERROR(VLOOKUP($PS32,Calc!$K$420:$P$433,4,0),0)</f>
        <v>0</v>
      </c>
      <c r="CC32" s="1070">
        <f>IFERROR(VLOOKUP($PS32,Calc!$K$420:$P$433,5,0),0)</f>
        <v>0</v>
      </c>
      <c r="CD32" s="1070">
        <f>IFERROR(VLOOKUP($PS32,Calc!$K$420:$P$433,6,0),0)</f>
        <v>0</v>
      </c>
      <c r="CE32" s="1070">
        <f>IFERROR(VLOOKUP($PS32,Calc!$AQ$420:$AV$433,3,0),0)</f>
        <v>0</v>
      </c>
      <c r="CF32" s="1070">
        <f>IFERROR(VLOOKUP($PS32,Calc!$AQ$420:$AV$433,4,0),0)</f>
        <v>0</v>
      </c>
      <c r="CG32" s="1070">
        <f>IFERROR(VLOOKUP($PS32,Calc!$AQ$420:$AV$433,5,0),0)</f>
        <v>0</v>
      </c>
      <c r="CH32" s="1070">
        <f>IFERROR(VLOOKUP($PS32,Calc!$AQ$420:$AV$433,6,0),0)</f>
        <v>0</v>
      </c>
      <c r="CI32" s="1070">
        <f>IFERROR(HLOOKUP($PT32,Calc!$AQ$125:$BS$146,3,0),0)</f>
        <v>0</v>
      </c>
      <c r="CJ32" s="1070">
        <f>IFERROR(HLOOKUP($PT32,Calc!$AQ$125:$BS$146,6,0),0)</f>
        <v>0</v>
      </c>
      <c r="CK32" s="1070">
        <f>IFERROR(IF(Calc!$C$129="Dollar ($)",HLOOKUP($PT32,Calc!$AQ$125:$BS$146,5,0),0),0)</f>
        <v>0</v>
      </c>
      <c r="CL32" s="1070">
        <f>IFERROR(IF(Calc!$C$129="Volume (units)",HLOOKUP($PT32,Calc!$AQ$125:$BS$146,5,0),0),0)</f>
        <v>0</v>
      </c>
      <c r="CM32" s="1070">
        <f>IFERROR(HLOOKUP($PT32,Calc!$AQ$125:$BS$146,9,0),0)</f>
        <v>0</v>
      </c>
      <c r="CN32" s="1070">
        <f>IFERROR(HLOOKUP($PT32,Calc!$AQ$125:$BS$146,10,0),0)</f>
        <v>0</v>
      </c>
      <c r="CO32" s="1070">
        <f>IFERROR(HLOOKUP($PT32,Calc!$AQ$125:$BS$146,11,0),0)</f>
        <v>0</v>
      </c>
      <c r="CP32" s="1070">
        <f>IFERROR(HLOOKUP($PT32,Calc!$AQ$125:$BS$146,12,0),0)</f>
        <v>0</v>
      </c>
      <c r="CQ32" s="1070">
        <f>IFERROR(HLOOKUP($PT32,Calc!$AQ$125:$BS$146,13,0),0)</f>
        <v>0</v>
      </c>
      <c r="CR32" s="1070">
        <f>IFERROR(HLOOKUP($PT32,Calc!$AQ$125:$BS$146,17,0),0)</f>
        <v>0</v>
      </c>
      <c r="CS32" s="1070">
        <f>IFERROR(HLOOKUP($PT32,Calc!$AQ$125:$BS$146,19,0),0)</f>
        <v>0</v>
      </c>
      <c r="CT32" s="1070">
        <f>IFERROR(HLOOKUP($PT32,Calc!$AQ$125:$BS$146,20,0),0)</f>
        <v>0</v>
      </c>
      <c r="CU32" s="1070">
        <f>IFERROR(HLOOKUP($PT32,Calc!$AQ$125:$BS$146,21,0),0)</f>
        <v>0</v>
      </c>
      <c r="CV32" s="1070">
        <f>IFERROR(HLOOKUP($PT32,Calc!$AQ$125:$BS$147,23,0),0)</f>
        <v>0</v>
      </c>
      <c r="CW32" s="1070">
        <f>IFERROR(HLOOKUP($PT32,Calc!$AQ$9:$BS$15,5,0),0)+IFERROR(HLOOKUP($PT32,Calc!$AQ$30:$BS$36,5,0),0)+IFERROR(HLOOKUP($PT32,Calc!$AQ$51:$BS$57,5,0),0)+IFERROR(HLOOKUP($PT32,Calc!$AQ$72:$BS$78,5,0),0)+IFERROR(HLOOKUP($PT32,Calc!$AQ$93:$BS$99,5,0),0)</f>
        <v>0</v>
      </c>
      <c r="CX32" s="1070">
        <f>IFERROR(HLOOKUP($PT32,Calc!$AQ$9:$BS$15,6,0),0)+IFERROR(HLOOKUP($PT32,Calc!$AQ$30:$BS$36,6,0),0)+IFERROR(HLOOKUP($PT32,Calc!$AQ$51:$BS$57,6,0),0)+IFERROR(HLOOKUP($PT32,Calc!$AQ$72:$BS$78,6,0),0)+IFERROR(HLOOKUP($PT32,Calc!$AQ$93:$BS$99,6,0),0)</f>
        <v>0</v>
      </c>
      <c r="CY32" s="1070">
        <f>IFERROR(HLOOKUP($PT32,Calc!$AQ$9:$BS$15,7,0),0)+IFERROR(HLOOKUP($PT32,Calc!$AQ$30:$BS$36,7,0),0)+IFERROR(HLOOKUP($PT32,Calc!$AQ$51:$BS$57,7,0),0)+IFERROR(HLOOKUP($PT32,Calc!$AQ$72:$BS$78,7,0),0)+IFERROR(HLOOKUP($PT32,Calc!$AQ$93:$BS$99,7,0),0)</f>
        <v>0</v>
      </c>
      <c r="IY32" s="1070">
        <f>IFERROR(HLOOKUP($PT32,Current_Prior!$AQ$9:$BS$30,3,0),0)</f>
        <v>0</v>
      </c>
      <c r="IZ32" s="1070">
        <f>IFERROR(HLOOKUP($PT32,Current_Prior!$AQ$9:$BS$30,6,0),0)</f>
        <v>0</v>
      </c>
      <c r="JA32" s="1070">
        <f>IFERROR(IF(Calc!$C$129="Dollar ($)",HLOOKUP($PT32,Current_Prior!$AQ$9:$BS$30,5,0),0),0)</f>
        <v>0</v>
      </c>
      <c r="JB32" s="1070">
        <f>IFERROR(IF(Calc!$C$129="Volume (units)",HLOOKUP($PT32,Current_Prior!$AQ$9:$BS$30,5,0),0),0)</f>
        <v>0</v>
      </c>
      <c r="JC32" s="1070">
        <f>IFERROR(HLOOKUP($PT32,Current_Prior!$AQ$9:$BS$30,9,0),0)</f>
        <v>0</v>
      </c>
      <c r="JD32" s="1070">
        <f>IFERROR(HLOOKUP($PT32,Current_Prior!$AQ$9:$BS$30,10,0),0)</f>
        <v>0</v>
      </c>
      <c r="JE32" s="1070">
        <f>IFERROR(HLOOKUP($PT32,Current_Prior!$AQ$9:$BS$30,11,0),0)</f>
        <v>0</v>
      </c>
      <c r="JF32" s="1070">
        <f>IFERROR(HLOOKUP($PT32,Current_Prior!$AQ$9:$BS$30,12,0),0)</f>
        <v>0</v>
      </c>
      <c r="JG32" s="1070">
        <f>IFERROR(HLOOKUP($PT32,Current_Prior!$AQ$9:$BS$30,13,0),0)</f>
        <v>0</v>
      </c>
      <c r="JH32" s="1070">
        <f>IFERROR(HLOOKUP($PT32,Current_Prior!$AQ$9:$BS$30,17,0),0)</f>
        <v>0</v>
      </c>
      <c r="JI32" s="1070">
        <f>IFERROR(HLOOKUP($PT32,Current_Prior!$AQ$9:$BS$30,19,0),0)</f>
        <v>0</v>
      </c>
      <c r="JJ32" s="1070">
        <f>IFERROR(HLOOKUP($PT32,Current_Prior!$AQ$9:$BS$30,20,0),0)</f>
        <v>0</v>
      </c>
      <c r="JK32" s="1070">
        <f>IFERROR(HLOOKUP($PT32,Current_Prior!$AQ$9:$BS$30,21,0),0)</f>
        <v>0</v>
      </c>
      <c r="JL32" s="1070">
        <f>IFERROR(HLOOKUP($PT32,Current_Prior!$AQ$9:$BS$31,23,0),0)</f>
        <v>0</v>
      </c>
      <c r="ML32" s="1082">
        <f>IFERROR(HLOOKUP($PT32,HistInfo!$G$15:$AI$37,3,0),0)</f>
        <v>0</v>
      </c>
      <c r="MM32" s="1082">
        <f>IFERROR(HLOOKUP($PT32,HistInfo!$G$15:$AI$37,6,0),0)</f>
        <v>0</v>
      </c>
      <c r="MN32" s="1070">
        <f>IFERROR(IF(HistInfo!$C$19="Dollar ($)",HLOOKUP($PT32,HistInfo!$G$15:$AI$37,5,0),0),0)</f>
        <v>0</v>
      </c>
      <c r="MO32" s="1070">
        <f>IFERROR(IF(HistInfo!$C$19="Volume (units)",HLOOKUP($PT32,HistInfo!$G$15:$AI$37,5,0),0),0)</f>
        <v>0</v>
      </c>
      <c r="MP32" s="1082">
        <f>IFERROR(HLOOKUP($PT32,HistInfo!$G$15:$AI$37,9,0),0)</f>
        <v>0</v>
      </c>
      <c r="MQ32" s="1082">
        <f>IFERROR(HLOOKUP($PT32,HistInfo!$G$15:$AI$37,10,0),0)</f>
        <v>0</v>
      </c>
      <c r="MR32" s="1082">
        <f>IFERROR(HLOOKUP($PT32,HistInfo!$G$15:$AI$37,11,0),0)</f>
        <v>0</v>
      </c>
      <c r="MS32" s="1082">
        <f>IFERROR(HLOOKUP($PT32,HistInfo!$G$15:$AI$37,12,0),0)</f>
        <v>0</v>
      </c>
      <c r="MT32" s="1082">
        <f>IFERROR(HLOOKUP($PT32,HistInfo!$G$15:$AI$37,13,0),0)</f>
        <v>0</v>
      </c>
      <c r="MU32" s="1082">
        <f>IFERROR(HLOOKUP($PT32,HistInfo!$G$15:$AI$37,17,0),0)</f>
        <v>0</v>
      </c>
      <c r="MV32" s="1082">
        <f>IFERROR(HLOOKUP($PT32,HistInfo!$G$15:$AI$37,19,0),0)</f>
        <v>0</v>
      </c>
      <c r="MW32" s="1082">
        <f>IFERROR(HLOOKUP($PT32,HistInfo!$G$15:$AI$37,20,0),0)</f>
        <v>0</v>
      </c>
      <c r="MX32" s="1082">
        <f>IFERROR(HLOOKUP($PT32,HistInfo!$G$15:$AI$37,21,0),0)</f>
        <v>0</v>
      </c>
      <c r="MY32" s="1082">
        <f>IFERROR(HLOOKUP($PT32,HistInfo!$G$15:$AI$37,23,0),0)</f>
        <v>0</v>
      </c>
      <c r="PS32" s="1070">
        <v>42</v>
      </c>
      <c r="PT32" s="1082" t="str">
        <f t="shared" si="1"/>
        <v>FY42</v>
      </c>
      <c r="PU32" s="1070" t="str">
        <f t="shared" si="2"/>
        <v>2042</v>
      </c>
    </row>
    <row r="33" spans="1:437" x14ac:dyDescent="0.3">
      <c r="A33" s="1070" t="str">
        <f t="shared" si="8"/>
        <v>Life Sciences</v>
      </c>
      <c r="B33" s="1070" t="str">
        <f t="shared" si="8"/>
        <v>BDB</v>
      </c>
      <c r="C33" s="1070">
        <f t="shared" si="8"/>
        <v>0</v>
      </c>
      <c r="D33" s="1070">
        <f t="shared" si="8"/>
        <v>0</v>
      </c>
      <c r="E33" s="1070">
        <v>0</v>
      </c>
      <c r="F33" s="1070">
        <v>0</v>
      </c>
      <c r="G33" s="1070">
        <f t="shared" si="7"/>
        <v>0</v>
      </c>
      <c r="H33" s="1070">
        <f t="shared" si="7"/>
        <v>0</v>
      </c>
      <c r="I33" s="1070">
        <f t="shared" si="7"/>
        <v>0</v>
      </c>
      <c r="J33" s="1070" t="str">
        <f t="shared" si="7"/>
        <v>Budget</v>
      </c>
      <c r="K33" s="1082" t="str">
        <f t="shared" si="0"/>
        <v>2043</v>
      </c>
      <c r="L33" s="1070">
        <f>IF(PPT!$D$2="$ M",IFERROR(HLOOKUP($PT33,PPT!$E$117:$BJ$119,3,0),0)*1000,IFERROR(HLOOKUP($PT33,PPT!$E$117:$BJ$119,3,0),0))</f>
        <v>0</v>
      </c>
      <c r="M33" s="1070">
        <f>IF(PPT!$D$2="$ M",IFERROR(HLOOKUP($PT33,PPT!$E$133:$BJ$159,4,0),0)*1000,IFERROR(HLOOKUP($PT33,PPT!$E$133:$BJ$159,4,0),0))</f>
        <v>0</v>
      </c>
      <c r="N33" s="1070">
        <f>IF(PPT!$D$2="$ M",IFERROR(HLOOKUP($PT33,PPT!$E$133:$BJ$159,5,0),0)*1000,IFERROR(HLOOKUP($PT33,PPT!$E$133:$BJ$159,5,0),0))</f>
        <v>0</v>
      </c>
      <c r="O33" s="1070">
        <f>IF(PPT!$D$2="$ M",IFERROR(HLOOKUP($PT33,PPT!$E$133:$BJ$159,6,0),0)*1000,IFERROR(HLOOKUP($PT33,PPT!$E$133:$BJ$159,6,0),0))</f>
        <v>0</v>
      </c>
      <c r="P33" s="1070">
        <f>IF(PPT!$D$2="$ M",IFERROR(HLOOKUP($PT33,PPT!$E$133:$BJ$159,7,0),0)*1000,IFERROR(HLOOKUP($PT33,PPT!$E$133:$BJ$159,7,0),0))</f>
        <v>0</v>
      </c>
      <c r="Q33" s="1070">
        <f>IFERROR(HLOOKUP($PT33,Calc!$G$125:$AI$146,3,0),0)</f>
        <v>0</v>
      </c>
      <c r="R33" s="1070" t="str">
        <f>IF(PPT!$D$2="$ M",IFERROR(HLOOKUP($PT33,PPT!$E$133:$BJ$159,9,0),0),IFERROR(HLOOKUP($PT33,PPT!$E$133:$BJ$159,9,0),0))</f>
        <v/>
      </c>
      <c r="S33" s="1070" t="str">
        <f>IF(PPT!$D$2="$ M",IFERROR(HLOOKUP($PT33,PPT!$E$133:$BJ$159,10,0),0),IFERROR(HLOOKUP($PT33,PPT!$E$133:$BJ$159,10,0),0))</f>
        <v/>
      </c>
      <c r="T33" s="1070">
        <f>IFERROR(IF(Calc!$C$129="Dollar ($)",HLOOKUP($PT33,Calc!$G$125:$AI$146,5,0),0),0)</f>
        <v>0</v>
      </c>
      <c r="U33" s="1070">
        <f>IFERROR(IF(Calc!$C$129="Volume (units)",HLOOKUP($PT33,Calc!$G$125:$AI$146,5,0),0),0)</f>
        <v>0</v>
      </c>
      <c r="V33" s="1070">
        <f>IFERROR(HLOOKUP($PT33,Calc!$G$125:$AI$146,6,0),0)</f>
        <v>0</v>
      </c>
      <c r="W33" s="1070">
        <f>IFERROR(HLOOKUP($PT33,Calc!$G$125:$AI$146,7,0),0)</f>
        <v>0</v>
      </c>
      <c r="X33" s="1070">
        <f>IFERROR(HLOOKUP($PT33,Calc!$G$125:$AI$146,8,0),0)</f>
        <v>0</v>
      </c>
      <c r="Y33" s="1070">
        <f>IFERROR(HLOOKUP($PT33,Calc!$G$125:$AI$146,9,0),0)</f>
        <v>0</v>
      </c>
      <c r="Z33" s="1070">
        <f>IFERROR(HLOOKUP($PT33,Calc!$G$125:$AI$146,10,0),0)</f>
        <v>0</v>
      </c>
      <c r="AA33" s="1070">
        <f>IFERROR(HLOOKUP($PT33,Calc!$G$125:$AI$146,11,0),0)</f>
        <v>0</v>
      </c>
      <c r="AB33" s="1070">
        <f>IFERROR(HLOOKUP($PT33,Calc!$G$125:$AI$146,12,0),0)</f>
        <v>0</v>
      </c>
      <c r="AC33" s="1070">
        <f>IFERROR(HLOOKUP($PT33,Calc!$G$125:$AI$146,13,0),0)</f>
        <v>0</v>
      </c>
      <c r="AD33" s="1070">
        <f>IFERROR(HLOOKUP($PT33,Calc!$G$125:$AI$146,14,0),0)</f>
        <v>0</v>
      </c>
      <c r="AE33" s="1070">
        <f>IFERROR(HLOOKUP($PT33,Calc!$G$125:$AI$146,15,0),0)</f>
        <v>0</v>
      </c>
      <c r="AF33" s="1070">
        <f>IFERROR(HLOOKUP($PT33,Calc!$G$125:$AI$146,16,0),0)</f>
        <v>0</v>
      </c>
      <c r="AG33" s="1070">
        <f>IFERROR(HLOOKUP($PT33,Calc!$G$125:$AI$146,17,0),0)</f>
        <v>0</v>
      </c>
      <c r="AH33" s="1070">
        <f>IFERROR(HLOOKUP($PT33,Calc!$G$125:$AI$146,18,0),0)</f>
        <v>0</v>
      </c>
      <c r="AI33" s="1070">
        <f>IFERROR(HLOOKUP($PT33,Calc!$G$125:$AI$146,19,0),0)</f>
        <v>0</v>
      </c>
      <c r="AJ33" s="1070">
        <f>IFERROR(HLOOKUP($PT33,Calc!$G$125:$AI$146,20,0),0)</f>
        <v>0</v>
      </c>
      <c r="AK33" s="1070">
        <f>IFERROR(HLOOKUP($PT33,Calc!$G$125:$AI$146,21,0),0)</f>
        <v>0</v>
      </c>
      <c r="AL33" s="1070">
        <f>IFERROR(HLOOKUP($PT33,Calc!$G$125:$AI$146,22,0),0)</f>
        <v>0</v>
      </c>
      <c r="AM33" s="1070">
        <f>IFERROR(HLOOKUP($PT33,Calc!$G$125:$AI$147,23,0),0)</f>
        <v>0</v>
      </c>
      <c r="AN33" s="1070">
        <f>IF(PPT!$D$2="$ M",IFERROR(HLOOKUP($PT33,PPT!$E$131:$BJ$159,5,0),0)*1000,IFERROR(HLOOKUP($PT33,PPT!$E$131:$BJ$159,5,0),0))</f>
        <v>0</v>
      </c>
      <c r="AO33" s="1070">
        <f>IF(PPT!$D$2="$ M",IFERROR(HLOOKUP($PT33,PPT!$E$131:$BJ$159,6,0),0)*1000,IFERROR(HLOOKUP($PT33,PPT!$E$131:$BJ$159,6,0),0))</f>
        <v>0</v>
      </c>
      <c r="AP33" s="1070">
        <f>IF(PPT!$D$2="$ M",IFERROR(HLOOKUP($PT33,PPT!$E$131:$BJ$159,7,0),0)*1000,IFERROR(HLOOKUP($PT33,PPT!$E$131:$BJ$159,7,0),0))</f>
        <v>0</v>
      </c>
      <c r="AQ33" s="1070">
        <f>IF(PPT!$D$2="$ M",IFERROR(HLOOKUP($PT33,PPT!$E$131:$BJ$159,8,0),0)*1000,IFERROR(HLOOKUP($PT33,PPT!$E$131:$BJ$159,8,0),0))</f>
        <v>0</v>
      </c>
      <c r="AR33" s="1070">
        <f>IF(PPT!$D$2="$ M",IFERROR(HLOOKUP($PT33,PPT!$E$131:$BJ$159,9,0),0)*1000,IFERROR(HLOOKUP($PT33,PPT!$E$131:$BJ$159,9,0),0))</f>
        <v>0</v>
      </c>
      <c r="AS33" s="1070">
        <f>IF(PPT!$D$2="$ M",IFERROR(HLOOKUP($PT33,PPT!$E$131:$BJ$159,10,0),0)*1000,IFERROR(HLOOKUP($PT33,PPT!$E$131:$BJ$159,10,0),0))</f>
        <v>0</v>
      </c>
      <c r="AT33" s="1070">
        <f>IF(PPT!$D$2="$ M",IFERROR(HLOOKUP($PT33,PPT!$E$131:$BJ$159,13,0),0)*1000,IFERROR(HLOOKUP($PT33,PPT!$E$131:$BJ$159,13,0),0))</f>
        <v>0</v>
      </c>
      <c r="AU33" s="1070">
        <f>IF(PPT!$D$2="$ M",IFERROR(HLOOKUP($PT33,PPT!$E$131:$BJ$159,14,0),0)*1000,IFERROR(HLOOKUP($PT33,PPT!$E$131:$BJ$159,14,0),0))</f>
        <v>0</v>
      </c>
      <c r="AV33" s="1070">
        <f>IF(PPT!$D$2="$ M",IFERROR(HLOOKUP($PT33,PPT!$E$131:$BJ$159,15,0),0)*1000,IFERROR(HLOOKUP($PT33,PPT!$E$131:$BJ$159,15,0),0))</f>
        <v>0</v>
      </c>
      <c r="AW33" s="1070">
        <f>IF(PPT!$D$2="$ M",IFERROR(HLOOKUP($PT33,PPT!$E$131:$BJ$159,17,0),0)*1000,IFERROR(HLOOKUP($PT33,PPT!$E$131:$BJ$159,17,0),0))</f>
        <v>0</v>
      </c>
      <c r="AX33" s="1070">
        <f>IF(PPT!$D$2="$ M",IFERROR(HLOOKUP($PT33,PPT!$E$131:$BJ$159,18,0),0)*1000,IFERROR(HLOOKUP($PT33,PPT!$E$131:$BJ$159,18,0),0))</f>
        <v>0</v>
      </c>
      <c r="AY33" s="1070">
        <f>IF(PPT!$D$2="$ M",IFERROR(HLOOKUP($PT33,PPT!$E$131:$BJ$159,19,0),0)*1000,IFERROR(HLOOKUP($PT33,PPT!$E$131:$BJ$159,19,0),0))</f>
        <v>0</v>
      </c>
      <c r="AZ33" s="1070">
        <f>IF(PPT!$D$2="$ M",IFERROR(HLOOKUP($PT33,PPT!$E$131:$BJ$159,21,0),0)*1000,IFERROR(HLOOKUP($PT33,PPT!$E$131:$BJ$159,21,0),0))</f>
        <v>0</v>
      </c>
      <c r="BA33" s="1070">
        <f>IF(PPT!$D$2="$ M",IFERROR(HLOOKUP($PT33,PPT!$E$131:$BJ$159,22,0),0)*1000,IFERROR(HLOOKUP($PT33,PPT!$E$131:$BJ$159,22,0),0))</f>
        <v>0</v>
      </c>
      <c r="BB33" s="1070">
        <f>IF(PPT!$D$2="$ M",IFERROR(HLOOKUP($PT33,PPT!$E$131:$BJ$159,23,0),0)*1000,IFERROR(HLOOKUP($PT33,PPT!$E$131:$BJ$159,23,0),0))</f>
        <v>0</v>
      </c>
      <c r="BC33" s="1070">
        <f>IF(PPT!$D$2="$ M",IFERROR(HLOOKUP($PT33,PPT!$E$131:$BJ$159,25,0),0)*1000,IFERROR(HLOOKUP($PT33,PPT!$E$131:$BJ$159,25,0),0))</f>
        <v>0</v>
      </c>
      <c r="BD33" s="1070">
        <f>IF(PPT!$D$2="$ M",IFERROR(HLOOKUP($PT33,PPT!$E$131:$BJ$159,26,0),0)*1000,IFERROR(HLOOKUP($PT33,PPT!$E$131:$BJ$159,26,0),0))</f>
        <v>0</v>
      </c>
      <c r="BE33" s="1070">
        <f>IF(PPT!$D$2="$ M",IFERROR(HLOOKUP($PT33,PPT!$E$131:$BJ$159,27,0),0)*1000,IFERROR(HLOOKUP($PT33,PPT!$E$131:$BJ$159,27,0),0))</f>
        <v>0</v>
      </c>
      <c r="BF33" s="1070">
        <f>IFERROR(HLOOKUP($PT33,Calc!$F$151:$P$166,2,0),0)</f>
        <v>0</v>
      </c>
      <c r="BG33" s="1070">
        <f>IFERROR(HLOOKUP($PT33,Calc!$F$151:$P$166,3,0),0)</f>
        <v>0</v>
      </c>
      <c r="BH33" s="1070">
        <f>IFERROR(HLOOKUP($PT33,Calc!$F$151:$P$166,4,0),0)</f>
        <v>0</v>
      </c>
      <c r="BI33" s="1070">
        <f>IFERROR(HLOOKUP($PT33,Calc!$F$151:$P$166,5,0),0)</f>
        <v>0</v>
      </c>
      <c r="BJ33" s="1070">
        <f>IFERROR(HLOOKUP($PT33,Calc!$F$151:$P$166,6,0),0)</f>
        <v>0</v>
      </c>
      <c r="BK33" s="1070">
        <f>IFERROR(HLOOKUP($PT33,Calc!$F$151:$P$166,7,0),0)</f>
        <v>0</v>
      </c>
      <c r="BL33" s="1070">
        <f>IFERROR(HLOOKUP($PT33,Calc!$F$151:$P$166,8,0),0)</f>
        <v>0</v>
      </c>
      <c r="BM33" s="1070">
        <f>IFERROR(HLOOKUP($PT33,Calc!$F$151:$P$166,9,0),0)</f>
        <v>0</v>
      </c>
      <c r="BN33" s="1070">
        <f>IFERROR(HLOOKUP($PT33,Calc!$F$151:$P$166,10,0),0)</f>
        <v>0</v>
      </c>
      <c r="BO33" s="1070">
        <f>IFERROR(HLOOKUP($PT33,Calc!$F$151:$P$166,11,0),0)</f>
        <v>0</v>
      </c>
      <c r="BP33" s="1070">
        <f>IFERROR(HLOOKUP($PT33,Calc!$F$151:$P$166,12,0),0)</f>
        <v>0</v>
      </c>
      <c r="BQ33" s="1070">
        <f>IFERROR(HLOOKUP($PT33,Calc!$F$151:$P$166,13,0),0)</f>
        <v>0</v>
      </c>
      <c r="BR33" s="1070">
        <f>IFERROR(HLOOKUP($PT33,Calc!$F$151:$P$166,14,0),0)</f>
        <v>0</v>
      </c>
      <c r="BS33" s="1070">
        <f>IFERROR(HLOOKUP($PT33,Calc!$F$151:$P$166,15,0),0)</f>
        <v>0</v>
      </c>
      <c r="BT33" s="1070">
        <f>IFERROR(HLOOKUP($PT33,Calc!$F$151:$P$166,16,0),0)</f>
        <v>0</v>
      </c>
      <c r="BU33" s="1070">
        <f>IFERROR(VLOOKUP($PS33,Calc!$AF$196:$AH$203,2,0),0)</f>
        <v>0</v>
      </c>
      <c r="BV33" s="1070">
        <f>IFERROR(VLOOKUP($PS33,Calc!$AF$196:$AH$203,3,0),0)</f>
        <v>0</v>
      </c>
      <c r="BW33" s="1070">
        <f>IFERROR(VLOOKUP($PS33,Calc!$AF$196:$AI$203,4,0),0)</f>
        <v>0</v>
      </c>
      <c r="BX33" s="1070">
        <f>IFERROR(VLOOKUP($PS33,Calc!$AF$208:$AI$209,2,0),0)</f>
        <v>0</v>
      </c>
      <c r="BY33" s="1070">
        <f>IFERROR(VLOOKUP($PS33,Calc!$AF$208:$AI$209,3,0),0)</f>
        <v>0</v>
      </c>
      <c r="BZ33" s="1070">
        <f>IFERROR(VLOOKUP($PS33,Calc!$AF$208:$AI$209,4,0),0)</f>
        <v>0</v>
      </c>
      <c r="CA33" s="1070">
        <f>IFERROR(VLOOKUP($PS33,Calc!$K$420:$P$433,3,0),0)</f>
        <v>0</v>
      </c>
      <c r="CB33" s="1070">
        <f>IFERROR(VLOOKUP($PS33,Calc!$K$420:$P$433,4,0),0)</f>
        <v>0</v>
      </c>
      <c r="CC33" s="1070">
        <f>IFERROR(VLOOKUP($PS33,Calc!$K$420:$P$433,5,0),0)</f>
        <v>0</v>
      </c>
      <c r="CD33" s="1070">
        <f>IFERROR(VLOOKUP($PS33,Calc!$K$420:$P$433,6,0),0)</f>
        <v>0</v>
      </c>
      <c r="CE33" s="1070">
        <f>IFERROR(VLOOKUP($PS33,Calc!$AQ$420:$AV$433,3,0),0)</f>
        <v>0</v>
      </c>
      <c r="CF33" s="1070">
        <f>IFERROR(VLOOKUP($PS33,Calc!$AQ$420:$AV$433,4,0),0)</f>
        <v>0</v>
      </c>
      <c r="CG33" s="1070">
        <f>IFERROR(VLOOKUP($PS33,Calc!$AQ$420:$AV$433,5,0),0)</f>
        <v>0</v>
      </c>
      <c r="CH33" s="1070">
        <f>IFERROR(VLOOKUP($PS33,Calc!$AQ$420:$AV$433,6,0),0)</f>
        <v>0</v>
      </c>
      <c r="CI33" s="1070">
        <f>IFERROR(HLOOKUP($PT33,Calc!$AQ$125:$BS$146,3,0),0)</f>
        <v>0</v>
      </c>
      <c r="CJ33" s="1070">
        <f>IFERROR(HLOOKUP($PT33,Calc!$AQ$125:$BS$146,6,0),0)</f>
        <v>0</v>
      </c>
      <c r="CK33" s="1070">
        <f>IFERROR(IF(Calc!$C$129="Dollar ($)",HLOOKUP($PT33,Calc!$AQ$125:$BS$146,5,0),0),0)</f>
        <v>0</v>
      </c>
      <c r="CL33" s="1070">
        <f>IFERROR(IF(Calc!$C$129="Volume (units)",HLOOKUP($PT33,Calc!$AQ$125:$BS$146,5,0),0),0)</f>
        <v>0</v>
      </c>
      <c r="CM33" s="1070">
        <f>IFERROR(HLOOKUP($PT33,Calc!$AQ$125:$BS$146,9,0),0)</f>
        <v>0</v>
      </c>
      <c r="CN33" s="1070">
        <f>IFERROR(HLOOKUP($PT33,Calc!$AQ$125:$BS$146,10,0),0)</f>
        <v>0</v>
      </c>
      <c r="CO33" s="1070">
        <f>IFERROR(HLOOKUP($PT33,Calc!$AQ$125:$BS$146,11,0),0)</f>
        <v>0</v>
      </c>
      <c r="CP33" s="1070">
        <f>IFERROR(HLOOKUP($PT33,Calc!$AQ$125:$BS$146,12,0),0)</f>
        <v>0</v>
      </c>
      <c r="CQ33" s="1070">
        <f>IFERROR(HLOOKUP($PT33,Calc!$AQ$125:$BS$146,13,0),0)</f>
        <v>0</v>
      </c>
      <c r="CR33" s="1070">
        <f>IFERROR(HLOOKUP($PT33,Calc!$AQ$125:$BS$146,17,0),0)</f>
        <v>0</v>
      </c>
      <c r="CS33" s="1070">
        <f>IFERROR(HLOOKUP($PT33,Calc!$AQ$125:$BS$146,19,0),0)</f>
        <v>0</v>
      </c>
      <c r="CT33" s="1070">
        <f>IFERROR(HLOOKUP($PT33,Calc!$AQ$125:$BS$146,20,0),0)</f>
        <v>0</v>
      </c>
      <c r="CU33" s="1070">
        <f>IFERROR(HLOOKUP($PT33,Calc!$AQ$125:$BS$146,21,0),0)</f>
        <v>0</v>
      </c>
      <c r="CV33" s="1070">
        <f>IFERROR(HLOOKUP($PT33,Calc!$AQ$125:$BS$147,23,0),0)</f>
        <v>0</v>
      </c>
      <c r="CW33" s="1070">
        <f>IFERROR(HLOOKUP($PT33,Calc!$AQ$9:$BS$15,5,0),0)+IFERROR(HLOOKUP($PT33,Calc!$AQ$30:$BS$36,5,0),0)+IFERROR(HLOOKUP($PT33,Calc!$AQ$51:$BS$57,5,0),0)+IFERROR(HLOOKUP($PT33,Calc!$AQ$72:$BS$78,5,0),0)+IFERROR(HLOOKUP($PT33,Calc!$AQ$93:$BS$99,5,0),0)</f>
        <v>0</v>
      </c>
      <c r="CX33" s="1070">
        <f>IFERROR(HLOOKUP($PT33,Calc!$AQ$9:$BS$15,6,0),0)+IFERROR(HLOOKUP($PT33,Calc!$AQ$30:$BS$36,6,0),0)+IFERROR(HLOOKUP($PT33,Calc!$AQ$51:$BS$57,6,0),0)+IFERROR(HLOOKUP($PT33,Calc!$AQ$72:$BS$78,6,0),0)+IFERROR(HLOOKUP($PT33,Calc!$AQ$93:$BS$99,6,0),0)</f>
        <v>0</v>
      </c>
      <c r="CY33" s="1070">
        <f>IFERROR(HLOOKUP($PT33,Calc!$AQ$9:$BS$15,7,0),0)+IFERROR(HLOOKUP($PT33,Calc!$AQ$30:$BS$36,7,0),0)+IFERROR(HLOOKUP($PT33,Calc!$AQ$51:$BS$57,7,0),0)+IFERROR(HLOOKUP($PT33,Calc!$AQ$72:$BS$78,7,0),0)+IFERROR(HLOOKUP($PT33,Calc!$AQ$93:$BS$99,7,0),0)</f>
        <v>0</v>
      </c>
      <c r="IY33" s="1070">
        <f>IFERROR(HLOOKUP($PT33,Current_Prior!$AQ$9:$BS$30,3,0),0)</f>
        <v>0</v>
      </c>
      <c r="IZ33" s="1070">
        <f>IFERROR(HLOOKUP($PT33,Current_Prior!$AQ$9:$BS$30,6,0),0)</f>
        <v>0</v>
      </c>
      <c r="JA33" s="1070">
        <f>IFERROR(IF(Calc!$C$129="Dollar ($)",HLOOKUP($PT33,Current_Prior!$AQ$9:$BS$30,5,0),0),0)</f>
        <v>0</v>
      </c>
      <c r="JB33" s="1070">
        <f>IFERROR(IF(Calc!$C$129="Volume (units)",HLOOKUP($PT33,Current_Prior!$AQ$9:$BS$30,5,0),0),0)</f>
        <v>0</v>
      </c>
      <c r="JC33" s="1070">
        <f>IFERROR(HLOOKUP($PT33,Current_Prior!$AQ$9:$BS$30,9,0),0)</f>
        <v>0</v>
      </c>
      <c r="JD33" s="1070">
        <f>IFERROR(HLOOKUP($PT33,Current_Prior!$AQ$9:$BS$30,10,0),0)</f>
        <v>0</v>
      </c>
      <c r="JE33" s="1070">
        <f>IFERROR(HLOOKUP($PT33,Current_Prior!$AQ$9:$BS$30,11,0),0)</f>
        <v>0</v>
      </c>
      <c r="JF33" s="1070">
        <f>IFERROR(HLOOKUP($PT33,Current_Prior!$AQ$9:$BS$30,12,0),0)</f>
        <v>0</v>
      </c>
      <c r="JG33" s="1070">
        <f>IFERROR(HLOOKUP($PT33,Current_Prior!$AQ$9:$BS$30,13,0),0)</f>
        <v>0</v>
      </c>
      <c r="JH33" s="1070">
        <f>IFERROR(HLOOKUP($PT33,Current_Prior!$AQ$9:$BS$30,17,0),0)</f>
        <v>0</v>
      </c>
      <c r="JI33" s="1070">
        <f>IFERROR(HLOOKUP($PT33,Current_Prior!$AQ$9:$BS$30,19,0),0)</f>
        <v>0</v>
      </c>
      <c r="JJ33" s="1070">
        <f>IFERROR(HLOOKUP($PT33,Current_Prior!$AQ$9:$BS$30,20,0),0)</f>
        <v>0</v>
      </c>
      <c r="JK33" s="1070">
        <f>IFERROR(HLOOKUP($PT33,Current_Prior!$AQ$9:$BS$30,21,0),0)</f>
        <v>0</v>
      </c>
      <c r="JL33" s="1070">
        <f>IFERROR(HLOOKUP($PT33,Current_Prior!$AQ$9:$BS$31,23,0),0)</f>
        <v>0</v>
      </c>
      <c r="ML33" s="1082">
        <f>IFERROR(HLOOKUP($PT33,HistInfo!$G$15:$AI$37,3,0),0)</f>
        <v>0</v>
      </c>
      <c r="MM33" s="1082">
        <f>IFERROR(HLOOKUP($PT33,HistInfo!$G$15:$AI$37,6,0),0)</f>
        <v>0</v>
      </c>
      <c r="MN33" s="1070">
        <f>IFERROR(IF(HistInfo!$C$19="Dollar ($)",HLOOKUP($PT33,HistInfo!$G$15:$AI$37,5,0),0),0)</f>
        <v>0</v>
      </c>
      <c r="MO33" s="1070">
        <f>IFERROR(IF(HistInfo!$C$19="Volume (units)",HLOOKUP($PT33,HistInfo!$G$15:$AI$37,5,0),0),0)</f>
        <v>0</v>
      </c>
      <c r="MP33" s="1082">
        <f>IFERROR(HLOOKUP($PT33,HistInfo!$G$15:$AI$37,9,0),0)</f>
        <v>0</v>
      </c>
      <c r="MQ33" s="1082">
        <f>IFERROR(HLOOKUP($PT33,HistInfo!$G$15:$AI$37,10,0),0)</f>
        <v>0</v>
      </c>
      <c r="MR33" s="1082">
        <f>IFERROR(HLOOKUP($PT33,HistInfo!$G$15:$AI$37,11,0),0)</f>
        <v>0</v>
      </c>
      <c r="MS33" s="1082">
        <f>IFERROR(HLOOKUP($PT33,HistInfo!$G$15:$AI$37,12,0),0)</f>
        <v>0</v>
      </c>
      <c r="MT33" s="1082">
        <f>IFERROR(HLOOKUP($PT33,HistInfo!$G$15:$AI$37,13,0),0)</f>
        <v>0</v>
      </c>
      <c r="MU33" s="1082">
        <f>IFERROR(HLOOKUP($PT33,HistInfo!$G$15:$AI$37,17,0),0)</f>
        <v>0</v>
      </c>
      <c r="MV33" s="1082">
        <f>IFERROR(HLOOKUP($PT33,HistInfo!$G$15:$AI$37,19,0),0)</f>
        <v>0</v>
      </c>
      <c r="MW33" s="1082">
        <f>IFERROR(HLOOKUP($PT33,HistInfo!$G$15:$AI$37,20,0),0)</f>
        <v>0</v>
      </c>
      <c r="MX33" s="1082">
        <f>IFERROR(HLOOKUP($PT33,HistInfo!$G$15:$AI$37,21,0),0)</f>
        <v>0</v>
      </c>
      <c r="MY33" s="1082">
        <f>IFERROR(HLOOKUP($PT33,HistInfo!$G$15:$AI$37,23,0),0)</f>
        <v>0</v>
      </c>
      <c r="PS33" s="1070">
        <v>43</v>
      </c>
      <c r="PT33" s="1082" t="str">
        <f t="shared" si="1"/>
        <v>FY43</v>
      </c>
      <c r="PU33" s="1070" t="str">
        <f t="shared" si="2"/>
        <v>2043</v>
      </c>
    </row>
    <row r="34" spans="1:437" x14ac:dyDescent="0.3">
      <c r="A34" s="1070" t="str">
        <f t="shared" si="8"/>
        <v>Life Sciences</v>
      </c>
      <c r="B34" s="1070" t="str">
        <f t="shared" si="8"/>
        <v>BDB</v>
      </c>
      <c r="C34" s="1070">
        <f t="shared" si="8"/>
        <v>0</v>
      </c>
      <c r="D34" s="1070">
        <f t="shared" si="8"/>
        <v>0</v>
      </c>
      <c r="E34" s="1070">
        <v>0</v>
      </c>
      <c r="F34" s="1070">
        <v>0</v>
      </c>
      <c r="G34" s="1070">
        <f t="shared" si="7"/>
        <v>0</v>
      </c>
      <c r="H34" s="1070">
        <f t="shared" si="7"/>
        <v>0</v>
      </c>
      <c r="I34" s="1070">
        <f t="shared" si="7"/>
        <v>0</v>
      </c>
      <c r="J34" s="1070" t="str">
        <f t="shared" si="7"/>
        <v>Budget</v>
      </c>
      <c r="K34" s="1082" t="str">
        <f t="shared" si="0"/>
        <v>2044</v>
      </c>
      <c r="L34" s="1070">
        <f>IF(PPT!$D$2="$ M",IFERROR(HLOOKUP($PT34,PPT!$E$117:$BJ$119,3,0),0)*1000,IFERROR(HLOOKUP($PT34,PPT!$E$117:$BJ$119,3,0),0))</f>
        <v>0</v>
      </c>
      <c r="M34" s="1070">
        <f>IF(PPT!$D$2="$ M",IFERROR(HLOOKUP($PT34,PPT!$E$133:$BJ$159,4,0),0)*1000,IFERROR(HLOOKUP($PT34,PPT!$E$133:$BJ$159,4,0),0))</f>
        <v>0</v>
      </c>
      <c r="N34" s="1070">
        <f>IF(PPT!$D$2="$ M",IFERROR(HLOOKUP($PT34,PPT!$E$133:$BJ$159,5,0),0)*1000,IFERROR(HLOOKUP($PT34,PPT!$E$133:$BJ$159,5,0),0))</f>
        <v>0</v>
      </c>
      <c r="O34" s="1070">
        <f>IF(PPT!$D$2="$ M",IFERROR(HLOOKUP($PT34,PPT!$E$133:$BJ$159,6,0),0)*1000,IFERROR(HLOOKUP($PT34,PPT!$E$133:$BJ$159,6,0),0))</f>
        <v>0</v>
      </c>
      <c r="P34" s="1070">
        <f>IF(PPT!$D$2="$ M",IFERROR(HLOOKUP($PT34,PPT!$E$133:$BJ$159,7,0),0)*1000,IFERROR(HLOOKUP($PT34,PPT!$E$133:$BJ$159,7,0),0))</f>
        <v>0</v>
      </c>
      <c r="Q34" s="1070">
        <f>IFERROR(HLOOKUP($PT34,Calc!$G$125:$AI$146,3,0),0)</f>
        <v>0</v>
      </c>
      <c r="R34" s="1070" t="str">
        <f>IF(PPT!$D$2="$ M",IFERROR(HLOOKUP($PT34,PPT!$E$133:$BJ$159,9,0),0),IFERROR(HLOOKUP($PT34,PPT!$E$133:$BJ$159,9,0),0))</f>
        <v/>
      </c>
      <c r="S34" s="1070" t="str">
        <f>IF(PPT!$D$2="$ M",IFERROR(HLOOKUP($PT34,PPT!$E$133:$BJ$159,10,0),0),IFERROR(HLOOKUP($PT34,PPT!$E$133:$BJ$159,10,0),0))</f>
        <v/>
      </c>
      <c r="T34" s="1070">
        <f>IFERROR(IF(Calc!$C$129="Dollar ($)",HLOOKUP($PT34,Calc!$G$125:$AI$146,5,0),0),0)</f>
        <v>0</v>
      </c>
      <c r="U34" s="1070">
        <f>IFERROR(IF(Calc!$C$129="Volume (units)",HLOOKUP($PT34,Calc!$G$125:$AI$146,5,0),0),0)</f>
        <v>0</v>
      </c>
      <c r="V34" s="1070">
        <f>IFERROR(HLOOKUP($PT34,Calc!$G$125:$AI$146,6,0),0)</f>
        <v>0</v>
      </c>
      <c r="W34" s="1070">
        <f>IFERROR(HLOOKUP($PT34,Calc!$G$125:$AI$146,7,0),0)</f>
        <v>0</v>
      </c>
      <c r="X34" s="1070">
        <f>IFERROR(HLOOKUP($PT34,Calc!$G$125:$AI$146,8,0),0)</f>
        <v>0</v>
      </c>
      <c r="Y34" s="1070">
        <f>IFERROR(HLOOKUP($PT34,Calc!$G$125:$AI$146,9,0),0)</f>
        <v>0</v>
      </c>
      <c r="Z34" s="1070">
        <f>IFERROR(HLOOKUP($PT34,Calc!$G$125:$AI$146,10,0),0)</f>
        <v>0</v>
      </c>
      <c r="AA34" s="1070">
        <f>IFERROR(HLOOKUP($PT34,Calc!$G$125:$AI$146,11,0),0)</f>
        <v>0</v>
      </c>
      <c r="AB34" s="1070">
        <f>IFERROR(HLOOKUP($PT34,Calc!$G$125:$AI$146,12,0),0)</f>
        <v>0</v>
      </c>
      <c r="AC34" s="1070">
        <f>IFERROR(HLOOKUP($PT34,Calc!$G$125:$AI$146,13,0),0)</f>
        <v>0</v>
      </c>
      <c r="AD34" s="1070">
        <f>IFERROR(HLOOKUP($PT34,Calc!$G$125:$AI$146,14,0),0)</f>
        <v>0</v>
      </c>
      <c r="AE34" s="1070">
        <f>IFERROR(HLOOKUP($PT34,Calc!$G$125:$AI$146,15,0),0)</f>
        <v>0</v>
      </c>
      <c r="AF34" s="1070">
        <f>IFERROR(HLOOKUP($PT34,Calc!$G$125:$AI$146,16,0),0)</f>
        <v>0</v>
      </c>
      <c r="AG34" s="1070">
        <f>IFERROR(HLOOKUP($PT34,Calc!$G$125:$AI$146,17,0),0)</f>
        <v>0</v>
      </c>
      <c r="AH34" s="1070">
        <f>IFERROR(HLOOKUP($PT34,Calc!$G$125:$AI$146,18,0),0)</f>
        <v>0</v>
      </c>
      <c r="AI34" s="1070">
        <f>IFERROR(HLOOKUP($PT34,Calc!$G$125:$AI$146,19,0),0)</f>
        <v>0</v>
      </c>
      <c r="AJ34" s="1070">
        <f>IFERROR(HLOOKUP($PT34,Calc!$G$125:$AI$146,20,0),0)</f>
        <v>0</v>
      </c>
      <c r="AK34" s="1070">
        <f>IFERROR(HLOOKUP($PT34,Calc!$G$125:$AI$146,21,0),0)</f>
        <v>0</v>
      </c>
      <c r="AL34" s="1070">
        <f>IFERROR(HLOOKUP($PT34,Calc!$G$125:$AI$146,22,0),0)</f>
        <v>0</v>
      </c>
      <c r="AM34" s="1070">
        <f>IFERROR(HLOOKUP($PT34,Calc!$G$125:$AI$147,23,0),0)</f>
        <v>0</v>
      </c>
      <c r="AN34" s="1070">
        <f>IF(PPT!$D$2="$ M",IFERROR(HLOOKUP($PT34,PPT!$E$131:$BJ$159,5,0),0)*1000,IFERROR(HLOOKUP($PT34,PPT!$E$131:$BJ$159,5,0),0))</f>
        <v>0</v>
      </c>
      <c r="AO34" s="1070">
        <f>IF(PPT!$D$2="$ M",IFERROR(HLOOKUP($PT34,PPT!$E$131:$BJ$159,6,0),0)*1000,IFERROR(HLOOKUP($PT34,PPT!$E$131:$BJ$159,6,0),0))</f>
        <v>0</v>
      </c>
      <c r="AP34" s="1070">
        <f>IF(PPT!$D$2="$ M",IFERROR(HLOOKUP($PT34,PPT!$E$131:$BJ$159,7,0),0)*1000,IFERROR(HLOOKUP($PT34,PPT!$E$131:$BJ$159,7,0),0))</f>
        <v>0</v>
      </c>
      <c r="AQ34" s="1070">
        <f>IF(PPT!$D$2="$ M",IFERROR(HLOOKUP($PT34,PPT!$E$131:$BJ$159,8,0),0)*1000,IFERROR(HLOOKUP($PT34,PPT!$E$131:$BJ$159,8,0),0))</f>
        <v>0</v>
      </c>
      <c r="AR34" s="1070">
        <f>IF(PPT!$D$2="$ M",IFERROR(HLOOKUP($PT34,PPT!$E$131:$BJ$159,9,0),0)*1000,IFERROR(HLOOKUP($PT34,PPT!$E$131:$BJ$159,9,0),0))</f>
        <v>0</v>
      </c>
      <c r="AS34" s="1070">
        <f>IF(PPT!$D$2="$ M",IFERROR(HLOOKUP($PT34,PPT!$E$131:$BJ$159,10,0),0)*1000,IFERROR(HLOOKUP($PT34,PPT!$E$131:$BJ$159,10,0),0))</f>
        <v>0</v>
      </c>
      <c r="AT34" s="1070">
        <f>IF(PPT!$D$2="$ M",IFERROR(HLOOKUP($PT34,PPT!$E$131:$BJ$159,13,0),0)*1000,IFERROR(HLOOKUP($PT34,PPT!$E$131:$BJ$159,13,0),0))</f>
        <v>0</v>
      </c>
      <c r="AU34" s="1070">
        <f>IF(PPT!$D$2="$ M",IFERROR(HLOOKUP($PT34,PPT!$E$131:$BJ$159,14,0),0)*1000,IFERROR(HLOOKUP($PT34,PPT!$E$131:$BJ$159,14,0),0))</f>
        <v>0</v>
      </c>
      <c r="AV34" s="1070">
        <f>IF(PPT!$D$2="$ M",IFERROR(HLOOKUP($PT34,PPT!$E$131:$BJ$159,15,0),0)*1000,IFERROR(HLOOKUP($PT34,PPT!$E$131:$BJ$159,15,0),0))</f>
        <v>0</v>
      </c>
      <c r="AW34" s="1070">
        <f>IF(PPT!$D$2="$ M",IFERROR(HLOOKUP($PT34,PPT!$E$131:$BJ$159,17,0),0)*1000,IFERROR(HLOOKUP($PT34,PPT!$E$131:$BJ$159,17,0),0))</f>
        <v>0</v>
      </c>
      <c r="AX34" s="1070">
        <f>IF(PPT!$D$2="$ M",IFERROR(HLOOKUP($PT34,PPT!$E$131:$BJ$159,18,0),0)*1000,IFERROR(HLOOKUP($PT34,PPT!$E$131:$BJ$159,18,0),0))</f>
        <v>0</v>
      </c>
      <c r="AY34" s="1070">
        <f>IF(PPT!$D$2="$ M",IFERROR(HLOOKUP($PT34,PPT!$E$131:$BJ$159,19,0),0)*1000,IFERROR(HLOOKUP($PT34,PPT!$E$131:$BJ$159,19,0),0))</f>
        <v>0</v>
      </c>
      <c r="AZ34" s="1070">
        <f>IF(PPT!$D$2="$ M",IFERROR(HLOOKUP($PT34,PPT!$E$131:$BJ$159,21,0),0)*1000,IFERROR(HLOOKUP($PT34,PPT!$E$131:$BJ$159,21,0),0))</f>
        <v>0</v>
      </c>
      <c r="BA34" s="1070">
        <f>IF(PPT!$D$2="$ M",IFERROR(HLOOKUP($PT34,PPT!$E$131:$BJ$159,22,0),0)*1000,IFERROR(HLOOKUP($PT34,PPT!$E$131:$BJ$159,22,0),0))</f>
        <v>0</v>
      </c>
      <c r="BB34" s="1070">
        <f>IF(PPT!$D$2="$ M",IFERROR(HLOOKUP($PT34,PPT!$E$131:$BJ$159,23,0),0)*1000,IFERROR(HLOOKUP($PT34,PPT!$E$131:$BJ$159,23,0),0))</f>
        <v>0</v>
      </c>
      <c r="BC34" s="1070">
        <f>IF(PPT!$D$2="$ M",IFERROR(HLOOKUP($PT34,PPT!$E$131:$BJ$159,25,0),0)*1000,IFERROR(HLOOKUP($PT34,PPT!$E$131:$BJ$159,25,0),0))</f>
        <v>0</v>
      </c>
      <c r="BD34" s="1070">
        <f>IF(PPT!$D$2="$ M",IFERROR(HLOOKUP($PT34,PPT!$E$131:$BJ$159,26,0),0)*1000,IFERROR(HLOOKUP($PT34,PPT!$E$131:$BJ$159,26,0),0))</f>
        <v>0</v>
      </c>
      <c r="BE34" s="1070">
        <f>IF(PPT!$D$2="$ M",IFERROR(HLOOKUP($PT34,PPT!$E$131:$BJ$159,27,0),0)*1000,IFERROR(HLOOKUP($PT34,PPT!$E$131:$BJ$159,27,0),0))</f>
        <v>0</v>
      </c>
      <c r="BF34" s="1070">
        <f>IFERROR(HLOOKUP($PT34,Calc!$F$151:$P$166,2,0),0)</f>
        <v>0</v>
      </c>
      <c r="BG34" s="1070">
        <f>IFERROR(HLOOKUP($PT34,Calc!$F$151:$P$166,3,0),0)</f>
        <v>0</v>
      </c>
      <c r="BH34" s="1070">
        <f>IFERROR(HLOOKUP($PT34,Calc!$F$151:$P$166,4,0),0)</f>
        <v>0</v>
      </c>
      <c r="BI34" s="1070">
        <f>IFERROR(HLOOKUP($PT34,Calc!$F$151:$P$166,5,0),0)</f>
        <v>0</v>
      </c>
      <c r="BJ34" s="1070">
        <f>IFERROR(HLOOKUP($PT34,Calc!$F$151:$P$166,6,0),0)</f>
        <v>0</v>
      </c>
      <c r="BK34" s="1070">
        <f>IFERROR(HLOOKUP($PT34,Calc!$F$151:$P$166,7,0),0)</f>
        <v>0</v>
      </c>
      <c r="BL34" s="1070">
        <f>IFERROR(HLOOKUP($PT34,Calc!$F$151:$P$166,8,0),0)</f>
        <v>0</v>
      </c>
      <c r="BM34" s="1070">
        <f>IFERROR(HLOOKUP($PT34,Calc!$F$151:$P$166,9,0),0)</f>
        <v>0</v>
      </c>
      <c r="BN34" s="1070">
        <f>IFERROR(HLOOKUP($PT34,Calc!$F$151:$P$166,10,0),0)</f>
        <v>0</v>
      </c>
      <c r="BO34" s="1070">
        <f>IFERROR(HLOOKUP($PT34,Calc!$F$151:$P$166,11,0),0)</f>
        <v>0</v>
      </c>
      <c r="BP34" s="1070">
        <f>IFERROR(HLOOKUP($PT34,Calc!$F$151:$P$166,12,0),0)</f>
        <v>0</v>
      </c>
      <c r="BQ34" s="1070">
        <f>IFERROR(HLOOKUP($PT34,Calc!$F$151:$P$166,13,0),0)</f>
        <v>0</v>
      </c>
      <c r="BR34" s="1070">
        <f>IFERROR(HLOOKUP($PT34,Calc!$F$151:$P$166,14,0),0)</f>
        <v>0</v>
      </c>
      <c r="BS34" s="1070">
        <f>IFERROR(HLOOKUP($PT34,Calc!$F$151:$P$166,15,0),0)</f>
        <v>0</v>
      </c>
      <c r="BT34" s="1070">
        <f>IFERROR(HLOOKUP($PT34,Calc!$F$151:$P$166,16,0),0)</f>
        <v>0</v>
      </c>
      <c r="BU34" s="1070">
        <f>IFERROR(VLOOKUP($PS34,Calc!$AF$196:$AH$203,2,0),0)</f>
        <v>0</v>
      </c>
      <c r="BV34" s="1070">
        <f>IFERROR(VLOOKUP($PS34,Calc!$AF$196:$AH$203,3,0),0)</f>
        <v>0</v>
      </c>
      <c r="BW34" s="1070">
        <f>IFERROR(VLOOKUP($PS34,Calc!$AF$196:$AI$203,4,0),0)</f>
        <v>0</v>
      </c>
      <c r="BX34" s="1070">
        <f>IFERROR(VLOOKUP($PS34,Calc!$AF$208:$AI$209,2,0),0)</f>
        <v>0</v>
      </c>
      <c r="BY34" s="1070">
        <f>IFERROR(VLOOKUP($PS34,Calc!$AF$208:$AI$209,3,0),0)</f>
        <v>0</v>
      </c>
      <c r="BZ34" s="1070">
        <f>IFERROR(VLOOKUP($PS34,Calc!$AF$208:$AI$209,4,0),0)</f>
        <v>0</v>
      </c>
      <c r="CA34" s="1070">
        <f>IFERROR(VLOOKUP($PS34,Calc!$K$420:$P$433,3,0),0)</f>
        <v>0</v>
      </c>
      <c r="CB34" s="1070">
        <f>IFERROR(VLOOKUP($PS34,Calc!$K$420:$P$433,4,0),0)</f>
        <v>0</v>
      </c>
      <c r="CC34" s="1070">
        <f>IFERROR(VLOOKUP($PS34,Calc!$K$420:$P$433,5,0),0)</f>
        <v>0</v>
      </c>
      <c r="CD34" s="1070">
        <f>IFERROR(VLOOKUP($PS34,Calc!$K$420:$P$433,6,0),0)</f>
        <v>0</v>
      </c>
      <c r="CE34" s="1070">
        <f>IFERROR(VLOOKUP($PS34,Calc!$AQ$420:$AV$433,3,0),0)</f>
        <v>0</v>
      </c>
      <c r="CF34" s="1070">
        <f>IFERROR(VLOOKUP($PS34,Calc!$AQ$420:$AV$433,4,0),0)</f>
        <v>0</v>
      </c>
      <c r="CG34" s="1070">
        <f>IFERROR(VLOOKUP($PS34,Calc!$AQ$420:$AV$433,5,0),0)</f>
        <v>0</v>
      </c>
      <c r="CH34" s="1070">
        <f>IFERROR(VLOOKUP($PS34,Calc!$AQ$420:$AV$433,6,0),0)</f>
        <v>0</v>
      </c>
      <c r="CI34" s="1070">
        <f>IFERROR(HLOOKUP($PT34,Calc!$AQ$125:$BS$146,3,0),0)</f>
        <v>0</v>
      </c>
      <c r="CJ34" s="1070">
        <f>IFERROR(HLOOKUP($PT34,Calc!$AQ$125:$BS$146,6,0),0)</f>
        <v>0</v>
      </c>
      <c r="CK34" s="1070">
        <f>IFERROR(IF(Calc!$C$129="Dollar ($)",HLOOKUP($PT34,Calc!$AQ$125:$BS$146,5,0),0),0)</f>
        <v>0</v>
      </c>
      <c r="CL34" s="1070">
        <f>IFERROR(IF(Calc!$C$129="Volume (units)",HLOOKUP($PT34,Calc!$AQ$125:$BS$146,5,0),0),0)</f>
        <v>0</v>
      </c>
      <c r="CM34" s="1070">
        <f>IFERROR(HLOOKUP($PT34,Calc!$AQ$125:$BS$146,9,0),0)</f>
        <v>0</v>
      </c>
      <c r="CN34" s="1070">
        <f>IFERROR(HLOOKUP($PT34,Calc!$AQ$125:$BS$146,10,0),0)</f>
        <v>0</v>
      </c>
      <c r="CO34" s="1070">
        <f>IFERROR(HLOOKUP($PT34,Calc!$AQ$125:$BS$146,11,0),0)</f>
        <v>0</v>
      </c>
      <c r="CP34" s="1070">
        <f>IFERROR(HLOOKUP($PT34,Calc!$AQ$125:$BS$146,12,0),0)</f>
        <v>0</v>
      </c>
      <c r="CQ34" s="1070">
        <f>IFERROR(HLOOKUP($PT34,Calc!$AQ$125:$BS$146,13,0),0)</f>
        <v>0</v>
      </c>
      <c r="CR34" s="1070">
        <f>IFERROR(HLOOKUP($PT34,Calc!$AQ$125:$BS$146,17,0),0)</f>
        <v>0</v>
      </c>
      <c r="CS34" s="1070">
        <f>IFERROR(HLOOKUP($PT34,Calc!$AQ$125:$BS$146,19,0),0)</f>
        <v>0</v>
      </c>
      <c r="CT34" s="1070">
        <f>IFERROR(HLOOKUP($PT34,Calc!$AQ$125:$BS$146,20,0),0)</f>
        <v>0</v>
      </c>
      <c r="CU34" s="1070">
        <f>IFERROR(HLOOKUP($PT34,Calc!$AQ$125:$BS$146,21,0),0)</f>
        <v>0</v>
      </c>
      <c r="CV34" s="1070">
        <f>IFERROR(HLOOKUP($PT34,Calc!$AQ$125:$BS$147,23,0),0)</f>
        <v>0</v>
      </c>
      <c r="CW34" s="1070">
        <f>IFERROR(HLOOKUP($PT34,Calc!$AQ$9:$BS$15,5,0),0)+IFERROR(HLOOKUP($PT34,Calc!$AQ$30:$BS$36,5,0),0)+IFERROR(HLOOKUP($PT34,Calc!$AQ$51:$BS$57,5,0),0)+IFERROR(HLOOKUP($PT34,Calc!$AQ$72:$BS$78,5,0),0)+IFERROR(HLOOKUP($PT34,Calc!$AQ$93:$BS$99,5,0),0)</f>
        <v>0</v>
      </c>
      <c r="CX34" s="1070">
        <f>IFERROR(HLOOKUP($PT34,Calc!$AQ$9:$BS$15,6,0),0)+IFERROR(HLOOKUP($PT34,Calc!$AQ$30:$BS$36,6,0),0)+IFERROR(HLOOKUP($PT34,Calc!$AQ$51:$BS$57,6,0),0)+IFERROR(HLOOKUP($PT34,Calc!$AQ$72:$BS$78,6,0),0)+IFERROR(HLOOKUP($PT34,Calc!$AQ$93:$BS$99,6,0),0)</f>
        <v>0</v>
      </c>
      <c r="CY34" s="1070">
        <f>IFERROR(HLOOKUP($PT34,Calc!$AQ$9:$BS$15,7,0),0)+IFERROR(HLOOKUP($PT34,Calc!$AQ$30:$BS$36,7,0),0)+IFERROR(HLOOKUP($PT34,Calc!$AQ$51:$BS$57,7,0),0)+IFERROR(HLOOKUP($PT34,Calc!$AQ$72:$BS$78,7,0),0)+IFERROR(HLOOKUP($PT34,Calc!$AQ$93:$BS$99,7,0),0)</f>
        <v>0</v>
      </c>
      <c r="IY34" s="1070">
        <f>IFERROR(HLOOKUP($PT34,Current_Prior!$AQ$9:$BS$30,3,0),0)</f>
        <v>0</v>
      </c>
      <c r="IZ34" s="1070">
        <f>IFERROR(HLOOKUP($PT34,Current_Prior!$AQ$9:$BS$30,6,0),0)</f>
        <v>0</v>
      </c>
      <c r="JA34" s="1070">
        <f>IFERROR(IF(Calc!$C$129="Dollar ($)",HLOOKUP($PT34,Current_Prior!$AQ$9:$BS$30,5,0),0),0)</f>
        <v>0</v>
      </c>
      <c r="JB34" s="1070">
        <f>IFERROR(IF(Calc!$C$129="Volume (units)",HLOOKUP($PT34,Current_Prior!$AQ$9:$BS$30,5,0),0),0)</f>
        <v>0</v>
      </c>
      <c r="JC34" s="1070">
        <f>IFERROR(HLOOKUP($PT34,Current_Prior!$AQ$9:$BS$30,9,0),0)</f>
        <v>0</v>
      </c>
      <c r="JD34" s="1070">
        <f>IFERROR(HLOOKUP($PT34,Current_Prior!$AQ$9:$BS$30,10,0),0)</f>
        <v>0</v>
      </c>
      <c r="JE34" s="1070">
        <f>IFERROR(HLOOKUP($PT34,Current_Prior!$AQ$9:$BS$30,11,0),0)</f>
        <v>0</v>
      </c>
      <c r="JF34" s="1070">
        <f>IFERROR(HLOOKUP($PT34,Current_Prior!$AQ$9:$BS$30,12,0),0)</f>
        <v>0</v>
      </c>
      <c r="JG34" s="1070">
        <f>IFERROR(HLOOKUP($PT34,Current_Prior!$AQ$9:$BS$30,13,0),0)</f>
        <v>0</v>
      </c>
      <c r="JH34" s="1070">
        <f>IFERROR(HLOOKUP($PT34,Current_Prior!$AQ$9:$BS$30,17,0),0)</f>
        <v>0</v>
      </c>
      <c r="JI34" s="1070">
        <f>IFERROR(HLOOKUP($PT34,Current_Prior!$AQ$9:$BS$30,19,0),0)</f>
        <v>0</v>
      </c>
      <c r="JJ34" s="1070">
        <f>IFERROR(HLOOKUP($PT34,Current_Prior!$AQ$9:$BS$30,20,0),0)</f>
        <v>0</v>
      </c>
      <c r="JK34" s="1070">
        <f>IFERROR(HLOOKUP($PT34,Current_Prior!$AQ$9:$BS$30,21,0),0)</f>
        <v>0</v>
      </c>
      <c r="JL34" s="1070">
        <f>IFERROR(HLOOKUP($PT34,Current_Prior!$AQ$9:$BS$31,23,0),0)</f>
        <v>0</v>
      </c>
      <c r="ML34" s="1082">
        <f>IFERROR(HLOOKUP($PT34,HistInfo!$G$15:$AI$37,3,0),0)</f>
        <v>0</v>
      </c>
      <c r="MM34" s="1082">
        <f>IFERROR(HLOOKUP($PT34,HistInfo!$G$15:$AI$37,6,0),0)</f>
        <v>0</v>
      </c>
      <c r="MN34" s="1070">
        <f>IFERROR(IF(HistInfo!$C$19="Dollar ($)",HLOOKUP($PT34,HistInfo!$G$15:$AI$37,5,0),0),0)</f>
        <v>0</v>
      </c>
      <c r="MO34" s="1070">
        <f>IFERROR(IF(HistInfo!$C$19="Volume (units)",HLOOKUP($PT34,HistInfo!$G$15:$AI$37,5,0),0),0)</f>
        <v>0</v>
      </c>
      <c r="MP34" s="1082">
        <f>IFERROR(HLOOKUP($PT34,HistInfo!$G$15:$AI$37,9,0),0)</f>
        <v>0</v>
      </c>
      <c r="MQ34" s="1082">
        <f>IFERROR(HLOOKUP($PT34,HistInfo!$G$15:$AI$37,10,0),0)</f>
        <v>0</v>
      </c>
      <c r="MR34" s="1082">
        <f>IFERROR(HLOOKUP($PT34,HistInfo!$G$15:$AI$37,11,0),0)</f>
        <v>0</v>
      </c>
      <c r="MS34" s="1082">
        <f>IFERROR(HLOOKUP($PT34,HistInfo!$G$15:$AI$37,12,0),0)</f>
        <v>0</v>
      </c>
      <c r="MT34" s="1082">
        <f>IFERROR(HLOOKUP($PT34,HistInfo!$G$15:$AI$37,13,0),0)</f>
        <v>0</v>
      </c>
      <c r="MU34" s="1082">
        <f>IFERROR(HLOOKUP($PT34,HistInfo!$G$15:$AI$37,17,0),0)</f>
        <v>0</v>
      </c>
      <c r="MV34" s="1082">
        <f>IFERROR(HLOOKUP($PT34,HistInfo!$G$15:$AI$37,19,0),0)</f>
        <v>0</v>
      </c>
      <c r="MW34" s="1082">
        <f>IFERROR(HLOOKUP($PT34,HistInfo!$G$15:$AI$37,20,0),0)</f>
        <v>0</v>
      </c>
      <c r="MX34" s="1082">
        <f>IFERROR(HLOOKUP($PT34,HistInfo!$G$15:$AI$37,21,0),0)</f>
        <v>0</v>
      </c>
      <c r="MY34" s="1082">
        <f>IFERROR(HLOOKUP($PT34,HistInfo!$G$15:$AI$37,23,0),0)</f>
        <v>0</v>
      </c>
      <c r="PS34" s="1070">
        <v>44</v>
      </c>
      <c r="PT34" s="1082" t="str">
        <f t="shared" si="1"/>
        <v>FY44</v>
      </c>
      <c r="PU34" s="1070" t="str">
        <f t="shared" si="2"/>
        <v>2044</v>
      </c>
    </row>
    <row r="35" spans="1:437" s="1116" customFormat="1" x14ac:dyDescent="0.3"/>
    <row r="36" spans="1:437" s="1116" customFormat="1" x14ac:dyDescent="0.3"/>
    <row r="37" spans="1:437" s="3000" customFormat="1" x14ac:dyDescent="0.3"/>
    <row r="38" spans="1:437" s="1142" customFormat="1" x14ac:dyDescent="0.3"/>
    <row r="39" spans="1:437" s="1142" customFormat="1" x14ac:dyDescent="0.3"/>
    <row r="41" spans="1:437" s="3001" customFormat="1" x14ac:dyDescent="0.3">
      <c r="AQ41" s="3002"/>
    </row>
    <row r="42" spans="1:437" x14ac:dyDescent="0.3">
      <c r="AD42" s="3001"/>
      <c r="AF42" s="1116"/>
      <c r="AG42" s="1116"/>
    </row>
    <row r="43" spans="1:437" x14ac:dyDescent="0.3">
      <c r="D43" s="3398" t="s">
        <v>2169</v>
      </c>
      <c r="E43" s="3398"/>
      <c r="F43" s="3398"/>
      <c r="G43" s="3398"/>
      <c r="H43" s="3398"/>
      <c r="I43" s="3398"/>
      <c r="J43" s="3398"/>
      <c r="K43" s="3398"/>
      <c r="L43" s="3398"/>
      <c r="M43" s="3398"/>
      <c r="N43" s="3398"/>
      <c r="O43" s="3398"/>
      <c r="P43" s="3398"/>
      <c r="Q43" s="3398"/>
      <c r="R43" s="3398"/>
      <c r="S43" s="3398"/>
      <c r="T43" s="3398"/>
      <c r="U43" s="3398"/>
      <c r="V43" s="3398"/>
      <c r="W43" s="3398"/>
      <c r="AD43" s="3001"/>
      <c r="AF43" s="1116"/>
      <c r="AG43" s="1116"/>
    </row>
    <row r="44" spans="1:437" x14ac:dyDescent="0.3">
      <c r="AD44" s="3001"/>
      <c r="AF44" s="1116"/>
      <c r="AG44" s="1116"/>
    </row>
    <row r="45" spans="1:437" s="1094" customFormat="1" ht="43.2" x14ac:dyDescent="0.3">
      <c r="D45" s="3003" t="s">
        <v>1300</v>
      </c>
      <c r="E45" s="3004" t="s">
        <v>1461</v>
      </c>
      <c r="F45" s="3004" t="s">
        <v>1461</v>
      </c>
      <c r="G45" s="3003" t="s">
        <v>1666</v>
      </c>
      <c r="H45" s="3005"/>
      <c r="J45" s="3006" t="s">
        <v>1228</v>
      </c>
      <c r="K45" s="3006" t="s">
        <v>1761</v>
      </c>
      <c r="L45" s="3007" t="s">
        <v>1292</v>
      </c>
      <c r="M45" s="3008"/>
      <c r="N45" s="3008"/>
      <c r="O45" s="3008"/>
      <c r="P45" s="3008"/>
      <c r="Q45" s="3009"/>
      <c r="R45" s="3010" t="s">
        <v>2170</v>
      </c>
      <c r="S45" s="3010" t="s">
        <v>2171</v>
      </c>
      <c r="T45" s="3010" t="s">
        <v>2172</v>
      </c>
      <c r="U45" s="3011" t="s">
        <v>2173</v>
      </c>
      <c r="V45" s="3010" t="s">
        <v>2174</v>
      </c>
      <c r="W45" s="3010" t="s">
        <v>2175</v>
      </c>
      <c r="AD45" s="3002"/>
      <c r="AF45" s="1116"/>
      <c r="AG45" s="1116"/>
      <c r="AH45" s="1070"/>
      <c r="AI45" s="1070"/>
      <c r="AJ45" s="1070"/>
      <c r="AK45" s="1070"/>
      <c r="AL45" s="1070"/>
      <c r="AM45" s="1070"/>
      <c r="AN45" s="1070"/>
      <c r="AO45" s="1070"/>
    </row>
    <row r="46" spans="1:437" x14ac:dyDescent="0.3">
      <c r="D46" s="1147" t="s">
        <v>1137</v>
      </c>
      <c r="E46" s="1128">
        <v>12</v>
      </c>
      <c r="F46" s="1128" t="s">
        <v>687</v>
      </c>
      <c r="G46" s="1149" t="s">
        <v>756</v>
      </c>
      <c r="H46" s="1437"/>
      <c r="J46" s="1128" t="s">
        <v>2176</v>
      </c>
      <c r="K46" s="1128" t="s">
        <v>2177</v>
      </c>
      <c r="L46" s="1147" t="s">
        <v>2178</v>
      </c>
      <c r="M46" s="1159"/>
      <c r="N46" s="1159"/>
      <c r="O46" s="1159"/>
      <c r="P46" s="1159"/>
      <c r="Q46" s="1186"/>
      <c r="R46" s="1128" t="s">
        <v>2179</v>
      </c>
      <c r="S46" s="3012">
        <v>93.781000000000006</v>
      </c>
      <c r="T46" s="3013">
        <v>100</v>
      </c>
      <c r="U46" s="3014">
        <v>0.08</v>
      </c>
      <c r="V46" s="3014">
        <v>0.93781000000000003</v>
      </c>
      <c r="W46" s="3015">
        <v>0.5</v>
      </c>
      <c r="AD46" s="3001"/>
      <c r="AE46" s="1191"/>
      <c r="AF46" s="1116"/>
      <c r="AG46" s="1116"/>
    </row>
    <row r="47" spans="1:437" x14ac:dyDescent="0.3">
      <c r="D47" s="1149" t="s">
        <v>1138</v>
      </c>
      <c r="E47" s="1132">
        <f>E46+1</f>
        <v>13</v>
      </c>
      <c r="F47" s="1132" t="s">
        <v>711</v>
      </c>
      <c r="G47" s="1149" t="s">
        <v>757</v>
      </c>
      <c r="H47" s="1437"/>
      <c r="J47" s="1132" t="s">
        <v>2176</v>
      </c>
      <c r="K47" s="1188" t="s">
        <v>2177</v>
      </c>
      <c r="L47" s="1207" t="s">
        <v>2180</v>
      </c>
      <c r="M47" s="1116"/>
      <c r="N47" s="1116"/>
      <c r="O47" s="1116"/>
      <c r="P47" s="1116"/>
      <c r="Q47" s="1477"/>
      <c r="R47" s="1188" t="s">
        <v>2181</v>
      </c>
      <c r="S47" s="2050">
        <v>419.85300000000001</v>
      </c>
      <c r="T47" s="1604">
        <v>880</v>
      </c>
      <c r="U47" s="3016">
        <v>0.03</v>
      </c>
      <c r="V47" s="3016">
        <v>0.4771056818181818</v>
      </c>
      <c r="W47" s="3017">
        <v>0.75</v>
      </c>
      <c r="AD47" s="3001"/>
      <c r="AE47" s="1191"/>
      <c r="AF47" s="1116"/>
      <c r="AG47" s="1116"/>
    </row>
    <row r="48" spans="1:437" x14ac:dyDescent="0.3">
      <c r="D48" s="1149" t="s">
        <v>1139</v>
      </c>
      <c r="E48" s="1132">
        <f t="shared" ref="E48:E64" si="9">E47+1</f>
        <v>14</v>
      </c>
      <c r="F48" s="1132" t="s">
        <v>719</v>
      </c>
      <c r="G48" s="1149" t="s">
        <v>758</v>
      </c>
      <c r="H48" s="1437"/>
      <c r="J48" s="1132" t="s">
        <v>2176</v>
      </c>
      <c r="K48" s="1188" t="s">
        <v>2177</v>
      </c>
      <c r="L48" s="1207" t="s">
        <v>2182</v>
      </c>
      <c r="M48" s="1116"/>
      <c r="N48" s="1116"/>
      <c r="O48" s="1116"/>
      <c r="P48" s="1116"/>
      <c r="Q48" s="1477"/>
      <c r="R48" s="1188" t="s">
        <v>2179</v>
      </c>
      <c r="S48" s="2050">
        <v>472.464</v>
      </c>
      <c r="T48" s="1604">
        <v>1200</v>
      </c>
      <c r="U48" s="3016">
        <v>0.04</v>
      </c>
      <c r="V48" s="3016">
        <v>0.39372000000000001</v>
      </c>
      <c r="W48" s="3017">
        <v>0.6</v>
      </c>
      <c r="AD48" s="3001"/>
      <c r="AE48" s="1191"/>
      <c r="AF48" s="1116"/>
      <c r="AG48" s="1116"/>
    </row>
    <row r="49" spans="4:33" x14ac:dyDescent="0.3">
      <c r="D49" s="1149" t="s">
        <v>1140</v>
      </c>
      <c r="E49" s="1132">
        <f t="shared" si="9"/>
        <v>15</v>
      </c>
      <c r="F49" s="1132" t="s">
        <v>444</v>
      </c>
      <c r="G49" s="1149" t="s">
        <v>759</v>
      </c>
      <c r="H49" s="1437"/>
      <c r="J49" s="1132" t="s">
        <v>2176</v>
      </c>
      <c r="K49" s="1188" t="s">
        <v>2177</v>
      </c>
      <c r="L49" s="1207" t="s">
        <v>2183</v>
      </c>
      <c r="M49" s="1116"/>
      <c r="N49" s="1116"/>
      <c r="O49" s="1116"/>
      <c r="P49" s="1116"/>
      <c r="Q49" s="1477"/>
      <c r="R49" s="1188" t="s">
        <v>2184</v>
      </c>
      <c r="S49" s="2050">
        <v>0</v>
      </c>
      <c r="T49" s="1604">
        <v>60</v>
      </c>
      <c r="U49" s="3016">
        <v>0.4</v>
      </c>
      <c r="V49" s="3016">
        <v>0</v>
      </c>
      <c r="W49" s="3017">
        <v>0.64</v>
      </c>
      <c r="AD49" s="3001"/>
      <c r="AE49" s="1191"/>
      <c r="AF49" s="1116"/>
      <c r="AG49" s="1116"/>
    </row>
    <row r="50" spans="4:33" x14ac:dyDescent="0.3">
      <c r="D50" s="1149" t="s">
        <v>1141</v>
      </c>
      <c r="E50" s="1132">
        <f t="shared" si="9"/>
        <v>16</v>
      </c>
      <c r="F50" s="1132" t="s">
        <v>445</v>
      </c>
      <c r="G50" s="1149" t="s">
        <v>1268</v>
      </c>
      <c r="H50" s="1437"/>
      <c r="J50" s="1132" t="s">
        <v>2176</v>
      </c>
      <c r="K50" s="1188" t="s">
        <v>2185</v>
      </c>
      <c r="L50" s="1207" t="s">
        <v>2186</v>
      </c>
      <c r="M50" s="1116"/>
      <c r="N50" s="1116"/>
      <c r="O50" s="1116"/>
      <c r="P50" s="1116"/>
      <c r="Q50" s="1477"/>
      <c r="R50" s="1188" t="s">
        <v>2179</v>
      </c>
      <c r="S50" s="2050">
        <v>457</v>
      </c>
      <c r="T50" s="1604">
        <v>725</v>
      </c>
      <c r="U50" s="3016">
        <v>0.04</v>
      </c>
      <c r="V50" s="3016">
        <v>0.63034482758620691</v>
      </c>
      <c r="W50" s="3017">
        <v>0.7</v>
      </c>
      <c r="AD50" s="3001"/>
      <c r="AE50" s="1191"/>
      <c r="AF50" s="1116"/>
      <c r="AG50" s="1116"/>
    </row>
    <row r="51" spans="4:33" ht="12.75" customHeight="1" x14ac:dyDescent="0.3">
      <c r="D51" s="1149" t="s">
        <v>1142</v>
      </c>
      <c r="E51" s="1132">
        <f t="shared" si="9"/>
        <v>17</v>
      </c>
      <c r="F51" s="1132" t="s">
        <v>722</v>
      </c>
      <c r="G51" s="1184" t="s">
        <v>1229</v>
      </c>
      <c r="H51" s="1459"/>
      <c r="J51" s="1132" t="s">
        <v>2176</v>
      </c>
      <c r="K51" s="1188" t="s">
        <v>2185</v>
      </c>
      <c r="L51" s="1207" t="s">
        <v>2187</v>
      </c>
      <c r="M51" s="1116"/>
      <c r="N51" s="1116"/>
      <c r="O51" s="1116"/>
      <c r="P51" s="1116"/>
      <c r="Q51" s="1477"/>
      <c r="R51" s="1188" t="s">
        <v>2184</v>
      </c>
      <c r="S51" s="2050">
        <v>125</v>
      </c>
      <c r="T51" s="1604">
        <v>1167</v>
      </c>
      <c r="U51" s="3016">
        <v>0.04</v>
      </c>
      <c r="V51" s="3016">
        <v>0.10711225364181662</v>
      </c>
      <c r="W51" s="3017">
        <v>0.55000000000000004</v>
      </c>
      <c r="AD51" s="3001"/>
      <c r="AE51" s="1191"/>
      <c r="AF51" s="1116"/>
      <c r="AG51" s="1116"/>
    </row>
    <row r="52" spans="4:33" x14ac:dyDescent="0.3">
      <c r="D52" s="1149" t="s">
        <v>1143</v>
      </c>
      <c r="E52" s="1132">
        <f t="shared" si="9"/>
        <v>18</v>
      </c>
      <c r="F52" s="1132" t="s">
        <v>770</v>
      </c>
      <c r="J52" s="1132" t="s">
        <v>2176</v>
      </c>
      <c r="K52" s="1188" t="s">
        <v>2185</v>
      </c>
      <c r="L52" s="1207" t="s">
        <v>2188</v>
      </c>
      <c r="M52" s="1116"/>
      <c r="N52" s="1116"/>
      <c r="O52" s="1116"/>
      <c r="P52" s="1116"/>
      <c r="Q52" s="1477"/>
      <c r="R52" s="1188" t="s">
        <v>2184</v>
      </c>
      <c r="S52" s="2050">
        <v>219</v>
      </c>
      <c r="T52" s="1604">
        <v>3800</v>
      </c>
      <c r="U52" s="3016">
        <v>0.09</v>
      </c>
      <c r="V52" s="3016">
        <v>5.7631578947368423E-2</v>
      </c>
      <c r="W52" s="3017">
        <v>0.65</v>
      </c>
      <c r="AD52" s="3001"/>
      <c r="AE52" s="1191"/>
      <c r="AF52" s="1116"/>
      <c r="AG52" s="1116"/>
    </row>
    <row r="53" spans="4:33" ht="12.75" customHeight="1" x14ac:dyDescent="0.3">
      <c r="D53" s="1149" t="s">
        <v>1144</v>
      </c>
      <c r="E53" s="1132">
        <f t="shared" si="9"/>
        <v>19</v>
      </c>
      <c r="F53" s="1132" t="s">
        <v>790</v>
      </c>
      <c r="J53" s="1132" t="s">
        <v>2176</v>
      </c>
      <c r="K53" s="1188" t="s">
        <v>2185</v>
      </c>
      <c r="L53" s="1207" t="s">
        <v>2189</v>
      </c>
      <c r="M53" s="1116"/>
      <c r="N53" s="1116"/>
      <c r="O53" s="1116"/>
      <c r="P53" s="1116"/>
      <c r="Q53" s="1477"/>
      <c r="R53" s="1188" t="s">
        <v>2184</v>
      </c>
      <c r="S53" s="2050">
        <v>109</v>
      </c>
      <c r="T53" s="1604">
        <v>1100</v>
      </c>
      <c r="U53" s="3016">
        <v>0.04</v>
      </c>
      <c r="V53" s="3016">
        <v>9.9090909090909091E-2</v>
      </c>
      <c r="W53" s="3017">
        <v>0.55000000000000004</v>
      </c>
      <c r="AD53" s="3001"/>
      <c r="AE53" s="1191"/>
      <c r="AF53" s="1116"/>
      <c r="AG53" s="1116"/>
    </row>
    <row r="54" spans="4:33" x14ac:dyDescent="0.3">
      <c r="D54" s="1149" t="s">
        <v>1145</v>
      </c>
      <c r="E54" s="1132">
        <f t="shared" si="9"/>
        <v>20</v>
      </c>
      <c r="F54" s="1132" t="s">
        <v>803</v>
      </c>
      <c r="G54" s="1164" t="s">
        <v>2190</v>
      </c>
      <c r="H54" s="1146"/>
      <c r="J54" s="1132" t="s">
        <v>2176</v>
      </c>
      <c r="K54" s="1188" t="s">
        <v>2185</v>
      </c>
      <c r="L54" s="1207" t="s">
        <v>2191</v>
      </c>
      <c r="M54" s="1116"/>
      <c r="N54" s="1116"/>
      <c r="O54" s="1116"/>
      <c r="P54" s="1116"/>
      <c r="Q54" s="1477"/>
      <c r="R54" s="1188" t="s">
        <v>2192</v>
      </c>
      <c r="S54" s="2050">
        <v>134</v>
      </c>
      <c r="T54" s="1604">
        <v>500</v>
      </c>
      <c r="U54" s="3016">
        <v>0.03</v>
      </c>
      <c r="V54" s="3016">
        <v>0.26800000000000002</v>
      </c>
      <c r="W54" s="3017">
        <v>0.45</v>
      </c>
      <c r="AD54" s="3001"/>
      <c r="AE54" s="1191"/>
      <c r="AF54" s="1116"/>
      <c r="AG54" s="1116"/>
    </row>
    <row r="55" spans="4:33" ht="12.75" customHeight="1" x14ac:dyDescent="0.3">
      <c r="D55" s="1149" t="s">
        <v>1146</v>
      </c>
      <c r="E55" s="1132">
        <f t="shared" si="9"/>
        <v>21</v>
      </c>
      <c r="F55" s="1132" t="s">
        <v>804</v>
      </c>
      <c r="G55" s="1149" t="s">
        <v>1653</v>
      </c>
      <c r="H55" s="1437"/>
      <c r="J55" s="1132" t="s">
        <v>2176</v>
      </c>
      <c r="K55" s="1132" t="s">
        <v>2185</v>
      </c>
      <c r="L55" s="1149" t="s">
        <v>2193</v>
      </c>
      <c r="M55" s="1142"/>
      <c r="N55" s="1142"/>
      <c r="O55" s="1142"/>
      <c r="P55" s="1142"/>
      <c r="Q55" s="1437"/>
      <c r="R55" s="1188" t="s">
        <v>2192</v>
      </c>
      <c r="S55" s="3018">
        <v>153</v>
      </c>
      <c r="T55" s="1604">
        <v>900</v>
      </c>
      <c r="U55" s="3019">
        <v>0.01</v>
      </c>
      <c r="V55" s="3019">
        <v>0.17</v>
      </c>
      <c r="W55" s="3020">
        <v>0.4</v>
      </c>
      <c r="AD55" s="3001"/>
      <c r="AE55" s="1191"/>
      <c r="AF55" s="1116"/>
      <c r="AG55" s="1116"/>
    </row>
    <row r="56" spans="4:33" x14ac:dyDescent="0.3">
      <c r="D56" s="1149" t="s">
        <v>1147</v>
      </c>
      <c r="E56" s="1132">
        <f t="shared" si="9"/>
        <v>22</v>
      </c>
      <c r="F56" s="1132" t="s">
        <v>946</v>
      </c>
      <c r="G56" s="1184" t="s">
        <v>1449</v>
      </c>
      <c r="H56" s="1459"/>
      <c r="J56" s="1132" t="s">
        <v>2176</v>
      </c>
      <c r="K56" s="1132" t="s">
        <v>2185</v>
      </c>
      <c r="L56" s="1149" t="s">
        <v>2194</v>
      </c>
      <c r="M56" s="1142"/>
      <c r="N56" s="1142"/>
      <c r="O56" s="1142"/>
      <c r="P56" s="1142"/>
      <c r="Q56" s="1437"/>
      <c r="R56" s="1132" t="s">
        <v>2179</v>
      </c>
      <c r="S56" s="3018">
        <v>53</v>
      </c>
      <c r="T56" s="1604">
        <v>98</v>
      </c>
      <c r="U56" s="3019">
        <v>0.2</v>
      </c>
      <c r="V56" s="3019">
        <v>0.54081632653061229</v>
      </c>
      <c r="W56" s="3021">
        <v>0.4</v>
      </c>
      <c r="AD56" s="3001"/>
      <c r="AE56" s="1191"/>
      <c r="AF56" s="1116"/>
      <c r="AG56" s="1116"/>
    </row>
    <row r="57" spans="4:33" ht="12.75" customHeight="1" x14ac:dyDescent="0.3">
      <c r="D57" s="1149" t="s">
        <v>1148</v>
      </c>
      <c r="E57" s="1132">
        <f t="shared" si="9"/>
        <v>23</v>
      </c>
      <c r="F57" s="1132" t="s">
        <v>948</v>
      </c>
      <c r="J57" s="1132" t="s">
        <v>2176</v>
      </c>
      <c r="K57" s="1132" t="s">
        <v>2185</v>
      </c>
      <c r="L57" s="1149" t="s">
        <v>2195</v>
      </c>
      <c r="M57" s="1142"/>
      <c r="N57" s="1142"/>
      <c r="O57" s="1142"/>
      <c r="P57" s="1142"/>
      <c r="Q57" s="1437"/>
      <c r="R57" s="1132" t="s">
        <v>2184</v>
      </c>
      <c r="S57" s="3018">
        <v>53</v>
      </c>
      <c r="T57" s="1604">
        <v>1203</v>
      </c>
      <c r="U57" s="3019">
        <v>0.08</v>
      </c>
      <c r="V57" s="3019">
        <v>4.4056525353283457E-2</v>
      </c>
      <c r="W57" s="3020">
        <v>0.65</v>
      </c>
      <c r="AD57" s="3001"/>
      <c r="AE57" s="1191"/>
      <c r="AF57" s="1116"/>
      <c r="AG57" s="1116"/>
    </row>
    <row r="58" spans="4:33" x14ac:dyDescent="0.3">
      <c r="D58" s="1184" t="s">
        <v>1229</v>
      </c>
      <c r="E58" s="1132">
        <f t="shared" si="9"/>
        <v>24</v>
      </c>
      <c r="F58" s="1132" t="s">
        <v>949</v>
      </c>
      <c r="G58" s="1151" t="s">
        <v>2196</v>
      </c>
      <c r="J58" s="1132" t="s">
        <v>2176</v>
      </c>
      <c r="K58" s="1132" t="s">
        <v>2197</v>
      </c>
      <c r="L58" s="1149" t="s">
        <v>2198</v>
      </c>
      <c r="M58" s="1142"/>
      <c r="N58" s="1142"/>
      <c r="O58" s="1142"/>
      <c r="P58" s="1142"/>
      <c r="Q58" s="1437"/>
      <c r="R58" s="1132" t="s">
        <v>2184</v>
      </c>
      <c r="S58" s="3018">
        <v>1</v>
      </c>
      <c r="T58" s="1604">
        <v>40</v>
      </c>
      <c r="U58" s="3019">
        <v>0.15</v>
      </c>
      <c r="V58" s="3019">
        <v>2.5000000000000001E-2</v>
      </c>
      <c r="W58" s="3017">
        <v>0.66</v>
      </c>
      <c r="AD58" s="3001"/>
      <c r="AE58" s="1191"/>
      <c r="AF58" s="1116"/>
      <c r="AG58" s="1116"/>
    </row>
    <row r="59" spans="4:33" x14ac:dyDescent="0.3">
      <c r="E59" s="1132">
        <f t="shared" si="9"/>
        <v>25</v>
      </c>
      <c r="F59" s="1132" t="s">
        <v>965</v>
      </c>
      <c r="G59" s="3022">
        <v>1</v>
      </c>
      <c r="J59" s="1132" t="s">
        <v>2176</v>
      </c>
      <c r="K59" s="1132" t="s">
        <v>2197</v>
      </c>
      <c r="L59" s="1149" t="s">
        <v>2199</v>
      </c>
      <c r="M59" s="1142"/>
      <c r="N59" s="1142"/>
      <c r="O59" s="1142"/>
      <c r="P59" s="1142"/>
      <c r="Q59" s="1437"/>
      <c r="R59" s="1132" t="s">
        <v>2184</v>
      </c>
      <c r="S59" s="3018">
        <v>1</v>
      </c>
      <c r="T59" s="1604">
        <v>100</v>
      </c>
      <c r="U59" s="3019">
        <v>0.16</v>
      </c>
      <c r="V59" s="3019">
        <v>0.01</v>
      </c>
      <c r="W59" s="3017">
        <v>0.56000000000000005</v>
      </c>
      <c r="AD59" s="3001"/>
      <c r="AE59" s="1191"/>
      <c r="AF59" s="1116"/>
      <c r="AG59" s="1116"/>
    </row>
    <row r="60" spans="4:33" x14ac:dyDescent="0.3">
      <c r="E60" s="1132">
        <f t="shared" si="9"/>
        <v>26</v>
      </c>
      <c r="F60" s="1132" t="s">
        <v>966</v>
      </c>
      <c r="G60" s="3023">
        <f>G59+1</f>
        <v>2</v>
      </c>
      <c r="J60" s="1132" t="s">
        <v>2176</v>
      </c>
      <c r="K60" s="1132" t="s">
        <v>2200</v>
      </c>
      <c r="L60" s="1149" t="s">
        <v>2201</v>
      </c>
      <c r="M60" s="1142"/>
      <c r="N60" s="1142"/>
      <c r="O60" s="1142"/>
      <c r="P60" s="1142"/>
      <c r="Q60" s="1437"/>
      <c r="R60" s="1132" t="s">
        <v>2179</v>
      </c>
      <c r="S60" s="3018">
        <v>40.299999999999997</v>
      </c>
      <c r="T60" s="1604">
        <v>430</v>
      </c>
      <c r="U60" s="3019">
        <v>7.0000000000000007E-2</v>
      </c>
      <c r="V60" s="3019">
        <v>9.3720930232558133E-2</v>
      </c>
      <c r="W60" s="3017">
        <v>0.67</v>
      </c>
      <c r="AD60" s="3001"/>
      <c r="AE60" s="1191"/>
      <c r="AF60" s="1116"/>
      <c r="AG60" s="1116"/>
    </row>
    <row r="61" spans="4:33" x14ac:dyDescent="0.3">
      <c r="E61" s="1132">
        <f t="shared" si="9"/>
        <v>27</v>
      </c>
      <c r="F61" s="1132" t="s">
        <v>967</v>
      </c>
      <c r="G61" s="3023">
        <f t="shared" ref="G61:G88" si="10">G60+1</f>
        <v>3</v>
      </c>
      <c r="J61" s="1132" t="s">
        <v>2176</v>
      </c>
      <c r="K61" s="1132" t="s">
        <v>2200</v>
      </c>
      <c r="L61" s="1149" t="s">
        <v>2202</v>
      </c>
      <c r="M61" s="1142"/>
      <c r="N61" s="1142"/>
      <c r="O61" s="1142"/>
      <c r="P61" s="1142"/>
      <c r="Q61" s="1437"/>
      <c r="R61" s="1132" t="s">
        <v>2179</v>
      </c>
      <c r="S61" s="3018">
        <v>595</v>
      </c>
      <c r="T61" s="1604">
        <v>1000</v>
      </c>
      <c r="U61" s="3019">
        <v>0.04</v>
      </c>
      <c r="V61" s="3019">
        <v>0.59499999999999997</v>
      </c>
      <c r="W61" s="3017">
        <v>0.69</v>
      </c>
      <c r="AD61" s="3001"/>
      <c r="AE61" s="1191"/>
      <c r="AF61" s="1116"/>
      <c r="AG61" s="1116"/>
    </row>
    <row r="62" spans="4:33" x14ac:dyDescent="0.3">
      <c r="E62" s="1132">
        <f t="shared" si="9"/>
        <v>28</v>
      </c>
      <c r="F62" s="1132" t="s">
        <v>968</v>
      </c>
      <c r="G62" s="3023">
        <f t="shared" si="10"/>
        <v>4</v>
      </c>
      <c r="J62" s="1132" t="s">
        <v>2176</v>
      </c>
      <c r="K62" s="1132" t="s">
        <v>2200</v>
      </c>
      <c r="L62" s="1149" t="s">
        <v>2203</v>
      </c>
      <c r="M62" s="1142"/>
      <c r="N62" s="1142"/>
      <c r="O62" s="1142"/>
      <c r="P62" s="1142"/>
      <c r="Q62" s="1437"/>
      <c r="R62" s="1132" t="s">
        <v>2179</v>
      </c>
      <c r="S62" s="3018">
        <v>46.9</v>
      </c>
      <c r="T62" s="1604">
        <v>350</v>
      </c>
      <c r="U62" s="3019">
        <v>0.08</v>
      </c>
      <c r="V62" s="3019">
        <v>0.13400000000000001</v>
      </c>
      <c r="W62" s="3024">
        <v>0.67</v>
      </c>
      <c r="AD62" s="3001"/>
      <c r="AE62" s="1191"/>
    </row>
    <row r="63" spans="4:33" x14ac:dyDescent="0.3">
      <c r="E63" s="1132">
        <f t="shared" si="9"/>
        <v>29</v>
      </c>
      <c r="F63" s="1132" t="s">
        <v>979</v>
      </c>
      <c r="G63" s="3023">
        <f t="shared" si="10"/>
        <v>5</v>
      </c>
      <c r="J63" s="1132" t="s">
        <v>2176</v>
      </c>
      <c r="K63" s="1132" t="s">
        <v>2200</v>
      </c>
      <c r="L63" s="1149" t="s">
        <v>2204</v>
      </c>
      <c r="M63" s="1142"/>
      <c r="N63" s="1142"/>
      <c r="O63" s="1142"/>
      <c r="P63" s="1142"/>
      <c r="Q63" s="1437"/>
      <c r="R63" s="1132" t="s">
        <v>2181</v>
      </c>
      <c r="S63" s="3018">
        <v>589.20000000000005</v>
      </c>
      <c r="T63" s="1604">
        <v>1000</v>
      </c>
      <c r="U63" s="3019">
        <v>0.04</v>
      </c>
      <c r="V63" s="3019">
        <v>0.58920000000000006</v>
      </c>
      <c r="W63" s="3024">
        <v>0.51</v>
      </c>
      <c r="AD63" s="3001"/>
      <c r="AE63" s="1191"/>
    </row>
    <row r="64" spans="4:33" x14ac:dyDescent="0.3">
      <c r="E64" s="1132">
        <f t="shared" si="9"/>
        <v>30</v>
      </c>
      <c r="F64" s="1132" t="s">
        <v>980</v>
      </c>
      <c r="G64" s="3023">
        <f t="shared" si="10"/>
        <v>6</v>
      </c>
      <c r="J64" s="1132" t="s">
        <v>2176</v>
      </c>
      <c r="K64" s="1132" t="s">
        <v>2200</v>
      </c>
      <c r="L64" s="1149" t="s">
        <v>2205</v>
      </c>
      <c r="M64" s="1142"/>
      <c r="N64" s="1142"/>
      <c r="O64" s="1142"/>
      <c r="P64" s="1142"/>
      <c r="Q64" s="1437"/>
      <c r="R64" s="1132" t="s">
        <v>2181</v>
      </c>
      <c r="S64" s="3018">
        <v>68.599999999999994</v>
      </c>
      <c r="T64" s="1604">
        <v>115</v>
      </c>
      <c r="U64" s="3019">
        <v>0.05</v>
      </c>
      <c r="V64" s="3019">
        <v>0.59652173913043471</v>
      </c>
      <c r="W64" s="3024">
        <v>0.56999999999999995</v>
      </c>
      <c r="AD64" s="3001"/>
      <c r="AE64" s="1191"/>
    </row>
    <row r="65" spans="4:31" x14ac:dyDescent="0.3">
      <c r="E65" s="1132">
        <v>31</v>
      </c>
      <c r="F65" s="1132" t="s">
        <v>981</v>
      </c>
      <c r="G65" s="3023">
        <f t="shared" si="10"/>
        <v>7</v>
      </c>
      <c r="J65" s="1132" t="s">
        <v>2176</v>
      </c>
      <c r="K65" s="1132" t="s">
        <v>2200</v>
      </c>
      <c r="L65" s="1149" t="s">
        <v>2206</v>
      </c>
      <c r="M65" s="1142"/>
      <c r="N65" s="1142"/>
      <c r="O65" s="1142"/>
      <c r="P65" s="1142"/>
      <c r="Q65" s="1437"/>
      <c r="R65" s="1132" t="s">
        <v>2184</v>
      </c>
      <c r="S65" s="3018">
        <v>0</v>
      </c>
      <c r="T65" s="1604">
        <v>1500</v>
      </c>
      <c r="U65" s="3019">
        <v>0.1</v>
      </c>
      <c r="V65" s="3019">
        <v>0</v>
      </c>
      <c r="W65" s="3024">
        <v>0.75</v>
      </c>
      <c r="AD65" s="3001"/>
      <c r="AE65" s="1191"/>
    </row>
    <row r="66" spans="4:31" x14ac:dyDescent="0.3">
      <c r="E66" s="1136" t="s">
        <v>1229</v>
      </c>
      <c r="F66" s="1136" t="s">
        <v>1229</v>
      </c>
      <c r="G66" s="3023">
        <f t="shared" si="10"/>
        <v>8</v>
      </c>
      <c r="J66" s="1132" t="s">
        <v>2176</v>
      </c>
      <c r="K66" s="1132" t="s">
        <v>2200</v>
      </c>
      <c r="L66" s="1149" t="s">
        <v>2207</v>
      </c>
      <c r="M66" s="1142"/>
      <c r="N66" s="1142"/>
      <c r="O66" s="1142"/>
      <c r="P66" s="1142"/>
      <c r="Q66" s="1437"/>
      <c r="R66" s="1132" t="s">
        <v>2184</v>
      </c>
      <c r="S66" s="3018">
        <v>0</v>
      </c>
      <c r="T66" s="1604">
        <v>7500</v>
      </c>
      <c r="U66" s="3019">
        <v>0.1</v>
      </c>
      <c r="V66" s="3019">
        <v>0</v>
      </c>
      <c r="W66" s="3024">
        <v>0.7</v>
      </c>
      <c r="AD66" s="3001"/>
      <c r="AE66" s="1191"/>
    </row>
    <row r="67" spans="4:31" x14ac:dyDescent="0.3">
      <c r="D67" s="1143" t="s">
        <v>1300</v>
      </c>
      <c r="E67" s="1143" t="s">
        <v>2208</v>
      </c>
      <c r="G67" s="3023">
        <f t="shared" si="10"/>
        <v>9</v>
      </c>
      <c r="J67" s="1132" t="s">
        <v>2176</v>
      </c>
      <c r="K67" s="1132" t="s">
        <v>2200</v>
      </c>
      <c r="L67" s="1149" t="s">
        <v>2209</v>
      </c>
      <c r="M67" s="1142"/>
      <c r="N67" s="1142"/>
      <c r="O67" s="1142"/>
      <c r="P67" s="1142"/>
      <c r="Q67" s="1437"/>
      <c r="R67" s="1132" t="s">
        <v>2184</v>
      </c>
      <c r="S67" s="3018">
        <v>0</v>
      </c>
      <c r="T67" s="1604">
        <v>500</v>
      </c>
      <c r="U67" s="3019">
        <v>0.1</v>
      </c>
      <c r="V67" s="3019">
        <v>0</v>
      </c>
      <c r="W67" s="3024">
        <v>0.9</v>
      </c>
      <c r="AD67" s="3001"/>
      <c r="AE67" s="1191"/>
    </row>
    <row r="68" spans="4:31" x14ac:dyDescent="0.3">
      <c r="D68" s="1128" t="s">
        <v>1140</v>
      </c>
      <c r="E68" s="1128" t="s">
        <v>648</v>
      </c>
      <c r="G68" s="3023">
        <f t="shared" si="10"/>
        <v>10</v>
      </c>
      <c r="J68" s="1132" t="s">
        <v>2176</v>
      </c>
      <c r="K68" s="1132" t="s">
        <v>2200</v>
      </c>
      <c r="L68" s="1149" t="s">
        <v>2210</v>
      </c>
      <c r="M68" s="1142"/>
      <c r="N68" s="1142"/>
      <c r="O68" s="1142"/>
      <c r="P68" s="1142"/>
      <c r="Q68" s="1437"/>
      <c r="R68" s="1188" t="s">
        <v>2192</v>
      </c>
      <c r="S68" s="3018">
        <v>0</v>
      </c>
      <c r="T68" s="1604">
        <v>1000</v>
      </c>
      <c r="U68" s="3019">
        <v>0.08</v>
      </c>
      <c r="V68" s="3019">
        <v>0</v>
      </c>
      <c r="W68" s="3024">
        <v>0.5</v>
      </c>
      <c r="AD68" s="3001"/>
      <c r="AE68" s="1191"/>
    </row>
    <row r="69" spans="4:31" x14ac:dyDescent="0.3">
      <c r="D69" s="1132" t="s">
        <v>1141</v>
      </c>
      <c r="E69" s="1132" t="s">
        <v>648</v>
      </c>
      <c r="G69" s="3023">
        <f t="shared" si="10"/>
        <v>11</v>
      </c>
      <c r="J69" s="1132" t="s">
        <v>2211</v>
      </c>
      <c r="K69" s="1132" t="s">
        <v>2212</v>
      </c>
      <c r="L69" s="1149" t="s">
        <v>2213</v>
      </c>
      <c r="M69" s="1142"/>
      <c r="N69" s="1142"/>
      <c r="O69" s="1142"/>
      <c r="P69" s="1142"/>
      <c r="Q69" s="1437"/>
      <c r="R69" s="1132" t="s">
        <v>2184</v>
      </c>
      <c r="S69" s="3018">
        <v>0</v>
      </c>
      <c r="T69" s="1604">
        <v>1050</v>
      </c>
      <c r="U69" s="3019">
        <v>0.05</v>
      </c>
      <c r="V69" s="3019">
        <v>0</v>
      </c>
      <c r="W69" s="3024">
        <v>0.35</v>
      </c>
      <c r="AD69" s="3001"/>
      <c r="AE69" s="1191"/>
    </row>
    <row r="70" spans="4:31" x14ac:dyDescent="0.3">
      <c r="D70" s="1132" t="s">
        <v>1142</v>
      </c>
      <c r="E70" s="1132" t="s">
        <v>648</v>
      </c>
      <c r="G70" s="3023">
        <f t="shared" si="10"/>
        <v>12</v>
      </c>
      <c r="J70" s="1132" t="s">
        <v>2211</v>
      </c>
      <c r="K70" s="1132" t="s">
        <v>2212</v>
      </c>
      <c r="L70" s="1149" t="s">
        <v>2214</v>
      </c>
      <c r="M70" s="1142"/>
      <c r="N70" s="1142"/>
      <c r="O70" s="1142"/>
      <c r="P70" s="1142"/>
      <c r="Q70" s="1437"/>
      <c r="R70" s="1132" t="s">
        <v>2184</v>
      </c>
      <c r="S70" s="3018">
        <v>0</v>
      </c>
      <c r="T70" s="1604">
        <v>2200</v>
      </c>
      <c r="U70" s="3019">
        <v>0.16</v>
      </c>
      <c r="V70" s="3019">
        <v>0</v>
      </c>
      <c r="W70" s="3024">
        <v>0.45</v>
      </c>
      <c r="AD70" s="3001"/>
      <c r="AE70" s="1191"/>
    </row>
    <row r="71" spans="4:31" x14ac:dyDescent="0.3">
      <c r="D71" s="1132" t="s">
        <v>1143</v>
      </c>
      <c r="E71" s="1132" t="s">
        <v>649</v>
      </c>
      <c r="G71" s="3023">
        <f t="shared" si="10"/>
        <v>13</v>
      </c>
      <c r="J71" s="1132" t="s">
        <v>2211</v>
      </c>
      <c r="K71" s="1132" t="s">
        <v>2212</v>
      </c>
      <c r="L71" s="1149" t="s">
        <v>2215</v>
      </c>
      <c r="M71" s="1142"/>
      <c r="N71" s="1142"/>
      <c r="O71" s="1142"/>
      <c r="P71" s="1142"/>
      <c r="Q71" s="1437"/>
      <c r="R71" s="1132" t="s">
        <v>2179</v>
      </c>
      <c r="S71" s="3018">
        <v>1070</v>
      </c>
      <c r="T71" s="1604">
        <v>1680</v>
      </c>
      <c r="U71" s="3019">
        <v>0.04</v>
      </c>
      <c r="V71" s="3019">
        <v>0.63690476190476186</v>
      </c>
      <c r="W71" s="3024">
        <v>0.72</v>
      </c>
      <c r="AD71" s="3001"/>
      <c r="AE71" s="1191"/>
    </row>
    <row r="72" spans="4:31" x14ac:dyDescent="0.3">
      <c r="D72" s="1132" t="s">
        <v>1144</v>
      </c>
      <c r="E72" s="1132" t="s">
        <v>649</v>
      </c>
      <c r="G72" s="3023">
        <f t="shared" si="10"/>
        <v>14</v>
      </c>
      <c r="J72" s="1132" t="s">
        <v>2211</v>
      </c>
      <c r="K72" s="1132" t="s">
        <v>2212</v>
      </c>
      <c r="L72" s="1149" t="s">
        <v>2216</v>
      </c>
      <c r="M72" s="1142"/>
      <c r="N72" s="1142"/>
      <c r="O72" s="1142"/>
      <c r="P72" s="1142"/>
      <c r="Q72" s="1437"/>
      <c r="R72" s="1132" t="s">
        <v>2184</v>
      </c>
      <c r="S72" s="3018">
        <v>0</v>
      </c>
      <c r="T72" s="1604">
        <v>800</v>
      </c>
      <c r="U72" s="3019">
        <v>0.15</v>
      </c>
      <c r="V72" s="3019">
        <v>0</v>
      </c>
      <c r="W72" s="3024">
        <v>0.55000000000000004</v>
      </c>
      <c r="AD72" s="3001"/>
      <c r="AE72" s="1191"/>
    </row>
    <row r="73" spans="4:31" x14ac:dyDescent="0.3">
      <c r="D73" s="1132" t="s">
        <v>1145</v>
      </c>
      <c r="E73" s="1132" t="s">
        <v>649</v>
      </c>
      <c r="G73" s="3023">
        <f t="shared" si="10"/>
        <v>15</v>
      </c>
      <c r="J73" s="1132" t="s">
        <v>2211</v>
      </c>
      <c r="K73" s="1132" t="s">
        <v>2212</v>
      </c>
      <c r="L73" s="1149" t="s">
        <v>2217</v>
      </c>
      <c r="M73" s="1142"/>
      <c r="N73" s="1142"/>
      <c r="O73" s="1142"/>
      <c r="P73" s="1142"/>
      <c r="Q73" s="1437"/>
      <c r="R73" s="1132" t="s">
        <v>2184</v>
      </c>
      <c r="S73" s="3018">
        <v>0</v>
      </c>
      <c r="T73" s="1604">
        <v>100</v>
      </c>
      <c r="U73" s="3019">
        <v>0.15</v>
      </c>
      <c r="V73" s="3019">
        <v>0</v>
      </c>
      <c r="W73" s="3024">
        <v>0.8</v>
      </c>
      <c r="AD73" s="3001"/>
      <c r="AE73" s="1191"/>
    </row>
    <row r="74" spans="4:31" x14ac:dyDescent="0.3">
      <c r="D74" s="1132" t="s">
        <v>1146</v>
      </c>
      <c r="E74" s="1132" t="s">
        <v>650</v>
      </c>
      <c r="G74" s="3023">
        <f t="shared" si="10"/>
        <v>16</v>
      </c>
      <c r="J74" s="1132" t="s">
        <v>2211</v>
      </c>
      <c r="K74" s="1132" t="s">
        <v>2218</v>
      </c>
      <c r="L74" s="1149" t="s">
        <v>2219</v>
      </c>
      <c r="M74" s="1142"/>
      <c r="N74" s="1142"/>
      <c r="O74" s="1142"/>
      <c r="P74" s="1142"/>
      <c r="Q74" s="1437"/>
      <c r="R74" s="1132" t="s">
        <v>2184</v>
      </c>
      <c r="S74" s="3018">
        <v>93</v>
      </c>
      <c r="T74" s="1604">
        <v>1100</v>
      </c>
      <c r="U74" s="3019">
        <v>0.04</v>
      </c>
      <c r="V74" s="3019">
        <v>8.4545454545454549E-2</v>
      </c>
      <c r="W74" s="3024">
        <v>0.6</v>
      </c>
      <c r="AD74" s="3001"/>
      <c r="AE74" s="1191"/>
    </row>
    <row r="75" spans="4:31" x14ac:dyDescent="0.3">
      <c r="D75" s="1132" t="s">
        <v>1147</v>
      </c>
      <c r="E75" s="1132" t="s">
        <v>650</v>
      </c>
      <c r="G75" s="3023">
        <f t="shared" si="10"/>
        <v>17</v>
      </c>
      <c r="J75" s="1132" t="s">
        <v>2211</v>
      </c>
      <c r="K75" s="1132" t="s">
        <v>2218</v>
      </c>
      <c r="L75" s="1149" t="s">
        <v>2220</v>
      </c>
      <c r="M75" s="1142"/>
      <c r="N75" s="1142"/>
      <c r="O75" s="1142"/>
      <c r="P75" s="1142"/>
      <c r="Q75" s="1437"/>
      <c r="R75" s="1132" t="s">
        <v>2179</v>
      </c>
      <c r="S75" s="3018">
        <v>95</v>
      </c>
      <c r="T75" s="1604">
        <v>200</v>
      </c>
      <c r="U75" s="3019">
        <v>0.1</v>
      </c>
      <c r="V75" s="3019">
        <v>0.47499999999999998</v>
      </c>
      <c r="W75" s="3024">
        <v>0.6</v>
      </c>
      <c r="AD75" s="3001"/>
      <c r="AE75" s="1191"/>
    </row>
    <row r="76" spans="4:31" x14ac:dyDescent="0.3">
      <c r="D76" s="1132" t="s">
        <v>1148</v>
      </c>
      <c r="E76" s="1132" t="s">
        <v>650</v>
      </c>
      <c r="G76" s="3023">
        <f t="shared" si="10"/>
        <v>18</v>
      </c>
      <c r="J76" s="1132" t="s">
        <v>2211</v>
      </c>
      <c r="K76" s="1132" t="s">
        <v>2218</v>
      </c>
      <c r="L76" s="1149" t="s">
        <v>2221</v>
      </c>
      <c r="M76" s="1142"/>
      <c r="N76" s="1142"/>
      <c r="O76" s="1142"/>
      <c r="P76" s="1142"/>
      <c r="Q76" s="1437"/>
      <c r="R76" s="1132" t="s">
        <v>2179</v>
      </c>
      <c r="S76" s="3018">
        <v>500</v>
      </c>
      <c r="T76" s="1604">
        <v>1700</v>
      </c>
      <c r="U76" s="3019">
        <v>0.05</v>
      </c>
      <c r="V76" s="3019">
        <v>0.29411764705882354</v>
      </c>
      <c r="W76" s="3024">
        <v>0.6</v>
      </c>
      <c r="AD76" s="3001"/>
      <c r="AE76" s="1191"/>
    </row>
    <row r="77" spans="4:31" x14ac:dyDescent="0.3">
      <c r="D77" s="1132" t="s">
        <v>1137</v>
      </c>
      <c r="E77" s="1132" t="s">
        <v>647</v>
      </c>
      <c r="G77" s="3023">
        <f t="shared" si="10"/>
        <v>19</v>
      </c>
      <c r="J77" s="1132" t="s">
        <v>2211</v>
      </c>
      <c r="K77" s="1132" t="s">
        <v>2218</v>
      </c>
      <c r="L77" s="1149" t="s">
        <v>2222</v>
      </c>
      <c r="M77" s="1142"/>
      <c r="N77" s="1142"/>
      <c r="O77" s="1142"/>
      <c r="P77" s="1142"/>
      <c r="Q77" s="1437"/>
      <c r="R77" s="1132" t="s">
        <v>2181</v>
      </c>
      <c r="S77" s="3018">
        <v>697</v>
      </c>
      <c r="T77" s="1604">
        <v>3400</v>
      </c>
      <c r="U77" s="3019">
        <v>0.02</v>
      </c>
      <c r="V77" s="3019">
        <v>0.20499999999999999</v>
      </c>
      <c r="W77" s="3024">
        <v>0.4</v>
      </c>
      <c r="AD77" s="3001"/>
      <c r="AE77" s="1191"/>
    </row>
    <row r="78" spans="4:31" x14ac:dyDescent="0.3">
      <c r="D78" s="1132" t="s">
        <v>1138</v>
      </c>
      <c r="E78" s="1132" t="s">
        <v>647</v>
      </c>
      <c r="G78" s="3023">
        <f t="shared" si="10"/>
        <v>20</v>
      </c>
      <c r="J78" s="1132" t="s">
        <v>2211</v>
      </c>
      <c r="K78" s="1132" t="s">
        <v>2218</v>
      </c>
      <c r="L78" s="1149" t="s">
        <v>2223</v>
      </c>
      <c r="M78" s="1142"/>
      <c r="N78" s="1142"/>
      <c r="O78" s="1142"/>
      <c r="P78" s="1142"/>
      <c r="Q78" s="1437"/>
      <c r="R78" s="1132" t="s">
        <v>2184</v>
      </c>
      <c r="S78" s="3018">
        <v>0</v>
      </c>
      <c r="T78" s="1604">
        <v>1500</v>
      </c>
      <c r="U78" s="3019">
        <v>7.0000000000000007E-2</v>
      </c>
      <c r="V78" s="3019">
        <v>0</v>
      </c>
      <c r="W78" s="3024">
        <v>0.5</v>
      </c>
      <c r="AD78" s="3001"/>
      <c r="AE78" s="1191"/>
    </row>
    <row r="79" spans="4:31" x14ac:dyDescent="0.3">
      <c r="D79" s="1132" t="s">
        <v>1139</v>
      </c>
      <c r="E79" s="1132" t="s">
        <v>647</v>
      </c>
      <c r="G79" s="3023">
        <f t="shared" si="10"/>
        <v>21</v>
      </c>
      <c r="J79" s="1132" t="s">
        <v>2211</v>
      </c>
      <c r="K79" s="1132" t="s">
        <v>2218</v>
      </c>
      <c r="L79" s="1149" t="s">
        <v>2224</v>
      </c>
      <c r="M79" s="1142"/>
      <c r="N79" s="1142"/>
      <c r="O79" s="1142"/>
      <c r="P79" s="1142"/>
      <c r="Q79" s="1437"/>
      <c r="R79" s="1132" t="s">
        <v>2179</v>
      </c>
      <c r="S79" s="3018">
        <v>115</v>
      </c>
      <c r="T79" s="1604">
        <v>600</v>
      </c>
      <c r="U79" s="3019">
        <v>0.06</v>
      </c>
      <c r="V79" s="3019">
        <v>0.19166666666666668</v>
      </c>
      <c r="W79" s="3024">
        <v>0.75</v>
      </c>
      <c r="AD79" s="3001"/>
      <c r="AE79" s="1191"/>
    </row>
    <row r="80" spans="4:31" x14ac:dyDescent="0.3">
      <c r="D80" s="1136" t="s">
        <v>1229</v>
      </c>
      <c r="E80" s="1136"/>
      <c r="G80" s="3023">
        <f t="shared" si="10"/>
        <v>22</v>
      </c>
      <c r="J80" s="1132" t="s">
        <v>2211</v>
      </c>
      <c r="K80" s="1132" t="s">
        <v>2218</v>
      </c>
      <c r="L80" s="1149" t="s">
        <v>2225</v>
      </c>
      <c r="M80" s="1142"/>
      <c r="N80" s="1142"/>
      <c r="O80" s="1142"/>
      <c r="P80" s="1142"/>
      <c r="Q80" s="1437"/>
      <c r="R80" s="1188" t="s">
        <v>2192</v>
      </c>
      <c r="S80" s="3018">
        <v>172</v>
      </c>
      <c r="T80" s="1604">
        <v>2400</v>
      </c>
      <c r="U80" s="3019">
        <v>0.03</v>
      </c>
      <c r="V80" s="3019">
        <v>7.166666666666667E-2</v>
      </c>
      <c r="W80" s="3024">
        <v>0.4</v>
      </c>
      <c r="AD80" s="3001"/>
      <c r="AE80" s="1191"/>
    </row>
    <row r="81" spans="4:31" x14ac:dyDescent="0.3">
      <c r="G81" s="3023">
        <f t="shared" si="10"/>
        <v>23</v>
      </c>
      <c r="J81" s="1132" t="s">
        <v>2211</v>
      </c>
      <c r="K81" s="1132" t="s">
        <v>2218</v>
      </c>
      <c r="L81" s="1149" t="s">
        <v>2226</v>
      </c>
      <c r="M81" s="1142"/>
      <c r="N81" s="1142"/>
      <c r="O81" s="1142"/>
      <c r="P81" s="1142"/>
      <c r="Q81" s="1437"/>
      <c r="R81" s="1188" t="s">
        <v>2192</v>
      </c>
      <c r="S81" s="3018">
        <v>50</v>
      </c>
      <c r="T81" s="1604">
        <v>800</v>
      </c>
      <c r="U81" s="3019">
        <v>0.03</v>
      </c>
      <c r="V81" s="3019">
        <v>6.25E-2</v>
      </c>
      <c r="W81" s="3024">
        <v>0.6</v>
      </c>
      <c r="AD81" s="3001"/>
      <c r="AE81" s="1191"/>
    </row>
    <row r="82" spans="4:31" x14ac:dyDescent="0.3">
      <c r="D82" s="1143" t="s">
        <v>2227</v>
      </c>
      <c r="G82" s="3023">
        <f t="shared" si="10"/>
        <v>24</v>
      </c>
      <c r="J82" s="1132" t="s">
        <v>2211</v>
      </c>
      <c r="K82" s="1132" t="s">
        <v>2218</v>
      </c>
      <c r="L82" s="1149" t="s">
        <v>2228</v>
      </c>
      <c r="M82" s="1142"/>
      <c r="N82" s="1142"/>
      <c r="O82" s="1142"/>
      <c r="P82" s="1142"/>
      <c r="Q82" s="1437"/>
      <c r="R82" s="1132" t="s">
        <v>2179</v>
      </c>
      <c r="S82" s="3018">
        <v>1590</v>
      </c>
      <c r="T82" s="1604">
        <v>6900</v>
      </c>
      <c r="U82" s="3019">
        <v>0.05</v>
      </c>
      <c r="V82" s="3019">
        <v>0.23043478260869565</v>
      </c>
      <c r="W82" s="3024">
        <v>0.55000000000000004</v>
      </c>
      <c r="AD82" s="3001"/>
      <c r="AE82" s="1191"/>
    </row>
    <row r="83" spans="4:31" x14ac:dyDescent="0.3">
      <c r="D83" s="3025" t="s">
        <v>2229</v>
      </c>
      <c r="G83" s="3023">
        <f t="shared" si="10"/>
        <v>25</v>
      </c>
      <c r="J83" s="1132" t="s">
        <v>2211</v>
      </c>
      <c r="K83" s="1132" t="s">
        <v>2230</v>
      </c>
      <c r="L83" s="1149" t="s">
        <v>2231</v>
      </c>
      <c r="M83" s="1142"/>
      <c r="N83" s="1142"/>
      <c r="O83" s="1142"/>
      <c r="P83" s="1142"/>
      <c r="Q83" s="1437"/>
      <c r="R83" s="1132" t="s">
        <v>2184</v>
      </c>
      <c r="S83" s="3018">
        <v>960</v>
      </c>
      <c r="T83" s="1604">
        <v>960</v>
      </c>
      <c r="U83" s="3019">
        <v>0.122</v>
      </c>
      <c r="V83" s="3019">
        <v>1</v>
      </c>
      <c r="W83" s="3024">
        <v>0.79</v>
      </c>
      <c r="AD83" s="3001"/>
      <c r="AE83" s="1191"/>
    </row>
    <row r="84" spans="4:31" x14ac:dyDescent="0.3">
      <c r="D84" s="3026" t="s">
        <v>1569</v>
      </c>
      <c r="G84" s="3023">
        <f t="shared" si="10"/>
        <v>26</v>
      </c>
      <c r="J84" s="1132" t="s">
        <v>2211</v>
      </c>
      <c r="K84" s="1132" t="s">
        <v>2230</v>
      </c>
      <c r="L84" s="1149" t="s">
        <v>2232</v>
      </c>
      <c r="M84" s="1142"/>
      <c r="N84" s="1142"/>
      <c r="O84" s="1142"/>
      <c r="P84" s="1142"/>
      <c r="Q84" s="1437"/>
      <c r="R84" s="1132" t="s">
        <v>2181</v>
      </c>
      <c r="S84" s="3018">
        <v>980</v>
      </c>
      <c r="T84" s="1604">
        <v>980</v>
      </c>
      <c r="U84" s="3019">
        <v>5.5E-2</v>
      </c>
      <c r="V84" s="3019">
        <v>1</v>
      </c>
      <c r="W84" s="3024">
        <v>0.65</v>
      </c>
      <c r="AD84" s="3001"/>
      <c r="AE84" s="1191"/>
    </row>
    <row r="85" spans="4:31" x14ac:dyDescent="0.3">
      <c r="G85" s="3023">
        <f t="shared" si="10"/>
        <v>27</v>
      </c>
      <c r="J85" s="1132" t="s">
        <v>2211</v>
      </c>
      <c r="K85" s="1132" t="s">
        <v>2230</v>
      </c>
      <c r="L85" s="1149" t="s">
        <v>2233</v>
      </c>
      <c r="M85" s="1142"/>
      <c r="N85" s="1142"/>
      <c r="O85" s="1142"/>
      <c r="P85" s="1142"/>
      <c r="Q85" s="1437"/>
      <c r="R85" s="1132" t="s">
        <v>2181</v>
      </c>
      <c r="S85" s="3018">
        <v>4030</v>
      </c>
      <c r="T85" s="1604">
        <v>4030</v>
      </c>
      <c r="U85" s="3019">
        <v>3.4000000000000002E-2</v>
      </c>
      <c r="V85" s="3019">
        <v>1</v>
      </c>
      <c r="W85" s="3024">
        <v>0.63</v>
      </c>
      <c r="AD85" s="3001"/>
      <c r="AE85" s="1191"/>
    </row>
    <row r="86" spans="4:31" x14ac:dyDescent="0.3">
      <c r="D86" s="1164" t="s">
        <v>2234</v>
      </c>
      <c r="E86" s="1127"/>
      <c r="F86" s="1127"/>
      <c r="G86" s="3023">
        <f t="shared" si="10"/>
        <v>28</v>
      </c>
      <c r="J86" s="1132" t="s">
        <v>2211</v>
      </c>
      <c r="K86" s="1132" t="s">
        <v>2230</v>
      </c>
      <c r="L86" s="1149" t="s">
        <v>2235</v>
      </c>
      <c r="M86" s="1142"/>
      <c r="N86" s="1142"/>
      <c r="O86" s="1142"/>
      <c r="P86" s="1142"/>
      <c r="Q86" s="1437"/>
      <c r="R86" s="1132" t="s">
        <v>2184</v>
      </c>
      <c r="S86" s="3018">
        <v>405</v>
      </c>
      <c r="T86" s="1604">
        <v>405</v>
      </c>
      <c r="U86" s="3019">
        <v>0.06</v>
      </c>
      <c r="V86" s="3019">
        <v>1</v>
      </c>
      <c r="W86" s="3024">
        <v>0.75</v>
      </c>
      <c r="AD86" s="3001"/>
      <c r="AE86" s="1191"/>
    </row>
    <row r="87" spans="4:31" x14ac:dyDescent="0.3">
      <c r="D87" s="1149" t="s">
        <v>26</v>
      </c>
      <c r="E87" s="1142"/>
      <c r="F87" s="1142"/>
      <c r="G87" s="3023">
        <f t="shared" si="10"/>
        <v>29</v>
      </c>
      <c r="J87" s="1132" t="s">
        <v>2211</v>
      </c>
      <c r="K87" s="1132" t="s">
        <v>2230</v>
      </c>
      <c r="L87" s="1149" t="s">
        <v>2236</v>
      </c>
      <c r="M87" s="1142"/>
      <c r="N87" s="1142"/>
      <c r="O87" s="1142"/>
      <c r="P87" s="1142"/>
      <c r="Q87" s="1437"/>
      <c r="R87" s="1188" t="s">
        <v>2192</v>
      </c>
      <c r="S87" s="3018">
        <v>400</v>
      </c>
      <c r="T87" s="1604">
        <v>400</v>
      </c>
      <c r="U87" s="3019">
        <v>0.02</v>
      </c>
      <c r="V87" s="3019">
        <v>1</v>
      </c>
      <c r="W87" s="3024">
        <v>0.65</v>
      </c>
      <c r="AD87" s="3001"/>
      <c r="AE87" s="1191"/>
    </row>
    <row r="88" spans="4:31" x14ac:dyDescent="0.3">
      <c r="D88" s="1149" t="s">
        <v>25</v>
      </c>
      <c r="E88" s="1142"/>
      <c r="F88" s="1437"/>
      <c r="G88" s="3023">
        <f t="shared" si="10"/>
        <v>30</v>
      </c>
      <c r="J88" s="1132" t="s">
        <v>2211</v>
      </c>
      <c r="K88" s="1132" t="s">
        <v>2230</v>
      </c>
      <c r="L88" s="1149" t="s">
        <v>2237</v>
      </c>
      <c r="M88" s="1142"/>
      <c r="N88" s="1142"/>
      <c r="O88" s="1142"/>
      <c r="P88" s="1142"/>
      <c r="Q88" s="1437"/>
      <c r="R88" s="1132" t="s">
        <v>2181</v>
      </c>
      <c r="S88" s="3018">
        <v>370</v>
      </c>
      <c r="T88" s="1604">
        <v>370</v>
      </c>
      <c r="U88" s="3019">
        <v>8.5000000000000006E-2</v>
      </c>
      <c r="V88" s="3019">
        <v>1</v>
      </c>
      <c r="W88" s="3024">
        <v>0.4</v>
      </c>
      <c r="AD88" s="3001"/>
      <c r="AE88" s="1191"/>
    </row>
    <row r="89" spans="4:31" x14ac:dyDescent="0.3">
      <c r="D89" s="1149" t="s">
        <v>24</v>
      </c>
      <c r="E89" s="1142"/>
      <c r="F89" s="1437"/>
      <c r="G89" s="3023">
        <v>31</v>
      </c>
      <c r="J89" s="1132" t="s">
        <v>2211</v>
      </c>
      <c r="K89" s="1132" t="s">
        <v>2230</v>
      </c>
      <c r="L89" s="1149" t="s">
        <v>2238</v>
      </c>
      <c r="M89" s="1142"/>
      <c r="N89" s="1142"/>
      <c r="O89" s="1142"/>
      <c r="P89" s="1142"/>
      <c r="Q89" s="1437"/>
      <c r="R89" s="1132" t="s">
        <v>2179</v>
      </c>
      <c r="S89" s="3018">
        <v>810</v>
      </c>
      <c r="T89" s="1604">
        <v>810</v>
      </c>
      <c r="U89" s="3019">
        <v>5.3999999999999999E-2</v>
      </c>
      <c r="V89" s="3019">
        <v>1</v>
      </c>
      <c r="W89" s="3024">
        <v>0.74</v>
      </c>
      <c r="AD89" s="3001"/>
      <c r="AE89" s="1191"/>
    </row>
    <row r="90" spans="4:31" x14ac:dyDescent="0.3">
      <c r="D90" s="1150" t="s">
        <v>1229</v>
      </c>
      <c r="E90" s="1201"/>
      <c r="F90" s="1459"/>
      <c r="G90" s="3027" t="s">
        <v>1229</v>
      </c>
      <c r="J90" s="1132" t="s">
        <v>2211</v>
      </c>
      <c r="K90" s="1132" t="s">
        <v>2230</v>
      </c>
      <c r="L90" s="1149" t="s">
        <v>2239</v>
      </c>
      <c r="M90" s="1142"/>
      <c r="N90" s="1142"/>
      <c r="O90" s="1142"/>
      <c r="P90" s="1142"/>
      <c r="Q90" s="1437"/>
      <c r="R90" s="1132" t="s">
        <v>2184</v>
      </c>
      <c r="S90" s="3018">
        <v>300</v>
      </c>
      <c r="T90" s="1604">
        <v>300</v>
      </c>
      <c r="U90" s="3019">
        <v>0.2</v>
      </c>
      <c r="V90" s="3019">
        <v>1</v>
      </c>
      <c r="W90" s="3024">
        <v>0.55000000000000004</v>
      </c>
      <c r="AD90" s="3001"/>
      <c r="AE90" s="1191"/>
    </row>
    <row r="91" spans="4:31" x14ac:dyDescent="0.3">
      <c r="J91" s="1132" t="s">
        <v>2211</v>
      </c>
      <c r="K91" s="1132" t="s">
        <v>2230</v>
      </c>
      <c r="L91" s="1149" t="s">
        <v>2240</v>
      </c>
      <c r="M91" s="1142"/>
      <c r="N91" s="1142"/>
      <c r="O91" s="1142"/>
      <c r="P91" s="1142"/>
      <c r="Q91" s="1437"/>
      <c r="R91" s="1132" t="s">
        <v>2184</v>
      </c>
      <c r="S91" s="3018">
        <v>500</v>
      </c>
      <c r="T91" s="1604">
        <v>500</v>
      </c>
      <c r="U91" s="3019">
        <v>0.15</v>
      </c>
      <c r="V91" s="3019">
        <v>1</v>
      </c>
      <c r="W91" s="3024">
        <v>0.28000000000000003</v>
      </c>
      <c r="AD91" s="3001"/>
      <c r="AE91" s="1191"/>
    </row>
    <row r="92" spans="4:31" x14ac:dyDescent="0.3">
      <c r="D92" s="1164" t="s">
        <v>1597</v>
      </c>
      <c r="E92" s="1146"/>
      <c r="J92" s="1132" t="s">
        <v>2211</v>
      </c>
      <c r="K92" s="1132" t="s">
        <v>2230</v>
      </c>
      <c r="L92" s="1149" t="s">
        <v>2241</v>
      </c>
      <c r="M92" s="1142"/>
      <c r="N92" s="1142"/>
      <c r="O92" s="1142"/>
      <c r="P92" s="1142"/>
      <c r="Q92" s="1437"/>
      <c r="R92" s="1132" t="s">
        <v>2184</v>
      </c>
      <c r="S92" s="3018">
        <v>1000</v>
      </c>
      <c r="T92" s="1604">
        <v>1000</v>
      </c>
      <c r="U92" s="3019">
        <v>0.15</v>
      </c>
      <c r="V92" s="3019">
        <v>1</v>
      </c>
      <c r="W92" s="3024">
        <v>0.55000000000000004</v>
      </c>
      <c r="AD92" s="3001"/>
      <c r="AE92" s="1191"/>
    </row>
    <row r="93" spans="4:31" x14ac:dyDescent="0.3">
      <c r="D93" s="1149" t="str">
        <f>"w/ Extd Yrs ("&amp;Calc!AG265&amp;")"</f>
        <v>w/ Extd Yrs ()</v>
      </c>
      <c r="E93" s="1437"/>
      <c r="J93" s="1132" t="s">
        <v>2211</v>
      </c>
      <c r="K93" s="1132" t="s">
        <v>2230</v>
      </c>
      <c r="L93" s="1149" t="s">
        <v>2242</v>
      </c>
      <c r="M93" s="1142"/>
      <c r="N93" s="1142"/>
      <c r="O93" s="1142"/>
      <c r="P93" s="1142"/>
      <c r="Q93" s="1437"/>
      <c r="R93" s="1132" t="s">
        <v>2179</v>
      </c>
      <c r="S93" s="3018">
        <v>770</v>
      </c>
      <c r="T93" s="1604">
        <v>770</v>
      </c>
      <c r="U93" s="3019">
        <v>0.151</v>
      </c>
      <c r="V93" s="3019">
        <v>1</v>
      </c>
      <c r="W93" s="3024">
        <v>0.6</v>
      </c>
      <c r="AD93" s="3001"/>
      <c r="AE93" s="1191"/>
    </row>
    <row r="94" spans="4:31" x14ac:dyDescent="0.3">
      <c r="D94" s="1184" t="s">
        <v>2243</v>
      </c>
      <c r="E94" s="1459"/>
      <c r="J94" s="1132" t="s">
        <v>2211</v>
      </c>
      <c r="K94" s="1132" t="s">
        <v>2244</v>
      </c>
      <c r="L94" s="1149" t="s">
        <v>2245</v>
      </c>
      <c r="M94" s="1142"/>
      <c r="N94" s="1142"/>
      <c r="O94" s="1142"/>
      <c r="P94" s="1142"/>
      <c r="Q94" s="1437"/>
      <c r="R94" s="1132" t="s">
        <v>2179</v>
      </c>
      <c r="S94" s="3018">
        <v>169</v>
      </c>
      <c r="T94" s="1604">
        <v>460</v>
      </c>
      <c r="U94" s="3019">
        <v>0.06</v>
      </c>
      <c r="V94" s="3019">
        <v>0.36739130434782608</v>
      </c>
      <c r="W94" s="3024">
        <v>0.56599999999999995</v>
      </c>
      <c r="AD94" s="3001"/>
      <c r="AE94" s="1191"/>
    </row>
    <row r="95" spans="4:31" x14ac:dyDescent="0.3">
      <c r="J95" s="1132" t="s">
        <v>2211</v>
      </c>
      <c r="K95" s="1132" t="s">
        <v>2244</v>
      </c>
      <c r="L95" s="1149" t="s">
        <v>2246</v>
      </c>
      <c r="M95" s="1142"/>
      <c r="N95" s="1142"/>
      <c r="O95" s="1142"/>
      <c r="P95" s="1142"/>
      <c r="Q95" s="1437"/>
      <c r="R95" s="1132" t="s">
        <v>2181</v>
      </c>
      <c r="S95" s="3018">
        <v>232</v>
      </c>
      <c r="T95" s="1604">
        <v>316</v>
      </c>
      <c r="U95" s="1709">
        <v>0.01</v>
      </c>
      <c r="V95" s="3019">
        <v>0.73417721518987344</v>
      </c>
      <c r="W95" s="3024">
        <v>0.44400000000000001</v>
      </c>
      <c r="AD95" s="3001"/>
      <c r="AE95" s="1191"/>
    </row>
    <row r="96" spans="4:31" x14ac:dyDescent="0.3">
      <c r="D96" s="1164" t="s">
        <v>2247</v>
      </c>
      <c r="E96" s="1127"/>
      <c r="F96" s="1146"/>
      <c r="J96" s="1132" t="s">
        <v>2211</v>
      </c>
      <c r="K96" s="1132" t="s">
        <v>2244</v>
      </c>
      <c r="L96" s="1149" t="s">
        <v>2248</v>
      </c>
      <c r="M96" s="1142"/>
      <c r="N96" s="1142"/>
      <c r="O96" s="1142"/>
      <c r="P96" s="1142"/>
      <c r="Q96" s="1437"/>
      <c r="R96" s="1132" t="s">
        <v>2179</v>
      </c>
      <c r="S96" s="3018">
        <v>332</v>
      </c>
      <c r="T96" s="1604">
        <v>450</v>
      </c>
      <c r="U96" s="1709">
        <v>0.1</v>
      </c>
      <c r="V96" s="3019">
        <v>0.73777777777777775</v>
      </c>
      <c r="W96" s="3024">
        <v>0.52900000000000003</v>
      </c>
      <c r="AD96" s="3001"/>
      <c r="AE96" s="1191"/>
    </row>
    <row r="97" spans="4:36" x14ac:dyDescent="0.3">
      <c r="D97" s="1149" t="s">
        <v>2249</v>
      </c>
      <c r="E97" s="1142"/>
      <c r="F97" s="1437"/>
      <c r="J97" s="1132" t="s">
        <v>2211</v>
      </c>
      <c r="K97" s="1132" t="s">
        <v>2244</v>
      </c>
      <c r="L97" s="1149" t="s">
        <v>2250</v>
      </c>
      <c r="M97" s="1142"/>
      <c r="N97" s="1142"/>
      <c r="O97" s="1142"/>
      <c r="P97" s="1142"/>
      <c r="Q97" s="1437"/>
      <c r="R97" s="1132" t="s">
        <v>2179</v>
      </c>
      <c r="S97" s="3018">
        <v>285</v>
      </c>
      <c r="T97" s="1604">
        <v>592</v>
      </c>
      <c r="U97" s="1709">
        <v>0.05</v>
      </c>
      <c r="V97" s="3019">
        <v>0.48141891891891891</v>
      </c>
      <c r="W97" s="3024">
        <v>0.46100000000000002</v>
      </c>
      <c r="AD97" s="3001"/>
      <c r="AE97" s="1191"/>
    </row>
    <row r="98" spans="4:36" x14ac:dyDescent="0.3">
      <c r="D98" s="1149" t="s">
        <v>2251</v>
      </c>
      <c r="E98" s="1142"/>
      <c r="F98" s="1437"/>
      <c r="J98" s="1132" t="s">
        <v>2211</v>
      </c>
      <c r="K98" s="1132" t="s">
        <v>2244</v>
      </c>
      <c r="L98" s="1149" t="s">
        <v>2252</v>
      </c>
      <c r="M98" s="1142"/>
      <c r="N98" s="1142"/>
      <c r="O98" s="1142"/>
      <c r="P98" s="1142"/>
      <c r="Q98" s="1437"/>
      <c r="R98" s="1132" t="s">
        <v>2179</v>
      </c>
      <c r="S98" s="3018">
        <v>86.2</v>
      </c>
      <c r="T98" s="1604">
        <v>290</v>
      </c>
      <c r="U98" s="1709">
        <v>0.06</v>
      </c>
      <c r="V98" s="3019">
        <v>0.29724137931034483</v>
      </c>
      <c r="W98" s="3024">
        <v>0.49</v>
      </c>
      <c r="AD98" s="3001"/>
      <c r="AE98" s="1191"/>
    </row>
    <row r="99" spans="4:36" x14ac:dyDescent="0.3">
      <c r="D99" s="1149" t="s">
        <v>2253</v>
      </c>
      <c r="E99" s="1142"/>
      <c r="F99" s="1437"/>
      <c r="J99" s="1132" t="s">
        <v>2211</v>
      </c>
      <c r="K99" s="1132" t="s">
        <v>2244</v>
      </c>
      <c r="L99" s="1149" t="s">
        <v>2254</v>
      </c>
      <c r="M99" s="1142"/>
      <c r="N99" s="1142"/>
      <c r="O99" s="1142"/>
      <c r="P99" s="1142"/>
      <c r="Q99" s="1437"/>
      <c r="R99" s="1132" t="s">
        <v>2179</v>
      </c>
      <c r="S99" s="3018">
        <v>30.2</v>
      </c>
      <c r="T99" s="1604">
        <v>280</v>
      </c>
      <c r="U99" s="1709">
        <v>0.26</v>
      </c>
      <c r="V99" s="3019">
        <v>0.10785714285714286</v>
      </c>
      <c r="W99" s="3024">
        <v>0.55000000000000004</v>
      </c>
      <c r="AD99" s="3001"/>
    </row>
    <row r="100" spans="4:36" x14ac:dyDescent="0.3">
      <c r="D100" s="1149" t="s">
        <v>2255</v>
      </c>
      <c r="E100" s="1142"/>
      <c r="F100" s="1437"/>
      <c r="J100" s="1132" t="s">
        <v>2211</v>
      </c>
      <c r="K100" s="1132" t="s">
        <v>2244</v>
      </c>
      <c r="L100" s="1149" t="s">
        <v>2256</v>
      </c>
      <c r="M100" s="1142"/>
      <c r="N100" s="1142"/>
      <c r="O100" s="1142"/>
      <c r="P100" s="1142"/>
      <c r="Q100" s="1437"/>
      <c r="R100" s="1132" t="s">
        <v>2181</v>
      </c>
      <c r="S100" s="3018">
        <v>33</v>
      </c>
      <c r="T100" s="1604">
        <v>360</v>
      </c>
      <c r="U100" s="1709">
        <v>0.16</v>
      </c>
      <c r="V100" s="3019">
        <v>9.166666666666666E-2</v>
      </c>
      <c r="W100" s="3024">
        <v>0.46</v>
      </c>
      <c r="AD100" s="3001"/>
    </row>
    <row r="101" spans="4:36" x14ac:dyDescent="0.3">
      <c r="D101" s="1184" t="s">
        <v>1229</v>
      </c>
      <c r="E101" s="1201"/>
      <c r="F101" s="1459"/>
      <c r="J101" s="1132" t="s">
        <v>2211</v>
      </c>
      <c r="K101" s="1132" t="s">
        <v>2244</v>
      </c>
      <c r="L101" s="1149" t="s">
        <v>2257</v>
      </c>
      <c r="M101" s="1142"/>
      <c r="N101" s="1142"/>
      <c r="O101" s="1142"/>
      <c r="P101" s="1142"/>
      <c r="Q101" s="1437"/>
      <c r="R101" s="1132" t="s">
        <v>2184</v>
      </c>
      <c r="S101" s="3018">
        <v>0</v>
      </c>
      <c r="T101" s="1604">
        <v>0</v>
      </c>
      <c r="U101" s="1709">
        <v>1.41</v>
      </c>
      <c r="V101" s="3019" t="e">
        <v>#DIV/0!</v>
      </c>
      <c r="W101" s="3024">
        <v>0.5</v>
      </c>
      <c r="AD101" s="3001"/>
    </row>
    <row r="102" spans="4:36" x14ac:dyDescent="0.3">
      <c r="J102" s="1132"/>
      <c r="K102" s="1132"/>
      <c r="L102" s="1149" t="s">
        <v>1229</v>
      </c>
      <c r="M102" s="1142"/>
      <c r="N102" s="1142"/>
      <c r="O102" s="1142"/>
      <c r="P102" s="1142"/>
      <c r="Q102" s="1437"/>
      <c r="R102" s="1132"/>
      <c r="S102" s="3018"/>
      <c r="T102" s="1604"/>
      <c r="U102" s="1709"/>
      <c r="V102" s="3019"/>
      <c r="W102" s="3024"/>
      <c r="AD102" s="3001"/>
    </row>
    <row r="103" spans="4:36" x14ac:dyDescent="0.3">
      <c r="D103" s="1151" t="s">
        <v>1228</v>
      </c>
      <c r="F103" s="1164" t="s">
        <v>76</v>
      </c>
      <c r="G103" s="1146"/>
      <c r="J103" s="1136"/>
      <c r="K103" s="1136"/>
      <c r="L103" s="1184"/>
      <c r="M103" s="1201"/>
      <c r="N103" s="1201"/>
      <c r="O103" s="1201"/>
      <c r="P103" s="1201"/>
      <c r="Q103" s="1459"/>
      <c r="R103" s="1136"/>
      <c r="S103" s="3028"/>
      <c r="T103" s="3029"/>
      <c r="U103" s="3029"/>
      <c r="V103" s="3030"/>
      <c r="W103" s="3031"/>
      <c r="AD103" s="3001"/>
    </row>
    <row r="104" spans="4:36" x14ac:dyDescent="0.3">
      <c r="D104" s="2923" t="s">
        <v>1229</v>
      </c>
      <c r="F104" s="1193" t="s">
        <v>1229</v>
      </c>
      <c r="G104" s="1437"/>
      <c r="J104" s="1142"/>
      <c r="K104" s="1142"/>
      <c r="L104" s="1142"/>
      <c r="M104" s="1142"/>
      <c r="N104" s="1142"/>
      <c r="O104" s="1142"/>
      <c r="P104" s="1142"/>
      <c r="Q104" s="1142"/>
      <c r="R104" s="1142"/>
      <c r="S104" s="1709"/>
      <c r="T104" s="1709"/>
      <c r="U104" s="1709"/>
      <c r="V104" s="3019"/>
      <c r="W104" s="3019"/>
      <c r="AD104" s="3001"/>
      <c r="AJ104" s="1526"/>
    </row>
    <row r="105" spans="4:36" x14ac:dyDescent="0.3">
      <c r="D105" s="1188" t="s">
        <v>2258</v>
      </c>
      <c r="F105" s="1149" t="s">
        <v>2177</v>
      </c>
      <c r="G105" s="1437"/>
      <c r="I105" s="1143" t="s">
        <v>2259</v>
      </c>
      <c r="J105" s="1082"/>
      <c r="K105" s="1082"/>
      <c r="L105" s="1082"/>
      <c r="M105" s="1082"/>
      <c r="N105" s="1082"/>
      <c r="O105" s="1082"/>
      <c r="P105" s="1082"/>
      <c r="Q105" s="1082"/>
      <c r="R105" s="1082"/>
      <c r="S105" s="3032" t="s">
        <v>1140</v>
      </c>
      <c r="T105" s="3033">
        <v>1</v>
      </c>
      <c r="V105" s="3034" t="s">
        <v>2260</v>
      </c>
      <c r="W105" s="3035"/>
      <c r="AD105" s="3001"/>
      <c r="AJ105" s="1526"/>
    </row>
    <row r="106" spans="4:36" x14ac:dyDescent="0.3">
      <c r="D106" s="1188" t="s">
        <v>2211</v>
      </c>
      <c r="F106" s="1149" t="s">
        <v>2185</v>
      </c>
      <c r="G106" s="1437"/>
      <c r="I106" s="1128" t="s">
        <v>2261</v>
      </c>
      <c r="J106" s="1082"/>
      <c r="K106" s="3162" t="s">
        <v>2262</v>
      </c>
      <c r="L106" s="3163"/>
      <c r="M106" s="3163"/>
      <c r="N106" s="3163"/>
      <c r="O106" s="3163"/>
      <c r="P106" s="3163"/>
      <c r="Q106" s="3164"/>
      <c r="R106" s="1082"/>
      <c r="S106" s="3036" t="s">
        <v>1141</v>
      </c>
      <c r="T106" s="3037">
        <v>2</v>
      </c>
      <c r="V106" s="3038" t="s">
        <v>2179</v>
      </c>
      <c r="W106" s="3039">
        <v>0.15</v>
      </c>
      <c r="AD106" s="3001"/>
      <c r="AJ106" s="1526"/>
    </row>
    <row r="107" spans="4:36" x14ac:dyDescent="0.3">
      <c r="D107" s="1188" t="s">
        <v>2263</v>
      </c>
      <c r="F107" s="1207" t="s">
        <v>2197</v>
      </c>
      <c r="G107" s="1437"/>
      <c r="I107" s="1132" t="s">
        <v>2264</v>
      </c>
      <c r="J107" s="1082"/>
      <c r="K107" s="3290" t="s">
        <v>2265</v>
      </c>
      <c r="L107" s="3202"/>
      <c r="M107" s="3202"/>
      <c r="N107" s="3202"/>
      <c r="O107" s="3202"/>
      <c r="P107" s="3202"/>
      <c r="Q107" s="3203"/>
      <c r="R107" s="1082"/>
      <c r="S107" s="3036" t="s">
        <v>1142</v>
      </c>
      <c r="T107" s="3037">
        <v>3</v>
      </c>
      <c r="V107" s="3040" t="s">
        <v>2181</v>
      </c>
      <c r="W107" s="3041">
        <v>0.15</v>
      </c>
      <c r="AD107" s="3001"/>
      <c r="AJ107" s="1526"/>
    </row>
    <row r="108" spans="4:36" x14ac:dyDescent="0.3">
      <c r="D108" s="1114" t="s">
        <v>2266</v>
      </c>
      <c r="F108" s="1207" t="s">
        <v>2200</v>
      </c>
      <c r="G108" s="1437"/>
      <c r="I108" s="1132" t="s">
        <v>2267</v>
      </c>
      <c r="J108" s="1082"/>
      <c r="K108" s="1567"/>
      <c r="L108" s="3042"/>
      <c r="M108" s="3043" t="s">
        <v>2268</v>
      </c>
      <c r="N108" s="3044" t="s">
        <v>2269</v>
      </c>
      <c r="O108" s="2446"/>
      <c r="P108" s="3045"/>
      <c r="Q108" s="3046" t="s">
        <v>2270</v>
      </c>
      <c r="R108" s="1082"/>
      <c r="S108" s="3036" t="s">
        <v>1143</v>
      </c>
      <c r="T108" s="3037">
        <v>4</v>
      </c>
      <c r="V108" s="3040" t="s">
        <v>2184</v>
      </c>
      <c r="W108" s="3041">
        <v>0.2</v>
      </c>
      <c r="AD108" s="3001"/>
      <c r="AJ108" s="1526"/>
    </row>
    <row r="109" spans="4:36" x14ac:dyDescent="0.3">
      <c r="F109" s="1149" t="s">
        <v>2212</v>
      </c>
      <c r="G109" s="1437"/>
      <c r="I109" s="1114" t="s">
        <v>1229</v>
      </c>
      <c r="J109" s="1082"/>
      <c r="K109" s="1149"/>
      <c r="L109" s="2918" t="s">
        <v>2271</v>
      </c>
      <c r="M109" s="3047">
        <v>51.121086239421437</v>
      </c>
      <c r="N109" s="3048">
        <v>44.655346634763646</v>
      </c>
      <c r="O109" s="1142"/>
      <c r="P109" s="3049" t="s">
        <v>2272</v>
      </c>
      <c r="Q109" s="3050">
        <v>117.22235250920993</v>
      </c>
      <c r="R109" s="1082"/>
      <c r="S109" s="3036" t="s">
        <v>1144</v>
      </c>
      <c r="T109" s="3037">
        <v>5</v>
      </c>
      <c r="V109" s="3051" t="s">
        <v>2192</v>
      </c>
      <c r="W109" s="3052">
        <v>0.2</v>
      </c>
      <c r="AD109" s="3001"/>
    </row>
    <row r="110" spans="4:36" x14ac:dyDescent="0.3">
      <c r="D110" s="1151" t="s">
        <v>1639</v>
      </c>
      <c r="F110" s="1149" t="s">
        <v>2244</v>
      </c>
      <c r="G110" s="1437"/>
      <c r="I110" s="1151" t="s">
        <v>1253</v>
      </c>
      <c r="J110" s="1082"/>
      <c r="K110" s="1149"/>
      <c r="L110" s="2918" t="s">
        <v>1278</v>
      </c>
      <c r="M110" s="3047">
        <v>89.728460191333426</v>
      </c>
      <c r="N110" s="3048">
        <v>5.770767963445631</v>
      </c>
      <c r="O110" s="1142"/>
      <c r="P110" s="3049" t="s">
        <v>2218</v>
      </c>
      <c r="Q110" s="3050">
        <v>111.62536747013331</v>
      </c>
      <c r="R110" s="1082"/>
      <c r="S110" s="3036" t="s">
        <v>1145</v>
      </c>
      <c r="T110" s="3037">
        <v>6</v>
      </c>
      <c r="AD110" s="3001"/>
    </row>
    <row r="111" spans="4:36" x14ac:dyDescent="0.3">
      <c r="D111" s="1128" t="s">
        <v>2273</v>
      </c>
      <c r="F111" s="1149" t="s">
        <v>2230</v>
      </c>
      <c r="G111" s="1437"/>
      <c r="I111" s="1128" t="s">
        <v>1254</v>
      </c>
      <c r="J111" s="1082"/>
      <c r="K111" s="1149"/>
      <c r="L111" s="2918" t="s">
        <v>9</v>
      </c>
      <c r="M111" s="3047">
        <v>73.587556257131126</v>
      </c>
      <c r="N111" s="3048">
        <v>38.570207713250035</v>
      </c>
      <c r="O111" s="1142"/>
      <c r="P111" s="3049" t="s">
        <v>2230</v>
      </c>
      <c r="Q111" s="3050">
        <v>85.266325135369541</v>
      </c>
      <c r="R111" s="1082"/>
      <c r="S111" s="3036" t="s">
        <v>1146</v>
      </c>
      <c r="T111" s="3037">
        <v>7</v>
      </c>
      <c r="V111" s="3034" t="s">
        <v>2274</v>
      </c>
      <c r="W111" s="3035"/>
      <c r="AD111" s="3001"/>
    </row>
    <row r="112" spans="4:36" x14ac:dyDescent="0.3">
      <c r="D112" s="1132" t="s">
        <v>2275</v>
      </c>
      <c r="F112" s="1149" t="s">
        <v>2218</v>
      </c>
      <c r="G112" s="1437"/>
      <c r="I112" s="1132" t="s">
        <v>2276</v>
      </c>
      <c r="J112" s="1082"/>
      <c r="K112" s="1149"/>
      <c r="L112" s="2918" t="s">
        <v>2277</v>
      </c>
      <c r="M112" s="3047">
        <v>37.13820230607984</v>
      </c>
      <c r="N112" s="3048">
        <v>59.153139021156584</v>
      </c>
      <c r="O112" s="1142"/>
      <c r="P112" s="3049" t="s">
        <v>2212</v>
      </c>
      <c r="Q112" s="3050">
        <v>140.72269499472043</v>
      </c>
      <c r="R112" s="1082"/>
      <c r="S112" s="3036" t="s">
        <v>1147</v>
      </c>
      <c r="T112" s="3037">
        <v>8</v>
      </c>
      <c r="V112" s="3038" t="s">
        <v>2255</v>
      </c>
      <c r="W112" s="3039">
        <v>0</v>
      </c>
      <c r="AD112" s="3001"/>
    </row>
    <row r="113" spans="3:186" x14ac:dyDescent="0.3">
      <c r="D113" s="1132" t="s">
        <v>2278</v>
      </c>
      <c r="F113" s="1149" t="s">
        <v>2244</v>
      </c>
      <c r="G113" s="1437"/>
      <c r="I113" s="1132" t="s">
        <v>2279</v>
      </c>
      <c r="J113" s="1082"/>
      <c r="K113" s="1149"/>
      <c r="L113" s="2918" t="s">
        <v>2280</v>
      </c>
      <c r="M113" s="3047">
        <v>80.574496721794105</v>
      </c>
      <c r="N113" s="3048">
        <v>23.941989557855376</v>
      </c>
      <c r="O113" s="1142"/>
      <c r="P113" s="3049" t="s">
        <v>2244</v>
      </c>
      <c r="Q113" s="3050">
        <v>144.54939666927623</v>
      </c>
      <c r="R113" s="1082"/>
      <c r="S113" s="3036" t="s">
        <v>1148</v>
      </c>
      <c r="T113" s="3037">
        <v>9</v>
      </c>
      <c r="V113" s="3040" t="s">
        <v>2253</v>
      </c>
      <c r="W113" s="3041">
        <v>0</v>
      </c>
      <c r="AD113" s="3001"/>
    </row>
    <row r="114" spans="3:186" x14ac:dyDescent="0.3">
      <c r="D114" s="1136" t="s">
        <v>1229</v>
      </c>
      <c r="F114" s="1207" t="s">
        <v>2281</v>
      </c>
      <c r="G114" s="1437"/>
      <c r="I114" s="1132" t="s">
        <v>2282</v>
      </c>
      <c r="J114" s="1082"/>
      <c r="K114" s="1149"/>
      <c r="L114" s="2918" t="s">
        <v>2266</v>
      </c>
      <c r="M114" s="3047">
        <v>55.901856334301293</v>
      </c>
      <c r="N114" s="3048">
        <v>33.368164907438498</v>
      </c>
      <c r="O114" s="1142"/>
      <c r="P114" s="3049" t="s">
        <v>2283</v>
      </c>
      <c r="Q114" s="3050">
        <v>114.99835884172802</v>
      </c>
      <c r="R114" s="1082"/>
      <c r="S114" s="3036" t="s">
        <v>1137</v>
      </c>
      <c r="T114" s="3037">
        <v>10</v>
      </c>
      <c r="V114" s="3040" t="s">
        <v>2251</v>
      </c>
      <c r="W114" s="3041">
        <v>0.05</v>
      </c>
      <c r="AD114" s="3001"/>
    </row>
    <row r="115" spans="3:186" x14ac:dyDescent="0.3">
      <c r="D115" s="1151" t="s">
        <v>1639</v>
      </c>
      <c r="F115" s="1207" t="s">
        <v>2284</v>
      </c>
      <c r="G115" s="1437"/>
      <c r="I115" s="1136" t="s">
        <v>1229</v>
      </c>
      <c r="J115" s="1082"/>
      <c r="K115" s="1149"/>
      <c r="L115" s="2918" t="s">
        <v>2285</v>
      </c>
      <c r="M115" s="3047">
        <v>21.657540364408725</v>
      </c>
      <c r="N115" s="3048">
        <v>5.2264728772206555</v>
      </c>
      <c r="O115" s="1142"/>
      <c r="P115" s="3049" t="s">
        <v>2185</v>
      </c>
      <c r="Q115" s="3050">
        <v>142.36288762432665</v>
      </c>
      <c r="R115" s="1082"/>
      <c r="S115" s="3036"/>
      <c r="T115" s="3037"/>
      <c r="V115" s="3051" t="s">
        <v>2249</v>
      </c>
      <c r="W115" s="3052">
        <v>0.05</v>
      </c>
      <c r="AD115" s="3001"/>
    </row>
    <row r="116" spans="3:186" x14ac:dyDescent="0.3">
      <c r="D116" s="2053" t="s">
        <v>24</v>
      </c>
      <c r="F116" s="1207" t="s">
        <v>2286</v>
      </c>
      <c r="G116" s="1437"/>
      <c r="J116" s="1082"/>
      <c r="K116" s="1592"/>
      <c r="L116" s="3053" t="s">
        <v>2287</v>
      </c>
      <c r="M116" s="3054">
        <v>45.853771043500764</v>
      </c>
      <c r="N116" s="3055">
        <v>49.647138438130597</v>
      </c>
      <c r="O116" s="1142"/>
      <c r="P116" s="3049" t="s">
        <v>2200</v>
      </c>
      <c r="Q116" s="3050">
        <v>90.221517550903883</v>
      </c>
      <c r="R116" s="1082"/>
      <c r="S116" s="3036"/>
      <c r="T116" s="3037"/>
      <c r="AD116" s="3001"/>
    </row>
    <row r="117" spans="3:186" x14ac:dyDescent="0.3">
      <c r="D117" s="1188" t="s">
        <v>2288</v>
      </c>
      <c r="F117" s="1184" t="s">
        <v>2289</v>
      </c>
      <c r="G117" s="1459"/>
      <c r="I117" s="2053" t="s">
        <v>2290</v>
      </c>
      <c r="J117" s="1082"/>
      <c r="K117" s="1149"/>
      <c r="L117" s="1142"/>
      <c r="M117" s="1142"/>
      <c r="N117" s="1142"/>
      <c r="O117" s="1142"/>
      <c r="P117" s="3049" t="s">
        <v>2291</v>
      </c>
      <c r="Q117" s="3050">
        <v>152.77259553196757</v>
      </c>
      <c r="R117" s="1082"/>
      <c r="S117" s="3036" t="s">
        <v>1138</v>
      </c>
      <c r="T117" s="3037">
        <v>11</v>
      </c>
      <c r="AD117" s="3001"/>
    </row>
    <row r="118" spans="3:186" x14ac:dyDescent="0.3">
      <c r="D118" s="1188" t="s">
        <v>2292</v>
      </c>
      <c r="I118" s="1114" t="s">
        <v>932</v>
      </c>
      <c r="J118" s="1082"/>
      <c r="K118" s="1149"/>
      <c r="L118" s="1142"/>
      <c r="M118" s="1142"/>
      <c r="N118" s="1142"/>
      <c r="O118" s="1142"/>
      <c r="P118" s="3049" t="s">
        <v>2293</v>
      </c>
      <c r="Q118" s="3050">
        <v>113.1637137535274</v>
      </c>
      <c r="R118" s="1082"/>
      <c r="S118" s="3056" t="s">
        <v>1139</v>
      </c>
      <c r="T118" s="3057">
        <v>12</v>
      </c>
      <c r="AD118" s="3001"/>
    </row>
    <row r="119" spans="3:186" x14ac:dyDescent="0.3">
      <c r="D119" s="1188" t="s">
        <v>2294</v>
      </c>
      <c r="J119" s="1082"/>
      <c r="K119" s="3058" t="s">
        <v>2295</v>
      </c>
      <c r="L119" s="1201"/>
      <c r="M119" s="1201"/>
      <c r="N119" s="1201"/>
      <c r="O119" s="1201"/>
      <c r="P119" s="3059" t="s">
        <v>2296</v>
      </c>
      <c r="Q119" s="3060">
        <v>126.33772086358817</v>
      </c>
      <c r="R119" s="1082"/>
    </row>
    <row r="120" spans="3:186" x14ac:dyDescent="0.3">
      <c r="D120" s="1136" t="s">
        <v>1229</v>
      </c>
      <c r="J120" s="1082"/>
      <c r="K120" s="1082"/>
      <c r="L120" s="1082"/>
      <c r="M120" s="1082"/>
      <c r="N120" s="1082"/>
      <c r="O120" s="1082"/>
      <c r="P120" s="1082"/>
      <c r="Q120" s="1082"/>
      <c r="R120" s="1082"/>
    </row>
    <row r="121" spans="3:186" s="1142" customFormat="1" x14ac:dyDescent="0.3">
      <c r="C121" s="1164" t="s">
        <v>2297</v>
      </c>
      <c r="D121" s="1127"/>
      <c r="E121" s="1127"/>
      <c r="F121" s="1127"/>
      <c r="G121" s="1127"/>
      <c r="H121" s="1127"/>
      <c r="I121" s="1127"/>
      <c r="J121" s="3061"/>
      <c r="K121" s="3061"/>
      <c r="L121" s="3061"/>
      <c r="M121" s="3061"/>
      <c r="N121" s="3061"/>
      <c r="O121" s="3061"/>
      <c r="P121" s="3061"/>
      <c r="Q121" s="3061"/>
      <c r="R121" s="3061"/>
      <c r="S121" s="1127"/>
      <c r="T121" s="1127"/>
      <c r="U121" s="1127"/>
      <c r="V121" s="1127"/>
      <c r="W121" s="1127"/>
      <c r="X121" s="1127"/>
      <c r="Y121" s="1127"/>
      <c r="Z121" s="1127"/>
      <c r="AA121" s="1127"/>
      <c r="AB121" s="1127"/>
      <c r="AC121" s="1127"/>
      <c r="AD121" s="1127"/>
      <c r="AE121" s="1127"/>
      <c r="AF121" s="1127"/>
      <c r="AG121" s="1127"/>
      <c r="AH121" s="1127"/>
      <c r="AI121" s="1127"/>
      <c r="AJ121" s="1127"/>
      <c r="AK121" s="1127"/>
      <c r="AL121" s="1127"/>
      <c r="AM121" s="1127"/>
      <c r="AN121" s="1127"/>
      <c r="AO121" s="1127"/>
      <c r="AP121" s="1127"/>
      <c r="AQ121" s="1127"/>
      <c r="AR121" s="1127"/>
      <c r="AS121" s="1127"/>
      <c r="AT121" s="1127"/>
      <c r="AU121" s="1127"/>
      <c r="AV121" s="1127"/>
      <c r="AW121" s="1127"/>
      <c r="AX121" s="1127"/>
      <c r="AY121" s="1127"/>
      <c r="AZ121" s="1127"/>
      <c r="BA121" s="1127"/>
      <c r="BB121" s="1127"/>
      <c r="BC121" s="1127"/>
      <c r="BD121" s="1127"/>
      <c r="BE121" s="1127"/>
      <c r="BF121" s="1127"/>
      <c r="BG121" s="1127"/>
      <c r="BH121" s="1127"/>
      <c r="BI121" s="1127"/>
      <c r="BJ121" s="1127"/>
      <c r="BK121" s="1127"/>
      <c r="BL121" s="1127"/>
      <c r="BM121" s="1127"/>
      <c r="BN121" s="1127"/>
      <c r="BO121" s="1127"/>
      <c r="BP121" s="1127"/>
      <c r="BQ121" s="1127"/>
      <c r="BR121" s="1127"/>
      <c r="BS121" s="1127"/>
      <c r="BT121" s="1127"/>
      <c r="BU121" s="1127"/>
      <c r="BV121" s="1127"/>
      <c r="BW121" s="1127"/>
      <c r="BX121" s="1127"/>
      <c r="BY121" s="1127"/>
      <c r="BZ121" s="1127"/>
      <c r="CA121" s="1127"/>
      <c r="CB121" s="1127"/>
      <c r="CC121" s="1127"/>
      <c r="CD121" s="1127"/>
      <c r="CE121" s="1127"/>
      <c r="CF121" s="1127"/>
      <c r="CG121" s="1127"/>
      <c r="CH121" s="1127"/>
      <c r="CI121" s="1127"/>
      <c r="CJ121" s="1127"/>
      <c r="CK121" s="1127"/>
      <c r="CL121" s="1127"/>
      <c r="CM121" s="1127"/>
      <c r="CN121" s="1127"/>
      <c r="CO121" s="1127"/>
      <c r="CP121" s="1127"/>
      <c r="CQ121" s="1127"/>
      <c r="CR121" s="1127"/>
      <c r="CS121" s="1127"/>
      <c r="CT121" s="1127"/>
      <c r="CU121" s="1127"/>
      <c r="CV121" s="1127"/>
      <c r="CW121" s="1127"/>
      <c r="CX121" s="1127"/>
      <c r="CY121" s="1127"/>
      <c r="CZ121" s="1127"/>
      <c r="DA121" s="1127"/>
      <c r="DB121" s="1127"/>
      <c r="DC121" s="1127"/>
      <c r="DD121" s="1127"/>
      <c r="DE121" s="1127"/>
      <c r="DF121" s="1127"/>
      <c r="DG121" s="1127"/>
      <c r="DH121" s="1127"/>
      <c r="DI121" s="1127"/>
      <c r="DJ121" s="1127"/>
      <c r="DK121" s="1127"/>
      <c r="DL121" s="1127"/>
      <c r="DM121" s="1127"/>
      <c r="DN121" s="1127"/>
      <c r="DO121" s="1127"/>
      <c r="DP121" s="1127"/>
      <c r="DQ121" s="1127"/>
      <c r="DR121" s="1127"/>
      <c r="DS121" s="1127"/>
      <c r="DT121" s="1127"/>
      <c r="DU121" s="1127"/>
      <c r="DV121" s="1127"/>
      <c r="DW121" s="1127"/>
      <c r="DX121" s="1127"/>
      <c r="DY121" s="1127"/>
      <c r="DZ121" s="1127"/>
      <c r="EA121" s="1127"/>
      <c r="EB121" s="1127"/>
      <c r="EC121" s="1127"/>
      <c r="ED121" s="1127"/>
      <c r="EE121" s="1127"/>
      <c r="EF121" s="1127"/>
      <c r="EG121" s="1127"/>
      <c r="EH121" s="1127"/>
      <c r="EI121" s="1127"/>
      <c r="EJ121" s="1127"/>
      <c r="EK121" s="1127"/>
      <c r="EL121" s="1127"/>
      <c r="EM121" s="1127"/>
      <c r="EN121" s="1127"/>
      <c r="EO121" s="1127"/>
      <c r="EP121" s="1127"/>
      <c r="EQ121" s="1127"/>
      <c r="ER121" s="1127"/>
      <c r="ES121" s="1127"/>
      <c r="ET121" s="1127"/>
      <c r="EU121" s="1127"/>
      <c r="EV121" s="1127"/>
      <c r="EW121" s="1127"/>
      <c r="EX121" s="1127"/>
      <c r="EY121" s="1127"/>
      <c r="EZ121" s="1127"/>
      <c r="FA121" s="1127"/>
      <c r="FB121" s="1127"/>
      <c r="FC121" s="1127"/>
      <c r="FD121" s="1127"/>
      <c r="FE121" s="1127"/>
      <c r="FF121" s="1127"/>
      <c r="FG121" s="1127"/>
      <c r="FH121" s="1127"/>
      <c r="FI121" s="1127"/>
      <c r="FJ121" s="1127"/>
      <c r="FK121" s="1127"/>
      <c r="FL121" s="1127"/>
      <c r="FM121" s="1127"/>
      <c r="FN121" s="1127"/>
      <c r="FO121" s="1127"/>
      <c r="FP121" s="1127"/>
      <c r="FQ121" s="1127"/>
      <c r="FR121" s="1127"/>
      <c r="FS121" s="1127"/>
      <c r="FT121" s="1127"/>
      <c r="FU121" s="1127"/>
      <c r="FV121" s="1127"/>
      <c r="FW121" s="1127"/>
      <c r="FX121" s="1127"/>
      <c r="FY121" s="1127"/>
      <c r="FZ121" s="1127"/>
      <c r="GA121" s="1127"/>
      <c r="GB121" s="1127"/>
      <c r="GC121" s="1127"/>
      <c r="GD121" s="1146"/>
    </row>
    <row r="122" spans="3:186" s="2136" customFormat="1" x14ac:dyDescent="0.3">
      <c r="C122" s="3062">
        <v>1</v>
      </c>
      <c r="D122" s="1564">
        <f>C122+1</f>
        <v>2</v>
      </c>
      <c r="E122" s="1564">
        <f t="shared" ref="E122:AR122" si="11">D122+1</f>
        <v>3</v>
      </c>
      <c r="F122" s="1564">
        <f t="shared" si="11"/>
        <v>4</v>
      </c>
      <c r="G122" s="1564">
        <f>F122+1</f>
        <v>5</v>
      </c>
      <c r="H122" s="1564">
        <f>G122+1</f>
        <v>6</v>
      </c>
      <c r="I122" s="1564">
        <f t="shared" si="11"/>
        <v>7</v>
      </c>
      <c r="J122" s="1564">
        <f t="shared" si="11"/>
        <v>8</v>
      </c>
      <c r="K122" s="1564">
        <f t="shared" si="11"/>
        <v>9</v>
      </c>
      <c r="L122" s="1564">
        <f t="shared" si="11"/>
        <v>10</v>
      </c>
      <c r="M122" s="1564">
        <f t="shared" si="11"/>
        <v>11</v>
      </c>
      <c r="N122" s="1564">
        <f t="shared" si="11"/>
        <v>12</v>
      </c>
      <c r="O122" s="1564">
        <f t="shared" si="11"/>
        <v>13</v>
      </c>
      <c r="P122" s="1564">
        <f t="shared" si="11"/>
        <v>14</v>
      </c>
      <c r="Q122" s="1564">
        <f t="shared" si="11"/>
        <v>15</v>
      </c>
      <c r="R122" s="1564">
        <f t="shared" si="11"/>
        <v>16</v>
      </c>
      <c r="S122" s="1564">
        <f t="shared" si="11"/>
        <v>17</v>
      </c>
      <c r="T122" s="1564">
        <f t="shared" si="11"/>
        <v>18</v>
      </c>
      <c r="U122" s="1564">
        <f t="shared" si="11"/>
        <v>19</v>
      </c>
      <c r="V122" s="1564">
        <f t="shared" si="11"/>
        <v>20</v>
      </c>
      <c r="W122" s="1564">
        <f t="shared" si="11"/>
        <v>21</v>
      </c>
      <c r="X122" s="1564">
        <f t="shared" si="11"/>
        <v>22</v>
      </c>
      <c r="Y122" s="1564"/>
      <c r="Z122" s="1564"/>
      <c r="AA122" s="1564"/>
      <c r="AB122" s="1564"/>
      <c r="AC122" s="1564"/>
      <c r="AD122" s="1564">
        <f>X122+1</f>
        <v>23</v>
      </c>
      <c r="AE122" s="1564">
        <f t="shared" si="11"/>
        <v>24</v>
      </c>
      <c r="AF122" s="1564">
        <f t="shared" si="11"/>
        <v>25</v>
      </c>
      <c r="AG122" s="1564">
        <f t="shared" si="11"/>
        <v>26</v>
      </c>
      <c r="AH122" s="1564">
        <f t="shared" si="11"/>
        <v>27</v>
      </c>
      <c r="AI122" s="1564">
        <f t="shared" si="11"/>
        <v>28</v>
      </c>
      <c r="AJ122" s="1564">
        <f t="shared" si="11"/>
        <v>29</v>
      </c>
      <c r="AK122" s="1564">
        <f t="shared" si="11"/>
        <v>30</v>
      </c>
      <c r="AL122" s="1564">
        <f t="shared" si="11"/>
        <v>31</v>
      </c>
      <c r="AM122" s="1564">
        <f t="shared" si="11"/>
        <v>32</v>
      </c>
      <c r="AN122" s="1564">
        <f t="shared" si="11"/>
        <v>33</v>
      </c>
      <c r="AO122" s="1564">
        <f t="shared" si="11"/>
        <v>34</v>
      </c>
      <c r="AP122" s="1564">
        <f t="shared" si="11"/>
        <v>35</v>
      </c>
      <c r="AQ122" s="1564">
        <f t="shared" si="11"/>
        <v>36</v>
      </c>
      <c r="AR122" s="1564">
        <f t="shared" si="11"/>
        <v>37</v>
      </c>
      <c r="AS122" s="1564"/>
      <c r="AT122" s="1564"/>
      <c r="AU122" s="1564"/>
      <c r="AV122" s="1564"/>
      <c r="AW122" s="1564"/>
      <c r="AX122" s="1564"/>
      <c r="AY122" s="1564"/>
      <c r="AZ122" s="1564"/>
      <c r="BA122" s="1564"/>
      <c r="BB122" s="1564"/>
      <c r="BC122" s="1564"/>
      <c r="BD122" s="1564"/>
      <c r="BE122" s="1564"/>
      <c r="BF122" s="1564"/>
      <c r="BG122" s="1564"/>
      <c r="BH122" s="1564"/>
      <c r="BI122" s="1564"/>
      <c r="BJ122" s="1564"/>
      <c r="BK122" s="1564"/>
      <c r="BL122" s="1564"/>
      <c r="BM122" s="1564"/>
      <c r="BN122" s="1564"/>
      <c r="BO122" s="1564"/>
      <c r="BP122" s="1564"/>
      <c r="BQ122" s="1564"/>
      <c r="BR122" s="1564"/>
      <c r="BS122" s="1564"/>
      <c r="BT122" s="1564"/>
      <c r="BU122" s="1564"/>
      <c r="BV122" s="1564"/>
      <c r="BW122" s="1564"/>
      <c r="BX122" s="1564">
        <f>AR122+1</f>
        <v>38</v>
      </c>
      <c r="BY122" s="1564">
        <f t="shared" ref="BY122:EJ122" si="12">BX122+1</f>
        <v>39</v>
      </c>
      <c r="BZ122" s="1564">
        <f t="shared" si="12"/>
        <v>40</v>
      </c>
      <c r="CA122" s="1564">
        <f t="shared" si="12"/>
        <v>41</v>
      </c>
      <c r="CB122" s="1564">
        <f t="shared" si="12"/>
        <v>42</v>
      </c>
      <c r="CC122" s="1564">
        <f t="shared" si="12"/>
        <v>43</v>
      </c>
      <c r="CD122" s="1564">
        <f t="shared" si="12"/>
        <v>44</v>
      </c>
      <c r="CE122" s="1564">
        <f t="shared" si="12"/>
        <v>45</v>
      </c>
      <c r="CF122" s="1564">
        <f t="shared" si="12"/>
        <v>46</v>
      </c>
      <c r="CG122" s="1564">
        <f t="shared" si="12"/>
        <v>47</v>
      </c>
      <c r="CH122" s="1564">
        <f t="shared" si="12"/>
        <v>48</v>
      </c>
      <c r="CI122" s="1564">
        <f t="shared" si="12"/>
        <v>49</v>
      </c>
      <c r="CJ122" s="1564">
        <f t="shared" si="12"/>
        <v>50</v>
      </c>
      <c r="CK122" s="1564">
        <f t="shared" si="12"/>
        <v>51</v>
      </c>
      <c r="CL122" s="1564">
        <f t="shared" si="12"/>
        <v>52</v>
      </c>
      <c r="CM122" s="1564">
        <f t="shared" si="12"/>
        <v>53</v>
      </c>
      <c r="CN122" s="1564">
        <f t="shared" si="12"/>
        <v>54</v>
      </c>
      <c r="CO122" s="1564">
        <f t="shared" si="12"/>
        <v>55</v>
      </c>
      <c r="CP122" s="1564">
        <f t="shared" si="12"/>
        <v>56</v>
      </c>
      <c r="CQ122" s="1564">
        <f t="shared" si="12"/>
        <v>57</v>
      </c>
      <c r="CR122" s="1564">
        <f t="shared" si="12"/>
        <v>58</v>
      </c>
      <c r="CS122" s="1564">
        <f t="shared" si="12"/>
        <v>59</v>
      </c>
      <c r="CT122" s="1564">
        <f t="shared" si="12"/>
        <v>60</v>
      </c>
      <c r="CU122" s="1564">
        <f t="shared" si="12"/>
        <v>61</v>
      </c>
      <c r="CV122" s="1564">
        <f t="shared" si="12"/>
        <v>62</v>
      </c>
      <c r="CW122" s="1564">
        <f t="shared" si="12"/>
        <v>63</v>
      </c>
      <c r="CX122" s="1564"/>
      <c r="CY122" s="1564"/>
      <c r="CZ122" s="1564"/>
      <c r="DA122" s="1564"/>
      <c r="DB122" s="1564">
        <f>CW122+1</f>
        <v>64</v>
      </c>
      <c r="DC122" s="1564">
        <f t="shared" si="12"/>
        <v>65</v>
      </c>
      <c r="DD122" s="1564">
        <f t="shared" si="12"/>
        <v>66</v>
      </c>
      <c r="DE122" s="1564">
        <f t="shared" si="12"/>
        <v>67</v>
      </c>
      <c r="DF122" s="1564">
        <f t="shared" si="12"/>
        <v>68</v>
      </c>
      <c r="DG122" s="1564">
        <f t="shared" si="12"/>
        <v>69</v>
      </c>
      <c r="DH122" s="1564">
        <f t="shared" si="12"/>
        <v>70</v>
      </c>
      <c r="DI122" s="1564">
        <f t="shared" si="12"/>
        <v>71</v>
      </c>
      <c r="DJ122" s="1564">
        <f t="shared" si="12"/>
        <v>72</v>
      </c>
      <c r="DK122" s="1564">
        <f t="shared" si="12"/>
        <v>73</v>
      </c>
      <c r="DL122" s="1564"/>
      <c r="DM122" s="1564"/>
      <c r="DN122" s="1564"/>
      <c r="DO122" s="1564"/>
      <c r="DP122" s="1564"/>
      <c r="DQ122" s="1564">
        <f>DK122+1</f>
        <v>74</v>
      </c>
      <c r="DR122" s="1564">
        <f t="shared" si="12"/>
        <v>75</v>
      </c>
      <c r="DS122" s="1564">
        <f t="shared" si="12"/>
        <v>76</v>
      </c>
      <c r="DT122" s="1564">
        <f t="shared" si="12"/>
        <v>77</v>
      </c>
      <c r="DU122" s="1564">
        <f t="shared" si="12"/>
        <v>78</v>
      </c>
      <c r="DV122" s="1564">
        <f t="shared" si="12"/>
        <v>79</v>
      </c>
      <c r="DW122" s="1564">
        <f t="shared" si="12"/>
        <v>80</v>
      </c>
      <c r="DX122" s="1564"/>
      <c r="DY122" s="1564">
        <f>DW122+1</f>
        <v>81</v>
      </c>
      <c r="DZ122" s="1564">
        <f t="shared" si="12"/>
        <v>82</v>
      </c>
      <c r="EA122" s="1564">
        <f t="shared" si="12"/>
        <v>83</v>
      </c>
      <c r="EB122" s="1564">
        <f t="shared" si="12"/>
        <v>84</v>
      </c>
      <c r="EC122" s="1564">
        <f t="shared" si="12"/>
        <v>85</v>
      </c>
      <c r="ED122" s="1564">
        <f t="shared" si="12"/>
        <v>86</v>
      </c>
      <c r="EE122" s="1564">
        <f t="shared" si="12"/>
        <v>87</v>
      </c>
      <c r="EF122" s="1564">
        <f t="shared" si="12"/>
        <v>88</v>
      </c>
      <c r="EG122" s="1564">
        <f t="shared" si="12"/>
        <v>89</v>
      </c>
      <c r="EH122" s="1564">
        <f t="shared" si="12"/>
        <v>90</v>
      </c>
      <c r="EI122" s="1564">
        <f t="shared" si="12"/>
        <v>91</v>
      </c>
      <c r="EJ122" s="1564">
        <f t="shared" si="12"/>
        <v>92</v>
      </c>
      <c r="EK122" s="1564"/>
      <c r="EL122" s="1564">
        <f>EJ122+1</f>
        <v>93</v>
      </c>
      <c r="EM122" s="1564">
        <f t="shared" ref="EM122:GD122" si="13">EL122+1</f>
        <v>94</v>
      </c>
      <c r="EN122" s="1564">
        <f t="shared" si="13"/>
        <v>95</v>
      </c>
      <c r="EO122" s="1564">
        <f t="shared" si="13"/>
        <v>96</v>
      </c>
      <c r="EP122" s="1564">
        <f t="shared" si="13"/>
        <v>97</v>
      </c>
      <c r="EQ122" s="1564">
        <f t="shared" si="13"/>
        <v>98</v>
      </c>
      <c r="ER122" s="1564">
        <f t="shared" si="13"/>
        <v>99</v>
      </c>
      <c r="ES122" s="1564"/>
      <c r="ET122" s="1564"/>
      <c r="EU122" s="1564"/>
      <c r="EV122" s="1564">
        <f>ER122+1</f>
        <v>100</v>
      </c>
      <c r="EW122" s="1564">
        <f t="shared" si="13"/>
        <v>101</v>
      </c>
      <c r="EX122" s="1564"/>
      <c r="EY122" s="1564">
        <f>EW122+1</f>
        <v>102</v>
      </c>
      <c r="EZ122" s="1564">
        <f t="shared" si="13"/>
        <v>103</v>
      </c>
      <c r="FA122" s="1564">
        <f t="shared" si="13"/>
        <v>104</v>
      </c>
      <c r="FB122" s="1564">
        <f t="shared" si="13"/>
        <v>105</v>
      </c>
      <c r="FC122" s="1564">
        <f t="shared" si="13"/>
        <v>106</v>
      </c>
      <c r="FD122" s="1564">
        <f t="shared" si="13"/>
        <v>107</v>
      </c>
      <c r="FE122" s="1564">
        <f t="shared" si="13"/>
        <v>108</v>
      </c>
      <c r="FF122" s="1564">
        <f t="shared" si="13"/>
        <v>109</v>
      </c>
      <c r="FG122" s="1564">
        <f t="shared" si="13"/>
        <v>110</v>
      </c>
      <c r="FH122" s="1564">
        <f t="shared" si="13"/>
        <v>111</v>
      </c>
      <c r="FI122" s="1564">
        <f t="shared" si="13"/>
        <v>112</v>
      </c>
      <c r="FJ122" s="1564">
        <f t="shared" si="13"/>
        <v>113</v>
      </c>
      <c r="FK122" s="1564">
        <f t="shared" si="13"/>
        <v>114</v>
      </c>
      <c r="FL122" s="1564">
        <f t="shared" si="13"/>
        <v>115</v>
      </c>
      <c r="FM122" s="1564">
        <f t="shared" si="13"/>
        <v>116</v>
      </c>
      <c r="FN122" s="1564">
        <f t="shared" si="13"/>
        <v>117</v>
      </c>
      <c r="FO122" s="1564">
        <f t="shared" si="13"/>
        <v>118</v>
      </c>
      <c r="FP122" s="1564">
        <f t="shared" si="13"/>
        <v>119</v>
      </c>
      <c r="FQ122" s="1564">
        <f t="shared" si="13"/>
        <v>120</v>
      </c>
      <c r="FR122" s="1564">
        <f t="shared" si="13"/>
        <v>121</v>
      </c>
      <c r="FS122" s="1564">
        <f t="shared" si="13"/>
        <v>122</v>
      </c>
      <c r="FT122" s="1564">
        <f t="shared" si="13"/>
        <v>123</v>
      </c>
      <c r="FU122" s="1564">
        <f t="shared" si="13"/>
        <v>124</v>
      </c>
      <c r="FV122" s="1564">
        <f t="shared" si="13"/>
        <v>125</v>
      </c>
      <c r="FW122" s="1564">
        <f t="shared" si="13"/>
        <v>126</v>
      </c>
      <c r="FX122" s="1564">
        <f t="shared" si="13"/>
        <v>127</v>
      </c>
      <c r="FY122" s="1564"/>
      <c r="FZ122" s="1564"/>
      <c r="GA122" s="1564"/>
      <c r="GB122" s="1564">
        <f>FX122+1</f>
        <v>128</v>
      </c>
      <c r="GC122" s="1564">
        <f t="shared" si="13"/>
        <v>129</v>
      </c>
      <c r="GD122" s="2452">
        <f t="shared" si="13"/>
        <v>130</v>
      </c>
    </row>
    <row r="123" spans="3:186" x14ac:dyDescent="0.3">
      <c r="C123" s="3063" t="s">
        <v>50</v>
      </c>
      <c r="D123" s="2455" t="s">
        <v>1241</v>
      </c>
      <c r="E123" s="2455" t="s">
        <v>1243</v>
      </c>
      <c r="F123" s="2455" t="s">
        <v>1245</v>
      </c>
      <c r="G123" s="2455" t="s">
        <v>1247</v>
      </c>
      <c r="H123" s="2455" t="s">
        <v>2298</v>
      </c>
      <c r="I123" s="2455" t="s">
        <v>2299</v>
      </c>
      <c r="J123" s="2455" t="s">
        <v>2300</v>
      </c>
      <c r="K123" s="2455" t="s">
        <v>2301</v>
      </c>
      <c r="L123" s="2455" t="s">
        <v>2302</v>
      </c>
      <c r="M123" s="2455" t="s">
        <v>2303</v>
      </c>
      <c r="N123" s="2455" t="s">
        <v>2304</v>
      </c>
      <c r="O123" s="2455" t="s">
        <v>743</v>
      </c>
      <c r="P123" s="3064" t="s">
        <v>2305</v>
      </c>
      <c r="Q123" s="2455" t="s">
        <v>2306</v>
      </c>
      <c r="R123" s="2810" t="s">
        <v>2307</v>
      </c>
      <c r="S123" s="2810" t="s">
        <v>2308</v>
      </c>
      <c r="T123" s="2810" t="s">
        <v>2309</v>
      </c>
      <c r="U123" s="2810" t="s">
        <v>2310</v>
      </c>
      <c r="V123" s="2810" t="s">
        <v>2311</v>
      </c>
      <c r="W123" s="2810" t="s">
        <v>2312</v>
      </c>
      <c r="X123" s="2810" t="s">
        <v>2313</v>
      </c>
      <c r="Y123" s="2810"/>
      <c r="Z123" s="2810"/>
      <c r="AA123" s="2810"/>
      <c r="AB123" s="2810"/>
      <c r="AC123" s="2810"/>
      <c r="AD123" s="2810" t="s">
        <v>2314</v>
      </c>
      <c r="AE123" s="2810" t="s">
        <v>2315</v>
      </c>
      <c r="AF123" s="2810" t="s">
        <v>2316</v>
      </c>
      <c r="AG123" s="2810" t="s">
        <v>2317</v>
      </c>
      <c r="AH123" s="2810" t="s">
        <v>1302</v>
      </c>
      <c r="AI123" s="2810" t="s">
        <v>2318</v>
      </c>
      <c r="AJ123" s="2810" t="s">
        <v>2319</v>
      </c>
      <c r="AK123" s="2810" t="s">
        <v>2320</v>
      </c>
      <c r="AL123" s="2810" t="s">
        <v>2321</v>
      </c>
      <c r="AM123" s="2810" t="s">
        <v>2322</v>
      </c>
      <c r="AN123" s="2810" t="s">
        <v>2323</v>
      </c>
      <c r="AO123" s="2810" t="s">
        <v>2324</v>
      </c>
      <c r="AP123" s="2810" t="s">
        <v>2325</v>
      </c>
      <c r="AQ123" s="2810" t="s">
        <v>2326</v>
      </c>
      <c r="AR123" s="2810" t="s">
        <v>2327</v>
      </c>
      <c r="AS123" s="2810"/>
      <c r="AT123" s="2810"/>
      <c r="AU123" s="2810"/>
      <c r="AV123" s="2810"/>
      <c r="AW123" s="2810"/>
      <c r="AX123" s="2810"/>
      <c r="AY123" s="2810"/>
      <c r="AZ123" s="2810"/>
      <c r="BA123" s="2810"/>
      <c r="BB123" s="2810"/>
      <c r="BC123" s="2810"/>
      <c r="BD123" s="2810"/>
      <c r="BE123" s="2810"/>
      <c r="BF123" s="2810"/>
      <c r="BG123" s="2810"/>
      <c r="BH123" s="2810"/>
      <c r="BI123" s="2810"/>
      <c r="BJ123" s="2810"/>
      <c r="BK123" s="2810"/>
      <c r="BL123" s="2810"/>
      <c r="BM123" s="2810"/>
      <c r="BN123" s="2810"/>
      <c r="BO123" s="2810"/>
      <c r="BP123" s="2810"/>
      <c r="BQ123" s="2810"/>
      <c r="BR123" s="2810"/>
      <c r="BS123" s="2810"/>
      <c r="BT123" s="2810"/>
      <c r="BU123" s="2810"/>
      <c r="BV123" s="2810"/>
      <c r="BW123" s="2810"/>
      <c r="BX123" s="2810" t="s">
        <v>2328</v>
      </c>
      <c r="BY123" s="2810" t="s">
        <v>2329</v>
      </c>
      <c r="BZ123" s="2810" t="s">
        <v>2330</v>
      </c>
      <c r="CA123" s="2810" t="s">
        <v>2331</v>
      </c>
      <c r="CB123" s="2810" t="s">
        <v>1008</v>
      </c>
      <c r="CC123" s="2810" t="s">
        <v>2332</v>
      </c>
      <c r="CD123" s="2810" t="s">
        <v>2333</v>
      </c>
      <c r="CE123" s="2455" t="s">
        <v>2334</v>
      </c>
      <c r="CF123" s="2455" t="s">
        <v>2335</v>
      </c>
      <c r="CG123" s="2455" t="s">
        <v>2336</v>
      </c>
      <c r="CH123" s="2455" t="s">
        <v>2337</v>
      </c>
      <c r="CI123" s="2455" t="s">
        <v>2338</v>
      </c>
      <c r="CJ123" s="2455" t="s">
        <v>2339</v>
      </c>
      <c r="CK123" s="2455" t="s">
        <v>2340</v>
      </c>
      <c r="CL123" s="2455" t="s">
        <v>2341</v>
      </c>
      <c r="CM123" s="2455" t="s">
        <v>2342</v>
      </c>
      <c r="CN123" s="2455" t="s">
        <v>1303</v>
      </c>
      <c r="CO123" s="2455" t="s">
        <v>2343</v>
      </c>
      <c r="CP123" s="2455" t="s">
        <v>2344</v>
      </c>
      <c r="CQ123" s="2455" t="s">
        <v>2345</v>
      </c>
      <c r="CR123" s="2455" t="s">
        <v>2346</v>
      </c>
      <c r="CS123" s="2455" t="s">
        <v>2347</v>
      </c>
      <c r="CT123" s="2455" t="s">
        <v>2348</v>
      </c>
      <c r="CU123" s="2455" t="s">
        <v>2349</v>
      </c>
      <c r="CV123" s="2455" t="s">
        <v>2350</v>
      </c>
      <c r="CW123" s="2455" t="s">
        <v>2351</v>
      </c>
      <c r="CX123" s="2455"/>
      <c r="CY123" s="2455"/>
      <c r="CZ123" s="2455"/>
      <c r="DA123" s="2455"/>
      <c r="DB123" s="2455" t="s">
        <v>2352</v>
      </c>
      <c r="DC123" s="2455" t="s">
        <v>2353</v>
      </c>
      <c r="DD123" s="2455" t="s">
        <v>2354</v>
      </c>
      <c r="DE123" s="2455" t="s">
        <v>2355</v>
      </c>
      <c r="DF123" s="2455" t="s">
        <v>2356</v>
      </c>
      <c r="DG123" s="2455" t="s">
        <v>2357</v>
      </c>
      <c r="DH123" s="2455" t="s">
        <v>2358</v>
      </c>
      <c r="DI123" s="2455" t="s">
        <v>2359</v>
      </c>
      <c r="DJ123" s="2455" t="s">
        <v>2360</v>
      </c>
      <c r="DK123" s="2455" t="s">
        <v>1761</v>
      </c>
      <c r="DL123" s="2455"/>
      <c r="DM123" s="2455"/>
      <c r="DN123" s="2455"/>
      <c r="DO123" s="2455"/>
      <c r="DP123" s="2455"/>
      <c r="DQ123" s="2455" t="s">
        <v>2361</v>
      </c>
      <c r="DR123" s="2455" t="s">
        <v>2362</v>
      </c>
      <c r="DS123" s="2455" t="s">
        <v>2363</v>
      </c>
      <c r="DT123" s="2455" t="s">
        <v>2364</v>
      </c>
      <c r="DU123" s="2455" t="s">
        <v>2365</v>
      </c>
      <c r="DV123" s="2455" t="s">
        <v>2366</v>
      </c>
      <c r="DW123" s="2455" t="s">
        <v>2367</v>
      </c>
      <c r="DX123" s="2455"/>
      <c r="DY123" s="2455" t="s">
        <v>1304</v>
      </c>
      <c r="DZ123" s="2455" t="s">
        <v>2368</v>
      </c>
      <c r="EA123" s="2455" t="s">
        <v>2369</v>
      </c>
      <c r="EB123" s="2455" t="s">
        <v>2370</v>
      </c>
      <c r="EC123" s="2455" t="s">
        <v>2371</v>
      </c>
      <c r="ED123" s="2455" t="s">
        <v>2372</v>
      </c>
      <c r="EE123" s="2455" t="s">
        <v>2373</v>
      </c>
      <c r="EF123" s="2455" t="s">
        <v>2374</v>
      </c>
      <c r="EG123" s="2455" t="s">
        <v>2375</v>
      </c>
      <c r="EH123" s="2455" t="s">
        <v>2376</v>
      </c>
      <c r="EI123" s="2455" t="s">
        <v>2377</v>
      </c>
      <c r="EJ123" s="2455" t="s">
        <v>2378</v>
      </c>
      <c r="EK123" s="2455"/>
      <c r="EL123" s="2455" t="s">
        <v>2379</v>
      </c>
      <c r="EM123" s="2455" t="s">
        <v>2380</v>
      </c>
      <c r="EN123" s="2455" t="s">
        <v>2381</v>
      </c>
      <c r="EO123" s="2455" t="s">
        <v>2382</v>
      </c>
      <c r="EP123" s="2455" t="s">
        <v>2383</v>
      </c>
      <c r="EQ123" s="2455" t="s">
        <v>2384</v>
      </c>
      <c r="ER123" s="2455" t="s">
        <v>2385</v>
      </c>
      <c r="ES123" s="2455"/>
      <c r="ET123" s="2455"/>
      <c r="EU123" s="2455"/>
      <c r="EV123" s="2455" t="s">
        <v>2386</v>
      </c>
      <c r="EW123" s="2455" t="s">
        <v>2387</v>
      </c>
      <c r="EX123" s="2455"/>
      <c r="EY123" s="2455" t="s">
        <v>2388</v>
      </c>
      <c r="EZ123" s="2455" t="s">
        <v>2389</v>
      </c>
      <c r="FA123" s="2455" t="s">
        <v>2390</v>
      </c>
      <c r="FB123" s="2455" t="s">
        <v>2391</v>
      </c>
      <c r="FC123" s="2455" t="s">
        <v>2392</v>
      </c>
      <c r="FD123" s="2455" t="s">
        <v>2212</v>
      </c>
      <c r="FE123" s="2455" t="s">
        <v>1306</v>
      </c>
      <c r="FF123" s="2455" t="s">
        <v>2393</v>
      </c>
      <c r="FG123" s="2455" t="s">
        <v>2394</v>
      </c>
      <c r="FH123" s="2455" t="s">
        <v>2395</v>
      </c>
      <c r="FI123" s="2455" t="s">
        <v>2396</v>
      </c>
      <c r="FJ123" s="2455" t="s">
        <v>2397</v>
      </c>
      <c r="FK123" s="2455" t="s">
        <v>2398</v>
      </c>
      <c r="FL123" s="2455" t="s">
        <v>2399</v>
      </c>
      <c r="FM123" s="2455" t="s">
        <v>2400</v>
      </c>
      <c r="FN123" s="2455" t="s">
        <v>2401</v>
      </c>
      <c r="FO123" s="2455" t="s">
        <v>2402</v>
      </c>
      <c r="FP123" s="2455" t="s">
        <v>2403</v>
      </c>
      <c r="FQ123" s="2455" t="s">
        <v>2404</v>
      </c>
      <c r="FR123" s="2455" t="s">
        <v>2405</v>
      </c>
      <c r="FS123" s="2455" t="s">
        <v>2406</v>
      </c>
      <c r="FT123" s="2455" t="s">
        <v>2185</v>
      </c>
      <c r="FU123" s="2455" t="s">
        <v>2407</v>
      </c>
      <c r="FV123" s="2455" t="s">
        <v>2408</v>
      </c>
      <c r="FW123" s="2455" t="s">
        <v>2409</v>
      </c>
      <c r="FX123" s="2455" t="s">
        <v>2410</v>
      </c>
      <c r="FY123" s="2455"/>
      <c r="FZ123" s="2455"/>
      <c r="GA123" s="2455"/>
      <c r="GB123" s="2455" t="s">
        <v>2411</v>
      </c>
      <c r="GC123" s="2455" t="s">
        <v>2412</v>
      </c>
      <c r="GD123" s="2456" t="s">
        <v>2413</v>
      </c>
    </row>
    <row r="124" spans="3:186" x14ac:dyDescent="0.3">
      <c r="J124" s="1082"/>
      <c r="K124" s="1082"/>
      <c r="L124" s="1082"/>
      <c r="M124" s="1082"/>
      <c r="N124" s="1082"/>
      <c r="O124" s="1082"/>
      <c r="P124" s="1082"/>
      <c r="Q124" s="1082"/>
      <c r="R124" s="1082"/>
    </row>
    <row r="125" spans="3:186" s="3001" customFormat="1" x14ac:dyDescent="0.3"/>
    <row r="174" spans="11:11" x14ac:dyDescent="0.3">
      <c r="K174" s="1070">
        <f>IF($N$148=1,SUM(I133)/SUM(I132),IF($N$148=2,SUM(I133:I133)/SUM(I132:I132),IF($N$148=3,SUM(I133:I133)/SUM(I132:I132),IF($N$148=4,SUM(I133:I133)/SUM(I132:I132),IF($N$148=5,SUM(I133:I133)/SUM(I132:I132),IF($N$148=6,SUM(I133:N133)/SUM(I132:N132),IF($N$148=7,SUM(I133:O133)/SUM(I132:O132),IF($N$148=8,SUM(I133:P133)/SUM(I132:O132),IF($N$148=9,SUM(I133:Q133)/SUM(I132:Q132),IF($N$148=10,SUM(I133:R133)/SUM(I132:R132),IF($N$148=11,SUM(I133:S133)/SUM(I132:S132),IF($N$148=12,SUM(I133:T133)/SUM(I132:T132),IF($N$148=13,SUM(I133:U133)/SUM(I132:U132),IF($N$148=14,SUM(I133:V133)/SUM(I132:V132),IF($N$148=15,SUM(I133:X133)/SUM(I132:X132),IF($N$148=16,SUM(I133:AD133)/SUM(I132:AD132),IF($N$148=17,SUM(I133:AE133)/SUM(I132:AE132),0)))))))))))))))))</f>
        <v>0</v>
      </c>
    </row>
    <row r="199" spans="89:91" x14ac:dyDescent="0.3">
      <c r="CK199" s="1142" t="s">
        <v>1268</v>
      </c>
      <c r="CL199" s="1142"/>
      <c r="CM199" s="1142"/>
    </row>
  </sheetData>
  <sheetProtection algorithmName="SHA-512" hashValue="MUwyT172XtTNYf1LUG57lXNIS8AJEYZE451jOepXE7AGGNOjevPbg1ZpxiFpRkdCpvri7Zp1W4/EUCrwDpOkFw==" saltValue="/Jw37LFo1ZJZpkpvTTgtGg==" spinCount="100000" sheet="1" scenarios="1" formatCells="0" formatColumns="0" formatRows="0" pivotTables="0"/>
  <mergeCells count="3">
    <mergeCell ref="D43:W43"/>
    <mergeCell ref="K106:Q106"/>
    <mergeCell ref="K107:Q107"/>
  </mergeCells>
  <pageMargins left="0" right="0.7" top="0" bottom="0" header="0" footer="0"/>
  <pageSetup scale="64"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pageSetUpPr fitToPage="1"/>
  </sheetPr>
  <dimension ref="A1:FV193"/>
  <sheetViews>
    <sheetView showGridLines="0" zoomScale="80" zoomScaleNormal="80" workbookViewId="0">
      <selection activeCell="H18" sqref="H18:AD18"/>
    </sheetView>
  </sheetViews>
  <sheetFormatPr defaultColWidth="9.109375" defaultRowHeight="14.4" x14ac:dyDescent="0.3"/>
  <cols>
    <col min="1" max="1" width="9.109375" style="1070"/>
    <col min="2" max="2" width="16.44140625" style="1070" customWidth="1"/>
    <col min="3" max="3" width="11.44140625" style="1070" customWidth="1"/>
    <col min="4" max="6" width="9.109375" style="1070"/>
    <col min="7" max="7" width="25.109375" style="1070" customWidth="1"/>
    <col min="8" max="10" width="9.109375" style="1070"/>
    <col min="11" max="11" width="20" style="1070" customWidth="1"/>
    <col min="12" max="19" width="12.88671875" style="1070" customWidth="1"/>
    <col min="20" max="21" width="15.109375" style="1070" customWidth="1"/>
    <col min="22" max="22" width="14.109375" style="1070" customWidth="1"/>
    <col min="23" max="23" width="14.33203125" style="1070" customWidth="1"/>
    <col min="24" max="24" width="9.109375" style="1070"/>
    <col min="25" max="25" width="18.5546875" style="1070" customWidth="1"/>
    <col min="26" max="26" width="15.6640625" style="1070" customWidth="1"/>
    <col min="27" max="33" width="9.5546875" style="1070" customWidth="1"/>
    <col min="34" max="34" width="9.109375" style="1070"/>
    <col min="35" max="36" width="8.88671875" style="1070" bestFit="1" customWidth="1"/>
    <col min="37" max="46" width="9.109375" style="1070"/>
    <col min="47" max="57" width="9.109375" style="1070" customWidth="1"/>
    <col min="58" max="58" width="8.5546875" style="1070" customWidth="1"/>
    <col min="59" max="66" width="9.109375" style="1070" customWidth="1"/>
    <col min="67" max="74" width="9.109375" style="1070"/>
    <col min="75" max="85" width="11.44140625" style="1070" customWidth="1"/>
    <col min="86" max="86" width="10.5546875" style="1070" bestFit="1" customWidth="1"/>
    <col min="87" max="108" width="9.109375" style="1070"/>
    <col min="109" max="109" width="13.33203125" style="1070" customWidth="1"/>
    <col min="110" max="110" width="9.109375" style="1070"/>
    <col min="111" max="111" width="11.88671875" style="1070" customWidth="1"/>
    <col min="112" max="112" width="9.109375" style="1070"/>
    <col min="113" max="113" width="11.88671875" style="1070" customWidth="1"/>
    <col min="114" max="114" width="9.109375" style="1070"/>
    <col min="115" max="115" width="11.88671875" style="1070" customWidth="1"/>
    <col min="116" max="16384" width="9.109375" style="1070"/>
  </cols>
  <sheetData>
    <row r="1" spans="1:178" s="1734" customFormat="1" x14ac:dyDescent="0.3">
      <c r="A1" s="1237" t="s">
        <v>2414</v>
      </c>
      <c r="B1" s="1237" t="s">
        <v>2415</v>
      </c>
      <c r="C1" s="1237" t="s">
        <v>2416</v>
      </c>
      <c r="D1" s="1237" t="s">
        <v>1766</v>
      </c>
      <c r="E1" s="1237" t="s">
        <v>1767</v>
      </c>
      <c r="F1" s="1237" t="s">
        <v>1768</v>
      </c>
      <c r="G1" s="1237" t="s">
        <v>1769</v>
      </c>
      <c r="H1" s="1237" t="s">
        <v>1461</v>
      </c>
      <c r="I1" s="2977" t="s">
        <v>2417</v>
      </c>
      <c r="J1" s="2977" t="s">
        <v>2418</v>
      </c>
      <c r="K1" s="2977" t="s">
        <v>2419</v>
      </c>
      <c r="L1" s="2977" t="s">
        <v>2420</v>
      </c>
      <c r="M1" s="2977" t="s">
        <v>2421</v>
      </c>
      <c r="N1" s="2977" t="s">
        <v>2422</v>
      </c>
      <c r="O1" s="2977" t="s">
        <v>1782</v>
      </c>
      <c r="P1" s="2977" t="s">
        <v>1783</v>
      </c>
      <c r="Q1" s="2977" t="s">
        <v>1784</v>
      </c>
      <c r="R1" s="2977" t="s">
        <v>660</v>
      </c>
      <c r="S1" s="2977" t="s">
        <v>674</v>
      </c>
      <c r="T1" s="2977" t="s">
        <v>1789</v>
      </c>
      <c r="U1" s="2977" t="s">
        <v>1790</v>
      </c>
      <c r="V1" s="2977" t="s">
        <v>1330</v>
      </c>
      <c r="W1" s="2979" t="s">
        <v>1811</v>
      </c>
      <c r="X1" s="2979" t="s">
        <v>1812</v>
      </c>
      <c r="Y1" s="2979" t="s">
        <v>1813</v>
      </c>
      <c r="Z1" s="2979" t="s">
        <v>1814</v>
      </c>
      <c r="AA1" s="2979" t="s">
        <v>1815</v>
      </c>
      <c r="AB1" s="2979" t="s">
        <v>1816</v>
      </c>
      <c r="AC1" s="2979" t="s">
        <v>1817</v>
      </c>
      <c r="AD1" s="2979" t="s">
        <v>1818</v>
      </c>
      <c r="AE1" s="2979" t="s">
        <v>1819</v>
      </c>
      <c r="AF1" s="2979" t="s">
        <v>1820</v>
      </c>
      <c r="AG1" s="2979" t="s">
        <v>1821</v>
      </c>
      <c r="AH1" s="2979" t="s">
        <v>1822</v>
      </c>
      <c r="AI1" s="2979" t="s">
        <v>1823</v>
      </c>
      <c r="AJ1" s="2979" t="s">
        <v>1824</v>
      </c>
      <c r="AK1" s="2979" t="s">
        <v>1825</v>
      </c>
      <c r="AL1" s="2982" t="s">
        <v>1855</v>
      </c>
      <c r="AM1" s="2982" t="s">
        <v>1856</v>
      </c>
      <c r="AN1" s="2982" t="s">
        <v>1857</v>
      </c>
      <c r="AO1" s="2982" t="s">
        <v>1858</v>
      </c>
      <c r="AP1" s="2982" t="s">
        <v>1859</v>
      </c>
      <c r="AQ1" s="2982" t="s">
        <v>1860</v>
      </c>
      <c r="AR1" s="2982" t="s">
        <v>2423</v>
      </c>
      <c r="AS1" s="2982" t="s">
        <v>2424</v>
      </c>
      <c r="AT1" s="2982" t="s">
        <v>2425</v>
      </c>
      <c r="AU1" s="2982" t="s">
        <v>2426</v>
      </c>
      <c r="AV1" s="2982" t="s">
        <v>2427</v>
      </c>
      <c r="AW1" s="2982" t="s">
        <v>2428</v>
      </c>
      <c r="AX1" s="2982" t="s">
        <v>2429</v>
      </c>
      <c r="AY1" s="2982" t="s">
        <v>2430</v>
      </c>
      <c r="AZ1" s="2982" t="s">
        <v>2431</v>
      </c>
      <c r="BA1" s="2982" t="s">
        <v>2432</v>
      </c>
      <c r="BB1" s="2982" t="s">
        <v>2433</v>
      </c>
      <c r="BC1" s="2982" t="s">
        <v>2434</v>
      </c>
      <c r="BD1" s="2982" t="s">
        <v>2435</v>
      </c>
      <c r="BE1" s="2982" t="s">
        <v>2436</v>
      </c>
      <c r="BF1" s="2982" t="s">
        <v>2437</v>
      </c>
      <c r="BG1" s="2982" t="s">
        <v>2438</v>
      </c>
      <c r="BH1" s="2982" t="s">
        <v>2439</v>
      </c>
      <c r="BI1" s="2982" t="s">
        <v>2440</v>
      </c>
      <c r="BJ1" s="2982" t="s">
        <v>2441</v>
      </c>
      <c r="BK1" s="2982" t="s">
        <v>2442</v>
      </c>
      <c r="BL1" s="2980" t="s">
        <v>1885</v>
      </c>
      <c r="BM1" s="2980" t="s">
        <v>1886</v>
      </c>
      <c r="BN1" s="2980" t="s">
        <v>1887</v>
      </c>
      <c r="BO1" s="2980" t="s">
        <v>1888</v>
      </c>
      <c r="BP1" s="2980" t="s">
        <v>1889</v>
      </c>
      <c r="BQ1" s="2980" t="s">
        <v>1890</v>
      </c>
      <c r="BR1" s="2980" t="s">
        <v>1891</v>
      </c>
      <c r="BS1" s="2980" t="s">
        <v>1892</v>
      </c>
      <c r="BT1" s="2980" t="s">
        <v>1893</v>
      </c>
      <c r="BU1" s="2980" t="s">
        <v>1894</v>
      </c>
      <c r="BV1" s="2985" t="s">
        <v>1897</v>
      </c>
      <c r="BW1" s="2985" t="s">
        <v>1338</v>
      </c>
      <c r="BX1" s="2985" t="s">
        <v>1898</v>
      </c>
      <c r="BY1" s="2985" t="s">
        <v>1899</v>
      </c>
      <c r="BZ1" s="2985" t="s">
        <v>1900</v>
      </c>
      <c r="CA1" s="2985" t="s">
        <v>1901</v>
      </c>
      <c r="CB1" s="2985" t="s">
        <v>1902</v>
      </c>
      <c r="CC1" s="2985" t="s">
        <v>2443</v>
      </c>
      <c r="CD1" s="2985" t="s">
        <v>2444</v>
      </c>
      <c r="CE1" s="2985" t="s">
        <v>2445</v>
      </c>
      <c r="CF1" s="2985" t="s">
        <v>2446</v>
      </c>
      <c r="CG1" s="2985" t="s">
        <v>2447</v>
      </c>
      <c r="CH1" s="2988" t="s">
        <v>2448</v>
      </c>
      <c r="CI1" s="2988" t="s">
        <v>2449</v>
      </c>
      <c r="CJ1" s="2988" t="s">
        <v>2450</v>
      </c>
      <c r="CK1" s="2988" t="s">
        <v>2451</v>
      </c>
      <c r="CL1" s="2988" t="s">
        <v>2452</v>
      </c>
      <c r="CM1" s="2988" t="s">
        <v>2453</v>
      </c>
      <c r="CN1" s="2977" t="s">
        <v>3</v>
      </c>
      <c r="CO1" s="2977" t="s">
        <v>2454</v>
      </c>
      <c r="CP1" s="2977" t="s">
        <v>2455</v>
      </c>
      <c r="CQ1" s="2977" t="s">
        <v>447</v>
      </c>
      <c r="CR1" s="2977" t="s">
        <v>715</v>
      </c>
      <c r="CS1" s="2977" t="s">
        <v>1275</v>
      </c>
      <c r="CT1" s="2977" t="s">
        <v>1277</v>
      </c>
      <c r="CU1" s="2977" t="s">
        <v>1279</v>
      </c>
      <c r="CV1" s="2978" t="s">
        <v>1913</v>
      </c>
      <c r="CW1" s="2978" t="s">
        <v>1914</v>
      </c>
      <c r="CX1" s="2978" t="s">
        <v>2456</v>
      </c>
      <c r="CY1" s="2978" t="s">
        <v>2457</v>
      </c>
      <c r="CZ1" s="2978" t="s">
        <v>2458</v>
      </c>
      <c r="DA1" s="2978" t="s">
        <v>2459</v>
      </c>
      <c r="DB1" s="2978" t="s">
        <v>2460</v>
      </c>
      <c r="DC1" s="2978" t="s">
        <v>1920</v>
      </c>
      <c r="DD1" s="2981" t="s">
        <v>1922</v>
      </c>
      <c r="DE1" s="2981" t="s">
        <v>1923</v>
      </c>
      <c r="DF1" s="2981" t="s">
        <v>1924</v>
      </c>
      <c r="DG1" s="2981" t="s">
        <v>1925</v>
      </c>
      <c r="DH1" s="2981" t="s">
        <v>1926</v>
      </c>
      <c r="DI1" s="2981" t="s">
        <v>1927</v>
      </c>
      <c r="DJ1" s="2981" t="s">
        <v>1928</v>
      </c>
      <c r="DK1" s="2981" t="s">
        <v>1929</v>
      </c>
      <c r="DL1" s="2982" t="s">
        <v>1933</v>
      </c>
      <c r="DM1" s="2982" t="s">
        <v>1934</v>
      </c>
      <c r="DN1" s="2982" t="s">
        <v>1935</v>
      </c>
      <c r="DO1" s="2982" t="s">
        <v>2461</v>
      </c>
      <c r="DP1" s="2982" t="s">
        <v>2462</v>
      </c>
      <c r="DQ1" s="2982" t="s">
        <v>2463</v>
      </c>
      <c r="DR1" s="2982" t="s">
        <v>2464</v>
      </c>
      <c r="DS1" s="2982" t="s">
        <v>2465</v>
      </c>
      <c r="DT1" s="2982" t="s">
        <v>2466</v>
      </c>
      <c r="DU1" s="2982" t="s">
        <v>2467</v>
      </c>
      <c r="DV1" s="2982" t="s">
        <v>2468</v>
      </c>
      <c r="DW1" s="2982" t="s">
        <v>2469</v>
      </c>
      <c r="DX1" s="2982" t="s">
        <v>1948</v>
      </c>
      <c r="DY1" s="2982" t="s">
        <v>2470</v>
      </c>
      <c r="DZ1" s="2982" t="s">
        <v>2471</v>
      </c>
      <c r="EA1" s="2982" t="s">
        <v>2472</v>
      </c>
      <c r="EB1" s="2982" t="s">
        <v>1953</v>
      </c>
      <c r="EC1" s="2982" t="s">
        <v>1954</v>
      </c>
      <c r="ED1" s="2982" t="s">
        <v>2473</v>
      </c>
      <c r="EE1" s="2982" t="s">
        <v>2474</v>
      </c>
      <c r="EF1" s="2982" t="s">
        <v>2475</v>
      </c>
      <c r="EG1" s="2982" t="s">
        <v>2476</v>
      </c>
      <c r="EH1" s="2982" t="s">
        <v>2477</v>
      </c>
      <c r="EI1" s="2982" t="s">
        <v>2478</v>
      </c>
      <c r="EJ1" s="2982" t="s">
        <v>1963</v>
      </c>
      <c r="EK1" s="2982" t="s">
        <v>1964</v>
      </c>
      <c r="EL1" s="2982" t="s">
        <v>2479</v>
      </c>
      <c r="EM1" s="2982" t="s">
        <v>2480</v>
      </c>
      <c r="EN1" s="2982" t="s">
        <v>2481</v>
      </c>
      <c r="EO1" s="2982" t="s">
        <v>2482</v>
      </c>
      <c r="EP1" s="2982" t="s">
        <v>2483</v>
      </c>
      <c r="EQ1" s="2982" t="s">
        <v>2484</v>
      </c>
      <c r="ER1" s="2978" t="s">
        <v>2485</v>
      </c>
      <c r="ES1" s="2978" t="s">
        <v>2486</v>
      </c>
      <c r="ET1" s="2978" t="s">
        <v>2487</v>
      </c>
      <c r="EU1" s="2978" t="s">
        <v>2488</v>
      </c>
      <c r="EV1" s="2978" t="s">
        <v>2489</v>
      </c>
      <c r="EW1" s="2978" t="s">
        <v>2490</v>
      </c>
      <c r="EX1" s="2978" t="s">
        <v>2491</v>
      </c>
      <c r="EY1" s="2978" t="s">
        <v>2492</v>
      </c>
      <c r="EZ1" s="2978" t="s">
        <v>2493</v>
      </c>
      <c r="FA1" s="2978" t="s">
        <v>2494</v>
      </c>
      <c r="FB1" s="2978" t="s">
        <v>2495</v>
      </c>
      <c r="FC1" s="2978" t="s">
        <v>2496</v>
      </c>
      <c r="FD1" s="2978" t="s">
        <v>2497</v>
      </c>
      <c r="FE1" s="2978" t="s">
        <v>2498</v>
      </c>
      <c r="FF1" s="2978" t="s">
        <v>2499</v>
      </c>
      <c r="FG1" s="2978" t="s">
        <v>2500</v>
      </c>
      <c r="FH1" s="2978" t="s">
        <v>2501</v>
      </c>
      <c r="FQ1" s="1734" t="s">
        <v>1461</v>
      </c>
      <c r="FR1" s="1734" t="s">
        <v>682</v>
      </c>
    </row>
    <row r="2" spans="1:178" x14ac:dyDescent="0.3">
      <c r="A2" s="1082">
        <f>Input!D11</f>
        <v>0</v>
      </c>
      <c r="B2" s="1070" t="str">
        <f>Input!$D$14</f>
        <v>Code</v>
      </c>
      <c r="C2" s="1082">
        <f>Input!$D$10</f>
        <v>0</v>
      </c>
      <c r="D2" s="2991">
        <v>2017</v>
      </c>
      <c r="E2" s="2991" t="s">
        <v>2502</v>
      </c>
      <c r="F2" s="2991">
        <v>4</v>
      </c>
      <c r="G2" s="2991" t="s">
        <v>2502</v>
      </c>
      <c r="H2" s="1070" t="str">
        <f>FR2</f>
        <v>2012</v>
      </c>
      <c r="I2" s="1070">
        <f>IF(PPT!$D$2="$ M",IFERROR(HLOOKUP($FQ2,PPT!$E$117:$BJ$119,3,0),0)*1000,IFERROR(HLOOKUP($FQ2,PPT!$E$117:$BJ$119,3,0),0))</f>
        <v>0</v>
      </c>
      <c r="J2" s="1070">
        <f>IFERROR(HLOOKUP($FQ2,Calc!$G$125:$AI$146,3,0),0)</f>
        <v>0</v>
      </c>
      <c r="K2" s="1070">
        <f>IFERROR(HLOOKUP($FQ2,Calc!$G$125:$AI$146,6,0),0)</f>
        <v>0</v>
      </c>
      <c r="L2" s="1070">
        <f>IFERROR(IF(Calc!$C$129="Dollar ($)",HLOOKUP($FQ2,Calc!$G$125:$AI$146,5,0),0),0)</f>
        <v>0</v>
      </c>
      <c r="M2" s="1070">
        <f>IFERROR(IF(Calc!$C$129="Volume (units)",HLOOKUP($FQ2,Calc!$G$125:$AI$146,5,0),0),0)</f>
        <v>0</v>
      </c>
      <c r="N2" s="1070">
        <f>IFERROR(HLOOKUP($FQ2,Calc!$G$125:$AI$146,9,0),0)</f>
        <v>0</v>
      </c>
      <c r="O2" s="1070">
        <f>IFERROR(HLOOKUP($FQ2,Calc!$G$125:$AI$146,10,0),0)</f>
        <v>0</v>
      </c>
      <c r="P2" s="1070">
        <f>IFERROR(HLOOKUP($FQ2,Calc!$G$125:$AI$146,11,0),0)</f>
        <v>0</v>
      </c>
      <c r="Q2" s="1070">
        <f>IFERROR(HLOOKUP($FQ2,Calc!$G$125:$AI$146,12,0),0)</f>
        <v>0</v>
      </c>
      <c r="R2" s="1070">
        <f>IFERROR(HLOOKUP($FQ2,Calc!$G$125:$AI$146,13,0),0)</f>
        <v>0</v>
      </c>
      <c r="S2" s="1070">
        <f>IFERROR(HLOOKUP($FQ2,Calc!$G$125:$AI$146,17,0),0)</f>
        <v>0</v>
      </c>
      <c r="T2" s="1070">
        <f>IFERROR(HLOOKUP($FQ2,Calc!$G$125:$AI$146,19,0),0)</f>
        <v>0</v>
      </c>
      <c r="U2" s="1070">
        <f>IFERROR(HLOOKUP($FQ2,Calc!$G$125:$AI$146,20,0),0)</f>
        <v>0</v>
      </c>
      <c r="V2" s="1070">
        <f>IFERROR(HLOOKUP($FQ2,Calc!$G$125:$AI$146,21,0),0)</f>
        <v>0</v>
      </c>
      <c r="W2" s="1070">
        <f>IFERROR(HLOOKUP($FQ2,Calc!$F$151:$P$166,2,0),0)</f>
        <v>0</v>
      </c>
      <c r="X2" s="1070">
        <f>IFERROR(HLOOKUP($FQ2,Calc!$F$151:$P$166,3,0),0)</f>
        <v>0</v>
      </c>
      <c r="Y2" s="1070">
        <f>IFERROR(HLOOKUP($FQ2,Calc!$F$151:$P$166,4,0),0)</f>
        <v>0</v>
      </c>
      <c r="Z2" s="1070">
        <f>IFERROR(HLOOKUP($FQ2,Calc!$F$151:$P$166,5,0),0)</f>
        <v>0</v>
      </c>
      <c r="AA2" s="1070">
        <f>IFERROR(HLOOKUP($FQ2,Calc!$F$151:$P$166,6,0),0)</f>
        <v>0</v>
      </c>
      <c r="AB2" s="1070">
        <f>IFERROR(HLOOKUP($FQ2,Calc!$F$151:$P$166,7,0),0)</f>
        <v>0</v>
      </c>
      <c r="AC2" s="1070">
        <f>IFERROR(HLOOKUP($FQ2,Calc!$F$151:$P$166,8,0),0)</f>
        <v>0</v>
      </c>
      <c r="AD2" s="1070">
        <f>IFERROR(HLOOKUP($FQ2,Calc!$F$151:$P$166,9,0),0)</f>
        <v>0</v>
      </c>
      <c r="AE2" s="1070">
        <f>IFERROR(HLOOKUP($FQ2,Calc!$F$151:$P$166,10,0),0)</f>
        <v>0</v>
      </c>
      <c r="AF2" s="1070">
        <f>IFERROR(HLOOKUP($FQ2,Calc!$F$151:$P$166,11,0),0)</f>
        <v>0</v>
      </c>
      <c r="AG2" s="1070">
        <f>IFERROR(HLOOKUP($FQ2,Calc!$F$151:$P$166,12,0),0)</f>
        <v>0</v>
      </c>
      <c r="AH2" s="1070">
        <f>IFERROR(HLOOKUP($FQ2,Calc!$F$151:$P$166,13,0),0)</f>
        <v>0</v>
      </c>
      <c r="AI2" s="1070">
        <f>IFERROR(HLOOKUP($FQ2,Calc!$F$151:$P$166,14,0),0)</f>
        <v>0</v>
      </c>
      <c r="AJ2" s="1070">
        <f>IFERROR(HLOOKUP($FQ2,Calc!$F$151:$P$166,15,0),0)</f>
        <v>0</v>
      </c>
      <c r="AK2" s="1070">
        <f>IFERROR(HLOOKUP($FQ2,Calc!$F$151:$P$166,16,0),0)</f>
        <v>0</v>
      </c>
      <c r="AL2" s="1070">
        <f>IF(ISNUMBER(Calc!F176),Calc!F176,0)</f>
        <v>0.2026446052778943</v>
      </c>
      <c r="AM2" s="1070">
        <f>IF(ISNUMBER(Calc!F185),Calc!F185,0)</f>
        <v>0.39797793228123157</v>
      </c>
      <c r="AN2" s="1070">
        <f>IF(ISNUMBER(Calc!F177),Calc!F177,0)</f>
        <v>21754.779690810261</v>
      </c>
      <c r="AO2" s="1070">
        <f>IF(ISNUMBER(Calc!F186),Calc!F186,0)</f>
        <v>156812.43363929371</v>
      </c>
      <c r="AP2" s="1070">
        <f>IF(ISNUMBER(Calc!K176),Calc!K176,0)</f>
        <v>0.26443581159256935</v>
      </c>
      <c r="AQ2" s="1070">
        <f>IF(ISNUMBER(Calc!K177),Calc!K177,0)</f>
        <v>101683.22203437473</v>
      </c>
      <c r="AR2" s="1070">
        <f>IF(ISNUMBER(Calc!G176),Calc!G176,0)</f>
        <v>0</v>
      </c>
      <c r="AS2" s="1070">
        <f>IF(ISNUMBER(Calc!G185),Calc!G185,0)</f>
        <v>0</v>
      </c>
      <c r="AT2" s="1070">
        <f>IF(ISNUMBER(Calc!G177),Calc!G177,0)</f>
        <v>0</v>
      </c>
      <c r="AU2" s="1070">
        <f>IF(ISNUMBER(Calc!G186),Calc!G186,0)</f>
        <v>0</v>
      </c>
      <c r="AV2" s="1070">
        <f>IF(ISNUMBER(Calc!L176),Calc!L176,0)</f>
        <v>0</v>
      </c>
      <c r="AW2" s="1070">
        <f>IF(ISNUMBER(Calc!L177),Calc!L177,0)</f>
        <v>0</v>
      </c>
      <c r="AX2" s="1070">
        <f>IF(ISNUMBER(Calc!H176),Calc!H176,0)</f>
        <v>0</v>
      </c>
      <c r="AY2" s="1070">
        <f>IF(ISNUMBER(Calc!H185),Calc!H185,0)</f>
        <v>0</v>
      </c>
      <c r="AZ2" s="1070">
        <f>IF(ISNUMBER(Calc!H177),Calc!H177,0)</f>
        <v>0</v>
      </c>
      <c r="BA2" s="1070">
        <f>IF(ISNUMBER(Calc!H186),Calc!H186,0)</f>
        <v>0</v>
      </c>
      <c r="BB2" s="1070">
        <f>IF(ISNUMBER(Calc!M176),Calc!M176,0)</f>
        <v>0</v>
      </c>
      <c r="BC2" s="1070">
        <f>IF(ISNUMBER(Calc!M177),Calc!M177,0)</f>
        <v>0</v>
      </c>
      <c r="BD2" s="1070">
        <f>IF(ISNUMBER(Calc!I176),Calc!I176,0)</f>
        <v>0.2026446052778943</v>
      </c>
      <c r="BE2" s="1070">
        <f>IF(ISNUMBER(Calc!I185),Calc!I185,0)</f>
        <v>0.39797793228123157</v>
      </c>
      <c r="BF2" s="1070">
        <f>IF(ISNUMBER(Calc!I177),Calc!I177,0)</f>
        <v>21754.779690810261</v>
      </c>
      <c r="BG2" s="1070">
        <f>IF(ISNUMBER(Calc!I186),Calc!I186,0)</f>
        <v>156812.43363929371</v>
      </c>
      <c r="BH2" s="1070">
        <f>IF(ISNUMBER(Calc!N176),Calc!N176,0)</f>
        <v>0.26443581159256935</v>
      </c>
      <c r="BI2" s="1070">
        <f>IF(ISNUMBER(Calc!N177),Calc!N177,0)</f>
        <v>101683.22203437473</v>
      </c>
      <c r="BJ2" s="1070">
        <f>IF(ISNUMBER(Calc!J176),Calc!J176,0)</f>
        <v>0</v>
      </c>
      <c r="BK2" s="1070">
        <f>IF(ISNUMBER(Calc!J177),Calc!J177,0)</f>
        <v>0</v>
      </c>
      <c r="BL2" s="1070">
        <f>IF(ISNUMBER(Calc!T153),Calc!T153,0)</f>
        <v>0</v>
      </c>
      <c r="BM2" s="1070">
        <f>IF(ISNUMBER(Calc!T154),Calc!T154,0)</f>
        <v>0</v>
      </c>
      <c r="BN2" s="1070">
        <f>IF(ISNUMBER(Calc!T155),Calc!T155,0)</f>
        <v>0</v>
      </c>
      <c r="BO2" s="1070">
        <f>IF(ISNUMBER(Calc!T156),Calc!T156,0)</f>
        <v>0</v>
      </c>
      <c r="BP2" s="1070">
        <f>IF(ISNUMBER(Calc!T161),Calc!T161,0)</f>
        <v>0</v>
      </c>
      <c r="BQ2" s="1070">
        <f>IF(ISNUMBER(Calc!U153),Calc!U153,0)</f>
        <v>0</v>
      </c>
      <c r="BR2" s="1070">
        <f>IF(ISNUMBER(Calc!U154),Calc!U154,0)</f>
        <v>0</v>
      </c>
      <c r="BS2" s="1070">
        <f>IF(ISNUMBER(Calc!U155),Calc!U155,0)</f>
        <v>0</v>
      </c>
      <c r="BT2" s="1070">
        <f>IF(ISNUMBER(Calc!U156),Calc!U156,0)</f>
        <v>0</v>
      </c>
      <c r="BU2" s="1070">
        <f>IF(ISNUMBER(Calc!U161),Calc!U161,0)</f>
        <v>0</v>
      </c>
      <c r="BV2" s="2993" t="str">
        <f>Input!D55</f>
        <v>N/A</v>
      </c>
      <c r="BW2" s="2992" t="str">
        <f>IFERROR(IF(Input!D57="Feb",DATE("20"&amp;Input!E57,VLOOKUP(Input!D57,$S$100:$T$113,2,0),28),DATE("20"&amp;Input!E57,VLOOKUP(Input!D57,$S$100:$T$113,2,0),30)),"No")</f>
        <v>No</v>
      </c>
      <c r="BX2" s="2992" t="str">
        <f>IFERROR(IF(Input!D58="Feb",DATE("20"&amp;Input!E58,VLOOKUP(Input!D58,$S$100:$T$113,2,0),28),DATE("20"&amp;Input!E58,VLOOKUP(Input!D58,$S$100:$T$113,2,0),30)),"No")</f>
        <v>No</v>
      </c>
      <c r="BY2" s="2992" t="str">
        <f>IFERROR(IF(Input!D59="Feb",DATE("20"&amp;Input!E59,VLOOKUP(Input!D59,$S$100:$T$113,2,0),28),DATE("20"&amp;Input!E59,VLOOKUP(Input!D59,$S$100:$T$113,2,0),30)),"No")</f>
        <v>No</v>
      </c>
      <c r="BZ2" s="2992" t="str">
        <f>IFERROR(IF(Input!D61="Feb",DATE("20"&amp;Input!E61,VLOOKUP(Input!D61,$S$100:$T$113,2,0),28),DATE("20"&amp;Input!E61,VLOOKUP(Input!D61,$S$100:$T$113,2,0),30)),"No")</f>
        <v>No</v>
      </c>
      <c r="CA2" s="2992" t="str">
        <f>IFERROR(IF(Input!D62="Feb",DATE("20"&amp;Input!E62,VLOOKUP(Input!D62,$S$100:$T$113,2,0),28),DATE("20"&amp;Input!E62,VLOOKUP(Input!D62,$S$100:$T$113,2,0),30)),"No")</f>
        <v>No</v>
      </c>
      <c r="CB2" s="2992" t="str">
        <f>IFERROR(IF(Input!D63="Feb",DATE("20"&amp;Input!E63,VLOOKUP(Input!D63,$S$100:$T$113,2,0),28),DATE("20"&amp;Input!E63,VLOOKUP(Input!D63,$S$100:$T$113,2,0),30)),"No")</f>
        <v>No</v>
      </c>
      <c r="CC2" s="2992" t="str">
        <f>IFERROR(IF(Input!F58="Feb",DATE("20"&amp;Input!H58,VLOOKUP(Input!F58,$S$100:$T$113,2,0),28),DATE("20"&amp;Input!H58,VLOOKUP(Input!F58,$S$100:$T$113,2,0),30)),"No")</f>
        <v>No</v>
      </c>
      <c r="CD2" s="2992" t="str">
        <f>IFERROR(IF(Input!F59="Feb",DATE("20"&amp;Input!H59,VLOOKUP(Input!F59,$S$100:$T$113,2,0),28),DATE("20"&amp;Input!H59,VLOOKUP(Input!F59,$S$100:$T$113,2,0),30)),"No")</f>
        <v>No</v>
      </c>
      <c r="CE2" s="2992" t="str">
        <f>IFERROR(IF(Input!F61="Feb",DATE("20"&amp;Input!H61,VLOOKUP(Input!F61,$S$100:$T$113,2,0),28),DATE("20"&amp;Input!H61,VLOOKUP(Input!F61,$S$100:$T$113,2,0),30)),"No")</f>
        <v>No</v>
      </c>
      <c r="CF2" s="2992" t="str">
        <f>IFERROR(IF(Input!F62="Feb",DATE("20"&amp;Input!H62,VLOOKUP(Input!F62,$S$100:$T$113,2,0),28),DATE("20"&amp;Input!H62,VLOOKUP(Input!F62,$S$100:$T$113,2,0),30)),"No")</f>
        <v>No</v>
      </c>
      <c r="CG2" s="2992" t="str">
        <f>IFERROR(IF(Input!F63="Feb",DATE("20"&amp;Input!H63,VLOOKUP(Input!F63,$S$100:$T$113,2,0),28),DATE("20"&amp;Input!H63,VLOOKUP(Input!F63,$S$100:$T$113,2,0),30)),"No")</f>
        <v>No</v>
      </c>
      <c r="CH2" s="2296">
        <f>IF(ISNUMBER(Current_Prior!H226),Current_Prior!H226,0)</f>
        <v>0</v>
      </c>
      <c r="CI2" s="1082">
        <f>IF(ISNUMBER(Current_Prior!H227),Current_Prior!H227,0)</f>
        <v>0</v>
      </c>
      <c r="CJ2" s="1082">
        <f>IF(ISNUMBER(Current_Prior!H228),Current_Prior!H228,0)</f>
        <v>0</v>
      </c>
      <c r="CK2" s="1082">
        <f>IF(ISNUMBER(Current_Prior!H229),Current_Prior!H229,0)</f>
        <v>0</v>
      </c>
      <c r="CL2" s="1082">
        <f>IF(ISNUMBER(Current_Prior!H230),Current_Prior!H230,0)</f>
        <v>0</v>
      </c>
      <c r="CM2" s="1082">
        <f>IF(ISNUMBER(Current_Prior!H231),Current_Prior!H231,0)</f>
        <v>21.75477969081026</v>
      </c>
      <c r="CN2" s="2993">
        <f>Input!D66</f>
        <v>0.28000000000000003</v>
      </c>
      <c r="CO2" s="2993">
        <f>Input!D68</f>
        <v>0.15</v>
      </c>
      <c r="CP2" s="2993">
        <f>Input!D69</f>
        <v>0.15</v>
      </c>
      <c r="CQ2" s="2993" t="str">
        <f>Input!D70</f>
        <v>N/A</v>
      </c>
      <c r="CR2" s="2993" t="str">
        <f>Input!D71</f>
        <v>N/A</v>
      </c>
      <c r="CS2" s="2993">
        <f>Input!D72</f>
        <v>0.08</v>
      </c>
      <c r="CT2" s="2993">
        <f>Input!D73</f>
        <v>0.125</v>
      </c>
      <c r="CU2" s="2993">
        <f>Input!D74</f>
        <v>0.02</v>
      </c>
      <c r="CV2" s="1070" t="str">
        <f>Input!B81</f>
        <v>SMS Name</v>
      </c>
      <c r="CW2" s="1070" t="e">
        <f>Input!D82</f>
        <v>#N/A</v>
      </c>
      <c r="CX2" s="1070" t="e">
        <f>Input!D83</f>
        <v>#N/A</v>
      </c>
      <c r="CY2" s="2993" t="e">
        <f>Input!D84</f>
        <v>#N/A</v>
      </c>
      <c r="CZ2" s="1070" t="e">
        <f>Input!D85</f>
        <v>#N/A</v>
      </c>
      <c r="DA2" s="2993" t="e">
        <f>Input!D86</f>
        <v>#N/A</v>
      </c>
      <c r="DB2" s="2993" t="e">
        <f>Input!D87</f>
        <v>#N/A</v>
      </c>
      <c r="DC2" s="2993" t="str">
        <f>Input!D88</f>
        <v>N/A</v>
      </c>
      <c r="DD2" s="1070" t="str">
        <f>PPT!CH197</f>
        <v>AA</v>
      </c>
      <c r="DE2" s="1070" t="str">
        <f>IF(OR(Input!D99="N/A",Input!E99="N/A")=TRUE,"N/A",TEXT(VLOOKUP(Input!D99,$S$100:$T$113,2,0)&amp;"/28/"&amp;"20"&amp;Input!E99,"mm/dd/yyyy"))</f>
        <v>N/A</v>
      </c>
      <c r="DF2" s="1070" t="str">
        <f>PPT!CH199</f>
        <v>BB</v>
      </c>
      <c r="DG2" s="1070" t="str">
        <f>IF(OR(Input!D99="N/A",Input!E101="N/A")=TRUE,"N/A",TEXT(VLOOKUP(Input!D101,$S$100:$T$113,2,0)&amp;"/28/"&amp;"20"&amp;Input!E101,"mm/dd/yyyy"))</f>
        <v>N/A</v>
      </c>
      <c r="DH2" s="1070" t="str">
        <f>PPT!CH201</f>
        <v>CC</v>
      </c>
      <c r="DI2" s="1070" t="str">
        <f>IF(OR(Input!D99="N/A",Input!E103="N/A")=TRUE,"N/A",TEXT(VLOOKUP(Input!D103,$S$100:$T$113,2,0)&amp;"/28/"&amp;"20"&amp;Input!E103,"mm/dd/yyyy"))</f>
        <v>N/A</v>
      </c>
      <c r="DJ2" s="1070" t="str">
        <f>PPT!CH203</f>
        <v>DD</v>
      </c>
      <c r="DK2" s="1070" t="str">
        <f>IF(OR(Input!D99="N/A",Input!E105="N/A")=TRUE,"N/A",TEXT(VLOOKUP(Input!D105,$S$100:$T$113,2,0)&amp;"/28/"&amp;"20"&amp;Input!E105,"mm/dd/yyyy"))</f>
        <v>N/A</v>
      </c>
      <c r="DL2" s="1070">
        <f>IF(ISNUMBER(Calc!F178),Calc!F178,0)</f>
        <v>0.2881407355329082</v>
      </c>
      <c r="DM2" s="1070">
        <f>IF(ISNUMBER(Calc!F187),Calc!F187,0)</f>
        <v>0.56141254674211405</v>
      </c>
      <c r="DN2" s="1070">
        <f>IF(ISNUMBER(Calc!K178),Calc!K178,0)</f>
        <v>0.42231168354147464</v>
      </c>
      <c r="DO2" s="1070">
        <f>IF(ISNUMBER(Calc!G178),Calc!G178,0)</f>
        <v>0</v>
      </c>
      <c r="DP2" s="1070">
        <f>IF(ISNUMBER(Calc!G187),Calc!G187,0)</f>
        <v>0</v>
      </c>
      <c r="DQ2" s="1070">
        <f>IF(ISNUMBER(Calc!L178),Calc!L178,0)</f>
        <v>0</v>
      </c>
      <c r="DR2" s="1070">
        <f>IF(ISNUMBER(Calc!H178),Calc!H178,0)</f>
        <v>0</v>
      </c>
      <c r="DS2" s="1070">
        <f>IF(ISNUMBER(Calc!H187),Calc!H187,0)</f>
        <v>0</v>
      </c>
      <c r="DT2" s="1070">
        <f>IF(ISNUMBER(Calc!M178),Calc!M178,0)</f>
        <v>0</v>
      </c>
      <c r="DU2" s="1070">
        <f>IF(ISNUMBER(Calc!I178),Calc!I178,0)</f>
        <v>0.2881407355329082</v>
      </c>
      <c r="DV2" s="1070">
        <f>IF(ISNUMBER(Calc!I187),Calc!I187,0)</f>
        <v>0.56141254674211405</v>
      </c>
      <c r="DW2" s="1070">
        <f>IF(ISNUMBER(Calc!N178),Calc!N178,0)</f>
        <v>0.42231168354147464</v>
      </c>
      <c r="DX2" s="1070">
        <f>IF(ISNUMBER(Calc!F181),Calc!F181,0)</f>
        <v>7.9653642283748729</v>
      </c>
      <c r="DY2" s="1070">
        <f>IF(ISNUMBER(Calc!G181),Calc!G181,0)</f>
        <v>0</v>
      </c>
      <c r="DZ2" s="1070">
        <f>IF(ISNUMBER(Calc!H181),Calc!H181,0)</f>
        <v>0</v>
      </c>
      <c r="EA2" s="1070">
        <f>IF(ISNUMBER(Calc!I181),Calc!I181,0)</f>
        <v>7.9653642283748729</v>
      </c>
      <c r="EB2" s="1070">
        <f>IF(ISNUMBER(Calc!F179),Calc!F179,0)</f>
        <v>6.999354029413654</v>
      </c>
      <c r="EC2" s="1070">
        <f>IF(ISNUMBER(Calc!K179),Calc!K179,0)</f>
        <v>28.329794387132377</v>
      </c>
      <c r="ED2" s="1070">
        <f>IF(ISNUMBER(Calc!G179),Calc!G179,0)</f>
        <v>0</v>
      </c>
      <c r="EE2" s="1070">
        <f>IF(ISNUMBER(Calc!L179),Calc!L179,0)</f>
        <v>0</v>
      </c>
      <c r="EF2" s="1070">
        <f>IF(ISNUMBER(Calc!H179),Calc!H179,0)</f>
        <v>0</v>
      </c>
      <c r="EG2" s="1070">
        <f>IF(ISNUMBER(Calc!M179),Calc!M179,0)</f>
        <v>0</v>
      </c>
      <c r="EH2" s="1070">
        <f>IF(ISNUMBER(Calc!I179),Calc!I179,0)</f>
        <v>6.999354029413654</v>
      </c>
      <c r="EI2" s="1070">
        <f>IF(ISNUMBER(Calc!N179),Calc!N179,0)</f>
        <v>28.329794387132377</v>
      </c>
      <c r="EJ2" s="1070">
        <f>IF(ISNUMBER(Calc!F180),Calc!F180,0)</f>
        <v>2.9944012267133724</v>
      </c>
      <c r="EK2" s="1070">
        <f>IF(ISNUMBER(Calc!K180),Calc!K180,0)</f>
        <v>9.6401398588075651</v>
      </c>
      <c r="EL2" s="1070">
        <f>IF(ISNUMBER(Calc!G180),Calc!G180,0)</f>
        <v>0</v>
      </c>
      <c r="EM2" s="1070">
        <f>IF(ISNUMBER(Calc!L180),Calc!L180,0)</f>
        <v>0</v>
      </c>
      <c r="EN2" s="1070">
        <f>IF(ISNUMBER(Calc!H180),Calc!H180,0)</f>
        <v>0</v>
      </c>
      <c r="EO2" s="1070">
        <f>IF(ISNUMBER(Calc!M180),Calc!M180,0)</f>
        <v>0</v>
      </c>
      <c r="EP2" s="1070">
        <f>IF(ISNUMBER(Calc!I180),Calc!I180,0)</f>
        <v>2.9944012267133724</v>
      </c>
      <c r="EQ2" s="1070">
        <f>IF(ISNUMBER(Calc!N180),Calc!N180,0)</f>
        <v>9.6401398588075651</v>
      </c>
      <c r="ER2" s="1070">
        <f>IF(ISNUMBER(Calc!J176),Calc!J176,0)</f>
        <v>0</v>
      </c>
      <c r="ES2" s="1070">
        <f>IF(ISNUMBER(Calc!J185),Calc!J185,0)</f>
        <v>0</v>
      </c>
      <c r="ET2" s="1070">
        <f>IF(ISNUMBER(Calc!J178),Calc!J178,0)</f>
        <v>0</v>
      </c>
      <c r="EU2" s="1070">
        <f>IF(ISNUMBER(Calc!J187),Calc!J187,0)</f>
        <v>0</v>
      </c>
      <c r="EV2" s="1070">
        <f>IF(ISNUMBER(Calc!J177),Calc!J177,0)</f>
        <v>0</v>
      </c>
      <c r="EW2" s="1070">
        <f>IF(ISNUMBER(Calc!J186),Calc!J186,0)</f>
        <v>0</v>
      </c>
      <c r="EX2" s="1070">
        <f>IF(ISNUMBER(Calc!J179),Calc!J179,0)</f>
        <v>0</v>
      </c>
      <c r="EY2" s="1070">
        <f>IF(ISNUMBER(Calc!J180),Calc!J180,0)</f>
        <v>0</v>
      </c>
      <c r="EZ2" s="1070">
        <f>IF(ISNUMBER(Calc!J181),Calc!J181,0)</f>
        <v>0</v>
      </c>
      <c r="FA2" s="1070">
        <f>IF(ISNUMBER(Calc!$O176),Calc!$O176,0)</f>
        <v>0</v>
      </c>
      <c r="FC2" s="1070">
        <f>IF(ISNUMBER(Calc!O178),Calc!O178,0)</f>
        <v>0</v>
      </c>
      <c r="FE2" s="1070">
        <f>IF(ISNUMBER(Calc!O177),Calc!O177,0)</f>
        <v>0</v>
      </c>
      <c r="FG2" s="1070">
        <f>IF(ISNUMBER(Calc!O179),Calc!O179,0)</f>
        <v>0</v>
      </c>
      <c r="FH2" s="1070">
        <f>IF(ISNUMBER(Calc!O180),Calc!O180,0)</f>
        <v>0</v>
      </c>
      <c r="FI2" s="1734"/>
      <c r="FP2" s="1082">
        <v>12</v>
      </c>
      <c r="FQ2" s="1082" t="str">
        <f t="shared" ref="FQ2:FQ28" si="0">"FY"&amp;FP2</f>
        <v>FY12</v>
      </c>
      <c r="FR2" s="1070" t="str">
        <f>"20"&amp;RIGHT(FQ2,2)</f>
        <v>2012</v>
      </c>
      <c r="FU2" s="1070" t="s">
        <v>1300</v>
      </c>
    </row>
    <row r="3" spans="1:178" x14ac:dyDescent="0.3">
      <c r="A3" s="1070">
        <f>A2</f>
        <v>0</v>
      </c>
      <c r="B3" s="1070" t="str">
        <f t="shared" ref="B3:G18" si="1">B2</f>
        <v>Code</v>
      </c>
      <c r="C3" s="1070">
        <f t="shared" si="1"/>
        <v>0</v>
      </c>
      <c r="D3" s="1070">
        <f t="shared" si="1"/>
        <v>2017</v>
      </c>
      <c r="E3" s="1070" t="str">
        <f t="shared" si="1"/>
        <v>ASR</v>
      </c>
      <c r="F3" s="1070">
        <f t="shared" si="1"/>
        <v>4</v>
      </c>
      <c r="G3" s="1070" t="str">
        <f t="shared" si="1"/>
        <v>ASR</v>
      </c>
      <c r="H3" s="1070" t="str">
        <f t="shared" ref="H3:H28" si="2">FR3</f>
        <v>2013</v>
      </c>
      <c r="I3" s="1070">
        <f>IF(PPT!$D$2="$ M",IFERROR(HLOOKUP($FQ3,PPT!$E$117:$BJ$119,3,0),0)*1000,IFERROR(HLOOKUP($FQ3,PPT!$E$117:$BJ$119,3,0),0))</f>
        <v>0</v>
      </c>
      <c r="J3" s="1070">
        <f>IFERROR(HLOOKUP($FQ3,Calc!$G$125:$AI$146,3,0),0)</f>
        <v>0</v>
      </c>
      <c r="K3" s="1070">
        <f>IFERROR(HLOOKUP($FQ3,Calc!$G$125:$AI$146,6,0),0)</f>
        <v>0</v>
      </c>
      <c r="L3" s="1070">
        <f>IFERROR(IF(Calc!$C$129="Dollar ($)",HLOOKUP($FQ3,Calc!$G$125:$AI$146,5,0),0),0)</f>
        <v>0</v>
      </c>
      <c r="M3" s="1070">
        <f>IFERROR(IF(Calc!$C$129="Volume (units)",HLOOKUP($FQ3,Calc!$G$125:$AI$146,5,0),0),0)</f>
        <v>0</v>
      </c>
      <c r="N3" s="1070">
        <f>IFERROR(HLOOKUP($FQ3,Calc!$G$125:$AI$146,9,0),0)</f>
        <v>0</v>
      </c>
      <c r="O3" s="1070">
        <f>IFERROR(HLOOKUP($FQ3,Calc!$G$125:$AI$146,10,0),0)</f>
        <v>0</v>
      </c>
      <c r="P3" s="1070">
        <f>IFERROR(HLOOKUP($FQ3,Calc!$G$125:$AI$146,11,0),0)</f>
        <v>0</v>
      </c>
      <c r="Q3" s="1070">
        <f>IFERROR(HLOOKUP($FQ3,Calc!$G$125:$AI$146,12,0),0)</f>
        <v>0</v>
      </c>
      <c r="R3" s="1070">
        <f>IFERROR(HLOOKUP($FQ3,Calc!$G$125:$AI$146,13,0),0)</f>
        <v>0</v>
      </c>
      <c r="S3" s="1070">
        <f>IFERROR(HLOOKUP($FQ3,Calc!$G$125:$AI$146,17,0),0)</f>
        <v>0</v>
      </c>
      <c r="T3" s="1070">
        <f>IFERROR(HLOOKUP($FQ3,Calc!$G$125:$AI$146,19,0),0)</f>
        <v>0</v>
      </c>
      <c r="U3" s="1070">
        <f>IFERROR(HLOOKUP($FQ3,Calc!$G$125:$AI$146,20,0),0)</f>
        <v>0</v>
      </c>
      <c r="V3" s="1070">
        <f>IFERROR(HLOOKUP($FQ3,Calc!$G$125:$AI$146,21,0),0)</f>
        <v>0</v>
      </c>
      <c r="W3" s="1070">
        <f>IFERROR(HLOOKUP($FQ3,Calc!$F$151:$P$166,2,0),0)</f>
        <v>0</v>
      </c>
      <c r="X3" s="1070">
        <f>IFERROR(HLOOKUP($FQ3,Calc!$F$151:$P$166,3,0),0)</f>
        <v>0</v>
      </c>
      <c r="Y3" s="1070">
        <f>IFERROR(HLOOKUP($FQ3,Calc!$F$151:$P$166,4,0),0)</f>
        <v>0</v>
      </c>
      <c r="Z3" s="1070">
        <f>IFERROR(HLOOKUP($FQ3,Calc!$F$151:$P$166,5,0),0)</f>
        <v>0</v>
      </c>
      <c r="AA3" s="1070">
        <f>IFERROR(HLOOKUP($FQ3,Calc!$F$151:$P$166,6,0),0)</f>
        <v>0</v>
      </c>
      <c r="AB3" s="1070">
        <f>IFERROR(HLOOKUP($FQ3,Calc!$F$151:$P$166,7,0),0)</f>
        <v>0</v>
      </c>
      <c r="AC3" s="1070">
        <f>IFERROR(HLOOKUP($FQ3,Calc!$F$151:$P$166,8,0),0)</f>
        <v>0</v>
      </c>
      <c r="AD3" s="1070">
        <f>IFERROR(HLOOKUP($FQ3,Calc!$F$151:$P$166,9,0),0)</f>
        <v>0</v>
      </c>
      <c r="AE3" s="1070">
        <f>IFERROR(HLOOKUP($FQ3,Calc!$F$151:$P$166,10,0),0)</f>
        <v>0</v>
      </c>
      <c r="AF3" s="1070">
        <f>IFERROR(HLOOKUP($FQ3,Calc!$F$151:$P$166,11,0),0)</f>
        <v>0</v>
      </c>
      <c r="AG3" s="1070">
        <f>IFERROR(HLOOKUP($FQ3,Calc!$F$151:$P$166,12,0),0)</f>
        <v>0</v>
      </c>
      <c r="AH3" s="1070">
        <f>IFERROR(HLOOKUP($FQ3,Calc!$F$151:$P$166,13,0),0)</f>
        <v>0</v>
      </c>
      <c r="AI3" s="1070">
        <f>IFERROR(HLOOKUP($FQ3,Calc!$F$151:$P$166,14,0),0)</f>
        <v>0</v>
      </c>
      <c r="AJ3" s="1070">
        <f>IFERROR(HLOOKUP($FQ3,Calc!$F$151:$P$166,15,0),0)</f>
        <v>0</v>
      </c>
      <c r="AK3" s="1070">
        <f>IFERROR(HLOOKUP($FQ3,Calc!$F$151:$P$166,16,0),0)</f>
        <v>0</v>
      </c>
      <c r="AM3" s="2993"/>
      <c r="AP3" s="2993"/>
      <c r="AQ3" s="2993"/>
      <c r="AR3" s="2993"/>
      <c r="AS3" s="2993"/>
      <c r="AV3" s="2993"/>
      <c r="AX3" s="2993"/>
      <c r="AY3" s="2993"/>
      <c r="BB3" s="2993"/>
      <c r="BD3" s="2993"/>
      <c r="BE3" s="2993"/>
      <c r="BH3" s="2993"/>
      <c r="BY3" s="2992"/>
      <c r="DN3" s="2993"/>
      <c r="DO3" s="2993"/>
      <c r="DP3" s="2993"/>
      <c r="DQ3" s="2993"/>
      <c r="DR3" s="2993"/>
      <c r="DS3" s="2993"/>
      <c r="DT3" s="2993"/>
      <c r="DU3" s="2993"/>
      <c r="DV3" s="2993"/>
      <c r="DW3" s="2993"/>
      <c r="EB3" s="2993"/>
      <c r="EC3" s="2993"/>
      <c r="ED3" s="2993"/>
      <c r="EE3" s="2993"/>
      <c r="EF3" s="2993"/>
      <c r="EG3" s="2993"/>
      <c r="EH3" s="2993"/>
      <c r="EI3" s="2993"/>
      <c r="EJ3" s="2993"/>
      <c r="EK3" s="2993"/>
      <c r="EL3" s="2993"/>
      <c r="EM3" s="2993"/>
      <c r="EN3" s="2993"/>
      <c r="EO3" s="2993"/>
      <c r="EP3" s="2993"/>
      <c r="EQ3" s="2993"/>
      <c r="FP3" s="1082">
        <v>13</v>
      </c>
      <c r="FQ3" s="1082" t="str">
        <f t="shared" si="0"/>
        <v>FY13</v>
      </c>
      <c r="FR3" s="1070" t="str">
        <f t="shared" ref="FR3:FR28" si="3">"20"&amp;RIGHT(FQ3,2)</f>
        <v>2013</v>
      </c>
      <c r="FU3" s="1070" t="s">
        <v>1140</v>
      </c>
      <c r="FV3" s="1070">
        <v>1</v>
      </c>
    </row>
    <row r="4" spans="1:178" x14ac:dyDescent="0.3">
      <c r="A4" s="1070">
        <f t="shared" ref="A4:G19" si="4">A3</f>
        <v>0</v>
      </c>
      <c r="B4" s="1070" t="str">
        <f t="shared" si="1"/>
        <v>Code</v>
      </c>
      <c r="C4" s="1070">
        <f t="shared" si="1"/>
        <v>0</v>
      </c>
      <c r="D4" s="1070">
        <f t="shared" si="1"/>
        <v>2017</v>
      </c>
      <c r="E4" s="1070" t="str">
        <f t="shared" si="1"/>
        <v>ASR</v>
      </c>
      <c r="F4" s="1070">
        <f t="shared" si="1"/>
        <v>4</v>
      </c>
      <c r="G4" s="1070" t="str">
        <f t="shared" si="1"/>
        <v>ASR</v>
      </c>
      <c r="H4" s="1070" t="str">
        <f t="shared" si="2"/>
        <v>2014</v>
      </c>
      <c r="I4" s="1070">
        <f>IF(PPT!$D$2="$ M",IFERROR(HLOOKUP($FQ4,PPT!$E$117:$BJ$119,3,0),0)*1000,IFERROR(HLOOKUP($FQ4,PPT!$E$117:$BJ$119,3,0),0))</f>
        <v>0</v>
      </c>
      <c r="J4" s="1070">
        <f>IFERROR(HLOOKUP($FQ4,Calc!$G$125:$AI$146,3,0),0)</f>
        <v>0</v>
      </c>
      <c r="K4" s="1070">
        <f>IFERROR(HLOOKUP($FQ4,Calc!$G$125:$AI$146,6,0),0)</f>
        <v>0</v>
      </c>
      <c r="L4" s="1070">
        <f>IFERROR(IF(Calc!$C$129="Dollar ($)",HLOOKUP($FQ4,Calc!$G$125:$AI$146,5,0),0),0)</f>
        <v>0</v>
      </c>
      <c r="M4" s="1070">
        <f>IFERROR(IF(Calc!$C$129="Volume (units)",HLOOKUP($FQ4,Calc!$G$125:$AI$146,5,0),0),0)</f>
        <v>0</v>
      </c>
      <c r="N4" s="1070">
        <f>IFERROR(HLOOKUP($FQ4,Calc!$G$125:$AI$146,9,0),0)</f>
        <v>0</v>
      </c>
      <c r="O4" s="1070">
        <f>IFERROR(HLOOKUP($FQ4,Calc!$G$125:$AI$146,10,0),0)</f>
        <v>0</v>
      </c>
      <c r="P4" s="1070">
        <f>IFERROR(HLOOKUP($FQ4,Calc!$G$125:$AI$146,11,0),0)</f>
        <v>0</v>
      </c>
      <c r="Q4" s="1070">
        <f>IFERROR(HLOOKUP($FQ4,Calc!$G$125:$AI$146,12,0),0)</f>
        <v>0</v>
      </c>
      <c r="R4" s="1070">
        <f>IFERROR(HLOOKUP($FQ4,Calc!$G$125:$AI$146,13,0),0)</f>
        <v>0</v>
      </c>
      <c r="S4" s="1070">
        <f>IFERROR(HLOOKUP($FQ4,Calc!$G$125:$AI$146,17,0),0)</f>
        <v>0</v>
      </c>
      <c r="T4" s="1070">
        <f>IFERROR(HLOOKUP($FQ4,Calc!$G$125:$AI$146,19,0),0)</f>
        <v>0</v>
      </c>
      <c r="U4" s="1070">
        <f>IFERROR(HLOOKUP($FQ4,Calc!$G$125:$AI$146,20,0),0)</f>
        <v>0</v>
      </c>
      <c r="V4" s="1070">
        <f>IFERROR(HLOOKUP($FQ4,Calc!$G$125:$AI$146,21,0),0)</f>
        <v>0</v>
      </c>
      <c r="W4" s="1070">
        <f>IFERROR(HLOOKUP($FQ4,Calc!$F$151:$P$166,2,0),0)</f>
        <v>0</v>
      </c>
      <c r="X4" s="1070">
        <f>IFERROR(HLOOKUP($FQ4,Calc!$F$151:$P$166,3,0),0)</f>
        <v>0</v>
      </c>
      <c r="Y4" s="1070">
        <f>IFERROR(HLOOKUP($FQ4,Calc!$F$151:$P$166,4,0),0)</f>
        <v>0</v>
      </c>
      <c r="Z4" s="1070">
        <f>IFERROR(HLOOKUP($FQ4,Calc!$F$151:$P$166,5,0),0)</f>
        <v>0</v>
      </c>
      <c r="AA4" s="1070">
        <f>IFERROR(HLOOKUP($FQ4,Calc!$F$151:$P$166,6,0),0)</f>
        <v>0</v>
      </c>
      <c r="AB4" s="1070">
        <f>IFERROR(HLOOKUP($FQ4,Calc!$F$151:$P$166,7,0),0)</f>
        <v>0</v>
      </c>
      <c r="AC4" s="1070">
        <f>IFERROR(HLOOKUP($FQ4,Calc!$F$151:$P$166,8,0),0)</f>
        <v>0</v>
      </c>
      <c r="AD4" s="1070">
        <f>IFERROR(HLOOKUP($FQ4,Calc!$F$151:$P$166,9,0),0)</f>
        <v>0</v>
      </c>
      <c r="AE4" s="1070">
        <f>IFERROR(HLOOKUP($FQ4,Calc!$F$151:$P$166,10,0),0)</f>
        <v>0</v>
      </c>
      <c r="AF4" s="1070">
        <f>IFERROR(HLOOKUP($FQ4,Calc!$F$151:$P$166,11,0),0)</f>
        <v>0</v>
      </c>
      <c r="AG4" s="1070">
        <f>IFERROR(HLOOKUP($FQ4,Calc!$F$151:$P$166,12,0),0)</f>
        <v>0</v>
      </c>
      <c r="AH4" s="1070">
        <f>IFERROR(HLOOKUP($FQ4,Calc!$F$151:$P$166,13,0),0)</f>
        <v>0</v>
      </c>
      <c r="AI4" s="1070">
        <f>IFERROR(HLOOKUP($FQ4,Calc!$F$151:$P$166,14,0),0)</f>
        <v>0</v>
      </c>
      <c r="AJ4" s="1070">
        <f>IFERROR(HLOOKUP($FQ4,Calc!$F$151:$P$166,15,0),0)</f>
        <v>0</v>
      </c>
      <c r="AK4" s="1070">
        <f>IFERROR(HLOOKUP($FQ4,Calc!$F$151:$P$166,16,0),0)</f>
        <v>0</v>
      </c>
      <c r="BW4" s="2999"/>
      <c r="FP4" s="1082">
        <v>14</v>
      </c>
      <c r="FQ4" s="1082" t="str">
        <f t="shared" si="0"/>
        <v>FY14</v>
      </c>
      <c r="FR4" s="1070" t="str">
        <f t="shared" si="3"/>
        <v>2014</v>
      </c>
      <c r="FU4" s="1070" t="s">
        <v>1141</v>
      </c>
      <c r="FV4" s="1070">
        <f>FV3+1</f>
        <v>2</v>
      </c>
    </row>
    <row r="5" spans="1:178" x14ac:dyDescent="0.3">
      <c r="A5" s="1070">
        <f t="shared" si="4"/>
        <v>0</v>
      </c>
      <c r="B5" s="1070" t="str">
        <f t="shared" si="1"/>
        <v>Code</v>
      </c>
      <c r="C5" s="1070">
        <f t="shared" si="1"/>
        <v>0</v>
      </c>
      <c r="D5" s="1070">
        <f t="shared" si="1"/>
        <v>2017</v>
      </c>
      <c r="E5" s="1070" t="str">
        <f t="shared" si="1"/>
        <v>ASR</v>
      </c>
      <c r="F5" s="1070">
        <f t="shared" si="1"/>
        <v>4</v>
      </c>
      <c r="G5" s="1070" t="str">
        <f t="shared" si="1"/>
        <v>ASR</v>
      </c>
      <c r="H5" s="1070" t="str">
        <f t="shared" si="2"/>
        <v>2015</v>
      </c>
      <c r="I5" s="1070">
        <f>IF(PPT!$D$2="$ M",IFERROR(HLOOKUP($FQ5,PPT!$E$117:$BJ$119,3,0),0)*1000,IFERROR(HLOOKUP($FQ5,PPT!$E$117:$BJ$119,3,0),0))</f>
        <v>0</v>
      </c>
      <c r="J5" s="1070">
        <f>IFERROR(HLOOKUP($FQ5,Calc!$G$125:$AI$146,3,0),0)</f>
        <v>0</v>
      </c>
      <c r="K5" s="1070">
        <f>IFERROR(HLOOKUP($FQ5,Calc!$G$125:$AI$146,6,0),0)</f>
        <v>0</v>
      </c>
      <c r="L5" s="1070">
        <f>IFERROR(IF(Calc!$C$129="Dollar ($)",HLOOKUP($FQ5,Calc!$G$125:$AI$146,5,0),0),0)</f>
        <v>0</v>
      </c>
      <c r="M5" s="1070">
        <f>IFERROR(IF(Calc!$C$129="Volume (units)",HLOOKUP($FQ5,Calc!$G$125:$AI$146,5,0),0),0)</f>
        <v>0</v>
      </c>
      <c r="N5" s="1070">
        <f>IFERROR(HLOOKUP($FQ5,Calc!$G$125:$AI$146,9,0),0)</f>
        <v>0</v>
      </c>
      <c r="O5" s="1070">
        <f>IFERROR(HLOOKUP($FQ5,Calc!$G$125:$AI$146,10,0),0)</f>
        <v>0</v>
      </c>
      <c r="P5" s="1070">
        <f>IFERROR(HLOOKUP($FQ5,Calc!$G$125:$AI$146,11,0),0)</f>
        <v>0</v>
      </c>
      <c r="Q5" s="1070">
        <f>IFERROR(HLOOKUP($FQ5,Calc!$G$125:$AI$146,12,0),0)</f>
        <v>0</v>
      </c>
      <c r="R5" s="1070">
        <f>IFERROR(HLOOKUP($FQ5,Calc!$G$125:$AI$146,13,0),0)</f>
        <v>0</v>
      </c>
      <c r="S5" s="1070">
        <f>IFERROR(HLOOKUP($FQ5,Calc!$G$125:$AI$146,17,0),0)</f>
        <v>0</v>
      </c>
      <c r="T5" s="1070">
        <f>IFERROR(HLOOKUP($FQ5,Calc!$G$125:$AI$146,19,0),0)</f>
        <v>0</v>
      </c>
      <c r="U5" s="1070">
        <f>IFERROR(HLOOKUP($FQ5,Calc!$G$125:$AI$146,20,0),0)</f>
        <v>0</v>
      </c>
      <c r="V5" s="1070">
        <f>IFERROR(HLOOKUP($FQ5,Calc!$G$125:$AI$146,21,0),0)</f>
        <v>0</v>
      </c>
      <c r="W5" s="1070">
        <f>IFERROR(HLOOKUP($FQ5,Calc!$F$151:$P$166,2,0),0)</f>
        <v>0</v>
      </c>
      <c r="X5" s="1070">
        <f>IFERROR(HLOOKUP($FQ5,Calc!$F$151:$P$166,3,0),0)</f>
        <v>0</v>
      </c>
      <c r="Y5" s="1070">
        <f>IFERROR(HLOOKUP($FQ5,Calc!$F$151:$P$166,4,0),0)</f>
        <v>0</v>
      </c>
      <c r="Z5" s="1070">
        <f>IFERROR(HLOOKUP($FQ5,Calc!$F$151:$P$166,5,0),0)</f>
        <v>0</v>
      </c>
      <c r="AA5" s="1070">
        <f>IFERROR(HLOOKUP($FQ5,Calc!$F$151:$P$166,6,0),0)</f>
        <v>0</v>
      </c>
      <c r="AB5" s="1070">
        <f>IFERROR(HLOOKUP($FQ5,Calc!$F$151:$P$166,7,0),0)</f>
        <v>0</v>
      </c>
      <c r="AC5" s="1070">
        <f>IFERROR(HLOOKUP($FQ5,Calc!$F$151:$P$166,8,0),0)</f>
        <v>0</v>
      </c>
      <c r="AD5" s="1070">
        <f>IFERROR(HLOOKUP($FQ5,Calc!$F$151:$P$166,9,0),0)</f>
        <v>0</v>
      </c>
      <c r="AE5" s="1070">
        <f>IFERROR(HLOOKUP($FQ5,Calc!$F$151:$P$166,10,0),0)</f>
        <v>0</v>
      </c>
      <c r="AF5" s="1070">
        <f>IFERROR(HLOOKUP($FQ5,Calc!$F$151:$P$166,11,0),0)</f>
        <v>0</v>
      </c>
      <c r="AG5" s="1070">
        <f>IFERROR(HLOOKUP($FQ5,Calc!$F$151:$P$166,12,0),0)</f>
        <v>0</v>
      </c>
      <c r="AH5" s="1070">
        <f>IFERROR(HLOOKUP($FQ5,Calc!$F$151:$P$166,13,0),0)</f>
        <v>0</v>
      </c>
      <c r="AI5" s="1070">
        <f>IFERROR(HLOOKUP($FQ5,Calc!$F$151:$P$166,14,0),0)</f>
        <v>0</v>
      </c>
      <c r="AJ5" s="1070">
        <f>IFERROR(HLOOKUP($FQ5,Calc!$F$151:$P$166,15,0),0)</f>
        <v>0</v>
      </c>
      <c r="AK5" s="1070">
        <f>IFERROR(HLOOKUP($FQ5,Calc!$F$151:$P$166,16,0),0)</f>
        <v>0</v>
      </c>
      <c r="BW5" s="2992"/>
      <c r="FP5" s="1082">
        <v>15</v>
      </c>
      <c r="FQ5" s="1082" t="str">
        <f t="shared" si="0"/>
        <v>FY15</v>
      </c>
      <c r="FR5" s="1070" t="str">
        <f t="shared" si="3"/>
        <v>2015</v>
      </c>
      <c r="FU5" s="1070" t="s">
        <v>1142</v>
      </c>
      <c r="FV5" s="1070">
        <f t="shared" ref="FV5:FV14" si="5">FV4+1</f>
        <v>3</v>
      </c>
    </row>
    <row r="6" spans="1:178" x14ac:dyDescent="0.3">
      <c r="A6" s="1070">
        <f t="shared" si="4"/>
        <v>0</v>
      </c>
      <c r="B6" s="1070" t="str">
        <f t="shared" si="1"/>
        <v>Code</v>
      </c>
      <c r="C6" s="1070">
        <f t="shared" si="1"/>
        <v>0</v>
      </c>
      <c r="D6" s="1070">
        <f t="shared" si="1"/>
        <v>2017</v>
      </c>
      <c r="E6" s="1070" t="str">
        <f t="shared" si="1"/>
        <v>ASR</v>
      </c>
      <c r="F6" s="1070">
        <f t="shared" si="1"/>
        <v>4</v>
      </c>
      <c r="G6" s="1070" t="str">
        <f t="shared" si="1"/>
        <v>ASR</v>
      </c>
      <c r="H6" s="1070" t="str">
        <f t="shared" si="2"/>
        <v>2016</v>
      </c>
      <c r="I6" s="1070">
        <f>IF(PPT!$D$2="$ M",IFERROR(HLOOKUP($FQ6,PPT!$E$117:$BJ$119,3,0),0)*1000,IFERROR(HLOOKUP($FQ6,PPT!$E$117:$BJ$119,3,0),0))</f>
        <v>0</v>
      </c>
      <c r="J6" s="1070">
        <f>IFERROR(HLOOKUP($FQ6,Calc!$G$125:$AI$146,3,0),0)</f>
        <v>0</v>
      </c>
      <c r="K6" s="1070">
        <f>IFERROR(HLOOKUP($FQ6,Calc!$G$125:$AI$146,6,0),0)</f>
        <v>0</v>
      </c>
      <c r="L6" s="1070">
        <f>IFERROR(IF(Calc!$C$129="Dollar ($)",HLOOKUP($FQ6,Calc!$G$125:$AI$146,5,0),0),0)</f>
        <v>0</v>
      </c>
      <c r="M6" s="1070">
        <f>IFERROR(IF(Calc!$C$129="Volume (units)",HLOOKUP($FQ6,Calc!$G$125:$AI$146,5,0),0),0)</f>
        <v>0</v>
      </c>
      <c r="N6" s="1070">
        <f>IFERROR(HLOOKUP($FQ6,Calc!$G$125:$AI$146,9,0),0)</f>
        <v>0</v>
      </c>
      <c r="O6" s="1070">
        <f>IFERROR(HLOOKUP($FQ6,Calc!$G$125:$AI$146,10,0),0)</f>
        <v>0</v>
      </c>
      <c r="P6" s="1070">
        <f>IFERROR(HLOOKUP($FQ6,Calc!$G$125:$AI$146,11,0),0)</f>
        <v>0</v>
      </c>
      <c r="Q6" s="1070">
        <f>IFERROR(HLOOKUP($FQ6,Calc!$G$125:$AI$146,12,0),0)</f>
        <v>0</v>
      </c>
      <c r="R6" s="1070">
        <f>IFERROR(HLOOKUP($FQ6,Calc!$G$125:$AI$146,13,0),0)</f>
        <v>0</v>
      </c>
      <c r="S6" s="1070">
        <f>IFERROR(HLOOKUP($FQ6,Calc!$G$125:$AI$146,17,0),0)</f>
        <v>0</v>
      </c>
      <c r="T6" s="1070">
        <f>IFERROR(HLOOKUP($FQ6,Calc!$G$125:$AI$146,19,0),0)</f>
        <v>0</v>
      </c>
      <c r="U6" s="1070">
        <f>IFERROR(HLOOKUP($FQ6,Calc!$G$125:$AI$146,20,0),0)</f>
        <v>0</v>
      </c>
      <c r="V6" s="1070">
        <f>IFERROR(HLOOKUP($FQ6,Calc!$G$125:$AI$146,21,0),0)</f>
        <v>0</v>
      </c>
      <c r="W6" s="1070">
        <f>IFERROR(HLOOKUP($FQ6,Calc!$F$151:$P$166,2,0),0)</f>
        <v>0</v>
      </c>
      <c r="X6" s="1070">
        <f>IFERROR(HLOOKUP($FQ6,Calc!$F$151:$P$166,3,0),0)</f>
        <v>0</v>
      </c>
      <c r="Y6" s="1070">
        <f>IFERROR(HLOOKUP($FQ6,Calc!$F$151:$P$166,4,0),0)</f>
        <v>0</v>
      </c>
      <c r="Z6" s="1070">
        <f>IFERROR(HLOOKUP($FQ6,Calc!$F$151:$P$166,5,0),0)</f>
        <v>0</v>
      </c>
      <c r="AA6" s="1070">
        <f>IFERROR(HLOOKUP($FQ6,Calc!$F$151:$P$166,6,0),0)</f>
        <v>0</v>
      </c>
      <c r="AB6" s="1070">
        <f>IFERROR(HLOOKUP($FQ6,Calc!$F$151:$P$166,7,0),0)</f>
        <v>0</v>
      </c>
      <c r="AC6" s="1070">
        <f>IFERROR(HLOOKUP($FQ6,Calc!$F$151:$P$166,8,0),0)</f>
        <v>0</v>
      </c>
      <c r="AD6" s="1070">
        <f>IFERROR(HLOOKUP($FQ6,Calc!$F$151:$P$166,9,0),0)</f>
        <v>0</v>
      </c>
      <c r="AE6" s="1070">
        <f>IFERROR(HLOOKUP($FQ6,Calc!$F$151:$P$166,10,0),0)</f>
        <v>0</v>
      </c>
      <c r="AF6" s="1070">
        <f>IFERROR(HLOOKUP($FQ6,Calc!$F$151:$P$166,11,0),0)</f>
        <v>0</v>
      </c>
      <c r="AG6" s="1070">
        <f>IFERROR(HLOOKUP($FQ6,Calc!$F$151:$P$166,12,0),0)</f>
        <v>0</v>
      </c>
      <c r="AH6" s="1070">
        <f>IFERROR(HLOOKUP($FQ6,Calc!$F$151:$P$166,13,0),0)</f>
        <v>0</v>
      </c>
      <c r="AI6" s="1070">
        <f>IFERROR(HLOOKUP($FQ6,Calc!$F$151:$P$166,14,0),0)</f>
        <v>0</v>
      </c>
      <c r="AJ6" s="1070">
        <f>IFERROR(HLOOKUP($FQ6,Calc!$F$151:$P$166,15,0),0)</f>
        <v>0</v>
      </c>
      <c r="AK6" s="1070">
        <f>IFERROR(HLOOKUP($FQ6,Calc!$F$151:$P$166,16,0),0)</f>
        <v>0</v>
      </c>
      <c r="FP6" s="1082">
        <v>16</v>
      </c>
      <c r="FQ6" s="1082" t="str">
        <f t="shared" si="0"/>
        <v>FY16</v>
      </c>
      <c r="FR6" s="1070" t="str">
        <f t="shared" si="3"/>
        <v>2016</v>
      </c>
      <c r="FU6" s="1070" t="s">
        <v>1143</v>
      </c>
      <c r="FV6" s="1070">
        <f t="shared" si="5"/>
        <v>4</v>
      </c>
    </row>
    <row r="7" spans="1:178" x14ac:dyDescent="0.3">
      <c r="A7" s="1070">
        <f t="shared" si="4"/>
        <v>0</v>
      </c>
      <c r="B7" s="1070" t="str">
        <f t="shared" si="1"/>
        <v>Code</v>
      </c>
      <c r="C7" s="1070">
        <f t="shared" si="1"/>
        <v>0</v>
      </c>
      <c r="D7" s="1070">
        <f t="shared" si="1"/>
        <v>2017</v>
      </c>
      <c r="E7" s="1070" t="str">
        <f t="shared" si="1"/>
        <v>ASR</v>
      </c>
      <c r="F7" s="1070">
        <f t="shared" si="1"/>
        <v>4</v>
      </c>
      <c r="G7" s="1070" t="str">
        <f t="shared" si="1"/>
        <v>ASR</v>
      </c>
      <c r="H7" s="1070" t="str">
        <f t="shared" si="2"/>
        <v>2017</v>
      </c>
      <c r="I7" s="1070">
        <f>IF(PPT!$D$2="$ M",IFERROR(HLOOKUP($FQ7,PPT!$E$117:$BJ$119,3,0),0)*1000,IFERROR(HLOOKUP($FQ7,PPT!$E$117:$BJ$119,3,0),0))</f>
        <v>0</v>
      </c>
      <c r="J7" s="1070">
        <f>IFERROR(HLOOKUP($FQ7,Calc!$G$125:$AI$146,3,0),0)</f>
        <v>0</v>
      </c>
      <c r="K7" s="1070">
        <f>IFERROR(HLOOKUP($FQ7,Calc!$G$125:$AI$146,6,0),0)</f>
        <v>0</v>
      </c>
      <c r="L7" s="1070">
        <f>IFERROR(IF(Calc!$C$129="Dollar ($)",HLOOKUP($FQ7,Calc!$G$125:$AI$146,5,0),0),0)</f>
        <v>0</v>
      </c>
      <c r="M7" s="1070">
        <f>IFERROR(IF(Calc!$C$129="Volume (units)",HLOOKUP($FQ7,Calc!$G$125:$AI$146,5,0),0),0)</f>
        <v>0</v>
      </c>
      <c r="N7" s="1070">
        <f>IFERROR(HLOOKUP($FQ7,Calc!$G$125:$AI$146,9,0),0)</f>
        <v>0</v>
      </c>
      <c r="O7" s="1070">
        <f>IFERROR(HLOOKUP($FQ7,Calc!$G$125:$AI$146,10,0),0)</f>
        <v>0</v>
      </c>
      <c r="P7" s="1070">
        <f>IFERROR(HLOOKUP($FQ7,Calc!$G$125:$AI$146,11,0),0)</f>
        <v>0</v>
      </c>
      <c r="Q7" s="1070">
        <f>IFERROR(HLOOKUP($FQ7,Calc!$G$125:$AI$146,12,0),0)</f>
        <v>0</v>
      </c>
      <c r="R7" s="1070">
        <f>IFERROR(HLOOKUP($FQ7,Calc!$G$125:$AI$146,13,0),0)</f>
        <v>0</v>
      </c>
      <c r="S7" s="1070">
        <f>IFERROR(HLOOKUP($FQ7,Calc!$G$125:$AI$146,17,0),0)</f>
        <v>0</v>
      </c>
      <c r="T7" s="1070">
        <f>IFERROR(HLOOKUP($FQ7,Calc!$G$125:$AI$146,19,0),0)</f>
        <v>0</v>
      </c>
      <c r="U7" s="1070">
        <f>IFERROR(HLOOKUP($FQ7,Calc!$G$125:$AI$146,20,0),0)</f>
        <v>0</v>
      </c>
      <c r="V7" s="1070">
        <f>IFERROR(HLOOKUP($FQ7,Calc!$G$125:$AI$146,21,0),0)</f>
        <v>0</v>
      </c>
      <c r="W7" s="1070">
        <f>IFERROR(HLOOKUP($FQ7,Calc!$F$151:$P$166,2,0),0)</f>
        <v>0</v>
      </c>
      <c r="X7" s="1070">
        <f>IFERROR(HLOOKUP($FQ7,Calc!$F$151:$P$166,3,0),0)</f>
        <v>0</v>
      </c>
      <c r="Y7" s="1070">
        <f>IFERROR(HLOOKUP($FQ7,Calc!$F$151:$P$166,4,0),0)</f>
        <v>0</v>
      </c>
      <c r="Z7" s="1070">
        <f>IFERROR(HLOOKUP($FQ7,Calc!$F$151:$P$166,5,0),0)</f>
        <v>0</v>
      </c>
      <c r="AA7" s="1070">
        <f>IFERROR(HLOOKUP($FQ7,Calc!$F$151:$P$166,6,0),0)</f>
        <v>0</v>
      </c>
      <c r="AB7" s="1070">
        <f>IFERROR(HLOOKUP($FQ7,Calc!$F$151:$P$166,7,0),0)</f>
        <v>0</v>
      </c>
      <c r="AC7" s="1070">
        <f>IFERROR(HLOOKUP($FQ7,Calc!$F$151:$P$166,8,0),0)</f>
        <v>0</v>
      </c>
      <c r="AD7" s="1070">
        <f>IFERROR(HLOOKUP($FQ7,Calc!$F$151:$P$166,9,0),0)</f>
        <v>0</v>
      </c>
      <c r="AE7" s="1070">
        <f>IFERROR(HLOOKUP($FQ7,Calc!$F$151:$P$166,10,0),0)</f>
        <v>0</v>
      </c>
      <c r="AF7" s="1070">
        <f>IFERROR(HLOOKUP($FQ7,Calc!$F$151:$P$166,11,0),0)</f>
        <v>0</v>
      </c>
      <c r="AG7" s="1070">
        <f>IFERROR(HLOOKUP($FQ7,Calc!$F$151:$P$166,12,0),0)</f>
        <v>0</v>
      </c>
      <c r="AH7" s="1070">
        <f>IFERROR(HLOOKUP($FQ7,Calc!$F$151:$P$166,13,0),0)</f>
        <v>0</v>
      </c>
      <c r="AI7" s="1070">
        <f>IFERROR(HLOOKUP($FQ7,Calc!$F$151:$P$166,14,0),0)</f>
        <v>0</v>
      </c>
      <c r="AJ7" s="1070">
        <f>IFERROR(HLOOKUP($FQ7,Calc!$F$151:$P$166,15,0),0)</f>
        <v>0</v>
      </c>
      <c r="AK7" s="1070">
        <f>IFERROR(HLOOKUP($FQ7,Calc!$F$151:$P$166,16,0),0)</f>
        <v>0</v>
      </c>
      <c r="BW7" s="2992"/>
      <c r="FP7" s="1082">
        <v>17</v>
      </c>
      <c r="FQ7" s="1082" t="str">
        <f t="shared" si="0"/>
        <v>FY17</v>
      </c>
      <c r="FR7" s="1070" t="str">
        <f t="shared" si="3"/>
        <v>2017</v>
      </c>
      <c r="FU7" s="1070" t="s">
        <v>1144</v>
      </c>
      <c r="FV7" s="1070">
        <f t="shared" si="5"/>
        <v>5</v>
      </c>
    </row>
    <row r="8" spans="1:178" x14ac:dyDescent="0.3">
      <c r="A8" s="1070">
        <f t="shared" si="4"/>
        <v>0</v>
      </c>
      <c r="B8" s="1070" t="str">
        <f t="shared" si="1"/>
        <v>Code</v>
      </c>
      <c r="C8" s="1070">
        <f t="shared" si="1"/>
        <v>0</v>
      </c>
      <c r="D8" s="1070">
        <f t="shared" si="1"/>
        <v>2017</v>
      </c>
      <c r="E8" s="1070" t="str">
        <f t="shared" si="1"/>
        <v>ASR</v>
      </c>
      <c r="F8" s="1070">
        <f t="shared" si="1"/>
        <v>4</v>
      </c>
      <c r="G8" s="1070" t="str">
        <f t="shared" si="1"/>
        <v>ASR</v>
      </c>
      <c r="H8" s="1070" t="str">
        <f t="shared" si="2"/>
        <v>2018</v>
      </c>
      <c r="I8" s="1070">
        <f>IF(PPT!$D$2="$ M",IFERROR(HLOOKUP($FQ8,PPT!$E$117:$BJ$119,3,0),0)*1000,IFERROR(HLOOKUP($FQ8,PPT!$E$117:$BJ$119,3,0),0))</f>
        <v>0</v>
      </c>
      <c r="J8" s="1070">
        <f>IFERROR(HLOOKUP($FQ8,Calc!$G$125:$AI$146,3,0),0)</f>
        <v>0</v>
      </c>
      <c r="K8" s="1070">
        <f>IFERROR(HLOOKUP($FQ8,Calc!$G$125:$AI$146,6,0),0)</f>
        <v>0</v>
      </c>
      <c r="L8" s="1070">
        <f>IFERROR(IF(Calc!$C$129="Dollar ($)",HLOOKUP($FQ8,Calc!$G$125:$AI$146,5,0),0),0)</f>
        <v>0</v>
      </c>
      <c r="M8" s="1070">
        <f>IFERROR(IF(Calc!$C$129="Volume (units)",HLOOKUP($FQ8,Calc!$G$125:$AI$146,5,0),0),0)</f>
        <v>0</v>
      </c>
      <c r="N8" s="1070">
        <f>IFERROR(HLOOKUP($FQ8,Calc!$G$125:$AI$146,9,0),0)</f>
        <v>0</v>
      </c>
      <c r="O8" s="1070">
        <f>IFERROR(HLOOKUP($FQ8,Calc!$G$125:$AI$146,10,0),0)</f>
        <v>0</v>
      </c>
      <c r="P8" s="1070">
        <f>IFERROR(HLOOKUP($FQ8,Calc!$G$125:$AI$146,11,0),0)</f>
        <v>200</v>
      </c>
      <c r="Q8" s="1070">
        <f>IFERROR(HLOOKUP($FQ8,Calc!$G$125:$AI$146,12,0),0)</f>
        <v>4828.4206951872993</v>
      </c>
      <c r="R8" s="1070">
        <f>IFERROR(HLOOKUP($FQ8,Calc!$G$125:$AI$146,13,0),0)</f>
        <v>-5028.4206951872993</v>
      </c>
      <c r="S8" s="1070">
        <f>IFERROR(HLOOKUP($FQ8,Calc!$G$125:$AI$146,17,0),0)</f>
        <v>-3620.4629005348552</v>
      </c>
      <c r="T8" s="1070">
        <f>IFERROR(HLOOKUP($FQ8,Calc!$G$125:$AI$146,19,0),0)</f>
        <v>0</v>
      </c>
      <c r="U8" s="1070">
        <f>IFERROR(HLOOKUP($FQ8,Calc!$G$125:$AI$146,20,0),0)</f>
        <v>0</v>
      </c>
      <c r="V8" s="1070">
        <f>IFERROR(HLOOKUP($FQ8,Calc!$G$125:$AI$146,21,0),0)</f>
        <v>-3620.4629005348552</v>
      </c>
      <c r="W8" s="1070">
        <f>IFERROR(HLOOKUP($FQ8,Calc!$F$151:$P$166,2,0),0)</f>
        <v>0</v>
      </c>
      <c r="X8" s="1070">
        <f>IFERROR(HLOOKUP($FQ8,Calc!$F$151:$P$166,3,0),0)</f>
        <v>0</v>
      </c>
      <c r="Y8" s="1070">
        <f>IFERROR(HLOOKUP($FQ8,Calc!$F$151:$P$166,4,0),0)</f>
        <v>0</v>
      </c>
      <c r="Z8" s="1070">
        <f>IFERROR(HLOOKUP($FQ8,Calc!$F$151:$P$166,5,0),0)</f>
        <v>0</v>
      </c>
      <c r="AA8" s="1070">
        <f>IFERROR(HLOOKUP($FQ8,Calc!$F$151:$P$166,6,0),0)</f>
        <v>0</v>
      </c>
      <c r="AB8" s="1070">
        <f>IFERROR(HLOOKUP($FQ8,Calc!$F$151:$P$166,7,0),0)</f>
        <v>0</v>
      </c>
      <c r="AC8" s="1070">
        <f>IFERROR(HLOOKUP($FQ8,Calc!$F$151:$P$166,8,0),0)</f>
        <v>0</v>
      </c>
      <c r="AD8" s="1070">
        <f>IFERROR(HLOOKUP($FQ8,Calc!$F$151:$P$166,9,0),0)</f>
        <v>0</v>
      </c>
      <c r="AE8" s="1070">
        <f>IFERROR(HLOOKUP($FQ8,Calc!$F$151:$P$166,10,0),0)</f>
        <v>0</v>
      </c>
      <c r="AF8" s="1070">
        <f>IFERROR(HLOOKUP($FQ8,Calc!$F$151:$P$166,11,0),0)</f>
        <v>0</v>
      </c>
      <c r="AG8" s="1070">
        <f>IFERROR(HLOOKUP($FQ8,Calc!$F$151:$P$166,12,0),0)</f>
        <v>0</v>
      </c>
      <c r="AH8" s="1070">
        <f>IFERROR(HLOOKUP($FQ8,Calc!$F$151:$P$166,13,0),0)</f>
        <v>0</v>
      </c>
      <c r="AI8" s="1070">
        <f>IFERROR(HLOOKUP($FQ8,Calc!$F$151:$P$166,14,0),0)</f>
        <v>0</v>
      </c>
      <c r="AJ8" s="1070">
        <f>IFERROR(HLOOKUP($FQ8,Calc!$F$151:$P$166,15,0),0)</f>
        <v>0</v>
      </c>
      <c r="AK8" s="1070">
        <f>IFERROR(HLOOKUP($FQ8,Calc!$F$151:$P$166,16,0),0)</f>
        <v>0</v>
      </c>
      <c r="FP8" s="1070">
        <v>18</v>
      </c>
      <c r="FQ8" s="1082" t="str">
        <f t="shared" si="0"/>
        <v>FY18</v>
      </c>
      <c r="FR8" s="1070" t="str">
        <f t="shared" si="3"/>
        <v>2018</v>
      </c>
      <c r="FU8" s="1070" t="s">
        <v>1145</v>
      </c>
      <c r="FV8" s="1070">
        <f t="shared" si="5"/>
        <v>6</v>
      </c>
    </row>
    <row r="9" spans="1:178" x14ac:dyDescent="0.3">
      <c r="A9" s="1070">
        <f t="shared" si="4"/>
        <v>0</v>
      </c>
      <c r="B9" s="1070" t="str">
        <f t="shared" si="1"/>
        <v>Code</v>
      </c>
      <c r="C9" s="1070">
        <f t="shared" si="1"/>
        <v>0</v>
      </c>
      <c r="D9" s="1070">
        <f t="shared" si="1"/>
        <v>2017</v>
      </c>
      <c r="E9" s="1070" t="str">
        <f t="shared" si="1"/>
        <v>ASR</v>
      </c>
      <c r="F9" s="1070">
        <f t="shared" si="1"/>
        <v>4</v>
      </c>
      <c r="G9" s="1070" t="str">
        <f t="shared" si="1"/>
        <v>ASR</v>
      </c>
      <c r="H9" s="1070" t="str">
        <f t="shared" si="2"/>
        <v>2019</v>
      </c>
      <c r="I9" s="1070">
        <f>IF(PPT!$D$2="$ M",IFERROR(HLOOKUP($FQ9,PPT!$E$117:$BJ$119,3,0),0)*1000,IFERROR(HLOOKUP($FQ9,PPT!$E$117:$BJ$119,3,0),0))</f>
        <v>0</v>
      </c>
      <c r="J9" s="1070">
        <f>IFERROR(HLOOKUP($FQ9,Calc!$G$125:$AI$146,3,0),0)</f>
        <v>0</v>
      </c>
      <c r="K9" s="1070">
        <f>IFERROR(HLOOKUP($FQ9,Calc!$G$125:$AI$146,6,0),0)</f>
        <v>0</v>
      </c>
      <c r="L9" s="1070">
        <f>IFERROR(IF(Calc!$C$129="Dollar ($)",HLOOKUP($FQ9,Calc!$G$125:$AI$146,5,0),0),0)</f>
        <v>0</v>
      </c>
      <c r="M9" s="1070">
        <f>IFERROR(IF(Calc!$C$129="Volume (units)",HLOOKUP($FQ9,Calc!$G$125:$AI$146,5,0),0),0)</f>
        <v>0</v>
      </c>
      <c r="N9" s="1070">
        <f>IFERROR(HLOOKUP($FQ9,Calc!$G$125:$AI$146,9,0),0)</f>
        <v>0</v>
      </c>
      <c r="O9" s="1070">
        <f>IFERROR(HLOOKUP($FQ9,Calc!$G$125:$AI$146,10,0),0)</f>
        <v>0</v>
      </c>
      <c r="P9" s="1070">
        <f>IFERROR(HLOOKUP($FQ9,Calc!$G$125:$AI$146,11,0),0)</f>
        <v>1000</v>
      </c>
      <c r="Q9" s="1070">
        <f>IFERROR(HLOOKUP($FQ9,Calc!$G$125:$AI$146,12,0),0)</f>
        <v>3450.6323370654059</v>
      </c>
      <c r="R9" s="1070">
        <f>IFERROR(HLOOKUP($FQ9,Calc!$G$125:$AI$146,13,0),0)</f>
        <v>-4450.6323370654063</v>
      </c>
      <c r="S9" s="1070">
        <f>IFERROR(HLOOKUP($FQ9,Calc!$G$125:$AI$146,17,0),0)</f>
        <v>-3204.4552826870922</v>
      </c>
      <c r="T9" s="1070">
        <f>IFERROR(HLOOKUP($FQ9,Calc!$G$125:$AI$146,19,0),0)</f>
        <v>0</v>
      </c>
      <c r="U9" s="1070">
        <f>IFERROR(HLOOKUP($FQ9,Calc!$G$125:$AI$146,20,0),0)</f>
        <v>0</v>
      </c>
      <c r="V9" s="1070">
        <f>IFERROR(HLOOKUP($FQ9,Calc!$G$125:$AI$146,21,0),0)</f>
        <v>-3204.4552826870922</v>
      </c>
      <c r="W9" s="1070">
        <f>IFERROR(HLOOKUP($FQ9,Calc!$F$151:$P$166,2,0),0)</f>
        <v>0</v>
      </c>
      <c r="X9" s="1070">
        <f>IFERROR(HLOOKUP($FQ9,Calc!$F$151:$P$166,3,0),0)</f>
        <v>0</v>
      </c>
      <c r="Y9" s="1070">
        <f>IFERROR(HLOOKUP($FQ9,Calc!$F$151:$P$166,4,0),0)</f>
        <v>0</v>
      </c>
      <c r="Z9" s="1070">
        <f>IFERROR(HLOOKUP($FQ9,Calc!$F$151:$P$166,5,0),0)</f>
        <v>0</v>
      </c>
      <c r="AA9" s="1070">
        <f>IFERROR(HLOOKUP($FQ9,Calc!$F$151:$P$166,6,0),0)</f>
        <v>0</v>
      </c>
      <c r="AB9" s="1070">
        <f>IFERROR(HLOOKUP($FQ9,Calc!$F$151:$P$166,7,0),0)</f>
        <v>0</v>
      </c>
      <c r="AC9" s="1070">
        <f>IFERROR(HLOOKUP($FQ9,Calc!$F$151:$P$166,8,0),0)</f>
        <v>0</v>
      </c>
      <c r="AD9" s="1070">
        <f>IFERROR(HLOOKUP($FQ9,Calc!$F$151:$P$166,9,0),0)</f>
        <v>0</v>
      </c>
      <c r="AE9" s="1070">
        <f>IFERROR(HLOOKUP($FQ9,Calc!$F$151:$P$166,10,0),0)</f>
        <v>0</v>
      </c>
      <c r="AF9" s="1070">
        <f>IFERROR(HLOOKUP($FQ9,Calc!$F$151:$P$166,11,0),0)</f>
        <v>0</v>
      </c>
      <c r="AG9" s="1070">
        <f>IFERROR(HLOOKUP($FQ9,Calc!$F$151:$P$166,12,0),0)</f>
        <v>0</v>
      </c>
      <c r="AH9" s="1070">
        <f>IFERROR(HLOOKUP($FQ9,Calc!$F$151:$P$166,13,0),0)</f>
        <v>0</v>
      </c>
      <c r="AI9" s="1070">
        <f>IFERROR(HLOOKUP($FQ9,Calc!$F$151:$P$166,14,0),0)</f>
        <v>0</v>
      </c>
      <c r="AJ9" s="1070">
        <f>IFERROR(HLOOKUP($FQ9,Calc!$F$151:$P$166,15,0),0)</f>
        <v>0</v>
      </c>
      <c r="AK9" s="1070">
        <f>IFERROR(HLOOKUP($FQ9,Calc!$F$151:$P$166,16,0),0)</f>
        <v>0</v>
      </c>
      <c r="FP9" s="1070">
        <v>19</v>
      </c>
      <c r="FQ9" s="1082" t="str">
        <f t="shared" si="0"/>
        <v>FY19</v>
      </c>
      <c r="FR9" s="1070" t="str">
        <f t="shared" si="3"/>
        <v>2019</v>
      </c>
      <c r="FU9" s="1070" t="s">
        <v>1146</v>
      </c>
      <c r="FV9" s="1070">
        <f t="shared" si="5"/>
        <v>7</v>
      </c>
    </row>
    <row r="10" spans="1:178" x14ac:dyDescent="0.3">
      <c r="A10" s="1070">
        <f t="shared" si="4"/>
        <v>0</v>
      </c>
      <c r="B10" s="1070" t="str">
        <f t="shared" si="1"/>
        <v>Code</v>
      </c>
      <c r="C10" s="1070">
        <f t="shared" si="1"/>
        <v>0</v>
      </c>
      <c r="D10" s="1070">
        <f t="shared" si="1"/>
        <v>2017</v>
      </c>
      <c r="E10" s="1070" t="str">
        <f t="shared" si="1"/>
        <v>ASR</v>
      </c>
      <c r="F10" s="1070">
        <f t="shared" si="1"/>
        <v>4</v>
      </c>
      <c r="G10" s="1070" t="str">
        <f t="shared" si="1"/>
        <v>ASR</v>
      </c>
      <c r="H10" s="1070" t="str">
        <f t="shared" si="2"/>
        <v>2020</v>
      </c>
      <c r="I10" s="1070">
        <f>IF(PPT!$D$2="$ M",IFERROR(HLOOKUP($FQ10,PPT!$E$117:$BJ$119,3,0),0)*1000,IFERROR(HLOOKUP($FQ10,PPT!$E$117:$BJ$119,3,0),0))</f>
        <v>0</v>
      </c>
      <c r="J10" s="1070">
        <f>IFERROR(HLOOKUP($FQ10,Calc!$G$125:$AI$146,3,0),0)</f>
        <v>0</v>
      </c>
      <c r="K10" s="1070">
        <f>IFERROR(HLOOKUP($FQ10,Calc!$G$125:$AI$146,6,0),0)</f>
        <v>0</v>
      </c>
      <c r="L10" s="1070">
        <f>IFERROR(IF(Calc!$C$129="Dollar ($)",HLOOKUP($FQ10,Calc!$G$125:$AI$146,5,0),0),0)</f>
        <v>0</v>
      </c>
      <c r="M10" s="1070">
        <f>IFERROR(IF(Calc!$C$129="Volume (units)",HLOOKUP($FQ10,Calc!$G$125:$AI$146,5,0),0),0)</f>
        <v>0</v>
      </c>
      <c r="N10" s="1070">
        <f>IFERROR(HLOOKUP($FQ10,Calc!$G$125:$AI$146,9,0),0)</f>
        <v>0</v>
      </c>
      <c r="O10" s="1070">
        <f>IFERROR(HLOOKUP($FQ10,Calc!$G$125:$AI$146,10,0),0)</f>
        <v>0</v>
      </c>
      <c r="P10" s="1070">
        <f>IFERROR(HLOOKUP($FQ10,Calc!$G$125:$AI$146,11,0),0)</f>
        <v>2500</v>
      </c>
      <c r="Q10" s="1070">
        <f>IFERROR(HLOOKUP($FQ10,Calc!$G$125:$AI$146,12,0),0)</f>
        <v>8338.541056523256</v>
      </c>
      <c r="R10" s="1070">
        <f>IFERROR(HLOOKUP($FQ10,Calc!$G$125:$AI$146,13,0),0)</f>
        <v>-10838.541056523256</v>
      </c>
      <c r="S10" s="1070">
        <f>IFERROR(HLOOKUP($FQ10,Calc!$G$125:$AI$146,17,0),0)</f>
        <v>-7803.7495606967441</v>
      </c>
      <c r="T10" s="1070">
        <f>IFERROR(HLOOKUP($FQ10,Calc!$G$125:$AI$146,19,0),0)</f>
        <v>0</v>
      </c>
      <c r="U10" s="1070">
        <f>IFERROR(HLOOKUP($FQ10,Calc!$G$125:$AI$146,20,0),0)</f>
        <v>0</v>
      </c>
      <c r="V10" s="1070">
        <f>IFERROR(HLOOKUP($FQ10,Calc!$G$125:$AI$146,21,0),0)</f>
        <v>-7803.7495606967441</v>
      </c>
      <c r="W10" s="1070">
        <f>IFERROR(HLOOKUP($FQ10,Calc!$F$151:$P$166,2,0),0)</f>
        <v>0</v>
      </c>
      <c r="X10" s="1070">
        <f>IFERROR(HLOOKUP($FQ10,Calc!$F$151:$P$166,3,0),0)</f>
        <v>0</v>
      </c>
      <c r="Y10" s="1070">
        <f>IFERROR(HLOOKUP($FQ10,Calc!$F$151:$P$166,4,0),0)</f>
        <v>0</v>
      </c>
      <c r="Z10" s="1070">
        <f>IFERROR(HLOOKUP($FQ10,Calc!$F$151:$P$166,5,0),0)</f>
        <v>0</v>
      </c>
      <c r="AA10" s="1070">
        <f>IFERROR(HLOOKUP($FQ10,Calc!$F$151:$P$166,6,0),0)</f>
        <v>0</v>
      </c>
      <c r="AB10" s="1070">
        <f>IFERROR(HLOOKUP($FQ10,Calc!$F$151:$P$166,7,0),0)</f>
        <v>0</v>
      </c>
      <c r="AC10" s="1070">
        <f>IFERROR(HLOOKUP($FQ10,Calc!$F$151:$P$166,8,0),0)</f>
        <v>0</v>
      </c>
      <c r="AD10" s="1070">
        <f>IFERROR(HLOOKUP($FQ10,Calc!$F$151:$P$166,9,0),0)</f>
        <v>0</v>
      </c>
      <c r="AE10" s="1070">
        <f>IFERROR(HLOOKUP($FQ10,Calc!$F$151:$P$166,10,0),0)</f>
        <v>0</v>
      </c>
      <c r="AF10" s="1070">
        <f>IFERROR(HLOOKUP($FQ10,Calc!$F$151:$P$166,11,0),0)</f>
        <v>0</v>
      </c>
      <c r="AG10" s="1070">
        <f>IFERROR(HLOOKUP($FQ10,Calc!$F$151:$P$166,12,0),0)</f>
        <v>0</v>
      </c>
      <c r="AH10" s="1070">
        <f>IFERROR(HLOOKUP($FQ10,Calc!$F$151:$P$166,13,0),0)</f>
        <v>0</v>
      </c>
      <c r="AI10" s="1070">
        <f>IFERROR(HLOOKUP($FQ10,Calc!$F$151:$P$166,14,0),0)</f>
        <v>0</v>
      </c>
      <c r="AJ10" s="1070">
        <f>IFERROR(HLOOKUP($FQ10,Calc!$F$151:$P$166,15,0),0)</f>
        <v>0</v>
      </c>
      <c r="AK10" s="1070">
        <f>IFERROR(HLOOKUP($FQ10,Calc!$F$151:$P$166,16,0),0)</f>
        <v>0</v>
      </c>
      <c r="FP10" s="1070">
        <v>20</v>
      </c>
      <c r="FQ10" s="1082" t="str">
        <f t="shared" si="0"/>
        <v>FY20</v>
      </c>
      <c r="FR10" s="1070" t="str">
        <f t="shared" si="3"/>
        <v>2020</v>
      </c>
      <c r="FU10" s="1142" t="s">
        <v>1147</v>
      </c>
      <c r="FV10" s="1070">
        <f t="shared" si="5"/>
        <v>8</v>
      </c>
    </row>
    <row r="11" spans="1:178" x14ac:dyDescent="0.3">
      <c r="A11" s="1070">
        <f t="shared" si="4"/>
        <v>0</v>
      </c>
      <c r="B11" s="1070" t="str">
        <f t="shared" si="1"/>
        <v>Code</v>
      </c>
      <c r="C11" s="1070">
        <f t="shared" si="1"/>
        <v>0</v>
      </c>
      <c r="D11" s="1070">
        <f t="shared" si="1"/>
        <v>2017</v>
      </c>
      <c r="E11" s="1070" t="str">
        <f t="shared" si="1"/>
        <v>ASR</v>
      </c>
      <c r="F11" s="1070">
        <f t="shared" si="1"/>
        <v>4</v>
      </c>
      <c r="G11" s="1070" t="str">
        <f t="shared" si="1"/>
        <v>ASR</v>
      </c>
      <c r="H11" s="1070" t="str">
        <f t="shared" si="2"/>
        <v>2021</v>
      </c>
      <c r="I11" s="1070">
        <f>IF(PPT!$D$2="$ M",IFERROR(HLOOKUP($FQ11,PPT!$E$117:$BJ$119,3,0),0)*1000,IFERROR(HLOOKUP($FQ11,PPT!$E$117:$BJ$119,3,0),0))</f>
        <v>0</v>
      </c>
      <c r="J11" s="1070">
        <f>IFERROR(HLOOKUP($FQ11,Calc!$G$125:$AI$146,3,0),0)</f>
        <v>0</v>
      </c>
      <c r="K11" s="1070">
        <f>IFERROR(HLOOKUP($FQ11,Calc!$G$125:$AI$146,6,0),0)</f>
        <v>0</v>
      </c>
      <c r="L11" s="1070">
        <f>IFERROR(IF(Calc!$C$129="Dollar ($)",HLOOKUP($FQ11,Calc!$G$125:$AI$146,5,0),0),0)</f>
        <v>0</v>
      </c>
      <c r="M11" s="1070">
        <f>IFERROR(IF(Calc!$C$129="Volume (units)",HLOOKUP($FQ11,Calc!$G$125:$AI$146,5,0),0),0)</f>
        <v>0</v>
      </c>
      <c r="N11" s="1070">
        <f>IFERROR(HLOOKUP($FQ11,Calc!$G$125:$AI$146,9,0),0)</f>
        <v>0</v>
      </c>
      <c r="O11" s="1070">
        <f>IFERROR(HLOOKUP($FQ11,Calc!$G$125:$AI$146,10,0),0)</f>
        <v>0</v>
      </c>
      <c r="P11" s="1070">
        <f>IFERROR(HLOOKUP($FQ11,Calc!$G$125:$AI$146,11,0),0)</f>
        <v>3500</v>
      </c>
      <c r="Q11" s="1070">
        <f>IFERROR(HLOOKUP($FQ11,Calc!$G$125:$AI$146,12,0),0)</f>
        <v>7736.0276633552903</v>
      </c>
      <c r="R11" s="1070">
        <f>IFERROR(HLOOKUP($FQ11,Calc!$G$125:$AI$146,13,0),0)</f>
        <v>-11236.027663355289</v>
      </c>
      <c r="S11" s="1070">
        <f>IFERROR(HLOOKUP($FQ11,Calc!$G$125:$AI$146,17,0),0)</f>
        <v>-8089.9399176158076</v>
      </c>
      <c r="T11" s="1070">
        <f>IFERROR(HLOOKUP($FQ11,Calc!$G$125:$AI$146,19,0),0)</f>
        <v>0</v>
      </c>
      <c r="U11" s="1070">
        <f>IFERROR(HLOOKUP($FQ11,Calc!$G$125:$AI$146,20,0),0)</f>
        <v>0</v>
      </c>
      <c r="V11" s="1070">
        <f>IFERROR(HLOOKUP($FQ11,Calc!$G$125:$AI$146,21,0),0)</f>
        <v>-8089.9399176158076</v>
      </c>
      <c r="W11" s="1070">
        <f>IFERROR(HLOOKUP($FQ11,Calc!$F$151:$P$166,2,0),0)</f>
        <v>0</v>
      </c>
      <c r="X11" s="1070">
        <f>IFERROR(HLOOKUP($FQ11,Calc!$F$151:$P$166,3,0),0)</f>
        <v>0</v>
      </c>
      <c r="Y11" s="1070">
        <f>IFERROR(HLOOKUP($FQ11,Calc!$F$151:$P$166,4,0),0)</f>
        <v>0</v>
      </c>
      <c r="Z11" s="1070">
        <f>IFERROR(HLOOKUP($FQ11,Calc!$F$151:$P$166,5,0),0)</f>
        <v>0</v>
      </c>
      <c r="AA11" s="1070">
        <f>IFERROR(HLOOKUP($FQ11,Calc!$F$151:$P$166,6,0),0)</f>
        <v>0</v>
      </c>
      <c r="AB11" s="1070">
        <f>IFERROR(HLOOKUP($FQ11,Calc!$F$151:$P$166,7,0),0)</f>
        <v>0</v>
      </c>
      <c r="AC11" s="1070">
        <f>IFERROR(HLOOKUP($FQ11,Calc!$F$151:$P$166,8,0),0)</f>
        <v>0</v>
      </c>
      <c r="AD11" s="1070">
        <f>IFERROR(HLOOKUP($FQ11,Calc!$F$151:$P$166,9,0),0)</f>
        <v>0</v>
      </c>
      <c r="AE11" s="1070">
        <f>IFERROR(HLOOKUP($FQ11,Calc!$F$151:$P$166,10,0),0)</f>
        <v>0</v>
      </c>
      <c r="AF11" s="1070">
        <f>IFERROR(HLOOKUP($FQ11,Calc!$F$151:$P$166,11,0),0)</f>
        <v>0</v>
      </c>
      <c r="AG11" s="1070">
        <f>IFERROR(HLOOKUP($FQ11,Calc!$F$151:$P$166,12,0),0)</f>
        <v>0</v>
      </c>
      <c r="AH11" s="1070">
        <f>IFERROR(HLOOKUP($FQ11,Calc!$F$151:$P$166,13,0),0)</f>
        <v>0</v>
      </c>
      <c r="AI11" s="1070">
        <f>IFERROR(HLOOKUP($FQ11,Calc!$F$151:$P$166,14,0),0)</f>
        <v>0</v>
      </c>
      <c r="AJ11" s="1070">
        <f>IFERROR(HLOOKUP($FQ11,Calc!$F$151:$P$166,15,0),0)</f>
        <v>0</v>
      </c>
      <c r="AK11" s="1070">
        <f>IFERROR(HLOOKUP($FQ11,Calc!$F$151:$P$166,16,0),0)</f>
        <v>0</v>
      </c>
      <c r="FP11" s="1070">
        <v>21</v>
      </c>
      <c r="FQ11" s="1082" t="str">
        <f t="shared" si="0"/>
        <v>FY21</v>
      </c>
      <c r="FR11" s="1070" t="str">
        <f t="shared" si="3"/>
        <v>2021</v>
      </c>
      <c r="FU11" s="1142" t="s">
        <v>1148</v>
      </c>
      <c r="FV11" s="1070">
        <f t="shared" si="5"/>
        <v>9</v>
      </c>
    </row>
    <row r="12" spans="1:178" x14ac:dyDescent="0.3">
      <c r="A12" s="1070">
        <f t="shared" si="4"/>
        <v>0</v>
      </c>
      <c r="B12" s="1070" t="str">
        <f t="shared" si="1"/>
        <v>Code</v>
      </c>
      <c r="C12" s="1070">
        <f t="shared" si="1"/>
        <v>0</v>
      </c>
      <c r="D12" s="1070">
        <f t="shared" si="1"/>
        <v>2017</v>
      </c>
      <c r="E12" s="1070" t="str">
        <f t="shared" si="1"/>
        <v>ASR</v>
      </c>
      <c r="F12" s="1070">
        <f t="shared" si="1"/>
        <v>4</v>
      </c>
      <c r="G12" s="1070" t="str">
        <f t="shared" si="1"/>
        <v>ASR</v>
      </c>
      <c r="H12" s="1070" t="str">
        <f t="shared" si="2"/>
        <v>2022</v>
      </c>
      <c r="I12" s="1070">
        <f>IF(PPT!$D$2="$ M",IFERROR(HLOOKUP($FQ12,PPT!$E$117:$BJ$119,3,0),0)*1000,IFERROR(HLOOKUP($FQ12,PPT!$E$117:$BJ$119,3,0),0))</f>
        <v>0</v>
      </c>
      <c r="J12" s="1070">
        <f>IFERROR(HLOOKUP($FQ12,Calc!$G$125:$AI$146,3,0),0)</f>
        <v>0</v>
      </c>
      <c r="K12" s="1070">
        <f>IFERROR(HLOOKUP($FQ12,Calc!$G$125:$AI$146,6,0),0)</f>
        <v>0</v>
      </c>
      <c r="L12" s="1070">
        <f>IFERROR(IF(Calc!$C$129="Dollar ($)",HLOOKUP($FQ12,Calc!$G$125:$AI$146,5,0),0),0)</f>
        <v>0</v>
      </c>
      <c r="M12" s="1070">
        <f>IFERROR(IF(Calc!$C$129="Volume (units)",HLOOKUP($FQ12,Calc!$G$125:$AI$146,5,0),0),0)</f>
        <v>0</v>
      </c>
      <c r="N12" s="1070">
        <f>IFERROR(HLOOKUP($FQ12,Calc!$G$125:$AI$146,9,0),0)</f>
        <v>0</v>
      </c>
      <c r="O12" s="1070">
        <f>IFERROR(HLOOKUP($FQ12,Calc!$G$125:$AI$146,10,0),0)</f>
        <v>0</v>
      </c>
      <c r="P12" s="1070">
        <f>IFERROR(HLOOKUP($FQ12,Calc!$G$125:$AI$146,11,0),0)</f>
        <v>4500</v>
      </c>
      <c r="Q12" s="1070">
        <f>IFERROR(HLOOKUP($FQ12,Calc!$G$125:$AI$146,12,0),0)</f>
        <v>2362.6098811049887</v>
      </c>
      <c r="R12" s="1070">
        <f>IFERROR(HLOOKUP($FQ12,Calc!$G$125:$AI$146,13,0),0)</f>
        <v>-6862.6098811049887</v>
      </c>
      <c r="S12" s="1070">
        <f>IFERROR(HLOOKUP($FQ12,Calc!$G$125:$AI$146,17,0),0)</f>
        <v>-4941.0791143955921</v>
      </c>
      <c r="T12" s="1070">
        <f>IFERROR(HLOOKUP($FQ12,Calc!$G$125:$AI$146,19,0),0)</f>
        <v>0</v>
      </c>
      <c r="U12" s="1070">
        <f>IFERROR(HLOOKUP($FQ12,Calc!$G$125:$AI$146,20,0),0)</f>
        <v>0</v>
      </c>
      <c r="V12" s="1070">
        <f>IFERROR(HLOOKUP($FQ12,Calc!$G$125:$AI$146,21,0),0)</f>
        <v>-4941.0791143955921</v>
      </c>
      <c r="W12" s="1070">
        <f>IFERROR(HLOOKUP($FQ12,Calc!$F$151:$P$166,2,0),0)</f>
        <v>0</v>
      </c>
      <c r="X12" s="1070">
        <f>IFERROR(HLOOKUP($FQ12,Calc!$F$151:$P$166,3,0),0)</f>
        <v>0</v>
      </c>
      <c r="Y12" s="1070">
        <f>IFERROR(HLOOKUP($FQ12,Calc!$F$151:$P$166,4,0),0)</f>
        <v>0</v>
      </c>
      <c r="Z12" s="1070">
        <f>IFERROR(HLOOKUP($FQ12,Calc!$F$151:$P$166,5,0),0)</f>
        <v>0</v>
      </c>
      <c r="AA12" s="1070">
        <f>IFERROR(HLOOKUP($FQ12,Calc!$F$151:$P$166,6,0),0)</f>
        <v>0</v>
      </c>
      <c r="AB12" s="1070">
        <f>IFERROR(HLOOKUP($FQ12,Calc!$F$151:$P$166,7,0),0)</f>
        <v>0</v>
      </c>
      <c r="AC12" s="1070">
        <f>IFERROR(HLOOKUP($FQ12,Calc!$F$151:$P$166,8,0),0)</f>
        <v>0</v>
      </c>
      <c r="AD12" s="1070">
        <f>IFERROR(HLOOKUP($FQ12,Calc!$F$151:$P$166,9,0),0)</f>
        <v>0</v>
      </c>
      <c r="AE12" s="1070">
        <f>IFERROR(HLOOKUP($FQ12,Calc!$F$151:$P$166,10,0),0)</f>
        <v>0</v>
      </c>
      <c r="AF12" s="1070">
        <f>IFERROR(HLOOKUP($FQ12,Calc!$F$151:$P$166,11,0),0)</f>
        <v>0</v>
      </c>
      <c r="AG12" s="1070">
        <f>IFERROR(HLOOKUP($FQ12,Calc!$F$151:$P$166,12,0),0)</f>
        <v>0</v>
      </c>
      <c r="AH12" s="1070">
        <f>IFERROR(HLOOKUP($FQ12,Calc!$F$151:$P$166,13,0),0)</f>
        <v>0</v>
      </c>
      <c r="AI12" s="1070">
        <f>IFERROR(HLOOKUP($FQ12,Calc!$F$151:$P$166,14,0),0)</f>
        <v>0</v>
      </c>
      <c r="AJ12" s="1070">
        <f>IFERROR(HLOOKUP($FQ12,Calc!$F$151:$P$166,15,0),0)</f>
        <v>0</v>
      </c>
      <c r="AK12" s="1070">
        <f>IFERROR(HLOOKUP($FQ12,Calc!$F$151:$P$166,16,0),0)</f>
        <v>0</v>
      </c>
      <c r="FP12" s="1070">
        <v>22</v>
      </c>
      <c r="FQ12" s="1082" t="str">
        <f t="shared" si="0"/>
        <v>FY22</v>
      </c>
      <c r="FR12" s="1070" t="str">
        <f t="shared" si="3"/>
        <v>2022</v>
      </c>
      <c r="FU12" s="1070" t="s">
        <v>1137</v>
      </c>
      <c r="FV12" s="1070">
        <f t="shared" si="5"/>
        <v>10</v>
      </c>
    </row>
    <row r="13" spans="1:178" x14ac:dyDescent="0.3">
      <c r="A13" s="1070">
        <f t="shared" si="4"/>
        <v>0</v>
      </c>
      <c r="B13" s="1070" t="str">
        <f t="shared" si="1"/>
        <v>Code</v>
      </c>
      <c r="C13" s="1070">
        <f t="shared" si="1"/>
        <v>0</v>
      </c>
      <c r="D13" s="1070">
        <f t="shared" si="1"/>
        <v>2017</v>
      </c>
      <c r="E13" s="1070" t="str">
        <f t="shared" si="1"/>
        <v>ASR</v>
      </c>
      <c r="F13" s="1070">
        <f t="shared" si="1"/>
        <v>4</v>
      </c>
      <c r="G13" s="1070" t="str">
        <f t="shared" si="1"/>
        <v>ASR</v>
      </c>
      <c r="H13" s="1070" t="str">
        <f t="shared" si="2"/>
        <v>2023</v>
      </c>
      <c r="I13" s="1070">
        <f>IF(PPT!$D$2="$ M",IFERROR(HLOOKUP($FQ13,PPT!$E$117:$BJ$119,3,0),0)*1000,IFERROR(HLOOKUP($FQ13,PPT!$E$117:$BJ$119,3,0),0))</f>
        <v>16667.203805107201</v>
      </c>
      <c r="J13" s="1070">
        <f>IFERROR(HLOOKUP($FQ13,Calc!$G$125:$AI$146,3,0),0)</f>
        <v>16667.203805107201</v>
      </c>
      <c r="K13" s="1070">
        <f>IFERROR(HLOOKUP($FQ13,Calc!$G$125:$AI$146,6,0),0)</f>
        <v>16667.203805107201</v>
      </c>
      <c r="L13" s="1070">
        <f>IFERROR(IF(Calc!$C$129="Dollar ($)",HLOOKUP($FQ13,Calc!$G$125:$AI$146,5,0),0),0)</f>
        <v>0</v>
      </c>
      <c r="M13" s="1070">
        <f>IFERROR(IF(Calc!$C$129="Volume (units)",HLOOKUP($FQ13,Calc!$G$125:$AI$146,5,0),0),0)</f>
        <v>0</v>
      </c>
      <c r="N13" s="1070">
        <f>IFERROR(HLOOKUP($FQ13,Calc!$G$125:$AI$146,9,0),0)</f>
        <v>11757.135657116161</v>
      </c>
      <c r="O13" s="1070">
        <f>IFERROR(HLOOKUP($FQ13,Calc!$G$125:$AI$146,10,0),0)</f>
        <v>0.70540540540540542</v>
      </c>
      <c r="P13" s="1070">
        <f>IFERROR(HLOOKUP($FQ13,Calc!$G$125:$AI$146,11,0),0)</f>
        <v>3300.0096684919295</v>
      </c>
      <c r="Q13" s="1070">
        <f>IFERROR(HLOOKUP($FQ13,Calc!$G$125:$AI$146,12,0),0)</f>
        <v>1451.8026343507922</v>
      </c>
      <c r="R13" s="1070">
        <f>IFERROR(HLOOKUP($FQ13,Calc!$G$125:$AI$146,13,0),0)</f>
        <v>7005.3233542734397</v>
      </c>
      <c r="S13" s="1070">
        <f>IFERROR(HLOOKUP($FQ13,Calc!$G$125:$AI$146,17,0),0)</f>
        <v>4371.8328150768766</v>
      </c>
      <c r="T13" s="1070">
        <f>IFERROR(HLOOKUP($FQ13,Calc!$G$125:$AI$146,19,0),0)</f>
        <v>13066.666666666666</v>
      </c>
      <c r="U13" s="1070">
        <f>IFERROR(HLOOKUP($FQ13,Calc!$G$125:$AI$146,20,0),0)</f>
        <v>3160.13687761248</v>
      </c>
      <c r="V13" s="1070">
        <f>IFERROR(HLOOKUP($FQ13,Calc!$G$125:$AI$146,21,0),0)</f>
        <v>-11854.970729202269</v>
      </c>
      <c r="W13" s="1070">
        <f>IFERROR(HLOOKUP($FQ13,Calc!$F$151:$P$166,2,0),0)</f>
        <v>0</v>
      </c>
      <c r="X13" s="1070">
        <f>IFERROR(HLOOKUP($FQ13,Calc!$F$151:$P$166,3,0),0)</f>
        <v>0</v>
      </c>
      <c r="Y13" s="1070">
        <f>IFERROR(HLOOKUP($FQ13,Calc!$F$151:$P$166,4,0),0)</f>
        <v>0</v>
      </c>
      <c r="Z13" s="1070">
        <f>IFERROR(HLOOKUP($FQ13,Calc!$F$151:$P$166,5,0),0)</f>
        <v>0</v>
      </c>
      <c r="AA13" s="1070">
        <f>IFERROR(HLOOKUP($FQ13,Calc!$F$151:$P$166,6,0),0)</f>
        <v>0</v>
      </c>
      <c r="AB13" s="1070">
        <f>IFERROR(HLOOKUP($FQ13,Calc!$F$151:$P$166,7,0),0)</f>
        <v>0</v>
      </c>
      <c r="AC13" s="1070">
        <f>IFERROR(HLOOKUP($FQ13,Calc!$F$151:$P$166,8,0),0)</f>
        <v>0</v>
      </c>
      <c r="AD13" s="1070">
        <f>IFERROR(HLOOKUP($FQ13,Calc!$F$151:$P$166,9,0),0)</f>
        <v>0</v>
      </c>
      <c r="AE13" s="1070">
        <f>IFERROR(HLOOKUP($FQ13,Calc!$F$151:$P$166,10,0),0)</f>
        <v>0</v>
      </c>
      <c r="AF13" s="1070">
        <f>IFERROR(HLOOKUP($FQ13,Calc!$F$151:$P$166,11,0),0)</f>
        <v>0</v>
      </c>
      <c r="AG13" s="1070">
        <f>IFERROR(HLOOKUP($FQ13,Calc!$F$151:$P$166,12,0),0)</f>
        <v>0</v>
      </c>
      <c r="AH13" s="1070">
        <f>IFERROR(HLOOKUP($FQ13,Calc!$F$151:$P$166,13,0),0)</f>
        <v>0</v>
      </c>
      <c r="AI13" s="1070">
        <f>IFERROR(HLOOKUP($FQ13,Calc!$F$151:$P$166,14,0),0)</f>
        <v>0</v>
      </c>
      <c r="AJ13" s="1070">
        <f>IFERROR(HLOOKUP($FQ13,Calc!$F$151:$P$166,15,0),0)</f>
        <v>0</v>
      </c>
      <c r="AK13" s="1070">
        <f>IFERROR(HLOOKUP($FQ13,Calc!$F$151:$P$166,16,0),0)</f>
        <v>0</v>
      </c>
      <c r="FP13" s="1070">
        <v>23</v>
      </c>
      <c r="FQ13" s="1082" t="str">
        <f t="shared" si="0"/>
        <v>FY23</v>
      </c>
      <c r="FR13" s="1070" t="str">
        <f t="shared" si="3"/>
        <v>2023</v>
      </c>
      <c r="FU13" s="1070" t="s">
        <v>1138</v>
      </c>
      <c r="FV13" s="1070">
        <f t="shared" si="5"/>
        <v>11</v>
      </c>
    </row>
    <row r="14" spans="1:178" x14ac:dyDescent="0.3">
      <c r="A14" s="1070">
        <f t="shared" si="4"/>
        <v>0</v>
      </c>
      <c r="B14" s="1070" t="str">
        <f t="shared" si="1"/>
        <v>Code</v>
      </c>
      <c r="C14" s="1070">
        <f t="shared" si="1"/>
        <v>0</v>
      </c>
      <c r="D14" s="1070">
        <f t="shared" si="1"/>
        <v>2017</v>
      </c>
      <c r="E14" s="1070" t="str">
        <f t="shared" si="1"/>
        <v>ASR</v>
      </c>
      <c r="F14" s="1070">
        <f t="shared" si="1"/>
        <v>4</v>
      </c>
      <c r="G14" s="1070" t="str">
        <f t="shared" si="1"/>
        <v>ASR</v>
      </c>
      <c r="H14" s="1070" t="str">
        <f t="shared" si="2"/>
        <v>2024</v>
      </c>
      <c r="I14" s="1070">
        <f>IF(PPT!$D$2="$ M",IFERROR(HLOOKUP($FQ14,PPT!$E$117:$BJ$119,3,0),0)*1000,IFERROR(HLOOKUP($FQ14,PPT!$E$117:$BJ$119,3,0),0))</f>
        <v>38568.729451259293</v>
      </c>
      <c r="J14" s="1070">
        <f>IFERROR(HLOOKUP($FQ14,Calc!$G$125:$AI$146,3,0),0)</f>
        <v>38568.729451259293</v>
      </c>
      <c r="K14" s="1070">
        <f>IFERROR(HLOOKUP($FQ14,Calc!$G$125:$AI$146,6,0),0)</f>
        <v>38568.729451259293</v>
      </c>
      <c r="L14" s="1070">
        <f>IFERROR(IF(Calc!$C$129="Dollar ($)",HLOOKUP($FQ14,Calc!$G$125:$AI$146,5,0),0),0)</f>
        <v>0</v>
      </c>
      <c r="M14" s="1070">
        <f>IFERROR(IF(Calc!$C$129="Volume (units)",HLOOKUP($FQ14,Calc!$G$125:$AI$146,5,0),0),0)</f>
        <v>0</v>
      </c>
      <c r="N14" s="1070">
        <f>IFERROR(HLOOKUP($FQ14,Calc!$G$125:$AI$146,9,0),0)</f>
        <v>26869.83688737511</v>
      </c>
      <c r="O14" s="1070">
        <f>IFERROR(HLOOKUP($FQ14,Calc!$G$125:$AI$146,10,0),0)</f>
        <v>0.69667415208301064</v>
      </c>
      <c r="P14" s="1070">
        <f>IFERROR(HLOOKUP($FQ14,Calc!$G$125:$AI$146,11,0),0)</f>
        <v>3694.2371301226672</v>
      </c>
      <c r="Q14" s="1070">
        <f>IFERROR(HLOOKUP($FQ14,Calc!$G$125:$AI$146,12,0),0)</f>
        <v>205.83868703780806</v>
      </c>
      <c r="R14" s="1070">
        <f>IFERROR(HLOOKUP($FQ14,Calc!$G$125:$AI$146,13,0),0)</f>
        <v>22969.761070214634</v>
      </c>
      <c r="S14" s="1070">
        <f>IFERROR(HLOOKUP($FQ14,Calc!$G$125:$AI$146,17,0),0)</f>
        <v>15866.227970554537</v>
      </c>
      <c r="T14" s="1070">
        <f>IFERROR(HLOOKUP($FQ14,Calc!$G$125:$AI$146,19,0),0)</f>
        <v>-933.33333333333337</v>
      </c>
      <c r="U14" s="1070">
        <f>IFERROR(HLOOKUP($FQ14,Calc!$G$125:$AI$146,20,0),0)</f>
        <v>4194.6694701487686</v>
      </c>
      <c r="V14" s="1070">
        <f>IFERROR(HLOOKUP($FQ14,Calc!$G$125:$AI$146,21,0),0)</f>
        <v>12604.891833739101</v>
      </c>
      <c r="W14" s="1070">
        <f>IFERROR(HLOOKUP($FQ14,Calc!$F$151:$P$166,2,0),0)</f>
        <v>0</v>
      </c>
      <c r="X14" s="1070">
        <f>IFERROR(HLOOKUP($FQ14,Calc!$F$151:$P$166,3,0),0)</f>
        <v>0</v>
      </c>
      <c r="Y14" s="1070">
        <f>IFERROR(HLOOKUP($FQ14,Calc!$F$151:$P$166,4,0),0)</f>
        <v>0</v>
      </c>
      <c r="Z14" s="1070">
        <f>IFERROR(HLOOKUP($FQ14,Calc!$F$151:$P$166,5,0),0)</f>
        <v>0</v>
      </c>
      <c r="AA14" s="1070">
        <f>IFERROR(HLOOKUP($FQ14,Calc!$F$151:$P$166,6,0),0)</f>
        <v>0</v>
      </c>
      <c r="AB14" s="1070">
        <f>IFERROR(HLOOKUP($FQ14,Calc!$F$151:$P$166,7,0),0)</f>
        <v>0</v>
      </c>
      <c r="AC14" s="1070">
        <f>IFERROR(HLOOKUP($FQ14,Calc!$F$151:$P$166,8,0),0)</f>
        <v>0</v>
      </c>
      <c r="AD14" s="1070">
        <f>IFERROR(HLOOKUP($FQ14,Calc!$F$151:$P$166,9,0),0)</f>
        <v>0</v>
      </c>
      <c r="AE14" s="1070">
        <f>IFERROR(HLOOKUP($FQ14,Calc!$F$151:$P$166,10,0),0)</f>
        <v>0</v>
      </c>
      <c r="AF14" s="1070">
        <f>IFERROR(HLOOKUP($FQ14,Calc!$F$151:$P$166,11,0),0)</f>
        <v>0</v>
      </c>
      <c r="AG14" s="1070">
        <f>IFERROR(HLOOKUP($FQ14,Calc!$F$151:$P$166,12,0),0)</f>
        <v>0</v>
      </c>
      <c r="AH14" s="1070">
        <f>IFERROR(HLOOKUP($FQ14,Calc!$F$151:$P$166,13,0),0)</f>
        <v>0</v>
      </c>
      <c r="AI14" s="1070">
        <f>IFERROR(HLOOKUP($FQ14,Calc!$F$151:$P$166,14,0),0)</f>
        <v>0</v>
      </c>
      <c r="AJ14" s="1070">
        <f>IFERROR(HLOOKUP($FQ14,Calc!$F$151:$P$166,15,0),0)</f>
        <v>0</v>
      </c>
      <c r="AK14" s="1070">
        <f>IFERROR(HLOOKUP($FQ14,Calc!$F$151:$P$166,16,0),0)</f>
        <v>0</v>
      </c>
      <c r="FP14" s="1070">
        <v>24</v>
      </c>
      <c r="FQ14" s="1082" t="str">
        <f t="shared" si="0"/>
        <v>FY24</v>
      </c>
      <c r="FR14" s="1070" t="str">
        <f t="shared" si="3"/>
        <v>2024</v>
      </c>
      <c r="FU14" s="1070" t="s">
        <v>1139</v>
      </c>
      <c r="FV14" s="1070">
        <f t="shared" si="5"/>
        <v>12</v>
      </c>
    </row>
    <row r="15" spans="1:178" x14ac:dyDescent="0.3">
      <c r="A15" s="1070">
        <f t="shared" si="4"/>
        <v>0</v>
      </c>
      <c r="B15" s="1070" t="str">
        <f t="shared" si="1"/>
        <v>Code</v>
      </c>
      <c r="C15" s="1070">
        <f t="shared" si="1"/>
        <v>0</v>
      </c>
      <c r="D15" s="1070">
        <f t="shared" si="1"/>
        <v>2017</v>
      </c>
      <c r="E15" s="1070" t="str">
        <f t="shared" si="1"/>
        <v>ASR</v>
      </c>
      <c r="F15" s="1070">
        <f t="shared" si="1"/>
        <v>4</v>
      </c>
      <c r="G15" s="1070" t="str">
        <f t="shared" si="1"/>
        <v>ASR</v>
      </c>
      <c r="H15" s="1070" t="str">
        <f t="shared" si="2"/>
        <v>2025</v>
      </c>
      <c r="I15" s="1070">
        <f>IF(PPT!$D$2="$ M",IFERROR(HLOOKUP($FQ15,PPT!$E$117:$BJ$119,3,0),0)*1000,IFERROR(HLOOKUP($FQ15,PPT!$E$117:$BJ$119,3,0),0))</f>
        <v>73523.96947665418</v>
      </c>
      <c r="J15" s="1070">
        <f>IFERROR(HLOOKUP($FQ15,Calc!$G$125:$AI$146,3,0),0)</f>
        <v>73523.96947665418</v>
      </c>
      <c r="K15" s="1070">
        <f>IFERROR(HLOOKUP($FQ15,Calc!$G$125:$AI$146,6,0),0)</f>
        <v>73523.96947665418</v>
      </c>
      <c r="L15" s="1070">
        <f>IFERROR(IF(Calc!$C$129="Dollar ($)",HLOOKUP($FQ15,Calc!$G$125:$AI$146,5,0),0),0)</f>
        <v>0</v>
      </c>
      <c r="M15" s="1070">
        <f>IFERROR(IF(Calc!$C$129="Volume (units)",HLOOKUP($FQ15,Calc!$G$125:$AI$146,5,0),0),0)</f>
        <v>0</v>
      </c>
      <c r="N15" s="1070">
        <f>IFERROR(HLOOKUP($FQ15,Calc!$G$125:$AI$146,9,0),0)</f>
        <v>51155.585902063722</v>
      </c>
      <c r="O15" s="1070">
        <f>IFERROR(HLOOKUP($FQ15,Calc!$G$125:$AI$146,10,0),0)</f>
        <v>0.69576746557878633</v>
      </c>
      <c r="P15" s="1070">
        <f>IFERROR(HLOOKUP($FQ15,Calc!$G$125:$AI$146,11,0),0)</f>
        <v>3323.4314505797752</v>
      </c>
      <c r="Q15" s="1070">
        <f>IFERROR(HLOOKUP($FQ15,Calc!$G$125:$AI$146,12,0),0)</f>
        <v>209.9554607785642</v>
      </c>
      <c r="R15" s="1070">
        <f>IFERROR(HLOOKUP($FQ15,Calc!$G$125:$AI$146,13,0),0)</f>
        <v>47622.198990705387</v>
      </c>
      <c r="S15" s="1070">
        <f>IFERROR(HLOOKUP($FQ15,Calc!$G$125:$AI$146,17,0),0)</f>
        <v>33615.983273307873</v>
      </c>
      <c r="T15" s="1070">
        <f>IFERROR(HLOOKUP($FQ15,Calc!$G$125:$AI$146,19,0),0)</f>
        <v>-933.33333333333337</v>
      </c>
      <c r="U15" s="1070">
        <f>IFERROR(HLOOKUP($FQ15,Calc!$G$125:$AI$146,20,0),0)</f>
        <v>6674.0702691069473</v>
      </c>
      <c r="V15" s="1070">
        <f>IFERROR(HLOOKUP($FQ15,Calc!$G$125:$AI$146,21,0),0)</f>
        <v>27875.246337534263</v>
      </c>
      <c r="W15" s="1070">
        <f>IFERROR(HLOOKUP($FQ15,Calc!$F$151:$P$166,2,0),0)</f>
        <v>0</v>
      </c>
      <c r="X15" s="1070">
        <f>IFERROR(HLOOKUP($FQ15,Calc!$F$151:$P$166,3,0),0)</f>
        <v>0</v>
      </c>
      <c r="Y15" s="1070">
        <f>IFERROR(HLOOKUP($FQ15,Calc!$F$151:$P$166,4,0),0)</f>
        <v>0</v>
      </c>
      <c r="Z15" s="1070">
        <f>IFERROR(HLOOKUP($FQ15,Calc!$F$151:$P$166,5,0),0)</f>
        <v>0</v>
      </c>
      <c r="AA15" s="1070">
        <f>IFERROR(HLOOKUP($FQ15,Calc!$F$151:$P$166,6,0),0)</f>
        <v>0</v>
      </c>
      <c r="AB15" s="1070">
        <f>IFERROR(HLOOKUP($FQ15,Calc!$F$151:$P$166,7,0),0)</f>
        <v>0</v>
      </c>
      <c r="AC15" s="1070">
        <f>IFERROR(HLOOKUP($FQ15,Calc!$F$151:$P$166,8,0),0)</f>
        <v>0</v>
      </c>
      <c r="AD15" s="1070">
        <f>IFERROR(HLOOKUP($FQ15,Calc!$F$151:$P$166,9,0),0)</f>
        <v>0</v>
      </c>
      <c r="AE15" s="1070">
        <f>IFERROR(HLOOKUP($FQ15,Calc!$F$151:$P$166,10,0),0)</f>
        <v>0</v>
      </c>
      <c r="AF15" s="1070">
        <f>IFERROR(HLOOKUP($FQ15,Calc!$F$151:$P$166,11,0),0)</f>
        <v>0</v>
      </c>
      <c r="AG15" s="1070">
        <f>IFERROR(HLOOKUP($FQ15,Calc!$F$151:$P$166,12,0),0)</f>
        <v>0</v>
      </c>
      <c r="AH15" s="1070">
        <f>IFERROR(HLOOKUP($FQ15,Calc!$F$151:$P$166,13,0),0)</f>
        <v>0</v>
      </c>
      <c r="AI15" s="1070">
        <f>IFERROR(HLOOKUP($FQ15,Calc!$F$151:$P$166,14,0),0)</f>
        <v>0</v>
      </c>
      <c r="AJ15" s="1070">
        <f>IFERROR(HLOOKUP($FQ15,Calc!$F$151:$P$166,15,0),0)</f>
        <v>0</v>
      </c>
      <c r="AK15" s="1070">
        <f>IFERROR(HLOOKUP($FQ15,Calc!$F$151:$P$166,16,0),0)</f>
        <v>0</v>
      </c>
      <c r="FP15" s="1070">
        <v>25</v>
      </c>
      <c r="FQ15" s="1082" t="str">
        <f t="shared" si="0"/>
        <v>FY25</v>
      </c>
      <c r="FR15" s="1070" t="str">
        <f t="shared" si="3"/>
        <v>2025</v>
      </c>
      <c r="FU15" s="1070" t="s">
        <v>1445</v>
      </c>
    </row>
    <row r="16" spans="1:178" x14ac:dyDescent="0.3">
      <c r="A16" s="1070">
        <f t="shared" si="4"/>
        <v>0</v>
      </c>
      <c r="B16" s="1070" t="str">
        <f t="shared" si="1"/>
        <v>Code</v>
      </c>
      <c r="C16" s="1070">
        <f t="shared" si="1"/>
        <v>0</v>
      </c>
      <c r="D16" s="1070">
        <f t="shared" si="1"/>
        <v>2017</v>
      </c>
      <c r="E16" s="1070" t="str">
        <f t="shared" si="1"/>
        <v>ASR</v>
      </c>
      <c r="F16" s="1070">
        <f t="shared" si="1"/>
        <v>4</v>
      </c>
      <c r="G16" s="1070" t="str">
        <f t="shared" si="1"/>
        <v>ASR</v>
      </c>
      <c r="H16" s="1070" t="str">
        <f t="shared" si="2"/>
        <v>2026</v>
      </c>
      <c r="I16" s="1070">
        <f>IF(PPT!$D$2="$ M",IFERROR(HLOOKUP($FQ16,PPT!$E$117:$BJ$119,3,0),0)*1000,IFERROR(HLOOKUP($FQ16,PPT!$E$117:$BJ$119,3,0),0))</f>
        <v>110318.99500952553</v>
      </c>
      <c r="J16" s="1070">
        <f>IFERROR(HLOOKUP($FQ16,Calc!$G$125:$AI$146,3,0),0)</f>
        <v>110318.99500952553</v>
      </c>
      <c r="K16" s="1070">
        <f>IFERROR(HLOOKUP($FQ16,Calc!$G$125:$AI$146,6,0),0)</f>
        <v>110318.99500952553</v>
      </c>
      <c r="L16" s="1070">
        <f>IFERROR(IF(Calc!$C$129="Dollar ($)",HLOOKUP($FQ16,Calc!$G$125:$AI$146,5,0),0),0)</f>
        <v>0</v>
      </c>
      <c r="M16" s="1070">
        <f>IFERROR(IF(Calc!$C$129="Volume (units)",HLOOKUP($FQ16,Calc!$G$125:$AI$146,5,0),0),0)</f>
        <v>0</v>
      </c>
      <c r="N16" s="1070">
        <f>IFERROR(HLOOKUP($FQ16,Calc!$G$125:$AI$146,9,0),0)</f>
        <v>76659.511587420304</v>
      </c>
      <c r="O16" s="1070">
        <f>IFERROR(HLOOKUP($FQ16,Calc!$G$125:$AI$146,10,0),0)</f>
        <v>0.694889502762431</v>
      </c>
      <c r="P16" s="1070">
        <f>IFERROR(HLOOKUP($FQ16,Calc!$G$125:$AI$146,11,0),0)</f>
        <v>3485.7419101714595</v>
      </c>
      <c r="Q16" s="1070">
        <f>IFERROR(HLOOKUP($FQ16,Calc!$G$125:$AI$146,12,0),0)</f>
        <v>214.1545699941355</v>
      </c>
      <c r="R16" s="1070">
        <f>IFERROR(HLOOKUP($FQ16,Calc!$G$125:$AI$146,13,0),0)</f>
        <v>72959.615107254707</v>
      </c>
      <c r="S16" s="1070">
        <f>IFERROR(HLOOKUP($FQ16,Calc!$G$125:$AI$146,17,0),0)</f>
        <v>51858.922877223391</v>
      </c>
      <c r="T16" s="1070">
        <f>IFERROR(HLOOKUP($FQ16,Calc!$G$125:$AI$146,19,0),0)</f>
        <v>-933.33333333333337</v>
      </c>
      <c r="U16" s="1070">
        <f>IFERROR(HLOOKUP($FQ16,Calc!$G$125:$AI$146,20,0),0)</f>
        <v>7032.8497151280262</v>
      </c>
      <c r="V16" s="1070">
        <f>IFERROR(HLOOKUP($FQ16,Calc!$G$125:$AI$146,21,0),0)</f>
        <v>45759.406495428702</v>
      </c>
      <c r="W16" s="1070">
        <f>IFERROR(HLOOKUP($FQ16,Calc!$F$151:$P$166,2,0),0)</f>
        <v>0</v>
      </c>
      <c r="X16" s="1070">
        <f>IFERROR(HLOOKUP($FQ16,Calc!$F$151:$P$166,3,0),0)</f>
        <v>0</v>
      </c>
      <c r="Y16" s="1070">
        <f>IFERROR(HLOOKUP($FQ16,Calc!$F$151:$P$166,4,0),0)</f>
        <v>0</v>
      </c>
      <c r="Z16" s="1070">
        <f>IFERROR(HLOOKUP($FQ16,Calc!$F$151:$P$166,5,0),0)</f>
        <v>0</v>
      </c>
      <c r="AA16" s="1070">
        <f>IFERROR(HLOOKUP($FQ16,Calc!$F$151:$P$166,6,0),0)</f>
        <v>0</v>
      </c>
      <c r="AB16" s="1070">
        <f>IFERROR(HLOOKUP($FQ16,Calc!$F$151:$P$166,7,0),0)</f>
        <v>0</v>
      </c>
      <c r="AC16" s="1070">
        <f>IFERROR(HLOOKUP($FQ16,Calc!$F$151:$P$166,8,0),0)</f>
        <v>0</v>
      </c>
      <c r="AD16" s="1070">
        <f>IFERROR(HLOOKUP($FQ16,Calc!$F$151:$P$166,9,0),0)</f>
        <v>0</v>
      </c>
      <c r="AE16" s="1070">
        <f>IFERROR(HLOOKUP($FQ16,Calc!$F$151:$P$166,10,0),0)</f>
        <v>0</v>
      </c>
      <c r="AF16" s="1070">
        <f>IFERROR(HLOOKUP($FQ16,Calc!$F$151:$P$166,11,0),0)</f>
        <v>0</v>
      </c>
      <c r="AG16" s="1070">
        <f>IFERROR(HLOOKUP($FQ16,Calc!$F$151:$P$166,12,0),0)</f>
        <v>0</v>
      </c>
      <c r="AH16" s="1070">
        <f>IFERROR(HLOOKUP($FQ16,Calc!$F$151:$P$166,13,0),0)</f>
        <v>0</v>
      </c>
      <c r="AI16" s="1070">
        <f>IFERROR(HLOOKUP($FQ16,Calc!$F$151:$P$166,14,0),0)</f>
        <v>0</v>
      </c>
      <c r="AJ16" s="1070">
        <f>IFERROR(HLOOKUP($FQ16,Calc!$F$151:$P$166,15,0),0)</f>
        <v>0</v>
      </c>
      <c r="AK16" s="1070">
        <f>IFERROR(HLOOKUP($FQ16,Calc!$F$151:$P$166,16,0),0)</f>
        <v>0</v>
      </c>
      <c r="FP16" s="1070">
        <v>26</v>
      </c>
      <c r="FQ16" s="1082" t="str">
        <f t="shared" si="0"/>
        <v>FY26</v>
      </c>
      <c r="FR16" s="1070" t="str">
        <f t="shared" si="3"/>
        <v>2026</v>
      </c>
    </row>
    <row r="17" spans="1:174" x14ac:dyDescent="0.3">
      <c r="A17" s="1070">
        <f t="shared" si="4"/>
        <v>0</v>
      </c>
      <c r="B17" s="1070" t="str">
        <f t="shared" si="1"/>
        <v>Code</v>
      </c>
      <c r="C17" s="1070">
        <f t="shared" si="1"/>
        <v>0</v>
      </c>
      <c r="D17" s="1070">
        <f t="shared" si="1"/>
        <v>2017</v>
      </c>
      <c r="E17" s="1070" t="str">
        <f t="shared" si="1"/>
        <v>ASR</v>
      </c>
      <c r="F17" s="1070">
        <f t="shared" si="1"/>
        <v>4</v>
      </c>
      <c r="G17" s="1070" t="str">
        <f t="shared" si="1"/>
        <v>ASR</v>
      </c>
      <c r="H17" s="1070" t="str">
        <f t="shared" si="2"/>
        <v>2027</v>
      </c>
      <c r="I17" s="1070">
        <f>IF(PPT!$D$2="$ M",IFERROR(HLOOKUP($FQ17,PPT!$E$117:$BJ$119,3,0),0)*1000,IFERROR(HLOOKUP($FQ17,PPT!$E$117:$BJ$119,3,0),0))</f>
        <v>137341.05381475933</v>
      </c>
      <c r="J17" s="1070">
        <f>IFERROR(HLOOKUP($FQ17,Calc!$G$125:$AI$146,3,0),0)</f>
        <v>137341.05381475933</v>
      </c>
      <c r="K17" s="1070">
        <f>IFERROR(HLOOKUP($FQ17,Calc!$G$125:$AI$146,6,0),0)</f>
        <v>137341.05381475933</v>
      </c>
      <c r="L17" s="1070">
        <f>IFERROR(IF(Calc!$C$129="Dollar ($)",HLOOKUP($FQ17,Calc!$G$125:$AI$146,5,0),0),0)</f>
        <v>0</v>
      </c>
      <c r="M17" s="1070">
        <f>IFERROR(IF(Calc!$C$129="Volume (units)",HLOOKUP($FQ17,Calc!$G$125:$AI$146,5,0),0),0)</f>
        <v>0</v>
      </c>
      <c r="N17" s="1070">
        <f>IFERROR(HLOOKUP($FQ17,Calc!$G$125:$AI$146,9,0),0)</f>
        <v>95146.110514129803</v>
      </c>
      <c r="O17" s="1070">
        <f>IFERROR(HLOOKUP($FQ17,Calc!$G$125:$AI$146,10,0),0)</f>
        <v>0.69277253866465482</v>
      </c>
      <c r="P17" s="1070">
        <f>IFERROR(HLOOKUP($FQ17,Calc!$G$125:$AI$146,11,0),0)</f>
        <v>3972.1389686656671</v>
      </c>
      <c r="Q17" s="1070">
        <f>IFERROR(HLOOKUP($FQ17,Calc!$G$125:$AI$146,12,0),0)</f>
        <v>218.43766139401816</v>
      </c>
      <c r="R17" s="1070">
        <f>IFERROR(HLOOKUP($FQ17,Calc!$G$125:$AI$146,13,0),0)</f>
        <v>90955.53388407013</v>
      </c>
      <c r="S17" s="1070">
        <f>IFERROR(HLOOKUP($FQ17,Calc!$G$125:$AI$146,17,0),0)</f>
        <v>64815.98439653049</v>
      </c>
      <c r="T17" s="1070">
        <f>IFERROR(HLOOKUP($FQ17,Calc!$G$125:$AI$146,19,0),0)</f>
        <v>-933.33333333333337</v>
      </c>
      <c r="U17" s="1070">
        <f>IFERROR(HLOOKUP($FQ17,Calc!$G$125:$AI$146,20,0),0)</f>
        <v>5195.3025800595897</v>
      </c>
      <c r="V17" s="1070">
        <f>IFERROR(HLOOKUP($FQ17,Calc!$G$125:$AI$146,21,0),0)</f>
        <v>60554.015149804225</v>
      </c>
      <c r="W17" s="1070">
        <f>IFERROR(HLOOKUP($FQ17,Calc!$F$151:$P$166,2,0),0)</f>
        <v>0</v>
      </c>
      <c r="X17" s="1070">
        <f>IFERROR(HLOOKUP($FQ17,Calc!$F$151:$P$166,3,0),0)</f>
        <v>0</v>
      </c>
      <c r="Y17" s="1070">
        <f>IFERROR(HLOOKUP($FQ17,Calc!$F$151:$P$166,4,0),0)</f>
        <v>0</v>
      </c>
      <c r="Z17" s="1070">
        <f>IFERROR(HLOOKUP($FQ17,Calc!$F$151:$P$166,5,0),0)</f>
        <v>0</v>
      </c>
      <c r="AA17" s="1070">
        <f>IFERROR(HLOOKUP($FQ17,Calc!$F$151:$P$166,6,0),0)</f>
        <v>0</v>
      </c>
      <c r="AB17" s="1070">
        <f>IFERROR(HLOOKUP($FQ17,Calc!$F$151:$P$166,7,0),0)</f>
        <v>0</v>
      </c>
      <c r="AC17" s="1070">
        <f>IFERROR(HLOOKUP($FQ17,Calc!$F$151:$P$166,8,0),0)</f>
        <v>0</v>
      </c>
      <c r="AD17" s="1070">
        <f>IFERROR(HLOOKUP($FQ17,Calc!$F$151:$P$166,9,0),0)</f>
        <v>0</v>
      </c>
      <c r="AE17" s="1070">
        <f>IFERROR(HLOOKUP($FQ17,Calc!$F$151:$P$166,10,0),0)</f>
        <v>0</v>
      </c>
      <c r="AF17" s="1070">
        <f>IFERROR(HLOOKUP($FQ17,Calc!$F$151:$P$166,11,0),0)</f>
        <v>0</v>
      </c>
      <c r="AG17" s="1070">
        <f>IFERROR(HLOOKUP($FQ17,Calc!$F$151:$P$166,12,0),0)</f>
        <v>0</v>
      </c>
      <c r="AH17" s="1070">
        <f>IFERROR(HLOOKUP($FQ17,Calc!$F$151:$P$166,13,0),0)</f>
        <v>0</v>
      </c>
      <c r="AI17" s="1070">
        <f>IFERROR(HLOOKUP($FQ17,Calc!$F$151:$P$166,14,0),0)</f>
        <v>0</v>
      </c>
      <c r="AJ17" s="1070">
        <f>IFERROR(HLOOKUP($FQ17,Calc!$F$151:$P$166,15,0),0)</f>
        <v>0</v>
      </c>
      <c r="AK17" s="1070">
        <f>IFERROR(HLOOKUP($FQ17,Calc!$F$151:$P$166,16,0),0)</f>
        <v>0</v>
      </c>
      <c r="FP17" s="1070">
        <v>27</v>
      </c>
      <c r="FQ17" s="1082" t="str">
        <f t="shared" si="0"/>
        <v>FY27</v>
      </c>
      <c r="FR17" s="1070" t="str">
        <f t="shared" si="3"/>
        <v>2027</v>
      </c>
    </row>
    <row r="18" spans="1:174" x14ac:dyDescent="0.3">
      <c r="A18" s="1070">
        <f t="shared" si="4"/>
        <v>0</v>
      </c>
      <c r="B18" s="1070" t="str">
        <f t="shared" si="1"/>
        <v>Code</v>
      </c>
      <c r="C18" s="1070">
        <f t="shared" si="1"/>
        <v>0</v>
      </c>
      <c r="D18" s="1070">
        <f t="shared" si="1"/>
        <v>2017</v>
      </c>
      <c r="E18" s="1070" t="str">
        <f t="shared" si="1"/>
        <v>ASR</v>
      </c>
      <c r="F18" s="1070">
        <f t="shared" si="1"/>
        <v>4</v>
      </c>
      <c r="G18" s="1070" t="str">
        <f t="shared" si="1"/>
        <v>ASR</v>
      </c>
      <c r="H18" s="1070" t="str">
        <f t="shared" si="2"/>
        <v>2028</v>
      </c>
      <c r="I18" s="1070">
        <f>IF(PPT!$D$2="$ M",IFERROR(HLOOKUP($FQ18,PPT!$E$117:$BJ$119,3,0),0)*1000,IFERROR(HLOOKUP($FQ18,PPT!$E$117:$BJ$119,3,0),0))</f>
        <v>152865.10012769504</v>
      </c>
      <c r="J18" s="1070">
        <f>IFERROR(HLOOKUP($FQ18,Calc!$G$125:$AI$146,3,0),0)</f>
        <v>152865.10012769504</v>
      </c>
      <c r="K18" s="1070">
        <f>IFERROR(HLOOKUP($FQ18,Calc!$G$125:$AI$146,6,0),0)</f>
        <v>152865.10012769504</v>
      </c>
      <c r="L18" s="1070">
        <f>IFERROR(IF(Calc!$C$129="Dollar ($)",HLOOKUP($FQ18,Calc!$G$125:$AI$146,5,0),0),0)</f>
        <v>0</v>
      </c>
      <c r="M18" s="1070">
        <f>IFERROR(IF(Calc!$C$129="Volume (units)",HLOOKUP($FQ18,Calc!$G$125:$AI$146,5,0),0),0)</f>
        <v>0</v>
      </c>
      <c r="N18" s="1070">
        <f>IFERROR(HLOOKUP($FQ18,Calc!$G$125:$AI$146,9,0),0)</f>
        <v>105736.39576409268</v>
      </c>
      <c r="O18" s="1070">
        <f>IFERROR(HLOOKUP($FQ18,Calc!$G$125:$AI$146,10,0),0)</f>
        <v>0.69169742260179956</v>
      </c>
      <c r="P18" s="1070">
        <f>IFERROR(HLOOKUP($FQ18,Calc!$G$125:$AI$146,11,0),0)</f>
        <v>4251.5718022985111</v>
      </c>
      <c r="Q18" s="1070">
        <f>IFERROR(HLOOKUP($FQ18,Calc!$G$125:$AI$146,12,0),0)</f>
        <v>222.80641462189857</v>
      </c>
      <c r="R18" s="1070">
        <f>IFERROR(HLOOKUP($FQ18,Calc!$G$125:$AI$146,13,0),0)</f>
        <v>101262.01754717228</v>
      </c>
      <c r="S18" s="1070">
        <f>IFERROR(HLOOKUP($FQ18,Calc!$G$125:$AI$146,17,0),0)</f>
        <v>72236.65263396404</v>
      </c>
      <c r="T18" s="1070">
        <f>IFERROR(HLOOKUP($FQ18,Calc!$G$125:$AI$146,19,0),0)</f>
        <v>-933.33333333333337</v>
      </c>
      <c r="U18" s="1070">
        <f>IFERROR(HLOOKUP($FQ18,Calc!$G$125:$AI$146,20,0),0)</f>
        <v>2988.4494306812239</v>
      </c>
      <c r="V18" s="1070">
        <f>IFERROR(HLOOKUP($FQ18,Calc!$G$125:$AI$146,21,0),0)</f>
        <v>70181.536536616142</v>
      </c>
      <c r="W18" s="1070">
        <f>IFERROR(HLOOKUP($FQ18,Calc!$F$151:$P$166,2,0),0)</f>
        <v>0</v>
      </c>
      <c r="X18" s="1070">
        <f>IFERROR(HLOOKUP($FQ18,Calc!$F$151:$P$166,3,0),0)</f>
        <v>0</v>
      </c>
      <c r="Y18" s="1070">
        <f>IFERROR(HLOOKUP($FQ18,Calc!$F$151:$P$166,4,0),0)</f>
        <v>0</v>
      </c>
      <c r="Z18" s="1070">
        <f>IFERROR(HLOOKUP($FQ18,Calc!$F$151:$P$166,5,0),0)</f>
        <v>0</v>
      </c>
      <c r="AA18" s="1070">
        <f>IFERROR(HLOOKUP($FQ18,Calc!$F$151:$P$166,6,0),0)</f>
        <v>0</v>
      </c>
      <c r="AB18" s="1070">
        <f>IFERROR(HLOOKUP($FQ18,Calc!$F$151:$P$166,7,0),0)</f>
        <v>0</v>
      </c>
      <c r="AC18" s="1070">
        <f>IFERROR(HLOOKUP($FQ18,Calc!$F$151:$P$166,8,0),0)</f>
        <v>0</v>
      </c>
      <c r="AD18" s="1070">
        <f>IFERROR(HLOOKUP($FQ18,Calc!$F$151:$P$166,9,0),0)</f>
        <v>0</v>
      </c>
      <c r="AE18" s="1070">
        <f>IFERROR(HLOOKUP($FQ18,Calc!$F$151:$P$166,10,0),0)</f>
        <v>0</v>
      </c>
      <c r="AF18" s="1070">
        <f>IFERROR(HLOOKUP($FQ18,Calc!$F$151:$P$166,11,0),0)</f>
        <v>0</v>
      </c>
      <c r="AG18" s="1070">
        <f>IFERROR(HLOOKUP($FQ18,Calc!$F$151:$P$166,12,0),0)</f>
        <v>0</v>
      </c>
      <c r="AH18" s="1070">
        <f>IFERROR(HLOOKUP($FQ18,Calc!$F$151:$P$166,13,0),0)</f>
        <v>0</v>
      </c>
      <c r="AI18" s="1070">
        <f>IFERROR(HLOOKUP($FQ18,Calc!$F$151:$P$166,14,0),0)</f>
        <v>0</v>
      </c>
      <c r="AJ18" s="1070">
        <f>IFERROR(HLOOKUP($FQ18,Calc!$F$151:$P$166,15,0),0)</f>
        <v>0</v>
      </c>
      <c r="AK18" s="1070">
        <f>IFERROR(HLOOKUP($FQ18,Calc!$F$151:$P$166,16,0),0)</f>
        <v>0</v>
      </c>
      <c r="FP18" s="1070">
        <v>28</v>
      </c>
      <c r="FQ18" s="1082" t="str">
        <f t="shared" si="0"/>
        <v>FY28</v>
      </c>
      <c r="FR18" s="1070" t="str">
        <f t="shared" si="3"/>
        <v>2028</v>
      </c>
    </row>
    <row r="19" spans="1:174" x14ac:dyDescent="0.3">
      <c r="A19" s="1070">
        <f t="shared" si="4"/>
        <v>0</v>
      </c>
      <c r="B19" s="1070" t="str">
        <f t="shared" si="4"/>
        <v>Code</v>
      </c>
      <c r="C19" s="1070">
        <f t="shared" si="4"/>
        <v>0</v>
      </c>
      <c r="D19" s="1070">
        <f t="shared" si="4"/>
        <v>2017</v>
      </c>
      <c r="E19" s="1070" t="str">
        <f t="shared" si="4"/>
        <v>ASR</v>
      </c>
      <c r="F19" s="1070">
        <f t="shared" si="4"/>
        <v>4</v>
      </c>
      <c r="G19" s="1070" t="str">
        <f t="shared" si="4"/>
        <v>ASR</v>
      </c>
      <c r="H19" s="1070" t="str">
        <f t="shared" si="2"/>
        <v>2029</v>
      </c>
      <c r="I19" s="1070">
        <f>IF(PPT!$D$2="$ M",IFERROR(HLOOKUP($FQ19,PPT!$E$117:$BJ$119,3,0),0)*1000,IFERROR(HLOOKUP($FQ19,PPT!$E$117:$BJ$119,3,0),0))</f>
        <v>165744.56703901547</v>
      </c>
      <c r="J19" s="1070">
        <f>IFERROR(HLOOKUP($FQ19,Calc!$G$125:$AI$146,3,0),0)</f>
        <v>165744.56703901547</v>
      </c>
      <c r="K19" s="1070">
        <f>IFERROR(HLOOKUP($FQ19,Calc!$G$125:$AI$146,6,0),0)</f>
        <v>165744.56703901547</v>
      </c>
      <c r="L19" s="1070">
        <f>IFERROR(IF(Calc!$C$129="Dollar ($)",HLOOKUP($FQ19,Calc!$G$125:$AI$146,5,0),0),0)</f>
        <v>0</v>
      </c>
      <c r="M19" s="1070">
        <f>IFERROR(IF(Calc!$C$129="Volume (units)",HLOOKUP($FQ19,Calc!$G$125:$AI$146,5,0),0),0)</f>
        <v>0</v>
      </c>
      <c r="N19" s="1070">
        <f>IFERROR(HLOOKUP($FQ19,Calc!$G$125:$AI$146,9,0),0)</f>
        <v>112724.98070060382</v>
      </c>
      <c r="O19" s="1070">
        <f>IFERROR(HLOOKUP($FQ19,Calc!$G$125:$AI$146,10,0),0)</f>
        <v>0.68011267406471854</v>
      </c>
      <c r="P19" s="1070">
        <f>IFERROR(HLOOKUP($FQ19,Calc!$G$125:$AI$146,11,0),0)</f>
        <v>3983.4022067022779</v>
      </c>
      <c r="Q19" s="1070">
        <f>IFERROR(HLOOKUP($FQ19,Calc!$G$125:$AI$146,12,0),0)</f>
        <v>0</v>
      </c>
      <c r="R19" s="1070">
        <f>IFERROR(HLOOKUP($FQ19,Calc!$G$125:$AI$146,13,0),0)</f>
        <v>108741.57849390154</v>
      </c>
      <c r="S19" s="1070">
        <f>IFERROR(HLOOKUP($FQ19,Calc!$G$125:$AI$146,17,0),0)</f>
        <v>77621.936515609108</v>
      </c>
      <c r="T19" s="1070">
        <f>IFERROR(HLOOKUP($FQ19,Calc!$G$125:$AI$146,19,0),0)</f>
        <v>-933.33333333333337</v>
      </c>
      <c r="U19" s="1070">
        <f>IFERROR(HLOOKUP($FQ19,Calc!$G$125:$AI$146,20,0),0)</f>
        <v>2704.0565805251163</v>
      </c>
      <c r="V19" s="1070">
        <f>IFERROR(HLOOKUP($FQ19,Calc!$G$125:$AI$146,21,0),0)</f>
        <v>75851.213268417327</v>
      </c>
      <c r="W19" s="1070">
        <f>IFERROR(HLOOKUP($FQ19,Calc!$F$151:$P$166,2,0),0)</f>
        <v>0</v>
      </c>
      <c r="X19" s="1070">
        <f>IFERROR(HLOOKUP($FQ19,Calc!$F$151:$P$166,3,0),0)</f>
        <v>0</v>
      </c>
      <c r="Y19" s="1070">
        <f>IFERROR(HLOOKUP($FQ19,Calc!$F$151:$P$166,4,0),0)</f>
        <v>0</v>
      </c>
      <c r="Z19" s="1070">
        <f>IFERROR(HLOOKUP($FQ19,Calc!$F$151:$P$166,5,0),0)</f>
        <v>0</v>
      </c>
      <c r="AA19" s="1070">
        <f>IFERROR(HLOOKUP($FQ19,Calc!$F$151:$P$166,6,0),0)</f>
        <v>0</v>
      </c>
      <c r="AB19" s="1070">
        <f>IFERROR(HLOOKUP($FQ19,Calc!$F$151:$P$166,7,0),0)</f>
        <v>0</v>
      </c>
      <c r="AC19" s="1070">
        <f>IFERROR(HLOOKUP($FQ19,Calc!$F$151:$P$166,8,0),0)</f>
        <v>0</v>
      </c>
      <c r="AD19" s="1070">
        <f>IFERROR(HLOOKUP($FQ19,Calc!$F$151:$P$166,9,0),0)</f>
        <v>0</v>
      </c>
      <c r="AE19" s="1070">
        <f>IFERROR(HLOOKUP($FQ19,Calc!$F$151:$P$166,10,0),0)</f>
        <v>0</v>
      </c>
      <c r="AF19" s="1070">
        <f>IFERROR(HLOOKUP($FQ19,Calc!$F$151:$P$166,11,0),0)</f>
        <v>0</v>
      </c>
      <c r="AG19" s="1070">
        <f>IFERROR(HLOOKUP($FQ19,Calc!$F$151:$P$166,12,0),0)</f>
        <v>0</v>
      </c>
      <c r="AH19" s="1070">
        <f>IFERROR(HLOOKUP($FQ19,Calc!$F$151:$P$166,13,0),0)</f>
        <v>0</v>
      </c>
      <c r="AI19" s="1070">
        <f>IFERROR(HLOOKUP($FQ19,Calc!$F$151:$P$166,14,0),0)</f>
        <v>0</v>
      </c>
      <c r="AJ19" s="1070">
        <f>IFERROR(HLOOKUP($FQ19,Calc!$F$151:$P$166,15,0),0)</f>
        <v>0</v>
      </c>
      <c r="AK19" s="1070">
        <f>IFERROR(HLOOKUP($FQ19,Calc!$F$151:$P$166,16,0),0)</f>
        <v>0</v>
      </c>
      <c r="FP19" s="1070">
        <v>29</v>
      </c>
      <c r="FQ19" s="1082" t="str">
        <f t="shared" si="0"/>
        <v>FY29</v>
      </c>
      <c r="FR19" s="1070" t="str">
        <f t="shared" si="3"/>
        <v>2029</v>
      </c>
    </row>
    <row r="20" spans="1:174" x14ac:dyDescent="0.3">
      <c r="A20" s="1070">
        <f t="shared" ref="A20:G28" si="6">A19</f>
        <v>0</v>
      </c>
      <c r="B20" s="1070" t="str">
        <f t="shared" si="6"/>
        <v>Code</v>
      </c>
      <c r="C20" s="1070">
        <f t="shared" si="6"/>
        <v>0</v>
      </c>
      <c r="D20" s="1070">
        <f t="shared" si="6"/>
        <v>2017</v>
      </c>
      <c r="E20" s="1070" t="str">
        <f t="shared" si="6"/>
        <v>ASR</v>
      </c>
      <c r="F20" s="1070">
        <f t="shared" si="6"/>
        <v>4</v>
      </c>
      <c r="G20" s="1070" t="str">
        <f t="shared" si="6"/>
        <v>ASR</v>
      </c>
      <c r="H20" s="1070" t="str">
        <f t="shared" si="2"/>
        <v>2030</v>
      </c>
      <c r="I20" s="1070">
        <f>IF(PPT!$D$2="$ M",IFERROR(HLOOKUP($FQ20,PPT!$E$117:$BJ$119,3,0),0)*1000,IFERROR(HLOOKUP($FQ20,PPT!$E$117:$BJ$119,3,0),0))</f>
        <v>190189.87253450209</v>
      </c>
      <c r="J20" s="1070">
        <f>IFERROR(HLOOKUP($FQ20,Calc!$G$125:$AI$146,3,0),0)</f>
        <v>190189.87253450209</v>
      </c>
      <c r="K20" s="1070">
        <f>IFERROR(HLOOKUP($FQ20,Calc!$G$125:$AI$146,6,0),0)</f>
        <v>190189.87253450209</v>
      </c>
      <c r="L20" s="1070">
        <f>IFERROR(IF(Calc!$C$129="Dollar ($)",HLOOKUP($FQ20,Calc!$G$125:$AI$146,5,0),0),0)</f>
        <v>0</v>
      </c>
      <c r="M20" s="1070">
        <f>IFERROR(IF(Calc!$C$129="Volume (units)",HLOOKUP($FQ20,Calc!$G$125:$AI$146,5,0),0),0)</f>
        <v>0</v>
      </c>
      <c r="N20" s="1070">
        <f>IFERROR(HLOOKUP($FQ20,Calc!$G$125:$AI$146,9,0),0)</f>
        <v>130262.18980704833</v>
      </c>
      <c r="O20" s="1070">
        <f>IFERROR(HLOOKUP($FQ20,Calc!$G$125:$AI$146,10,0),0)</f>
        <v>0.68490602612616835</v>
      </c>
      <c r="P20" s="1070">
        <f>IFERROR(HLOOKUP($FQ20,Calc!$G$125:$AI$146,11,0),0)</f>
        <v>4423.4177056210374</v>
      </c>
      <c r="Q20" s="1070">
        <f>IFERROR(HLOOKUP($FQ20,Calc!$G$125:$AI$146,12,0),0)</f>
        <v>0</v>
      </c>
      <c r="R20" s="1070">
        <f>IFERROR(HLOOKUP($FQ20,Calc!$G$125:$AI$146,13,0),0)</f>
        <v>125838.7721014273</v>
      </c>
      <c r="S20" s="1070">
        <f>IFERROR(HLOOKUP($FQ20,Calc!$G$125:$AI$146,17,0),0)</f>
        <v>89931.915913027653</v>
      </c>
      <c r="T20" s="1070">
        <f>IFERROR(HLOOKUP($FQ20,Calc!$G$125:$AI$146,19,0),0)</f>
        <v>-933.33333333333337</v>
      </c>
      <c r="U20" s="1070">
        <f>IFERROR(HLOOKUP($FQ20,Calc!$G$125:$AI$146,20,0),0)</f>
        <v>4598.2114993296118</v>
      </c>
      <c r="V20" s="1070">
        <f>IFERROR(HLOOKUP($FQ20,Calc!$G$125:$AI$146,21,0),0)</f>
        <v>86267.037747031369</v>
      </c>
      <c r="W20" s="1070">
        <f>IFERROR(HLOOKUP($FQ20,Calc!$F$151:$P$166,2,0),0)</f>
        <v>0</v>
      </c>
      <c r="X20" s="1070">
        <f>IFERROR(HLOOKUP($FQ20,Calc!$F$151:$P$166,3,0),0)</f>
        <v>0</v>
      </c>
      <c r="Y20" s="1070">
        <f>IFERROR(HLOOKUP($FQ20,Calc!$F$151:$P$166,4,0),0)</f>
        <v>0</v>
      </c>
      <c r="Z20" s="1070">
        <f>IFERROR(HLOOKUP($FQ20,Calc!$F$151:$P$166,5,0),0)</f>
        <v>0</v>
      </c>
      <c r="AA20" s="1070">
        <f>IFERROR(HLOOKUP($FQ20,Calc!$F$151:$P$166,6,0),0)</f>
        <v>0</v>
      </c>
      <c r="AB20" s="1070">
        <f>IFERROR(HLOOKUP($FQ20,Calc!$F$151:$P$166,7,0),0)</f>
        <v>0</v>
      </c>
      <c r="AC20" s="1070">
        <f>IFERROR(HLOOKUP($FQ20,Calc!$F$151:$P$166,8,0),0)</f>
        <v>0</v>
      </c>
      <c r="AD20" s="1070">
        <f>IFERROR(HLOOKUP($FQ20,Calc!$F$151:$P$166,9,0),0)</f>
        <v>0</v>
      </c>
      <c r="AE20" s="1070">
        <f>IFERROR(HLOOKUP($FQ20,Calc!$F$151:$P$166,10,0),0)</f>
        <v>0</v>
      </c>
      <c r="AF20" s="1070">
        <f>IFERROR(HLOOKUP($FQ20,Calc!$F$151:$P$166,11,0),0)</f>
        <v>0</v>
      </c>
      <c r="AG20" s="1070">
        <f>IFERROR(HLOOKUP($FQ20,Calc!$F$151:$P$166,12,0),0)</f>
        <v>0</v>
      </c>
      <c r="AH20" s="1070">
        <f>IFERROR(HLOOKUP($FQ20,Calc!$F$151:$P$166,13,0),0)</f>
        <v>0</v>
      </c>
      <c r="AI20" s="1070">
        <f>IFERROR(HLOOKUP($FQ20,Calc!$F$151:$P$166,14,0),0)</f>
        <v>0</v>
      </c>
      <c r="AJ20" s="1070">
        <f>IFERROR(HLOOKUP($FQ20,Calc!$F$151:$P$166,15,0),0)</f>
        <v>0</v>
      </c>
      <c r="AK20" s="1070">
        <f>IFERROR(HLOOKUP($FQ20,Calc!$F$151:$P$166,16,0),0)</f>
        <v>0</v>
      </c>
      <c r="FP20" s="1070">
        <v>30</v>
      </c>
      <c r="FQ20" s="1082" t="str">
        <f t="shared" si="0"/>
        <v>FY30</v>
      </c>
      <c r="FR20" s="1070" t="str">
        <f t="shared" si="3"/>
        <v>2030</v>
      </c>
    </row>
    <row r="21" spans="1:174" x14ac:dyDescent="0.3">
      <c r="A21" s="1070">
        <f t="shared" si="6"/>
        <v>0</v>
      </c>
      <c r="B21" s="1070" t="str">
        <f t="shared" si="6"/>
        <v>Code</v>
      </c>
      <c r="C21" s="1070">
        <f t="shared" si="6"/>
        <v>0</v>
      </c>
      <c r="D21" s="1070">
        <f t="shared" si="6"/>
        <v>2017</v>
      </c>
      <c r="E21" s="1070" t="str">
        <f t="shared" si="6"/>
        <v>ASR</v>
      </c>
      <c r="F21" s="1070">
        <f t="shared" si="6"/>
        <v>4</v>
      </c>
      <c r="G21" s="1070" t="str">
        <f t="shared" si="6"/>
        <v>ASR</v>
      </c>
      <c r="H21" s="1070" t="str">
        <f t="shared" si="2"/>
        <v>2031</v>
      </c>
      <c r="I21" s="1070">
        <f>IF(PPT!$D$2="$ M",IFERROR(HLOOKUP($FQ21,PPT!$E$117:$BJ$119,3,0),0)*1000,IFERROR(HLOOKUP($FQ21,PPT!$E$117:$BJ$119,3,0),0))</f>
        <v>198826.88370596603</v>
      </c>
      <c r="J21" s="1070">
        <f>IFERROR(HLOOKUP($FQ21,Calc!$G$125:$AI$146,3,0),0)</f>
        <v>198826.88370596603</v>
      </c>
      <c r="K21" s="1070">
        <f>IFERROR(HLOOKUP($FQ21,Calc!$G$125:$AI$146,6,0),0)</f>
        <v>198826.88370596603</v>
      </c>
      <c r="L21" s="1070">
        <f>IFERROR(IF(Calc!$C$129="Dollar ($)",HLOOKUP($FQ21,Calc!$G$125:$AI$146,5,0),0),0)</f>
        <v>0</v>
      </c>
      <c r="M21" s="1070">
        <f>IFERROR(IF(Calc!$C$129="Volume (units)",HLOOKUP($FQ21,Calc!$G$125:$AI$146,5,0),0),0)</f>
        <v>0</v>
      </c>
      <c r="N21" s="1070">
        <f>IFERROR(HLOOKUP($FQ21,Calc!$G$125:$AI$146,9,0),0)</f>
        <v>133926.86425193108</v>
      </c>
      <c r="O21" s="1070">
        <f>IFERROR(HLOOKUP($FQ21,Calc!$G$125:$AI$146,10,0),0)</f>
        <v>0.67358529065912454</v>
      </c>
      <c r="P21" s="1070">
        <f>IFERROR(HLOOKUP($FQ21,Calc!$G$125:$AI$146,11,0),0)</f>
        <v>4578.8839067073877</v>
      </c>
      <c r="Q21" s="1070">
        <f>IFERROR(HLOOKUP($FQ21,Calc!$G$125:$AI$146,12,0),0)</f>
        <v>0</v>
      </c>
      <c r="R21" s="1070">
        <f>IFERROR(HLOOKUP($FQ21,Calc!$G$125:$AI$146,13,0),0)</f>
        <v>129347.9803452237</v>
      </c>
      <c r="S21" s="1070">
        <f>IFERROR(HLOOKUP($FQ21,Calc!$G$125:$AI$146,17,0),0)</f>
        <v>92458.545848561058</v>
      </c>
      <c r="T21" s="1070">
        <f>IFERROR(HLOOKUP($FQ21,Calc!$G$125:$AI$146,19,0),0)</f>
        <v>-933.33333333333337</v>
      </c>
      <c r="U21" s="1070">
        <f>IFERROR(HLOOKUP($FQ21,Calc!$G$125:$AI$146,20,0),0)</f>
        <v>1941.0854642407503</v>
      </c>
      <c r="V21" s="1070">
        <f>IFERROR(HLOOKUP($FQ21,Calc!$G$125:$AI$146,21,0),0)</f>
        <v>91450.793717653636</v>
      </c>
      <c r="W21" s="1070">
        <f>IFERROR(HLOOKUP($FQ21,Calc!$F$151:$P$166,2,0),0)</f>
        <v>0</v>
      </c>
      <c r="X21" s="1070">
        <f>IFERROR(HLOOKUP($FQ21,Calc!$F$151:$P$166,3,0),0)</f>
        <v>0</v>
      </c>
      <c r="Y21" s="1070">
        <f>IFERROR(HLOOKUP($FQ21,Calc!$F$151:$P$166,4,0),0)</f>
        <v>0</v>
      </c>
      <c r="Z21" s="1070">
        <f>IFERROR(HLOOKUP($FQ21,Calc!$F$151:$P$166,5,0),0)</f>
        <v>0</v>
      </c>
      <c r="AA21" s="1070">
        <f>IFERROR(HLOOKUP($FQ21,Calc!$F$151:$P$166,6,0),0)</f>
        <v>0</v>
      </c>
      <c r="AB21" s="1070">
        <f>IFERROR(HLOOKUP($FQ21,Calc!$F$151:$P$166,7,0),0)</f>
        <v>0</v>
      </c>
      <c r="AC21" s="1070">
        <f>IFERROR(HLOOKUP($FQ21,Calc!$F$151:$P$166,8,0),0)</f>
        <v>0</v>
      </c>
      <c r="AD21" s="1070">
        <f>IFERROR(HLOOKUP($FQ21,Calc!$F$151:$P$166,9,0),0)</f>
        <v>0</v>
      </c>
      <c r="AE21" s="1070">
        <f>IFERROR(HLOOKUP($FQ21,Calc!$F$151:$P$166,10,0),0)</f>
        <v>0</v>
      </c>
      <c r="AF21" s="1070">
        <f>IFERROR(HLOOKUP($FQ21,Calc!$F$151:$P$166,11,0),0)</f>
        <v>0</v>
      </c>
      <c r="AG21" s="1070">
        <f>IFERROR(HLOOKUP($FQ21,Calc!$F$151:$P$166,12,0),0)</f>
        <v>0</v>
      </c>
      <c r="AH21" s="1070">
        <f>IFERROR(HLOOKUP($FQ21,Calc!$F$151:$P$166,13,0),0)</f>
        <v>0</v>
      </c>
      <c r="AI21" s="1070">
        <f>IFERROR(HLOOKUP($FQ21,Calc!$F$151:$P$166,14,0),0)</f>
        <v>0</v>
      </c>
      <c r="AJ21" s="1070">
        <f>IFERROR(HLOOKUP($FQ21,Calc!$F$151:$P$166,15,0),0)</f>
        <v>0</v>
      </c>
      <c r="AK21" s="1070">
        <f>IFERROR(HLOOKUP($FQ21,Calc!$F$151:$P$166,16,0),0)</f>
        <v>0</v>
      </c>
      <c r="FP21" s="1070">
        <v>31</v>
      </c>
      <c r="FQ21" s="1082" t="str">
        <f t="shared" si="0"/>
        <v>FY31</v>
      </c>
      <c r="FR21" s="1070" t="str">
        <f t="shared" si="3"/>
        <v>2031</v>
      </c>
    </row>
    <row r="22" spans="1:174" x14ac:dyDescent="0.3">
      <c r="A22" s="1070">
        <f t="shared" si="6"/>
        <v>0</v>
      </c>
      <c r="B22" s="1070" t="str">
        <f t="shared" si="6"/>
        <v>Code</v>
      </c>
      <c r="C22" s="1070">
        <f t="shared" si="6"/>
        <v>0</v>
      </c>
      <c r="D22" s="1070">
        <f t="shared" si="6"/>
        <v>2017</v>
      </c>
      <c r="E22" s="1070" t="str">
        <f t="shared" si="6"/>
        <v>ASR</v>
      </c>
      <c r="F22" s="1070">
        <f t="shared" si="6"/>
        <v>4</v>
      </c>
      <c r="G22" s="1070" t="str">
        <f t="shared" si="6"/>
        <v>ASR</v>
      </c>
      <c r="H22" s="1070" t="str">
        <f t="shared" si="2"/>
        <v>2032</v>
      </c>
      <c r="I22" s="1070">
        <f>IF(PPT!$D$2="$ M",IFERROR(HLOOKUP($FQ22,PPT!$E$117:$BJ$119,3,0),0)*1000,IFERROR(HLOOKUP($FQ22,PPT!$E$117:$BJ$119,3,0),0))</f>
        <v>239308.03722850067</v>
      </c>
      <c r="J22" s="1070">
        <f>IFERROR(HLOOKUP($FQ22,Calc!$G$125:$AI$146,3,0),0)</f>
        <v>239308.03722850067</v>
      </c>
      <c r="K22" s="1070">
        <f>IFERROR(HLOOKUP($FQ22,Calc!$G$125:$AI$146,6,0),0)</f>
        <v>239308.03722850067</v>
      </c>
      <c r="L22" s="1070">
        <f>IFERROR(IF(Calc!$C$129="Dollar ($)",HLOOKUP($FQ22,Calc!$G$125:$AI$146,5,0),0),0)</f>
        <v>0</v>
      </c>
      <c r="M22" s="1070">
        <f>IFERROR(IF(Calc!$C$129="Volume (units)",HLOOKUP($FQ22,Calc!$G$125:$AI$146,5,0),0),0)</f>
        <v>0</v>
      </c>
      <c r="N22" s="1070">
        <f>IFERROR(HLOOKUP($FQ22,Calc!$G$125:$AI$146,9,0),0)</f>
        <v>165362.28609762626</v>
      </c>
      <c r="O22" s="1070">
        <f>IFERROR(HLOOKUP($FQ22,Calc!$G$125:$AI$146,10,0),0)</f>
        <v>0.69100180676226886</v>
      </c>
      <c r="P22" s="1070">
        <f>IFERROR(HLOOKUP($FQ22,Calc!$G$125:$AI$146,11,0),0)</f>
        <v>5307.5446701130122</v>
      </c>
      <c r="Q22" s="1070">
        <f>IFERROR(HLOOKUP($FQ22,Calc!$G$125:$AI$146,12,0),0)</f>
        <v>0</v>
      </c>
      <c r="R22" s="1070">
        <f>IFERROR(HLOOKUP($FQ22,Calc!$G$125:$AI$146,13,0),0)</f>
        <v>160054.74142751325</v>
      </c>
      <c r="S22" s="1070">
        <f>IFERROR(HLOOKUP($FQ22,Calc!$G$125:$AI$146,17,0),0)</f>
        <v>114567.41382780953</v>
      </c>
      <c r="T22" s="1070">
        <f>IFERROR(HLOOKUP($FQ22,Calc!$G$125:$AI$146,19,0),0)</f>
        <v>-933.33333333333337</v>
      </c>
      <c r="U22" s="1070">
        <f>IFERROR(HLOOKUP($FQ22,Calc!$G$125:$AI$146,20,0),0)</f>
        <v>7315.3371366588362</v>
      </c>
      <c r="V22" s="1070">
        <f>IFERROR(HLOOKUP($FQ22,Calc!$G$125:$AI$146,21,0),0)</f>
        <v>108185.41002448402</v>
      </c>
      <c r="W22" s="1070">
        <f>IFERROR(HLOOKUP($FQ22,Calc!$F$151:$P$166,2,0),0)</f>
        <v>0</v>
      </c>
      <c r="X22" s="1070">
        <f>IFERROR(HLOOKUP($FQ22,Calc!$F$151:$P$166,3,0),0)</f>
        <v>0</v>
      </c>
      <c r="Y22" s="1070">
        <f>IFERROR(HLOOKUP($FQ22,Calc!$F$151:$P$166,4,0),0)</f>
        <v>0</v>
      </c>
      <c r="Z22" s="1070">
        <f>IFERROR(HLOOKUP($FQ22,Calc!$F$151:$P$166,5,0),0)</f>
        <v>0</v>
      </c>
      <c r="AA22" s="1070">
        <f>IFERROR(HLOOKUP($FQ22,Calc!$F$151:$P$166,6,0),0)</f>
        <v>0</v>
      </c>
      <c r="AB22" s="1070">
        <f>IFERROR(HLOOKUP($FQ22,Calc!$F$151:$P$166,7,0),0)</f>
        <v>0</v>
      </c>
      <c r="AC22" s="1070">
        <f>IFERROR(HLOOKUP($FQ22,Calc!$F$151:$P$166,8,0),0)</f>
        <v>0</v>
      </c>
      <c r="AD22" s="1070">
        <f>IFERROR(HLOOKUP($FQ22,Calc!$F$151:$P$166,9,0),0)</f>
        <v>0</v>
      </c>
      <c r="AE22" s="1070">
        <f>IFERROR(HLOOKUP($FQ22,Calc!$F$151:$P$166,10,0),0)</f>
        <v>0</v>
      </c>
      <c r="AF22" s="1070">
        <f>IFERROR(HLOOKUP($FQ22,Calc!$F$151:$P$166,11,0),0)</f>
        <v>0</v>
      </c>
      <c r="AG22" s="1070">
        <f>IFERROR(HLOOKUP($FQ22,Calc!$F$151:$P$166,12,0),0)</f>
        <v>0</v>
      </c>
      <c r="AH22" s="1070">
        <f>IFERROR(HLOOKUP($FQ22,Calc!$F$151:$P$166,13,0),0)</f>
        <v>0</v>
      </c>
      <c r="AI22" s="1070">
        <f>IFERROR(HLOOKUP($FQ22,Calc!$F$151:$P$166,14,0),0)</f>
        <v>0</v>
      </c>
      <c r="AJ22" s="1070">
        <f>IFERROR(HLOOKUP($FQ22,Calc!$F$151:$P$166,15,0),0)</f>
        <v>0</v>
      </c>
      <c r="AK22" s="1070">
        <f>IFERROR(HLOOKUP($FQ22,Calc!$F$151:$P$166,16,0),0)</f>
        <v>0</v>
      </c>
      <c r="FP22" s="1070">
        <v>32</v>
      </c>
      <c r="FQ22" s="1082" t="str">
        <f t="shared" si="0"/>
        <v>FY32</v>
      </c>
      <c r="FR22" s="1070" t="str">
        <f t="shared" si="3"/>
        <v>2032</v>
      </c>
    </row>
    <row r="23" spans="1:174" x14ac:dyDescent="0.3">
      <c r="A23" s="1070">
        <f t="shared" si="6"/>
        <v>0</v>
      </c>
      <c r="B23" s="1070" t="str">
        <f t="shared" si="6"/>
        <v>Code</v>
      </c>
      <c r="C23" s="1070">
        <f t="shared" si="6"/>
        <v>0</v>
      </c>
      <c r="D23" s="1070">
        <f t="shared" si="6"/>
        <v>2017</v>
      </c>
      <c r="E23" s="1070" t="str">
        <f t="shared" si="6"/>
        <v>ASR</v>
      </c>
      <c r="F23" s="1070">
        <f t="shared" si="6"/>
        <v>4</v>
      </c>
      <c r="G23" s="1070" t="str">
        <f t="shared" si="6"/>
        <v>ASR</v>
      </c>
      <c r="H23" s="1070" t="str">
        <f t="shared" si="2"/>
        <v>2033</v>
      </c>
      <c r="I23" s="1070">
        <f>IF(PPT!$D$2="$ M",IFERROR(HLOOKUP($FQ23,PPT!$E$117:$BJ$119,3,0),0)*1000,IFERROR(HLOOKUP($FQ23,PPT!$E$117:$BJ$119,3,0),0))</f>
        <v>268535.02227712964</v>
      </c>
      <c r="J23" s="1070">
        <f>IFERROR(HLOOKUP($FQ23,Calc!$G$125:$AI$146,3,0),0)</f>
        <v>268535.02227712964</v>
      </c>
      <c r="K23" s="1070">
        <f>IFERROR(HLOOKUP($FQ23,Calc!$G$125:$AI$146,6,0),0)</f>
        <v>268535.02227712964</v>
      </c>
      <c r="L23" s="1070">
        <f>IFERROR(IF(Calc!$C$129="Dollar ($)",HLOOKUP($FQ23,Calc!$G$125:$AI$146,5,0),0),0)</f>
        <v>0</v>
      </c>
      <c r="M23" s="1070">
        <f>IFERROR(IF(Calc!$C$129="Volume (units)",HLOOKUP($FQ23,Calc!$G$125:$AI$146,5,0),0),0)</f>
        <v>0</v>
      </c>
      <c r="N23" s="1070">
        <f>IFERROR(HLOOKUP($FQ23,Calc!$G$125:$AI$146,9,0),0)</f>
        <v>182484.29734090407</v>
      </c>
      <c r="O23" s="1070">
        <f>IFERROR(HLOOKUP($FQ23,Calc!$G$125:$AI$146,10,0),0)</f>
        <v>0.67955492655471683</v>
      </c>
      <c r="P23" s="1070">
        <f>IFERROR(HLOOKUP($FQ23,Calc!$G$125:$AI$146,11,0),0)</f>
        <v>5833.6304009883333</v>
      </c>
      <c r="Q23" s="1070">
        <f>IFERROR(HLOOKUP($FQ23,Calc!$G$125:$AI$146,12,0),0)</f>
        <v>0</v>
      </c>
      <c r="R23" s="1070">
        <f>IFERROR(HLOOKUP($FQ23,Calc!$G$125:$AI$146,13,0),0)</f>
        <v>176650.66693991574</v>
      </c>
      <c r="S23" s="1070">
        <f>IFERROR(HLOOKUP($FQ23,Calc!$G$125:$AI$146,17,0),0)</f>
        <v>126516.48019673931</v>
      </c>
      <c r="T23" s="1070">
        <f>IFERROR(HLOOKUP($FQ23,Calc!$G$125:$AI$146,19,0),0)</f>
        <v>-933.33333333333337</v>
      </c>
      <c r="U23" s="1070">
        <f>IFERROR(HLOOKUP($FQ23,Calc!$G$125:$AI$146,20,0),0)</f>
        <v>5978.3555525427637</v>
      </c>
      <c r="V23" s="1070">
        <f>IFERROR(HLOOKUP($FQ23,Calc!$G$125:$AI$146,21,0),0)</f>
        <v>121471.45797752988</v>
      </c>
      <c r="W23" s="1070">
        <f>IFERROR(HLOOKUP($FQ23,Calc!$F$151:$P$166,2,0),0)</f>
        <v>0</v>
      </c>
      <c r="X23" s="1070">
        <f>IFERROR(HLOOKUP($FQ23,Calc!$F$151:$P$166,3,0),0)</f>
        <v>0</v>
      </c>
      <c r="Y23" s="1070">
        <f>IFERROR(HLOOKUP($FQ23,Calc!$F$151:$P$166,4,0),0)</f>
        <v>0</v>
      </c>
      <c r="Z23" s="1070">
        <f>IFERROR(HLOOKUP($FQ23,Calc!$F$151:$P$166,5,0),0)</f>
        <v>0</v>
      </c>
      <c r="AA23" s="1070">
        <f>IFERROR(HLOOKUP($FQ23,Calc!$F$151:$P$166,6,0),0)</f>
        <v>0</v>
      </c>
      <c r="AB23" s="1070">
        <f>IFERROR(HLOOKUP($FQ23,Calc!$F$151:$P$166,7,0),0)</f>
        <v>0</v>
      </c>
      <c r="AC23" s="1070">
        <f>IFERROR(HLOOKUP($FQ23,Calc!$F$151:$P$166,8,0),0)</f>
        <v>0</v>
      </c>
      <c r="AD23" s="1070">
        <f>IFERROR(HLOOKUP($FQ23,Calc!$F$151:$P$166,9,0),0)</f>
        <v>0</v>
      </c>
      <c r="AE23" s="1070">
        <f>IFERROR(HLOOKUP($FQ23,Calc!$F$151:$P$166,10,0),0)</f>
        <v>0</v>
      </c>
      <c r="AF23" s="1070">
        <f>IFERROR(HLOOKUP($FQ23,Calc!$F$151:$P$166,11,0),0)</f>
        <v>0</v>
      </c>
      <c r="AG23" s="1070">
        <f>IFERROR(HLOOKUP($FQ23,Calc!$F$151:$P$166,12,0),0)</f>
        <v>0</v>
      </c>
      <c r="AH23" s="1070">
        <f>IFERROR(HLOOKUP($FQ23,Calc!$F$151:$P$166,13,0),0)</f>
        <v>0</v>
      </c>
      <c r="AI23" s="1070">
        <f>IFERROR(HLOOKUP($FQ23,Calc!$F$151:$P$166,14,0),0)</f>
        <v>0</v>
      </c>
      <c r="AJ23" s="1070">
        <f>IFERROR(HLOOKUP($FQ23,Calc!$F$151:$P$166,15,0),0)</f>
        <v>0</v>
      </c>
      <c r="AK23" s="1070">
        <f>IFERROR(HLOOKUP($FQ23,Calc!$F$151:$P$166,16,0),0)</f>
        <v>0</v>
      </c>
      <c r="FP23" s="1070">
        <v>33</v>
      </c>
      <c r="FQ23" s="1082" t="str">
        <f t="shared" si="0"/>
        <v>FY33</v>
      </c>
      <c r="FR23" s="1070" t="str">
        <f t="shared" si="3"/>
        <v>2033</v>
      </c>
    </row>
    <row r="24" spans="1:174" x14ac:dyDescent="0.3">
      <c r="A24" s="1070">
        <f t="shared" si="6"/>
        <v>0</v>
      </c>
      <c r="B24" s="1070" t="str">
        <f t="shared" si="6"/>
        <v>Code</v>
      </c>
      <c r="C24" s="1070">
        <f t="shared" si="6"/>
        <v>0</v>
      </c>
      <c r="D24" s="1070">
        <f t="shared" si="6"/>
        <v>2017</v>
      </c>
      <c r="E24" s="1070" t="str">
        <f t="shared" si="6"/>
        <v>ASR</v>
      </c>
      <c r="F24" s="1070">
        <f t="shared" si="6"/>
        <v>4</v>
      </c>
      <c r="G24" s="1070" t="str">
        <f t="shared" si="6"/>
        <v>ASR</v>
      </c>
      <c r="H24" s="1070" t="str">
        <f t="shared" si="2"/>
        <v>2034</v>
      </c>
      <c r="I24" s="1070">
        <f>IF(PPT!$D$2="$ M",IFERROR(HLOOKUP($FQ24,PPT!$E$117:$BJ$119,3,0),0)*1000,IFERROR(HLOOKUP($FQ24,PPT!$E$117:$BJ$119,3,0),0))</f>
        <v>308703.14307628642</v>
      </c>
      <c r="J24" s="1070">
        <f>IFERROR(HLOOKUP($FQ24,Calc!$G$125:$AI$146,3,0),0)</f>
        <v>308703.14307628642</v>
      </c>
      <c r="K24" s="1070">
        <f>IFERROR(HLOOKUP($FQ24,Calc!$G$125:$AI$146,6,0),0)</f>
        <v>308703.14307628642</v>
      </c>
      <c r="L24" s="1070">
        <f>IFERROR(IF(Calc!$C$129="Dollar ($)",HLOOKUP($FQ24,Calc!$G$125:$AI$146,5,0),0),0)</f>
        <v>0</v>
      </c>
      <c r="M24" s="1070">
        <f>IFERROR(IF(Calc!$C$129="Volume (units)",HLOOKUP($FQ24,Calc!$G$125:$AI$146,5,0),0),0)</f>
        <v>0</v>
      </c>
      <c r="N24" s="1070">
        <f>IFERROR(HLOOKUP($FQ24,Calc!$G$125:$AI$146,9,0),0)</f>
        <v>209525.90987333632</v>
      </c>
      <c r="O24" s="1070">
        <f>IFERROR(HLOOKUP($FQ24,Calc!$G$125:$AI$146,10,0),0)</f>
        <v>0.67872943496904559</v>
      </c>
      <c r="P24" s="1070">
        <f>IFERROR(HLOOKUP($FQ24,Calc!$G$125:$AI$146,11,0),0)</f>
        <v>6556.6565753731547</v>
      </c>
      <c r="Q24" s="1070">
        <f>IFERROR(HLOOKUP($FQ24,Calc!$G$125:$AI$146,12,0),0)</f>
        <v>0</v>
      </c>
      <c r="R24" s="1070">
        <f>IFERROR(HLOOKUP($FQ24,Calc!$G$125:$AI$146,13,0),0)</f>
        <v>202969.25329796318</v>
      </c>
      <c r="S24" s="1070">
        <f>IFERROR(HLOOKUP($FQ24,Calc!$G$125:$AI$146,17,0),0)</f>
        <v>145465.86237453349</v>
      </c>
      <c r="T24" s="1070">
        <f>IFERROR(HLOOKUP($FQ24,Calc!$G$125:$AI$146,19,0),0)</f>
        <v>-933.33333333333337</v>
      </c>
      <c r="U24" s="1070">
        <f>IFERROR(HLOOKUP($FQ24,Calc!$G$125:$AI$146,20,0),0)</f>
        <v>7777.6097665450779</v>
      </c>
      <c r="V24" s="1070">
        <f>IFERROR(HLOOKUP($FQ24,Calc!$G$125:$AI$146,21,0),0)</f>
        <v>138621.58594132177</v>
      </c>
      <c r="W24" s="1070">
        <f>IFERROR(HLOOKUP($FQ24,Calc!$F$151:$P$166,2,0),0)</f>
        <v>0</v>
      </c>
      <c r="X24" s="1070">
        <f>IFERROR(HLOOKUP($FQ24,Calc!$F$151:$P$166,3,0),0)</f>
        <v>0</v>
      </c>
      <c r="Y24" s="1070">
        <f>IFERROR(HLOOKUP($FQ24,Calc!$F$151:$P$166,4,0),0)</f>
        <v>0</v>
      </c>
      <c r="Z24" s="1070">
        <f>IFERROR(HLOOKUP($FQ24,Calc!$F$151:$P$166,5,0),0)</f>
        <v>0</v>
      </c>
      <c r="AA24" s="1070">
        <f>IFERROR(HLOOKUP($FQ24,Calc!$F$151:$P$166,6,0),0)</f>
        <v>0</v>
      </c>
      <c r="AB24" s="1070">
        <f>IFERROR(HLOOKUP($FQ24,Calc!$F$151:$P$166,7,0),0)</f>
        <v>0</v>
      </c>
      <c r="AC24" s="1070">
        <f>IFERROR(HLOOKUP($FQ24,Calc!$F$151:$P$166,8,0),0)</f>
        <v>0</v>
      </c>
      <c r="AD24" s="1070">
        <f>IFERROR(HLOOKUP($FQ24,Calc!$F$151:$P$166,9,0),0)</f>
        <v>0</v>
      </c>
      <c r="AE24" s="1070">
        <f>IFERROR(HLOOKUP($FQ24,Calc!$F$151:$P$166,10,0),0)</f>
        <v>0</v>
      </c>
      <c r="AF24" s="1070">
        <f>IFERROR(HLOOKUP($FQ24,Calc!$F$151:$P$166,11,0),0)</f>
        <v>0</v>
      </c>
      <c r="AG24" s="1070">
        <f>IFERROR(HLOOKUP($FQ24,Calc!$F$151:$P$166,12,0),0)</f>
        <v>0</v>
      </c>
      <c r="AH24" s="1070">
        <f>IFERROR(HLOOKUP($FQ24,Calc!$F$151:$P$166,13,0),0)</f>
        <v>0</v>
      </c>
      <c r="AI24" s="1070">
        <f>IFERROR(HLOOKUP($FQ24,Calc!$F$151:$P$166,14,0),0)</f>
        <v>0</v>
      </c>
      <c r="AJ24" s="1070">
        <f>IFERROR(HLOOKUP($FQ24,Calc!$F$151:$P$166,15,0),0)</f>
        <v>0</v>
      </c>
      <c r="AK24" s="1070">
        <f>IFERROR(HLOOKUP($FQ24,Calc!$F$151:$P$166,16,0),0)</f>
        <v>0</v>
      </c>
      <c r="FP24" s="1070">
        <v>34</v>
      </c>
      <c r="FQ24" s="1082" t="str">
        <f t="shared" si="0"/>
        <v>FY34</v>
      </c>
      <c r="FR24" s="1070" t="str">
        <f t="shared" si="3"/>
        <v>2034</v>
      </c>
    </row>
    <row r="25" spans="1:174" x14ac:dyDescent="0.3">
      <c r="A25" s="1070">
        <f t="shared" si="6"/>
        <v>0</v>
      </c>
      <c r="B25" s="1070" t="str">
        <f t="shared" si="6"/>
        <v>Code</v>
      </c>
      <c r="C25" s="1070">
        <f t="shared" si="6"/>
        <v>0</v>
      </c>
      <c r="D25" s="1070">
        <f t="shared" si="6"/>
        <v>2017</v>
      </c>
      <c r="E25" s="1070" t="str">
        <f t="shared" si="6"/>
        <v>ASR</v>
      </c>
      <c r="F25" s="1070">
        <f t="shared" si="6"/>
        <v>4</v>
      </c>
      <c r="G25" s="1070" t="str">
        <f t="shared" si="6"/>
        <v>ASR</v>
      </c>
      <c r="H25" s="1070" t="str">
        <f t="shared" si="2"/>
        <v>2035</v>
      </c>
      <c r="I25" s="1070">
        <f>IF(PPT!$D$2="$ M",IFERROR(HLOOKUP($FQ25,PPT!$E$117:$BJ$119,3,0),0)*1000,IFERROR(HLOOKUP($FQ25,PPT!$E$117:$BJ$119,3,0),0))</f>
        <v>252787.09082071079</v>
      </c>
      <c r="J25" s="1070">
        <f>IFERROR(HLOOKUP($FQ25,Calc!$G$125:$AI$146,3,0),0)</f>
        <v>252787.09082071079</v>
      </c>
      <c r="K25" s="1070">
        <f>IFERROR(HLOOKUP($FQ25,Calc!$G$125:$AI$146,6,0),0)</f>
        <v>252787.09082071079</v>
      </c>
      <c r="L25" s="1070">
        <f>IFERROR(IF(Calc!$C$129="Dollar ($)",HLOOKUP($FQ25,Calc!$G$125:$AI$146,5,0),0),0)</f>
        <v>0</v>
      </c>
      <c r="M25" s="1070">
        <f>IFERROR(IF(Calc!$C$129="Volume (units)",HLOOKUP($FQ25,Calc!$G$125:$AI$146,5,0),0),0)</f>
        <v>0</v>
      </c>
      <c r="N25" s="1070">
        <f>IFERROR(HLOOKUP($FQ25,Calc!$G$125:$AI$146,9,0),0)</f>
        <v>252787.09082071079</v>
      </c>
      <c r="O25" s="1070">
        <f>IFERROR(HLOOKUP($FQ25,Calc!$G$125:$AI$146,10,0),0)</f>
        <v>1</v>
      </c>
      <c r="P25" s="1070">
        <f>IFERROR(HLOOKUP($FQ25,Calc!$G$125:$AI$146,11,0),0)</f>
        <v>0</v>
      </c>
      <c r="Q25" s="1070">
        <f>IFERROR(HLOOKUP($FQ25,Calc!$G$125:$AI$146,12,0),0)</f>
        <v>0</v>
      </c>
      <c r="R25" s="1070">
        <f>IFERROR(HLOOKUP($FQ25,Calc!$G$125:$AI$146,13,0),0)</f>
        <v>252787.09082071079</v>
      </c>
      <c r="S25" s="1070">
        <f>IFERROR(HLOOKUP($FQ25,Calc!$G$125:$AI$146,17,0),0)</f>
        <v>181334.70539091175</v>
      </c>
      <c r="T25" s="1070">
        <f>IFERROR(HLOOKUP($FQ25,Calc!$G$125:$AI$146,19,0),0)</f>
        <v>-933.33333333333337</v>
      </c>
      <c r="U25" s="1070">
        <f>IFERROR(HLOOKUP($FQ25,Calc!$G$125:$AI$146,20,0),0)</f>
        <v>-20939.884356081711</v>
      </c>
      <c r="V25" s="1070">
        <f>IFERROR(HLOOKUP($FQ25,Calc!$G$125:$AI$146,21,0),0)</f>
        <v>203207.92308032681</v>
      </c>
      <c r="W25" s="1070">
        <f>IFERROR(HLOOKUP($FQ25,Calc!$F$151:$P$166,2,0),0)</f>
        <v>0</v>
      </c>
      <c r="X25" s="1070">
        <f>IFERROR(HLOOKUP($FQ25,Calc!$F$151:$P$166,3,0),0)</f>
        <v>0</v>
      </c>
      <c r="Y25" s="1070">
        <f>IFERROR(HLOOKUP($FQ25,Calc!$F$151:$P$166,4,0),0)</f>
        <v>0</v>
      </c>
      <c r="Z25" s="1070">
        <f>IFERROR(HLOOKUP($FQ25,Calc!$F$151:$P$166,5,0),0)</f>
        <v>0</v>
      </c>
      <c r="AA25" s="1070">
        <f>IFERROR(HLOOKUP($FQ25,Calc!$F$151:$P$166,6,0),0)</f>
        <v>0</v>
      </c>
      <c r="AB25" s="1070">
        <f>IFERROR(HLOOKUP($FQ25,Calc!$F$151:$P$166,7,0),0)</f>
        <v>0</v>
      </c>
      <c r="AC25" s="1070">
        <f>IFERROR(HLOOKUP($FQ25,Calc!$F$151:$P$166,8,0),0)</f>
        <v>0</v>
      </c>
      <c r="AD25" s="1070">
        <f>IFERROR(HLOOKUP($FQ25,Calc!$F$151:$P$166,9,0),0)</f>
        <v>0</v>
      </c>
      <c r="AE25" s="1070">
        <f>IFERROR(HLOOKUP($FQ25,Calc!$F$151:$P$166,10,0),0)</f>
        <v>0</v>
      </c>
      <c r="AF25" s="1070">
        <f>IFERROR(HLOOKUP($FQ25,Calc!$F$151:$P$166,11,0),0)</f>
        <v>0</v>
      </c>
      <c r="AG25" s="1070">
        <f>IFERROR(HLOOKUP($FQ25,Calc!$F$151:$P$166,12,0),0)</f>
        <v>0</v>
      </c>
      <c r="AH25" s="1070">
        <f>IFERROR(HLOOKUP($FQ25,Calc!$F$151:$P$166,13,0),0)</f>
        <v>0</v>
      </c>
      <c r="AI25" s="1070">
        <f>IFERROR(HLOOKUP($FQ25,Calc!$F$151:$P$166,14,0),0)</f>
        <v>0</v>
      </c>
      <c r="AJ25" s="1070">
        <f>IFERROR(HLOOKUP($FQ25,Calc!$F$151:$P$166,15,0),0)</f>
        <v>0</v>
      </c>
      <c r="AK25" s="1070">
        <f>IFERROR(HLOOKUP($FQ25,Calc!$F$151:$P$166,16,0),0)</f>
        <v>0</v>
      </c>
      <c r="FP25" s="1070">
        <v>35</v>
      </c>
      <c r="FQ25" s="1082" t="str">
        <f t="shared" si="0"/>
        <v>FY35</v>
      </c>
      <c r="FR25" s="1070" t="str">
        <f t="shared" si="3"/>
        <v>2035</v>
      </c>
    </row>
    <row r="26" spans="1:174" x14ac:dyDescent="0.3">
      <c r="A26" s="1070">
        <f t="shared" si="6"/>
        <v>0</v>
      </c>
      <c r="B26" s="1070" t="str">
        <f t="shared" si="6"/>
        <v>Code</v>
      </c>
      <c r="C26" s="1070">
        <f t="shared" si="6"/>
        <v>0</v>
      </c>
      <c r="D26" s="1070">
        <f t="shared" si="6"/>
        <v>2017</v>
      </c>
      <c r="E26" s="1070" t="str">
        <f t="shared" si="6"/>
        <v>ASR</v>
      </c>
      <c r="F26" s="1070">
        <f t="shared" si="6"/>
        <v>4</v>
      </c>
      <c r="G26" s="1070" t="str">
        <f t="shared" si="6"/>
        <v>ASR</v>
      </c>
      <c r="H26" s="1070" t="str">
        <f t="shared" si="2"/>
        <v>2036</v>
      </c>
      <c r="I26" s="1070">
        <f>IF(PPT!$D$2="$ M",IFERROR(HLOOKUP($FQ26,PPT!$E$117:$BJ$119,3,0),0)*1000,IFERROR(HLOOKUP($FQ26,PPT!$E$117:$BJ$119,3,0),0))</f>
        <v>0</v>
      </c>
      <c r="J26" s="1070">
        <f>IFERROR(HLOOKUP($FQ26,Calc!$G$125:$AI$146,3,0),0)</f>
        <v>0</v>
      </c>
      <c r="K26" s="1070">
        <f>IFERROR(HLOOKUP($FQ26,Calc!$G$125:$AI$146,6,0),0)</f>
        <v>0</v>
      </c>
      <c r="L26" s="1070">
        <f>IFERROR(IF(Calc!$C$129="Dollar ($)",HLOOKUP($FQ26,Calc!$G$125:$AI$146,5,0),0),0)</f>
        <v>0</v>
      </c>
      <c r="M26" s="1070">
        <f>IFERROR(IF(Calc!$C$129="Volume (units)",HLOOKUP($FQ26,Calc!$G$125:$AI$146,5,0),0),0)</f>
        <v>0</v>
      </c>
      <c r="N26" s="1070">
        <f>IFERROR(HLOOKUP($FQ26,Calc!$G$125:$AI$146,9,0),0)</f>
        <v>0</v>
      </c>
      <c r="O26" s="1070">
        <f>IFERROR(HLOOKUP($FQ26,Calc!$G$125:$AI$146,10,0),0)</f>
        <v>0</v>
      </c>
      <c r="P26" s="1070">
        <f>IFERROR(HLOOKUP($FQ26,Calc!$G$125:$AI$146,11,0),0)</f>
        <v>0</v>
      </c>
      <c r="Q26" s="1070">
        <f>IFERROR(HLOOKUP($FQ26,Calc!$G$125:$AI$146,12,0),0)</f>
        <v>0</v>
      </c>
      <c r="R26" s="1070">
        <f>IFERROR(HLOOKUP($FQ26,Calc!$G$125:$AI$146,13,0),0)</f>
        <v>0</v>
      </c>
      <c r="S26" s="1070">
        <f>IFERROR(HLOOKUP($FQ26,Calc!$G$125:$AI$146,17,0),0)</f>
        <v>-672</v>
      </c>
      <c r="T26" s="1070">
        <f>IFERROR(HLOOKUP($FQ26,Calc!$G$125:$AI$146,19,0),0)</f>
        <v>-933.33333333333337</v>
      </c>
      <c r="U26" s="1070">
        <f>IFERROR(HLOOKUP($FQ26,Calc!$G$125:$AI$146,20,0),0)</f>
        <v>-38620.249986497482</v>
      </c>
      <c r="V26" s="1070">
        <f>IFERROR(HLOOKUP($FQ26,Calc!$G$125:$AI$146,21,0),0)</f>
        <v>38881.583319830817</v>
      </c>
      <c r="W26" s="1070">
        <f>IFERROR(HLOOKUP($FQ26,Calc!$F$151:$P$166,2,0),0)</f>
        <v>0</v>
      </c>
      <c r="X26" s="1070">
        <f>IFERROR(HLOOKUP($FQ26,Calc!$F$151:$P$166,3,0),0)</f>
        <v>0</v>
      </c>
      <c r="Y26" s="1070">
        <f>IFERROR(HLOOKUP($FQ26,Calc!$F$151:$P$166,4,0),0)</f>
        <v>0</v>
      </c>
      <c r="Z26" s="1070">
        <f>IFERROR(HLOOKUP($FQ26,Calc!$F$151:$P$166,5,0),0)</f>
        <v>0</v>
      </c>
      <c r="AA26" s="1070">
        <f>IFERROR(HLOOKUP($FQ26,Calc!$F$151:$P$166,6,0),0)</f>
        <v>0</v>
      </c>
      <c r="AB26" s="1070">
        <f>IFERROR(HLOOKUP($FQ26,Calc!$F$151:$P$166,7,0),0)</f>
        <v>0</v>
      </c>
      <c r="AC26" s="1070">
        <f>IFERROR(HLOOKUP($FQ26,Calc!$F$151:$P$166,8,0),0)</f>
        <v>0</v>
      </c>
      <c r="AD26" s="1070">
        <f>IFERROR(HLOOKUP($FQ26,Calc!$F$151:$P$166,9,0),0)</f>
        <v>0</v>
      </c>
      <c r="AE26" s="1070">
        <f>IFERROR(HLOOKUP($FQ26,Calc!$F$151:$P$166,10,0),0)</f>
        <v>0</v>
      </c>
      <c r="AF26" s="1070">
        <f>IFERROR(HLOOKUP($FQ26,Calc!$F$151:$P$166,11,0),0)</f>
        <v>0</v>
      </c>
      <c r="AG26" s="1070">
        <f>IFERROR(HLOOKUP($FQ26,Calc!$F$151:$P$166,12,0),0)</f>
        <v>0</v>
      </c>
      <c r="AH26" s="1070">
        <f>IFERROR(HLOOKUP($FQ26,Calc!$F$151:$P$166,13,0),0)</f>
        <v>0</v>
      </c>
      <c r="AI26" s="1070">
        <f>IFERROR(HLOOKUP($FQ26,Calc!$F$151:$P$166,14,0),0)</f>
        <v>0</v>
      </c>
      <c r="AJ26" s="1070">
        <f>IFERROR(HLOOKUP($FQ26,Calc!$F$151:$P$166,15,0),0)</f>
        <v>0</v>
      </c>
      <c r="AK26" s="1070">
        <f>IFERROR(HLOOKUP($FQ26,Calc!$F$151:$P$166,16,0),0)</f>
        <v>0</v>
      </c>
      <c r="FP26" s="1070">
        <v>36</v>
      </c>
      <c r="FQ26" s="1082" t="str">
        <f t="shared" si="0"/>
        <v>FY36</v>
      </c>
      <c r="FR26" s="1070" t="str">
        <f t="shared" si="3"/>
        <v>2036</v>
      </c>
    </row>
    <row r="27" spans="1:174" x14ac:dyDescent="0.3">
      <c r="A27" s="1070">
        <f t="shared" si="6"/>
        <v>0</v>
      </c>
      <c r="B27" s="1070" t="str">
        <f t="shared" si="6"/>
        <v>Code</v>
      </c>
      <c r="C27" s="1070">
        <f t="shared" si="6"/>
        <v>0</v>
      </c>
      <c r="D27" s="1070">
        <f t="shared" si="6"/>
        <v>2017</v>
      </c>
      <c r="E27" s="1070" t="str">
        <f t="shared" si="6"/>
        <v>ASR</v>
      </c>
      <c r="F27" s="1070">
        <f t="shared" si="6"/>
        <v>4</v>
      </c>
      <c r="G27" s="1070" t="str">
        <f t="shared" si="6"/>
        <v>ASR</v>
      </c>
      <c r="H27" s="1070" t="str">
        <f t="shared" si="2"/>
        <v>2037</v>
      </c>
      <c r="I27" s="1070">
        <f>IF(PPT!$D$2="$ M",IFERROR(HLOOKUP($FQ27,PPT!$E$117:$BJ$119,3,0),0)*1000,IFERROR(HLOOKUP($FQ27,PPT!$E$117:$BJ$119,3,0),0))</f>
        <v>0</v>
      </c>
      <c r="J27" s="1070">
        <f>IFERROR(HLOOKUP($FQ27,Calc!$G$125:$AI$146,3,0),0)</f>
        <v>0</v>
      </c>
      <c r="K27" s="1070">
        <f>IFERROR(HLOOKUP($FQ27,Calc!$G$125:$AI$146,6,0),0)</f>
        <v>0</v>
      </c>
      <c r="L27" s="1070">
        <f>IFERROR(IF(Calc!$C$129="Dollar ($)",HLOOKUP($FQ27,Calc!$G$125:$AI$146,5,0),0),0)</f>
        <v>0</v>
      </c>
      <c r="M27" s="1070">
        <f>IFERROR(IF(Calc!$C$129="Volume (units)",HLOOKUP($FQ27,Calc!$G$125:$AI$146,5,0),0),0)</f>
        <v>0</v>
      </c>
      <c r="N27" s="1070">
        <f>IFERROR(HLOOKUP($FQ27,Calc!$G$125:$AI$146,9,0),0)</f>
        <v>0</v>
      </c>
      <c r="O27" s="1070">
        <f>IFERROR(HLOOKUP($FQ27,Calc!$G$125:$AI$146,10,0),0)</f>
        <v>0</v>
      </c>
      <c r="P27" s="1070">
        <f>IFERROR(HLOOKUP($FQ27,Calc!$G$125:$AI$146,11,0),0)</f>
        <v>0</v>
      </c>
      <c r="Q27" s="1070">
        <f>IFERROR(HLOOKUP($FQ27,Calc!$G$125:$AI$146,12,0),0)</f>
        <v>0</v>
      </c>
      <c r="R27" s="1070">
        <f>IFERROR(HLOOKUP($FQ27,Calc!$G$125:$AI$146,13,0),0)</f>
        <v>0</v>
      </c>
      <c r="S27" s="1070">
        <f>IFERROR(HLOOKUP($FQ27,Calc!$G$125:$AI$146,17,0),0)</f>
        <v>-672</v>
      </c>
      <c r="T27" s="1070">
        <f>IFERROR(HLOOKUP($FQ27,Calc!$G$125:$AI$146,19,0),0)</f>
        <v>-933.33333333333337</v>
      </c>
      <c r="U27" s="1070">
        <f>IFERROR(HLOOKUP($FQ27,Calc!$G$125:$AI$146,20,0),0)</f>
        <v>0</v>
      </c>
      <c r="V27" s="1070">
        <f>IFERROR(HLOOKUP($FQ27,Calc!$G$125:$AI$146,21,0),0)</f>
        <v>261.33333333333337</v>
      </c>
      <c r="W27" s="1070">
        <f>IFERROR(HLOOKUP($FQ27,Calc!$F$151:$P$166,2,0),0)</f>
        <v>0</v>
      </c>
      <c r="X27" s="1070">
        <f>IFERROR(HLOOKUP($FQ27,Calc!$F$151:$P$166,3,0),0)</f>
        <v>0</v>
      </c>
      <c r="Y27" s="1070">
        <f>IFERROR(HLOOKUP($FQ27,Calc!$F$151:$P$166,4,0),0)</f>
        <v>0</v>
      </c>
      <c r="Z27" s="1070">
        <f>IFERROR(HLOOKUP($FQ27,Calc!$F$151:$P$166,5,0),0)</f>
        <v>0</v>
      </c>
      <c r="AA27" s="1070">
        <f>IFERROR(HLOOKUP($FQ27,Calc!$F$151:$P$166,6,0),0)</f>
        <v>0</v>
      </c>
      <c r="AB27" s="1070">
        <f>IFERROR(HLOOKUP($FQ27,Calc!$F$151:$P$166,7,0),0)</f>
        <v>0</v>
      </c>
      <c r="AC27" s="1070">
        <f>IFERROR(HLOOKUP($FQ27,Calc!$F$151:$P$166,8,0),0)</f>
        <v>0</v>
      </c>
      <c r="AD27" s="1070">
        <f>IFERROR(HLOOKUP($FQ27,Calc!$F$151:$P$166,9,0),0)</f>
        <v>0</v>
      </c>
      <c r="AE27" s="1070">
        <f>IFERROR(HLOOKUP($FQ27,Calc!$F$151:$P$166,10,0),0)</f>
        <v>0</v>
      </c>
      <c r="AF27" s="1070">
        <f>IFERROR(HLOOKUP($FQ27,Calc!$F$151:$P$166,11,0),0)</f>
        <v>0</v>
      </c>
      <c r="AG27" s="1070">
        <f>IFERROR(HLOOKUP($FQ27,Calc!$F$151:$P$166,12,0),0)</f>
        <v>0</v>
      </c>
      <c r="AH27" s="1070">
        <f>IFERROR(HLOOKUP($FQ27,Calc!$F$151:$P$166,13,0),0)</f>
        <v>0</v>
      </c>
      <c r="AI27" s="1070">
        <f>IFERROR(HLOOKUP($FQ27,Calc!$F$151:$P$166,14,0),0)</f>
        <v>0</v>
      </c>
      <c r="AJ27" s="1070">
        <f>IFERROR(HLOOKUP($FQ27,Calc!$F$151:$P$166,15,0),0)</f>
        <v>0</v>
      </c>
      <c r="AK27" s="1070">
        <f>IFERROR(HLOOKUP($FQ27,Calc!$F$151:$P$166,16,0),0)</f>
        <v>0</v>
      </c>
      <c r="FP27" s="1070">
        <v>37</v>
      </c>
      <c r="FQ27" s="1082" t="str">
        <f t="shared" si="0"/>
        <v>FY37</v>
      </c>
      <c r="FR27" s="1070" t="str">
        <f t="shared" si="3"/>
        <v>2037</v>
      </c>
    </row>
    <row r="28" spans="1:174" x14ac:dyDescent="0.3">
      <c r="A28" s="1070">
        <f t="shared" si="6"/>
        <v>0</v>
      </c>
      <c r="B28" s="1070" t="str">
        <f t="shared" si="6"/>
        <v>Code</v>
      </c>
      <c r="C28" s="1070">
        <f t="shared" si="6"/>
        <v>0</v>
      </c>
      <c r="D28" s="1070">
        <f t="shared" si="6"/>
        <v>2017</v>
      </c>
      <c r="E28" s="1070" t="str">
        <f t="shared" si="6"/>
        <v>ASR</v>
      </c>
      <c r="F28" s="1070">
        <f t="shared" si="6"/>
        <v>4</v>
      </c>
      <c r="G28" s="1070" t="str">
        <f t="shared" si="6"/>
        <v>ASR</v>
      </c>
      <c r="H28" s="1070" t="str">
        <f t="shared" si="2"/>
        <v>2038</v>
      </c>
      <c r="I28" s="1070">
        <f>IF(PPT!$D$2="$ M",IFERROR(HLOOKUP($FQ28,PPT!$E$117:$BJ$119,3,0),0)*1000,IFERROR(HLOOKUP($FQ28,PPT!$E$117:$BJ$119,3,0),0))</f>
        <v>0</v>
      </c>
      <c r="J28" s="1070">
        <f>IFERROR(HLOOKUP($FQ28,Calc!$G$125:$AI$146,3,0),0)</f>
        <v>0</v>
      </c>
      <c r="K28" s="1070">
        <f>IFERROR(HLOOKUP($FQ28,Calc!$G$125:$AI$146,6,0),0)</f>
        <v>0</v>
      </c>
      <c r="L28" s="1070">
        <f>IFERROR(IF(Calc!$C$129="Dollar ($)",HLOOKUP($FQ28,Calc!$G$125:$AI$146,5,0),0),0)</f>
        <v>0</v>
      </c>
      <c r="M28" s="1070">
        <f>IFERROR(IF(Calc!$C$129="Volume (units)",HLOOKUP($FQ28,Calc!$G$125:$AI$146,5,0),0),0)</f>
        <v>0</v>
      </c>
      <c r="N28" s="1070">
        <f>IFERROR(HLOOKUP($FQ28,Calc!$G$125:$AI$146,9,0),0)</f>
        <v>0</v>
      </c>
      <c r="O28" s="1070">
        <f>IFERROR(HLOOKUP($FQ28,Calc!$G$125:$AI$146,10,0),0)</f>
        <v>0</v>
      </c>
      <c r="P28" s="1070">
        <f>IFERROR(HLOOKUP($FQ28,Calc!$G$125:$AI$146,11,0),0)</f>
        <v>0</v>
      </c>
      <c r="Q28" s="1070">
        <f>IFERROR(HLOOKUP($FQ28,Calc!$G$125:$AI$146,12,0),0)</f>
        <v>0</v>
      </c>
      <c r="R28" s="1070">
        <f>IFERROR(HLOOKUP($FQ28,Calc!$G$125:$AI$146,13,0),0)</f>
        <v>0</v>
      </c>
      <c r="S28" s="1070">
        <f>IFERROR(HLOOKUP($FQ28,Calc!$G$125:$AI$146,17,0),0)</f>
        <v>0</v>
      </c>
      <c r="T28" s="1070">
        <f>IFERROR(HLOOKUP($FQ28,Calc!$G$125:$AI$146,19,0),0)</f>
        <v>0</v>
      </c>
      <c r="U28" s="1070">
        <f>IFERROR(HLOOKUP($FQ28,Calc!$G$125:$AI$146,20,0),0)</f>
        <v>0</v>
      </c>
      <c r="V28" s="1070">
        <f>IFERROR(HLOOKUP($FQ28,Calc!$G$125:$AI$146,21,0),0)</f>
        <v>0</v>
      </c>
      <c r="W28" s="1070">
        <f>IFERROR(HLOOKUP($FQ28,Calc!$F$151:$P$166,2,0),0)</f>
        <v>0</v>
      </c>
      <c r="X28" s="1070">
        <f>IFERROR(HLOOKUP($FQ28,Calc!$F$151:$P$166,3,0),0)</f>
        <v>0</v>
      </c>
      <c r="Y28" s="1070">
        <f>IFERROR(HLOOKUP($FQ28,Calc!$F$151:$P$166,4,0),0)</f>
        <v>0</v>
      </c>
      <c r="Z28" s="1070">
        <f>IFERROR(HLOOKUP($FQ28,Calc!$F$151:$P$166,5,0),0)</f>
        <v>0</v>
      </c>
      <c r="AA28" s="1070">
        <f>IFERROR(HLOOKUP($FQ28,Calc!$F$151:$P$166,6,0),0)</f>
        <v>0</v>
      </c>
      <c r="AB28" s="1070">
        <f>IFERROR(HLOOKUP($FQ28,Calc!$F$151:$P$166,7,0),0)</f>
        <v>0</v>
      </c>
      <c r="AC28" s="1070">
        <f>IFERROR(HLOOKUP($FQ28,Calc!$F$151:$P$166,8,0),0)</f>
        <v>0</v>
      </c>
      <c r="AD28" s="1070">
        <f>IFERROR(HLOOKUP($FQ28,Calc!$F$151:$P$166,9,0),0)</f>
        <v>0</v>
      </c>
      <c r="AE28" s="1070">
        <f>IFERROR(HLOOKUP($FQ28,Calc!$F$151:$P$166,10,0),0)</f>
        <v>0</v>
      </c>
      <c r="AF28" s="1070">
        <f>IFERROR(HLOOKUP($FQ28,Calc!$F$151:$P$166,11,0),0)</f>
        <v>0</v>
      </c>
      <c r="AG28" s="1070">
        <f>IFERROR(HLOOKUP($FQ28,Calc!$F$151:$P$166,12,0),0)</f>
        <v>0</v>
      </c>
      <c r="AH28" s="1070">
        <f>IFERROR(HLOOKUP($FQ28,Calc!$F$151:$P$166,13,0),0)</f>
        <v>0</v>
      </c>
      <c r="AI28" s="1070">
        <f>IFERROR(HLOOKUP($FQ28,Calc!$F$151:$P$166,14,0),0)</f>
        <v>0</v>
      </c>
      <c r="AJ28" s="1070">
        <f>IFERROR(HLOOKUP($FQ28,Calc!$F$151:$P$166,15,0),0)</f>
        <v>0</v>
      </c>
      <c r="AK28" s="1070">
        <f>IFERROR(HLOOKUP($FQ28,Calc!$F$151:$P$166,16,0),0)</f>
        <v>0</v>
      </c>
      <c r="FP28" s="1070">
        <v>38</v>
      </c>
      <c r="FQ28" s="1082" t="str">
        <f t="shared" si="0"/>
        <v>FY38</v>
      </c>
      <c r="FR28" s="1070" t="str">
        <f t="shared" si="3"/>
        <v>2038</v>
      </c>
    </row>
    <row r="31" spans="1:174" s="1201" customFormat="1" x14ac:dyDescent="0.3"/>
    <row r="32" spans="1:174" s="1142" customFormat="1" x14ac:dyDescent="0.3"/>
    <row r="33" spans="2:45" s="1142" customFormat="1" x14ac:dyDescent="0.3"/>
    <row r="34" spans="2:45" x14ac:dyDescent="0.3">
      <c r="AS34" s="3002"/>
    </row>
    <row r="35" spans="2:45" s="3001" customFormat="1" x14ac:dyDescent="0.3">
      <c r="AJ35" s="3002"/>
    </row>
    <row r="36" spans="2:45" x14ac:dyDescent="0.3">
      <c r="W36" s="3001"/>
    </row>
    <row r="37" spans="2:45" x14ac:dyDescent="0.3">
      <c r="B37" s="3398" t="s">
        <v>2169</v>
      </c>
      <c r="C37" s="3398"/>
      <c r="D37" s="3398"/>
      <c r="E37" s="3398"/>
      <c r="F37" s="3398"/>
      <c r="G37" s="3398"/>
      <c r="H37" s="3398"/>
      <c r="I37" s="3398"/>
      <c r="J37" s="3398"/>
      <c r="K37" s="3398"/>
      <c r="L37" s="3398"/>
      <c r="M37" s="3398"/>
      <c r="N37" s="3398"/>
      <c r="O37" s="3398"/>
      <c r="P37" s="3398"/>
      <c r="Q37" s="3398"/>
      <c r="R37" s="3398"/>
      <c r="S37" s="3398"/>
      <c r="T37" s="3398"/>
      <c r="U37" s="3398"/>
      <c r="W37" s="3001"/>
    </row>
    <row r="38" spans="2:45" x14ac:dyDescent="0.3">
      <c r="W38" s="3001"/>
    </row>
    <row r="39" spans="2:45" s="1094" customFormat="1" ht="43.2" x14ac:dyDescent="0.3">
      <c r="B39" s="3003" t="s">
        <v>1300</v>
      </c>
      <c r="C39" s="3004" t="s">
        <v>1461</v>
      </c>
      <c r="E39" s="3003" t="s">
        <v>1666</v>
      </c>
      <c r="F39" s="3005"/>
      <c r="H39" s="3006" t="s">
        <v>1228</v>
      </c>
      <c r="I39" s="3006" t="s">
        <v>1761</v>
      </c>
      <c r="J39" s="3007" t="s">
        <v>1292</v>
      </c>
      <c r="K39" s="3008"/>
      <c r="L39" s="3008"/>
      <c r="M39" s="3008"/>
      <c r="N39" s="3008"/>
      <c r="O39" s="3009"/>
      <c r="P39" s="3010" t="s">
        <v>2170</v>
      </c>
      <c r="Q39" s="3010" t="s">
        <v>2171</v>
      </c>
      <c r="R39" s="3010" t="s">
        <v>2172</v>
      </c>
      <c r="S39" s="3011" t="s">
        <v>2173</v>
      </c>
      <c r="T39" s="3010" t="s">
        <v>2174</v>
      </c>
      <c r="U39" s="3010" t="s">
        <v>2175</v>
      </c>
      <c r="W39" s="3002"/>
    </row>
    <row r="40" spans="2:45" x14ac:dyDescent="0.3">
      <c r="B40" s="1147" t="s">
        <v>1137</v>
      </c>
      <c r="C40" s="1128">
        <v>12</v>
      </c>
      <c r="E40" s="1149" t="s">
        <v>756</v>
      </c>
      <c r="F40" s="1437"/>
      <c r="H40" s="1128" t="s">
        <v>2176</v>
      </c>
      <c r="I40" s="1128" t="s">
        <v>2177</v>
      </c>
      <c r="J40" s="1147" t="s">
        <v>2178</v>
      </c>
      <c r="K40" s="1159"/>
      <c r="L40" s="1159"/>
      <c r="M40" s="1159"/>
      <c r="N40" s="1159"/>
      <c r="O40" s="1186"/>
      <c r="P40" s="1128" t="s">
        <v>2179</v>
      </c>
      <c r="Q40" s="3012">
        <v>93.781000000000006</v>
      </c>
      <c r="R40" s="3013">
        <v>100</v>
      </c>
      <c r="S40" s="3014">
        <v>0.08</v>
      </c>
      <c r="T40" s="3014">
        <v>0.93781000000000003</v>
      </c>
      <c r="U40" s="3015">
        <v>0.5</v>
      </c>
      <c r="W40" s="3001"/>
      <c r="X40" s="1191"/>
    </row>
    <row r="41" spans="2:45" x14ac:dyDescent="0.3">
      <c r="B41" s="1149" t="s">
        <v>1138</v>
      </c>
      <c r="C41" s="1132">
        <f>C40+1</f>
        <v>13</v>
      </c>
      <c r="E41" s="1149" t="s">
        <v>757</v>
      </c>
      <c r="F41" s="1437"/>
      <c r="H41" s="1132" t="s">
        <v>2176</v>
      </c>
      <c r="I41" s="1188" t="s">
        <v>2177</v>
      </c>
      <c r="J41" s="1207" t="s">
        <v>2180</v>
      </c>
      <c r="K41" s="1116"/>
      <c r="L41" s="1116"/>
      <c r="M41" s="1116"/>
      <c r="N41" s="1116"/>
      <c r="O41" s="1477"/>
      <c r="P41" s="1188" t="s">
        <v>2181</v>
      </c>
      <c r="Q41" s="2050">
        <v>419.85300000000001</v>
      </c>
      <c r="R41" s="1604">
        <v>880</v>
      </c>
      <c r="S41" s="3016">
        <v>0.03</v>
      </c>
      <c r="T41" s="3016">
        <v>0.4771056818181818</v>
      </c>
      <c r="U41" s="3017">
        <v>0.75</v>
      </c>
      <c r="W41" s="3001"/>
      <c r="X41" s="1191"/>
    </row>
    <row r="42" spans="2:45" x14ac:dyDescent="0.3">
      <c r="B42" s="1149" t="s">
        <v>1139</v>
      </c>
      <c r="C42" s="1132">
        <f t="shared" ref="C42:C58" si="7">C41+1</f>
        <v>14</v>
      </c>
      <c r="E42" s="1149" t="s">
        <v>758</v>
      </c>
      <c r="F42" s="1437"/>
      <c r="H42" s="1132" t="s">
        <v>2176</v>
      </c>
      <c r="I42" s="1188" t="s">
        <v>2177</v>
      </c>
      <c r="J42" s="1207" t="s">
        <v>2182</v>
      </c>
      <c r="K42" s="1116"/>
      <c r="L42" s="1116"/>
      <c r="M42" s="1116"/>
      <c r="N42" s="1116"/>
      <c r="O42" s="1477"/>
      <c r="P42" s="1188" t="s">
        <v>2179</v>
      </c>
      <c r="Q42" s="2050">
        <v>472.464</v>
      </c>
      <c r="R42" s="1604">
        <v>1200</v>
      </c>
      <c r="S42" s="3016">
        <v>0.04</v>
      </c>
      <c r="T42" s="3016">
        <v>0.39372000000000001</v>
      </c>
      <c r="U42" s="3017">
        <v>0.6</v>
      </c>
      <c r="W42" s="3001"/>
      <c r="X42" s="1191"/>
      <c r="Y42" s="1116"/>
    </row>
    <row r="43" spans="2:45" x14ac:dyDescent="0.3">
      <c r="B43" s="1149" t="s">
        <v>1140</v>
      </c>
      <c r="C43" s="1132">
        <f t="shared" si="7"/>
        <v>15</v>
      </c>
      <c r="E43" s="1149" t="s">
        <v>759</v>
      </c>
      <c r="F43" s="1437"/>
      <c r="H43" s="1132" t="s">
        <v>2176</v>
      </c>
      <c r="I43" s="1188" t="s">
        <v>2177</v>
      </c>
      <c r="J43" s="1207" t="s">
        <v>2183</v>
      </c>
      <c r="K43" s="1116"/>
      <c r="L43" s="1116"/>
      <c r="M43" s="1116"/>
      <c r="N43" s="1116"/>
      <c r="O43" s="1477"/>
      <c r="P43" s="1188" t="s">
        <v>2184</v>
      </c>
      <c r="Q43" s="2050">
        <v>0</v>
      </c>
      <c r="R43" s="1604">
        <v>60</v>
      </c>
      <c r="S43" s="3016">
        <v>0.4</v>
      </c>
      <c r="T43" s="3016">
        <v>0</v>
      </c>
      <c r="U43" s="3017">
        <v>0.64</v>
      </c>
      <c r="W43" s="3001"/>
      <c r="X43" s="1191"/>
      <c r="Y43" s="1116"/>
      <c r="Z43" s="1116"/>
    </row>
    <row r="44" spans="2:45" x14ac:dyDescent="0.3">
      <c r="B44" s="1149" t="s">
        <v>1141</v>
      </c>
      <c r="C44" s="1132">
        <f t="shared" si="7"/>
        <v>16</v>
      </c>
      <c r="E44" s="1149" t="s">
        <v>1268</v>
      </c>
      <c r="F44" s="1437"/>
      <c r="H44" s="1132" t="s">
        <v>2176</v>
      </c>
      <c r="I44" s="1188" t="s">
        <v>2185</v>
      </c>
      <c r="J44" s="1207" t="s">
        <v>2186</v>
      </c>
      <c r="K44" s="1116"/>
      <c r="L44" s="1116"/>
      <c r="M44" s="1116"/>
      <c r="N44" s="1116"/>
      <c r="O44" s="1477"/>
      <c r="P44" s="1188" t="s">
        <v>2179</v>
      </c>
      <c r="Q44" s="2050">
        <v>457</v>
      </c>
      <c r="R44" s="1604">
        <v>725</v>
      </c>
      <c r="S44" s="3016">
        <v>0.04</v>
      </c>
      <c r="T44" s="3016">
        <v>0.63034482758620691</v>
      </c>
      <c r="U44" s="3017">
        <v>0.7</v>
      </c>
      <c r="W44" s="3001"/>
      <c r="X44" s="1191"/>
      <c r="Y44" s="1116"/>
      <c r="Z44" s="1116"/>
    </row>
    <row r="45" spans="2:45" ht="12.75" customHeight="1" x14ac:dyDescent="0.3">
      <c r="B45" s="1149" t="s">
        <v>1142</v>
      </c>
      <c r="C45" s="1132">
        <f t="shared" si="7"/>
        <v>17</v>
      </c>
      <c r="E45" s="1184" t="s">
        <v>1229</v>
      </c>
      <c r="F45" s="1459"/>
      <c r="H45" s="1132" t="s">
        <v>2176</v>
      </c>
      <c r="I45" s="1188" t="s">
        <v>2185</v>
      </c>
      <c r="J45" s="1207" t="s">
        <v>2187</v>
      </c>
      <c r="K45" s="1116"/>
      <c r="L45" s="1116"/>
      <c r="M45" s="1116"/>
      <c r="N45" s="1116"/>
      <c r="O45" s="1477"/>
      <c r="P45" s="1188" t="s">
        <v>2184</v>
      </c>
      <c r="Q45" s="2050">
        <v>125</v>
      </c>
      <c r="R45" s="1604">
        <v>1167</v>
      </c>
      <c r="S45" s="3016">
        <v>0.04</v>
      </c>
      <c r="T45" s="3016">
        <v>0.10711225364181662</v>
      </c>
      <c r="U45" s="3017">
        <v>0.55000000000000004</v>
      </c>
      <c r="W45" s="3001"/>
      <c r="X45" s="1191"/>
      <c r="Y45" s="1116"/>
      <c r="Z45" s="1116"/>
    </row>
    <row r="46" spans="2:45" x14ac:dyDescent="0.3">
      <c r="B46" s="1149" t="s">
        <v>1143</v>
      </c>
      <c r="C46" s="1132">
        <f t="shared" si="7"/>
        <v>18</v>
      </c>
      <c r="H46" s="1132" t="s">
        <v>2176</v>
      </c>
      <c r="I46" s="1188" t="s">
        <v>2185</v>
      </c>
      <c r="J46" s="1207" t="s">
        <v>2188</v>
      </c>
      <c r="K46" s="1116"/>
      <c r="L46" s="1116"/>
      <c r="M46" s="1116"/>
      <c r="N46" s="1116"/>
      <c r="O46" s="1477"/>
      <c r="P46" s="1188" t="s">
        <v>2184</v>
      </c>
      <c r="Q46" s="2050">
        <v>219</v>
      </c>
      <c r="R46" s="1604">
        <v>3800</v>
      </c>
      <c r="S46" s="3016">
        <v>0.09</v>
      </c>
      <c r="T46" s="3016">
        <v>5.7631578947368423E-2</v>
      </c>
      <c r="U46" s="3017">
        <v>0.65</v>
      </c>
      <c r="W46" s="3001"/>
      <c r="X46" s="1191"/>
      <c r="Y46" s="1116"/>
      <c r="Z46" s="1116"/>
    </row>
    <row r="47" spans="2:45" ht="12.75" customHeight="1" x14ac:dyDescent="0.3">
      <c r="B47" s="1149" t="s">
        <v>1144</v>
      </c>
      <c r="C47" s="1132">
        <f t="shared" si="7"/>
        <v>19</v>
      </c>
      <c r="H47" s="1132" t="s">
        <v>2176</v>
      </c>
      <c r="I47" s="1188" t="s">
        <v>2185</v>
      </c>
      <c r="J47" s="1207" t="s">
        <v>2189</v>
      </c>
      <c r="K47" s="1116"/>
      <c r="L47" s="1116"/>
      <c r="M47" s="1116"/>
      <c r="N47" s="1116"/>
      <c r="O47" s="1477"/>
      <c r="P47" s="1188" t="s">
        <v>2184</v>
      </c>
      <c r="Q47" s="2050">
        <v>109</v>
      </c>
      <c r="R47" s="1604">
        <v>1100</v>
      </c>
      <c r="S47" s="3016">
        <v>0.04</v>
      </c>
      <c r="T47" s="3016">
        <v>9.9090909090909091E-2</v>
      </c>
      <c r="U47" s="3017">
        <v>0.55000000000000004</v>
      </c>
      <c r="W47" s="3001"/>
      <c r="X47" s="1191"/>
      <c r="Y47" s="1116"/>
      <c r="Z47" s="1116"/>
    </row>
    <row r="48" spans="2:45" x14ac:dyDescent="0.3">
      <c r="B48" s="1149" t="s">
        <v>1145</v>
      </c>
      <c r="C48" s="1132">
        <f t="shared" si="7"/>
        <v>20</v>
      </c>
      <c r="E48" s="1164" t="s">
        <v>2190</v>
      </c>
      <c r="F48" s="1146"/>
      <c r="H48" s="1132" t="s">
        <v>2176</v>
      </c>
      <c r="I48" s="1188" t="s">
        <v>2185</v>
      </c>
      <c r="J48" s="1207" t="s">
        <v>2191</v>
      </c>
      <c r="K48" s="1116"/>
      <c r="L48" s="1116"/>
      <c r="M48" s="1116"/>
      <c r="N48" s="1116"/>
      <c r="O48" s="1477"/>
      <c r="P48" s="1188" t="s">
        <v>2192</v>
      </c>
      <c r="Q48" s="2050">
        <v>134</v>
      </c>
      <c r="R48" s="1604">
        <v>500</v>
      </c>
      <c r="S48" s="3016">
        <v>0.03</v>
      </c>
      <c r="T48" s="3016">
        <v>0.26800000000000002</v>
      </c>
      <c r="U48" s="3017">
        <v>0.45</v>
      </c>
      <c r="W48" s="3001"/>
      <c r="X48" s="1191"/>
      <c r="Y48" s="1116"/>
      <c r="Z48" s="1116"/>
    </row>
    <row r="49" spans="2:26" ht="12.75" customHeight="1" x14ac:dyDescent="0.3">
      <c r="B49" s="1149" t="s">
        <v>1146</v>
      </c>
      <c r="C49" s="1132">
        <f t="shared" si="7"/>
        <v>21</v>
      </c>
      <c r="E49" s="1149" t="s">
        <v>1653</v>
      </c>
      <c r="F49" s="1437"/>
      <c r="H49" s="1132" t="s">
        <v>2176</v>
      </c>
      <c r="I49" s="1132" t="s">
        <v>2185</v>
      </c>
      <c r="J49" s="1149" t="s">
        <v>2193</v>
      </c>
      <c r="K49" s="1142"/>
      <c r="L49" s="1142"/>
      <c r="M49" s="1142"/>
      <c r="N49" s="1142"/>
      <c r="O49" s="1437"/>
      <c r="P49" s="1188" t="s">
        <v>2192</v>
      </c>
      <c r="Q49" s="3018">
        <v>153</v>
      </c>
      <c r="R49" s="1604">
        <v>900</v>
      </c>
      <c r="S49" s="3019">
        <v>0.01</v>
      </c>
      <c r="T49" s="3019">
        <v>0.17</v>
      </c>
      <c r="U49" s="3020">
        <v>0.4</v>
      </c>
      <c r="W49" s="3001"/>
      <c r="X49" s="1191"/>
      <c r="Y49" s="1116"/>
      <c r="Z49" s="1116"/>
    </row>
    <row r="50" spans="2:26" x14ac:dyDescent="0.3">
      <c r="B50" s="1149" t="s">
        <v>1147</v>
      </c>
      <c r="C50" s="1132">
        <f t="shared" si="7"/>
        <v>22</v>
      </c>
      <c r="E50" s="1184" t="s">
        <v>1449</v>
      </c>
      <c r="F50" s="1459"/>
      <c r="H50" s="1132" t="s">
        <v>2176</v>
      </c>
      <c r="I50" s="1132" t="s">
        <v>2185</v>
      </c>
      <c r="J50" s="1149" t="s">
        <v>2194</v>
      </c>
      <c r="K50" s="1142"/>
      <c r="L50" s="1142"/>
      <c r="M50" s="1142"/>
      <c r="N50" s="1142"/>
      <c r="O50" s="1437"/>
      <c r="P50" s="1132" t="s">
        <v>2179</v>
      </c>
      <c r="Q50" s="3018">
        <v>53</v>
      </c>
      <c r="R50" s="1604">
        <v>98</v>
      </c>
      <c r="S50" s="3019">
        <v>0.2</v>
      </c>
      <c r="T50" s="3019">
        <v>0.54081632653061229</v>
      </c>
      <c r="U50" s="3021">
        <v>0.4</v>
      </c>
      <c r="W50" s="3001"/>
      <c r="X50" s="1191"/>
      <c r="Y50" s="1116"/>
      <c r="Z50" s="1116"/>
    </row>
    <row r="51" spans="2:26" ht="12.75" customHeight="1" x14ac:dyDescent="0.3">
      <c r="B51" s="1149" t="s">
        <v>1148</v>
      </c>
      <c r="C51" s="1132">
        <f t="shared" si="7"/>
        <v>23</v>
      </c>
      <c r="H51" s="1132" t="s">
        <v>2176</v>
      </c>
      <c r="I51" s="1132" t="s">
        <v>2185</v>
      </c>
      <c r="J51" s="1149" t="s">
        <v>2195</v>
      </c>
      <c r="K51" s="1142"/>
      <c r="L51" s="1142"/>
      <c r="M51" s="1142"/>
      <c r="N51" s="1142"/>
      <c r="O51" s="1437"/>
      <c r="P51" s="1132" t="s">
        <v>2184</v>
      </c>
      <c r="Q51" s="3018">
        <v>53</v>
      </c>
      <c r="R51" s="1604">
        <v>1203</v>
      </c>
      <c r="S51" s="3019">
        <v>0.08</v>
      </c>
      <c r="T51" s="3019">
        <v>4.4056525353283457E-2</v>
      </c>
      <c r="U51" s="3020">
        <v>0.65</v>
      </c>
      <c r="W51" s="3001"/>
      <c r="X51" s="1191"/>
      <c r="Y51" s="1116"/>
      <c r="Z51" s="1116"/>
    </row>
    <row r="52" spans="2:26" x14ac:dyDescent="0.3">
      <c r="B52" s="1184" t="s">
        <v>1229</v>
      </c>
      <c r="C52" s="1132">
        <f t="shared" si="7"/>
        <v>24</v>
      </c>
      <c r="E52" s="1151" t="s">
        <v>2196</v>
      </c>
      <c r="H52" s="1132" t="s">
        <v>2176</v>
      </c>
      <c r="I52" s="1132" t="s">
        <v>2197</v>
      </c>
      <c r="J52" s="1149" t="s">
        <v>2198</v>
      </c>
      <c r="K52" s="1142"/>
      <c r="L52" s="1142"/>
      <c r="M52" s="1142"/>
      <c r="N52" s="1142"/>
      <c r="O52" s="1437"/>
      <c r="P52" s="1132" t="s">
        <v>2184</v>
      </c>
      <c r="Q52" s="3018">
        <v>1</v>
      </c>
      <c r="R52" s="1604">
        <v>40</v>
      </c>
      <c r="S52" s="3019">
        <v>0.15</v>
      </c>
      <c r="T52" s="3019">
        <v>2.5000000000000001E-2</v>
      </c>
      <c r="U52" s="3017">
        <v>0.66</v>
      </c>
      <c r="W52" s="3001"/>
      <c r="X52" s="1191"/>
      <c r="Y52" s="1116"/>
      <c r="Z52" s="1116"/>
    </row>
    <row r="53" spans="2:26" x14ac:dyDescent="0.3">
      <c r="C53" s="1132">
        <f t="shared" si="7"/>
        <v>25</v>
      </c>
      <c r="E53" s="3022">
        <v>1</v>
      </c>
      <c r="H53" s="1132" t="s">
        <v>2176</v>
      </c>
      <c r="I53" s="1132" t="s">
        <v>2197</v>
      </c>
      <c r="J53" s="1149" t="s">
        <v>2199</v>
      </c>
      <c r="K53" s="1142"/>
      <c r="L53" s="1142"/>
      <c r="M53" s="1142"/>
      <c r="N53" s="1142"/>
      <c r="O53" s="1437"/>
      <c r="P53" s="1132" t="s">
        <v>2184</v>
      </c>
      <c r="Q53" s="3018">
        <v>1</v>
      </c>
      <c r="R53" s="1604">
        <v>100</v>
      </c>
      <c r="S53" s="3019">
        <v>0.16</v>
      </c>
      <c r="T53" s="3019">
        <v>0.01</v>
      </c>
      <c r="U53" s="3017">
        <v>0.56000000000000005</v>
      </c>
      <c r="W53" s="3001"/>
      <c r="X53" s="1191"/>
      <c r="Y53" s="1116"/>
      <c r="Z53" s="1116"/>
    </row>
    <row r="54" spans="2:26" x14ac:dyDescent="0.3">
      <c r="C54" s="1132">
        <f t="shared" si="7"/>
        <v>26</v>
      </c>
      <c r="E54" s="3023">
        <f>E53+1</f>
        <v>2</v>
      </c>
      <c r="H54" s="1132" t="s">
        <v>2176</v>
      </c>
      <c r="I54" s="1132" t="s">
        <v>2200</v>
      </c>
      <c r="J54" s="1149" t="s">
        <v>2201</v>
      </c>
      <c r="K54" s="1142"/>
      <c r="L54" s="1142"/>
      <c r="M54" s="1142"/>
      <c r="N54" s="1142"/>
      <c r="O54" s="1437"/>
      <c r="P54" s="1132" t="s">
        <v>2179</v>
      </c>
      <c r="Q54" s="3018">
        <v>40.299999999999997</v>
      </c>
      <c r="R54" s="1604">
        <v>430</v>
      </c>
      <c r="S54" s="3019">
        <v>7.0000000000000007E-2</v>
      </c>
      <c r="T54" s="3019">
        <v>9.3720930232558133E-2</v>
      </c>
      <c r="U54" s="3017">
        <v>0.67</v>
      </c>
      <c r="W54" s="3001"/>
      <c r="X54" s="1191"/>
      <c r="Y54" s="1116"/>
      <c r="Z54" s="1116"/>
    </row>
    <row r="55" spans="2:26" x14ac:dyDescent="0.3">
      <c r="C55" s="1132">
        <f t="shared" si="7"/>
        <v>27</v>
      </c>
      <c r="E55" s="3023">
        <f t="shared" ref="E55:E82" si="8">E54+1</f>
        <v>3</v>
      </c>
      <c r="H55" s="1132" t="s">
        <v>2176</v>
      </c>
      <c r="I55" s="1132" t="s">
        <v>2200</v>
      </c>
      <c r="J55" s="1149" t="s">
        <v>2202</v>
      </c>
      <c r="K55" s="1142"/>
      <c r="L55" s="1142"/>
      <c r="M55" s="1142"/>
      <c r="N55" s="1142"/>
      <c r="O55" s="1437"/>
      <c r="P55" s="1132" t="s">
        <v>2179</v>
      </c>
      <c r="Q55" s="3018">
        <v>595</v>
      </c>
      <c r="R55" s="1604">
        <v>1000</v>
      </c>
      <c r="S55" s="3019">
        <v>0.04</v>
      </c>
      <c r="T55" s="3019">
        <v>0.59499999999999997</v>
      </c>
      <c r="U55" s="3017">
        <v>0.69</v>
      </c>
      <c r="W55" s="3001"/>
      <c r="X55" s="1191"/>
      <c r="Y55" s="1116"/>
      <c r="Z55" s="1116"/>
    </row>
    <row r="56" spans="2:26" x14ac:dyDescent="0.3">
      <c r="C56" s="1132">
        <f t="shared" si="7"/>
        <v>28</v>
      </c>
      <c r="E56" s="3023">
        <f t="shared" si="8"/>
        <v>4</v>
      </c>
      <c r="H56" s="1132" t="s">
        <v>2176</v>
      </c>
      <c r="I56" s="1132" t="s">
        <v>2200</v>
      </c>
      <c r="J56" s="1149" t="s">
        <v>2203</v>
      </c>
      <c r="K56" s="1142"/>
      <c r="L56" s="1142"/>
      <c r="M56" s="1142"/>
      <c r="N56" s="1142"/>
      <c r="O56" s="1437"/>
      <c r="P56" s="1132" t="s">
        <v>2179</v>
      </c>
      <c r="Q56" s="3018">
        <v>46.9</v>
      </c>
      <c r="R56" s="1604">
        <v>350</v>
      </c>
      <c r="S56" s="3019">
        <v>0.08</v>
      </c>
      <c r="T56" s="3019">
        <v>0.13400000000000001</v>
      </c>
      <c r="U56" s="3024">
        <v>0.67</v>
      </c>
      <c r="W56" s="3001"/>
      <c r="X56" s="1191"/>
    </row>
    <row r="57" spans="2:26" x14ac:dyDescent="0.3">
      <c r="C57" s="1132">
        <f t="shared" si="7"/>
        <v>29</v>
      </c>
      <c r="E57" s="3023">
        <f t="shared" si="8"/>
        <v>5</v>
      </c>
      <c r="H57" s="1132" t="s">
        <v>2176</v>
      </c>
      <c r="I57" s="1132" t="s">
        <v>2200</v>
      </c>
      <c r="J57" s="1149" t="s">
        <v>2204</v>
      </c>
      <c r="K57" s="1142"/>
      <c r="L57" s="1142"/>
      <c r="M57" s="1142"/>
      <c r="N57" s="1142"/>
      <c r="O57" s="1437"/>
      <c r="P57" s="1132" t="s">
        <v>2181</v>
      </c>
      <c r="Q57" s="3018">
        <v>589.20000000000005</v>
      </c>
      <c r="R57" s="1604">
        <v>1000</v>
      </c>
      <c r="S57" s="3019">
        <v>0.04</v>
      </c>
      <c r="T57" s="3019">
        <v>0.58920000000000006</v>
      </c>
      <c r="U57" s="3024">
        <v>0.51</v>
      </c>
      <c r="W57" s="3001"/>
      <c r="X57" s="1191"/>
    </row>
    <row r="58" spans="2:26" x14ac:dyDescent="0.3">
      <c r="C58" s="1132">
        <f t="shared" si="7"/>
        <v>30</v>
      </c>
      <c r="E58" s="3023">
        <f t="shared" si="8"/>
        <v>6</v>
      </c>
      <c r="H58" s="1132" t="s">
        <v>2176</v>
      </c>
      <c r="I58" s="1132" t="s">
        <v>2200</v>
      </c>
      <c r="J58" s="1149" t="s">
        <v>2205</v>
      </c>
      <c r="K58" s="1142"/>
      <c r="L58" s="1142"/>
      <c r="M58" s="1142"/>
      <c r="N58" s="1142"/>
      <c r="O58" s="1437"/>
      <c r="P58" s="1132" t="s">
        <v>2181</v>
      </c>
      <c r="Q58" s="3018">
        <v>68.599999999999994</v>
      </c>
      <c r="R58" s="1604">
        <v>115</v>
      </c>
      <c r="S58" s="3019">
        <v>0.05</v>
      </c>
      <c r="T58" s="3019">
        <v>0.59652173913043471</v>
      </c>
      <c r="U58" s="3024">
        <v>0.56999999999999995</v>
      </c>
      <c r="W58" s="3001"/>
      <c r="X58" s="1191"/>
    </row>
    <row r="59" spans="2:26" x14ac:dyDescent="0.3">
      <c r="C59" s="1132">
        <v>31</v>
      </c>
      <c r="E59" s="3023">
        <f t="shared" si="8"/>
        <v>7</v>
      </c>
      <c r="H59" s="1132" t="s">
        <v>2176</v>
      </c>
      <c r="I59" s="1132" t="s">
        <v>2200</v>
      </c>
      <c r="J59" s="1149" t="s">
        <v>2206</v>
      </c>
      <c r="K59" s="1142"/>
      <c r="L59" s="1142"/>
      <c r="M59" s="1142"/>
      <c r="N59" s="1142"/>
      <c r="O59" s="1437"/>
      <c r="P59" s="1132" t="s">
        <v>2184</v>
      </c>
      <c r="Q59" s="3018">
        <v>0</v>
      </c>
      <c r="R59" s="1604">
        <v>1500</v>
      </c>
      <c r="S59" s="3019">
        <v>0.1</v>
      </c>
      <c r="T59" s="3019">
        <v>0</v>
      </c>
      <c r="U59" s="3024">
        <v>0.75</v>
      </c>
      <c r="W59" s="3001"/>
      <c r="X59" s="1191"/>
    </row>
    <row r="60" spans="2:26" x14ac:dyDescent="0.3">
      <c r="C60" s="1136" t="s">
        <v>1229</v>
      </c>
      <c r="E60" s="3023">
        <f t="shared" si="8"/>
        <v>8</v>
      </c>
      <c r="H60" s="1132" t="s">
        <v>2176</v>
      </c>
      <c r="I60" s="1132" t="s">
        <v>2200</v>
      </c>
      <c r="J60" s="1149" t="s">
        <v>2207</v>
      </c>
      <c r="K60" s="1142"/>
      <c r="L60" s="1142"/>
      <c r="M60" s="1142"/>
      <c r="N60" s="1142"/>
      <c r="O60" s="1437"/>
      <c r="P60" s="1132" t="s">
        <v>2184</v>
      </c>
      <c r="Q60" s="3018">
        <v>0</v>
      </c>
      <c r="R60" s="1604">
        <v>7500</v>
      </c>
      <c r="S60" s="3019">
        <v>0.1</v>
      </c>
      <c r="T60" s="3019">
        <v>0</v>
      </c>
      <c r="U60" s="3024">
        <v>0.7</v>
      </c>
      <c r="W60" s="3001"/>
      <c r="X60" s="1191"/>
    </row>
    <row r="61" spans="2:26" x14ac:dyDescent="0.3">
      <c r="B61" s="1143" t="s">
        <v>1300</v>
      </c>
      <c r="C61" s="1143" t="s">
        <v>2208</v>
      </c>
      <c r="E61" s="3023">
        <f t="shared" si="8"/>
        <v>9</v>
      </c>
      <c r="H61" s="1132" t="s">
        <v>2176</v>
      </c>
      <c r="I61" s="1132" t="s">
        <v>2200</v>
      </c>
      <c r="J61" s="1149" t="s">
        <v>2209</v>
      </c>
      <c r="K61" s="1142"/>
      <c r="L61" s="1142"/>
      <c r="M61" s="1142"/>
      <c r="N61" s="1142"/>
      <c r="O61" s="1437"/>
      <c r="P61" s="1132" t="s">
        <v>2184</v>
      </c>
      <c r="Q61" s="3018">
        <v>0</v>
      </c>
      <c r="R61" s="1604">
        <v>500</v>
      </c>
      <c r="S61" s="3019">
        <v>0.1</v>
      </c>
      <c r="T61" s="3019">
        <v>0</v>
      </c>
      <c r="U61" s="3024">
        <v>0.9</v>
      </c>
      <c r="W61" s="3001"/>
      <c r="X61" s="1191"/>
    </row>
    <row r="62" spans="2:26" x14ac:dyDescent="0.3">
      <c r="B62" s="1128" t="s">
        <v>1140</v>
      </c>
      <c r="C62" s="1128" t="s">
        <v>648</v>
      </c>
      <c r="E62" s="3023">
        <f t="shared" si="8"/>
        <v>10</v>
      </c>
      <c r="H62" s="1132" t="s">
        <v>2176</v>
      </c>
      <c r="I62" s="1132" t="s">
        <v>2200</v>
      </c>
      <c r="J62" s="1149" t="s">
        <v>2210</v>
      </c>
      <c r="K62" s="1142"/>
      <c r="L62" s="1142"/>
      <c r="M62" s="1142"/>
      <c r="N62" s="1142"/>
      <c r="O62" s="1437"/>
      <c r="P62" s="1188" t="s">
        <v>2192</v>
      </c>
      <c r="Q62" s="3018">
        <v>0</v>
      </c>
      <c r="R62" s="1604">
        <v>1000</v>
      </c>
      <c r="S62" s="3019">
        <v>0.08</v>
      </c>
      <c r="T62" s="3019">
        <v>0</v>
      </c>
      <c r="U62" s="3024">
        <v>0.5</v>
      </c>
      <c r="W62" s="3001"/>
      <c r="X62" s="1191"/>
    </row>
    <row r="63" spans="2:26" x14ac:dyDescent="0.3">
      <c r="B63" s="1132" t="s">
        <v>1141</v>
      </c>
      <c r="C63" s="1132" t="s">
        <v>648</v>
      </c>
      <c r="E63" s="3023">
        <f t="shared" si="8"/>
        <v>11</v>
      </c>
      <c r="H63" s="1132" t="s">
        <v>2211</v>
      </c>
      <c r="I63" s="1132" t="s">
        <v>2212</v>
      </c>
      <c r="J63" s="1149" t="s">
        <v>2213</v>
      </c>
      <c r="K63" s="1142"/>
      <c r="L63" s="1142"/>
      <c r="M63" s="1142"/>
      <c r="N63" s="1142"/>
      <c r="O63" s="1437"/>
      <c r="P63" s="1132" t="s">
        <v>2184</v>
      </c>
      <c r="Q63" s="3018">
        <v>0</v>
      </c>
      <c r="R63" s="1604">
        <v>1050</v>
      </c>
      <c r="S63" s="3019">
        <v>0.05</v>
      </c>
      <c r="T63" s="3019">
        <v>0</v>
      </c>
      <c r="U63" s="3024">
        <v>0.35</v>
      </c>
      <c r="W63" s="3001"/>
      <c r="X63" s="1191"/>
    </row>
    <row r="64" spans="2:26" x14ac:dyDescent="0.3">
      <c r="B64" s="1132" t="s">
        <v>1142</v>
      </c>
      <c r="C64" s="1132" t="s">
        <v>648</v>
      </c>
      <c r="E64" s="3023">
        <f t="shared" si="8"/>
        <v>12</v>
      </c>
      <c r="H64" s="1132" t="s">
        <v>2211</v>
      </c>
      <c r="I64" s="1132" t="s">
        <v>2212</v>
      </c>
      <c r="J64" s="1149" t="s">
        <v>2214</v>
      </c>
      <c r="K64" s="1142"/>
      <c r="L64" s="1142"/>
      <c r="M64" s="1142"/>
      <c r="N64" s="1142"/>
      <c r="O64" s="1437"/>
      <c r="P64" s="1132" t="s">
        <v>2184</v>
      </c>
      <c r="Q64" s="3018">
        <v>0</v>
      </c>
      <c r="R64" s="1604">
        <v>2200</v>
      </c>
      <c r="S64" s="3019">
        <v>0.16</v>
      </c>
      <c r="T64" s="3019">
        <v>0</v>
      </c>
      <c r="U64" s="3024">
        <v>0.45</v>
      </c>
      <c r="W64" s="3001"/>
      <c r="X64" s="1191"/>
    </row>
    <row r="65" spans="2:24" x14ac:dyDescent="0.3">
      <c r="B65" s="1132" t="s">
        <v>1143</v>
      </c>
      <c r="C65" s="1132" t="s">
        <v>649</v>
      </c>
      <c r="E65" s="3023">
        <f t="shared" si="8"/>
        <v>13</v>
      </c>
      <c r="H65" s="1132" t="s">
        <v>2211</v>
      </c>
      <c r="I65" s="1132" t="s">
        <v>2212</v>
      </c>
      <c r="J65" s="1149" t="s">
        <v>2215</v>
      </c>
      <c r="K65" s="1142"/>
      <c r="L65" s="1142"/>
      <c r="M65" s="1142"/>
      <c r="N65" s="1142"/>
      <c r="O65" s="1437"/>
      <c r="P65" s="1132" t="s">
        <v>2179</v>
      </c>
      <c r="Q65" s="3018">
        <v>1070</v>
      </c>
      <c r="R65" s="1604">
        <v>1680</v>
      </c>
      <c r="S65" s="3019">
        <v>0.04</v>
      </c>
      <c r="T65" s="3019">
        <v>0.63690476190476186</v>
      </c>
      <c r="U65" s="3024">
        <v>0.72</v>
      </c>
      <c r="W65" s="3001"/>
      <c r="X65" s="1191"/>
    </row>
    <row r="66" spans="2:24" x14ac:dyDescent="0.3">
      <c r="B66" s="1132" t="s">
        <v>1144</v>
      </c>
      <c r="C66" s="1132" t="s">
        <v>649</v>
      </c>
      <c r="E66" s="3023">
        <f t="shared" si="8"/>
        <v>14</v>
      </c>
      <c r="H66" s="1132" t="s">
        <v>2211</v>
      </c>
      <c r="I66" s="1132" t="s">
        <v>2212</v>
      </c>
      <c r="J66" s="1149" t="s">
        <v>2216</v>
      </c>
      <c r="K66" s="1142"/>
      <c r="L66" s="1142"/>
      <c r="M66" s="1142"/>
      <c r="N66" s="1142"/>
      <c r="O66" s="1437"/>
      <c r="P66" s="1132" t="s">
        <v>2184</v>
      </c>
      <c r="Q66" s="3018">
        <v>0</v>
      </c>
      <c r="R66" s="1604">
        <v>800</v>
      </c>
      <c r="S66" s="3019">
        <v>0.15</v>
      </c>
      <c r="T66" s="3019">
        <v>0</v>
      </c>
      <c r="U66" s="3024">
        <v>0.55000000000000004</v>
      </c>
      <c r="W66" s="3001"/>
      <c r="X66" s="1191"/>
    </row>
    <row r="67" spans="2:24" x14ac:dyDescent="0.3">
      <c r="B67" s="1132" t="s">
        <v>1145</v>
      </c>
      <c r="C67" s="1132" t="s">
        <v>649</v>
      </c>
      <c r="E67" s="3023">
        <f t="shared" si="8"/>
        <v>15</v>
      </c>
      <c r="H67" s="1132" t="s">
        <v>2211</v>
      </c>
      <c r="I67" s="1132" t="s">
        <v>2212</v>
      </c>
      <c r="J67" s="1149" t="s">
        <v>2217</v>
      </c>
      <c r="K67" s="1142"/>
      <c r="L67" s="1142"/>
      <c r="M67" s="1142"/>
      <c r="N67" s="1142"/>
      <c r="O67" s="1437"/>
      <c r="P67" s="1132" t="s">
        <v>2184</v>
      </c>
      <c r="Q67" s="3018">
        <v>0</v>
      </c>
      <c r="R67" s="1604">
        <v>100</v>
      </c>
      <c r="S67" s="3019">
        <v>0.15</v>
      </c>
      <c r="T67" s="3019">
        <v>0</v>
      </c>
      <c r="U67" s="3024">
        <v>0.8</v>
      </c>
      <c r="W67" s="3001"/>
      <c r="X67" s="1191"/>
    </row>
    <row r="68" spans="2:24" x14ac:dyDescent="0.3">
      <c r="B68" s="1132" t="s">
        <v>1146</v>
      </c>
      <c r="C68" s="1132" t="s">
        <v>650</v>
      </c>
      <c r="E68" s="3023">
        <f t="shared" si="8"/>
        <v>16</v>
      </c>
      <c r="H68" s="1132" t="s">
        <v>2211</v>
      </c>
      <c r="I68" s="1132" t="s">
        <v>2218</v>
      </c>
      <c r="J68" s="1149" t="s">
        <v>2219</v>
      </c>
      <c r="K68" s="1142"/>
      <c r="L68" s="1142"/>
      <c r="M68" s="1142"/>
      <c r="N68" s="1142"/>
      <c r="O68" s="1437"/>
      <c r="P68" s="1132" t="s">
        <v>2184</v>
      </c>
      <c r="Q68" s="3018">
        <v>93</v>
      </c>
      <c r="R68" s="1604">
        <v>1100</v>
      </c>
      <c r="S68" s="3019">
        <v>0.04</v>
      </c>
      <c r="T68" s="3019">
        <v>8.4545454545454549E-2</v>
      </c>
      <c r="U68" s="3024">
        <v>0.6</v>
      </c>
      <c r="W68" s="3001"/>
      <c r="X68" s="1191"/>
    </row>
    <row r="69" spans="2:24" x14ac:dyDescent="0.3">
      <c r="B69" s="1132" t="s">
        <v>1147</v>
      </c>
      <c r="C69" s="1132" t="s">
        <v>650</v>
      </c>
      <c r="E69" s="3023">
        <f t="shared" si="8"/>
        <v>17</v>
      </c>
      <c r="H69" s="1132" t="s">
        <v>2211</v>
      </c>
      <c r="I69" s="1132" t="s">
        <v>2218</v>
      </c>
      <c r="J69" s="1149" t="s">
        <v>2220</v>
      </c>
      <c r="K69" s="1142"/>
      <c r="L69" s="1142"/>
      <c r="M69" s="1142"/>
      <c r="N69" s="1142"/>
      <c r="O69" s="1437"/>
      <c r="P69" s="1132" t="s">
        <v>2179</v>
      </c>
      <c r="Q69" s="3018">
        <v>95</v>
      </c>
      <c r="R69" s="1604">
        <v>200</v>
      </c>
      <c r="S69" s="3019">
        <v>0.1</v>
      </c>
      <c r="T69" s="3019">
        <v>0.47499999999999998</v>
      </c>
      <c r="U69" s="3024">
        <v>0.6</v>
      </c>
      <c r="W69" s="3001"/>
      <c r="X69" s="1191"/>
    </row>
    <row r="70" spans="2:24" x14ac:dyDescent="0.3">
      <c r="B70" s="1132" t="s">
        <v>1148</v>
      </c>
      <c r="C70" s="1132" t="s">
        <v>650</v>
      </c>
      <c r="E70" s="3023">
        <f t="shared" si="8"/>
        <v>18</v>
      </c>
      <c r="H70" s="1132" t="s">
        <v>2211</v>
      </c>
      <c r="I70" s="1132" t="s">
        <v>2218</v>
      </c>
      <c r="J70" s="1149" t="s">
        <v>2221</v>
      </c>
      <c r="K70" s="1142"/>
      <c r="L70" s="1142"/>
      <c r="M70" s="1142"/>
      <c r="N70" s="1142"/>
      <c r="O70" s="1437"/>
      <c r="P70" s="1132" t="s">
        <v>2179</v>
      </c>
      <c r="Q70" s="3018">
        <v>500</v>
      </c>
      <c r="R70" s="1604">
        <v>1700</v>
      </c>
      <c r="S70" s="3019">
        <v>0.05</v>
      </c>
      <c r="T70" s="3019">
        <v>0.29411764705882354</v>
      </c>
      <c r="U70" s="3024">
        <v>0.6</v>
      </c>
      <c r="W70" s="3001"/>
      <c r="X70" s="1191"/>
    </row>
    <row r="71" spans="2:24" x14ac:dyDescent="0.3">
      <c r="B71" s="1132" t="s">
        <v>1137</v>
      </c>
      <c r="C71" s="1132" t="s">
        <v>647</v>
      </c>
      <c r="E71" s="3023">
        <f t="shared" si="8"/>
        <v>19</v>
      </c>
      <c r="H71" s="1132" t="s">
        <v>2211</v>
      </c>
      <c r="I71" s="1132" t="s">
        <v>2218</v>
      </c>
      <c r="J71" s="1149" t="s">
        <v>2222</v>
      </c>
      <c r="K71" s="1142"/>
      <c r="L71" s="1142"/>
      <c r="M71" s="1142"/>
      <c r="N71" s="1142"/>
      <c r="O71" s="1437"/>
      <c r="P71" s="1132" t="s">
        <v>2181</v>
      </c>
      <c r="Q71" s="3018">
        <v>697</v>
      </c>
      <c r="R71" s="1604">
        <v>3400</v>
      </c>
      <c r="S71" s="3019">
        <v>0.02</v>
      </c>
      <c r="T71" s="3019">
        <v>0.20499999999999999</v>
      </c>
      <c r="U71" s="3024">
        <v>0.4</v>
      </c>
      <c r="W71" s="3001"/>
      <c r="X71" s="1191"/>
    </row>
    <row r="72" spans="2:24" x14ac:dyDescent="0.3">
      <c r="B72" s="1132" t="s">
        <v>1138</v>
      </c>
      <c r="C72" s="1132" t="s">
        <v>647</v>
      </c>
      <c r="E72" s="3023">
        <f t="shared" si="8"/>
        <v>20</v>
      </c>
      <c r="H72" s="1132" t="s">
        <v>2211</v>
      </c>
      <c r="I72" s="1132" t="s">
        <v>2218</v>
      </c>
      <c r="J72" s="1149" t="s">
        <v>2223</v>
      </c>
      <c r="K72" s="1142"/>
      <c r="L72" s="1142"/>
      <c r="M72" s="1142"/>
      <c r="N72" s="1142"/>
      <c r="O72" s="1437"/>
      <c r="P72" s="1132" t="s">
        <v>2184</v>
      </c>
      <c r="Q72" s="3018">
        <v>0</v>
      </c>
      <c r="R72" s="1604">
        <v>1500</v>
      </c>
      <c r="S72" s="3019">
        <v>7.0000000000000007E-2</v>
      </c>
      <c r="T72" s="3019">
        <v>0</v>
      </c>
      <c r="U72" s="3024">
        <v>0.5</v>
      </c>
      <c r="W72" s="3001"/>
      <c r="X72" s="1191"/>
    </row>
    <row r="73" spans="2:24" x14ac:dyDescent="0.3">
      <c r="B73" s="1132" t="s">
        <v>1139</v>
      </c>
      <c r="C73" s="1132" t="s">
        <v>647</v>
      </c>
      <c r="E73" s="3023">
        <f t="shared" si="8"/>
        <v>21</v>
      </c>
      <c r="H73" s="1132" t="s">
        <v>2211</v>
      </c>
      <c r="I73" s="1132" t="s">
        <v>2218</v>
      </c>
      <c r="J73" s="1149" t="s">
        <v>2224</v>
      </c>
      <c r="K73" s="1142"/>
      <c r="L73" s="1142"/>
      <c r="M73" s="1142"/>
      <c r="N73" s="1142"/>
      <c r="O73" s="1437"/>
      <c r="P73" s="1132" t="s">
        <v>2179</v>
      </c>
      <c r="Q73" s="3018">
        <v>115</v>
      </c>
      <c r="R73" s="1604">
        <v>600</v>
      </c>
      <c r="S73" s="3019">
        <v>0.06</v>
      </c>
      <c r="T73" s="3019">
        <v>0.19166666666666668</v>
      </c>
      <c r="U73" s="3024">
        <v>0.75</v>
      </c>
      <c r="W73" s="3001"/>
      <c r="X73" s="1191"/>
    </row>
    <row r="74" spans="2:24" x14ac:dyDescent="0.3">
      <c r="B74" s="1136" t="s">
        <v>1229</v>
      </c>
      <c r="C74" s="1136"/>
      <c r="E74" s="3023">
        <f t="shared" si="8"/>
        <v>22</v>
      </c>
      <c r="H74" s="1132" t="s">
        <v>2211</v>
      </c>
      <c r="I74" s="1132" t="s">
        <v>2218</v>
      </c>
      <c r="J74" s="1149" t="s">
        <v>2225</v>
      </c>
      <c r="K74" s="1142"/>
      <c r="L74" s="1142"/>
      <c r="M74" s="1142"/>
      <c r="N74" s="1142"/>
      <c r="O74" s="1437"/>
      <c r="P74" s="1188" t="s">
        <v>2192</v>
      </c>
      <c r="Q74" s="3018">
        <v>172</v>
      </c>
      <c r="R74" s="1604">
        <v>2400</v>
      </c>
      <c r="S74" s="3019">
        <v>0.03</v>
      </c>
      <c r="T74" s="3019">
        <v>7.166666666666667E-2</v>
      </c>
      <c r="U74" s="3024">
        <v>0.4</v>
      </c>
      <c r="W74" s="3001"/>
      <c r="X74" s="1191"/>
    </row>
    <row r="75" spans="2:24" x14ac:dyDescent="0.3">
      <c r="E75" s="3023">
        <f t="shared" si="8"/>
        <v>23</v>
      </c>
      <c r="H75" s="1132" t="s">
        <v>2211</v>
      </c>
      <c r="I75" s="1132" t="s">
        <v>2218</v>
      </c>
      <c r="J75" s="1149" t="s">
        <v>2226</v>
      </c>
      <c r="K75" s="1142"/>
      <c r="L75" s="1142"/>
      <c r="M75" s="1142"/>
      <c r="N75" s="1142"/>
      <c r="O75" s="1437"/>
      <c r="P75" s="1188" t="s">
        <v>2192</v>
      </c>
      <c r="Q75" s="3018">
        <v>50</v>
      </c>
      <c r="R75" s="1604">
        <v>800</v>
      </c>
      <c r="S75" s="3019">
        <v>0.03</v>
      </c>
      <c r="T75" s="3019">
        <v>6.25E-2</v>
      </c>
      <c r="U75" s="3024">
        <v>0.6</v>
      </c>
      <c r="W75" s="3001"/>
      <c r="X75" s="1191"/>
    </row>
    <row r="76" spans="2:24" x14ac:dyDescent="0.3">
      <c r="B76" s="1143" t="s">
        <v>2227</v>
      </c>
      <c r="E76" s="3023">
        <f t="shared" si="8"/>
        <v>24</v>
      </c>
      <c r="H76" s="1132" t="s">
        <v>2211</v>
      </c>
      <c r="I76" s="1132" t="s">
        <v>2218</v>
      </c>
      <c r="J76" s="1149" t="s">
        <v>2228</v>
      </c>
      <c r="K76" s="1142"/>
      <c r="L76" s="1142"/>
      <c r="M76" s="1142"/>
      <c r="N76" s="1142"/>
      <c r="O76" s="1437"/>
      <c r="P76" s="1132" t="s">
        <v>2179</v>
      </c>
      <c r="Q76" s="3018">
        <v>1590</v>
      </c>
      <c r="R76" s="1604">
        <v>6900</v>
      </c>
      <c r="S76" s="3019">
        <v>0.05</v>
      </c>
      <c r="T76" s="3019">
        <v>0.23043478260869565</v>
      </c>
      <c r="U76" s="3024">
        <v>0.55000000000000004</v>
      </c>
      <c r="W76" s="3001"/>
      <c r="X76" s="1191"/>
    </row>
    <row r="77" spans="2:24" x14ac:dyDescent="0.3">
      <c r="B77" s="3025" t="s">
        <v>2229</v>
      </c>
      <c r="E77" s="3023">
        <f t="shared" si="8"/>
        <v>25</v>
      </c>
      <c r="H77" s="1132" t="s">
        <v>2211</v>
      </c>
      <c r="I77" s="1132" t="s">
        <v>2230</v>
      </c>
      <c r="J77" s="1149" t="s">
        <v>2231</v>
      </c>
      <c r="K77" s="1142"/>
      <c r="L77" s="1142"/>
      <c r="M77" s="1142"/>
      <c r="N77" s="1142"/>
      <c r="O77" s="1437"/>
      <c r="P77" s="1132" t="s">
        <v>2184</v>
      </c>
      <c r="Q77" s="3018">
        <v>960</v>
      </c>
      <c r="R77" s="1604">
        <v>960</v>
      </c>
      <c r="S77" s="3019">
        <v>0.122</v>
      </c>
      <c r="T77" s="3019">
        <v>1</v>
      </c>
      <c r="U77" s="3024">
        <v>0.79</v>
      </c>
      <c r="W77" s="3001"/>
      <c r="X77" s="1191"/>
    </row>
    <row r="78" spans="2:24" x14ac:dyDescent="0.3">
      <c r="B78" s="3026" t="s">
        <v>1569</v>
      </c>
      <c r="E78" s="3023">
        <f t="shared" si="8"/>
        <v>26</v>
      </c>
      <c r="H78" s="1132" t="s">
        <v>2211</v>
      </c>
      <c r="I78" s="1132" t="s">
        <v>2230</v>
      </c>
      <c r="J78" s="1149" t="s">
        <v>2232</v>
      </c>
      <c r="K78" s="1142"/>
      <c r="L78" s="1142"/>
      <c r="M78" s="1142"/>
      <c r="N78" s="1142"/>
      <c r="O78" s="1437"/>
      <c r="P78" s="1132" t="s">
        <v>2181</v>
      </c>
      <c r="Q78" s="3018">
        <v>980</v>
      </c>
      <c r="R78" s="1604">
        <v>980</v>
      </c>
      <c r="S78" s="3019">
        <v>5.5E-2</v>
      </c>
      <c r="T78" s="3019">
        <v>1</v>
      </c>
      <c r="U78" s="3024">
        <v>0.65</v>
      </c>
      <c r="W78" s="3001"/>
      <c r="X78" s="1191"/>
    </row>
    <row r="79" spans="2:24" x14ac:dyDescent="0.3">
      <c r="E79" s="3023">
        <f t="shared" si="8"/>
        <v>27</v>
      </c>
      <c r="H79" s="1132" t="s">
        <v>2211</v>
      </c>
      <c r="I79" s="1132" t="s">
        <v>2230</v>
      </c>
      <c r="J79" s="1149" t="s">
        <v>2233</v>
      </c>
      <c r="K79" s="1142"/>
      <c r="L79" s="1142"/>
      <c r="M79" s="1142"/>
      <c r="N79" s="1142"/>
      <c r="O79" s="1437"/>
      <c r="P79" s="1132" t="s">
        <v>2181</v>
      </c>
      <c r="Q79" s="3018">
        <v>4030</v>
      </c>
      <c r="R79" s="1604">
        <v>4030</v>
      </c>
      <c r="S79" s="3019">
        <v>3.4000000000000002E-2</v>
      </c>
      <c r="T79" s="3019">
        <v>1</v>
      </c>
      <c r="U79" s="3024">
        <v>0.63</v>
      </c>
      <c r="W79" s="3001"/>
      <c r="X79" s="1191"/>
    </row>
    <row r="80" spans="2:24" x14ac:dyDescent="0.3">
      <c r="B80" s="1164" t="s">
        <v>2234</v>
      </c>
      <c r="C80" s="1127"/>
      <c r="D80" s="1127"/>
      <c r="E80" s="3023">
        <f t="shared" si="8"/>
        <v>28</v>
      </c>
      <c r="H80" s="1132" t="s">
        <v>2211</v>
      </c>
      <c r="I80" s="1132" t="s">
        <v>2230</v>
      </c>
      <c r="J80" s="1149" t="s">
        <v>2235</v>
      </c>
      <c r="K80" s="1142"/>
      <c r="L80" s="1142"/>
      <c r="M80" s="1142"/>
      <c r="N80" s="1142"/>
      <c r="O80" s="1437"/>
      <c r="P80" s="1132" t="s">
        <v>2184</v>
      </c>
      <c r="Q80" s="3018">
        <v>405</v>
      </c>
      <c r="R80" s="1604">
        <v>405</v>
      </c>
      <c r="S80" s="3019">
        <v>0.06</v>
      </c>
      <c r="T80" s="3019">
        <v>1</v>
      </c>
      <c r="U80" s="3024">
        <v>0.75</v>
      </c>
      <c r="W80" s="3001"/>
      <c r="X80" s="1191"/>
    </row>
    <row r="81" spans="2:26" x14ac:dyDescent="0.3">
      <c r="B81" s="1149" t="s">
        <v>26</v>
      </c>
      <c r="C81" s="1142"/>
      <c r="D81" s="1142"/>
      <c r="E81" s="3023">
        <f t="shared" si="8"/>
        <v>29</v>
      </c>
      <c r="H81" s="1132" t="s">
        <v>2211</v>
      </c>
      <c r="I81" s="1132" t="s">
        <v>2230</v>
      </c>
      <c r="J81" s="1149" t="s">
        <v>2236</v>
      </c>
      <c r="K81" s="1142"/>
      <c r="L81" s="1142"/>
      <c r="M81" s="1142"/>
      <c r="N81" s="1142"/>
      <c r="O81" s="1437"/>
      <c r="P81" s="1188" t="s">
        <v>2192</v>
      </c>
      <c r="Q81" s="3018">
        <v>400</v>
      </c>
      <c r="R81" s="1604">
        <v>400</v>
      </c>
      <c r="S81" s="3019">
        <v>0.02</v>
      </c>
      <c r="T81" s="3019">
        <v>1</v>
      </c>
      <c r="U81" s="3024">
        <v>0.65</v>
      </c>
      <c r="W81" s="3001"/>
      <c r="X81" s="1191"/>
    </row>
    <row r="82" spans="2:26" x14ac:dyDescent="0.3">
      <c r="B82" s="1149" t="s">
        <v>25</v>
      </c>
      <c r="C82" s="1142"/>
      <c r="D82" s="1142"/>
      <c r="E82" s="3023">
        <f t="shared" si="8"/>
        <v>30</v>
      </c>
      <c r="H82" s="1132" t="s">
        <v>2211</v>
      </c>
      <c r="I82" s="1132" t="s">
        <v>2230</v>
      </c>
      <c r="J82" s="1149" t="s">
        <v>2237</v>
      </c>
      <c r="K82" s="1142"/>
      <c r="L82" s="1142"/>
      <c r="M82" s="1142"/>
      <c r="N82" s="1142"/>
      <c r="O82" s="1437"/>
      <c r="P82" s="1132" t="s">
        <v>2181</v>
      </c>
      <c r="Q82" s="3018">
        <v>370</v>
      </c>
      <c r="R82" s="1604">
        <v>370</v>
      </c>
      <c r="S82" s="3019">
        <v>8.5000000000000006E-2</v>
      </c>
      <c r="T82" s="3019">
        <v>1</v>
      </c>
      <c r="U82" s="3024">
        <v>0.4</v>
      </c>
      <c r="W82" s="3001"/>
      <c r="X82" s="1191"/>
    </row>
    <row r="83" spans="2:26" x14ac:dyDescent="0.3">
      <c r="B83" s="1184" t="s">
        <v>24</v>
      </c>
      <c r="C83" s="1201"/>
      <c r="D83" s="1201"/>
      <c r="E83" s="3023">
        <v>31</v>
      </c>
      <c r="H83" s="1132" t="s">
        <v>2211</v>
      </c>
      <c r="I83" s="1132" t="s">
        <v>2230</v>
      </c>
      <c r="J83" s="1149" t="s">
        <v>2238</v>
      </c>
      <c r="K83" s="1142"/>
      <c r="L83" s="1142"/>
      <c r="M83" s="1142"/>
      <c r="N83" s="1142"/>
      <c r="O83" s="1437"/>
      <c r="P83" s="1132" t="s">
        <v>2179</v>
      </c>
      <c r="Q83" s="3018">
        <v>810</v>
      </c>
      <c r="R83" s="1604">
        <v>810</v>
      </c>
      <c r="S83" s="3019">
        <v>5.3999999999999999E-2</v>
      </c>
      <c r="T83" s="3019">
        <v>1</v>
      </c>
      <c r="U83" s="3024">
        <v>0.74</v>
      </c>
      <c r="W83" s="3001"/>
      <c r="X83" s="1191"/>
    </row>
    <row r="84" spans="2:26" x14ac:dyDescent="0.3">
      <c r="E84" s="3027" t="s">
        <v>1229</v>
      </c>
      <c r="H84" s="1132" t="s">
        <v>2211</v>
      </c>
      <c r="I84" s="1132" t="s">
        <v>2230</v>
      </c>
      <c r="J84" s="1149" t="s">
        <v>2239</v>
      </c>
      <c r="K84" s="1142"/>
      <c r="L84" s="1142"/>
      <c r="M84" s="1142"/>
      <c r="N84" s="1142"/>
      <c r="O84" s="1437"/>
      <c r="P84" s="1132" t="s">
        <v>2184</v>
      </c>
      <c r="Q84" s="3018">
        <v>300</v>
      </c>
      <c r="R84" s="1604">
        <v>300</v>
      </c>
      <c r="S84" s="3019">
        <v>0.2</v>
      </c>
      <c r="T84" s="3019">
        <v>1</v>
      </c>
      <c r="U84" s="3024">
        <v>0.55000000000000004</v>
      </c>
      <c r="W84" s="3001"/>
      <c r="X84" s="1191"/>
      <c r="Y84" s="3032" t="s">
        <v>1140</v>
      </c>
      <c r="Z84" s="3033">
        <v>1</v>
      </c>
    </row>
    <row r="85" spans="2:26" x14ac:dyDescent="0.3">
      <c r="H85" s="1132" t="s">
        <v>2211</v>
      </c>
      <c r="I85" s="1132" t="s">
        <v>2230</v>
      </c>
      <c r="J85" s="1149" t="s">
        <v>2240</v>
      </c>
      <c r="K85" s="1142"/>
      <c r="L85" s="1142"/>
      <c r="M85" s="1142"/>
      <c r="N85" s="1142"/>
      <c r="O85" s="1437"/>
      <c r="P85" s="1132" t="s">
        <v>2184</v>
      </c>
      <c r="Q85" s="3018">
        <v>500</v>
      </c>
      <c r="R85" s="1604">
        <v>500</v>
      </c>
      <c r="S85" s="3019">
        <v>0.15</v>
      </c>
      <c r="T85" s="3019">
        <v>1</v>
      </c>
      <c r="U85" s="3024">
        <v>0.28000000000000003</v>
      </c>
      <c r="W85" s="3001"/>
      <c r="X85" s="1191"/>
      <c r="Y85" s="3036" t="s">
        <v>1141</v>
      </c>
      <c r="Z85" s="3037">
        <v>2</v>
      </c>
    </row>
    <row r="86" spans="2:26" x14ac:dyDescent="0.3">
      <c r="B86" s="1164" t="s">
        <v>1597</v>
      </c>
      <c r="C86" s="1146"/>
      <c r="H86" s="1132" t="s">
        <v>2211</v>
      </c>
      <c r="I86" s="1132" t="s">
        <v>2230</v>
      </c>
      <c r="J86" s="1149" t="s">
        <v>2241</v>
      </c>
      <c r="K86" s="1142"/>
      <c r="L86" s="1142"/>
      <c r="M86" s="1142"/>
      <c r="N86" s="1142"/>
      <c r="O86" s="1437"/>
      <c r="P86" s="1132" t="s">
        <v>2184</v>
      </c>
      <c r="Q86" s="3018">
        <v>1000</v>
      </c>
      <c r="R86" s="1604">
        <v>1000</v>
      </c>
      <c r="S86" s="3019">
        <v>0.15</v>
      </c>
      <c r="T86" s="3019">
        <v>1</v>
      </c>
      <c r="U86" s="3024">
        <v>0.55000000000000004</v>
      </c>
      <c r="W86" s="3001"/>
      <c r="X86" s="1191"/>
      <c r="Y86" s="3036" t="s">
        <v>1142</v>
      </c>
      <c r="Z86" s="3037">
        <v>3</v>
      </c>
    </row>
    <row r="87" spans="2:26" x14ac:dyDescent="0.3">
      <c r="B87" s="1149" t="str">
        <f>"w/ Extd Yrs ("&amp;Calc!AG265&amp;")"</f>
        <v>w/ Extd Yrs ()</v>
      </c>
      <c r="C87" s="1437"/>
      <c r="H87" s="1132" t="s">
        <v>2211</v>
      </c>
      <c r="I87" s="1132" t="s">
        <v>2230</v>
      </c>
      <c r="J87" s="1149" t="s">
        <v>2242</v>
      </c>
      <c r="K87" s="1142"/>
      <c r="L87" s="1142"/>
      <c r="M87" s="1142"/>
      <c r="N87" s="1142"/>
      <c r="O87" s="1437"/>
      <c r="P87" s="1132" t="s">
        <v>2179</v>
      </c>
      <c r="Q87" s="3018">
        <v>770</v>
      </c>
      <c r="R87" s="1604">
        <v>770</v>
      </c>
      <c r="S87" s="3019">
        <v>0.151</v>
      </c>
      <c r="T87" s="3019">
        <v>1</v>
      </c>
      <c r="U87" s="3024">
        <v>0.6</v>
      </c>
      <c r="W87" s="3001"/>
      <c r="X87" s="1191"/>
      <c r="Y87" s="3036" t="s">
        <v>1143</v>
      </c>
      <c r="Z87" s="3037">
        <v>4</v>
      </c>
    </row>
    <row r="88" spans="2:26" x14ac:dyDescent="0.3">
      <c r="B88" s="1184" t="s">
        <v>2243</v>
      </c>
      <c r="C88" s="1459"/>
      <c r="H88" s="1132" t="s">
        <v>2211</v>
      </c>
      <c r="I88" s="1132" t="s">
        <v>2244</v>
      </c>
      <c r="J88" s="1149" t="s">
        <v>2245</v>
      </c>
      <c r="K88" s="1142"/>
      <c r="L88" s="1142"/>
      <c r="M88" s="1142"/>
      <c r="N88" s="1142"/>
      <c r="O88" s="1437"/>
      <c r="P88" s="1132" t="s">
        <v>2179</v>
      </c>
      <c r="Q88" s="3018">
        <v>169</v>
      </c>
      <c r="R88" s="1604">
        <v>460</v>
      </c>
      <c r="S88" s="3019">
        <v>0.06</v>
      </c>
      <c r="T88" s="3019">
        <v>0.36739130434782608</v>
      </c>
      <c r="U88" s="3024">
        <v>0.56599999999999995</v>
      </c>
      <c r="W88" s="3001"/>
      <c r="X88" s="1191"/>
      <c r="Y88" s="3036" t="s">
        <v>1144</v>
      </c>
      <c r="Z88" s="3037">
        <v>5</v>
      </c>
    </row>
    <row r="89" spans="2:26" x14ac:dyDescent="0.3">
      <c r="H89" s="1132" t="s">
        <v>2211</v>
      </c>
      <c r="I89" s="1132" t="s">
        <v>2244</v>
      </c>
      <c r="J89" s="1149" t="s">
        <v>2246</v>
      </c>
      <c r="K89" s="1142"/>
      <c r="L89" s="1142"/>
      <c r="M89" s="1142"/>
      <c r="N89" s="1142"/>
      <c r="O89" s="1437"/>
      <c r="P89" s="1132" t="s">
        <v>2181</v>
      </c>
      <c r="Q89" s="3018">
        <v>232</v>
      </c>
      <c r="R89" s="1604">
        <v>316</v>
      </c>
      <c r="S89" s="1709">
        <v>0.01</v>
      </c>
      <c r="T89" s="3019">
        <v>0.73417721518987344</v>
      </c>
      <c r="U89" s="3024">
        <v>0.44400000000000001</v>
      </c>
      <c r="W89" s="3001"/>
      <c r="X89" s="1191"/>
      <c r="Y89" s="3036" t="s">
        <v>1145</v>
      </c>
      <c r="Z89" s="3037">
        <v>6</v>
      </c>
    </row>
    <row r="90" spans="2:26" x14ac:dyDescent="0.3">
      <c r="B90" s="1164" t="s">
        <v>2247</v>
      </c>
      <c r="C90" s="1127"/>
      <c r="D90" s="1146"/>
      <c r="H90" s="1132" t="s">
        <v>2211</v>
      </c>
      <c r="I90" s="1132" t="s">
        <v>2244</v>
      </c>
      <c r="J90" s="1149" t="s">
        <v>2248</v>
      </c>
      <c r="K90" s="1142"/>
      <c r="L90" s="1142"/>
      <c r="M90" s="1142"/>
      <c r="N90" s="1142"/>
      <c r="O90" s="1437"/>
      <c r="P90" s="1132" t="s">
        <v>2179</v>
      </c>
      <c r="Q90" s="3018">
        <v>332</v>
      </c>
      <c r="R90" s="1604">
        <v>450</v>
      </c>
      <c r="S90" s="1709">
        <v>0.1</v>
      </c>
      <c r="T90" s="3019">
        <v>0.73777777777777775</v>
      </c>
      <c r="U90" s="3024">
        <v>0.52900000000000003</v>
      </c>
      <c r="W90" s="3001"/>
      <c r="X90" s="1191"/>
      <c r="Y90" s="3036" t="s">
        <v>1146</v>
      </c>
      <c r="Z90" s="3037">
        <v>7</v>
      </c>
    </row>
    <row r="91" spans="2:26" x14ac:dyDescent="0.3">
      <c r="B91" s="1149" t="s">
        <v>2249</v>
      </c>
      <c r="C91" s="1142"/>
      <c r="D91" s="1437"/>
      <c r="H91" s="1132" t="s">
        <v>2211</v>
      </c>
      <c r="I91" s="1132" t="s">
        <v>2244</v>
      </c>
      <c r="J91" s="1149" t="s">
        <v>2250</v>
      </c>
      <c r="K91" s="1142"/>
      <c r="L91" s="1142"/>
      <c r="M91" s="1142"/>
      <c r="N91" s="1142"/>
      <c r="O91" s="1437"/>
      <c r="P91" s="1132" t="s">
        <v>2179</v>
      </c>
      <c r="Q91" s="3018">
        <v>285</v>
      </c>
      <c r="R91" s="1604">
        <v>592</v>
      </c>
      <c r="S91" s="1709">
        <v>0.05</v>
      </c>
      <c r="T91" s="3019">
        <v>0.48141891891891891</v>
      </c>
      <c r="U91" s="3024">
        <v>0.46100000000000002</v>
      </c>
      <c r="W91" s="3001"/>
      <c r="X91" s="1191"/>
      <c r="Y91" s="3036" t="s">
        <v>1147</v>
      </c>
      <c r="Z91" s="3037">
        <v>8</v>
      </c>
    </row>
    <row r="92" spans="2:26" x14ac:dyDescent="0.3">
      <c r="B92" s="1149" t="s">
        <v>2251</v>
      </c>
      <c r="C92" s="1142"/>
      <c r="D92" s="1437"/>
      <c r="H92" s="1132" t="s">
        <v>2211</v>
      </c>
      <c r="I92" s="1132" t="s">
        <v>2244</v>
      </c>
      <c r="J92" s="1149" t="s">
        <v>2252</v>
      </c>
      <c r="K92" s="1142"/>
      <c r="L92" s="1142"/>
      <c r="M92" s="1142"/>
      <c r="N92" s="1142"/>
      <c r="O92" s="1437"/>
      <c r="P92" s="1132" t="s">
        <v>2179</v>
      </c>
      <c r="Q92" s="3018">
        <v>86.2</v>
      </c>
      <c r="R92" s="1604">
        <v>290</v>
      </c>
      <c r="S92" s="1709">
        <v>0.06</v>
      </c>
      <c r="T92" s="3019">
        <v>0.29724137931034483</v>
      </c>
      <c r="U92" s="3024">
        <v>0.49</v>
      </c>
      <c r="W92" s="3001"/>
      <c r="X92" s="1191"/>
      <c r="Y92" s="3036" t="s">
        <v>1148</v>
      </c>
      <c r="Z92" s="3037">
        <v>9</v>
      </c>
    </row>
    <row r="93" spans="2:26" x14ac:dyDescent="0.3">
      <c r="B93" s="1149" t="s">
        <v>2253</v>
      </c>
      <c r="C93" s="1142"/>
      <c r="D93" s="1437"/>
      <c r="H93" s="1132" t="s">
        <v>2211</v>
      </c>
      <c r="I93" s="1132" t="s">
        <v>2244</v>
      </c>
      <c r="J93" s="1149" t="s">
        <v>2254</v>
      </c>
      <c r="K93" s="1142"/>
      <c r="L93" s="1142"/>
      <c r="M93" s="1142"/>
      <c r="N93" s="1142"/>
      <c r="O93" s="1437"/>
      <c r="P93" s="1132" t="s">
        <v>2179</v>
      </c>
      <c r="Q93" s="3018">
        <v>30.2</v>
      </c>
      <c r="R93" s="1604">
        <v>280</v>
      </c>
      <c r="S93" s="1709">
        <v>0.26</v>
      </c>
      <c r="T93" s="3019">
        <v>0.10785714285714286</v>
      </c>
      <c r="U93" s="3024">
        <v>0.55000000000000004</v>
      </c>
      <c r="W93" s="3001"/>
      <c r="Y93" s="3036" t="s">
        <v>1137</v>
      </c>
      <c r="Z93" s="3037">
        <v>10</v>
      </c>
    </row>
    <row r="94" spans="2:26" x14ac:dyDescent="0.3">
      <c r="B94" s="1149" t="s">
        <v>2255</v>
      </c>
      <c r="C94" s="1142"/>
      <c r="D94" s="1437"/>
      <c r="H94" s="1132" t="s">
        <v>2211</v>
      </c>
      <c r="I94" s="1132" t="s">
        <v>2244</v>
      </c>
      <c r="J94" s="1149" t="s">
        <v>2256</v>
      </c>
      <c r="K94" s="1142"/>
      <c r="L94" s="1142"/>
      <c r="M94" s="1142"/>
      <c r="N94" s="1142"/>
      <c r="O94" s="1437"/>
      <c r="P94" s="1132" t="s">
        <v>2181</v>
      </c>
      <c r="Q94" s="3018">
        <v>33</v>
      </c>
      <c r="R94" s="1604">
        <v>360</v>
      </c>
      <c r="S94" s="1709">
        <v>0.16</v>
      </c>
      <c r="T94" s="3019">
        <v>9.166666666666666E-2</v>
      </c>
      <c r="U94" s="3024">
        <v>0.46</v>
      </c>
      <c r="W94" s="3001"/>
      <c r="Y94" s="3036"/>
      <c r="Z94" s="3037"/>
    </row>
    <row r="95" spans="2:26" x14ac:dyDescent="0.3">
      <c r="B95" s="1184" t="s">
        <v>1229</v>
      </c>
      <c r="C95" s="1201"/>
      <c r="D95" s="1459"/>
      <c r="H95" s="1132" t="s">
        <v>2211</v>
      </c>
      <c r="I95" s="1132" t="s">
        <v>2244</v>
      </c>
      <c r="J95" s="1149" t="s">
        <v>2257</v>
      </c>
      <c r="K95" s="1142"/>
      <c r="L95" s="1142"/>
      <c r="M95" s="1142"/>
      <c r="N95" s="1142"/>
      <c r="O95" s="1437"/>
      <c r="P95" s="1132" t="s">
        <v>2184</v>
      </c>
      <c r="Q95" s="3018">
        <v>0</v>
      </c>
      <c r="R95" s="1604">
        <v>0</v>
      </c>
      <c r="S95" s="1709">
        <v>1.41</v>
      </c>
      <c r="T95" s="3019" t="e">
        <v>#DIV/0!</v>
      </c>
      <c r="U95" s="3024">
        <v>0.5</v>
      </c>
      <c r="W95" s="3001"/>
      <c r="Y95" s="3036"/>
      <c r="Z95" s="3037"/>
    </row>
    <row r="96" spans="2:26" x14ac:dyDescent="0.3">
      <c r="H96" s="1132"/>
      <c r="I96" s="1132"/>
      <c r="J96" s="1149"/>
      <c r="K96" s="1142"/>
      <c r="L96" s="1142"/>
      <c r="M96" s="1142"/>
      <c r="N96" s="1142"/>
      <c r="O96" s="1437"/>
      <c r="P96" s="1132"/>
      <c r="Q96" s="3018"/>
      <c r="R96" s="1604"/>
      <c r="S96" s="1709"/>
      <c r="T96" s="3019"/>
      <c r="U96" s="3024"/>
      <c r="W96" s="3001"/>
      <c r="Y96" s="3036" t="s">
        <v>1138</v>
      </c>
      <c r="Z96" s="3037">
        <v>11</v>
      </c>
    </row>
    <row r="97" spans="2:132" x14ac:dyDescent="0.3">
      <c r="B97" s="1151" t="s">
        <v>1228</v>
      </c>
      <c r="D97" s="1164" t="s">
        <v>76</v>
      </c>
      <c r="E97" s="1146"/>
      <c r="H97" s="1136"/>
      <c r="I97" s="1136"/>
      <c r="J97" s="1184"/>
      <c r="K97" s="1201"/>
      <c r="L97" s="1201"/>
      <c r="M97" s="1201"/>
      <c r="N97" s="1201"/>
      <c r="O97" s="1459"/>
      <c r="P97" s="1136"/>
      <c r="Q97" s="3028"/>
      <c r="R97" s="3029"/>
      <c r="S97" s="3029"/>
      <c r="T97" s="3030"/>
      <c r="U97" s="3031"/>
      <c r="W97" s="3001"/>
      <c r="Y97" s="3056" t="s">
        <v>1139</v>
      </c>
      <c r="Z97" s="3057">
        <v>12</v>
      </c>
    </row>
    <row r="98" spans="2:132" x14ac:dyDescent="0.3">
      <c r="B98" s="2923" t="s">
        <v>1229</v>
      </c>
      <c r="D98" s="1193" t="s">
        <v>1229</v>
      </c>
      <c r="E98" s="1437"/>
      <c r="H98" s="1142"/>
      <c r="I98" s="1142"/>
      <c r="J98" s="1142"/>
      <c r="K98" s="1142"/>
      <c r="L98" s="1142"/>
      <c r="M98" s="1142"/>
      <c r="N98" s="1142"/>
      <c r="O98" s="1142"/>
      <c r="P98" s="1142"/>
      <c r="Q98" s="1709"/>
      <c r="R98" s="1709"/>
      <c r="S98" s="1709"/>
      <c r="T98" s="3019"/>
      <c r="U98" s="3019"/>
      <c r="W98" s="3001"/>
      <c r="Y98" s="3065"/>
      <c r="Z98" s="3065"/>
    </row>
    <row r="99" spans="2:132" x14ac:dyDescent="0.3">
      <c r="B99" s="1188" t="s">
        <v>2258</v>
      </c>
      <c r="D99" s="1149" t="s">
        <v>2177</v>
      </c>
      <c r="E99" s="1437"/>
      <c r="H99" s="1082"/>
      <c r="I99" s="1082"/>
      <c r="J99" s="1082"/>
      <c r="K99" s="1082"/>
      <c r="L99" s="1082"/>
      <c r="M99" s="1082"/>
      <c r="N99" s="1082"/>
      <c r="O99" s="1082"/>
      <c r="P99" s="1082"/>
      <c r="W99" s="3001"/>
    </row>
    <row r="100" spans="2:132" x14ac:dyDescent="0.3">
      <c r="B100" s="1188" t="s">
        <v>2211</v>
      </c>
      <c r="D100" s="1149" t="s">
        <v>2185</v>
      </c>
      <c r="E100" s="1437"/>
      <c r="H100" s="1082"/>
      <c r="I100" s="3162" t="s">
        <v>2262</v>
      </c>
      <c r="J100" s="3163"/>
      <c r="K100" s="3163"/>
      <c r="L100" s="3163"/>
      <c r="M100" s="3163"/>
      <c r="N100" s="3163"/>
      <c r="O100" s="3164"/>
      <c r="P100" s="1082"/>
      <c r="S100" s="3032" t="s">
        <v>1140</v>
      </c>
      <c r="T100" s="3033">
        <v>1</v>
      </c>
      <c r="W100" s="3001"/>
    </row>
    <row r="101" spans="2:132" x14ac:dyDescent="0.3">
      <c r="B101" s="1114" t="s">
        <v>2266</v>
      </c>
      <c r="D101" s="1207" t="s">
        <v>2197</v>
      </c>
      <c r="E101" s="1437"/>
      <c r="H101" s="1082"/>
      <c r="I101" s="3290" t="s">
        <v>2265</v>
      </c>
      <c r="J101" s="3202"/>
      <c r="K101" s="3202"/>
      <c r="L101" s="3202"/>
      <c r="M101" s="3202"/>
      <c r="N101" s="3202"/>
      <c r="O101" s="3203"/>
      <c r="P101" s="1082"/>
      <c r="S101" s="3036" t="s">
        <v>1141</v>
      </c>
      <c r="T101" s="3037">
        <v>2</v>
      </c>
      <c r="W101" s="3001"/>
    </row>
    <row r="102" spans="2:132" x14ac:dyDescent="0.3">
      <c r="D102" s="1207" t="s">
        <v>2200</v>
      </c>
      <c r="E102" s="1437"/>
      <c r="H102" s="1082"/>
      <c r="I102" s="1567"/>
      <c r="J102" s="3042"/>
      <c r="K102" s="3043" t="s">
        <v>2268</v>
      </c>
      <c r="L102" s="3044" t="s">
        <v>2269</v>
      </c>
      <c r="M102" s="2446"/>
      <c r="N102" s="3045"/>
      <c r="O102" s="3046" t="s">
        <v>2270</v>
      </c>
      <c r="P102" s="1082"/>
      <c r="S102" s="3036" t="s">
        <v>1142</v>
      </c>
      <c r="T102" s="3037">
        <v>3</v>
      </c>
      <c r="W102" s="3001"/>
    </row>
    <row r="103" spans="2:132" x14ac:dyDescent="0.3">
      <c r="D103" s="1149" t="s">
        <v>2212</v>
      </c>
      <c r="E103" s="1437"/>
      <c r="H103" s="1082"/>
      <c r="I103" s="1149"/>
      <c r="J103" s="2918" t="s">
        <v>2271</v>
      </c>
      <c r="K103" s="3047">
        <v>51.121086239421437</v>
      </c>
      <c r="L103" s="3048">
        <v>44.655346634763646</v>
      </c>
      <c r="M103" s="1142"/>
      <c r="N103" s="3049" t="s">
        <v>2272</v>
      </c>
      <c r="O103" s="3050">
        <v>117.22235250920993</v>
      </c>
      <c r="P103" s="1082"/>
      <c r="S103" s="3036" t="s">
        <v>1143</v>
      </c>
      <c r="T103" s="3037">
        <v>4</v>
      </c>
      <c r="W103" s="3001"/>
    </row>
    <row r="104" spans="2:132" x14ac:dyDescent="0.3">
      <c r="D104" s="1149" t="s">
        <v>2244</v>
      </c>
      <c r="E104" s="1437"/>
      <c r="G104" s="1151" t="s">
        <v>1253</v>
      </c>
      <c r="H104" s="1082"/>
      <c r="I104" s="1149"/>
      <c r="J104" s="2918" t="s">
        <v>1278</v>
      </c>
      <c r="K104" s="3047">
        <v>89.728460191333426</v>
      </c>
      <c r="L104" s="3048">
        <v>5.770767963445631</v>
      </c>
      <c r="M104" s="1142"/>
      <c r="N104" s="3049" t="s">
        <v>2218</v>
      </c>
      <c r="O104" s="3050">
        <v>111.62536747013331</v>
      </c>
      <c r="P104" s="1082"/>
      <c r="S104" s="3036" t="s">
        <v>1144</v>
      </c>
      <c r="T104" s="3037">
        <v>5</v>
      </c>
      <c r="W104" s="3001"/>
    </row>
    <row r="105" spans="2:132" x14ac:dyDescent="0.3">
      <c r="D105" s="1149" t="s">
        <v>2230</v>
      </c>
      <c r="E105" s="1437"/>
      <c r="G105" s="1128" t="s">
        <v>1254</v>
      </c>
      <c r="H105" s="1082"/>
      <c r="I105" s="1149"/>
      <c r="J105" s="2918" t="s">
        <v>9</v>
      </c>
      <c r="K105" s="3047">
        <v>73.587556257131126</v>
      </c>
      <c r="L105" s="3048">
        <v>38.570207713250035</v>
      </c>
      <c r="M105" s="1142"/>
      <c r="N105" s="3049" t="s">
        <v>2230</v>
      </c>
      <c r="O105" s="3050">
        <v>85.266325135369541</v>
      </c>
      <c r="P105" s="1082"/>
      <c r="S105" s="3036" t="s">
        <v>1145</v>
      </c>
      <c r="T105" s="3037">
        <v>6</v>
      </c>
      <c r="W105" s="3001"/>
    </row>
    <row r="106" spans="2:132" x14ac:dyDescent="0.3">
      <c r="D106" s="1149" t="s">
        <v>2218</v>
      </c>
      <c r="E106" s="1437"/>
      <c r="G106" s="1132" t="s">
        <v>2276</v>
      </c>
      <c r="H106" s="1082"/>
      <c r="I106" s="1149"/>
      <c r="J106" s="2918" t="s">
        <v>2277</v>
      </c>
      <c r="K106" s="3047">
        <v>37.13820230607984</v>
      </c>
      <c r="L106" s="3048">
        <v>59.153139021156584</v>
      </c>
      <c r="M106" s="1142"/>
      <c r="N106" s="3049" t="s">
        <v>2212</v>
      </c>
      <c r="O106" s="3050">
        <v>140.72269499472043</v>
      </c>
      <c r="P106" s="1082"/>
      <c r="S106" s="3036" t="s">
        <v>1146</v>
      </c>
      <c r="T106" s="3037">
        <v>7</v>
      </c>
      <c r="W106" s="3001"/>
    </row>
    <row r="107" spans="2:132" x14ac:dyDescent="0.3">
      <c r="D107" s="1149" t="s">
        <v>2244</v>
      </c>
      <c r="E107" s="1437"/>
      <c r="G107" s="1132" t="s">
        <v>2279</v>
      </c>
      <c r="H107" s="1082"/>
      <c r="I107" s="1149"/>
      <c r="J107" s="2918" t="s">
        <v>2280</v>
      </c>
      <c r="K107" s="3047">
        <v>80.574496721794105</v>
      </c>
      <c r="L107" s="3048">
        <v>23.941989557855376</v>
      </c>
      <c r="M107" s="1142"/>
      <c r="N107" s="3049" t="s">
        <v>2244</v>
      </c>
      <c r="O107" s="3050">
        <v>144.54939666927623</v>
      </c>
      <c r="P107" s="1082"/>
      <c r="S107" s="3036" t="s">
        <v>1147</v>
      </c>
      <c r="T107" s="3037">
        <v>8</v>
      </c>
      <c r="W107" s="3001"/>
    </row>
    <row r="108" spans="2:132" x14ac:dyDescent="0.3">
      <c r="D108" s="1184" t="s">
        <v>2281</v>
      </c>
      <c r="E108" s="1459"/>
      <c r="G108" s="1132" t="s">
        <v>2282</v>
      </c>
      <c r="H108" s="1082"/>
      <c r="I108" s="1149"/>
      <c r="J108" s="2918" t="s">
        <v>2266</v>
      </c>
      <c r="K108" s="3047">
        <v>55.901856334301293</v>
      </c>
      <c r="L108" s="3048">
        <v>33.368164907438498</v>
      </c>
      <c r="M108" s="1142"/>
      <c r="N108" s="3049" t="s">
        <v>2283</v>
      </c>
      <c r="O108" s="3050">
        <v>114.99835884172802</v>
      </c>
      <c r="P108" s="1082"/>
      <c r="S108" s="3036" t="s">
        <v>1148</v>
      </c>
      <c r="T108" s="3037">
        <v>9</v>
      </c>
      <c r="W108" s="3001"/>
    </row>
    <row r="109" spans="2:132" x14ac:dyDescent="0.3">
      <c r="G109" s="1136" t="s">
        <v>1229</v>
      </c>
      <c r="H109" s="1082"/>
      <c r="I109" s="1149"/>
      <c r="J109" s="2918" t="s">
        <v>2285</v>
      </c>
      <c r="K109" s="3047">
        <v>21.657540364408725</v>
      </c>
      <c r="L109" s="3048">
        <v>5.2264728772206555</v>
      </c>
      <c r="M109" s="1142"/>
      <c r="N109" s="3049" t="s">
        <v>2185</v>
      </c>
      <c r="O109" s="3050">
        <v>142.36288762432665</v>
      </c>
      <c r="P109" s="1082"/>
      <c r="S109" s="3036" t="s">
        <v>1137</v>
      </c>
      <c r="T109" s="3037">
        <v>10</v>
      </c>
      <c r="W109" s="3001"/>
    </row>
    <row r="110" spans="2:132" x14ac:dyDescent="0.3">
      <c r="H110" s="1082"/>
      <c r="I110" s="1592"/>
      <c r="J110" s="3053" t="s">
        <v>2287</v>
      </c>
      <c r="K110" s="3054">
        <v>45.853771043500764</v>
      </c>
      <c r="L110" s="3055">
        <v>49.647138438130597</v>
      </c>
      <c r="M110" s="1142"/>
      <c r="N110" s="3049" t="s">
        <v>2200</v>
      </c>
      <c r="O110" s="3050">
        <v>90.221517550903883</v>
      </c>
      <c r="P110" s="1082"/>
      <c r="S110" s="3036"/>
      <c r="T110" s="3037"/>
      <c r="W110" s="3001"/>
    </row>
    <row r="111" spans="2:132" x14ac:dyDescent="0.3">
      <c r="H111" s="1082"/>
      <c r="I111" s="1149"/>
      <c r="J111" s="1142"/>
      <c r="K111" s="1142"/>
      <c r="L111" s="1142"/>
      <c r="M111" s="1142"/>
      <c r="N111" s="3049" t="s">
        <v>2291</v>
      </c>
      <c r="O111" s="3050">
        <v>152.77259553196757</v>
      </c>
      <c r="P111" s="1082"/>
      <c r="S111" s="3036"/>
      <c r="T111" s="3037"/>
      <c r="W111" s="3001"/>
    </row>
    <row r="112" spans="2:132" x14ac:dyDescent="0.3">
      <c r="H112" s="1082"/>
      <c r="I112" s="1149"/>
      <c r="J112" s="1142"/>
      <c r="K112" s="1142"/>
      <c r="L112" s="1142"/>
      <c r="M112" s="1142"/>
      <c r="N112" s="3049" t="s">
        <v>2293</v>
      </c>
      <c r="O112" s="3050">
        <v>113.1637137535274</v>
      </c>
      <c r="P112" s="1082"/>
      <c r="S112" s="3036" t="s">
        <v>1138</v>
      </c>
      <c r="T112" s="3037">
        <v>11</v>
      </c>
      <c r="W112" s="3001"/>
      <c r="X112" s="3001"/>
      <c r="Y112" s="3001"/>
      <c r="Z112" s="3001"/>
      <c r="AA112" s="3001"/>
      <c r="AB112" s="3001"/>
      <c r="AC112" s="3001"/>
      <c r="AD112" s="3001"/>
      <c r="AE112" s="3001"/>
      <c r="AF112" s="3001"/>
      <c r="AG112" s="3001"/>
      <c r="AH112" s="3001"/>
      <c r="AI112" s="3001"/>
      <c r="AJ112" s="3001"/>
      <c r="AK112" s="3001"/>
      <c r="AL112" s="3001"/>
      <c r="AM112" s="3001"/>
      <c r="AN112" s="3001"/>
      <c r="AO112" s="3001"/>
      <c r="AP112" s="3001"/>
      <c r="AQ112" s="3001"/>
      <c r="AR112" s="3001"/>
      <c r="AS112" s="3001"/>
      <c r="AT112" s="3001"/>
      <c r="AU112" s="3001"/>
      <c r="AV112" s="3001"/>
      <c r="AW112" s="3001"/>
      <c r="AX112" s="3001"/>
      <c r="AY112" s="3001"/>
      <c r="AZ112" s="3001"/>
      <c r="BA112" s="3001"/>
      <c r="BB112" s="3001"/>
      <c r="BC112" s="3001"/>
      <c r="BD112" s="3001"/>
      <c r="BE112" s="3001"/>
      <c r="BF112" s="3001"/>
      <c r="BG112" s="3001"/>
      <c r="BH112" s="3001"/>
      <c r="BI112" s="3001"/>
      <c r="BJ112" s="3001"/>
      <c r="BK112" s="3001"/>
      <c r="BL112" s="3001"/>
      <c r="BM112" s="3001"/>
      <c r="BN112" s="3001"/>
      <c r="BO112" s="3001"/>
      <c r="BP112" s="3001"/>
      <c r="BQ112" s="3001"/>
      <c r="BR112" s="3001"/>
      <c r="BS112" s="3001"/>
      <c r="BT112" s="3001"/>
      <c r="BU112" s="3001"/>
      <c r="BV112" s="3001"/>
      <c r="BW112" s="3001"/>
      <c r="BX112" s="3001"/>
      <c r="BY112" s="3001"/>
      <c r="BZ112" s="3001"/>
      <c r="CA112" s="3001"/>
      <c r="CB112" s="3001"/>
      <c r="CC112" s="3001"/>
      <c r="CD112" s="3001"/>
      <c r="CE112" s="3001"/>
      <c r="CF112" s="3001"/>
      <c r="CG112" s="3001"/>
      <c r="CH112" s="3001"/>
      <c r="CI112" s="3001"/>
      <c r="CJ112" s="3001"/>
      <c r="CK112" s="3001"/>
      <c r="CL112" s="3001"/>
      <c r="CM112" s="3001"/>
      <c r="CN112" s="3001"/>
      <c r="CO112" s="3001"/>
      <c r="CP112" s="3001"/>
      <c r="CQ112" s="3001"/>
      <c r="CR112" s="3001"/>
      <c r="CS112" s="3001"/>
      <c r="CT112" s="3001"/>
      <c r="CU112" s="3001"/>
      <c r="CV112" s="3001"/>
      <c r="CW112" s="3001"/>
      <c r="CX112" s="3001"/>
      <c r="CY112" s="3001"/>
      <c r="CZ112" s="3001"/>
      <c r="DA112" s="3001"/>
      <c r="DB112" s="3001"/>
      <c r="DC112" s="3001"/>
      <c r="DD112" s="3001"/>
      <c r="DE112" s="3001"/>
      <c r="DF112" s="3001"/>
      <c r="DG112" s="3001"/>
      <c r="DH112" s="3001"/>
      <c r="DI112" s="3001"/>
      <c r="DJ112" s="3001"/>
      <c r="DK112" s="3001"/>
      <c r="DL112" s="3001"/>
      <c r="DM112" s="3001"/>
      <c r="DN112" s="3001"/>
      <c r="DO112" s="3001"/>
      <c r="DP112" s="3001"/>
      <c r="DQ112" s="3001"/>
      <c r="DR112" s="3001"/>
      <c r="DS112" s="3001"/>
      <c r="DT112" s="3001"/>
      <c r="DU112" s="3001"/>
      <c r="DV112" s="3001"/>
      <c r="DW112" s="3001"/>
      <c r="DX112" s="3001"/>
      <c r="DY112" s="3001"/>
      <c r="DZ112" s="3001"/>
      <c r="EA112" s="3001"/>
      <c r="EB112" s="3001"/>
    </row>
    <row r="113" spans="1:132" x14ac:dyDescent="0.3">
      <c r="H113" s="1082"/>
      <c r="I113" s="3058" t="s">
        <v>2295</v>
      </c>
      <c r="J113" s="1201"/>
      <c r="K113" s="1201"/>
      <c r="L113" s="1201"/>
      <c r="M113" s="1201"/>
      <c r="N113" s="3059" t="s">
        <v>2296</v>
      </c>
      <c r="O113" s="3060">
        <v>126.33772086358817</v>
      </c>
      <c r="P113" s="1082"/>
      <c r="S113" s="3056" t="s">
        <v>1139</v>
      </c>
      <c r="T113" s="3057">
        <v>12</v>
      </c>
      <c r="EB113" s="3001"/>
    </row>
    <row r="114" spans="1:132" x14ac:dyDescent="0.3">
      <c r="H114" s="1082"/>
      <c r="I114" s="1082"/>
      <c r="J114" s="1082"/>
      <c r="K114" s="1082"/>
      <c r="L114" s="1082"/>
      <c r="M114" s="1082"/>
      <c r="N114" s="1082"/>
      <c r="O114" s="1082"/>
      <c r="P114" s="1082"/>
      <c r="EB114" s="3001"/>
    </row>
    <row r="115" spans="1:132" s="1142" customFormat="1" x14ac:dyDescent="0.3">
      <c r="A115" s="1164" t="s">
        <v>2297</v>
      </c>
      <c r="B115" s="1127"/>
      <c r="C115" s="1127"/>
      <c r="D115" s="1127"/>
      <c r="E115" s="1127"/>
      <c r="F115" s="1127"/>
      <c r="G115" s="1127"/>
      <c r="H115" s="3061"/>
      <c r="I115" s="3061"/>
      <c r="J115" s="3061"/>
      <c r="K115" s="3061"/>
      <c r="L115" s="3061"/>
      <c r="M115" s="3061"/>
      <c r="N115" s="3061"/>
      <c r="O115" s="3061"/>
      <c r="P115" s="3061"/>
      <c r="Q115" s="1127"/>
      <c r="R115" s="1127"/>
      <c r="S115" s="1127"/>
      <c r="T115" s="1127"/>
      <c r="U115" s="1127"/>
      <c r="V115" s="1127"/>
      <c r="W115" s="1127"/>
      <c r="X115" s="1127"/>
      <c r="Y115" s="1127"/>
      <c r="Z115" s="1127"/>
      <c r="AA115" s="1127"/>
      <c r="AB115" s="1127"/>
      <c r="AC115" s="1127"/>
      <c r="AD115" s="1127"/>
      <c r="AE115" s="1127"/>
      <c r="AF115" s="1127"/>
      <c r="AG115" s="1127"/>
      <c r="AH115" s="1127"/>
      <c r="AI115" s="1127"/>
      <c r="AJ115" s="1127"/>
      <c r="AK115" s="1127"/>
      <c r="AL115" s="1127"/>
      <c r="AM115" s="1127"/>
      <c r="AN115" s="1127"/>
      <c r="AO115" s="1127"/>
      <c r="AP115" s="1127"/>
      <c r="AQ115" s="1127"/>
      <c r="AR115" s="1127"/>
      <c r="AS115" s="1127"/>
      <c r="AT115" s="1127"/>
      <c r="AU115" s="1127"/>
      <c r="AV115" s="1127"/>
      <c r="AW115" s="1127"/>
      <c r="AX115" s="1127"/>
      <c r="AY115" s="1127"/>
      <c r="AZ115" s="1127"/>
      <c r="BA115" s="1127"/>
      <c r="BB115" s="1127"/>
      <c r="BC115" s="1127"/>
      <c r="BD115" s="1127"/>
      <c r="BE115" s="1127"/>
      <c r="BF115" s="1127"/>
      <c r="BG115" s="1127"/>
      <c r="BH115" s="1127"/>
      <c r="BI115" s="1127"/>
      <c r="BJ115" s="1127"/>
      <c r="BK115" s="1127"/>
      <c r="BL115" s="1127"/>
      <c r="BM115" s="1127"/>
      <c r="BN115" s="1127"/>
      <c r="BO115" s="1127"/>
      <c r="BP115" s="1127"/>
      <c r="BQ115" s="1127"/>
      <c r="BR115" s="1127"/>
      <c r="BS115" s="1127"/>
      <c r="BT115" s="1127"/>
      <c r="BU115" s="1127"/>
      <c r="BV115" s="1127"/>
      <c r="BW115" s="1127"/>
      <c r="BX115" s="1127"/>
      <c r="BY115" s="1127"/>
      <c r="BZ115" s="1127"/>
      <c r="CA115" s="1127"/>
      <c r="CB115" s="1127"/>
      <c r="CC115" s="1127"/>
      <c r="CD115" s="1127"/>
      <c r="CE115" s="1127"/>
      <c r="CF115" s="1127"/>
      <c r="CG115" s="1127"/>
      <c r="CH115" s="1127"/>
      <c r="CI115" s="1127"/>
      <c r="CJ115" s="1127"/>
      <c r="CK115" s="1127"/>
      <c r="CL115" s="1127"/>
      <c r="CM115" s="1127"/>
      <c r="CN115" s="1127"/>
      <c r="CO115" s="1127"/>
      <c r="CP115" s="1127"/>
      <c r="CQ115" s="1127"/>
      <c r="CR115" s="1127"/>
      <c r="CS115" s="1127"/>
      <c r="CT115" s="1127"/>
      <c r="CU115" s="1127"/>
      <c r="CV115" s="1127"/>
      <c r="CW115" s="1127"/>
      <c r="CX115" s="1127"/>
      <c r="CY115" s="1127"/>
      <c r="CZ115" s="1127"/>
      <c r="DA115" s="1127"/>
      <c r="DB115" s="1127"/>
      <c r="DC115" s="1127"/>
      <c r="DD115" s="1127"/>
      <c r="DE115" s="1127"/>
      <c r="DF115" s="1127"/>
      <c r="DG115" s="1127"/>
      <c r="DH115" s="1127"/>
      <c r="DI115" s="1127"/>
      <c r="DJ115" s="1127"/>
      <c r="DK115" s="1127"/>
      <c r="DL115" s="1127"/>
      <c r="DM115" s="1127"/>
      <c r="DN115" s="1127"/>
      <c r="DO115" s="1127"/>
      <c r="DP115" s="1127"/>
      <c r="DQ115" s="1127"/>
      <c r="DR115" s="1127"/>
      <c r="DS115" s="1127"/>
      <c r="DT115" s="1127"/>
      <c r="DU115" s="1127"/>
      <c r="DV115" s="1127"/>
      <c r="DW115" s="1127"/>
      <c r="DX115" s="1127"/>
      <c r="DY115" s="1127"/>
      <c r="DZ115" s="1146"/>
      <c r="EB115" s="3001"/>
    </row>
    <row r="116" spans="1:132" s="2136" customFormat="1" x14ac:dyDescent="0.3">
      <c r="A116" s="3062">
        <v>1</v>
      </c>
      <c r="B116" s="1564">
        <f>A116+1</f>
        <v>2</v>
      </c>
      <c r="C116" s="1564">
        <f t="shared" ref="C116:BN116" si="9">B116+1</f>
        <v>3</v>
      </c>
      <c r="D116" s="1564">
        <f t="shared" si="9"/>
        <v>4</v>
      </c>
      <c r="E116" s="1564">
        <f>D116+1</f>
        <v>5</v>
      </c>
      <c r="F116" s="1564">
        <f>E116+1</f>
        <v>6</v>
      </c>
      <c r="G116" s="1564">
        <f t="shared" si="9"/>
        <v>7</v>
      </c>
      <c r="H116" s="1564">
        <f t="shared" si="9"/>
        <v>8</v>
      </c>
      <c r="I116" s="1564">
        <f t="shared" si="9"/>
        <v>9</v>
      </c>
      <c r="J116" s="1564">
        <f t="shared" si="9"/>
        <v>10</v>
      </c>
      <c r="K116" s="1564">
        <f t="shared" si="9"/>
        <v>11</v>
      </c>
      <c r="L116" s="1564">
        <f t="shared" si="9"/>
        <v>12</v>
      </c>
      <c r="M116" s="1564">
        <f t="shared" si="9"/>
        <v>13</v>
      </c>
      <c r="N116" s="1564">
        <f t="shared" si="9"/>
        <v>14</v>
      </c>
      <c r="O116" s="1564">
        <f t="shared" si="9"/>
        <v>15</v>
      </c>
      <c r="P116" s="1564">
        <f t="shared" si="9"/>
        <v>16</v>
      </c>
      <c r="Q116" s="1564">
        <f t="shared" si="9"/>
        <v>17</v>
      </c>
      <c r="R116" s="1564">
        <f t="shared" si="9"/>
        <v>18</v>
      </c>
      <c r="S116" s="1564">
        <f t="shared" si="9"/>
        <v>19</v>
      </c>
      <c r="T116" s="1564">
        <f t="shared" si="9"/>
        <v>20</v>
      </c>
      <c r="U116" s="1564">
        <f t="shared" si="9"/>
        <v>21</v>
      </c>
      <c r="V116" s="1564">
        <f t="shared" si="9"/>
        <v>22</v>
      </c>
      <c r="W116" s="1564">
        <f t="shared" si="9"/>
        <v>23</v>
      </c>
      <c r="X116" s="1564">
        <f t="shared" si="9"/>
        <v>24</v>
      </c>
      <c r="Y116" s="1564">
        <f t="shared" si="9"/>
        <v>25</v>
      </c>
      <c r="Z116" s="1564">
        <f t="shared" si="9"/>
        <v>26</v>
      </c>
      <c r="AA116" s="1564">
        <f t="shared" si="9"/>
        <v>27</v>
      </c>
      <c r="AB116" s="1564">
        <f t="shared" si="9"/>
        <v>28</v>
      </c>
      <c r="AC116" s="1564">
        <f t="shared" si="9"/>
        <v>29</v>
      </c>
      <c r="AD116" s="1564">
        <f t="shared" si="9"/>
        <v>30</v>
      </c>
      <c r="AE116" s="1564">
        <f t="shared" si="9"/>
        <v>31</v>
      </c>
      <c r="AF116" s="1564">
        <f t="shared" si="9"/>
        <v>32</v>
      </c>
      <c r="AG116" s="1564">
        <f t="shared" si="9"/>
        <v>33</v>
      </c>
      <c r="AH116" s="1564">
        <f t="shared" si="9"/>
        <v>34</v>
      </c>
      <c r="AI116" s="1564">
        <f t="shared" si="9"/>
        <v>35</v>
      </c>
      <c r="AJ116" s="1564">
        <f t="shared" si="9"/>
        <v>36</v>
      </c>
      <c r="AK116" s="1564">
        <f t="shared" si="9"/>
        <v>37</v>
      </c>
      <c r="AL116" s="1564">
        <f t="shared" si="9"/>
        <v>38</v>
      </c>
      <c r="AM116" s="1564">
        <f t="shared" si="9"/>
        <v>39</v>
      </c>
      <c r="AN116" s="1564">
        <f t="shared" si="9"/>
        <v>40</v>
      </c>
      <c r="AO116" s="1564">
        <f t="shared" si="9"/>
        <v>41</v>
      </c>
      <c r="AP116" s="1564">
        <f t="shared" si="9"/>
        <v>42</v>
      </c>
      <c r="AQ116" s="1564">
        <f t="shared" si="9"/>
        <v>43</v>
      </c>
      <c r="AR116" s="1564">
        <f t="shared" si="9"/>
        <v>44</v>
      </c>
      <c r="AS116" s="1564">
        <f t="shared" si="9"/>
        <v>45</v>
      </c>
      <c r="AT116" s="1564">
        <f t="shared" si="9"/>
        <v>46</v>
      </c>
      <c r="AU116" s="1564">
        <f t="shared" si="9"/>
        <v>47</v>
      </c>
      <c r="AV116" s="1564">
        <f t="shared" si="9"/>
        <v>48</v>
      </c>
      <c r="AW116" s="1564">
        <f t="shared" si="9"/>
        <v>49</v>
      </c>
      <c r="AX116" s="1564">
        <f t="shared" si="9"/>
        <v>50</v>
      </c>
      <c r="AY116" s="1564">
        <f t="shared" si="9"/>
        <v>51</v>
      </c>
      <c r="AZ116" s="1564">
        <f t="shared" si="9"/>
        <v>52</v>
      </c>
      <c r="BA116" s="1564">
        <f t="shared" si="9"/>
        <v>53</v>
      </c>
      <c r="BB116" s="1564">
        <f t="shared" si="9"/>
        <v>54</v>
      </c>
      <c r="BC116" s="1564">
        <f t="shared" si="9"/>
        <v>55</v>
      </c>
      <c r="BD116" s="1564">
        <f t="shared" si="9"/>
        <v>56</v>
      </c>
      <c r="BE116" s="1564">
        <f t="shared" si="9"/>
        <v>57</v>
      </c>
      <c r="BF116" s="1564">
        <f t="shared" si="9"/>
        <v>58</v>
      </c>
      <c r="BG116" s="1564">
        <f t="shared" si="9"/>
        <v>59</v>
      </c>
      <c r="BH116" s="1564">
        <f t="shared" si="9"/>
        <v>60</v>
      </c>
      <c r="BI116" s="1564">
        <f t="shared" si="9"/>
        <v>61</v>
      </c>
      <c r="BJ116" s="1564">
        <f t="shared" si="9"/>
        <v>62</v>
      </c>
      <c r="BK116" s="1564">
        <f t="shared" si="9"/>
        <v>63</v>
      </c>
      <c r="BL116" s="1564">
        <f t="shared" si="9"/>
        <v>64</v>
      </c>
      <c r="BM116" s="1564">
        <f t="shared" si="9"/>
        <v>65</v>
      </c>
      <c r="BN116" s="1564">
        <f t="shared" si="9"/>
        <v>66</v>
      </c>
      <c r="BO116" s="1564">
        <f t="shared" ref="BO116:DZ116" si="10">BN116+1</f>
        <v>67</v>
      </c>
      <c r="BP116" s="1564">
        <f t="shared" si="10"/>
        <v>68</v>
      </c>
      <c r="BQ116" s="1564">
        <f t="shared" si="10"/>
        <v>69</v>
      </c>
      <c r="BR116" s="1564">
        <f t="shared" si="10"/>
        <v>70</v>
      </c>
      <c r="BS116" s="1564">
        <f t="shared" si="10"/>
        <v>71</v>
      </c>
      <c r="BT116" s="1564">
        <f t="shared" si="10"/>
        <v>72</v>
      </c>
      <c r="BU116" s="1564">
        <f t="shared" si="10"/>
        <v>73</v>
      </c>
      <c r="BV116" s="1564">
        <f t="shared" si="10"/>
        <v>74</v>
      </c>
      <c r="BW116" s="1564">
        <f t="shared" si="10"/>
        <v>75</v>
      </c>
      <c r="BX116" s="1564">
        <f t="shared" si="10"/>
        <v>76</v>
      </c>
      <c r="BY116" s="1564">
        <f t="shared" si="10"/>
        <v>77</v>
      </c>
      <c r="BZ116" s="1564">
        <f t="shared" si="10"/>
        <v>78</v>
      </c>
      <c r="CA116" s="1564">
        <f t="shared" si="10"/>
        <v>79</v>
      </c>
      <c r="CB116" s="1564">
        <f t="shared" si="10"/>
        <v>80</v>
      </c>
      <c r="CC116" s="1564">
        <f t="shared" si="10"/>
        <v>81</v>
      </c>
      <c r="CD116" s="1564">
        <f t="shared" si="10"/>
        <v>82</v>
      </c>
      <c r="CE116" s="1564">
        <f t="shared" si="10"/>
        <v>83</v>
      </c>
      <c r="CF116" s="1564">
        <f t="shared" si="10"/>
        <v>84</v>
      </c>
      <c r="CG116" s="1564">
        <f t="shared" si="10"/>
        <v>85</v>
      </c>
      <c r="CH116" s="1564">
        <f t="shared" si="10"/>
        <v>86</v>
      </c>
      <c r="CI116" s="1564">
        <f t="shared" si="10"/>
        <v>87</v>
      </c>
      <c r="CJ116" s="1564">
        <f t="shared" si="10"/>
        <v>88</v>
      </c>
      <c r="CK116" s="1564">
        <f t="shared" si="10"/>
        <v>89</v>
      </c>
      <c r="CL116" s="1564">
        <f t="shared" si="10"/>
        <v>90</v>
      </c>
      <c r="CM116" s="1564">
        <f t="shared" si="10"/>
        <v>91</v>
      </c>
      <c r="CN116" s="1564">
        <f t="shared" si="10"/>
        <v>92</v>
      </c>
      <c r="CO116" s="1564">
        <f t="shared" si="10"/>
        <v>93</v>
      </c>
      <c r="CP116" s="1564">
        <f t="shared" si="10"/>
        <v>94</v>
      </c>
      <c r="CQ116" s="1564">
        <f t="shared" si="10"/>
        <v>95</v>
      </c>
      <c r="CR116" s="1564">
        <f t="shared" si="10"/>
        <v>96</v>
      </c>
      <c r="CS116" s="1564">
        <f t="shared" si="10"/>
        <v>97</v>
      </c>
      <c r="CT116" s="1564">
        <f t="shared" si="10"/>
        <v>98</v>
      </c>
      <c r="CU116" s="1564">
        <f t="shared" si="10"/>
        <v>99</v>
      </c>
      <c r="CV116" s="1564">
        <f t="shared" si="10"/>
        <v>100</v>
      </c>
      <c r="CW116" s="1564">
        <f t="shared" si="10"/>
        <v>101</v>
      </c>
      <c r="CX116" s="1564">
        <f t="shared" si="10"/>
        <v>102</v>
      </c>
      <c r="CY116" s="1564">
        <f t="shared" si="10"/>
        <v>103</v>
      </c>
      <c r="CZ116" s="1564">
        <f t="shared" si="10"/>
        <v>104</v>
      </c>
      <c r="DA116" s="1564">
        <f t="shared" si="10"/>
        <v>105</v>
      </c>
      <c r="DB116" s="1564">
        <f t="shared" si="10"/>
        <v>106</v>
      </c>
      <c r="DC116" s="1564">
        <f t="shared" si="10"/>
        <v>107</v>
      </c>
      <c r="DD116" s="1564">
        <f t="shared" si="10"/>
        <v>108</v>
      </c>
      <c r="DE116" s="1564">
        <f t="shared" si="10"/>
        <v>109</v>
      </c>
      <c r="DF116" s="1564">
        <f t="shared" si="10"/>
        <v>110</v>
      </c>
      <c r="DG116" s="1564">
        <f t="shared" si="10"/>
        <v>111</v>
      </c>
      <c r="DH116" s="1564">
        <f t="shared" si="10"/>
        <v>112</v>
      </c>
      <c r="DI116" s="1564">
        <f t="shared" si="10"/>
        <v>113</v>
      </c>
      <c r="DJ116" s="1564">
        <f t="shared" si="10"/>
        <v>114</v>
      </c>
      <c r="DK116" s="1564">
        <f t="shared" si="10"/>
        <v>115</v>
      </c>
      <c r="DL116" s="1564">
        <f t="shared" si="10"/>
        <v>116</v>
      </c>
      <c r="DM116" s="1564">
        <f t="shared" si="10"/>
        <v>117</v>
      </c>
      <c r="DN116" s="1564">
        <f t="shared" si="10"/>
        <v>118</v>
      </c>
      <c r="DO116" s="1564">
        <f t="shared" si="10"/>
        <v>119</v>
      </c>
      <c r="DP116" s="1564">
        <f t="shared" si="10"/>
        <v>120</v>
      </c>
      <c r="DQ116" s="1564">
        <f t="shared" si="10"/>
        <v>121</v>
      </c>
      <c r="DR116" s="1564">
        <f t="shared" si="10"/>
        <v>122</v>
      </c>
      <c r="DS116" s="1564">
        <f t="shared" si="10"/>
        <v>123</v>
      </c>
      <c r="DT116" s="1564">
        <f t="shared" si="10"/>
        <v>124</v>
      </c>
      <c r="DU116" s="1564">
        <f t="shared" si="10"/>
        <v>125</v>
      </c>
      <c r="DV116" s="1564">
        <f t="shared" si="10"/>
        <v>126</v>
      </c>
      <c r="DW116" s="1564">
        <f t="shared" si="10"/>
        <v>127</v>
      </c>
      <c r="DX116" s="1564">
        <f t="shared" si="10"/>
        <v>128</v>
      </c>
      <c r="DY116" s="1564">
        <f t="shared" si="10"/>
        <v>129</v>
      </c>
      <c r="DZ116" s="2452">
        <f t="shared" si="10"/>
        <v>130</v>
      </c>
      <c r="EB116" s="3001"/>
    </row>
    <row r="117" spans="1:132" x14ac:dyDescent="0.3">
      <c r="A117" s="3063" t="s">
        <v>50</v>
      </c>
      <c r="B117" s="2455" t="s">
        <v>1241</v>
      </c>
      <c r="C117" s="2455" t="s">
        <v>1243</v>
      </c>
      <c r="D117" s="2455" t="s">
        <v>1245</v>
      </c>
      <c r="E117" s="2455" t="s">
        <v>1247</v>
      </c>
      <c r="F117" s="2455" t="s">
        <v>2298</v>
      </c>
      <c r="G117" s="2455" t="s">
        <v>2299</v>
      </c>
      <c r="H117" s="2455" t="s">
        <v>2300</v>
      </c>
      <c r="I117" s="2455" t="s">
        <v>2301</v>
      </c>
      <c r="J117" s="2455" t="s">
        <v>2302</v>
      </c>
      <c r="K117" s="2455" t="s">
        <v>2303</v>
      </c>
      <c r="L117" s="2455" t="s">
        <v>2304</v>
      </c>
      <c r="M117" s="2455" t="s">
        <v>743</v>
      </c>
      <c r="N117" s="3064" t="s">
        <v>2305</v>
      </c>
      <c r="O117" s="2455" t="s">
        <v>2306</v>
      </c>
      <c r="P117" s="2810" t="s">
        <v>2307</v>
      </c>
      <c r="Q117" s="2810" t="s">
        <v>2308</v>
      </c>
      <c r="R117" s="2810" t="s">
        <v>2309</v>
      </c>
      <c r="S117" s="2810" t="s">
        <v>2310</v>
      </c>
      <c r="T117" s="2810" t="s">
        <v>2311</v>
      </c>
      <c r="U117" s="2810" t="s">
        <v>2312</v>
      </c>
      <c r="V117" s="2810" t="s">
        <v>2313</v>
      </c>
      <c r="W117" s="2810" t="s">
        <v>2314</v>
      </c>
      <c r="X117" s="2810" t="s">
        <v>2315</v>
      </c>
      <c r="Y117" s="2810" t="s">
        <v>2316</v>
      </c>
      <c r="Z117" s="2810" t="s">
        <v>2317</v>
      </c>
      <c r="AA117" s="2810" t="s">
        <v>1302</v>
      </c>
      <c r="AB117" s="2810" t="s">
        <v>2318</v>
      </c>
      <c r="AC117" s="2810" t="s">
        <v>2319</v>
      </c>
      <c r="AD117" s="2810" t="s">
        <v>2320</v>
      </c>
      <c r="AE117" s="2810" t="s">
        <v>2321</v>
      </c>
      <c r="AF117" s="2810" t="s">
        <v>2322</v>
      </c>
      <c r="AG117" s="2810" t="s">
        <v>2323</v>
      </c>
      <c r="AH117" s="2810" t="s">
        <v>2324</v>
      </c>
      <c r="AI117" s="2810" t="s">
        <v>2325</v>
      </c>
      <c r="AJ117" s="2810" t="s">
        <v>2326</v>
      </c>
      <c r="AK117" s="2810" t="s">
        <v>2327</v>
      </c>
      <c r="AL117" s="2810" t="s">
        <v>2328</v>
      </c>
      <c r="AM117" s="2810" t="s">
        <v>2329</v>
      </c>
      <c r="AN117" s="2810" t="s">
        <v>2330</v>
      </c>
      <c r="AO117" s="2810" t="s">
        <v>2331</v>
      </c>
      <c r="AP117" s="2810" t="s">
        <v>1008</v>
      </c>
      <c r="AQ117" s="2810" t="s">
        <v>2332</v>
      </c>
      <c r="AR117" s="2810" t="s">
        <v>2333</v>
      </c>
      <c r="AS117" s="2455" t="s">
        <v>2334</v>
      </c>
      <c r="AT117" s="2455" t="s">
        <v>2335</v>
      </c>
      <c r="AU117" s="2455" t="s">
        <v>2336</v>
      </c>
      <c r="AV117" s="2455" t="s">
        <v>2337</v>
      </c>
      <c r="AW117" s="2455" t="s">
        <v>2338</v>
      </c>
      <c r="AX117" s="2455" t="s">
        <v>2339</v>
      </c>
      <c r="AY117" s="2455" t="s">
        <v>2340</v>
      </c>
      <c r="AZ117" s="2455" t="s">
        <v>2341</v>
      </c>
      <c r="BA117" s="2455" t="s">
        <v>2342</v>
      </c>
      <c r="BB117" s="2455" t="s">
        <v>1303</v>
      </c>
      <c r="BC117" s="2455" t="s">
        <v>2343</v>
      </c>
      <c r="BD117" s="2455" t="s">
        <v>2344</v>
      </c>
      <c r="BE117" s="2455" t="s">
        <v>2345</v>
      </c>
      <c r="BF117" s="2455" t="s">
        <v>2346</v>
      </c>
      <c r="BG117" s="2455" t="s">
        <v>2347</v>
      </c>
      <c r="BH117" s="2455" t="s">
        <v>2348</v>
      </c>
      <c r="BI117" s="2455" t="s">
        <v>2349</v>
      </c>
      <c r="BJ117" s="2455" t="s">
        <v>2350</v>
      </c>
      <c r="BK117" s="2455" t="s">
        <v>2351</v>
      </c>
      <c r="BL117" s="2455" t="s">
        <v>2352</v>
      </c>
      <c r="BM117" s="2455" t="s">
        <v>2353</v>
      </c>
      <c r="BN117" s="2455" t="s">
        <v>2354</v>
      </c>
      <c r="BO117" s="2455" t="s">
        <v>2355</v>
      </c>
      <c r="BP117" s="2455" t="s">
        <v>2356</v>
      </c>
      <c r="BQ117" s="2455" t="s">
        <v>2357</v>
      </c>
      <c r="BR117" s="2455" t="s">
        <v>2358</v>
      </c>
      <c r="BS117" s="2455" t="s">
        <v>2359</v>
      </c>
      <c r="BT117" s="2455" t="s">
        <v>2360</v>
      </c>
      <c r="BU117" s="2455" t="s">
        <v>1761</v>
      </c>
      <c r="BV117" s="2455" t="s">
        <v>2361</v>
      </c>
      <c r="BW117" s="2455" t="s">
        <v>2362</v>
      </c>
      <c r="BX117" s="2455" t="s">
        <v>2363</v>
      </c>
      <c r="BY117" s="2455" t="s">
        <v>2364</v>
      </c>
      <c r="BZ117" s="2455" t="s">
        <v>2365</v>
      </c>
      <c r="CA117" s="2455" t="s">
        <v>2366</v>
      </c>
      <c r="CB117" s="2455" t="s">
        <v>2367</v>
      </c>
      <c r="CC117" s="2455" t="s">
        <v>1304</v>
      </c>
      <c r="CD117" s="2455" t="s">
        <v>2368</v>
      </c>
      <c r="CE117" s="2455" t="s">
        <v>2369</v>
      </c>
      <c r="CF117" s="2455" t="s">
        <v>2370</v>
      </c>
      <c r="CG117" s="2455" t="s">
        <v>2371</v>
      </c>
      <c r="CH117" s="2455" t="s">
        <v>2372</v>
      </c>
      <c r="CI117" s="2455" t="s">
        <v>2373</v>
      </c>
      <c r="CJ117" s="2455" t="s">
        <v>2374</v>
      </c>
      <c r="CK117" s="2455" t="s">
        <v>2375</v>
      </c>
      <c r="CL117" s="2455" t="s">
        <v>2376</v>
      </c>
      <c r="CM117" s="2455" t="s">
        <v>2377</v>
      </c>
      <c r="CN117" s="2455" t="s">
        <v>2378</v>
      </c>
      <c r="CO117" s="2455" t="s">
        <v>2379</v>
      </c>
      <c r="CP117" s="2455" t="s">
        <v>2380</v>
      </c>
      <c r="CQ117" s="2455" t="s">
        <v>2381</v>
      </c>
      <c r="CR117" s="2455" t="s">
        <v>2382</v>
      </c>
      <c r="CS117" s="2455" t="s">
        <v>2383</v>
      </c>
      <c r="CT117" s="2455" t="s">
        <v>2384</v>
      </c>
      <c r="CU117" s="2455" t="s">
        <v>2385</v>
      </c>
      <c r="CV117" s="2455" t="s">
        <v>2386</v>
      </c>
      <c r="CW117" s="2455" t="s">
        <v>2387</v>
      </c>
      <c r="CX117" s="2455" t="s">
        <v>2388</v>
      </c>
      <c r="CY117" s="2455" t="s">
        <v>2389</v>
      </c>
      <c r="CZ117" s="2455" t="s">
        <v>2390</v>
      </c>
      <c r="DA117" s="2455" t="s">
        <v>2391</v>
      </c>
      <c r="DB117" s="2455" t="s">
        <v>2392</v>
      </c>
      <c r="DC117" s="2455" t="s">
        <v>2212</v>
      </c>
      <c r="DD117" s="2455" t="s">
        <v>1306</v>
      </c>
      <c r="DE117" s="2455" t="s">
        <v>2393</v>
      </c>
      <c r="DF117" s="2455" t="s">
        <v>2394</v>
      </c>
      <c r="DG117" s="2455" t="s">
        <v>2395</v>
      </c>
      <c r="DH117" s="2455" t="s">
        <v>2396</v>
      </c>
      <c r="DI117" s="2455" t="s">
        <v>2397</v>
      </c>
      <c r="DJ117" s="2455" t="s">
        <v>2398</v>
      </c>
      <c r="DK117" s="2455" t="s">
        <v>2399</v>
      </c>
      <c r="DL117" s="2455" t="s">
        <v>2400</v>
      </c>
      <c r="DM117" s="2455" t="s">
        <v>2401</v>
      </c>
      <c r="DN117" s="2455" t="s">
        <v>2402</v>
      </c>
      <c r="DO117" s="2455" t="s">
        <v>2403</v>
      </c>
      <c r="DP117" s="2455" t="s">
        <v>2404</v>
      </c>
      <c r="DQ117" s="2455" t="s">
        <v>2405</v>
      </c>
      <c r="DR117" s="2455" t="s">
        <v>2406</v>
      </c>
      <c r="DS117" s="2455" t="s">
        <v>2185</v>
      </c>
      <c r="DT117" s="2455" t="s">
        <v>2407</v>
      </c>
      <c r="DU117" s="2455" t="s">
        <v>2408</v>
      </c>
      <c r="DV117" s="2455" t="s">
        <v>2409</v>
      </c>
      <c r="DW117" s="2455" t="s">
        <v>2410</v>
      </c>
      <c r="DX117" s="2455" t="s">
        <v>2411</v>
      </c>
      <c r="DY117" s="2455" t="s">
        <v>2412</v>
      </c>
      <c r="DZ117" s="2456" t="s">
        <v>2413</v>
      </c>
      <c r="EB117" s="3001"/>
    </row>
    <row r="118" spans="1:132" x14ac:dyDescent="0.3">
      <c r="H118" s="1082"/>
      <c r="I118" s="1082"/>
      <c r="J118" s="1082"/>
      <c r="K118" s="1082"/>
      <c r="L118" s="1082"/>
      <c r="M118" s="1082"/>
      <c r="N118" s="1082"/>
      <c r="O118" s="1082"/>
      <c r="P118" s="1082"/>
      <c r="EB118" s="3001"/>
    </row>
    <row r="119" spans="1:132" s="3001" customFormat="1" x14ac:dyDescent="0.3"/>
    <row r="168" spans="9:9" x14ac:dyDescent="0.3">
      <c r="I168" s="1070">
        <f>IF($L$142=1,SUM(G127)/SUM(G126),IF($L$142=2,SUM(G127:G127)/SUM(G126:G126),IF($L$142=3,SUM(G127:G127)/SUM(G126:G126),IF($L$142=4,SUM(G127:G127)/SUM(G126:G126),IF($L$142=5,SUM(G127:G127)/SUM(G126:G126),IF($L$142=6,SUM(G127:L127)/SUM(G126:L126),IF($L$142=7,SUM(G127:M127)/SUM(G126:M126),IF($L$142=8,SUM(G127:N127)/SUM(G126:M126),IF($L$142=9,SUM(G127:O127)/SUM(G126:O126),IF($L$142=10,SUM(G127:P127)/SUM(G126:P126),IF($L$142=11,SUM(G127:Q127)/SUM(G126:Q126),IF($L$142=12,SUM(G127:R127)/SUM(G126:R126),IF($L$142=13,SUM(G127:S127)/SUM(G126:S126),IF($L$142=14,SUM(G127:T127)/SUM(G126:T126),IF($L$142=15,SUM(G127:V127)/SUM(G126:V126),IF($L$142=16,SUM(G127:W127)/SUM(G126:W126),IF($L$142=17,SUM(G127:X127)/SUM(G126:X126),0)))))))))))))))))</f>
        <v>0</v>
      </c>
    </row>
    <row r="193" spans="51:53" x14ac:dyDescent="0.3">
      <c r="AY193" s="1142" t="s">
        <v>1268</v>
      </c>
      <c r="AZ193" s="1142"/>
      <c r="BA193" s="1142"/>
    </row>
  </sheetData>
  <sheetProtection algorithmName="SHA-512" hashValue="SeDgCFnaJp8uNb2On7nQJKEGIRYEhJH7nyyKREzw5r0Xqs9VefFYSYnGoRxPr+aBTu0kKcZDf/EyforVrzGGlA==" saltValue="vqFtq1hUdJAjeGB0wYisuQ==" spinCount="100000" sheet="1" scenarios="1" formatCells="0" formatColumns="0" formatRows="0" pivotTables="0"/>
  <mergeCells count="3">
    <mergeCell ref="B37:U37"/>
    <mergeCell ref="I100:O100"/>
    <mergeCell ref="I101:O101"/>
  </mergeCells>
  <pageMargins left="0" right="0.7" top="0" bottom="0" header="0" footer="0"/>
  <pageSetup scale="64"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B1:R74"/>
  <sheetViews>
    <sheetView workbookViewId="0">
      <selection activeCell="N13" sqref="N13"/>
    </sheetView>
  </sheetViews>
  <sheetFormatPr defaultColWidth="9.109375" defaultRowHeight="13.2" x14ac:dyDescent="0.25"/>
  <cols>
    <col min="1" max="1" width="1.5546875" style="115" customWidth="1"/>
    <col min="2" max="2" width="18" style="115" customWidth="1"/>
    <col min="3" max="16384" width="9.109375" style="115"/>
  </cols>
  <sheetData>
    <row r="1" spans="2:6" ht="15.6" x14ac:dyDescent="0.3">
      <c r="B1" s="114" t="s">
        <v>958</v>
      </c>
    </row>
    <row r="3" spans="2:6" ht="15.6" x14ac:dyDescent="0.3">
      <c r="B3" s="314" t="s">
        <v>116</v>
      </c>
    </row>
    <row r="4" spans="2:6" x14ac:dyDescent="0.25">
      <c r="B4" s="117"/>
    </row>
    <row r="5" spans="2:6" x14ac:dyDescent="0.25">
      <c r="B5" s="213" t="s">
        <v>339</v>
      </c>
    </row>
    <row r="6" spans="2:6" x14ac:dyDescent="0.25">
      <c r="B6" s="214" t="s">
        <v>117</v>
      </c>
      <c r="C6" s="215"/>
      <c r="D6" s="215"/>
      <c r="E6" s="215"/>
      <c r="F6" s="115" t="s">
        <v>663</v>
      </c>
    </row>
    <row r="7" spans="2:6" x14ac:dyDescent="0.25">
      <c r="B7" s="310" t="s">
        <v>727</v>
      </c>
      <c r="C7" s="326"/>
      <c r="D7" s="326"/>
      <c r="E7" s="326"/>
      <c r="F7" s="326"/>
    </row>
    <row r="8" spans="2:6" x14ac:dyDescent="0.25">
      <c r="B8" s="310" t="s">
        <v>635</v>
      </c>
    </row>
    <row r="9" spans="2:6" x14ac:dyDescent="0.25">
      <c r="B9" s="997" t="s">
        <v>954</v>
      </c>
    </row>
    <row r="11" spans="2:6" x14ac:dyDescent="0.25">
      <c r="B11" s="213" t="s">
        <v>118</v>
      </c>
    </row>
    <row r="12" spans="2:6" x14ac:dyDescent="0.25">
      <c r="B12" s="997" t="s">
        <v>955</v>
      </c>
    </row>
    <row r="13" spans="2:6" x14ac:dyDescent="0.25">
      <c r="C13" s="216" t="s">
        <v>119</v>
      </c>
    </row>
    <row r="14" spans="2:6" x14ac:dyDescent="0.25">
      <c r="B14" s="115" t="s">
        <v>120</v>
      </c>
      <c r="C14" s="216"/>
    </row>
    <row r="15" spans="2:6" x14ac:dyDescent="0.25">
      <c r="B15" s="115" t="s">
        <v>125</v>
      </c>
      <c r="C15" s="216"/>
    </row>
    <row r="16" spans="2:6" x14ac:dyDescent="0.25">
      <c r="B16" s="115" t="s">
        <v>121</v>
      </c>
      <c r="C16" s="216"/>
    </row>
    <row r="17" spans="2:16" x14ac:dyDescent="0.25">
      <c r="B17" s="115" t="s">
        <v>122</v>
      </c>
      <c r="C17" s="216"/>
    </row>
    <row r="19" spans="2:16" x14ac:dyDescent="0.25">
      <c r="B19" s="213" t="s">
        <v>670</v>
      </c>
    </row>
    <row r="20" spans="2:16" x14ac:dyDescent="0.25">
      <c r="B20" s="997" t="s">
        <v>956</v>
      </c>
    </row>
    <row r="21" spans="2:16" x14ac:dyDescent="0.25">
      <c r="B21" s="997" t="s">
        <v>957</v>
      </c>
    </row>
    <row r="22" spans="2:16" x14ac:dyDescent="0.25">
      <c r="C22" s="216" t="s">
        <v>666</v>
      </c>
    </row>
    <row r="23" spans="2:16" x14ac:dyDescent="0.25">
      <c r="B23" s="217" t="s">
        <v>123</v>
      </c>
      <c r="C23" s="218"/>
      <c r="D23" s="219"/>
      <c r="E23" s="219"/>
      <c r="F23" s="219"/>
      <c r="G23" s="219"/>
    </row>
    <row r="24" spans="2:16" x14ac:dyDescent="0.25">
      <c r="C24" s="216"/>
    </row>
    <row r="25" spans="2:16" x14ac:dyDescent="0.25">
      <c r="B25" s="213" t="s">
        <v>124</v>
      </c>
    </row>
    <row r="26" spans="2:16" x14ac:dyDescent="0.25">
      <c r="B26" s="213"/>
    </row>
    <row r="27" spans="2:16" x14ac:dyDescent="0.25">
      <c r="B27" s="313" t="s">
        <v>336</v>
      </c>
    </row>
    <row r="28" spans="2:16" x14ac:dyDescent="0.25">
      <c r="B28" s="312" t="s">
        <v>636</v>
      </c>
      <c r="P28" s="8"/>
    </row>
    <row r="29" spans="2:16" x14ac:dyDescent="0.25">
      <c r="B29" s="312"/>
      <c r="P29" s="8"/>
    </row>
    <row r="30" spans="2:16" x14ac:dyDescent="0.25">
      <c r="B30" s="313" t="s">
        <v>337</v>
      </c>
      <c r="P30" s="24"/>
    </row>
    <row r="31" spans="2:16" x14ac:dyDescent="0.25">
      <c r="B31" s="312" t="s">
        <v>637</v>
      </c>
      <c r="L31" s="220"/>
    </row>
    <row r="32" spans="2:16" x14ac:dyDescent="0.25">
      <c r="B32" s="224" t="s">
        <v>638</v>
      </c>
      <c r="L32" s="216"/>
    </row>
    <row r="33" spans="2:12" x14ac:dyDescent="0.25">
      <c r="B33" s="220"/>
    </row>
    <row r="34" spans="2:12" x14ac:dyDescent="0.25">
      <c r="B34" s="223" t="s">
        <v>705</v>
      </c>
      <c r="C34" s="216"/>
      <c r="L34" s="220"/>
    </row>
    <row r="35" spans="2:12" x14ac:dyDescent="0.25">
      <c r="B35" s="221" t="s">
        <v>639</v>
      </c>
      <c r="L35" s="220"/>
    </row>
    <row r="36" spans="2:12" x14ac:dyDescent="0.25">
      <c r="B36" s="310" t="s">
        <v>640</v>
      </c>
      <c r="L36" s="220"/>
    </row>
    <row r="37" spans="2:12" x14ac:dyDescent="0.25">
      <c r="B37" s="221"/>
      <c r="L37" s="220"/>
    </row>
    <row r="38" spans="2:12" x14ac:dyDescent="0.25">
      <c r="B38" s="223" t="s">
        <v>15</v>
      </c>
      <c r="L38" s="220"/>
    </row>
    <row r="39" spans="2:12" x14ac:dyDescent="0.25">
      <c r="B39" s="221" t="s">
        <v>645</v>
      </c>
      <c r="L39" s="220"/>
    </row>
    <row r="40" spans="2:12" x14ac:dyDescent="0.25">
      <c r="B40" s="221"/>
      <c r="L40" s="220"/>
    </row>
    <row r="41" spans="2:12" x14ac:dyDescent="0.25">
      <c r="B41" s="225" t="s">
        <v>641</v>
      </c>
    </row>
    <row r="42" spans="2:12" x14ac:dyDescent="0.25">
      <c r="B42" s="221" t="s">
        <v>642</v>
      </c>
    </row>
    <row r="43" spans="2:12" x14ac:dyDescent="0.25">
      <c r="B43" s="226" t="s">
        <v>643</v>
      </c>
    </row>
    <row r="44" spans="2:12" x14ac:dyDescent="0.25">
      <c r="B44" s="221" t="s">
        <v>644</v>
      </c>
    </row>
    <row r="45" spans="2:12" x14ac:dyDescent="0.25">
      <c r="B45" s="221"/>
    </row>
    <row r="46" spans="2:12" x14ac:dyDescent="0.25">
      <c r="B46" s="222" t="s">
        <v>706</v>
      </c>
    </row>
    <row r="47" spans="2:12" x14ac:dyDescent="0.25">
      <c r="B47" s="221"/>
      <c r="J47" s="117" t="s">
        <v>14</v>
      </c>
    </row>
    <row r="48" spans="2:12" ht="13.8" x14ac:dyDescent="0.25">
      <c r="B48" s="221" t="s">
        <v>126</v>
      </c>
      <c r="J48" s="227" t="s">
        <v>5</v>
      </c>
      <c r="K48" s="228"/>
      <c r="L48" s="229">
        <v>55</v>
      </c>
    </row>
    <row r="49" spans="2:18" x14ac:dyDescent="0.25">
      <c r="B49" s="221" t="s">
        <v>127</v>
      </c>
      <c r="J49" s="230" t="s">
        <v>6</v>
      </c>
      <c r="K49" s="132"/>
      <c r="L49" s="231">
        <v>35</v>
      </c>
    </row>
    <row r="50" spans="2:18" x14ac:dyDescent="0.25">
      <c r="B50" s="221" t="s">
        <v>128</v>
      </c>
      <c r="J50" s="230" t="s">
        <v>7</v>
      </c>
      <c r="K50" s="132"/>
      <c r="L50" s="231">
        <v>76</v>
      </c>
    </row>
    <row r="51" spans="2:18" x14ac:dyDescent="0.25">
      <c r="B51" s="221" t="s">
        <v>16</v>
      </c>
      <c r="J51" s="232" t="s">
        <v>8</v>
      </c>
      <c r="K51" s="132"/>
      <c r="L51" s="231">
        <v>30</v>
      </c>
    </row>
    <row r="52" spans="2:18" x14ac:dyDescent="0.25">
      <c r="B52" s="221" t="s">
        <v>17</v>
      </c>
      <c r="C52" s="233"/>
      <c r="D52" s="233"/>
      <c r="E52" s="233"/>
      <c r="F52" s="233"/>
      <c r="J52" s="232" t="s">
        <v>9</v>
      </c>
      <c r="K52" s="132"/>
      <c r="L52" s="234">
        <v>80</v>
      </c>
      <c r="Q52" s="132"/>
      <c r="R52" s="132"/>
    </row>
    <row r="53" spans="2:18" x14ac:dyDescent="0.25">
      <c r="B53" s="221" t="s">
        <v>338</v>
      </c>
      <c r="C53" s="233"/>
      <c r="D53" s="233"/>
      <c r="E53" s="233"/>
      <c r="F53" s="233"/>
      <c r="J53" s="232" t="s">
        <v>10</v>
      </c>
      <c r="K53" s="132"/>
      <c r="L53" s="234">
        <v>75</v>
      </c>
      <c r="Q53" s="132"/>
      <c r="R53" s="132"/>
    </row>
    <row r="54" spans="2:18" x14ac:dyDescent="0.25">
      <c r="J54" s="235" t="s">
        <v>11</v>
      </c>
      <c r="K54" s="132"/>
      <c r="L54" s="234">
        <v>86</v>
      </c>
      <c r="Q54" s="132"/>
      <c r="R54" s="132"/>
    </row>
    <row r="55" spans="2:18" x14ac:dyDescent="0.25">
      <c r="J55" s="235" t="s">
        <v>12</v>
      </c>
      <c r="K55" s="132"/>
      <c r="L55" s="234">
        <v>65</v>
      </c>
      <c r="Q55" s="132"/>
      <c r="R55" s="132"/>
    </row>
    <row r="56" spans="2:18" x14ac:dyDescent="0.25">
      <c r="J56" s="236" t="s">
        <v>13</v>
      </c>
      <c r="K56" s="237"/>
      <c r="L56" s="238">
        <v>75</v>
      </c>
      <c r="Q56" s="132"/>
      <c r="R56" s="132"/>
    </row>
    <row r="57" spans="2:18" x14ac:dyDescent="0.25">
      <c r="B57" s="222"/>
    </row>
    <row r="58" spans="2:18" x14ac:dyDescent="0.25">
      <c r="B58" s="222"/>
    </row>
    <row r="59" spans="2:18" x14ac:dyDescent="0.25">
      <c r="B59" s="222"/>
    </row>
    <row r="60" spans="2:18" x14ac:dyDescent="0.25">
      <c r="B60" s="222"/>
    </row>
    <row r="61" spans="2:18" x14ac:dyDescent="0.25">
      <c r="B61" s="222"/>
    </row>
    <row r="62" spans="2:18" x14ac:dyDescent="0.25">
      <c r="B62" s="222"/>
    </row>
    <row r="63" spans="2:18" x14ac:dyDescent="0.25">
      <c r="B63" s="222"/>
    </row>
    <row r="64" spans="2:18" x14ac:dyDescent="0.25">
      <c r="B64" s="222"/>
    </row>
    <row r="65" spans="2:6" x14ac:dyDescent="0.25">
      <c r="B65" s="222"/>
    </row>
    <row r="66" spans="2:6" x14ac:dyDescent="0.25">
      <c r="B66" s="221"/>
    </row>
    <row r="67" spans="2:6" x14ac:dyDescent="0.25">
      <c r="B67" s="221"/>
    </row>
    <row r="68" spans="2:6" x14ac:dyDescent="0.25">
      <c r="B68" s="223" t="s">
        <v>634</v>
      </c>
    </row>
    <row r="69" spans="2:6" x14ac:dyDescent="0.25">
      <c r="B69" s="221" t="s">
        <v>451</v>
      </c>
    </row>
    <row r="70" spans="2:6" x14ac:dyDescent="0.25">
      <c r="B70" s="221" t="s">
        <v>459</v>
      </c>
      <c r="C70" s="233"/>
      <c r="D70" s="233"/>
      <c r="E70" s="233"/>
      <c r="F70" s="233"/>
    </row>
    <row r="71" spans="2:6" x14ac:dyDescent="0.25">
      <c r="B71" s="221" t="s">
        <v>83</v>
      </c>
      <c r="C71" s="233"/>
      <c r="D71" s="233"/>
      <c r="E71" s="233"/>
      <c r="F71" s="233"/>
    </row>
    <row r="74" spans="2:6" x14ac:dyDescent="0.25">
      <c r="B74" s="222"/>
    </row>
  </sheetData>
  <phoneticPr fontId="28" type="noConversion"/>
  <pageMargins left="0.3" right="0.2" top="0.2" bottom="0.16" header="0.28000000000000003" footer="0.16"/>
  <pageSetup scale="64"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J227"/>
  <sheetViews>
    <sheetView zoomScale="80" workbookViewId="0">
      <selection activeCell="B15" sqref="B15"/>
    </sheetView>
  </sheetViews>
  <sheetFormatPr defaultColWidth="9.109375" defaultRowHeight="13.2" x14ac:dyDescent="0.25"/>
  <cols>
    <col min="1" max="1" width="29.5546875" style="115" customWidth="1"/>
    <col min="2" max="2" width="104.88671875" style="115" customWidth="1"/>
    <col min="3" max="3" width="2" style="115" customWidth="1"/>
    <col min="4" max="4" width="41.33203125" style="116" customWidth="1"/>
    <col min="5" max="5" width="17" style="116" customWidth="1"/>
    <col min="6" max="6" width="9.5546875" style="115" customWidth="1"/>
    <col min="7" max="10" width="12.88671875" style="115" customWidth="1"/>
    <col min="11" max="16384" width="9.109375" style="115"/>
  </cols>
  <sheetData>
    <row r="1" spans="1:10" ht="15.6" x14ac:dyDescent="0.3">
      <c r="A1" s="114" t="s">
        <v>958</v>
      </c>
    </row>
    <row r="2" spans="1:10" x14ac:dyDescent="0.25">
      <c r="A2" s="117"/>
      <c r="D2" s="112" t="s">
        <v>34</v>
      </c>
      <c r="E2" s="112"/>
    </row>
    <row r="4" spans="1:10" ht="13.8" thickBot="1" x14ac:dyDescent="0.3">
      <c r="A4" s="113" t="s">
        <v>35</v>
      </c>
      <c r="B4" s="322"/>
    </row>
    <row r="5" spans="1:10" ht="13.8" thickTop="1" x14ac:dyDescent="0.25"/>
    <row r="6" spans="1:10" ht="111.75" customHeight="1" thickBot="1" x14ac:dyDescent="0.3">
      <c r="A6" s="113" t="s">
        <v>36</v>
      </c>
      <c r="B6" s="17"/>
      <c r="D6" s="118" t="s">
        <v>107</v>
      </c>
      <c r="E6" s="118"/>
    </row>
    <row r="7" spans="1:10" ht="13.8" thickTop="1" x14ac:dyDescent="0.25">
      <c r="A7" s="113"/>
      <c r="B7" s="119"/>
      <c r="D7" s="118"/>
      <c r="E7" s="118"/>
      <c r="G7" s="3400"/>
      <c r="H7" s="3400"/>
      <c r="I7" s="3400"/>
      <c r="J7" s="3400"/>
    </row>
    <row r="8" spans="1:10" ht="13.8" thickBot="1" x14ac:dyDescent="0.3">
      <c r="A8" s="113" t="s">
        <v>38</v>
      </c>
      <c r="B8" s="322"/>
    </row>
    <row r="9" spans="1:10" ht="13.8" thickTop="1" x14ac:dyDescent="0.25">
      <c r="A9" s="113"/>
    </row>
    <row r="10" spans="1:10" ht="13.8" thickBot="1" x14ac:dyDescent="0.3">
      <c r="A10" s="113" t="s">
        <v>929</v>
      </c>
      <c r="B10" s="998" t="s">
        <v>975</v>
      </c>
    </row>
    <row r="11" spans="1:10" ht="13.8" thickTop="1" x14ac:dyDescent="0.25">
      <c r="A11" s="113"/>
    </row>
    <row r="12" spans="1:10" ht="13.8" thickBot="1" x14ac:dyDescent="0.3">
      <c r="A12" s="113" t="s">
        <v>930</v>
      </c>
      <c r="B12" s="998" t="s">
        <v>976</v>
      </c>
    </row>
    <row r="13" spans="1:10" ht="13.8" thickTop="1" x14ac:dyDescent="0.25">
      <c r="A13" s="113"/>
    </row>
    <row r="14" spans="1:10" ht="66.75" customHeight="1" thickBot="1" x14ac:dyDescent="0.3">
      <c r="A14" s="113" t="s">
        <v>667</v>
      </c>
      <c r="B14" s="323"/>
      <c r="D14" s="118" t="s">
        <v>108</v>
      </c>
      <c r="E14" s="118"/>
    </row>
    <row r="15" spans="1:10" ht="13.8" thickTop="1" x14ac:dyDescent="0.25">
      <c r="A15" s="113"/>
      <c r="B15" s="119"/>
      <c r="D15" s="118"/>
      <c r="E15" s="118"/>
      <c r="G15" s="3400"/>
      <c r="H15" s="3400"/>
      <c r="I15" s="3400"/>
      <c r="J15" s="3400"/>
    </row>
    <row r="16" spans="1:10" ht="56.25" customHeight="1" thickBot="1" x14ac:dyDescent="0.3">
      <c r="A16" s="113" t="s">
        <v>39</v>
      </c>
      <c r="B16" s="323"/>
      <c r="D16" s="118" t="s">
        <v>40</v>
      </c>
      <c r="E16" s="118"/>
    </row>
    <row r="17" spans="1:10" ht="13.8" thickTop="1" x14ac:dyDescent="0.25">
      <c r="A17" s="113"/>
      <c r="G17" s="3400" t="s">
        <v>37</v>
      </c>
      <c r="H17" s="3400"/>
      <c r="I17" s="3400"/>
      <c r="J17" s="3400"/>
    </row>
    <row r="18" spans="1:10" ht="12.75" customHeight="1" x14ac:dyDescent="0.25">
      <c r="A18" s="113"/>
      <c r="G18" s="120" t="s">
        <v>41</v>
      </c>
      <c r="H18" s="120" t="s">
        <v>42</v>
      </c>
      <c r="I18" s="120" t="s">
        <v>43</v>
      </c>
      <c r="J18" s="120" t="s">
        <v>44</v>
      </c>
    </row>
    <row r="19" spans="1:10" ht="13.8" thickBot="1" x14ac:dyDescent="0.3">
      <c r="A19" s="113" t="s">
        <v>45</v>
      </c>
      <c r="B19" s="121"/>
      <c r="D19" s="122" t="s">
        <v>47</v>
      </c>
      <c r="E19" s="3399" t="s">
        <v>48</v>
      </c>
      <c r="F19" s="115" t="s">
        <v>49</v>
      </c>
      <c r="G19" s="123" t="s">
        <v>50</v>
      </c>
      <c r="H19" s="123" t="s">
        <v>51</v>
      </c>
      <c r="I19" s="123" t="s">
        <v>52</v>
      </c>
      <c r="J19" s="123" t="s">
        <v>53</v>
      </c>
    </row>
    <row r="20" spans="1:10" ht="13.8" thickTop="1" x14ac:dyDescent="0.25">
      <c r="A20" s="113"/>
      <c r="E20" s="3399"/>
      <c r="F20" s="115" t="s">
        <v>717</v>
      </c>
      <c r="G20" s="123" t="s">
        <v>54</v>
      </c>
      <c r="H20" s="123" t="s">
        <v>55</v>
      </c>
      <c r="I20" s="123" t="s">
        <v>56</v>
      </c>
      <c r="J20" s="123" t="s">
        <v>57</v>
      </c>
    </row>
    <row r="21" spans="1:10" x14ac:dyDescent="0.25">
      <c r="A21" s="113" t="s">
        <v>58</v>
      </c>
      <c r="B21" s="124"/>
      <c r="D21" s="122" t="s">
        <v>59</v>
      </c>
      <c r="E21" s="122"/>
    </row>
    <row r="22" spans="1:10" x14ac:dyDescent="0.25">
      <c r="A22" s="113"/>
      <c r="B22" s="125"/>
    </row>
    <row r="23" spans="1:10" x14ac:dyDescent="0.25">
      <c r="A23" s="113"/>
      <c r="B23" s="125"/>
    </row>
    <row r="24" spans="1:10" ht="13.8" thickBot="1" x14ac:dyDescent="0.3">
      <c r="A24" s="113"/>
      <c r="B24" s="126"/>
    </row>
    <row r="25" spans="1:10" ht="13.65" customHeight="1" thickTop="1" x14ac:dyDescent="0.25">
      <c r="A25" s="113"/>
    </row>
    <row r="26" spans="1:10" x14ac:dyDescent="0.25">
      <c r="A26" s="113" t="s">
        <v>60</v>
      </c>
      <c r="B26" s="124"/>
      <c r="D26" s="122" t="s">
        <v>59</v>
      </c>
      <c r="E26" s="122"/>
    </row>
    <row r="27" spans="1:10" x14ac:dyDescent="0.25">
      <c r="A27" s="113"/>
      <c r="B27" s="127"/>
      <c r="D27" s="122"/>
      <c r="E27" s="122"/>
    </row>
    <row r="28" spans="1:10" x14ac:dyDescent="0.25">
      <c r="A28" s="113"/>
      <c r="B28" s="127"/>
      <c r="D28" s="122"/>
      <c r="E28" s="122"/>
    </row>
    <row r="29" spans="1:10" ht="13.8" thickBot="1" x14ac:dyDescent="0.3">
      <c r="A29" s="113"/>
      <c r="B29" s="121"/>
    </row>
    <row r="30" spans="1:10" ht="21.75" customHeight="1" thickTop="1" x14ac:dyDescent="0.25">
      <c r="A30" s="113"/>
    </row>
    <row r="31" spans="1:10" ht="13.8" thickBot="1" x14ac:dyDescent="0.3">
      <c r="A31" s="113" t="s">
        <v>61</v>
      </c>
      <c r="B31" s="324"/>
    </row>
    <row r="32" spans="1:10" ht="13.8" thickTop="1" x14ac:dyDescent="0.25">
      <c r="A32" s="113"/>
      <c r="B32" s="128"/>
    </row>
    <row r="33" spans="1:5" ht="13.8" thickBot="1" x14ac:dyDescent="0.3">
      <c r="A33" s="113" t="s">
        <v>62</v>
      </c>
      <c r="B33" s="324"/>
    </row>
    <row r="34" spans="1:5" ht="13.8" thickTop="1" x14ac:dyDescent="0.25">
      <c r="A34" s="116"/>
    </row>
    <row r="35" spans="1:5" ht="13.8" thickBot="1" x14ac:dyDescent="0.3">
      <c r="A35" s="113" t="s">
        <v>715</v>
      </c>
      <c r="B35" s="121" t="s">
        <v>88</v>
      </c>
      <c r="D35" s="122" t="s">
        <v>63</v>
      </c>
      <c r="E35" s="122"/>
    </row>
    <row r="36" spans="1:5" ht="13.8" thickTop="1" x14ac:dyDescent="0.25">
      <c r="A36" s="116"/>
    </row>
    <row r="37" spans="1:5" ht="13.8" thickBot="1" x14ac:dyDescent="0.3">
      <c r="A37" s="113" t="s">
        <v>716</v>
      </c>
      <c r="B37" s="121" t="s">
        <v>95</v>
      </c>
      <c r="D37" s="122" t="s">
        <v>63</v>
      </c>
      <c r="E37" s="122"/>
    </row>
    <row r="38" spans="1:5" ht="13.8" thickTop="1" x14ac:dyDescent="0.25">
      <c r="A38" s="116"/>
    </row>
    <row r="39" spans="1:5" ht="13.8" thickBot="1" x14ac:dyDescent="0.3">
      <c r="A39" s="113" t="s">
        <v>64</v>
      </c>
      <c r="B39" s="121" t="s">
        <v>100</v>
      </c>
      <c r="D39" s="122" t="s">
        <v>63</v>
      </c>
      <c r="E39" s="122"/>
    </row>
    <row r="40" spans="1:5" ht="13.8" thickTop="1" x14ac:dyDescent="0.25">
      <c r="A40" s="116"/>
    </row>
    <row r="41" spans="1:5" ht="13.8" thickBot="1" x14ac:dyDescent="0.3">
      <c r="A41" s="113" t="s">
        <v>65</v>
      </c>
      <c r="B41" s="121" t="s">
        <v>106</v>
      </c>
      <c r="D41" s="122" t="s">
        <v>63</v>
      </c>
      <c r="E41" s="122"/>
    </row>
    <row r="42" spans="1:5" ht="13.8" thickTop="1" x14ac:dyDescent="0.25">
      <c r="A42" s="116"/>
    </row>
    <row r="43" spans="1:5" x14ac:dyDescent="0.25">
      <c r="A43" s="129" t="s">
        <v>741</v>
      </c>
    </row>
    <row r="44" spans="1:5" x14ac:dyDescent="0.25">
      <c r="A44" s="130" t="s">
        <v>647</v>
      </c>
      <c r="B44" s="321"/>
      <c r="D44" s="116" t="s">
        <v>66</v>
      </c>
    </row>
    <row r="45" spans="1:5" x14ac:dyDescent="0.25">
      <c r="A45" s="130" t="s">
        <v>648</v>
      </c>
      <c r="B45" s="321"/>
      <c r="D45" s="116" t="s">
        <v>67</v>
      </c>
    </row>
    <row r="46" spans="1:5" x14ac:dyDescent="0.25">
      <c r="A46" s="130" t="s">
        <v>649</v>
      </c>
      <c r="B46" s="321"/>
      <c r="D46" s="113" t="s">
        <v>109</v>
      </c>
    </row>
    <row r="47" spans="1:5" x14ac:dyDescent="0.25">
      <c r="A47" s="130" t="s">
        <v>650</v>
      </c>
      <c r="B47" s="321"/>
    </row>
    <row r="48" spans="1:5" x14ac:dyDescent="0.25">
      <c r="A48" s="116"/>
    </row>
    <row r="49" spans="1:7" x14ac:dyDescent="0.25">
      <c r="A49" s="129" t="s">
        <v>791</v>
      </c>
    </row>
    <row r="50" spans="1:7" x14ac:dyDescent="0.25">
      <c r="A50" s="130" t="s">
        <v>647</v>
      </c>
      <c r="B50" s="321"/>
    </row>
    <row r="51" spans="1:7" x14ac:dyDescent="0.25">
      <c r="A51" s="130" t="s">
        <v>648</v>
      </c>
      <c r="B51" s="321"/>
    </row>
    <row r="52" spans="1:7" x14ac:dyDescent="0.25">
      <c r="A52" s="130" t="s">
        <v>649</v>
      </c>
      <c r="B52" s="321"/>
    </row>
    <row r="53" spans="1:7" x14ac:dyDescent="0.25">
      <c r="A53" s="130" t="s">
        <v>650</v>
      </c>
      <c r="B53" s="321"/>
    </row>
    <row r="54" spans="1:7" s="132" customFormat="1" x14ac:dyDescent="0.25">
      <c r="A54" s="131"/>
      <c r="B54" s="578"/>
      <c r="D54" s="131"/>
      <c r="E54" s="131"/>
    </row>
    <row r="55" spans="1:7" x14ac:dyDescent="0.25">
      <c r="A55" s="129" t="s">
        <v>792</v>
      </c>
    </row>
    <row r="56" spans="1:7" x14ac:dyDescent="0.25">
      <c r="A56" s="130" t="s">
        <v>647</v>
      </c>
      <c r="B56" s="321"/>
    </row>
    <row r="57" spans="1:7" x14ac:dyDescent="0.25">
      <c r="A57" s="130" t="s">
        <v>648</v>
      </c>
      <c r="B57" s="321"/>
    </row>
    <row r="58" spans="1:7" x14ac:dyDescent="0.25">
      <c r="A58" s="130" t="s">
        <v>649</v>
      </c>
      <c r="B58" s="321"/>
    </row>
    <row r="59" spans="1:7" x14ac:dyDescent="0.25">
      <c r="A59" s="130" t="s">
        <v>650</v>
      </c>
      <c r="B59" s="321"/>
    </row>
    <row r="60" spans="1:7" s="132" customFormat="1" x14ac:dyDescent="0.25">
      <c r="A60" s="131"/>
      <c r="B60" s="578"/>
      <c r="D60" s="131"/>
      <c r="E60" s="131"/>
    </row>
    <row r="61" spans="1:7" x14ac:dyDescent="0.25">
      <c r="A61" s="129" t="s">
        <v>793</v>
      </c>
      <c r="B61" s="578"/>
      <c r="D61" s="330"/>
      <c r="E61" s="330"/>
    </row>
    <row r="62" spans="1:7" x14ac:dyDescent="0.25">
      <c r="A62" s="130" t="s">
        <v>647</v>
      </c>
      <c r="B62" s="321"/>
      <c r="D62" s="327"/>
      <c r="E62" s="331"/>
    </row>
    <row r="63" spans="1:7" x14ac:dyDescent="0.25">
      <c r="A63" s="133" t="s">
        <v>648</v>
      </c>
      <c r="B63" s="321"/>
      <c r="D63" s="331"/>
      <c r="E63" s="331"/>
    </row>
    <row r="64" spans="1:7" x14ac:dyDescent="0.25">
      <c r="A64" s="133" t="s">
        <v>649</v>
      </c>
      <c r="B64" s="321"/>
      <c r="D64" s="331"/>
      <c r="E64" s="331"/>
      <c r="F64" s="326"/>
      <c r="G64" s="326"/>
    </row>
    <row r="65" spans="1:7" x14ac:dyDescent="0.25">
      <c r="A65" s="133" t="s">
        <v>650</v>
      </c>
      <c r="B65" s="321"/>
      <c r="D65" s="331"/>
      <c r="E65" s="332"/>
      <c r="F65" s="328"/>
      <c r="G65" s="329"/>
    </row>
    <row r="66" spans="1:7" x14ac:dyDescent="0.25">
      <c r="A66" s="116"/>
      <c r="F66" s="329"/>
    </row>
    <row r="67" spans="1:7" x14ac:dyDescent="0.25">
      <c r="A67" s="129" t="s">
        <v>952</v>
      </c>
      <c r="B67" s="578"/>
      <c r="F67" s="329"/>
    </row>
    <row r="68" spans="1:7" x14ac:dyDescent="0.25">
      <c r="A68" s="130" t="s">
        <v>647</v>
      </c>
      <c r="B68" s="321"/>
      <c r="F68" s="329"/>
    </row>
    <row r="69" spans="1:7" x14ac:dyDescent="0.25">
      <c r="A69" s="133" t="s">
        <v>648</v>
      </c>
      <c r="B69" s="321"/>
      <c r="F69" s="329"/>
    </row>
    <row r="70" spans="1:7" x14ac:dyDescent="0.25">
      <c r="A70" s="133" t="s">
        <v>649</v>
      </c>
      <c r="B70" s="321"/>
      <c r="F70" s="329"/>
    </row>
    <row r="71" spans="1:7" x14ac:dyDescent="0.25">
      <c r="A71" s="133" t="s">
        <v>650</v>
      </c>
      <c r="B71" s="321"/>
      <c r="F71" s="329"/>
    </row>
    <row r="72" spans="1:7" x14ac:dyDescent="0.25">
      <c r="A72" s="133"/>
      <c r="B72" s="578"/>
      <c r="F72" s="329"/>
    </row>
    <row r="73" spans="1:7" x14ac:dyDescent="0.25">
      <c r="A73" s="129" t="s">
        <v>959</v>
      </c>
      <c r="B73" s="578"/>
      <c r="F73" s="329"/>
    </row>
    <row r="74" spans="1:7" x14ac:dyDescent="0.25">
      <c r="A74" s="130" t="s">
        <v>647</v>
      </c>
      <c r="B74" s="321"/>
      <c r="F74" s="329"/>
    </row>
    <row r="75" spans="1:7" x14ac:dyDescent="0.25">
      <c r="A75" s="133" t="s">
        <v>648</v>
      </c>
      <c r="B75" s="321"/>
      <c r="F75" s="329"/>
    </row>
    <row r="76" spans="1:7" x14ac:dyDescent="0.25">
      <c r="A76" s="133" t="s">
        <v>649</v>
      </c>
      <c r="B76" s="321"/>
      <c r="F76" s="329"/>
    </row>
    <row r="77" spans="1:7" x14ac:dyDescent="0.25">
      <c r="A77" s="133" t="s">
        <v>650</v>
      </c>
      <c r="B77" s="321"/>
      <c r="F77" s="329"/>
    </row>
    <row r="78" spans="1:7" x14ac:dyDescent="0.25">
      <c r="A78" s="133"/>
      <c r="B78" s="578"/>
      <c r="F78" s="329"/>
    </row>
    <row r="79" spans="1:7" x14ac:dyDescent="0.25">
      <c r="A79" s="129" t="s">
        <v>960</v>
      </c>
      <c r="B79" s="578"/>
      <c r="F79" s="329"/>
    </row>
    <row r="80" spans="1:7" x14ac:dyDescent="0.25">
      <c r="A80" s="130" t="s">
        <v>647</v>
      </c>
      <c r="B80" s="321"/>
      <c r="F80" s="329"/>
    </row>
    <row r="81" spans="1:6" x14ac:dyDescent="0.25">
      <c r="A81" s="133" t="s">
        <v>648</v>
      </c>
      <c r="B81" s="321"/>
      <c r="F81" s="329"/>
    </row>
    <row r="82" spans="1:6" x14ac:dyDescent="0.25">
      <c r="A82" s="133" t="s">
        <v>649</v>
      </c>
      <c r="B82" s="321"/>
      <c r="F82" s="329"/>
    </row>
    <row r="83" spans="1:6" x14ac:dyDescent="0.25">
      <c r="A83" s="133" t="s">
        <v>650</v>
      </c>
      <c r="B83" s="321"/>
      <c r="F83" s="329"/>
    </row>
    <row r="84" spans="1:6" x14ac:dyDescent="0.25">
      <c r="A84" s="133"/>
      <c r="B84" s="578"/>
      <c r="F84" s="329"/>
    </row>
    <row r="85" spans="1:6" x14ac:dyDescent="0.25">
      <c r="A85" s="129" t="s">
        <v>961</v>
      </c>
      <c r="B85" s="578"/>
      <c r="F85" s="329"/>
    </row>
    <row r="86" spans="1:6" x14ac:dyDescent="0.25">
      <c r="A86" s="130" t="s">
        <v>647</v>
      </c>
      <c r="B86" s="321"/>
      <c r="F86" s="329"/>
    </row>
    <row r="87" spans="1:6" x14ac:dyDescent="0.25">
      <c r="A87" s="133" t="s">
        <v>648</v>
      </c>
      <c r="B87" s="321"/>
      <c r="F87" s="329"/>
    </row>
    <row r="88" spans="1:6" x14ac:dyDescent="0.25">
      <c r="A88" s="133" t="s">
        <v>649</v>
      </c>
      <c r="B88" s="321"/>
      <c r="F88" s="329"/>
    </row>
    <row r="89" spans="1:6" x14ac:dyDescent="0.25">
      <c r="A89" s="133" t="s">
        <v>650</v>
      </c>
      <c r="B89" s="321"/>
      <c r="F89" s="329"/>
    </row>
    <row r="90" spans="1:6" x14ac:dyDescent="0.25">
      <c r="A90" s="133"/>
      <c r="B90" s="977"/>
      <c r="F90" s="329"/>
    </row>
    <row r="91" spans="1:6" x14ac:dyDescent="0.25">
      <c r="A91" s="129" t="s">
        <v>962</v>
      </c>
      <c r="B91" s="578"/>
      <c r="F91" s="329"/>
    </row>
    <row r="92" spans="1:6" x14ac:dyDescent="0.25">
      <c r="A92" s="130" t="s">
        <v>647</v>
      </c>
      <c r="B92" s="321"/>
      <c r="F92" s="329"/>
    </row>
    <row r="93" spans="1:6" x14ac:dyDescent="0.25">
      <c r="A93" s="133" t="s">
        <v>648</v>
      </c>
      <c r="B93" s="321"/>
      <c r="F93" s="329"/>
    </row>
    <row r="94" spans="1:6" x14ac:dyDescent="0.25">
      <c r="A94" s="133" t="s">
        <v>649</v>
      </c>
      <c r="B94" s="321"/>
      <c r="F94" s="329"/>
    </row>
    <row r="95" spans="1:6" x14ac:dyDescent="0.25">
      <c r="A95" s="133" t="s">
        <v>650</v>
      </c>
      <c r="B95" s="321"/>
      <c r="F95" s="329"/>
    </row>
    <row r="96" spans="1:6" x14ac:dyDescent="0.25">
      <c r="A96" s="133"/>
      <c r="B96" s="578"/>
      <c r="F96" s="329"/>
    </row>
    <row r="97" spans="1:7" x14ac:dyDescent="0.25">
      <c r="A97" s="129" t="s">
        <v>963</v>
      </c>
      <c r="B97" s="578"/>
      <c r="F97" s="329"/>
    </row>
    <row r="98" spans="1:7" x14ac:dyDescent="0.25">
      <c r="A98" s="130" t="s">
        <v>647</v>
      </c>
      <c r="B98" s="321"/>
      <c r="F98" s="329"/>
    </row>
    <row r="99" spans="1:7" x14ac:dyDescent="0.25">
      <c r="A99" s="133" t="s">
        <v>648</v>
      </c>
      <c r="B99" s="321"/>
      <c r="F99" s="329"/>
    </row>
    <row r="100" spans="1:7" x14ac:dyDescent="0.25">
      <c r="A100" s="133" t="s">
        <v>649</v>
      </c>
      <c r="B100" s="321"/>
      <c r="F100" s="329"/>
    </row>
    <row r="101" spans="1:7" x14ac:dyDescent="0.25">
      <c r="A101" s="133" t="s">
        <v>650</v>
      </c>
      <c r="B101" s="321"/>
      <c r="F101" s="329"/>
    </row>
    <row r="102" spans="1:7" x14ac:dyDescent="0.25">
      <c r="A102" s="133"/>
      <c r="B102" s="578"/>
      <c r="F102" s="329"/>
    </row>
    <row r="103" spans="1:7" x14ac:dyDescent="0.25">
      <c r="A103" s="129" t="s">
        <v>964</v>
      </c>
      <c r="B103" s="578"/>
      <c r="F103" s="329"/>
    </row>
    <row r="104" spans="1:7" x14ac:dyDescent="0.25">
      <c r="A104" s="130" t="s">
        <v>647</v>
      </c>
      <c r="B104" s="321"/>
      <c r="F104" s="329"/>
    </row>
    <row r="105" spans="1:7" x14ac:dyDescent="0.25">
      <c r="A105" s="133" t="s">
        <v>648</v>
      </c>
      <c r="B105" s="321"/>
      <c r="F105" s="329"/>
    </row>
    <row r="106" spans="1:7" x14ac:dyDescent="0.25">
      <c r="A106" s="133" t="s">
        <v>649</v>
      </c>
      <c r="B106" s="321"/>
      <c r="F106" s="329"/>
    </row>
    <row r="107" spans="1:7" x14ac:dyDescent="0.25">
      <c r="A107" s="133" t="s">
        <v>650</v>
      </c>
      <c r="B107" s="321"/>
      <c r="F107" s="329"/>
    </row>
    <row r="108" spans="1:7" x14ac:dyDescent="0.25">
      <c r="A108" s="133"/>
      <c r="B108" s="578"/>
      <c r="F108" s="329"/>
    </row>
    <row r="109" spans="1:7" x14ac:dyDescent="0.25">
      <c r="A109" s="129" t="s">
        <v>962</v>
      </c>
      <c r="B109" s="578"/>
      <c r="F109" s="329"/>
    </row>
    <row r="110" spans="1:7" ht="78.75" customHeight="1" thickBot="1" x14ac:dyDescent="0.3">
      <c r="A110" s="134" t="s">
        <v>1</v>
      </c>
      <c r="B110" s="325"/>
      <c r="G110" s="329"/>
    </row>
    <row r="111" spans="1:7" ht="13.8" thickTop="1" x14ac:dyDescent="0.25">
      <c r="F111" s="328"/>
      <c r="G111" s="329"/>
    </row>
    <row r="112" spans="1:7" ht="43.5" customHeight="1" thickBot="1" x14ac:dyDescent="0.3">
      <c r="A112" s="134" t="s">
        <v>697</v>
      </c>
      <c r="B112" s="324"/>
    </row>
    <row r="113" spans="1:2" ht="13.8" thickTop="1" x14ac:dyDescent="0.25"/>
    <row r="114" spans="1:2" ht="40.200000000000003" thickBot="1" x14ac:dyDescent="0.3">
      <c r="A114" s="134" t="s">
        <v>698</v>
      </c>
      <c r="B114" s="324"/>
    </row>
    <row r="115" spans="1:2" ht="13.8" thickTop="1" x14ac:dyDescent="0.25"/>
    <row r="173" spans="2:2" x14ac:dyDescent="0.25">
      <c r="B173" s="135" t="s">
        <v>68</v>
      </c>
    </row>
    <row r="174" spans="2:2" x14ac:dyDescent="0.25">
      <c r="B174" s="115" t="s">
        <v>46</v>
      </c>
    </row>
    <row r="175" spans="2:2" x14ac:dyDescent="0.25">
      <c r="B175" s="115" t="s">
        <v>69</v>
      </c>
    </row>
    <row r="176" spans="2:2" x14ac:dyDescent="0.25">
      <c r="B176" s="115" t="s">
        <v>70</v>
      </c>
    </row>
    <row r="177" spans="2:2" x14ac:dyDescent="0.25">
      <c r="B177" s="115" t="s">
        <v>71</v>
      </c>
    </row>
    <row r="178" spans="2:2" x14ac:dyDescent="0.25">
      <c r="B178" s="115" t="s">
        <v>72</v>
      </c>
    </row>
    <row r="179" spans="2:2" x14ac:dyDescent="0.25">
      <c r="B179" s="115" t="s">
        <v>73</v>
      </c>
    </row>
    <row r="180" spans="2:2" x14ac:dyDescent="0.25">
      <c r="B180" s="115" t="s">
        <v>74</v>
      </c>
    </row>
    <row r="181" spans="2:2" x14ac:dyDescent="0.25">
      <c r="B181" s="115" t="s">
        <v>75</v>
      </c>
    </row>
    <row r="183" spans="2:2" x14ac:dyDescent="0.25">
      <c r="B183" s="135" t="s">
        <v>76</v>
      </c>
    </row>
    <row r="184" spans="2:2" x14ac:dyDescent="0.25">
      <c r="B184" s="115" t="s">
        <v>46</v>
      </c>
    </row>
    <row r="185" spans="2:2" x14ac:dyDescent="0.25">
      <c r="B185" s="115" t="s">
        <v>77</v>
      </c>
    </row>
    <row r="186" spans="2:2" x14ac:dyDescent="0.25">
      <c r="B186" s="115" t="s">
        <v>78</v>
      </c>
    </row>
    <row r="187" spans="2:2" x14ac:dyDescent="0.25">
      <c r="B187" s="115" t="s">
        <v>79</v>
      </c>
    </row>
    <row r="188" spans="2:2" x14ac:dyDescent="0.25">
      <c r="B188" s="115" t="s">
        <v>80</v>
      </c>
    </row>
    <row r="190" spans="2:2" x14ac:dyDescent="0.25">
      <c r="B190" s="135" t="s">
        <v>81</v>
      </c>
    </row>
    <row r="191" spans="2:2" x14ac:dyDescent="0.25">
      <c r="B191" s="115" t="s">
        <v>46</v>
      </c>
    </row>
    <row r="192" spans="2:2" x14ac:dyDescent="0.25">
      <c r="B192" s="115" t="s">
        <v>82</v>
      </c>
    </row>
    <row r="193" spans="2:2" x14ac:dyDescent="0.25">
      <c r="B193" s="115" t="s">
        <v>84</v>
      </c>
    </row>
    <row r="194" spans="2:2" x14ac:dyDescent="0.25">
      <c r="B194" s="115" t="s">
        <v>85</v>
      </c>
    </row>
    <row r="195" spans="2:2" x14ac:dyDescent="0.25">
      <c r="B195" s="115" t="s">
        <v>86</v>
      </c>
    </row>
    <row r="197" spans="2:2" x14ac:dyDescent="0.25">
      <c r="B197" s="135" t="s">
        <v>715</v>
      </c>
    </row>
    <row r="198" spans="2:2" x14ac:dyDescent="0.25">
      <c r="B198" s="311" t="s">
        <v>335</v>
      </c>
    </row>
    <row r="199" spans="2:2" x14ac:dyDescent="0.25">
      <c r="B199" s="115" t="s">
        <v>87</v>
      </c>
    </row>
    <row r="200" spans="2:2" x14ac:dyDescent="0.25">
      <c r="B200" s="120" t="s">
        <v>88</v>
      </c>
    </row>
    <row r="201" spans="2:2" x14ac:dyDescent="0.25">
      <c r="B201" s="115" t="s">
        <v>89</v>
      </c>
    </row>
    <row r="202" spans="2:2" x14ac:dyDescent="0.25">
      <c r="B202" s="115" t="s">
        <v>90</v>
      </c>
    </row>
    <row r="203" spans="2:2" x14ac:dyDescent="0.25">
      <c r="B203" s="115" t="s">
        <v>91</v>
      </c>
    </row>
    <row r="205" spans="2:2" x14ac:dyDescent="0.25">
      <c r="B205" s="135" t="s">
        <v>716</v>
      </c>
    </row>
    <row r="206" spans="2:2" x14ac:dyDescent="0.25">
      <c r="B206" s="311" t="s">
        <v>335</v>
      </c>
    </row>
    <row r="207" spans="2:2" x14ac:dyDescent="0.25">
      <c r="B207" s="115" t="s">
        <v>92</v>
      </c>
    </row>
    <row r="208" spans="2:2" x14ac:dyDescent="0.25">
      <c r="B208" s="115" t="s">
        <v>93</v>
      </c>
    </row>
    <row r="209" spans="2:3" x14ac:dyDescent="0.25">
      <c r="B209" s="115" t="s">
        <v>94</v>
      </c>
    </row>
    <row r="210" spans="2:3" x14ac:dyDescent="0.25">
      <c r="B210" s="115" t="s">
        <v>95</v>
      </c>
    </row>
    <row r="211" spans="2:3" x14ac:dyDescent="0.25">
      <c r="B211" s="115" t="s">
        <v>96</v>
      </c>
    </row>
    <row r="213" spans="2:3" x14ac:dyDescent="0.25">
      <c r="B213" s="135" t="s">
        <v>64</v>
      </c>
    </row>
    <row r="214" spans="2:3" x14ac:dyDescent="0.25">
      <c r="B214" s="115" t="s">
        <v>46</v>
      </c>
      <c r="C214" s="116"/>
    </row>
    <row r="215" spans="2:3" x14ac:dyDescent="0.25">
      <c r="B215" s="115" t="s">
        <v>97</v>
      </c>
      <c r="C215" s="116"/>
    </row>
    <row r="216" spans="2:3" x14ac:dyDescent="0.25">
      <c r="B216" s="115" t="s">
        <v>98</v>
      </c>
      <c r="C216" s="116"/>
    </row>
    <row r="217" spans="2:3" x14ac:dyDescent="0.25">
      <c r="B217" s="115" t="s">
        <v>99</v>
      </c>
      <c r="C217" s="116"/>
    </row>
    <row r="218" spans="2:3" x14ac:dyDescent="0.25">
      <c r="B218" s="115" t="s">
        <v>100</v>
      </c>
      <c r="C218" s="116"/>
    </row>
    <row r="219" spans="2:3" x14ac:dyDescent="0.25">
      <c r="B219" s="115" t="s">
        <v>101</v>
      </c>
      <c r="C219" s="116"/>
    </row>
    <row r="221" spans="2:3" x14ac:dyDescent="0.25">
      <c r="B221" s="135" t="s">
        <v>65</v>
      </c>
    </row>
    <row r="222" spans="2:3" x14ac:dyDescent="0.25">
      <c r="B222" s="115" t="s">
        <v>46</v>
      </c>
    </row>
    <row r="223" spans="2:3" x14ac:dyDescent="0.25">
      <c r="B223" s="115" t="s">
        <v>102</v>
      </c>
      <c r="C223" s="116"/>
    </row>
    <row r="224" spans="2:3" x14ac:dyDescent="0.25">
      <c r="B224" s="115" t="s">
        <v>103</v>
      </c>
      <c r="C224" s="116"/>
    </row>
    <row r="225" spans="2:3" x14ac:dyDescent="0.25">
      <c r="B225" s="115" t="s">
        <v>104</v>
      </c>
      <c r="C225" s="116"/>
    </row>
    <row r="226" spans="2:3" x14ac:dyDescent="0.25">
      <c r="B226" s="115" t="s">
        <v>105</v>
      </c>
      <c r="C226" s="116"/>
    </row>
    <row r="227" spans="2:3" x14ac:dyDescent="0.25">
      <c r="B227" s="115" t="s">
        <v>106</v>
      </c>
      <c r="C227" s="116"/>
    </row>
  </sheetData>
  <mergeCells count="4">
    <mergeCell ref="E19:E20"/>
    <mergeCell ref="G7:J7"/>
    <mergeCell ref="G15:J15"/>
    <mergeCell ref="G17:J17"/>
  </mergeCells>
  <phoneticPr fontId="28" type="noConversion"/>
  <dataValidations count="7">
    <dataValidation type="list" allowBlank="1" showInputMessage="1" showErrorMessage="1" sqref="B37" xr:uid="{00000000-0002-0000-0A00-000000000000}">
      <formula1>$B$206:$B$211</formula1>
    </dataValidation>
    <dataValidation type="list" allowBlank="1" showInputMessage="1" showErrorMessage="1" sqref="B19" xr:uid="{00000000-0002-0000-0A00-000001000000}">
      <formula1>$B$174:$B$181</formula1>
    </dataValidation>
    <dataValidation type="list" allowBlank="1" showInputMessage="1" showErrorMessage="1" sqref="B21:B24" xr:uid="{00000000-0002-0000-0A00-000002000000}">
      <formula1>$B$184:$B$188</formula1>
    </dataValidation>
    <dataValidation type="list" allowBlank="1" showInputMessage="1" showErrorMessage="1" sqref="B35" xr:uid="{00000000-0002-0000-0A00-000003000000}">
      <formula1>$B$198:$B$203</formula1>
    </dataValidation>
    <dataValidation type="list" allowBlank="1" showInputMessage="1" showErrorMessage="1" sqref="B26:B29" xr:uid="{00000000-0002-0000-0A00-000004000000}">
      <formula1>$B$191:$B$195</formula1>
    </dataValidation>
    <dataValidation type="list" allowBlank="1" showInputMessage="1" showErrorMessage="1" sqref="B39" xr:uid="{00000000-0002-0000-0A00-000005000000}">
      <formula1>$B$214:$B$219</formula1>
    </dataValidation>
    <dataValidation type="list" allowBlank="1" showInputMessage="1" showErrorMessage="1" sqref="B41" xr:uid="{00000000-0002-0000-0A00-000006000000}">
      <formula1>$B$222:$B$227</formula1>
    </dataValidation>
  </dataValidations>
  <pageMargins left="0.37" right="0.28999999999999998" top="0.42" bottom="0.41" header="0.5" footer="0.5"/>
  <pageSetup scale="56"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indexed="42"/>
    <pageSetUpPr fitToPage="1"/>
  </sheetPr>
  <dimension ref="A1:V24"/>
  <sheetViews>
    <sheetView zoomScale="67" zoomScaleNormal="67" workbookViewId="0">
      <selection activeCell="K39" sqref="K39"/>
    </sheetView>
  </sheetViews>
  <sheetFormatPr defaultRowHeight="13.2" x14ac:dyDescent="0.25"/>
  <cols>
    <col min="1" max="1" width="33.6640625" customWidth="1"/>
    <col min="2" max="2" width="9.44140625" customWidth="1"/>
    <col min="3" max="3" width="9.6640625" customWidth="1"/>
    <col min="4" max="11" width="10" customWidth="1"/>
    <col min="12" max="12" width="9.5546875" bestFit="1" customWidth="1"/>
    <col min="13" max="13" width="9.33203125" bestFit="1" customWidth="1"/>
    <col min="14" max="18" width="8.6640625" customWidth="1"/>
    <col min="19" max="19" width="15" bestFit="1" customWidth="1"/>
  </cols>
  <sheetData>
    <row r="1" spans="1:22" ht="13.8" x14ac:dyDescent="0.25">
      <c r="A1" s="581" t="s">
        <v>755</v>
      </c>
      <c r="B1" s="581"/>
    </row>
    <row r="3" spans="1:22" x14ac:dyDescent="0.25">
      <c r="C3" s="9" t="s">
        <v>742</v>
      </c>
      <c r="D3" s="582">
        <f>+S12/1000</f>
        <v>8.2790530322527047</v>
      </c>
      <c r="E3" s="583" t="s">
        <v>743</v>
      </c>
    </row>
    <row r="4" spans="1:22" x14ac:dyDescent="0.25">
      <c r="C4" s="1"/>
      <c r="E4" s="582"/>
      <c r="F4" s="583"/>
    </row>
    <row r="5" spans="1:22" x14ac:dyDescent="0.25">
      <c r="C5" s="1"/>
      <c r="E5" s="582"/>
      <c r="F5" s="583"/>
    </row>
    <row r="6" spans="1:22" ht="13.8" thickBot="1" x14ac:dyDescent="0.3">
      <c r="A6" s="641" t="s">
        <v>744</v>
      </c>
      <c r="B6" s="641"/>
    </row>
    <row r="7" spans="1:22" x14ac:dyDescent="0.25">
      <c r="A7" s="631" t="s">
        <v>745</v>
      </c>
      <c r="B7" s="632" t="s">
        <v>685</v>
      </c>
      <c r="C7" s="632" t="s">
        <v>686</v>
      </c>
      <c r="D7" s="632" t="s">
        <v>687</v>
      </c>
      <c r="E7" s="632" t="s">
        <v>711</v>
      </c>
      <c r="F7" s="632" t="s">
        <v>719</v>
      </c>
      <c r="G7" s="632" t="s">
        <v>444</v>
      </c>
      <c r="H7" s="632" t="s">
        <v>445</v>
      </c>
      <c r="I7" s="632" t="s">
        <v>722</v>
      </c>
      <c r="J7" s="632" t="s">
        <v>770</v>
      </c>
      <c r="K7" s="632" t="s">
        <v>790</v>
      </c>
      <c r="L7" s="1005" t="s">
        <v>803</v>
      </c>
      <c r="M7" s="1005" t="s">
        <v>804</v>
      </c>
      <c r="N7" s="1005" t="s">
        <v>946</v>
      </c>
      <c r="O7" s="1005" t="s">
        <v>948</v>
      </c>
      <c r="P7" s="1005" t="s">
        <v>949</v>
      </c>
      <c r="Q7" s="1005" t="s">
        <v>965</v>
      </c>
      <c r="R7" s="1005" t="s">
        <v>966</v>
      </c>
      <c r="S7" s="633" t="s">
        <v>746</v>
      </c>
      <c r="T7" s="10"/>
      <c r="U7" s="10"/>
      <c r="V7" s="10"/>
    </row>
    <row r="8" spans="1:22" x14ac:dyDescent="0.25">
      <c r="A8" s="584" t="s">
        <v>747</v>
      </c>
      <c r="B8" s="585">
        <f>+FTEs!GK61+FTEs!GK63</f>
        <v>0</v>
      </c>
      <c r="C8" s="585">
        <f>+FTEs!GL61+FTEs!GL63</f>
        <v>0</v>
      </c>
      <c r="D8" s="585">
        <f>+FTEs!GM61+FTEs!GM63</f>
        <v>0</v>
      </c>
      <c r="E8" s="585">
        <f>+FTEs!GN61+FTEs!GN63</f>
        <v>0</v>
      </c>
      <c r="F8" s="585">
        <f>+FTEs!GO61+FTEs!GO63</f>
        <v>0</v>
      </c>
      <c r="G8" s="585">
        <f>+FTEs!GP61+FTEs!GP63</f>
        <v>0</v>
      </c>
      <c r="H8" s="585">
        <f>+FTEs!GQ61+FTEs!GQ63</f>
        <v>0</v>
      </c>
      <c r="I8" s="585">
        <f>+FTEs!GR61+FTEs!GR63</f>
        <v>0</v>
      </c>
      <c r="J8" s="585">
        <f>+FTEs!GS61+FTEs!GS63</f>
        <v>943.42069518729954</v>
      </c>
      <c r="K8" s="585">
        <f>+FTEs!GT61+FTEs!GT63</f>
        <v>2875.6323370654059</v>
      </c>
      <c r="L8" s="585">
        <f>+FTEs!GU61+FTEs!GU63</f>
        <v>2763.5410565232569</v>
      </c>
      <c r="M8" s="585">
        <f>+FTEs!GV61+FTEs!GV63</f>
        <v>2661.0276633552903</v>
      </c>
      <c r="N8" s="585">
        <f>+FTEs!GW61+FTEs!GW63</f>
        <v>812.60988110498874</v>
      </c>
      <c r="O8" s="585">
        <f>+FTEs!GX61+FTEs!GX63</f>
        <v>201.80263435079218</v>
      </c>
      <c r="P8" s="585">
        <f>+FTEs!GY61+FTEs!GY63</f>
        <v>205.83868703780806</v>
      </c>
      <c r="Q8" s="585">
        <f>+FTEs!GZ61+FTEs!GZ63</f>
        <v>209.9554607785642</v>
      </c>
      <c r="R8" s="585">
        <f>+FTEs!HA61+FTEs!HA63</f>
        <v>214.1545699941355</v>
      </c>
      <c r="S8" s="586">
        <f>SUM(B8:K8)</f>
        <v>3819.0530322527056</v>
      </c>
    </row>
    <row r="9" spans="1:22" x14ac:dyDescent="0.25">
      <c r="A9" s="584" t="s">
        <v>748</v>
      </c>
      <c r="B9" s="585">
        <f>+FTEs!GK62+'Amortz &amp; Depr'!K10</f>
        <v>0</v>
      </c>
      <c r="C9" s="585">
        <f>+FTEs!GL62+'Amortz &amp; Depr'!K11</f>
        <v>0</v>
      </c>
      <c r="D9" s="585">
        <f>+FTEs!GM62+'Amortz &amp; Depr'!K12</f>
        <v>0</v>
      </c>
      <c r="E9" s="585">
        <f>+FTEs!GN62+'Amortz &amp; Depr'!K13</f>
        <v>0</v>
      </c>
      <c r="F9" s="585">
        <f>+FTEs!GO62+'Amortz &amp; Depr'!K14</f>
        <v>0</v>
      </c>
      <c r="G9" s="585">
        <f>+FTEs!GP62+'Amortz &amp; Depr'!K15</f>
        <v>0</v>
      </c>
      <c r="H9" s="585">
        <f>+FTEs!GQ62+'Amortz &amp; Depr'!K16</f>
        <v>0</v>
      </c>
      <c r="I9" s="585">
        <f>+FTEs!GR62+'Amortz &amp; Depr'!K17</f>
        <v>0</v>
      </c>
      <c r="J9" s="585">
        <f>+FTEs!GS62+'Amortz &amp; Depr'!K18</f>
        <v>0</v>
      </c>
      <c r="K9" s="585">
        <f>+FTEs!GT62+'Amortz &amp; Depr'!$K19</f>
        <v>0</v>
      </c>
      <c r="L9" s="585">
        <f>+FTEs!GU62+'Amortz &amp; Depr'!$K20</f>
        <v>0</v>
      </c>
      <c r="M9" s="585">
        <f>+FTEs!GV62+'Amortz &amp; Depr'!$K21</f>
        <v>0</v>
      </c>
      <c r="N9" s="585">
        <f>+FTEs!GW62+'Amortz &amp; Depr'!$K22</f>
        <v>0</v>
      </c>
      <c r="O9" s="585">
        <f>+FTEs!GX62+'Amortz &amp; Depr'!$K23</f>
        <v>0</v>
      </c>
      <c r="P9" s="585">
        <f>+FTEs!GY62+'Amortz &amp; Depr'!$K24</f>
        <v>0</v>
      </c>
      <c r="Q9" s="585">
        <f>+FTEs!GZ62+'Amortz &amp; Depr'!$K25</f>
        <v>0</v>
      </c>
      <c r="R9" s="585">
        <f>+FTEs!HA62+'Amortz &amp; Depr'!$K26</f>
        <v>0</v>
      </c>
      <c r="S9" s="586">
        <f>SUM(B9:K9)</f>
        <v>0</v>
      </c>
    </row>
    <row r="10" spans="1:22" x14ac:dyDescent="0.25">
      <c r="A10" s="584" t="s">
        <v>749</v>
      </c>
      <c r="B10" s="585">
        <f>+'Income Statement'!E23-'Income Statement'!E14-B20</f>
        <v>0</v>
      </c>
      <c r="C10" s="585">
        <f>+'Income Statement'!F23-'Income Statement'!F14-C20</f>
        <v>0</v>
      </c>
      <c r="D10" s="585">
        <f>+'Income Statement'!G23-'Income Statement'!G14-D20</f>
        <v>0</v>
      </c>
      <c r="E10" s="585">
        <f>+'Income Statement'!H23-'Income Statement'!H14-E20</f>
        <v>0</v>
      </c>
      <c r="F10" s="585">
        <f>+'Income Statement'!I23-'Income Statement'!I14-F20</f>
        <v>0</v>
      </c>
      <c r="G10" s="585">
        <f>+'Income Statement'!J23-'Income Statement'!J14-G20</f>
        <v>0</v>
      </c>
      <c r="H10" s="585">
        <f>+'Income Statement'!K23-'Income Statement'!K14-H20</f>
        <v>0</v>
      </c>
      <c r="I10" s="585">
        <f>+'Income Statement'!L23-'Income Statement'!L14-I20</f>
        <v>0</v>
      </c>
      <c r="J10" s="585">
        <f>+'Income Statement'!M23-'Income Statement'!M14-J20</f>
        <v>3885</v>
      </c>
      <c r="K10" s="585">
        <f>+'Income Statement'!N23-'Income Statement'!N14-K20</f>
        <v>575</v>
      </c>
      <c r="L10" s="585">
        <f>+'Income Statement'!O23-'Income Statement'!O14-L20</f>
        <v>5574.9999999999991</v>
      </c>
      <c r="M10" s="585">
        <f>+'Income Statement'!P23-'Income Statement'!P14-M20</f>
        <v>5075</v>
      </c>
      <c r="N10" s="585">
        <f>+'Income Statement'!Q23-'Income Statement'!Q14-N20</f>
        <v>1550</v>
      </c>
      <c r="O10" s="585">
        <f>+'Income Statement'!R23-'Income Statement'!R14-O20</f>
        <v>1250</v>
      </c>
      <c r="P10" s="585">
        <f>+'Income Statement'!S23-'Income Statement'!S14-P20</f>
        <v>0</v>
      </c>
      <c r="Q10" s="585">
        <f>+'Income Statement'!T23-'Income Statement'!T14-Q20</f>
        <v>0</v>
      </c>
      <c r="R10" s="585">
        <f>+'Income Statement'!U23-'Income Statement'!U14-R20</f>
        <v>0</v>
      </c>
      <c r="S10" s="586">
        <f>SUM(B10:K10)</f>
        <v>4460</v>
      </c>
      <c r="U10" s="638"/>
    </row>
    <row r="11" spans="1:22" ht="13.8" thickBot="1" x14ac:dyDescent="0.3">
      <c r="A11" s="587" t="s">
        <v>750</v>
      </c>
      <c r="B11" s="588">
        <f>+'Amortz &amp; Depr'!D33+'Amortz &amp; Depr'!D10</f>
        <v>0</v>
      </c>
      <c r="C11" s="588">
        <f>+'Amortz &amp; Depr'!D34+'Amortz &amp; Depr'!D11</f>
        <v>0</v>
      </c>
      <c r="D11" s="588">
        <f>+'Amortz &amp; Depr'!D35+'Amortz &amp; Depr'!D12</f>
        <v>0</v>
      </c>
      <c r="E11" s="588">
        <f>+'Amortz &amp; Depr'!D36+'Amortz &amp; Depr'!D13</f>
        <v>0</v>
      </c>
      <c r="F11" s="588">
        <f>+'Amortz &amp; Depr'!D37+'Amortz &amp; Depr'!D14</f>
        <v>0</v>
      </c>
      <c r="G11" s="588">
        <f>+'Amortz &amp; Depr'!D38+'Amortz &amp; Depr'!D15</f>
        <v>0</v>
      </c>
      <c r="H11" s="588">
        <f>+'Amortz &amp; Depr'!D39+'Amortz &amp; Depr'!D16</f>
        <v>0</v>
      </c>
      <c r="I11" s="588">
        <f>+'Amortz &amp; Depr'!D40+'Amortz &amp; Depr'!D17</f>
        <v>0</v>
      </c>
      <c r="J11" s="588">
        <f>+'Amortz &amp; Depr'!D41+'Amortz &amp; Depr'!D18</f>
        <v>0</v>
      </c>
      <c r="K11" s="588">
        <f>+'Amortz &amp; Depr'!$D42+'Amortz &amp; Depr'!$D19</f>
        <v>0</v>
      </c>
      <c r="L11" s="588">
        <f>+'Amortz &amp; Depr'!$D43+'Amortz &amp; Depr'!$D20</f>
        <v>0</v>
      </c>
      <c r="M11" s="588">
        <f>+'Amortz &amp; Depr'!$D44+'Amortz &amp; Depr'!$D21</f>
        <v>0</v>
      </c>
      <c r="N11" s="588">
        <f>+'Amortz &amp; Depr'!$D45+'Amortz &amp; Depr'!$D22</f>
        <v>0</v>
      </c>
      <c r="O11" s="588">
        <f>+'Amortz &amp; Depr'!$D46+'Amortz &amp; Depr'!$D23</f>
        <v>0</v>
      </c>
      <c r="P11" s="588">
        <f>+'Amortz &amp; Depr'!$D47+'Amortz &amp; Depr'!$D24</f>
        <v>0</v>
      </c>
      <c r="Q11" s="588">
        <f>+'Amortz &amp; Depr'!$D48+'Amortz &amp; Depr'!$D25</f>
        <v>0</v>
      </c>
      <c r="R11" s="588">
        <f>+'Amortz &amp; Depr'!$D49+'Amortz &amp; Depr'!$D26</f>
        <v>0</v>
      </c>
      <c r="S11" s="589">
        <f>SUM(B11:K11)</f>
        <v>0</v>
      </c>
    </row>
    <row r="12" spans="1:22" ht="13.8" thickBot="1" x14ac:dyDescent="0.3">
      <c r="A12" s="634" t="s">
        <v>746</v>
      </c>
      <c r="B12" s="635">
        <f t="shared" ref="B12:S12" si="0">SUM(B8:B11)</f>
        <v>0</v>
      </c>
      <c r="C12" s="635">
        <f t="shared" si="0"/>
        <v>0</v>
      </c>
      <c r="D12" s="635">
        <f t="shared" si="0"/>
        <v>0</v>
      </c>
      <c r="E12" s="635">
        <f t="shared" si="0"/>
        <v>0</v>
      </c>
      <c r="F12" s="635">
        <f t="shared" si="0"/>
        <v>0</v>
      </c>
      <c r="G12" s="635">
        <f t="shared" si="0"/>
        <v>0</v>
      </c>
      <c r="H12" s="635">
        <f t="shared" si="0"/>
        <v>0</v>
      </c>
      <c r="I12" s="635">
        <f>SUM(I8:I11)</f>
        <v>0</v>
      </c>
      <c r="J12" s="635">
        <f>SUM(J8:J11)</f>
        <v>4828.4206951872993</v>
      </c>
      <c r="K12" s="635">
        <f>SUM(K8:K11)</f>
        <v>3450.6323370654059</v>
      </c>
      <c r="L12" s="635">
        <f t="shared" ref="L12:R12" si="1">SUM(L8:L11)</f>
        <v>8338.541056523256</v>
      </c>
      <c r="M12" s="635">
        <f t="shared" si="1"/>
        <v>7736.0276633552903</v>
      </c>
      <c r="N12" s="635">
        <f t="shared" si="1"/>
        <v>2362.6098811049887</v>
      </c>
      <c r="O12" s="635">
        <f t="shared" si="1"/>
        <v>1451.8026343507922</v>
      </c>
      <c r="P12" s="635">
        <f t="shared" si="1"/>
        <v>205.83868703780806</v>
      </c>
      <c r="Q12" s="635">
        <f t="shared" si="1"/>
        <v>209.9554607785642</v>
      </c>
      <c r="R12" s="635">
        <f t="shared" si="1"/>
        <v>214.1545699941355</v>
      </c>
      <c r="S12" s="636">
        <f t="shared" si="0"/>
        <v>8279.0530322527047</v>
      </c>
    </row>
    <row r="15" spans="1:22" ht="13.8" thickBot="1" x14ac:dyDescent="0.3"/>
    <row r="16" spans="1:22" x14ac:dyDescent="0.25">
      <c r="A16" s="631" t="s">
        <v>751</v>
      </c>
      <c r="B16" s="632" t="s">
        <v>685</v>
      </c>
      <c r="C16" s="632" t="s">
        <v>686</v>
      </c>
      <c r="D16" s="632" t="s">
        <v>687</v>
      </c>
      <c r="E16" s="632" t="s">
        <v>711</v>
      </c>
      <c r="F16" s="632" t="s">
        <v>719</v>
      </c>
      <c r="G16" s="632" t="s">
        <v>444</v>
      </c>
      <c r="H16" s="632" t="s">
        <v>445</v>
      </c>
      <c r="I16" s="632" t="s">
        <v>722</v>
      </c>
      <c r="J16" s="632" t="s">
        <v>770</v>
      </c>
      <c r="K16" s="632" t="s">
        <v>790</v>
      </c>
      <c r="L16" s="1005" t="s">
        <v>803</v>
      </c>
      <c r="M16" s="1005" t="s">
        <v>804</v>
      </c>
      <c r="N16" s="1005" t="s">
        <v>946</v>
      </c>
      <c r="O16" s="1005" t="s">
        <v>948</v>
      </c>
      <c r="P16" s="1005" t="s">
        <v>949</v>
      </c>
      <c r="Q16" s="1005" t="s">
        <v>965</v>
      </c>
      <c r="R16" s="1005" t="s">
        <v>966</v>
      </c>
      <c r="S16" s="633" t="s">
        <v>746</v>
      </c>
    </row>
    <row r="17" spans="1:19" x14ac:dyDescent="0.25">
      <c r="A17" s="584" t="s">
        <v>747</v>
      </c>
      <c r="B17" s="693">
        <f t="shared" ref="B17:R17" si="2">+B8</f>
        <v>0</v>
      </c>
      <c r="C17" s="693">
        <f t="shared" si="2"/>
        <v>0</v>
      </c>
      <c r="D17" s="585">
        <f t="shared" si="2"/>
        <v>0</v>
      </c>
      <c r="E17" s="585">
        <f t="shared" si="2"/>
        <v>0</v>
      </c>
      <c r="F17" s="585">
        <f t="shared" si="2"/>
        <v>0</v>
      </c>
      <c r="G17" s="585">
        <f t="shared" si="2"/>
        <v>0</v>
      </c>
      <c r="H17" s="585">
        <f t="shared" si="2"/>
        <v>0</v>
      </c>
      <c r="I17" s="585">
        <f t="shared" si="2"/>
        <v>0</v>
      </c>
      <c r="J17" s="585">
        <f t="shared" si="2"/>
        <v>943.42069518729954</v>
      </c>
      <c r="K17" s="585">
        <f t="shared" si="2"/>
        <v>2875.6323370654059</v>
      </c>
      <c r="L17" s="585">
        <f t="shared" si="2"/>
        <v>2763.5410565232569</v>
      </c>
      <c r="M17" s="585">
        <f t="shared" si="2"/>
        <v>2661.0276633552903</v>
      </c>
      <c r="N17" s="585">
        <f t="shared" si="2"/>
        <v>812.60988110498874</v>
      </c>
      <c r="O17" s="585">
        <f t="shared" si="2"/>
        <v>201.80263435079218</v>
      </c>
      <c r="P17" s="585">
        <f t="shared" si="2"/>
        <v>205.83868703780806</v>
      </c>
      <c r="Q17" s="585">
        <f t="shared" si="2"/>
        <v>209.9554607785642</v>
      </c>
      <c r="R17" s="585">
        <f t="shared" si="2"/>
        <v>214.1545699941355</v>
      </c>
      <c r="S17" s="586">
        <f>SUM(B17:K17)</f>
        <v>3819.0530322527056</v>
      </c>
    </row>
    <row r="18" spans="1:19" x14ac:dyDescent="0.25">
      <c r="A18" s="584" t="s">
        <v>752</v>
      </c>
      <c r="B18" s="693">
        <f>+'Amortz &amp; Depr'!D151</f>
        <v>0</v>
      </c>
      <c r="C18" s="693">
        <f>+'Amortz &amp; Depr'!E151</f>
        <v>0</v>
      </c>
      <c r="D18" s="585">
        <f>+'Amortz &amp; Depr'!F151</f>
        <v>0</v>
      </c>
      <c r="E18" s="585">
        <f>+'Amortz &amp; Depr'!G151</f>
        <v>0</v>
      </c>
      <c r="F18" s="585">
        <f>+'Amortz &amp; Depr'!H151</f>
        <v>0</v>
      </c>
      <c r="G18" s="585">
        <f>+'Amortz &amp; Depr'!I151</f>
        <v>0</v>
      </c>
      <c r="H18" s="585">
        <f>+'Amortz &amp; Depr'!J151</f>
        <v>0</v>
      </c>
      <c r="I18" s="585">
        <f>+'Amortz &amp; Depr'!K151</f>
        <v>0</v>
      </c>
      <c r="J18" s="585">
        <f>+'Amortz &amp; Depr'!L151</f>
        <v>0</v>
      </c>
      <c r="K18" s="585">
        <f>+'Amortz &amp; Depr'!M151</f>
        <v>0</v>
      </c>
      <c r="L18" s="585">
        <f>+'Amortz &amp; Depr'!N151</f>
        <v>0</v>
      </c>
      <c r="M18" s="585">
        <f>+'Amortz &amp; Depr'!O151</f>
        <v>0</v>
      </c>
      <c r="N18" s="585">
        <f>+'Amortz &amp; Depr'!P151</f>
        <v>0</v>
      </c>
      <c r="O18" s="585">
        <f>+'Amortz &amp; Depr'!Q151</f>
        <v>0</v>
      </c>
      <c r="P18" s="585">
        <f>+'Amortz &amp; Depr'!R151</f>
        <v>0</v>
      </c>
      <c r="Q18" s="585">
        <f>+'Amortz &amp; Depr'!S151</f>
        <v>0</v>
      </c>
      <c r="R18" s="585">
        <f>+'Amortz &amp; Depr'!T151</f>
        <v>0</v>
      </c>
      <c r="S18" s="586">
        <f>SUM(B18:K18)</f>
        <v>0</v>
      </c>
    </row>
    <row r="19" spans="1:19" x14ac:dyDescent="0.25">
      <c r="A19" s="584" t="s">
        <v>749</v>
      </c>
      <c r="B19" s="693">
        <f>+B10</f>
        <v>0</v>
      </c>
      <c r="C19" s="693">
        <f t="shared" ref="C19:R19" si="3">+C10</f>
        <v>0</v>
      </c>
      <c r="D19" s="585">
        <f t="shared" si="3"/>
        <v>0</v>
      </c>
      <c r="E19" s="585">
        <f t="shared" si="3"/>
        <v>0</v>
      </c>
      <c r="F19" s="585">
        <f t="shared" si="3"/>
        <v>0</v>
      </c>
      <c r="G19" s="585">
        <f t="shared" si="3"/>
        <v>0</v>
      </c>
      <c r="H19" s="585">
        <f t="shared" si="3"/>
        <v>0</v>
      </c>
      <c r="I19" s="585">
        <f t="shared" si="3"/>
        <v>0</v>
      </c>
      <c r="J19" s="585">
        <f t="shared" si="3"/>
        <v>3885</v>
      </c>
      <c r="K19" s="585">
        <f t="shared" si="3"/>
        <v>575</v>
      </c>
      <c r="L19" s="585">
        <f t="shared" si="3"/>
        <v>5574.9999999999991</v>
      </c>
      <c r="M19" s="585">
        <f t="shared" si="3"/>
        <v>5075</v>
      </c>
      <c r="N19" s="585">
        <f t="shared" si="3"/>
        <v>1550</v>
      </c>
      <c r="O19" s="585">
        <f t="shared" si="3"/>
        <v>1250</v>
      </c>
      <c r="P19" s="585">
        <f t="shared" si="3"/>
        <v>0</v>
      </c>
      <c r="Q19" s="585">
        <f t="shared" si="3"/>
        <v>0</v>
      </c>
      <c r="R19" s="585">
        <f t="shared" si="3"/>
        <v>0</v>
      </c>
      <c r="S19" s="586">
        <f>SUM(B19:K19)</f>
        <v>4460</v>
      </c>
    </row>
    <row r="20" spans="1:19" ht="13.8" thickBot="1" x14ac:dyDescent="0.3">
      <c r="A20" s="587" t="s">
        <v>753</v>
      </c>
      <c r="B20" s="694">
        <f>+'Amortz &amp; Depr'!D75+'Amortz &amp; Depr'!D99</f>
        <v>0</v>
      </c>
      <c r="C20" s="694">
        <f>+'Amortz &amp; Depr'!E75+'Amortz &amp; Depr'!E99</f>
        <v>0</v>
      </c>
      <c r="D20" s="588">
        <f>+'Amortz &amp; Depr'!F75+'Amortz &amp; Depr'!F99</f>
        <v>0</v>
      </c>
      <c r="E20" s="588">
        <f>+'Amortz &amp; Depr'!G75+'Amortz &amp; Depr'!G99</f>
        <v>0</v>
      </c>
      <c r="F20" s="588">
        <f>+'Amortz &amp; Depr'!H75+'Amortz &amp; Depr'!H99</f>
        <v>0</v>
      </c>
      <c r="G20" s="588">
        <f>+'Amortz &amp; Depr'!I75+'Amortz &amp; Depr'!I99</f>
        <v>0</v>
      </c>
      <c r="H20" s="588">
        <f>+'Amortz &amp; Depr'!J75+'Amortz &amp; Depr'!J99</f>
        <v>0</v>
      </c>
      <c r="I20" s="588">
        <f>+'Amortz &amp; Depr'!K75+'Amortz &amp; Depr'!K99</f>
        <v>0</v>
      </c>
      <c r="J20" s="588">
        <f>+'Amortz &amp; Depr'!L75+'Amortz &amp; Depr'!L99</f>
        <v>0</v>
      </c>
      <c r="K20" s="588">
        <f>+'Amortz &amp; Depr'!M75+'Amortz &amp; Depr'!M99</f>
        <v>0</v>
      </c>
      <c r="L20" s="588">
        <f>+'Amortz &amp; Depr'!N75+'Amortz &amp; Depr'!N99</f>
        <v>0</v>
      </c>
      <c r="M20" s="588">
        <f>+'Amortz &amp; Depr'!O75+'Amortz &amp; Depr'!O99</f>
        <v>0</v>
      </c>
      <c r="N20" s="588">
        <f>+'Amortz &amp; Depr'!P75+'Amortz &amp; Depr'!P99</f>
        <v>0</v>
      </c>
      <c r="O20" s="588">
        <f>+'Amortz &amp; Depr'!Q75+'Amortz &amp; Depr'!Q99</f>
        <v>0</v>
      </c>
      <c r="P20" s="588">
        <f>+'Amortz &amp; Depr'!R75+'Amortz &amp; Depr'!R99</f>
        <v>0</v>
      </c>
      <c r="Q20" s="588">
        <f>+'Amortz &amp; Depr'!S75+'Amortz &amp; Depr'!S99</f>
        <v>0</v>
      </c>
      <c r="R20" s="588">
        <f>+'Amortz &amp; Depr'!T75+'Amortz &amp; Depr'!T99</f>
        <v>0</v>
      </c>
      <c r="S20" s="589">
        <f>SUM(B20:K20)</f>
        <v>0</v>
      </c>
    </row>
    <row r="21" spans="1:19" ht="13.8" thickBot="1" x14ac:dyDescent="0.3">
      <c r="A21" s="634" t="s">
        <v>754</v>
      </c>
      <c r="B21" s="695">
        <f t="shared" ref="B21:J21" si="4">SUM(B17:B20)</f>
        <v>0</v>
      </c>
      <c r="C21" s="695">
        <f t="shared" si="4"/>
        <v>0</v>
      </c>
      <c r="D21" s="635">
        <f t="shared" si="4"/>
        <v>0</v>
      </c>
      <c r="E21" s="635">
        <f t="shared" si="4"/>
        <v>0</v>
      </c>
      <c r="F21" s="635">
        <f t="shared" si="4"/>
        <v>0</v>
      </c>
      <c r="G21" s="635">
        <f t="shared" si="4"/>
        <v>0</v>
      </c>
      <c r="H21" s="635">
        <f t="shared" si="4"/>
        <v>0</v>
      </c>
      <c r="I21" s="635">
        <f t="shared" si="4"/>
        <v>0</v>
      </c>
      <c r="J21" s="635">
        <f t="shared" si="4"/>
        <v>4828.4206951872993</v>
      </c>
      <c r="K21" s="635">
        <f t="shared" ref="K21:R21" si="5">SUM(K17:K20)</f>
        <v>3450.6323370654059</v>
      </c>
      <c r="L21" s="635">
        <f t="shared" si="5"/>
        <v>8338.541056523256</v>
      </c>
      <c r="M21" s="635">
        <f t="shared" si="5"/>
        <v>7736.0276633552903</v>
      </c>
      <c r="N21" s="635">
        <f t="shared" si="5"/>
        <v>2362.6098811049887</v>
      </c>
      <c r="O21" s="635">
        <f t="shared" si="5"/>
        <v>1451.8026343507922</v>
      </c>
      <c r="P21" s="635">
        <f t="shared" si="5"/>
        <v>205.83868703780806</v>
      </c>
      <c r="Q21" s="635">
        <f t="shared" si="5"/>
        <v>209.9554607785642</v>
      </c>
      <c r="R21" s="635">
        <f t="shared" si="5"/>
        <v>214.1545699941355</v>
      </c>
      <c r="S21" s="636">
        <f>SUM(S17:S20)</f>
        <v>8279.0530322527047</v>
      </c>
    </row>
    <row r="23" spans="1:19" x14ac:dyDescent="0.25">
      <c r="A23" s="638" t="s">
        <v>776</v>
      </c>
      <c r="B23" s="638"/>
    </row>
    <row r="24" spans="1:19" x14ac:dyDescent="0.25">
      <c r="A24" s="638" t="s">
        <v>775</v>
      </c>
      <c r="B24" s="638"/>
    </row>
  </sheetData>
  <phoneticPr fontId="18" type="noConversion"/>
  <pageMargins left="0.75" right="0.75" top="1" bottom="1" header="0.5" footer="0.5"/>
  <pageSetup scale="90" orientation="landscape" r:id="rId1"/>
  <headerFooter alignWithMargins="0">
    <oddFooter>&amp;L&amp;F  &amp;A
Prepared by Eunme Jelso&amp;R&amp;D  &amp;T</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indexed="42"/>
  </sheetPr>
  <dimension ref="B1:AA38"/>
  <sheetViews>
    <sheetView topLeftCell="E1" zoomScale="90" workbookViewId="0">
      <selection activeCell="S29" sqref="S29"/>
    </sheetView>
  </sheetViews>
  <sheetFormatPr defaultRowHeight="13.2" x14ac:dyDescent="0.25"/>
  <cols>
    <col min="2" max="2" width="45.33203125" customWidth="1"/>
    <col min="3" max="3" width="16" customWidth="1"/>
    <col min="4" max="4" width="15.109375" customWidth="1"/>
    <col min="5" max="5" width="15.5546875" customWidth="1"/>
    <col min="6" max="6" width="14.6640625" customWidth="1"/>
    <col min="8" max="8" width="11.44140625" customWidth="1"/>
    <col min="16" max="19" width="10.44140625" bestFit="1" customWidth="1"/>
    <col min="20" max="21" width="11.5546875" bestFit="1" customWidth="1"/>
  </cols>
  <sheetData>
    <row r="1" spans="2:27" x14ac:dyDescent="0.25">
      <c r="B1" s="1" t="s">
        <v>763</v>
      </c>
    </row>
    <row r="2" spans="2:27" ht="13.8" thickBot="1" x14ac:dyDescent="0.3"/>
    <row r="3" spans="2:27" x14ac:dyDescent="0.25">
      <c r="B3" s="599" t="s">
        <v>761</v>
      </c>
      <c r="C3" s="600" t="s">
        <v>685</v>
      </c>
      <c r="D3" s="600" t="s">
        <v>686</v>
      </c>
      <c r="E3" s="600" t="s">
        <v>687</v>
      </c>
      <c r="F3" s="600" t="s">
        <v>711</v>
      </c>
      <c r="G3" s="600" t="s">
        <v>719</v>
      </c>
      <c r="H3" s="600" t="s">
        <v>444</v>
      </c>
      <c r="I3" s="640" t="s">
        <v>445</v>
      </c>
      <c r="J3" s="640" t="s">
        <v>722</v>
      </c>
      <c r="K3" s="640" t="s">
        <v>770</v>
      </c>
      <c r="L3" s="600" t="s">
        <v>790</v>
      </c>
      <c r="M3" s="600" t="s">
        <v>803</v>
      </c>
      <c r="N3" s="600" t="s">
        <v>804</v>
      </c>
      <c r="O3" s="600" t="s">
        <v>946</v>
      </c>
      <c r="P3" s="600" t="s">
        <v>948</v>
      </c>
      <c r="Q3" s="600" t="s">
        <v>949</v>
      </c>
      <c r="R3" s="600" t="s">
        <v>965</v>
      </c>
      <c r="S3" s="600" t="s">
        <v>966</v>
      </c>
      <c r="T3" s="600" t="s">
        <v>967</v>
      </c>
      <c r="U3" s="600" t="s">
        <v>968</v>
      </c>
      <c r="V3" s="600" t="s">
        <v>979</v>
      </c>
      <c r="W3" s="600" t="s">
        <v>980</v>
      </c>
      <c r="X3" s="600" t="s">
        <v>981</v>
      </c>
      <c r="Y3" s="600" t="s">
        <v>982</v>
      </c>
      <c r="Z3" s="600" t="s">
        <v>983</v>
      </c>
      <c r="AA3" s="600" t="s">
        <v>984</v>
      </c>
    </row>
    <row r="4" spans="2:27" x14ac:dyDescent="0.25">
      <c r="B4" s="601" t="s">
        <v>762</v>
      </c>
      <c r="C4" s="642">
        <f>+'Income Statement'!E8/1000</f>
        <v>0</v>
      </c>
      <c r="D4" s="642">
        <f>+'Income Statement'!F8/1000</f>
        <v>0</v>
      </c>
      <c r="E4" s="642">
        <f>+'Income Statement'!G8/1000</f>
        <v>0</v>
      </c>
      <c r="F4" s="642">
        <f>+'Income Statement'!H8/1000</f>
        <v>0</v>
      </c>
      <c r="G4" s="642">
        <f>+'Income Statement'!I8/1000</f>
        <v>0</v>
      </c>
      <c r="H4" s="642">
        <f>+'Income Statement'!J8/1000</f>
        <v>0</v>
      </c>
      <c r="I4" s="642">
        <f>+'Income Statement'!K8/1000</f>
        <v>0</v>
      </c>
      <c r="J4" s="697">
        <f>+'Income Statement'!L8/1000</f>
        <v>0</v>
      </c>
      <c r="K4" s="642">
        <f>+'Income Statement'!M8/1000</f>
        <v>0</v>
      </c>
      <c r="L4" s="642">
        <f>+'Income Statement'!N8/1000</f>
        <v>0</v>
      </c>
      <c r="M4" s="642">
        <f>+'Income Statement'!O8/1000</f>
        <v>0</v>
      </c>
      <c r="N4" s="642">
        <f>+'Income Statement'!P8/1000</f>
        <v>0</v>
      </c>
      <c r="O4" s="642">
        <f>+'Income Statement'!Q8/1000</f>
        <v>0</v>
      </c>
      <c r="P4" s="642">
        <f>+'Income Statement'!R8/1000</f>
        <v>16.667203805107203</v>
      </c>
      <c r="Q4" s="642">
        <f>+'Income Statement'!S8/1000</f>
        <v>38.568729451259294</v>
      </c>
      <c r="R4" s="642">
        <f>+'Income Statement'!T8/1000</f>
        <v>73.523969476654173</v>
      </c>
      <c r="S4" s="642">
        <f>+'Income Statement'!U8/1000</f>
        <v>110.31899500952554</v>
      </c>
      <c r="T4" s="642">
        <f>+'Income Statement'!V8/1000</f>
        <v>137.34105381475931</v>
      </c>
      <c r="U4" s="642">
        <f>+'Income Statement'!W8/1000</f>
        <v>152.86510012769503</v>
      </c>
      <c r="V4" s="642">
        <f>+'Income Statement'!X8/1000</f>
        <v>165.74456703901544</v>
      </c>
      <c r="W4" s="642">
        <f>+'Income Statement'!Y8/1000</f>
        <v>190.18987253450209</v>
      </c>
      <c r="X4" s="642">
        <f>+'Income Statement'!Z8/1000</f>
        <v>198.82688370596603</v>
      </c>
      <c r="Y4" s="642">
        <f>+'Income Statement'!AA8/1000</f>
        <v>239.30803722850069</v>
      </c>
      <c r="Z4" s="642">
        <f>+'Income Statement'!AB8/1000</f>
        <v>268.53502227712966</v>
      </c>
      <c r="AA4" s="642">
        <f>+'Income Statement'!AC8/1000</f>
        <v>308.70314307628644</v>
      </c>
    </row>
    <row r="5" spans="2:27" x14ac:dyDescent="0.25">
      <c r="B5" s="601" t="s">
        <v>764</v>
      </c>
      <c r="C5" s="643">
        <f>(+'Income Statement'!E9)/1000</f>
        <v>0</v>
      </c>
      <c r="D5" s="643">
        <f>(+'Income Statement'!F9)/1000</f>
        <v>0</v>
      </c>
      <c r="E5" s="643">
        <f>(+'Income Statement'!G9)/1000</f>
        <v>0</v>
      </c>
      <c r="F5" s="643">
        <f>(+'Income Statement'!H9)/1000</f>
        <v>0</v>
      </c>
      <c r="G5" s="643">
        <f>(+'Income Statement'!I9)/1000</f>
        <v>0</v>
      </c>
      <c r="H5" s="643">
        <f>(+'Income Statement'!J9)/1000</f>
        <v>0</v>
      </c>
      <c r="I5" s="643">
        <f>(+'Income Statement'!K9)/1000</f>
        <v>0</v>
      </c>
      <c r="J5" s="698">
        <f>(+'Income Statement'!L9)/1000</f>
        <v>0</v>
      </c>
      <c r="K5" s="643">
        <f>(+'Income Statement'!M9)/1000</f>
        <v>0</v>
      </c>
      <c r="L5" s="643">
        <f>(+'Income Statement'!N9)/1000</f>
        <v>0</v>
      </c>
      <c r="M5" s="643">
        <f>(+'Income Statement'!O9)/1000</f>
        <v>0</v>
      </c>
      <c r="N5" s="643">
        <f>(+'Income Statement'!P9)/1000</f>
        <v>0</v>
      </c>
      <c r="O5" s="643">
        <f>(+'Income Statement'!Q9)/1000</f>
        <v>0</v>
      </c>
      <c r="P5" s="643">
        <f>(+'Income Statement'!R9)/1000</f>
        <v>4.9100681479910397</v>
      </c>
      <c r="Q5" s="643">
        <f>(+'Income Statement'!S9)/1000</f>
        <v>11.698892563884183</v>
      </c>
      <c r="R5" s="643">
        <f>(+'Income Statement'!T9)/1000</f>
        <v>22.368383574590457</v>
      </c>
      <c r="S5" s="643">
        <f>(+'Income Statement'!U9)/1000</f>
        <v>33.659483422105239</v>
      </c>
      <c r="T5" s="643">
        <f>(+'Income Statement'!V9)/1000</f>
        <v>42.194943300629532</v>
      </c>
      <c r="U5" s="643">
        <f>(+'Income Statement'!W9)/1000</f>
        <v>47.12870436360236</v>
      </c>
      <c r="V5" s="643">
        <f>(+'Income Statement'!X9)/1000</f>
        <v>53.019586338411642</v>
      </c>
      <c r="W5" s="643">
        <f>(+'Income Statement'!Y9)/1000</f>
        <v>59.927682727453764</v>
      </c>
      <c r="X5" s="643">
        <f>(+'Income Statement'!Z9)/1000</f>
        <v>64.900019454034947</v>
      </c>
      <c r="Y5" s="643">
        <f>(+'Income Statement'!AA9)/1000</f>
        <v>73.945751130874427</v>
      </c>
      <c r="Z5" s="643">
        <f>(+'Income Statement'!AB9)/1000</f>
        <v>86.050724936225592</v>
      </c>
      <c r="AA5" s="643">
        <f>(+'Income Statement'!AC9)/1000</f>
        <v>99.177233202950092</v>
      </c>
    </row>
    <row r="6" spans="2:27" x14ac:dyDescent="0.25">
      <c r="B6" s="601" t="s">
        <v>286</v>
      </c>
      <c r="C6" s="643">
        <f t="shared" ref="C6" si="0">(+C4-C5)</f>
        <v>0</v>
      </c>
      <c r="D6" s="643">
        <f t="shared" ref="D6:AA6" si="1">(+D4-D5)</f>
        <v>0</v>
      </c>
      <c r="E6" s="643">
        <f t="shared" si="1"/>
        <v>0</v>
      </c>
      <c r="F6" s="643">
        <f t="shared" si="1"/>
        <v>0</v>
      </c>
      <c r="G6" s="643">
        <f t="shared" si="1"/>
        <v>0</v>
      </c>
      <c r="H6" s="643">
        <f t="shared" si="1"/>
        <v>0</v>
      </c>
      <c r="I6" s="643">
        <f t="shared" si="1"/>
        <v>0</v>
      </c>
      <c r="J6" s="698">
        <f t="shared" si="1"/>
        <v>0</v>
      </c>
      <c r="K6" s="643">
        <f t="shared" si="1"/>
        <v>0</v>
      </c>
      <c r="L6" s="643">
        <f t="shared" si="1"/>
        <v>0</v>
      </c>
      <c r="M6" s="643">
        <f t="shared" si="1"/>
        <v>0</v>
      </c>
      <c r="N6" s="643">
        <f t="shared" si="1"/>
        <v>0</v>
      </c>
      <c r="O6" s="643">
        <f t="shared" si="1"/>
        <v>0</v>
      </c>
      <c r="P6" s="643">
        <f t="shared" si="1"/>
        <v>11.757135657116162</v>
      </c>
      <c r="Q6" s="643">
        <f t="shared" si="1"/>
        <v>26.869836887375111</v>
      </c>
      <c r="R6" s="643">
        <f t="shared" si="1"/>
        <v>51.15558590206372</v>
      </c>
      <c r="S6" s="643">
        <f t="shared" si="1"/>
        <v>76.659511587420297</v>
      </c>
      <c r="T6" s="643">
        <f t="shared" si="1"/>
        <v>95.146110514129774</v>
      </c>
      <c r="U6" s="643">
        <f t="shared" si="1"/>
        <v>105.73639576409266</v>
      </c>
      <c r="V6" s="643">
        <f t="shared" si="1"/>
        <v>112.72498070060379</v>
      </c>
      <c r="W6" s="643">
        <f t="shared" si="1"/>
        <v>130.26218980704832</v>
      </c>
      <c r="X6" s="643">
        <f t="shared" si="1"/>
        <v>133.92686425193108</v>
      </c>
      <c r="Y6" s="643">
        <f t="shared" si="1"/>
        <v>165.36228609762628</v>
      </c>
      <c r="Z6" s="643">
        <f t="shared" si="1"/>
        <v>182.48429734090405</v>
      </c>
      <c r="AA6" s="643">
        <f t="shared" si="1"/>
        <v>209.52590987333633</v>
      </c>
    </row>
    <row r="7" spans="2:27" x14ac:dyDescent="0.25">
      <c r="B7" s="601" t="s">
        <v>765</v>
      </c>
      <c r="C7" s="644" t="str">
        <f t="shared" ref="C7" si="2">IF(C4=0, "n/a", C6/C4)</f>
        <v>n/a</v>
      </c>
      <c r="D7" s="644" t="str">
        <f t="shared" ref="D7:AA7" si="3">IF(D4=0, "n/a", D6/D4)</f>
        <v>n/a</v>
      </c>
      <c r="E7" s="644" t="str">
        <f t="shared" si="3"/>
        <v>n/a</v>
      </c>
      <c r="F7" s="644" t="str">
        <f t="shared" si="3"/>
        <v>n/a</v>
      </c>
      <c r="G7" s="644" t="str">
        <f t="shared" si="3"/>
        <v>n/a</v>
      </c>
      <c r="H7" s="644" t="str">
        <f t="shared" si="3"/>
        <v>n/a</v>
      </c>
      <c r="I7" s="644" t="str">
        <f t="shared" si="3"/>
        <v>n/a</v>
      </c>
      <c r="J7" s="699" t="str">
        <f t="shared" si="3"/>
        <v>n/a</v>
      </c>
      <c r="K7" s="644" t="str">
        <f t="shared" si="3"/>
        <v>n/a</v>
      </c>
      <c r="L7" s="644" t="str">
        <f t="shared" si="3"/>
        <v>n/a</v>
      </c>
      <c r="M7" s="644" t="str">
        <f t="shared" si="3"/>
        <v>n/a</v>
      </c>
      <c r="N7" s="644" t="str">
        <f t="shared" si="3"/>
        <v>n/a</v>
      </c>
      <c r="O7" s="644" t="str">
        <f t="shared" si="3"/>
        <v>n/a</v>
      </c>
      <c r="P7" s="644">
        <f t="shared" si="3"/>
        <v>0.70540540540540542</v>
      </c>
      <c r="Q7" s="644">
        <f t="shared" si="3"/>
        <v>0.69667415208301076</v>
      </c>
      <c r="R7" s="644">
        <f t="shared" si="3"/>
        <v>0.69576746557878633</v>
      </c>
      <c r="S7" s="644">
        <f t="shared" si="3"/>
        <v>0.69488950276243089</v>
      </c>
      <c r="T7" s="644">
        <f t="shared" si="3"/>
        <v>0.69277253866465482</v>
      </c>
      <c r="U7" s="644">
        <f t="shared" si="3"/>
        <v>0.69169742260179945</v>
      </c>
      <c r="V7" s="644">
        <f t="shared" si="3"/>
        <v>0.68011267406471854</v>
      </c>
      <c r="W7" s="644">
        <f t="shared" si="3"/>
        <v>0.68490602612616835</v>
      </c>
      <c r="X7" s="644">
        <f t="shared" si="3"/>
        <v>0.67358529065912454</v>
      </c>
      <c r="Y7" s="644">
        <f t="shared" si="3"/>
        <v>0.69100180676226886</v>
      </c>
      <c r="Z7" s="644">
        <f t="shared" si="3"/>
        <v>0.67955492655471672</v>
      </c>
      <c r="AA7" s="644">
        <f t="shared" si="3"/>
        <v>0.67872943496904559</v>
      </c>
    </row>
    <row r="8" spans="2:27" x14ac:dyDescent="0.25">
      <c r="B8" s="602" t="s">
        <v>766</v>
      </c>
      <c r="C8" s="643">
        <f>(+'Income Statement'!E23+'Income Statement'!E33)/1000</f>
        <v>0</v>
      </c>
      <c r="D8" s="643">
        <f>(+'Income Statement'!F23+'Income Statement'!F33)/1000</f>
        <v>0</v>
      </c>
      <c r="E8" s="643">
        <f>(+'Income Statement'!G23+'Income Statement'!G33)/1000</f>
        <v>0</v>
      </c>
      <c r="F8" s="643">
        <f>(+'Income Statement'!H23+'Income Statement'!H33)/1000</f>
        <v>0</v>
      </c>
      <c r="G8" s="643">
        <f>(+'Income Statement'!I23+'Income Statement'!I33)/1000</f>
        <v>0</v>
      </c>
      <c r="H8" s="643">
        <f>(+'Income Statement'!J23+'Income Statement'!J33)/1000</f>
        <v>0</v>
      </c>
      <c r="I8" s="643">
        <f>(+'Income Statement'!K23+'Income Statement'!K33)/1000</f>
        <v>0</v>
      </c>
      <c r="J8" s="698">
        <f>(+'Income Statement'!L23+'Income Statement'!L33)/1000</f>
        <v>0</v>
      </c>
      <c r="K8" s="643">
        <f>(+'Income Statement'!M23+'Income Statement'!M33)/1000</f>
        <v>5.0284206951872994</v>
      </c>
      <c r="L8" s="643">
        <f>(+'Income Statement'!N23+'Income Statement'!N33)/1000</f>
        <v>4.4506323370654064</v>
      </c>
      <c r="M8" s="643">
        <f>(+'Income Statement'!O23+'Income Statement'!O33)/1000</f>
        <v>10.838541056523257</v>
      </c>
      <c r="N8" s="643">
        <f>(+'Income Statement'!P23+'Income Statement'!P33)/1000</f>
        <v>11.236027663355289</v>
      </c>
      <c r="O8" s="643">
        <f>(+'Income Statement'!Q23+'Income Statement'!Q33)/1000</f>
        <v>6.8626098811049889</v>
      </c>
      <c r="P8" s="643">
        <f>(+'Income Statement'!R23+'Income Statement'!R33)/1000</f>
        <v>4.7518123028427217</v>
      </c>
      <c r="Q8" s="643">
        <f>(+'Income Statement'!S23+'Income Statement'!S33)/1000</f>
        <v>3.9000758171604755</v>
      </c>
      <c r="R8" s="643">
        <f>(+'Income Statement'!T23+'Income Statement'!T33)/1000</f>
        <v>3.5333869113583396</v>
      </c>
      <c r="S8" s="643">
        <f>(+'Income Statement'!U23+'Income Statement'!U33)/1000</f>
        <v>3.6998964801655947</v>
      </c>
      <c r="T8" s="643">
        <f>(+'Income Statement'!V23+'Income Statement'!V33)/1000</f>
        <v>4.1905766300596854</v>
      </c>
      <c r="U8" s="643">
        <f>(+'Income Statement'!W23+'Income Statement'!W33)/1000</f>
        <v>4.4743782169204094</v>
      </c>
      <c r="V8" s="643">
        <f>(+'Income Statement'!X23+'Income Statement'!X33)/1000</f>
        <v>3.9834022067022778</v>
      </c>
      <c r="W8" s="643">
        <f>(+'Income Statement'!Y23+'Income Statement'!Y33)/1000</f>
        <v>4.4234177056210378</v>
      </c>
      <c r="X8" s="643">
        <f>(+'Income Statement'!Z23+'Income Statement'!Z33)/1000</f>
        <v>4.5788839067073877</v>
      </c>
      <c r="Y8" s="643">
        <f>(+'Income Statement'!AA23+'Income Statement'!AA33)/1000</f>
        <v>5.3075446701130122</v>
      </c>
      <c r="Z8" s="643">
        <f>(+'Income Statement'!AB23+'Income Statement'!AB33)/1000</f>
        <v>5.8336304009883335</v>
      </c>
      <c r="AA8" s="643">
        <f>(+'Income Statement'!AC23+'Income Statement'!AC33)/1000</f>
        <v>6.5566565753731547</v>
      </c>
    </row>
    <row r="9" spans="2:27" x14ac:dyDescent="0.25">
      <c r="B9" s="603" t="s">
        <v>660</v>
      </c>
      <c r="C9" s="645">
        <f t="shared" ref="C9" si="4">+C6-C8</f>
        <v>0</v>
      </c>
      <c r="D9" s="645">
        <f t="shared" ref="D9:T9" si="5">+D6-D8</f>
        <v>0</v>
      </c>
      <c r="E9" s="645">
        <f t="shared" si="5"/>
        <v>0</v>
      </c>
      <c r="F9" s="645">
        <f t="shared" si="5"/>
        <v>0</v>
      </c>
      <c r="G9" s="645">
        <f t="shared" si="5"/>
        <v>0</v>
      </c>
      <c r="H9" s="645">
        <f t="shared" si="5"/>
        <v>0</v>
      </c>
      <c r="I9" s="645">
        <f t="shared" si="5"/>
        <v>0</v>
      </c>
      <c r="J9" s="700">
        <f t="shared" si="5"/>
        <v>0</v>
      </c>
      <c r="K9" s="645">
        <f t="shared" si="5"/>
        <v>-5.0284206951872994</v>
      </c>
      <c r="L9" s="645">
        <f t="shared" si="5"/>
        <v>-4.4506323370654064</v>
      </c>
      <c r="M9" s="645">
        <f t="shared" si="5"/>
        <v>-10.838541056523257</v>
      </c>
      <c r="N9" s="645">
        <f t="shared" si="5"/>
        <v>-11.236027663355289</v>
      </c>
      <c r="O9" s="645">
        <f t="shared" si="5"/>
        <v>-6.8626098811049889</v>
      </c>
      <c r="P9" s="645">
        <f t="shared" si="5"/>
        <v>7.0053233542734406</v>
      </c>
      <c r="Q9" s="645">
        <f t="shared" si="5"/>
        <v>22.969761070214638</v>
      </c>
      <c r="R9" s="645">
        <f t="shared" si="5"/>
        <v>47.622198990705378</v>
      </c>
      <c r="S9" s="645">
        <f t="shared" si="5"/>
        <v>72.959615107254706</v>
      </c>
      <c r="T9" s="645">
        <f t="shared" si="5"/>
        <v>90.955533884070093</v>
      </c>
      <c r="U9" s="645">
        <f>+U6-U8</f>
        <v>101.26201754717225</v>
      </c>
      <c r="V9" s="645">
        <f t="shared" ref="V9:AA9" si="6">+V6-V8</f>
        <v>108.74157849390151</v>
      </c>
      <c r="W9" s="645">
        <f t="shared" si="6"/>
        <v>125.83877210142728</v>
      </c>
      <c r="X9" s="645">
        <f t="shared" si="6"/>
        <v>129.3479803452237</v>
      </c>
      <c r="Y9" s="645">
        <f t="shared" si="6"/>
        <v>160.05474142751328</v>
      </c>
      <c r="Z9" s="645">
        <f t="shared" si="6"/>
        <v>176.65066693991571</v>
      </c>
      <c r="AA9" s="645">
        <f t="shared" si="6"/>
        <v>202.96925329796318</v>
      </c>
    </row>
    <row r="10" spans="2:27" ht="13.8" thickBot="1" x14ac:dyDescent="0.3">
      <c r="B10" s="604" t="s">
        <v>677</v>
      </c>
      <c r="C10" s="646">
        <f>(+'CashFlow &amp; NPV'!C26)/1000</f>
        <v>0</v>
      </c>
      <c r="D10" s="646">
        <f>(+'CashFlow &amp; NPV'!D26)/1000</f>
        <v>0</v>
      </c>
      <c r="E10" s="646">
        <f>(+'CashFlow &amp; NPV'!E26)/1000</f>
        <v>0</v>
      </c>
      <c r="F10" s="646">
        <f>(+'CashFlow &amp; NPV'!F26)/1000</f>
        <v>0</v>
      </c>
      <c r="G10" s="646">
        <f>(+'CashFlow &amp; NPV'!G26)/1000</f>
        <v>0</v>
      </c>
      <c r="H10" s="646">
        <f>(+'CashFlow &amp; NPV'!H26)/1000</f>
        <v>0</v>
      </c>
      <c r="I10" s="646">
        <f>(+'CashFlow &amp; NPV'!I26)/1000</f>
        <v>0</v>
      </c>
      <c r="J10" s="701">
        <f>(+'CashFlow &amp; NPV'!J26)/1000</f>
        <v>0</v>
      </c>
      <c r="K10" s="646">
        <f>(+'CashFlow &amp; NPV'!K26)/1000</f>
        <v>-3.620462900534855</v>
      </c>
      <c r="L10" s="646">
        <f>(+'CashFlow &amp; NPV'!L26)/1000</f>
        <v>-3.3557767821473163</v>
      </c>
      <c r="M10" s="646">
        <f>(+'CashFlow &amp; NPV'!M26)/1000</f>
        <v>-8.1722599566185341</v>
      </c>
      <c r="N10" s="646">
        <f>(+'CashFlow &amp; NPV'!N26)/1000</f>
        <v>-8.4719648581698888</v>
      </c>
      <c r="O10" s="646">
        <f>(+'CashFlow &amp; NPV'!O26)/1000</f>
        <v>-5.1744078503531616</v>
      </c>
      <c r="P10" s="646">
        <f>(+'CashFlow &amp; NPV'!P26)/1000</f>
        <v>-11.648523068490306</v>
      </c>
      <c r="Q10" s="646">
        <f>(+'CashFlow &amp; NPV'!Q26)/1000</f>
        <v>13.354130376793067</v>
      </c>
      <c r="R10" s="646">
        <f>(+'CashFlow &amp; NPV'!R26)/1000</f>
        <v>29.462667769884913</v>
      </c>
      <c r="S10" s="646">
        <f>(+'CashFlow &amp; NPV'!S26)/1000</f>
        <v>48.208300075742031</v>
      </c>
      <c r="T10" s="646">
        <f>(+'CashFlow &amp; NPV'!T26)/1000</f>
        <v>63.614769968529274</v>
      </c>
      <c r="U10" s="646">
        <f>(+'CashFlow &amp; NPV'!U26)/1000</f>
        <v>73.592711799886658</v>
      </c>
      <c r="V10" s="646">
        <f>(+'CashFlow &amp; NPV'!V26)/1000</f>
        <v>79.516693603876661</v>
      </c>
      <c r="W10" s="646">
        <f>(+'CashFlow &amp; NPV'!W26)/1000</f>
        <v>90.513822665146563</v>
      </c>
      <c r="X10" s="646">
        <f>(+'CashFlow &amp; NPV'!X26)/1000</f>
        <v>95.81689171605791</v>
      </c>
      <c r="Y10" s="646">
        <f>(+'CashFlow &amp; NPV'!Y26)/1000</f>
        <v>113.59553789968615</v>
      </c>
      <c r="Z10" s="646">
        <f>(+'CashFlow &amp; NPV'!Z26)/1000</f>
        <v>127.44584732015369</v>
      </c>
      <c r="AA10" s="646">
        <f>(+'CashFlow &amp; NPV'!AA26)/1000</f>
        <v>145.49080722011917</v>
      </c>
    </row>
    <row r="11" spans="2:27" x14ac:dyDescent="0.25">
      <c r="B11" s="650"/>
      <c r="C11" s="649"/>
      <c r="D11" s="649"/>
      <c r="E11" s="649"/>
      <c r="F11" s="649"/>
      <c r="G11" s="649"/>
      <c r="H11" s="649"/>
      <c r="I11" s="649"/>
      <c r="J11" s="649"/>
      <c r="K11" s="649"/>
      <c r="L11" s="649"/>
      <c r="M11" s="649"/>
    </row>
    <row r="12" spans="2:27" x14ac:dyDescent="0.25">
      <c r="B12" s="648" t="s">
        <v>777</v>
      </c>
    </row>
    <row r="13" spans="2:27" ht="13.8" thickBot="1" x14ac:dyDescent="0.3"/>
    <row r="14" spans="2:27" x14ac:dyDescent="0.25">
      <c r="B14" s="590" t="s">
        <v>333</v>
      </c>
      <c r="C14" s="605" t="str">
        <f>+'CashFlow &amp; NPV'!B31</f>
        <v>4</v>
      </c>
      <c r="D14" s="443"/>
      <c r="H14" s="3404" t="s">
        <v>27</v>
      </c>
      <c r="I14" s="3404"/>
      <c r="J14" s="3404"/>
    </row>
    <row r="15" spans="2:27" x14ac:dyDescent="0.25">
      <c r="B15" s="591" t="s">
        <v>334</v>
      </c>
      <c r="C15" s="3" t="str">
        <f>+'CashFlow &amp; NPV'!B32</f>
        <v>2</v>
      </c>
      <c r="D15" s="593"/>
      <c r="F15" s="3401" t="s">
        <v>715</v>
      </c>
      <c r="G15" s="107" t="s">
        <v>24</v>
      </c>
      <c r="H15" s="139">
        <v>0.2</v>
      </c>
      <c r="I15" s="139">
        <v>0.25</v>
      </c>
      <c r="J15" s="140">
        <v>0.3</v>
      </c>
    </row>
    <row r="16" spans="2:27" x14ac:dyDescent="0.25">
      <c r="B16" s="610" t="s">
        <v>28</v>
      </c>
      <c r="C16" s="611">
        <f>+'CashFlow &amp; NPV'!B33</f>
        <v>0.15000000000000002</v>
      </c>
      <c r="D16" s="612"/>
      <c r="F16" s="3402"/>
      <c r="G16" s="107" t="s">
        <v>25</v>
      </c>
      <c r="H16" s="141">
        <v>0.15</v>
      </c>
      <c r="I16" s="141">
        <v>0.2</v>
      </c>
      <c r="J16" s="139">
        <v>0.25</v>
      </c>
    </row>
    <row r="17" spans="2:10" x14ac:dyDescent="0.25">
      <c r="B17" s="606" t="s">
        <v>760</v>
      </c>
      <c r="C17" s="607">
        <f>+'CashFlow &amp; NPV'!B34</f>
        <v>0.02</v>
      </c>
      <c r="D17" s="608"/>
      <c r="F17" s="3403"/>
      <c r="G17" s="107" t="s">
        <v>26</v>
      </c>
      <c r="H17" s="142">
        <v>0.1</v>
      </c>
      <c r="I17" s="141">
        <v>0.15</v>
      </c>
      <c r="J17" s="139">
        <v>0.2</v>
      </c>
    </row>
    <row r="18" spans="2:10" x14ac:dyDescent="0.25">
      <c r="B18" s="609" t="str">
        <f>+'CashFlow &amp; NPV'!A35</f>
        <v>Additional # of years of benefit beyond FY'34</v>
      </c>
      <c r="C18" s="613">
        <f>+'CashFlow &amp; NPV'!B35</f>
        <v>0</v>
      </c>
      <c r="D18" s="614"/>
      <c r="F18" s="108"/>
      <c r="G18" s="108"/>
      <c r="H18" s="108" t="s">
        <v>26</v>
      </c>
      <c r="I18" s="108" t="s">
        <v>25</v>
      </c>
      <c r="J18" s="108" t="s">
        <v>24</v>
      </c>
    </row>
    <row r="19" spans="2:10" x14ac:dyDescent="0.25">
      <c r="B19" s="594"/>
      <c r="C19" s="3"/>
      <c r="D19" s="593"/>
      <c r="F19" s="143"/>
      <c r="G19" s="477"/>
      <c r="H19" s="3405" t="s">
        <v>716</v>
      </c>
      <c r="I19" s="3405"/>
      <c r="J19" s="3405"/>
    </row>
    <row r="20" spans="2:10" x14ac:dyDescent="0.25">
      <c r="B20" s="639" t="s">
        <v>761</v>
      </c>
      <c r="C20" s="625" t="s">
        <v>735</v>
      </c>
      <c r="D20" s="626" t="s">
        <v>736</v>
      </c>
    </row>
    <row r="21" spans="2:10" x14ac:dyDescent="0.25">
      <c r="B21" s="627" t="s">
        <v>680</v>
      </c>
      <c r="C21" s="702">
        <f>(+'CashFlow &amp; NPV'!B38)/1000</f>
        <v>138.69159793460588</v>
      </c>
      <c r="D21" s="703">
        <f>(+'CashFlow &amp; NPV'!D38)/1000</f>
        <v>138.69159793460588</v>
      </c>
    </row>
    <row r="22" spans="2:10" x14ac:dyDescent="0.25">
      <c r="B22" s="628" t="s">
        <v>29</v>
      </c>
      <c r="C22" s="704">
        <f>(+'CashFlow &amp; NPV'!B39)/1000</f>
        <v>0</v>
      </c>
      <c r="D22" s="705">
        <f>(+'CashFlow &amp; NPV'!D39)/1000</f>
        <v>0</v>
      </c>
    </row>
    <row r="23" spans="2:10" x14ac:dyDescent="0.25">
      <c r="B23" s="628" t="s">
        <v>681</v>
      </c>
      <c r="C23" s="706">
        <f>SUM(C21:C22)</f>
        <v>138.69159793460588</v>
      </c>
      <c r="D23" s="707">
        <f>SUM(D21:D22)</f>
        <v>138.69159793460588</v>
      </c>
    </row>
    <row r="24" spans="2:10" x14ac:dyDescent="0.25">
      <c r="B24" s="591" t="s">
        <v>30</v>
      </c>
      <c r="C24" s="592">
        <f>+'CashFlow &amp; NPV'!B41</f>
        <v>4.7433400904648044</v>
      </c>
      <c r="D24" s="595"/>
    </row>
    <row r="25" spans="2:10" ht="13.8" thickBot="1" x14ac:dyDescent="0.3">
      <c r="B25" s="596" t="s">
        <v>31</v>
      </c>
      <c r="C25" s="597">
        <f>+'CashFlow &amp; NPV'!B42</f>
        <v>0.43954787309274734</v>
      </c>
      <c r="D25" s="598">
        <f>'CashFlow &amp; NPV'!D42</f>
        <v>0.44620510793275536</v>
      </c>
    </row>
    <row r="28" spans="2:10" ht="13.8" thickBot="1" x14ac:dyDescent="0.3"/>
    <row r="29" spans="2:10" ht="13.8" thickBot="1" x14ac:dyDescent="0.3">
      <c r="B29" s="619" t="s">
        <v>769</v>
      </c>
      <c r="C29" s="637">
        <f>+'CashFlow &amp; NPV'!C45</f>
        <v>3668.4558749300318</v>
      </c>
      <c r="D29" s="620"/>
      <c r="E29" s="620"/>
      <c r="F29" s="621"/>
    </row>
    <row r="30" spans="2:10" ht="26.4" x14ac:dyDescent="0.25">
      <c r="B30" s="622" t="s">
        <v>679</v>
      </c>
      <c r="C30" s="623" t="s">
        <v>680</v>
      </c>
      <c r="D30" s="624" t="s">
        <v>710</v>
      </c>
      <c r="E30" s="629" t="s">
        <v>768</v>
      </c>
      <c r="F30" s="630" t="s">
        <v>767</v>
      </c>
    </row>
    <row r="31" spans="2:10" x14ac:dyDescent="0.25">
      <c r="B31" s="615">
        <f>B32-0.01</f>
        <v>0.13</v>
      </c>
      <c r="C31" s="708">
        <f>(+'CashFlow &amp; NPV'!C48)/1000</f>
        <v>45.637139044082971</v>
      </c>
      <c r="D31" s="708">
        <f>(+'CashFlow &amp; NPV'!E48)/1000</f>
        <v>0</v>
      </c>
      <c r="E31" s="709">
        <f>+C31+D31</f>
        <v>45.637139044082971</v>
      </c>
      <c r="F31" s="703">
        <f>(+'CashFlow &amp; NPV'!I48)/1000</f>
        <v>45.637139044082971</v>
      </c>
    </row>
    <row r="32" spans="2:10" x14ac:dyDescent="0.25">
      <c r="B32" s="615">
        <f>B33-0.01</f>
        <v>0.14000000000000001</v>
      </c>
      <c r="C32" s="708">
        <f>(+'CashFlow &amp; NPV'!C49)/1000</f>
        <v>40.778186250937949</v>
      </c>
      <c r="D32" s="708">
        <f>(+'CashFlow &amp; NPV'!E49)/1000</f>
        <v>0</v>
      </c>
      <c r="E32" s="709">
        <f t="shared" ref="E32:E38" si="7">+C32+D32</f>
        <v>40.778186250937949</v>
      </c>
      <c r="F32" s="703">
        <f>(+'CashFlow &amp; NPV'!I49)/1000</f>
        <v>40.778186250937949</v>
      </c>
    </row>
    <row r="33" spans="2:6" x14ac:dyDescent="0.25">
      <c r="B33" s="616">
        <f>C16</f>
        <v>0.15000000000000002</v>
      </c>
      <c r="C33" s="708">
        <f>(+'CashFlow &amp; NPV'!C50)/1000</f>
        <v>36.386852993516605</v>
      </c>
      <c r="D33" s="708">
        <f>(+'CashFlow &amp; NPV'!E50)/1000</f>
        <v>0</v>
      </c>
      <c r="E33" s="710">
        <f t="shared" si="7"/>
        <v>36.386852993516605</v>
      </c>
      <c r="F33" s="703">
        <f>(+'CashFlow &amp; NPV'!I50)/1000</f>
        <v>36.386852993516605</v>
      </c>
    </row>
    <row r="34" spans="2:6" x14ac:dyDescent="0.25">
      <c r="B34" s="617">
        <f>B33+0.01</f>
        <v>0.16000000000000003</v>
      </c>
      <c r="C34" s="708">
        <f>(+'CashFlow &amp; NPV'!C51)/1000</f>
        <v>32.415912052738911</v>
      </c>
      <c r="D34" s="708">
        <f>(+'CashFlow &amp; NPV'!E51)/1000</f>
        <v>0</v>
      </c>
      <c r="E34" s="710">
        <f t="shared" si="7"/>
        <v>32.415912052738911</v>
      </c>
      <c r="F34" s="703">
        <f>(+'CashFlow &amp; NPV'!I51)/1000</f>
        <v>32.415912052738911</v>
      </c>
    </row>
    <row r="35" spans="2:6" x14ac:dyDescent="0.25">
      <c r="B35" s="617">
        <f>B34+0.01</f>
        <v>0.17000000000000004</v>
      </c>
      <c r="C35" s="708">
        <f>(+'CashFlow &amp; NPV'!C52)/1000</f>
        <v>28.823228836108957</v>
      </c>
      <c r="D35" s="708">
        <f>(+'CashFlow &amp; NPV'!E52)/1000</f>
        <v>0</v>
      </c>
      <c r="E35" s="710">
        <f t="shared" si="7"/>
        <v>28.823228836108957</v>
      </c>
      <c r="F35" s="703">
        <f>(+'CashFlow &amp; NPV'!I52)/1000</f>
        <v>28.823228836108957</v>
      </c>
    </row>
    <row r="36" spans="2:6" x14ac:dyDescent="0.25">
      <c r="B36" s="617">
        <f>B35+0.01</f>
        <v>0.18000000000000005</v>
      </c>
      <c r="C36" s="708">
        <f>(+'CashFlow &amp; NPV'!C53)/1000</f>
        <v>25.57117495983292</v>
      </c>
      <c r="D36" s="708">
        <f>(+'CashFlow &amp; NPV'!E53)/1000</f>
        <v>0</v>
      </c>
      <c r="E36" s="710">
        <f t="shared" si="7"/>
        <v>25.57117495983292</v>
      </c>
      <c r="F36" s="703">
        <f>(+'CashFlow &amp; NPV'!I53)/1000</f>
        <v>25.57117495983292</v>
      </c>
    </row>
    <row r="37" spans="2:6" x14ac:dyDescent="0.25">
      <c r="B37" s="617">
        <f>B36+0.01</f>
        <v>0.19000000000000006</v>
      </c>
      <c r="C37" s="708">
        <f>(+'CashFlow &amp; NPV'!C54)/1000</f>
        <v>22.626113691331167</v>
      </c>
      <c r="D37" s="708">
        <f>(+'CashFlow &amp; NPV'!E54)/1000</f>
        <v>0</v>
      </c>
      <c r="E37" s="710">
        <f t="shared" si="7"/>
        <v>22.626113691331167</v>
      </c>
      <c r="F37" s="703">
        <f>(+'CashFlow &amp; NPV'!I54)/1000</f>
        <v>22.626113691331167</v>
      </c>
    </row>
    <row r="38" spans="2:6" ht="13.8" thickBot="1" x14ac:dyDescent="0.3">
      <c r="B38" s="618">
        <f>B37+0.01</f>
        <v>0.20000000000000007</v>
      </c>
      <c r="C38" s="711">
        <f>(+'CashFlow &amp; NPV'!C55)/1000</f>
        <v>19.957947919572746</v>
      </c>
      <c r="D38" s="711">
        <f>(+'CashFlow &amp; NPV'!E55)/1000</f>
        <v>0</v>
      </c>
      <c r="E38" s="712">
        <f t="shared" si="7"/>
        <v>19.957947919572746</v>
      </c>
      <c r="F38" s="713">
        <f>(+'CashFlow &amp; NPV'!I55)/1000</f>
        <v>19.957947919572746</v>
      </c>
    </row>
  </sheetData>
  <mergeCells count="3">
    <mergeCell ref="F15:F17"/>
    <mergeCell ref="H14:J14"/>
    <mergeCell ref="H19:J19"/>
  </mergeCells>
  <phoneticPr fontId="18"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F107"/>
  <sheetViews>
    <sheetView tabSelected="1" zoomScale="90" zoomScaleNormal="90" workbookViewId="0">
      <pane xSplit="1" ySplit="4" topLeftCell="J6" activePane="bottomRight" state="frozen"/>
      <selection pane="topRight" activeCell="B1" sqref="B1"/>
      <selection pane="bottomLeft" activeCell="A6" sqref="A6"/>
      <selection pane="bottomRight" activeCell="Z23" sqref="Z23"/>
    </sheetView>
  </sheetViews>
  <sheetFormatPr defaultColWidth="8.88671875" defaultRowHeight="12" outlineLevelRow="1" x14ac:dyDescent="0.25"/>
  <cols>
    <col min="1" max="1" width="32.33203125" style="1031" bestFit="1" customWidth="1"/>
    <col min="2" max="2" width="9.21875" style="1031" bestFit="1" customWidth="1"/>
    <col min="3" max="3" width="8.109375" style="1031" customWidth="1"/>
    <col min="4" max="4" width="10.109375" style="1031" bestFit="1" customWidth="1"/>
    <col min="5" max="5" width="8.109375" style="1031" customWidth="1"/>
    <col min="6" max="6" width="11.109375" style="1031" bestFit="1" customWidth="1"/>
    <col min="7" max="7" width="9.44140625" style="1031" customWidth="1"/>
    <col min="8" max="8" width="10.88671875" style="1031" bestFit="1" customWidth="1"/>
    <col min="9" max="9" width="13.33203125" style="1031" customWidth="1"/>
    <col min="10" max="10" width="10.33203125" style="1031" bestFit="1" customWidth="1"/>
    <col min="11" max="30" width="11.33203125" style="1031" customWidth="1"/>
    <col min="31" max="16384" width="8.88671875" style="1031"/>
  </cols>
  <sheetData>
    <row r="1" spans="1:30" x14ac:dyDescent="0.25">
      <c r="J1" s="1032"/>
      <c r="K1" s="1032"/>
      <c r="L1" s="1032"/>
      <c r="M1" s="1032"/>
      <c r="N1" s="1032"/>
      <c r="O1" s="1032"/>
      <c r="P1" s="1032"/>
      <c r="Q1" s="1032"/>
      <c r="R1" s="1032"/>
      <c r="S1" s="1032"/>
      <c r="T1" s="1032"/>
      <c r="U1" s="1032"/>
      <c r="V1" s="1032"/>
      <c r="W1" s="1032"/>
      <c r="X1" s="1032"/>
      <c r="Y1" s="1032"/>
      <c r="Z1" s="1032"/>
      <c r="AA1" s="1032"/>
      <c r="AB1" s="1032"/>
      <c r="AC1" s="1032"/>
      <c r="AD1" s="1032"/>
    </row>
    <row r="2" spans="1:30" x14ac:dyDescent="0.25">
      <c r="H2" s="1031" t="s">
        <v>985</v>
      </c>
      <c r="I2" s="1031" t="s">
        <v>986</v>
      </c>
      <c r="J2" s="1032"/>
      <c r="K2" s="1032"/>
      <c r="L2" s="1032"/>
      <c r="M2" s="1032"/>
      <c r="N2" s="1032"/>
      <c r="O2" s="1032" t="s">
        <v>985</v>
      </c>
      <c r="P2" s="1032"/>
      <c r="Q2" s="1032" t="s">
        <v>986</v>
      </c>
      <c r="R2" s="1032"/>
      <c r="S2" s="1032"/>
      <c r="T2" s="1032"/>
      <c r="U2" s="1032"/>
      <c r="V2" s="1032"/>
      <c r="W2" s="1032"/>
      <c r="X2" s="1032"/>
      <c r="Y2" s="1032"/>
      <c r="Z2" s="1032"/>
      <c r="AA2" s="1032"/>
      <c r="AB2" s="1032"/>
      <c r="AC2" s="1032"/>
      <c r="AD2" s="1032"/>
    </row>
    <row r="3" spans="1:30" ht="12.6" thickBot="1" x14ac:dyDescent="0.3">
      <c r="J3" s="1033" t="s">
        <v>722</v>
      </c>
      <c r="K3" s="1033" t="s">
        <v>770</v>
      </c>
      <c r="L3" s="1033" t="s">
        <v>790</v>
      </c>
      <c r="M3" s="1033" t="s">
        <v>803</v>
      </c>
      <c r="N3" s="1033" t="s">
        <v>804</v>
      </c>
      <c r="O3" s="1034" t="s">
        <v>946</v>
      </c>
      <c r="P3" s="1033" t="s">
        <v>948</v>
      </c>
      <c r="Q3" s="1034" t="s">
        <v>949</v>
      </c>
      <c r="R3" s="1035" t="s">
        <v>965</v>
      </c>
      <c r="S3" s="1033" t="s">
        <v>966</v>
      </c>
      <c r="T3" s="1033" t="s">
        <v>967</v>
      </c>
      <c r="U3" s="1033" t="s">
        <v>968</v>
      </c>
      <c r="V3" s="1033" t="s">
        <v>979</v>
      </c>
      <c r="W3" s="1033" t="s">
        <v>980</v>
      </c>
      <c r="X3" s="1033" t="s">
        <v>981</v>
      </c>
      <c r="Y3" s="1033" t="s">
        <v>982</v>
      </c>
      <c r="Z3" s="1033" t="s">
        <v>983</v>
      </c>
      <c r="AA3" s="1033" t="s">
        <v>984</v>
      </c>
      <c r="AB3" s="1033" t="s">
        <v>2511</v>
      </c>
      <c r="AC3" s="1033" t="s">
        <v>2512</v>
      </c>
      <c r="AD3" s="1033" t="s">
        <v>2513</v>
      </c>
    </row>
    <row r="4" spans="1:30" x14ac:dyDescent="0.25">
      <c r="J4" s="1036"/>
      <c r="K4" s="1036"/>
      <c r="L4" s="1036"/>
      <c r="M4" s="1036"/>
      <c r="N4" s="1036"/>
      <c r="O4" s="1036"/>
      <c r="P4" s="1036"/>
      <c r="Q4" s="1036"/>
      <c r="R4" s="1036"/>
      <c r="S4" s="1036"/>
      <c r="T4" s="1036"/>
      <c r="U4" s="1036"/>
      <c r="V4" s="1036"/>
      <c r="W4" s="1036"/>
      <c r="X4" s="1036"/>
      <c r="Y4" s="1036"/>
      <c r="Z4" s="1036"/>
      <c r="AA4" s="1036"/>
      <c r="AB4" s="1036"/>
      <c r="AC4" s="1036"/>
      <c r="AD4" s="1036"/>
    </row>
    <row r="5" spans="1:30" x14ac:dyDescent="0.25">
      <c r="A5" s="1031" t="s">
        <v>999</v>
      </c>
      <c r="J5" s="1037">
        <f>SUM(J8:J13)</f>
        <v>9540000</v>
      </c>
      <c r="K5" s="1038">
        <f>J5*(1+$J$6)</f>
        <v>9730800</v>
      </c>
      <c r="L5" s="1038">
        <f t="shared" ref="L5:N5" si="0">K5*(1+$J$6)</f>
        <v>9925416</v>
      </c>
      <c r="M5" s="1038">
        <f t="shared" si="0"/>
        <v>10123924.32</v>
      </c>
      <c r="N5" s="1038">
        <f t="shared" si="0"/>
        <v>10326402.806400001</v>
      </c>
      <c r="O5" s="1038">
        <f t="shared" ref="O5:AD5" si="1">N5*(1+$J$6)</f>
        <v>10532930.862528002</v>
      </c>
      <c r="P5" s="1038">
        <f t="shared" si="1"/>
        <v>10743589.479778562</v>
      </c>
      <c r="Q5" s="1038">
        <f t="shared" si="1"/>
        <v>10958461.269374134</v>
      </c>
      <c r="R5" s="1038">
        <f t="shared" si="1"/>
        <v>11177630.494761616</v>
      </c>
      <c r="S5" s="1038">
        <f t="shared" si="1"/>
        <v>11401183.104656849</v>
      </c>
      <c r="T5" s="1038">
        <f t="shared" si="1"/>
        <v>11629206.766749986</v>
      </c>
      <c r="U5" s="1038">
        <f t="shared" si="1"/>
        <v>11861790.902084986</v>
      </c>
      <c r="V5" s="1038">
        <f t="shared" si="1"/>
        <v>12099026.720126685</v>
      </c>
      <c r="W5" s="1038">
        <f t="shared" si="1"/>
        <v>12341007.254529219</v>
      </c>
      <c r="X5" s="1038">
        <f t="shared" si="1"/>
        <v>12587827.399619803</v>
      </c>
      <c r="Y5" s="1038">
        <f t="shared" si="1"/>
        <v>12839583.9476122</v>
      </c>
      <c r="Z5" s="1038">
        <f t="shared" si="1"/>
        <v>13096375.626564445</v>
      </c>
      <c r="AA5" s="1038">
        <f t="shared" si="1"/>
        <v>13358303.139095735</v>
      </c>
      <c r="AB5" s="1038">
        <f t="shared" si="1"/>
        <v>13625469.20187765</v>
      </c>
      <c r="AC5" s="1038">
        <f t="shared" si="1"/>
        <v>13897978.585915202</v>
      </c>
      <c r="AD5" s="1038">
        <f t="shared" si="1"/>
        <v>14175938.157633506</v>
      </c>
    </row>
    <row r="6" spans="1:30" x14ac:dyDescent="0.25">
      <c r="A6" s="1031" t="s">
        <v>969</v>
      </c>
      <c r="J6" s="1039">
        <v>0.02</v>
      </c>
      <c r="K6" s="1040"/>
      <c r="L6" s="1040"/>
      <c r="M6" s="1040"/>
      <c r="N6" s="1040"/>
      <c r="O6" s="1040"/>
      <c r="P6" s="1040"/>
      <c r="Q6" s="1040"/>
      <c r="R6" s="1040"/>
      <c r="S6" s="1040"/>
      <c r="T6" s="1040"/>
      <c r="U6" s="1040"/>
      <c r="V6" s="1040"/>
      <c r="W6" s="1040"/>
      <c r="X6" s="1040"/>
      <c r="Y6" s="1040"/>
      <c r="Z6" s="1040"/>
      <c r="AA6" s="1040"/>
      <c r="AB6" s="1040"/>
      <c r="AC6" s="1040"/>
      <c r="AD6" s="1040"/>
    </row>
    <row r="7" spans="1:30" x14ac:dyDescent="0.25">
      <c r="A7" s="1062"/>
      <c r="B7" s="3074" t="s">
        <v>2515</v>
      </c>
      <c r="C7" s="3074" t="s">
        <v>2516</v>
      </c>
      <c r="D7" s="3074" t="s">
        <v>2517</v>
      </c>
      <c r="E7" s="3074" t="s">
        <v>2516</v>
      </c>
      <c r="F7" s="3074" t="s">
        <v>2518</v>
      </c>
      <c r="G7" s="3074" t="s">
        <v>2516</v>
      </c>
      <c r="H7" s="3074"/>
      <c r="I7" s="3074"/>
      <c r="J7" s="1062"/>
      <c r="K7" s="1063"/>
      <c r="L7" s="1063"/>
      <c r="M7" s="1063"/>
      <c r="N7" s="1063"/>
      <c r="O7" s="1063"/>
      <c r="P7" s="1063"/>
      <c r="Q7" s="1063"/>
      <c r="R7" s="1063"/>
      <c r="S7" s="1063"/>
      <c r="T7" s="1063"/>
      <c r="U7" s="1063"/>
      <c r="V7" s="1063"/>
      <c r="W7" s="1063"/>
      <c r="X7" s="1063"/>
      <c r="Y7" s="1063"/>
      <c r="Z7" s="1063"/>
      <c r="AA7" s="1063"/>
      <c r="AB7" s="1063"/>
      <c r="AC7" s="1063"/>
      <c r="AD7" s="1063"/>
    </row>
    <row r="8" spans="1:30" x14ac:dyDescent="0.25">
      <c r="A8" s="1028" t="s">
        <v>6</v>
      </c>
      <c r="B8" s="3095">
        <v>14000000</v>
      </c>
      <c r="C8" s="3096">
        <v>0.04</v>
      </c>
      <c r="D8" s="3095">
        <v>1000000</v>
      </c>
      <c r="E8" s="3096">
        <v>0.14000000000000001</v>
      </c>
      <c r="F8" s="3095">
        <v>2000000</v>
      </c>
      <c r="G8" s="1060">
        <v>0.04</v>
      </c>
      <c r="H8" s="1028"/>
      <c r="I8" s="1028"/>
      <c r="J8" s="1029">
        <f>SUM(B8*C8)+(D8*E8)+(F8*G8)</f>
        <v>780000</v>
      </c>
      <c r="K8" s="1029">
        <f>J8*(1+$J$6)</f>
        <v>795600</v>
      </c>
      <c r="L8" s="1029">
        <f t="shared" ref="L8:N8" si="2">K8*(1+$J$6)</f>
        <v>811512</v>
      </c>
      <c r="M8" s="1029">
        <f t="shared" si="2"/>
        <v>827742.24</v>
      </c>
      <c r="N8" s="1029">
        <f t="shared" si="2"/>
        <v>844297.08479999995</v>
      </c>
      <c r="O8" s="1029">
        <f t="shared" ref="O8:AD8" si="3">N8*(1+$J$6)</f>
        <v>861183.02649600001</v>
      </c>
      <c r="P8" s="1029">
        <f t="shared" si="3"/>
        <v>878406.68702592002</v>
      </c>
      <c r="Q8" s="1029">
        <f t="shared" si="3"/>
        <v>895974.82076643838</v>
      </c>
      <c r="R8" s="1029">
        <f t="shared" si="3"/>
        <v>913894.3171817672</v>
      </c>
      <c r="S8" s="1029">
        <f t="shared" si="3"/>
        <v>932172.20352540258</v>
      </c>
      <c r="T8" s="1029">
        <f t="shared" si="3"/>
        <v>950815.6475959107</v>
      </c>
      <c r="U8" s="1029">
        <f t="shared" si="3"/>
        <v>969831.96054782893</v>
      </c>
      <c r="V8" s="1029">
        <f t="shared" si="3"/>
        <v>989228.59975878557</v>
      </c>
      <c r="W8" s="1029">
        <f t="shared" si="3"/>
        <v>1009013.1717539612</v>
      </c>
      <c r="X8" s="1029">
        <f t="shared" si="3"/>
        <v>1029193.4351890405</v>
      </c>
      <c r="Y8" s="1029">
        <f t="shared" si="3"/>
        <v>1049777.3038928213</v>
      </c>
      <c r="Z8" s="1029">
        <f t="shared" si="3"/>
        <v>1070772.8499706779</v>
      </c>
      <c r="AA8" s="1029">
        <f t="shared" si="3"/>
        <v>1092188.3069700915</v>
      </c>
      <c r="AB8" s="1029">
        <f t="shared" si="3"/>
        <v>1114032.0731094934</v>
      </c>
      <c r="AC8" s="1029">
        <f t="shared" si="3"/>
        <v>1136312.7145716832</v>
      </c>
      <c r="AD8" s="1029">
        <f t="shared" si="3"/>
        <v>1159038.9688631168</v>
      </c>
    </row>
    <row r="9" spans="1:30" x14ac:dyDescent="0.25">
      <c r="A9" s="1028" t="s">
        <v>1004</v>
      </c>
      <c r="B9" s="3095">
        <v>6000000</v>
      </c>
      <c r="C9" s="3096">
        <v>0.27</v>
      </c>
      <c r="D9" s="3095">
        <v>1000000</v>
      </c>
      <c r="E9" s="3096">
        <v>0.14000000000000001</v>
      </c>
      <c r="F9" s="3095">
        <v>500000</v>
      </c>
      <c r="G9" s="3096">
        <v>0.04</v>
      </c>
      <c r="H9" s="1028"/>
      <c r="I9" s="1028"/>
      <c r="J9" s="1029">
        <f t="shared" ref="J9:J13" si="4">SUM(B9*C9)+(D9*E9)+(F9*G9)</f>
        <v>1780000</v>
      </c>
      <c r="K9" s="1029">
        <f t="shared" ref="K9:N9" si="5">J9*(1+$J$6)</f>
        <v>1815600</v>
      </c>
      <c r="L9" s="1029">
        <f t="shared" si="5"/>
        <v>1851912</v>
      </c>
      <c r="M9" s="1029">
        <f t="shared" si="5"/>
        <v>1888950.24</v>
      </c>
      <c r="N9" s="1029">
        <f t="shared" si="5"/>
        <v>1926729.2448</v>
      </c>
      <c r="O9" s="1029">
        <f t="shared" ref="O9:AD9" si="6">N9*(1+$J$6)</f>
        <v>1965263.8296960001</v>
      </c>
      <c r="P9" s="1029">
        <f t="shared" si="6"/>
        <v>2004569.1062899202</v>
      </c>
      <c r="Q9" s="1029">
        <f t="shared" si="6"/>
        <v>2044660.4884157185</v>
      </c>
      <c r="R9" s="1029">
        <f t="shared" si="6"/>
        <v>2085553.6981840329</v>
      </c>
      <c r="S9" s="1029">
        <f t="shared" si="6"/>
        <v>2127264.7721477137</v>
      </c>
      <c r="T9" s="1029">
        <f t="shared" si="6"/>
        <v>2169810.0675906679</v>
      </c>
      <c r="U9" s="1029">
        <f t="shared" si="6"/>
        <v>2213206.2689424814</v>
      </c>
      <c r="V9" s="1029">
        <f t="shared" si="6"/>
        <v>2257470.3943213308</v>
      </c>
      <c r="W9" s="1029">
        <f t="shared" si="6"/>
        <v>2302619.8022077573</v>
      </c>
      <c r="X9" s="1029">
        <f t="shared" si="6"/>
        <v>2348672.1982519124</v>
      </c>
      <c r="Y9" s="1029">
        <f t="shared" si="6"/>
        <v>2395645.6422169507</v>
      </c>
      <c r="Z9" s="1029">
        <f t="shared" si="6"/>
        <v>2443558.5550612896</v>
      </c>
      <c r="AA9" s="1029">
        <f t="shared" si="6"/>
        <v>2492429.7261625156</v>
      </c>
      <c r="AB9" s="1029">
        <f t="shared" si="6"/>
        <v>2542278.3206857657</v>
      </c>
      <c r="AC9" s="1029">
        <f t="shared" si="6"/>
        <v>2593123.8870994812</v>
      </c>
      <c r="AD9" s="1029">
        <f t="shared" si="6"/>
        <v>2644986.364841471</v>
      </c>
    </row>
    <row r="10" spans="1:30" x14ac:dyDescent="0.25">
      <c r="A10" s="1028" t="s">
        <v>1006</v>
      </c>
      <c r="B10" s="3095">
        <v>3000000</v>
      </c>
      <c r="C10" s="3096">
        <v>0.04</v>
      </c>
      <c r="D10" s="1028"/>
      <c r="E10" s="3096"/>
      <c r="F10" s="3095">
        <v>4000000</v>
      </c>
      <c r="G10" s="3096">
        <v>0.04</v>
      </c>
      <c r="H10" s="1028"/>
      <c r="I10" s="1028"/>
      <c r="J10" s="1029">
        <f t="shared" si="4"/>
        <v>280000</v>
      </c>
      <c r="K10" s="1029">
        <f t="shared" ref="K10:N10" si="7">J10*(1+$J$6)</f>
        <v>285600</v>
      </c>
      <c r="L10" s="1029">
        <f t="shared" si="7"/>
        <v>291312</v>
      </c>
      <c r="M10" s="1029">
        <f t="shared" si="7"/>
        <v>297138.24</v>
      </c>
      <c r="N10" s="1029">
        <f t="shared" si="7"/>
        <v>303081.0048</v>
      </c>
      <c r="O10" s="1029">
        <f t="shared" ref="O10:AD10" si="8">N10*(1+$J$6)</f>
        <v>309142.62489600002</v>
      </c>
      <c r="P10" s="1029">
        <f t="shared" si="8"/>
        <v>315325.47739392001</v>
      </c>
      <c r="Q10" s="1029">
        <f t="shared" si="8"/>
        <v>321631.98694179842</v>
      </c>
      <c r="R10" s="1029">
        <f t="shared" si="8"/>
        <v>328064.62668063439</v>
      </c>
      <c r="S10" s="1029">
        <f t="shared" si="8"/>
        <v>334625.91921424709</v>
      </c>
      <c r="T10" s="1029">
        <f t="shared" si="8"/>
        <v>341318.43759853201</v>
      </c>
      <c r="U10" s="1029">
        <f t="shared" si="8"/>
        <v>348144.80635050265</v>
      </c>
      <c r="V10" s="1029">
        <f t="shared" si="8"/>
        <v>355107.70247751271</v>
      </c>
      <c r="W10" s="1029">
        <f t="shared" si="8"/>
        <v>362209.85652706295</v>
      </c>
      <c r="X10" s="1029">
        <f t="shared" si="8"/>
        <v>369454.05365760421</v>
      </c>
      <c r="Y10" s="1029">
        <f t="shared" si="8"/>
        <v>376843.13473075628</v>
      </c>
      <c r="Z10" s="1029">
        <f t="shared" si="8"/>
        <v>384379.99742537143</v>
      </c>
      <c r="AA10" s="1029">
        <f t="shared" si="8"/>
        <v>392067.59737387887</v>
      </c>
      <c r="AB10" s="1029">
        <f t="shared" si="8"/>
        <v>399908.94932135649</v>
      </c>
      <c r="AC10" s="1029">
        <f t="shared" si="8"/>
        <v>407907.12830778363</v>
      </c>
      <c r="AD10" s="1029">
        <f t="shared" si="8"/>
        <v>416065.27087393933</v>
      </c>
    </row>
    <row r="11" spans="1:30" x14ac:dyDescent="0.25">
      <c r="A11" s="1028" t="s">
        <v>1008</v>
      </c>
      <c r="B11" s="3095">
        <v>6000000</v>
      </c>
      <c r="C11" s="3096">
        <v>0.3</v>
      </c>
      <c r="D11" s="1028"/>
      <c r="E11" s="3096"/>
      <c r="F11" s="3095">
        <v>5000000</v>
      </c>
      <c r="G11" s="3096">
        <v>0.1</v>
      </c>
      <c r="H11" s="1028"/>
      <c r="I11" s="1028"/>
      <c r="J11" s="1029">
        <f t="shared" si="4"/>
        <v>2300000</v>
      </c>
      <c r="K11" s="1029">
        <f t="shared" ref="K11:N11" si="9">J11*(1+$J$6)</f>
        <v>2346000</v>
      </c>
      <c r="L11" s="1029">
        <f t="shared" si="9"/>
        <v>2392920</v>
      </c>
      <c r="M11" s="1029">
        <f t="shared" si="9"/>
        <v>2440778.4</v>
      </c>
      <c r="N11" s="1029">
        <f t="shared" si="9"/>
        <v>2489593.9679999999</v>
      </c>
      <c r="O11" s="1029">
        <f t="shared" ref="O11:AD11" si="10">N11*(1+$J$6)</f>
        <v>2539385.84736</v>
      </c>
      <c r="P11" s="1029">
        <f t="shared" si="10"/>
        <v>2590173.5643072003</v>
      </c>
      <c r="Q11" s="1029">
        <f t="shared" si="10"/>
        <v>2641977.0355933444</v>
      </c>
      <c r="R11" s="1029">
        <f t="shared" si="10"/>
        <v>2694816.5763052115</v>
      </c>
      <c r="S11" s="1029">
        <f t="shared" si="10"/>
        <v>2748712.9078313159</v>
      </c>
      <c r="T11" s="1029">
        <f t="shared" si="10"/>
        <v>2803687.1659879424</v>
      </c>
      <c r="U11" s="1029">
        <f t="shared" si="10"/>
        <v>2859760.909307701</v>
      </c>
      <c r="V11" s="1029">
        <f t="shared" si="10"/>
        <v>2916956.1274938551</v>
      </c>
      <c r="W11" s="1029">
        <f t="shared" si="10"/>
        <v>2975295.2500437321</v>
      </c>
      <c r="X11" s="1029">
        <f t="shared" si="10"/>
        <v>3034801.1550446069</v>
      </c>
      <c r="Y11" s="1029">
        <f t="shared" si="10"/>
        <v>3095497.178145499</v>
      </c>
      <c r="Z11" s="1029">
        <f t="shared" si="10"/>
        <v>3157407.1217084089</v>
      </c>
      <c r="AA11" s="1029">
        <f t="shared" si="10"/>
        <v>3220555.2641425771</v>
      </c>
      <c r="AB11" s="1029">
        <f t="shared" si="10"/>
        <v>3284966.3694254286</v>
      </c>
      <c r="AC11" s="1029">
        <f t="shared" si="10"/>
        <v>3350665.6968139373</v>
      </c>
      <c r="AD11" s="1029">
        <f t="shared" si="10"/>
        <v>3417679.010750216</v>
      </c>
    </row>
    <row r="12" spans="1:30" x14ac:dyDescent="0.25">
      <c r="A12" s="1028" t="s">
        <v>1010</v>
      </c>
      <c r="B12" s="3095">
        <v>8000000</v>
      </c>
      <c r="C12" s="3096">
        <v>0.3</v>
      </c>
      <c r="D12" s="1028"/>
      <c r="E12" s="3096"/>
      <c r="F12" s="3095">
        <v>6000000</v>
      </c>
      <c r="G12" s="3096">
        <v>0.1</v>
      </c>
      <c r="H12" s="1028"/>
      <c r="I12" s="1028"/>
      <c r="J12" s="1029">
        <f t="shared" si="4"/>
        <v>3000000</v>
      </c>
      <c r="K12" s="1029">
        <f t="shared" ref="K12:N12" si="11">J12*(1+$J$6)</f>
        <v>3060000</v>
      </c>
      <c r="L12" s="1029">
        <f t="shared" si="11"/>
        <v>3121200</v>
      </c>
      <c r="M12" s="1029">
        <f t="shared" si="11"/>
        <v>3183624</v>
      </c>
      <c r="N12" s="1029">
        <f t="shared" si="11"/>
        <v>3247296.48</v>
      </c>
      <c r="O12" s="1029">
        <f t="shared" ref="O12:AD12" si="12">N12*(1+$J$6)</f>
        <v>3312242.4095999999</v>
      </c>
      <c r="P12" s="1029">
        <f t="shared" si="12"/>
        <v>3378487.2577919997</v>
      </c>
      <c r="Q12" s="1029">
        <f t="shared" si="12"/>
        <v>3446057.0029478399</v>
      </c>
      <c r="R12" s="1029">
        <f t="shared" si="12"/>
        <v>3514978.1430067969</v>
      </c>
      <c r="S12" s="1029">
        <f t="shared" si="12"/>
        <v>3585277.7058669329</v>
      </c>
      <c r="T12" s="1029">
        <f t="shared" si="12"/>
        <v>3656983.2599842716</v>
      </c>
      <c r="U12" s="1029">
        <f t="shared" si="12"/>
        <v>3730122.925183957</v>
      </c>
      <c r="V12" s="1029">
        <f t="shared" si="12"/>
        <v>3804725.3836876363</v>
      </c>
      <c r="W12" s="1029">
        <f t="shared" si="12"/>
        <v>3880819.8913613893</v>
      </c>
      <c r="X12" s="1029">
        <f t="shared" si="12"/>
        <v>3958436.2891886174</v>
      </c>
      <c r="Y12" s="1029">
        <f t="shared" si="12"/>
        <v>4037605.0149723897</v>
      </c>
      <c r="Z12" s="1029">
        <f t="shared" si="12"/>
        <v>4118357.1152718375</v>
      </c>
      <c r="AA12" s="1029">
        <f t="shared" si="12"/>
        <v>4200724.257577274</v>
      </c>
      <c r="AB12" s="1029">
        <f t="shared" si="12"/>
        <v>4284738.7427288191</v>
      </c>
      <c r="AC12" s="1029">
        <f t="shared" si="12"/>
        <v>4370433.5175833954</v>
      </c>
      <c r="AD12" s="1029">
        <f t="shared" si="12"/>
        <v>4457842.1879350636</v>
      </c>
    </row>
    <row r="13" spans="1:30" x14ac:dyDescent="0.25">
      <c r="A13" s="1028" t="s">
        <v>1011</v>
      </c>
      <c r="B13" s="3095">
        <v>4000000</v>
      </c>
      <c r="C13" s="3096">
        <v>0.3</v>
      </c>
      <c r="D13" s="1028"/>
      <c r="E13" s="3096"/>
      <c r="F13" s="3095">
        <v>2000000</v>
      </c>
      <c r="G13" s="3096">
        <v>0.1</v>
      </c>
      <c r="H13" s="1028"/>
      <c r="I13" s="1028"/>
      <c r="J13" s="1029">
        <f t="shared" si="4"/>
        <v>1400000</v>
      </c>
      <c r="K13" s="1029">
        <f t="shared" ref="K13:N13" si="13">J13*(1+$J$6)</f>
        <v>1428000</v>
      </c>
      <c r="L13" s="1029">
        <f t="shared" si="13"/>
        <v>1456560</v>
      </c>
      <c r="M13" s="1029">
        <f t="shared" si="13"/>
        <v>1485691.2</v>
      </c>
      <c r="N13" s="1029">
        <f t="shared" si="13"/>
        <v>1515405.024</v>
      </c>
      <c r="O13" s="1029">
        <f t="shared" ref="O13:AD13" si="14">N13*(1+$J$6)</f>
        <v>1545713.12448</v>
      </c>
      <c r="P13" s="1029">
        <f t="shared" si="14"/>
        <v>1576627.3869696001</v>
      </c>
      <c r="Q13" s="1029">
        <f t="shared" si="14"/>
        <v>1608159.9347089923</v>
      </c>
      <c r="R13" s="1029">
        <f t="shared" si="14"/>
        <v>1640323.133403172</v>
      </c>
      <c r="S13" s="1029">
        <f t="shared" si="14"/>
        <v>1673129.5960712356</v>
      </c>
      <c r="T13" s="1029">
        <f t="shared" si="14"/>
        <v>1706592.1879926603</v>
      </c>
      <c r="U13" s="1029">
        <f t="shared" si="14"/>
        <v>1740724.0317525135</v>
      </c>
      <c r="V13" s="1029">
        <f t="shared" si="14"/>
        <v>1775538.5123875637</v>
      </c>
      <c r="W13" s="1029">
        <f t="shared" si="14"/>
        <v>1811049.2826353151</v>
      </c>
      <c r="X13" s="1029">
        <f t="shared" si="14"/>
        <v>1847270.2682880214</v>
      </c>
      <c r="Y13" s="1029">
        <f t="shared" si="14"/>
        <v>1884215.6736537819</v>
      </c>
      <c r="Z13" s="1029">
        <f t="shared" si="14"/>
        <v>1921899.9871268575</v>
      </c>
      <c r="AA13" s="1029">
        <f t="shared" si="14"/>
        <v>1960337.9868693948</v>
      </c>
      <c r="AB13" s="1029">
        <f t="shared" si="14"/>
        <v>1999544.7466067828</v>
      </c>
      <c r="AC13" s="1029">
        <f t="shared" si="14"/>
        <v>2039535.6415389185</v>
      </c>
      <c r="AD13" s="1029">
        <f t="shared" si="14"/>
        <v>2080326.3543696969</v>
      </c>
    </row>
    <row r="14" spans="1:30" x14ac:dyDescent="0.25">
      <c r="A14" s="1030" t="s">
        <v>655</v>
      </c>
      <c r="B14" s="3097">
        <f>SUM(B8:B13)</f>
        <v>41000000</v>
      </c>
      <c r="C14" s="1030"/>
      <c r="D14" s="1030"/>
      <c r="E14" s="1030"/>
      <c r="F14" s="1030"/>
      <c r="G14" s="1030"/>
      <c r="H14" s="1030"/>
      <c r="I14" s="1030"/>
      <c r="J14" s="1029">
        <f>SUM(J8:J13)</f>
        <v>9540000</v>
      </c>
      <c r="K14" s="1029">
        <f t="shared" ref="K14:N14" si="15">J14*(1+$J$6)</f>
        <v>9730800</v>
      </c>
      <c r="L14" s="1029">
        <f t="shared" si="15"/>
        <v>9925416</v>
      </c>
      <c r="M14" s="1029">
        <f t="shared" si="15"/>
        <v>10123924.32</v>
      </c>
      <c r="N14" s="1029">
        <f t="shared" si="15"/>
        <v>10326402.806400001</v>
      </c>
      <c r="O14" s="1029">
        <f t="shared" ref="O14:AD14" si="16">N14*(1+$J$6)</f>
        <v>10532930.862528002</v>
      </c>
      <c r="P14" s="1029">
        <f t="shared" si="16"/>
        <v>10743589.479778562</v>
      </c>
      <c r="Q14" s="1029">
        <f t="shared" si="16"/>
        <v>10958461.269374134</v>
      </c>
      <c r="R14" s="1029">
        <f t="shared" si="16"/>
        <v>11177630.494761616</v>
      </c>
      <c r="S14" s="1029">
        <f t="shared" si="16"/>
        <v>11401183.104656849</v>
      </c>
      <c r="T14" s="1029">
        <f t="shared" si="16"/>
        <v>11629206.766749986</v>
      </c>
      <c r="U14" s="1029">
        <f t="shared" si="16"/>
        <v>11861790.902084986</v>
      </c>
      <c r="V14" s="1029">
        <f t="shared" si="16"/>
        <v>12099026.720126685</v>
      </c>
      <c r="W14" s="1029">
        <f t="shared" si="16"/>
        <v>12341007.254529219</v>
      </c>
      <c r="X14" s="1029">
        <f t="shared" si="16"/>
        <v>12587827.399619803</v>
      </c>
      <c r="Y14" s="1029">
        <f t="shared" si="16"/>
        <v>12839583.9476122</v>
      </c>
      <c r="Z14" s="1029">
        <f t="shared" si="16"/>
        <v>13096375.626564445</v>
      </c>
      <c r="AA14" s="1029">
        <f t="shared" si="16"/>
        <v>13358303.139095735</v>
      </c>
      <c r="AB14" s="1029">
        <f t="shared" si="16"/>
        <v>13625469.20187765</v>
      </c>
      <c r="AC14" s="1029">
        <f t="shared" si="16"/>
        <v>13897978.585915202</v>
      </c>
      <c r="AD14" s="1029">
        <f t="shared" si="16"/>
        <v>14175938.157633506</v>
      </c>
    </row>
    <row r="15" spans="1:30" x14ac:dyDescent="0.25">
      <c r="A15" s="1062"/>
      <c r="B15" s="3074"/>
      <c r="C15" s="3074"/>
      <c r="D15" s="3074"/>
      <c r="E15" s="3074"/>
      <c r="F15" s="3074"/>
      <c r="G15" s="3074"/>
      <c r="H15" s="3074"/>
      <c r="I15" s="3074"/>
      <c r="J15" s="1062"/>
      <c r="K15" s="1063"/>
      <c r="L15" s="1063"/>
      <c r="M15" s="1063"/>
      <c r="N15" s="1063"/>
      <c r="O15" s="1063"/>
      <c r="P15" s="1063"/>
      <c r="Q15" s="1063"/>
      <c r="R15" s="1063"/>
      <c r="S15" s="1063"/>
      <c r="T15" s="1063"/>
      <c r="U15" s="1063"/>
      <c r="V15" s="1063"/>
      <c r="W15" s="1063"/>
      <c r="X15" s="1063"/>
      <c r="Y15" s="1063"/>
      <c r="Z15" s="1063"/>
      <c r="AA15" s="1063"/>
      <c r="AB15" s="1063"/>
      <c r="AC15" s="1063"/>
      <c r="AD15" s="1063"/>
    </row>
    <row r="17" spans="1:30" x14ac:dyDescent="0.25">
      <c r="A17" s="1062"/>
      <c r="B17" s="3074"/>
      <c r="C17" s="3074"/>
      <c r="D17" s="3074"/>
      <c r="E17" s="3074"/>
      <c r="F17" s="3074"/>
      <c r="G17" s="3074"/>
      <c r="H17" s="3074"/>
      <c r="I17" s="3074"/>
      <c r="J17" s="1062"/>
      <c r="K17" s="1063"/>
      <c r="L17" s="1063"/>
      <c r="M17" s="1063"/>
      <c r="N17" s="1063"/>
      <c r="O17" s="1063"/>
      <c r="P17" s="1063"/>
      <c r="Q17" s="1063"/>
      <c r="R17" s="1063"/>
      <c r="S17" s="1063"/>
      <c r="T17" s="1063"/>
      <c r="U17" s="1063"/>
      <c r="V17" s="1063"/>
      <c r="W17" s="1063"/>
      <c r="X17" s="1063"/>
      <c r="Y17" s="1063"/>
      <c r="Z17" s="1063"/>
      <c r="AA17" s="1063"/>
      <c r="AB17" s="1063"/>
      <c r="AC17" s="1063"/>
      <c r="AD17" s="1063"/>
    </row>
    <row r="18" spans="1:30" x14ac:dyDescent="0.25">
      <c r="A18" s="1062"/>
      <c r="B18" s="3074"/>
      <c r="C18" s="3074"/>
      <c r="D18" s="3074"/>
      <c r="E18" s="3074"/>
      <c r="F18" s="3074"/>
      <c r="G18" s="3074"/>
      <c r="H18" s="3074"/>
      <c r="I18" s="3074"/>
      <c r="J18" s="1062"/>
      <c r="K18" s="1063"/>
      <c r="L18" s="1063"/>
      <c r="M18" s="1063"/>
      <c r="N18" s="1063"/>
      <c r="O18" s="1063"/>
      <c r="P18" s="1063"/>
      <c r="Q18" s="1063"/>
      <c r="R18" s="1063"/>
      <c r="S18" s="1063"/>
      <c r="T18" s="1063"/>
      <c r="U18" s="1063"/>
      <c r="V18" s="1063"/>
      <c r="W18" s="1063"/>
      <c r="X18" s="1063"/>
      <c r="Y18" s="1063"/>
      <c r="Z18" s="1063"/>
      <c r="AA18" s="1063"/>
      <c r="AB18" s="1063"/>
      <c r="AC18" s="1063"/>
      <c r="AD18" s="1063"/>
    </row>
    <row r="19" spans="1:30" s="1042" customFormat="1" x14ac:dyDescent="0.25">
      <c r="A19" s="1042" t="s">
        <v>988</v>
      </c>
      <c r="J19" s="1041">
        <f t="shared" ref="J19:O19" si="17">J14</f>
        <v>9540000</v>
      </c>
      <c r="K19" s="1041">
        <f t="shared" si="17"/>
        <v>9730800</v>
      </c>
      <c r="L19" s="1041">
        <f t="shared" si="17"/>
        <v>9925416</v>
      </c>
      <c r="M19" s="1041">
        <f t="shared" si="17"/>
        <v>10123924.32</v>
      </c>
      <c r="N19" s="1041">
        <f t="shared" si="17"/>
        <v>10326402.806400001</v>
      </c>
      <c r="O19" s="1041">
        <f t="shared" si="17"/>
        <v>10532930.862528002</v>
      </c>
      <c r="P19" s="1041">
        <f>P14</f>
        <v>10743589.479778562</v>
      </c>
      <c r="Q19" s="1041">
        <f t="shared" ref="Q19:AD19" si="18">Q14</f>
        <v>10958461.269374134</v>
      </c>
      <c r="R19" s="1041">
        <f t="shared" si="18"/>
        <v>11177630.494761616</v>
      </c>
      <c r="S19" s="1041">
        <f t="shared" si="18"/>
        <v>11401183.104656849</v>
      </c>
      <c r="T19" s="1041">
        <f t="shared" si="18"/>
        <v>11629206.766749986</v>
      </c>
      <c r="U19" s="1041">
        <f t="shared" si="18"/>
        <v>11861790.902084986</v>
      </c>
      <c r="V19" s="1041">
        <f t="shared" si="18"/>
        <v>12099026.720126685</v>
      </c>
      <c r="W19" s="1041">
        <f t="shared" si="18"/>
        <v>12341007.254529219</v>
      </c>
      <c r="X19" s="1041">
        <f t="shared" si="18"/>
        <v>12587827.399619803</v>
      </c>
      <c r="Y19" s="1041">
        <f t="shared" si="18"/>
        <v>12839583.9476122</v>
      </c>
      <c r="Z19" s="1041">
        <f t="shared" si="18"/>
        <v>13096375.626564445</v>
      </c>
      <c r="AA19" s="1041">
        <f t="shared" si="18"/>
        <v>13358303.139095735</v>
      </c>
      <c r="AB19" s="1041">
        <f t="shared" si="18"/>
        <v>13625469.20187765</v>
      </c>
      <c r="AC19" s="1041">
        <f t="shared" si="18"/>
        <v>13897978.585915202</v>
      </c>
      <c r="AD19" s="1041">
        <f t="shared" si="18"/>
        <v>14175938.157633506</v>
      </c>
    </row>
    <row r="20" spans="1:30" s="1042" customFormat="1" x14ac:dyDescent="0.25">
      <c r="J20" s="1043"/>
      <c r="K20" s="1043"/>
      <c r="L20" s="1043"/>
      <c r="M20" s="1043"/>
      <c r="N20" s="1043"/>
      <c r="O20" s="1043"/>
      <c r="P20" s="1043"/>
      <c r="Q20" s="1043"/>
      <c r="R20" s="1043"/>
      <c r="S20" s="1043"/>
      <c r="T20" s="1043"/>
      <c r="U20" s="1043"/>
      <c r="V20" s="1043"/>
      <c r="W20" s="1043"/>
      <c r="X20" s="1043"/>
      <c r="Y20" s="1043"/>
      <c r="Z20" s="1043"/>
      <c r="AA20" s="1043"/>
      <c r="AB20" s="1043"/>
      <c r="AC20" s="1043"/>
      <c r="AD20" s="1043"/>
    </row>
    <row r="21" spans="1:30" s="1042" customFormat="1" x14ac:dyDescent="0.25">
      <c r="A21" s="1042" t="s">
        <v>989</v>
      </c>
      <c r="J21" s="1044"/>
      <c r="K21" s="1044"/>
      <c r="L21" s="1044"/>
      <c r="M21" s="1044"/>
      <c r="N21" s="1044"/>
      <c r="O21" s="1044"/>
      <c r="P21" s="1044"/>
      <c r="Q21" s="1044"/>
      <c r="R21" s="1044"/>
      <c r="S21" s="1044"/>
      <c r="T21" s="1044"/>
      <c r="U21" s="1044"/>
      <c r="V21" s="1044"/>
      <c r="W21" s="1044"/>
      <c r="X21" s="1044"/>
      <c r="Y21" s="1044"/>
      <c r="Z21" s="1044"/>
      <c r="AA21" s="1044"/>
      <c r="AB21" s="1044"/>
      <c r="AC21" s="1044"/>
      <c r="AD21" s="1044"/>
    </row>
    <row r="22" spans="1:30" s="1042" customFormat="1" x14ac:dyDescent="0.25">
      <c r="A22" s="1062"/>
      <c r="B22" s="3074"/>
      <c r="C22" s="3074"/>
      <c r="D22" s="3074"/>
      <c r="E22" s="3074"/>
      <c r="F22" s="3074"/>
      <c r="G22" s="3074"/>
      <c r="H22" s="3074"/>
      <c r="I22" s="3074"/>
      <c r="J22" s="1062"/>
      <c r="K22" s="1063"/>
      <c r="L22" s="1063"/>
      <c r="M22" s="1063"/>
      <c r="N22" s="1063"/>
      <c r="O22" s="1063"/>
      <c r="P22" s="3093"/>
      <c r="Q22" s="3093"/>
      <c r="R22" s="3093"/>
      <c r="S22" s="3093"/>
      <c r="T22" s="1063"/>
      <c r="U22" s="1063"/>
      <c r="V22" s="1063"/>
      <c r="W22" s="1063"/>
      <c r="X22" s="1063"/>
      <c r="Y22" s="1063"/>
      <c r="Z22" s="1063"/>
      <c r="AA22" s="1063"/>
      <c r="AB22" s="1063"/>
      <c r="AC22" s="1063"/>
      <c r="AD22" s="1063"/>
    </row>
    <row r="23" spans="1:30" s="1042" customFormat="1" x14ac:dyDescent="0.25">
      <c r="A23" s="1028" t="s">
        <v>6</v>
      </c>
      <c r="B23" s="1028"/>
      <c r="C23" s="1028"/>
      <c r="D23" s="1028"/>
      <c r="E23" s="1028"/>
      <c r="F23" s="1028"/>
      <c r="G23" s="1028"/>
      <c r="H23" s="1028" t="s">
        <v>2504</v>
      </c>
      <c r="I23" s="1028" t="s">
        <v>2506</v>
      </c>
      <c r="J23" s="1029"/>
      <c r="K23" s="1029"/>
      <c r="L23" s="1029"/>
      <c r="M23" s="1029"/>
      <c r="N23" s="1029"/>
      <c r="O23" s="1065">
        <v>0</v>
      </c>
      <c r="P23" s="3092">
        <v>0.02</v>
      </c>
      <c r="Q23" s="3092">
        <v>4.5500000000000006E-2</v>
      </c>
      <c r="R23" s="3091">
        <v>8.0000000000000016E-2</v>
      </c>
      <c r="S23" s="3091">
        <v>0.1275</v>
      </c>
      <c r="T23" s="1064">
        <v>0.2</v>
      </c>
      <c r="U23" s="1064">
        <v>0.25</v>
      </c>
      <c r="V23" s="1064">
        <v>0.3</v>
      </c>
      <c r="W23" s="1064">
        <v>0.35399999999999998</v>
      </c>
      <c r="X23" s="1064">
        <v>0.41771999999999998</v>
      </c>
      <c r="Y23" s="1064">
        <v>0.49290959999999995</v>
      </c>
      <c r="Z23" s="1064">
        <v>0.58163332799999989</v>
      </c>
      <c r="AA23" s="1064">
        <v>0.66306199391999987</v>
      </c>
      <c r="AB23" s="1064">
        <v>0.66306199391999998</v>
      </c>
      <c r="AC23" s="1064">
        <v>0.66306199391999998</v>
      </c>
      <c r="AD23" s="1064">
        <v>0.66306199391999998</v>
      </c>
    </row>
    <row r="24" spans="1:30" s="1042" customFormat="1" x14ac:dyDescent="0.25">
      <c r="A24" s="1028" t="s">
        <v>1004</v>
      </c>
      <c r="B24" s="1028"/>
      <c r="C24" s="1028"/>
      <c r="D24" s="1028"/>
      <c r="E24" s="1028"/>
      <c r="F24" s="1028"/>
      <c r="G24" s="1028"/>
      <c r="H24" s="3090" t="s">
        <v>2504</v>
      </c>
      <c r="I24" s="1028" t="s">
        <v>2505</v>
      </c>
      <c r="J24" s="1029"/>
      <c r="K24" s="1029"/>
      <c r="L24" s="1029"/>
      <c r="M24" s="1029"/>
      <c r="N24" s="1029"/>
      <c r="O24" s="1065">
        <v>0</v>
      </c>
      <c r="P24" s="3092">
        <v>3.5000000000000003E-2</v>
      </c>
      <c r="Q24" s="3092">
        <v>6.5000000000000002E-2</v>
      </c>
      <c r="R24" s="3091">
        <v>0.12</v>
      </c>
      <c r="S24" s="3091">
        <v>0.17</v>
      </c>
      <c r="T24" s="1064">
        <v>0.25</v>
      </c>
      <c r="U24" s="1064">
        <v>0.3</v>
      </c>
      <c r="V24" s="1064">
        <v>0.35399999999999998</v>
      </c>
      <c r="W24" s="1064">
        <v>0.41771999999999998</v>
      </c>
      <c r="X24" s="1064">
        <v>0.49290959999999995</v>
      </c>
      <c r="Y24" s="1064">
        <v>0.58163332799999989</v>
      </c>
      <c r="Z24" s="1064">
        <v>0.66306199391999987</v>
      </c>
      <c r="AA24" s="1064">
        <v>0.72936819331199987</v>
      </c>
      <c r="AB24" s="1064">
        <v>0.72936819331199998</v>
      </c>
      <c r="AC24" s="1064">
        <v>0.72936819331199998</v>
      </c>
      <c r="AD24" s="1064">
        <v>0.72936819331199998</v>
      </c>
    </row>
    <row r="25" spans="1:30" s="1042" customFormat="1" x14ac:dyDescent="0.25">
      <c r="A25" s="1028" t="s">
        <v>1006</v>
      </c>
      <c r="B25" s="1028"/>
      <c r="C25" s="1028"/>
      <c r="D25" s="1028"/>
      <c r="E25" s="1028"/>
      <c r="F25" s="1028"/>
      <c r="G25" s="1028"/>
      <c r="H25" s="1028" t="s">
        <v>2504</v>
      </c>
      <c r="I25" s="1028" t="s">
        <v>2506</v>
      </c>
      <c r="J25" s="1029"/>
      <c r="K25" s="1029"/>
      <c r="L25" s="1029"/>
      <c r="M25" s="1029"/>
      <c r="N25" s="1029"/>
      <c r="O25" s="1065">
        <v>0</v>
      </c>
      <c r="P25" s="3092">
        <v>0.02</v>
      </c>
      <c r="Q25" s="3092">
        <v>4.5500000000000006E-2</v>
      </c>
      <c r="R25" s="3091">
        <v>8.0000000000000016E-2</v>
      </c>
      <c r="S25" s="3091">
        <v>0.1275</v>
      </c>
      <c r="T25" s="1064">
        <v>0.2</v>
      </c>
      <c r="U25" s="1064">
        <v>0.25</v>
      </c>
      <c r="V25" s="1064">
        <v>0.3</v>
      </c>
      <c r="W25" s="1064">
        <v>0.35399999999999998</v>
      </c>
      <c r="X25" s="1064">
        <v>0.41771999999999998</v>
      </c>
      <c r="Y25" s="1064">
        <v>0.49290959999999995</v>
      </c>
      <c r="Z25" s="1064">
        <v>0.58163332799999989</v>
      </c>
      <c r="AA25" s="1064">
        <v>0.66306199391999987</v>
      </c>
      <c r="AB25" s="1064">
        <v>0.66306199391999998</v>
      </c>
      <c r="AC25" s="1064">
        <v>0.66306199391999987</v>
      </c>
      <c r="AD25" s="1064">
        <v>0.66306199391999987</v>
      </c>
    </row>
    <row r="26" spans="1:30" s="1042" customFormat="1" x14ac:dyDescent="0.25">
      <c r="A26" s="1028" t="s">
        <v>1008</v>
      </c>
      <c r="B26" s="1028"/>
      <c r="C26" s="1028"/>
      <c r="D26" s="1028"/>
      <c r="E26" s="1028"/>
      <c r="F26" s="1028"/>
      <c r="G26" s="1028"/>
      <c r="H26" s="3090" t="s">
        <v>2504</v>
      </c>
      <c r="I26" s="1028" t="s">
        <v>2505</v>
      </c>
      <c r="J26" s="1029"/>
      <c r="K26" s="1029"/>
      <c r="L26" s="1029"/>
      <c r="M26" s="1029"/>
      <c r="N26" s="1029"/>
      <c r="O26" s="1065">
        <v>0</v>
      </c>
      <c r="P26" s="3092">
        <v>3.5000000000000003E-2</v>
      </c>
      <c r="Q26" s="3092">
        <v>6.5000000000000002E-2</v>
      </c>
      <c r="R26" s="3091">
        <v>0.12</v>
      </c>
      <c r="S26" s="3091">
        <v>0.17</v>
      </c>
      <c r="T26" s="1064">
        <v>0.25</v>
      </c>
      <c r="U26" s="1064">
        <v>0.3</v>
      </c>
      <c r="V26" s="1064">
        <v>0.35399999999999998</v>
      </c>
      <c r="W26" s="1064">
        <v>0.41771999999999998</v>
      </c>
      <c r="X26" s="1064">
        <v>0.49290959999999995</v>
      </c>
      <c r="Y26" s="1064">
        <v>0.58163332799999989</v>
      </c>
      <c r="Z26" s="1064">
        <v>0.66306199391999987</v>
      </c>
      <c r="AA26" s="1064">
        <v>0.72936819331199987</v>
      </c>
      <c r="AB26" s="1064">
        <v>0.72936819331199987</v>
      </c>
      <c r="AC26" s="1064">
        <v>0.72936819331199987</v>
      </c>
      <c r="AD26" s="1064">
        <v>0.72936819331199987</v>
      </c>
    </row>
    <row r="27" spans="1:30" s="1042" customFormat="1" x14ac:dyDescent="0.25">
      <c r="A27" s="1028" t="s">
        <v>1010</v>
      </c>
      <c r="B27" s="1028"/>
      <c r="C27" s="1028"/>
      <c r="D27" s="1028"/>
      <c r="E27" s="1028"/>
      <c r="F27" s="1028"/>
      <c r="G27" s="1028"/>
      <c r="H27" s="1028" t="s">
        <v>2505</v>
      </c>
      <c r="I27" s="1028" t="s">
        <v>2507</v>
      </c>
      <c r="J27" s="1029"/>
      <c r="K27" s="1029"/>
      <c r="L27" s="1029"/>
      <c r="M27" s="1029"/>
      <c r="N27" s="1029"/>
      <c r="O27" s="1065">
        <v>0</v>
      </c>
      <c r="P27" s="3092">
        <v>0</v>
      </c>
      <c r="Q27" s="3092">
        <v>2.6000000000000002E-2</v>
      </c>
      <c r="R27" s="3091">
        <v>5.6000000000000008E-2</v>
      </c>
      <c r="S27" s="3091">
        <v>8.5000000000000006E-2</v>
      </c>
      <c r="T27" s="1064">
        <v>0.15</v>
      </c>
      <c r="U27" s="1064">
        <v>0.2</v>
      </c>
      <c r="V27" s="1064">
        <v>0.25</v>
      </c>
      <c r="W27" s="1064">
        <v>0.3</v>
      </c>
      <c r="X27" s="1064">
        <v>0.35399999999999998</v>
      </c>
      <c r="Y27" s="1064">
        <v>0.41771999999999998</v>
      </c>
      <c r="Z27" s="1064">
        <v>0.49290959999999995</v>
      </c>
      <c r="AA27" s="1064">
        <v>0.58163332799999989</v>
      </c>
      <c r="AB27" s="1064">
        <v>0.58163332799999989</v>
      </c>
      <c r="AC27" s="1064">
        <v>0.58163332799999989</v>
      </c>
      <c r="AD27" s="1064">
        <v>0.58163332799999989</v>
      </c>
    </row>
    <row r="28" spans="1:30" s="1042" customFormat="1" x14ac:dyDescent="0.25">
      <c r="A28" s="1028" t="s">
        <v>1011</v>
      </c>
      <c r="B28" s="1028"/>
      <c r="C28" s="1028"/>
      <c r="D28" s="1028"/>
      <c r="E28" s="1028"/>
      <c r="F28" s="1028"/>
      <c r="G28" s="1028"/>
      <c r="H28" s="1028" t="s">
        <v>2504</v>
      </c>
      <c r="I28" s="1028" t="s">
        <v>2506</v>
      </c>
      <c r="J28" s="1029"/>
      <c r="K28" s="1029"/>
      <c r="L28" s="1029"/>
      <c r="M28" s="1029"/>
      <c r="N28" s="1029"/>
      <c r="O28" s="1065">
        <v>0</v>
      </c>
      <c r="P28" s="3092">
        <v>0.02</v>
      </c>
      <c r="Q28" s="3092">
        <v>4.5500000000000006E-2</v>
      </c>
      <c r="R28" s="3091">
        <v>8.0000000000000016E-2</v>
      </c>
      <c r="S28" s="3091">
        <v>0.1275</v>
      </c>
      <c r="T28" s="1064">
        <v>0.2</v>
      </c>
      <c r="U28" s="1064">
        <v>0.25</v>
      </c>
      <c r="V28" s="1064">
        <v>0.3</v>
      </c>
      <c r="W28" s="1064">
        <v>0.35399999999999998</v>
      </c>
      <c r="X28" s="1064">
        <v>0.41771999999999998</v>
      </c>
      <c r="Y28" s="1064">
        <v>0.49290959999999995</v>
      </c>
      <c r="Z28" s="1064">
        <v>0.58163332799999989</v>
      </c>
      <c r="AA28" s="1064">
        <v>0.66306199391999987</v>
      </c>
      <c r="AB28" s="1064">
        <v>0.66306199391999987</v>
      </c>
      <c r="AC28" s="1064">
        <v>0.66306199391999987</v>
      </c>
      <c r="AD28" s="1064">
        <v>0.66306199391999987</v>
      </c>
    </row>
    <row r="29" spans="1:30" s="1042" customFormat="1" x14ac:dyDescent="0.25">
      <c r="A29" s="1062"/>
      <c r="B29" s="3074"/>
      <c r="C29" s="3074"/>
      <c r="D29" s="3074"/>
      <c r="E29" s="3074"/>
      <c r="F29" s="3074"/>
      <c r="G29" s="3074"/>
      <c r="H29" s="3074"/>
      <c r="I29" s="3074"/>
      <c r="J29" s="1062"/>
      <c r="K29" s="1063"/>
      <c r="L29" s="1063"/>
      <c r="M29" s="1063"/>
      <c r="N29" s="1063"/>
      <c r="O29" s="1063"/>
      <c r="P29" s="1063"/>
      <c r="Q29" s="1063"/>
      <c r="R29" s="1063"/>
      <c r="S29" s="1063"/>
      <c r="T29" s="1063"/>
      <c r="U29" s="1063"/>
      <c r="V29" s="1063"/>
      <c r="W29" s="1063"/>
      <c r="X29" s="1063"/>
      <c r="Y29" s="1063"/>
      <c r="Z29" s="1063"/>
      <c r="AA29" s="1063"/>
      <c r="AB29" s="1063"/>
      <c r="AC29" s="1063"/>
      <c r="AD29" s="1063"/>
    </row>
    <row r="30" spans="1:30" s="1042" customFormat="1" x14ac:dyDescent="0.25">
      <c r="A30" s="1028" t="s">
        <v>6</v>
      </c>
      <c r="B30" s="1028"/>
      <c r="C30" s="1028"/>
      <c r="D30" s="1028"/>
      <c r="E30" s="1028"/>
      <c r="F30" s="1028"/>
      <c r="G30" s="1028"/>
      <c r="H30" s="1028"/>
      <c r="I30" s="1028"/>
      <c r="J30" s="1029"/>
      <c r="K30" s="1029"/>
      <c r="L30" s="1029"/>
      <c r="M30" s="1029"/>
      <c r="N30" s="1029"/>
      <c r="O30" s="1029"/>
      <c r="P30" s="3098">
        <f>P8*P23</f>
        <v>17568.133740518402</v>
      </c>
      <c r="Q30" s="3098">
        <f t="shared" ref="Q30:AD30" si="19">Q8*Q23</f>
        <v>40766.854344872954</v>
      </c>
      <c r="R30" s="3098">
        <f t="shared" si="19"/>
        <v>73111.545374541383</v>
      </c>
      <c r="S30" s="3098">
        <f t="shared" si="19"/>
        <v>118851.95594948884</v>
      </c>
      <c r="T30" s="3098">
        <f t="shared" si="19"/>
        <v>190163.12951918214</v>
      </c>
      <c r="U30" s="3098">
        <f t="shared" si="19"/>
        <v>242457.99013695723</v>
      </c>
      <c r="V30" s="3098">
        <f t="shared" si="19"/>
        <v>296768.57992763567</v>
      </c>
      <c r="W30" s="3098">
        <f t="shared" si="19"/>
        <v>357190.66280090227</v>
      </c>
      <c r="X30" s="3098">
        <f t="shared" si="19"/>
        <v>429914.68174716597</v>
      </c>
      <c r="Y30" s="3098">
        <f t="shared" si="19"/>
        <v>517445.31095088896</v>
      </c>
      <c r="Z30" s="3098">
        <f t="shared" si="19"/>
        <v>622797.17626048997</v>
      </c>
      <c r="AA30" s="3098">
        <f t="shared" si="19"/>
        <v>724188.55655569781</v>
      </c>
      <c r="AB30" s="3098">
        <f t="shared" si="19"/>
        <v>738672.32768681191</v>
      </c>
      <c r="AC30" s="3098">
        <f t="shared" si="19"/>
        <v>753445.77424054802</v>
      </c>
      <c r="AD30" s="3098">
        <f t="shared" si="19"/>
        <v>768514.68972535897</v>
      </c>
    </row>
    <row r="31" spans="1:30" s="1042" customFormat="1" x14ac:dyDescent="0.25">
      <c r="A31" s="1028" t="s">
        <v>1004</v>
      </c>
      <c r="B31" s="1028"/>
      <c r="C31" s="1028"/>
      <c r="D31" s="1028"/>
      <c r="E31" s="1028"/>
      <c r="F31" s="1028"/>
      <c r="G31" s="1028"/>
      <c r="H31" s="1028"/>
      <c r="I31" s="1028"/>
      <c r="J31" s="1029"/>
      <c r="K31" s="1029"/>
      <c r="L31" s="1029"/>
      <c r="M31" s="1029"/>
      <c r="N31" s="1029"/>
      <c r="O31" s="1029"/>
      <c r="P31" s="3098">
        <f t="shared" ref="P31:AD35" si="20">P9*P24</f>
        <v>70159.918720147209</v>
      </c>
      <c r="Q31" s="3098">
        <f t="shared" si="20"/>
        <v>132902.93174702171</v>
      </c>
      <c r="R31" s="3098">
        <f t="shared" si="20"/>
        <v>250266.44378208395</v>
      </c>
      <c r="S31" s="3098">
        <f t="shared" si="20"/>
        <v>361635.01126511133</v>
      </c>
      <c r="T31" s="3098">
        <f t="shared" si="20"/>
        <v>542452.51689766697</v>
      </c>
      <c r="U31" s="3098">
        <f t="shared" si="20"/>
        <v>663961.88068274444</v>
      </c>
      <c r="V31" s="3098">
        <f t="shared" si="20"/>
        <v>799144.51958975103</v>
      </c>
      <c r="W31" s="3098">
        <f t="shared" si="20"/>
        <v>961850.34377822431</v>
      </c>
      <c r="X31" s="3098">
        <f t="shared" si="20"/>
        <v>1157683.0737714707</v>
      </c>
      <c r="Y31" s="3098">
        <f t="shared" si="20"/>
        <v>1393387.3475913419</v>
      </c>
      <c r="Z31" s="3098">
        <f t="shared" si="20"/>
        <v>1620230.8077792125</v>
      </c>
      <c r="AA31" s="3098">
        <f t="shared" si="20"/>
        <v>1817898.9663282766</v>
      </c>
      <c r="AB31" s="3098">
        <f t="shared" si="20"/>
        <v>1854256.9456548423</v>
      </c>
      <c r="AC31" s="3098">
        <f t="shared" si="20"/>
        <v>1891342.0845679392</v>
      </c>
      <c r="AD31" s="3098">
        <f t="shared" si="20"/>
        <v>1929168.9262592981</v>
      </c>
    </row>
    <row r="32" spans="1:30" s="1042" customFormat="1" x14ac:dyDescent="0.25">
      <c r="A32" s="1028" t="s">
        <v>1006</v>
      </c>
      <c r="B32" s="1028"/>
      <c r="C32" s="1028"/>
      <c r="D32" s="1028"/>
      <c r="E32" s="1028"/>
      <c r="F32" s="1028"/>
      <c r="G32" s="1028"/>
      <c r="H32" s="1028"/>
      <c r="I32" s="1028"/>
      <c r="J32" s="1029"/>
      <c r="K32" s="1029"/>
      <c r="L32" s="1029"/>
      <c r="M32" s="1029"/>
      <c r="N32" s="1029"/>
      <c r="O32" s="1029"/>
      <c r="P32" s="3098">
        <f t="shared" si="20"/>
        <v>6306.5095478784006</v>
      </c>
      <c r="Q32" s="3098">
        <f t="shared" si="20"/>
        <v>14634.255405851829</v>
      </c>
      <c r="R32" s="3098">
        <f t="shared" si="20"/>
        <v>26245.170134450756</v>
      </c>
      <c r="S32" s="3098">
        <f t="shared" si="20"/>
        <v>42664.804699816501</v>
      </c>
      <c r="T32" s="3098">
        <f t="shared" si="20"/>
        <v>68263.687519706407</v>
      </c>
      <c r="U32" s="3098">
        <f t="shared" si="20"/>
        <v>87036.201587625663</v>
      </c>
      <c r="V32" s="3098">
        <f t="shared" si="20"/>
        <v>106532.31074325381</v>
      </c>
      <c r="W32" s="3098">
        <f t="shared" si="20"/>
        <v>128222.28921058027</v>
      </c>
      <c r="X32" s="3098">
        <f t="shared" si="20"/>
        <v>154328.34729385443</v>
      </c>
      <c r="Y32" s="3098">
        <f t="shared" si="20"/>
        <v>185749.59880288318</v>
      </c>
      <c r="Z32" s="3098">
        <f t="shared" si="20"/>
        <v>223568.21711915018</v>
      </c>
      <c r="AA32" s="3098">
        <f t="shared" si="20"/>
        <v>259965.12286614784</v>
      </c>
      <c r="AB32" s="3098">
        <f t="shared" si="20"/>
        <v>265164.42532347084</v>
      </c>
      <c r="AC32" s="3098">
        <f t="shared" si="20"/>
        <v>270467.71382994024</v>
      </c>
      <c r="AD32" s="3098">
        <f t="shared" si="20"/>
        <v>275877.06810653908</v>
      </c>
    </row>
    <row r="33" spans="1:32" s="1042" customFormat="1" x14ac:dyDescent="0.25">
      <c r="A33" s="1028" t="s">
        <v>1008</v>
      </c>
      <c r="B33" s="1028"/>
      <c r="C33" s="1028"/>
      <c r="D33" s="1028"/>
      <c r="E33" s="1028"/>
      <c r="F33" s="1028"/>
      <c r="G33" s="1028"/>
      <c r="H33" s="1028"/>
      <c r="I33" s="1028"/>
      <c r="J33" s="1029"/>
      <c r="K33" s="1029"/>
      <c r="L33" s="1029"/>
      <c r="M33" s="1029"/>
      <c r="N33" s="1029"/>
      <c r="O33" s="1029"/>
      <c r="P33" s="3098">
        <f t="shared" si="20"/>
        <v>90656.074750752014</v>
      </c>
      <c r="Q33" s="3098">
        <f t="shared" si="20"/>
        <v>171728.50731356739</v>
      </c>
      <c r="R33" s="3098">
        <f t="shared" si="20"/>
        <v>323377.98915662535</v>
      </c>
      <c r="S33" s="3098">
        <f t="shared" si="20"/>
        <v>467281.19433132373</v>
      </c>
      <c r="T33" s="3098">
        <f t="shared" si="20"/>
        <v>700921.79149698559</v>
      </c>
      <c r="U33" s="3098">
        <f t="shared" si="20"/>
        <v>857928.27279231034</v>
      </c>
      <c r="V33" s="3098">
        <f t="shared" si="20"/>
        <v>1032602.4691328247</v>
      </c>
      <c r="W33" s="3098">
        <f t="shared" si="20"/>
        <v>1242840.3318482677</v>
      </c>
      <c r="X33" s="3098">
        <f t="shared" si="20"/>
        <v>1495882.6234125751</v>
      </c>
      <c r="Y33" s="3098">
        <f t="shared" si="20"/>
        <v>1800444.3255393752</v>
      </c>
      <c r="Z33" s="3098">
        <f t="shared" si="20"/>
        <v>2093556.6617371854</v>
      </c>
      <c r="AA33" s="3098">
        <f t="shared" si="20"/>
        <v>2348970.5744691221</v>
      </c>
      <c r="AB33" s="3098">
        <f t="shared" si="20"/>
        <v>2395949.9859585045</v>
      </c>
      <c r="AC33" s="3098">
        <f t="shared" si="20"/>
        <v>2443868.9856776744</v>
      </c>
      <c r="AD33" s="3098">
        <f t="shared" si="20"/>
        <v>2492746.3653912279</v>
      </c>
    </row>
    <row r="34" spans="1:32" s="1042" customFormat="1" x14ac:dyDescent="0.25">
      <c r="A34" s="1028" t="s">
        <v>1010</v>
      </c>
      <c r="B34" s="1028"/>
      <c r="C34" s="1028"/>
      <c r="D34" s="1028"/>
      <c r="E34" s="1028"/>
      <c r="F34" s="1028"/>
      <c r="G34" s="1028"/>
      <c r="H34" s="1028"/>
      <c r="I34" s="1028"/>
      <c r="J34" s="1029"/>
      <c r="K34" s="1029"/>
      <c r="L34" s="1029"/>
      <c r="M34" s="1029"/>
      <c r="N34" s="1029"/>
      <c r="O34" s="1029"/>
      <c r="P34" s="3098">
        <f t="shared" si="20"/>
        <v>0</v>
      </c>
      <c r="Q34" s="3098">
        <f t="shared" si="20"/>
        <v>89597.48207664385</v>
      </c>
      <c r="R34" s="3098">
        <f t="shared" si="20"/>
        <v>196838.77600838066</v>
      </c>
      <c r="S34" s="3098">
        <f t="shared" si="20"/>
        <v>304748.60499868932</v>
      </c>
      <c r="T34" s="3098">
        <f t="shared" si="20"/>
        <v>548547.48899764067</v>
      </c>
      <c r="U34" s="3098">
        <f t="shared" si="20"/>
        <v>746024.5850367914</v>
      </c>
      <c r="V34" s="3098">
        <f t="shared" si="20"/>
        <v>951181.34592190909</v>
      </c>
      <c r="W34" s="3098">
        <f t="shared" si="20"/>
        <v>1164245.9674084168</v>
      </c>
      <c r="X34" s="3098">
        <f t="shared" si="20"/>
        <v>1401286.4463727705</v>
      </c>
      <c r="Y34" s="3098">
        <f t="shared" si="20"/>
        <v>1686588.3668542665</v>
      </c>
      <c r="Z34" s="3098">
        <f t="shared" si="20"/>
        <v>2029977.7583457951</v>
      </c>
      <c r="AA34" s="3098">
        <f t="shared" si="20"/>
        <v>2443281.2299449989</v>
      </c>
      <c r="AB34" s="3098">
        <f t="shared" si="20"/>
        <v>2492146.8545438983</v>
      </c>
      <c r="AC34" s="3098">
        <f t="shared" si="20"/>
        <v>2541989.7916347762</v>
      </c>
      <c r="AD34" s="3098">
        <f t="shared" si="20"/>
        <v>2592829.5874674721</v>
      </c>
    </row>
    <row r="35" spans="1:32" s="1042" customFormat="1" x14ac:dyDescent="0.25">
      <c r="A35" s="1028" t="s">
        <v>1011</v>
      </c>
      <c r="B35" s="1028"/>
      <c r="C35" s="1028"/>
      <c r="D35" s="1028"/>
      <c r="E35" s="1028"/>
      <c r="F35" s="1028"/>
      <c r="G35" s="1028"/>
      <c r="H35" s="1028"/>
      <c r="I35" s="1028"/>
      <c r="J35" s="1029"/>
      <c r="K35" s="1029"/>
      <c r="L35" s="1029"/>
      <c r="M35" s="1029"/>
      <c r="N35" s="1029"/>
      <c r="O35" s="1029"/>
      <c r="P35" s="3098">
        <f t="shared" si="20"/>
        <v>31532.547739392005</v>
      </c>
      <c r="Q35" s="3098">
        <f t="shared" si="20"/>
        <v>73171.277029259159</v>
      </c>
      <c r="R35" s="3098">
        <f t="shared" si="20"/>
        <v>131225.85067225379</v>
      </c>
      <c r="S35" s="3098">
        <f t="shared" si="20"/>
        <v>213324.02349908254</v>
      </c>
      <c r="T35" s="3098">
        <f t="shared" si="20"/>
        <v>341318.43759853207</v>
      </c>
      <c r="U35" s="3098">
        <f t="shared" si="20"/>
        <v>435181.00793812837</v>
      </c>
      <c r="V35" s="3098">
        <f t="shared" si="20"/>
        <v>532661.55371626909</v>
      </c>
      <c r="W35" s="3098">
        <f t="shared" si="20"/>
        <v>641111.44605290156</v>
      </c>
      <c r="X35" s="3098">
        <f t="shared" si="20"/>
        <v>771641.73646927229</v>
      </c>
      <c r="Y35" s="3098">
        <f t="shared" si="20"/>
        <v>928747.99401441612</v>
      </c>
      <c r="Z35" s="3098">
        <f t="shared" si="20"/>
        <v>1117841.0855957512</v>
      </c>
      <c r="AA35" s="3098">
        <f t="shared" si="20"/>
        <v>1299825.6143307395</v>
      </c>
      <c r="AB35" s="3098">
        <f t="shared" si="20"/>
        <v>1325822.1266173543</v>
      </c>
      <c r="AC35" s="3098">
        <f t="shared" si="20"/>
        <v>1352338.5691497014</v>
      </c>
      <c r="AD35" s="3098">
        <f t="shared" si="20"/>
        <v>1379385.3405326954</v>
      </c>
      <c r="AF35" s="1042">
        <v>3</v>
      </c>
    </row>
    <row r="36" spans="1:32" s="1042" customFormat="1" x14ac:dyDescent="0.25">
      <c r="A36" s="1030" t="s">
        <v>655</v>
      </c>
      <c r="B36" s="1030"/>
      <c r="C36" s="1030"/>
      <c r="D36" s="1030"/>
      <c r="E36" s="1030"/>
      <c r="F36" s="1030"/>
      <c r="G36" s="1030"/>
      <c r="H36" s="1030"/>
      <c r="I36" s="1030"/>
      <c r="J36" s="1029"/>
      <c r="K36" s="1029"/>
      <c r="L36" s="1029"/>
      <c r="M36" s="1029"/>
      <c r="N36" s="1029"/>
      <c r="O36" s="1029"/>
      <c r="P36" s="3098">
        <f>SUM(P30:P35)</f>
        <v>216223.18449868803</v>
      </c>
      <c r="Q36" s="1029">
        <f t="shared" ref="Q36:AA36" si="21">SUM(Q30:Q35)</f>
        <v>522801.30791721691</v>
      </c>
      <c r="R36" s="1029">
        <f t="shared" si="21"/>
        <v>1001065.7751283359</v>
      </c>
      <c r="S36" s="1029">
        <f t="shared" si="21"/>
        <v>1508505.5947435123</v>
      </c>
      <c r="T36" s="1029">
        <f t="shared" si="21"/>
        <v>2391667.052029714</v>
      </c>
      <c r="U36" s="1029">
        <f t="shared" si="21"/>
        <v>3032589.9381745574</v>
      </c>
      <c r="V36" s="1029">
        <f t="shared" si="21"/>
        <v>3718890.7790316436</v>
      </c>
      <c r="W36" s="1029">
        <f t="shared" si="21"/>
        <v>4495461.0410992932</v>
      </c>
      <c r="X36" s="1029">
        <f t="shared" si="21"/>
        <v>5410736.9090671092</v>
      </c>
      <c r="Y36" s="1029">
        <f t="shared" si="21"/>
        <v>6512362.9437531717</v>
      </c>
      <c r="Z36" s="1029">
        <f t="shared" si="21"/>
        <v>7707971.7068375843</v>
      </c>
      <c r="AA36" s="1029">
        <f t="shared" si="21"/>
        <v>8894130.0644949824</v>
      </c>
      <c r="AB36" s="1029">
        <f t="shared" ref="AB36:AC36" si="22">SUM(AB30:AB35)</f>
        <v>9072012.6657848824</v>
      </c>
      <c r="AC36" s="1029">
        <f t="shared" si="22"/>
        <v>9253452.9191005789</v>
      </c>
      <c r="AD36" s="1029">
        <f t="shared" ref="AD36" si="23">SUM(AD30:AD35)</f>
        <v>9438521.9774825908</v>
      </c>
    </row>
    <row r="37" spans="1:32" s="1042" customFormat="1" x14ac:dyDescent="0.25">
      <c r="A37" s="1062"/>
      <c r="B37" s="3074"/>
      <c r="C37" s="3074"/>
      <c r="D37" s="3074"/>
      <c r="E37" s="3074"/>
      <c r="F37" s="3074"/>
      <c r="G37" s="3074"/>
      <c r="H37" s="3074"/>
      <c r="I37" s="3074"/>
      <c r="J37" s="1062"/>
      <c r="K37" s="1063"/>
      <c r="L37" s="1063"/>
      <c r="M37" s="1063"/>
      <c r="N37" s="1063"/>
      <c r="O37" s="1063"/>
      <c r="P37" s="1063"/>
      <c r="Q37" s="1063"/>
      <c r="R37" s="1063"/>
      <c r="S37" s="1063"/>
      <c r="T37" s="1063"/>
      <c r="U37" s="1063"/>
      <c r="V37" s="1063"/>
      <c r="W37" s="1063"/>
      <c r="X37" s="1063"/>
      <c r="Y37" s="1063"/>
      <c r="Z37" s="1063"/>
      <c r="AA37" s="1063"/>
      <c r="AB37" s="1063"/>
      <c r="AC37" s="1063"/>
      <c r="AD37" s="1063"/>
    </row>
    <row r="38" spans="1:32" s="1042" customFormat="1" x14ac:dyDescent="0.25">
      <c r="A38" s="1042" t="s">
        <v>990</v>
      </c>
      <c r="J38" s="1044"/>
      <c r="K38" s="1044"/>
      <c r="L38" s="1044"/>
      <c r="M38" s="1044"/>
      <c r="N38" s="1044"/>
      <c r="O38" s="1047"/>
      <c r="P38" s="1047">
        <f t="shared" ref="P38:AA38" si="24">P36</f>
        <v>216223.18449868803</v>
      </c>
      <c r="Q38" s="1047">
        <f t="shared" si="24"/>
        <v>522801.30791721691</v>
      </c>
      <c r="R38" s="1047">
        <f t="shared" si="24"/>
        <v>1001065.7751283359</v>
      </c>
      <c r="S38" s="1047">
        <f t="shared" si="24"/>
        <v>1508505.5947435123</v>
      </c>
      <c r="T38" s="1047">
        <f t="shared" si="24"/>
        <v>2391667.052029714</v>
      </c>
      <c r="U38" s="1047">
        <f t="shared" si="24"/>
        <v>3032589.9381745574</v>
      </c>
      <c r="V38" s="1047">
        <f t="shared" si="24"/>
        <v>3718890.7790316436</v>
      </c>
      <c r="W38" s="1047">
        <f t="shared" si="24"/>
        <v>4495461.0410992932</v>
      </c>
      <c r="X38" s="1047">
        <f t="shared" si="24"/>
        <v>5410736.9090671092</v>
      </c>
      <c r="Y38" s="1047">
        <f t="shared" si="24"/>
        <v>6512362.9437531717</v>
      </c>
      <c r="Z38" s="1047">
        <f t="shared" si="24"/>
        <v>7707971.7068375843</v>
      </c>
      <c r="AA38" s="1047">
        <f t="shared" si="24"/>
        <v>8894130.0644949824</v>
      </c>
      <c r="AB38" s="1047">
        <f t="shared" ref="AB38:AC38" si="25">AB36</f>
        <v>9072012.6657848824</v>
      </c>
      <c r="AC38" s="1047">
        <f t="shared" si="25"/>
        <v>9253452.9191005789</v>
      </c>
      <c r="AD38" s="1047">
        <f t="shared" ref="AD38" si="26">AD36</f>
        <v>9438521.9774825908</v>
      </c>
    </row>
    <row r="39" spans="1:32" s="1042" customFormat="1" x14ac:dyDescent="0.25">
      <c r="J39" s="1044"/>
      <c r="K39" s="1044"/>
      <c r="L39" s="1044"/>
      <c r="M39" s="1044"/>
      <c r="N39" s="1044"/>
      <c r="O39" s="1044"/>
      <c r="P39" s="1044"/>
      <c r="Q39" s="1044"/>
      <c r="R39" s="1044"/>
      <c r="S39" s="1044"/>
      <c r="T39" s="1044"/>
      <c r="U39" s="1044"/>
      <c r="V39" s="1047"/>
      <c r="W39" s="1047"/>
      <c r="X39" s="1047"/>
      <c r="Y39" s="1047"/>
      <c r="Z39" s="1047"/>
      <c r="AA39" s="1047"/>
      <c r="AB39" s="1047"/>
      <c r="AC39" s="1047"/>
      <c r="AD39" s="1047"/>
    </row>
    <row r="40" spans="1:32" s="1042" customFormat="1" x14ac:dyDescent="0.25">
      <c r="J40" s="1044"/>
      <c r="K40" s="1044"/>
      <c r="L40" s="1044"/>
      <c r="M40" s="1044"/>
      <c r="N40" s="1044"/>
      <c r="O40" s="1044"/>
      <c r="P40" s="1044"/>
      <c r="Q40" s="1044"/>
      <c r="R40" s="1044"/>
      <c r="S40" s="1044"/>
      <c r="T40" s="1044"/>
      <c r="U40" s="1044"/>
      <c r="V40" s="1048">
        <v>0.18</v>
      </c>
      <c r="W40" s="1048">
        <v>0.18</v>
      </c>
      <c r="X40" s="1048">
        <v>0.18</v>
      </c>
      <c r="Y40" s="1048">
        <v>0.18</v>
      </c>
      <c r="Z40" s="1048">
        <v>0.14000000000000001</v>
      </c>
      <c r="AA40" s="1048">
        <v>0.1</v>
      </c>
      <c r="AB40" s="1048">
        <v>0.1</v>
      </c>
      <c r="AC40" s="1048">
        <v>0.1</v>
      </c>
      <c r="AD40" s="1048">
        <v>0.1</v>
      </c>
    </row>
    <row r="41" spans="1:32" s="1042" customFormat="1" x14ac:dyDescent="0.25">
      <c r="J41" s="1044"/>
      <c r="K41" s="1044"/>
      <c r="L41" s="1044"/>
      <c r="M41" s="1044"/>
      <c r="N41" s="1044"/>
      <c r="O41" s="1044"/>
      <c r="P41" s="1044"/>
      <c r="Q41" s="1044"/>
      <c r="R41" s="1044"/>
      <c r="S41" s="1044"/>
      <c r="T41" s="1044"/>
      <c r="U41" s="1044"/>
      <c r="V41" s="1047"/>
      <c r="W41" s="1047"/>
      <c r="X41" s="1047"/>
      <c r="Y41" s="1047"/>
      <c r="Z41" s="1047"/>
      <c r="AA41" s="1047"/>
      <c r="AB41" s="1047"/>
      <c r="AC41" s="1047"/>
      <c r="AD41" s="1047"/>
    </row>
    <row r="42" spans="1:32" s="1042" customFormat="1" x14ac:dyDescent="0.25">
      <c r="A42" s="1042" t="s">
        <v>991</v>
      </c>
      <c r="J42" s="1044"/>
      <c r="K42" s="1044"/>
      <c r="L42" s="1044"/>
      <c r="M42" s="1044"/>
      <c r="N42" s="1044"/>
      <c r="O42" s="1044"/>
      <c r="P42" s="1044"/>
      <c r="Q42" s="1044"/>
      <c r="R42" s="1044"/>
      <c r="S42" s="1044"/>
      <c r="T42" s="1044"/>
      <c r="U42" s="1044"/>
      <c r="V42" s="1044"/>
      <c r="W42" s="1044"/>
      <c r="X42" s="1044"/>
      <c r="Y42" s="1044"/>
      <c r="Z42" s="1044"/>
      <c r="AA42" s="1044"/>
      <c r="AB42" s="1044"/>
      <c r="AC42" s="1044"/>
      <c r="AD42" s="1044"/>
    </row>
    <row r="43" spans="1:32" s="1042" customFormat="1" x14ac:dyDescent="0.25">
      <c r="A43" s="1062"/>
      <c r="B43" s="3074"/>
      <c r="C43" s="3074"/>
      <c r="D43" s="3074"/>
      <c r="E43" s="3074"/>
      <c r="F43" s="3074"/>
      <c r="G43" s="3074"/>
      <c r="H43" s="3074"/>
      <c r="I43" s="3074"/>
      <c r="J43" s="1062"/>
      <c r="K43" s="1063"/>
      <c r="L43" s="1063"/>
      <c r="M43" s="1063"/>
      <c r="N43" s="1063"/>
      <c r="O43" s="1063"/>
      <c r="P43" s="1063"/>
      <c r="Q43" s="1063"/>
      <c r="R43" s="1063"/>
      <c r="S43" s="1063"/>
      <c r="T43" s="1063"/>
      <c r="U43" s="1063"/>
      <c r="V43" s="1063"/>
      <c r="W43" s="1063"/>
      <c r="X43" s="1063"/>
      <c r="Y43" s="1063"/>
      <c r="Z43" s="1063"/>
      <c r="AA43" s="1063"/>
      <c r="AB43" s="1063"/>
      <c r="AC43" s="1063"/>
      <c r="AD43" s="1063"/>
    </row>
    <row r="44" spans="1:32" s="1042" customFormat="1" x14ac:dyDescent="0.25">
      <c r="A44" s="1028" t="s">
        <v>6</v>
      </c>
      <c r="B44" s="1028"/>
      <c r="C44" s="1028"/>
      <c r="D44" s="1028"/>
      <c r="E44" s="1028"/>
      <c r="F44" s="1028"/>
      <c r="G44" s="1028"/>
      <c r="H44" s="1028"/>
      <c r="I44" s="1028"/>
      <c r="J44" s="1029"/>
      <c r="K44" s="1029"/>
      <c r="L44" s="1029"/>
      <c r="M44" s="1029"/>
      <c r="N44" s="1029"/>
      <c r="O44" s="3100">
        <v>1</v>
      </c>
      <c r="P44" s="3100">
        <v>1</v>
      </c>
      <c r="Q44" s="3100">
        <v>1</v>
      </c>
      <c r="R44" s="3100">
        <v>1</v>
      </c>
      <c r="S44" s="3100">
        <v>1</v>
      </c>
      <c r="T44" s="3101">
        <v>0.85</v>
      </c>
      <c r="U44" s="3100">
        <v>0.75</v>
      </c>
      <c r="V44" s="3101">
        <v>0.7</v>
      </c>
      <c r="W44" s="3101">
        <v>0.7</v>
      </c>
      <c r="X44" s="3100">
        <v>0.6399999999999999</v>
      </c>
      <c r="Y44" s="3100">
        <v>0.6399999999999999</v>
      </c>
      <c r="Z44" s="3100">
        <v>0.6399999999999999</v>
      </c>
      <c r="AA44" s="3100">
        <v>0.6399999999999999</v>
      </c>
      <c r="AB44" s="3101">
        <f>AA44*0.9</f>
        <v>0.57599999999999996</v>
      </c>
      <c r="AC44" s="3101">
        <f>AB44</f>
        <v>0.57599999999999996</v>
      </c>
      <c r="AD44" s="3101">
        <f>AC44</f>
        <v>0.57599999999999996</v>
      </c>
    </row>
    <row r="45" spans="1:32" s="1042" customFormat="1" x14ac:dyDescent="0.25">
      <c r="A45" s="1028" t="s">
        <v>1004</v>
      </c>
      <c r="B45" s="1028"/>
      <c r="C45" s="1028"/>
      <c r="D45" s="1028"/>
      <c r="E45" s="1028"/>
      <c r="F45" s="1028"/>
      <c r="G45" s="1028"/>
      <c r="H45" s="1028"/>
      <c r="I45" s="1028"/>
      <c r="J45" s="1029"/>
      <c r="K45" s="1029"/>
      <c r="L45" s="1029"/>
      <c r="M45" s="1029"/>
      <c r="N45" s="1029"/>
      <c r="O45" s="3100">
        <v>1</v>
      </c>
      <c r="P45" s="3100">
        <v>1</v>
      </c>
      <c r="Q45" s="3100">
        <v>1</v>
      </c>
      <c r="R45" s="3100">
        <v>1</v>
      </c>
      <c r="S45" s="3100">
        <v>1</v>
      </c>
      <c r="T45" s="3101">
        <v>0.85</v>
      </c>
      <c r="U45" s="3100">
        <v>0.75</v>
      </c>
      <c r="V45" s="3101">
        <v>0.7</v>
      </c>
      <c r="W45" s="3101">
        <v>0.7</v>
      </c>
      <c r="X45" s="3100">
        <v>0.6399999999999999</v>
      </c>
      <c r="Y45" s="3100">
        <v>0.6399999999999999</v>
      </c>
      <c r="Z45" s="3100">
        <v>0.6399999999999999</v>
      </c>
      <c r="AA45" s="3100">
        <v>0.6399999999999999</v>
      </c>
      <c r="AB45" s="3101">
        <f t="shared" ref="AB45:AB49" si="27">AA45*0.9</f>
        <v>0.57599999999999996</v>
      </c>
      <c r="AC45" s="3101">
        <f t="shared" ref="AC45:AD49" si="28">AB45</f>
        <v>0.57599999999999996</v>
      </c>
      <c r="AD45" s="3101">
        <f t="shared" si="28"/>
        <v>0.57599999999999996</v>
      </c>
    </row>
    <row r="46" spans="1:32" s="1042" customFormat="1" x14ac:dyDescent="0.25">
      <c r="A46" s="1028" t="s">
        <v>1006</v>
      </c>
      <c r="B46" s="1028"/>
      <c r="C46" s="1028"/>
      <c r="D46" s="1028"/>
      <c r="E46" s="1028"/>
      <c r="F46" s="1028"/>
      <c r="G46" s="1028"/>
      <c r="H46" s="1028"/>
      <c r="I46" s="1028"/>
      <c r="J46" s="1029"/>
      <c r="K46" s="1029"/>
      <c r="L46" s="1029"/>
      <c r="M46" s="1029"/>
      <c r="N46" s="1029"/>
      <c r="O46" s="3100">
        <v>1</v>
      </c>
      <c r="P46" s="3100">
        <v>1</v>
      </c>
      <c r="Q46" s="3100">
        <v>1</v>
      </c>
      <c r="R46" s="3100">
        <v>1</v>
      </c>
      <c r="S46" s="3100">
        <v>1</v>
      </c>
      <c r="T46" s="3101">
        <v>0.85</v>
      </c>
      <c r="U46" s="3100">
        <v>0.75</v>
      </c>
      <c r="V46" s="3101">
        <v>0.7</v>
      </c>
      <c r="W46" s="3101">
        <v>0.7</v>
      </c>
      <c r="X46" s="3100">
        <v>0.6399999999999999</v>
      </c>
      <c r="Y46" s="3100">
        <v>0.6399999999999999</v>
      </c>
      <c r="Z46" s="3100">
        <v>0.6399999999999999</v>
      </c>
      <c r="AA46" s="3100">
        <v>0.6399999999999999</v>
      </c>
      <c r="AB46" s="3101">
        <f t="shared" si="27"/>
        <v>0.57599999999999996</v>
      </c>
      <c r="AC46" s="3101">
        <f t="shared" si="28"/>
        <v>0.57599999999999996</v>
      </c>
      <c r="AD46" s="3101">
        <f t="shared" si="28"/>
        <v>0.57599999999999996</v>
      </c>
    </row>
    <row r="47" spans="1:32" s="1042" customFormat="1" x14ac:dyDescent="0.25">
      <c r="A47" s="1028" t="s">
        <v>1008</v>
      </c>
      <c r="B47" s="1028"/>
      <c r="C47" s="1028"/>
      <c r="D47" s="1028"/>
      <c r="E47" s="1028"/>
      <c r="F47" s="1028"/>
      <c r="G47" s="1028"/>
      <c r="H47" s="1028"/>
      <c r="I47" s="1028"/>
      <c r="J47" s="1029"/>
      <c r="K47" s="1029"/>
      <c r="L47" s="1029"/>
      <c r="M47" s="1029"/>
      <c r="N47" s="1029"/>
      <c r="O47" s="3100">
        <v>1</v>
      </c>
      <c r="P47" s="3100">
        <v>1</v>
      </c>
      <c r="Q47" s="3100">
        <v>1</v>
      </c>
      <c r="R47" s="3100">
        <v>1</v>
      </c>
      <c r="S47" s="3100">
        <v>1</v>
      </c>
      <c r="T47" s="3101">
        <v>0.85</v>
      </c>
      <c r="U47" s="3100">
        <v>0.75</v>
      </c>
      <c r="V47" s="3101">
        <v>0.7</v>
      </c>
      <c r="W47" s="3101">
        <v>0.7</v>
      </c>
      <c r="X47" s="3100">
        <v>0.6399999999999999</v>
      </c>
      <c r="Y47" s="3100">
        <v>0.6399999999999999</v>
      </c>
      <c r="Z47" s="3100">
        <v>0.6399999999999999</v>
      </c>
      <c r="AA47" s="3100">
        <v>0.6399999999999999</v>
      </c>
      <c r="AB47" s="3101">
        <f t="shared" si="27"/>
        <v>0.57599999999999996</v>
      </c>
      <c r="AC47" s="3101">
        <f t="shared" si="28"/>
        <v>0.57599999999999996</v>
      </c>
      <c r="AD47" s="3101">
        <f t="shared" si="28"/>
        <v>0.57599999999999996</v>
      </c>
    </row>
    <row r="48" spans="1:32" s="1042" customFormat="1" x14ac:dyDescent="0.25">
      <c r="A48" s="1028" t="s">
        <v>1010</v>
      </c>
      <c r="B48" s="1028"/>
      <c r="C48" s="1028"/>
      <c r="D48" s="1028"/>
      <c r="E48" s="1028"/>
      <c r="F48" s="1028"/>
      <c r="G48" s="1028"/>
      <c r="H48" s="1028"/>
      <c r="I48" s="1028"/>
      <c r="J48" s="1029"/>
      <c r="K48" s="1029"/>
      <c r="L48" s="1029"/>
      <c r="M48" s="1029"/>
      <c r="N48" s="1029"/>
      <c r="O48" s="3100">
        <v>1</v>
      </c>
      <c r="P48" s="3100">
        <v>1</v>
      </c>
      <c r="Q48" s="3100">
        <v>1</v>
      </c>
      <c r="R48" s="3100">
        <v>1</v>
      </c>
      <c r="S48" s="3100">
        <v>1</v>
      </c>
      <c r="T48" s="3101">
        <v>0.85</v>
      </c>
      <c r="U48" s="3100">
        <v>0.75</v>
      </c>
      <c r="V48" s="3101">
        <v>0.7</v>
      </c>
      <c r="W48" s="3101">
        <v>0.7</v>
      </c>
      <c r="X48" s="3100">
        <v>0.6399999999999999</v>
      </c>
      <c r="Y48" s="3100">
        <v>0.6399999999999999</v>
      </c>
      <c r="Z48" s="3100">
        <v>0.6399999999999999</v>
      </c>
      <c r="AA48" s="3100">
        <v>0.6399999999999999</v>
      </c>
      <c r="AB48" s="3101">
        <f t="shared" si="27"/>
        <v>0.57599999999999996</v>
      </c>
      <c r="AC48" s="3101">
        <f t="shared" si="28"/>
        <v>0.57599999999999996</v>
      </c>
      <c r="AD48" s="3101">
        <f t="shared" si="28"/>
        <v>0.57599999999999996</v>
      </c>
    </row>
    <row r="49" spans="1:30" s="1042" customFormat="1" x14ac:dyDescent="0.25">
      <c r="A49" s="1028" t="s">
        <v>1011</v>
      </c>
      <c r="B49" s="1028"/>
      <c r="C49" s="1028"/>
      <c r="D49" s="1028"/>
      <c r="E49" s="1028"/>
      <c r="F49" s="1028"/>
      <c r="G49" s="1028"/>
      <c r="H49" s="1028"/>
      <c r="I49" s="1028"/>
      <c r="J49" s="1029"/>
      <c r="K49" s="1029"/>
      <c r="L49" s="1029"/>
      <c r="M49" s="1029"/>
      <c r="N49" s="1029"/>
      <c r="O49" s="3100">
        <v>1</v>
      </c>
      <c r="P49" s="3100">
        <v>1</v>
      </c>
      <c r="Q49" s="3100">
        <v>1</v>
      </c>
      <c r="R49" s="3100">
        <v>1</v>
      </c>
      <c r="S49" s="3100">
        <v>1</v>
      </c>
      <c r="T49" s="3101">
        <v>0.85</v>
      </c>
      <c r="U49" s="3100">
        <v>0.75</v>
      </c>
      <c r="V49" s="3101">
        <v>0.7</v>
      </c>
      <c r="W49" s="3101">
        <v>0.7</v>
      </c>
      <c r="X49" s="3100">
        <v>0.6399999999999999</v>
      </c>
      <c r="Y49" s="3100">
        <v>0.6399999999999999</v>
      </c>
      <c r="Z49" s="3100">
        <v>0.6399999999999999</v>
      </c>
      <c r="AA49" s="3100">
        <v>0.6399999999999999</v>
      </c>
      <c r="AB49" s="3101">
        <f t="shared" si="27"/>
        <v>0.57599999999999996</v>
      </c>
      <c r="AC49" s="3101">
        <f t="shared" si="28"/>
        <v>0.57599999999999996</v>
      </c>
      <c r="AD49" s="3101">
        <f t="shared" si="28"/>
        <v>0.57599999999999996</v>
      </c>
    </row>
    <row r="50" spans="1:30" s="1042" customFormat="1" x14ac:dyDescent="0.25">
      <c r="A50" s="1062"/>
      <c r="B50" s="3074"/>
      <c r="C50" s="3074"/>
      <c r="D50" s="3074"/>
      <c r="E50" s="3074"/>
      <c r="F50" s="3074"/>
      <c r="G50" s="3074"/>
      <c r="H50" s="3074"/>
      <c r="I50" s="3074"/>
      <c r="J50" s="1062"/>
      <c r="K50" s="1063"/>
      <c r="L50" s="1063"/>
      <c r="M50" s="1063"/>
      <c r="N50" s="1063"/>
      <c r="O50" s="1063"/>
      <c r="P50" s="1063"/>
      <c r="Q50" s="1063"/>
      <c r="R50" s="1063"/>
      <c r="S50" s="1063"/>
      <c r="T50" s="1063"/>
      <c r="U50" s="1063"/>
      <c r="V50" s="1063"/>
      <c r="W50" s="1063"/>
      <c r="X50" s="1063"/>
      <c r="Y50" s="1063"/>
      <c r="Z50" s="1063"/>
      <c r="AA50" s="1063"/>
      <c r="AB50" s="1063"/>
      <c r="AC50" s="1063"/>
      <c r="AD50" s="1063"/>
    </row>
    <row r="51" spans="1:30" s="1042" customFormat="1" x14ac:dyDescent="0.25">
      <c r="A51" s="1028" t="s">
        <v>6</v>
      </c>
      <c r="B51" s="1028"/>
      <c r="C51" s="1028"/>
      <c r="D51" s="1028"/>
      <c r="E51" s="1028"/>
      <c r="F51" s="1028"/>
      <c r="G51" s="1028"/>
      <c r="H51" s="1028"/>
      <c r="I51" s="1028"/>
      <c r="J51" s="1029"/>
      <c r="K51" s="1029"/>
      <c r="L51" s="1029"/>
      <c r="M51" s="1029"/>
      <c r="N51" s="1029"/>
      <c r="O51" s="1029">
        <f>O30*O44</f>
        <v>0</v>
      </c>
      <c r="P51" s="1029">
        <f t="shared" ref="P51:AA51" si="29">P30*P44</f>
        <v>17568.133740518402</v>
      </c>
      <c r="Q51" s="1029">
        <f t="shared" si="29"/>
        <v>40766.854344872954</v>
      </c>
      <c r="R51" s="1029">
        <f t="shared" si="29"/>
        <v>73111.545374541383</v>
      </c>
      <c r="S51" s="1029">
        <f t="shared" si="29"/>
        <v>118851.95594948884</v>
      </c>
      <c r="T51" s="1029">
        <f>T30*T44</f>
        <v>161638.6600913048</v>
      </c>
      <c r="U51" s="1029">
        <f>U30*U44</f>
        <v>181843.49260271792</v>
      </c>
      <c r="V51" s="1029">
        <f>V30*V44</f>
        <v>207738.00594934495</v>
      </c>
      <c r="W51" s="1029">
        <f>W30*W44</f>
        <v>250033.46396063158</v>
      </c>
      <c r="X51" s="1029">
        <f t="shared" si="29"/>
        <v>275145.39631818619</v>
      </c>
      <c r="Y51" s="1029">
        <f t="shared" si="29"/>
        <v>331164.99900856888</v>
      </c>
      <c r="Z51" s="1029">
        <f t="shared" si="29"/>
        <v>398590.19280671352</v>
      </c>
      <c r="AA51" s="1029">
        <f t="shared" si="29"/>
        <v>463480.67619564652</v>
      </c>
      <c r="AB51" s="1029">
        <f t="shared" ref="AB51:AC51" si="30">AB30*AB44</f>
        <v>425475.26074760361</v>
      </c>
      <c r="AC51" s="1029">
        <f t="shared" si="30"/>
        <v>433984.76596255566</v>
      </c>
      <c r="AD51" s="1029">
        <f t="shared" ref="AD51" si="31">AD30*AD44</f>
        <v>442664.46128180675</v>
      </c>
    </row>
    <row r="52" spans="1:30" s="1042" customFormat="1" x14ac:dyDescent="0.25">
      <c r="A52" s="1028" t="s">
        <v>1004</v>
      </c>
      <c r="B52" s="1028"/>
      <c r="C52" s="1028"/>
      <c r="D52" s="1028"/>
      <c r="E52" s="1028"/>
      <c r="F52" s="1028"/>
      <c r="G52" s="1028"/>
      <c r="H52" s="1028"/>
      <c r="I52" s="1028"/>
      <c r="J52" s="1029"/>
      <c r="K52" s="1029"/>
      <c r="L52" s="1029"/>
      <c r="M52" s="1029"/>
      <c r="N52" s="1029"/>
      <c r="O52" s="1029">
        <f t="shared" ref="O52:AA52" si="32">O31*O45</f>
        <v>0</v>
      </c>
      <c r="P52" s="1029">
        <f t="shared" si="32"/>
        <v>70159.918720147209</v>
      </c>
      <c r="Q52" s="1029">
        <f t="shared" si="32"/>
        <v>132902.93174702171</v>
      </c>
      <c r="R52" s="1029">
        <f t="shared" si="32"/>
        <v>250266.44378208395</v>
      </c>
      <c r="S52" s="1029">
        <f t="shared" si="32"/>
        <v>361635.01126511133</v>
      </c>
      <c r="T52" s="1029">
        <f t="shared" si="32"/>
        <v>461084.63936301693</v>
      </c>
      <c r="U52" s="1029">
        <f t="shared" si="32"/>
        <v>497971.4105120583</v>
      </c>
      <c r="V52" s="1029">
        <f t="shared" si="32"/>
        <v>559401.16371282563</v>
      </c>
      <c r="W52" s="1029">
        <f t="shared" si="32"/>
        <v>673295.24064475694</v>
      </c>
      <c r="X52" s="1029">
        <f t="shared" si="32"/>
        <v>740917.16721374111</v>
      </c>
      <c r="Y52" s="1029">
        <f t="shared" si="32"/>
        <v>891767.90245845867</v>
      </c>
      <c r="Z52" s="1029">
        <f t="shared" si="32"/>
        <v>1036947.7169786958</v>
      </c>
      <c r="AA52" s="1029">
        <f t="shared" si="32"/>
        <v>1163455.3384500968</v>
      </c>
      <c r="AB52" s="1029">
        <f t="shared" ref="AB52:AC52" si="33">AB31*AB45</f>
        <v>1068052.000697189</v>
      </c>
      <c r="AC52" s="1029">
        <f t="shared" si="33"/>
        <v>1089413.0407111328</v>
      </c>
      <c r="AD52" s="1029">
        <f t="shared" ref="AD52" si="34">AD31*AD45</f>
        <v>1111201.3015253555</v>
      </c>
    </row>
    <row r="53" spans="1:30" s="1042" customFormat="1" x14ac:dyDescent="0.25">
      <c r="A53" s="1028" t="s">
        <v>1006</v>
      </c>
      <c r="B53" s="1028"/>
      <c r="C53" s="1028"/>
      <c r="D53" s="1028"/>
      <c r="E53" s="1028"/>
      <c r="F53" s="1028"/>
      <c r="G53" s="1028"/>
      <c r="H53" s="1028"/>
      <c r="I53" s="1028"/>
      <c r="J53" s="1029"/>
      <c r="K53" s="1029"/>
      <c r="L53" s="1029"/>
      <c r="M53" s="1029"/>
      <c r="N53" s="1029"/>
      <c r="O53" s="1029">
        <f t="shared" ref="O53:AA53" si="35">O32*O46</f>
        <v>0</v>
      </c>
      <c r="P53" s="1029">
        <f t="shared" si="35"/>
        <v>6306.5095478784006</v>
      </c>
      <c r="Q53" s="1029">
        <f t="shared" si="35"/>
        <v>14634.255405851829</v>
      </c>
      <c r="R53" s="1029">
        <f t="shared" si="35"/>
        <v>26245.170134450756</v>
      </c>
      <c r="S53" s="1029">
        <f t="shared" si="35"/>
        <v>42664.804699816501</v>
      </c>
      <c r="T53" s="1029">
        <f t="shared" si="35"/>
        <v>58024.134391750442</v>
      </c>
      <c r="U53" s="1029">
        <f t="shared" si="35"/>
        <v>65277.151190719247</v>
      </c>
      <c r="V53" s="1029">
        <f t="shared" si="35"/>
        <v>74572.617520277665</v>
      </c>
      <c r="W53" s="1029">
        <f t="shared" si="35"/>
        <v>89755.602447406185</v>
      </c>
      <c r="X53" s="1029">
        <f t="shared" si="35"/>
        <v>98770.142268066818</v>
      </c>
      <c r="Y53" s="1029">
        <f t="shared" si="35"/>
        <v>118879.74323384522</v>
      </c>
      <c r="Z53" s="1029">
        <f t="shared" si="35"/>
        <v>143083.65895625608</v>
      </c>
      <c r="AA53" s="1029">
        <f t="shared" si="35"/>
        <v>166377.67863433459</v>
      </c>
      <c r="AB53" s="1029">
        <f t="shared" ref="AB53:AC53" si="36">AB32*AB46</f>
        <v>152734.70898631919</v>
      </c>
      <c r="AC53" s="1029">
        <f t="shared" si="36"/>
        <v>155789.40316604558</v>
      </c>
      <c r="AD53" s="1029">
        <f t="shared" ref="AD53" si="37">AD32*AD46</f>
        <v>158905.19122936649</v>
      </c>
    </row>
    <row r="54" spans="1:30" s="1042" customFormat="1" x14ac:dyDescent="0.25">
      <c r="A54" s="1028" t="s">
        <v>1008</v>
      </c>
      <c r="B54" s="1028"/>
      <c r="C54" s="1028"/>
      <c r="D54" s="1028"/>
      <c r="E54" s="1028"/>
      <c r="F54" s="1028"/>
      <c r="G54" s="1028"/>
      <c r="H54" s="1028"/>
      <c r="I54" s="1028"/>
      <c r="J54" s="1029"/>
      <c r="K54" s="1029"/>
      <c r="L54" s="1029"/>
      <c r="M54" s="1029"/>
      <c r="N54" s="1029"/>
      <c r="O54" s="1029">
        <f t="shared" ref="O54:AA54" si="38">O33*O47</f>
        <v>0</v>
      </c>
      <c r="P54" s="1029">
        <f t="shared" si="38"/>
        <v>90656.074750752014</v>
      </c>
      <c r="Q54" s="1029">
        <f t="shared" si="38"/>
        <v>171728.50731356739</v>
      </c>
      <c r="R54" s="1029">
        <f t="shared" si="38"/>
        <v>323377.98915662535</v>
      </c>
      <c r="S54" s="1029">
        <f t="shared" si="38"/>
        <v>467281.19433132373</v>
      </c>
      <c r="T54" s="1029">
        <f t="shared" si="38"/>
        <v>595783.52277243778</v>
      </c>
      <c r="U54" s="1029">
        <f t="shared" si="38"/>
        <v>643446.20459423272</v>
      </c>
      <c r="V54" s="1029">
        <f t="shared" si="38"/>
        <v>722821.72839297727</v>
      </c>
      <c r="W54" s="1029">
        <f t="shared" si="38"/>
        <v>869988.2322937873</v>
      </c>
      <c r="X54" s="1029">
        <f t="shared" si="38"/>
        <v>957364.87898404791</v>
      </c>
      <c r="Y54" s="1029">
        <f t="shared" si="38"/>
        <v>1152284.3683451999</v>
      </c>
      <c r="Z54" s="1029">
        <f t="shared" si="38"/>
        <v>1339876.2635117986</v>
      </c>
      <c r="AA54" s="1029">
        <f t="shared" si="38"/>
        <v>1503341.167660238</v>
      </c>
      <c r="AB54" s="1029">
        <f t="shared" ref="AB54:AC54" si="39">AB33*AB47</f>
        <v>1380067.1919120986</v>
      </c>
      <c r="AC54" s="1029">
        <f t="shared" si="39"/>
        <v>1407668.5357503404</v>
      </c>
      <c r="AD54" s="1029">
        <f t="shared" ref="AD54" si="40">AD33*AD47</f>
        <v>1435821.9064653472</v>
      </c>
    </row>
    <row r="55" spans="1:30" s="1042" customFormat="1" x14ac:dyDescent="0.25">
      <c r="A55" s="1028" t="s">
        <v>1010</v>
      </c>
      <c r="B55" s="1028"/>
      <c r="C55" s="1028"/>
      <c r="D55" s="1028"/>
      <c r="E55" s="1028"/>
      <c r="F55" s="1028"/>
      <c r="G55" s="1028"/>
      <c r="H55" s="1028"/>
      <c r="I55" s="1028"/>
      <c r="J55" s="1029"/>
      <c r="K55" s="1029"/>
      <c r="L55" s="1029"/>
      <c r="M55" s="1029"/>
      <c r="N55" s="1029"/>
      <c r="O55" s="1029">
        <f t="shared" ref="O55:AA55" si="41">O34*O48</f>
        <v>0</v>
      </c>
      <c r="P55" s="1029">
        <f t="shared" si="41"/>
        <v>0</v>
      </c>
      <c r="Q55" s="1029">
        <f t="shared" si="41"/>
        <v>89597.48207664385</v>
      </c>
      <c r="R55" s="1029">
        <f t="shared" si="41"/>
        <v>196838.77600838066</v>
      </c>
      <c r="S55" s="1029">
        <f t="shared" si="41"/>
        <v>304748.60499868932</v>
      </c>
      <c r="T55" s="1029">
        <f t="shared" si="41"/>
        <v>466265.36564799456</v>
      </c>
      <c r="U55" s="1029">
        <f t="shared" si="41"/>
        <v>559518.43877759355</v>
      </c>
      <c r="V55" s="1029">
        <f t="shared" si="41"/>
        <v>665826.9421453363</v>
      </c>
      <c r="W55" s="1029">
        <f t="shared" si="41"/>
        <v>814972.17718589166</v>
      </c>
      <c r="X55" s="1029">
        <f t="shared" si="41"/>
        <v>896823.32567857299</v>
      </c>
      <c r="Y55" s="1029">
        <f t="shared" si="41"/>
        <v>1079416.5547867303</v>
      </c>
      <c r="Z55" s="1029">
        <f t="shared" si="41"/>
        <v>1299185.7653413087</v>
      </c>
      <c r="AA55" s="1029">
        <f t="shared" si="41"/>
        <v>1563699.9871647991</v>
      </c>
      <c r="AB55" s="1029">
        <f t="shared" ref="AB55:AC55" si="42">AB34*AB48</f>
        <v>1435476.5882172852</v>
      </c>
      <c r="AC55" s="1029">
        <f t="shared" si="42"/>
        <v>1464186.1199816309</v>
      </c>
      <c r="AD55" s="1029">
        <f t="shared" ref="AD55" si="43">AD34*AD48</f>
        <v>1493469.8423812639</v>
      </c>
    </row>
    <row r="56" spans="1:30" s="1042" customFormat="1" x14ac:dyDescent="0.25">
      <c r="A56" s="1028" t="s">
        <v>1011</v>
      </c>
      <c r="B56" s="1028"/>
      <c r="C56" s="1028"/>
      <c r="D56" s="1028"/>
      <c r="E56" s="1028"/>
      <c r="F56" s="1028"/>
      <c r="G56" s="1028"/>
      <c r="H56" s="1028"/>
      <c r="I56" s="1028"/>
      <c r="J56" s="1029"/>
      <c r="K56" s="1029"/>
      <c r="L56" s="1029"/>
      <c r="M56" s="1029"/>
      <c r="N56" s="1029"/>
      <c r="O56" s="1029">
        <f t="shared" ref="O56:AA56" si="44">O35*O49</f>
        <v>0</v>
      </c>
      <c r="P56" s="1029">
        <f t="shared" si="44"/>
        <v>31532.547739392005</v>
      </c>
      <c r="Q56" s="1029">
        <f t="shared" si="44"/>
        <v>73171.277029259159</v>
      </c>
      <c r="R56" s="1029">
        <f t="shared" si="44"/>
        <v>131225.85067225379</v>
      </c>
      <c r="S56" s="1029">
        <f t="shared" si="44"/>
        <v>213324.02349908254</v>
      </c>
      <c r="T56" s="1029">
        <f t="shared" si="44"/>
        <v>290120.67195875227</v>
      </c>
      <c r="U56" s="1029">
        <f t="shared" si="44"/>
        <v>326385.75595359626</v>
      </c>
      <c r="V56" s="1029">
        <f t="shared" si="44"/>
        <v>372863.08760138834</v>
      </c>
      <c r="W56" s="1029">
        <f t="shared" si="44"/>
        <v>448778.01223703107</v>
      </c>
      <c r="X56" s="1029">
        <f t="shared" si="44"/>
        <v>493850.71134033421</v>
      </c>
      <c r="Y56" s="1029">
        <f t="shared" si="44"/>
        <v>594398.71616922622</v>
      </c>
      <c r="Z56" s="1029">
        <f t="shared" si="44"/>
        <v>715418.29478128068</v>
      </c>
      <c r="AA56" s="1029">
        <f t="shared" si="44"/>
        <v>831888.39317167317</v>
      </c>
      <c r="AB56" s="1029">
        <f t="shared" ref="AB56:AC56" si="45">AB35*AB49</f>
        <v>763673.54493159603</v>
      </c>
      <c r="AC56" s="1029">
        <f t="shared" si="45"/>
        <v>778947.01583022799</v>
      </c>
      <c r="AD56" s="1029">
        <f t="shared" ref="AD56" si="46">AD35*AD49</f>
        <v>794525.95614683244</v>
      </c>
    </row>
    <row r="57" spans="1:30" s="1042" customFormat="1" x14ac:dyDescent="0.25">
      <c r="A57" s="1030" t="s">
        <v>655</v>
      </c>
      <c r="B57" s="1030"/>
      <c r="C57" s="1030"/>
      <c r="D57" s="1030"/>
      <c r="E57" s="1030"/>
      <c r="F57" s="1030"/>
      <c r="G57" s="1030"/>
      <c r="H57" s="1030"/>
      <c r="I57" s="1030"/>
      <c r="J57" s="1029"/>
      <c r="K57" s="1029"/>
      <c r="L57" s="1029"/>
      <c r="M57" s="1029"/>
      <c r="N57" s="1029"/>
      <c r="O57" s="1029">
        <f>SUM(O51:O56)</f>
        <v>0</v>
      </c>
      <c r="P57" s="1029">
        <f t="shared" ref="P57:AA57" si="47">SUM(P51:P56)</f>
        <v>216223.18449868803</v>
      </c>
      <c r="Q57" s="1029">
        <f t="shared" si="47"/>
        <v>522801.30791721691</v>
      </c>
      <c r="R57" s="1029">
        <f t="shared" si="47"/>
        <v>1001065.7751283359</v>
      </c>
      <c r="S57" s="1029">
        <f t="shared" si="47"/>
        <v>1508505.5947435123</v>
      </c>
      <c r="T57" s="1029">
        <f t="shared" si="47"/>
        <v>2032916.9942252568</v>
      </c>
      <c r="U57" s="1029">
        <f t="shared" si="47"/>
        <v>2274442.4536309182</v>
      </c>
      <c r="V57" s="1029">
        <f t="shared" si="47"/>
        <v>2603223.54532215</v>
      </c>
      <c r="W57" s="1029">
        <f t="shared" si="47"/>
        <v>3146822.7287695045</v>
      </c>
      <c r="X57" s="1029">
        <f t="shared" si="47"/>
        <v>3462871.6218029493</v>
      </c>
      <c r="Y57" s="1029">
        <f t="shared" si="47"/>
        <v>4167912.2840020293</v>
      </c>
      <c r="Z57" s="1029">
        <f t="shared" si="47"/>
        <v>4933101.8923760531</v>
      </c>
      <c r="AA57" s="1029">
        <f t="shared" si="47"/>
        <v>5692243.2412767876</v>
      </c>
      <c r="AB57" s="1029">
        <f t="shared" ref="AB57:AC57" si="48">SUM(AB51:AB56)</f>
        <v>5225479.2954920921</v>
      </c>
      <c r="AC57" s="1029">
        <f t="shared" si="48"/>
        <v>5329988.8814019337</v>
      </c>
      <c r="AD57" s="1029">
        <f t="shared" ref="AD57" si="49">SUM(AD51:AD56)</f>
        <v>5436588.6590299727</v>
      </c>
    </row>
    <row r="58" spans="1:30" s="1042" customFormat="1" x14ac:dyDescent="0.25">
      <c r="A58" s="1062"/>
      <c r="B58" s="3074"/>
      <c r="C58" s="3074"/>
      <c r="D58" s="3074"/>
      <c r="E58" s="3074"/>
      <c r="F58" s="3074"/>
      <c r="G58" s="3074"/>
      <c r="H58" s="3074"/>
      <c r="I58" s="3074"/>
      <c r="J58" s="1062"/>
      <c r="K58" s="1063"/>
      <c r="L58" s="1063"/>
      <c r="M58" s="1063"/>
      <c r="N58" s="1063"/>
      <c r="O58" s="1063"/>
      <c r="P58" s="1063"/>
      <c r="Q58" s="1063"/>
      <c r="R58" s="1063"/>
      <c r="S58" s="1063"/>
      <c r="T58" s="1063"/>
      <c r="U58" s="1063"/>
      <c r="V58" s="1063"/>
      <c r="W58" s="1063"/>
      <c r="X58" s="1063"/>
      <c r="Y58" s="1063"/>
      <c r="Z58" s="1063"/>
      <c r="AA58" s="1063"/>
      <c r="AB58" s="1063"/>
      <c r="AC58" s="1063"/>
      <c r="AD58" s="1063"/>
    </row>
    <row r="59" spans="1:30" s="1042" customFormat="1" x14ac:dyDescent="0.25">
      <c r="A59" s="1042" t="s">
        <v>992</v>
      </c>
      <c r="J59" s="1044"/>
      <c r="K59" s="1044"/>
      <c r="L59" s="1044"/>
      <c r="M59" s="1044"/>
      <c r="N59" s="3073"/>
      <c r="O59" s="1047">
        <f>O57</f>
        <v>0</v>
      </c>
      <c r="P59" s="3099">
        <f t="shared" ref="P59:AA59" si="50">P57</f>
        <v>216223.18449868803</v>
      </c>
      <c r="Q59" s="3099">
        <f t="shared" si="50"/>
        <v>522801.30791721691</v>
      </c>
      <c r="R59" s="3099">
        <f t="shared" si="50"/>
        <v>1001065.7751283359</v>
      </c>
      <c r="S59" s="3099">
        <f t="shared" si="50"/>
        <v>1508505.5947435123</v>
      </c>
      <c r="T59" s="3099">
        <f t="shared" si="50"/>
        <v>2032916.9942252568</v>
      </c>
      <c r="U59" s="3099">
        <f t="shared" si="50"/>
        <v>2274442.4536309182</v>
      </c>
      <c r="V59" s="3099">
        <f t="shared" si="50"/>
        <v>2603223.54532215</v>
      </c>
      <c r="W59" s="3099">
        <f t="shared" si="50"/>
        <v>3146822.7287695045</v>
      </c>
      <c r="X59" s="3099">
        <f t="shared" si="50"/>
        <v>3462871.6218029493</v>
      </c>
      <c r="Y59" s="3099">
        <f t="shared" si="50"/>
        <v>4167912.2840020293</v>
      </c>
      <c r="Z59" s="3099">
        <f t="shared" si="50"/>
        <v>4933101.8923760531</v>
      </c>
      <c r="AA59" s="3099">
        <f t="shared" si="50"/>
        <v>5692243.2412767876</v>
      </c>
      <c r="AB59" s="3099">
        <f t="shared" ref="AB59:AC59" si="51">AB57</f>
        <v>5225479.2954920921</v>
      </c>
      <c r="AC59" s="3099">
        <f t="shared" si="51"/>
        <v>5329988.8814019337</v>
      </c>
      <c r="AD59" s="3099">
        <f t="shared" ref="AD59" si="52">AD57</f>
        <v>5436588.6590299727</v>
      </c>
    </row>
    <row r="60" spans="1:30" s="1042" customFormat="1" x14ac:dyDescent="0.25">
      <c r="J60" s="1044"/>
      <c r="K60" s="1044"/>
      <c r="L60" s="1044"/>
      <c r="M60" s="1044"/>
      <c r="N60" s="1044"/>
      <c r="O60" s="1047"/>
      <c r="P60" s="1047"/>
      <c r="Q60" s="1047"/>
      <c r="R60" s="1047"/>
      <c r="S60" s="1047"/>
      <c r="T60" s="1047"/>
      <c r="U60" s="1047"/>
      <c r="V60" s="1047"/>
      <c r="W60" s="1047"/>
      <c r="X60" s="1047"/>
      <c r="Y60" s="1047"/>
      <c r="Z60" s="1047"/>
      <c r="AA60" s="1047"/>
      <c r="AB60" s="1047"/>
      <c r="AC60" s="1047"/>
      <c r="AD60" s="1047"/>
    </row>
    <row r="61" spans="1:30" s="1042" customFormat="1" x14ac:dyDescent="0.25">
      <c r="A61" s="1042" t="s">
        <v>998</v>
      </c>
      <c r="J61" s="1044"/>
      <c r="K61" s="1044"/>
      <c r="L61" s="1044"/>
      <c r="M61" s="1044"/>
      <c r="N61" s="1044"/>
      <c r="O61" s="1047">
        <f t="shared" ref="O61:AA61" si="53">O38-O59</f>
        <v>0</v>
      </c>
      <c r="P61" s="1047">
        <f t="shared" si="53"/>
        <v>0</v>
      </c>
      <c r="Q61" s="1047">
        <f t="shared" si="53"/>
        <v>0</v>
      </c>
      <c r="R61" s="1047">
        <f t="shared" si="53"/>
        <v>0</v>
      </c>
      <c r="S61" s="1047">
        <f t="shared" si="53"/>
        <v>0</v>
      </c>
      <c r="T61" s="1047">
        <f>T38-T59</f>
        <v>358750.05780445714</v>
      </c>
      <c r="U61" s="1047">
        <f>U38-U59</f>
        <v>758147.48454363924</v>
      </c>
      <c r="V61" s="1047">
        <f t="shared" si="53"/>
        <v>1115667.2337094937</v>
      </c>
      <c r="W61" s="1047">
        <f>W38-W59</f>
        <v>1348638.3123297887</v>
      </c>
      <c r="X61" s="1047">
        <f t="shared" si="53"/>
        <v>1947865.2872641599</v>
      </c>
      <c r="Y61" s="1047">
        <f t="shared" si="53"/>
        <v>2344450.6597511424</v>
      </c>
      <c r="Z61" s="1047">
        <f t="shared" si="53"/>
        <v>2774869.8144615311</v>
      </c>
      <c r="AA61" s="1047">
        <f t="shared" si="53"/>
        <v>3201886.8232181948</v>
      </c>
      <c r="AB61" s="1047">
        <f t="shared" ref="AB61:AC61" si="54">AB38-AB59</f>
        <v>3846533.3702927902</v>
      </c>
      <c r="AC61" s="1047">
        <f t="shared" si="54"/>
        <v>3923464.0376986451</v>
      </c>
      <c r="AD61" s="1047">
        <f t="shared" ref="AD61" si="55">AD38-AD59</f>
        <v>4001933.3184526181</v>
      </c>
    </row>
    <row r="62" spans="1:30" s="1042" customFormat="1" x14ac:dyDescent="0.25">
      <c r="J62" s="1044"/>
      <c r="K62" s="1044"/>
      <c r="L62" s="1044"/>
      <c r="M62" s="1044"/>
      <c r="N62" s="1044"/>
      <c r="O62" s="1044"/>
      <c r="P62" s="1044"/>
      <c r="Q62" s="1044"/>
      <c r="R62" s="1044"/>
      <c r="S62" s="1044"/>
      <c r="T62" s="1044"/>
      <c r="U62" s="1044"/>
      <c r="V62" s="1044"/>
      <c r="W62" s="1044"/>
      <c r="X62" s="1044"/>
      <c r="Y62" s="1044"/>
      <c r="Z62" s="1044"/>
      <c r="AA62" s="1044"/>
      <c r="AB62" s="1044"/>
      <c r="AC62" s="1044"/>
      <c r="AD62" s="1044"/>
    </row>
    <row r="63" spans="1:30" x14ac:dyDescent="0.25">
      <c r="A63" s="1031" t="s">
        <v>993</v>
      </c>
      <c r="J63" s="1044"/>
      <c r="K63" s="1044"/>
      <c r="L63" s="1044"/>
      <c r="M63" s="1044"/>
      <c r="N63" s="1044"/>
      <c r="O63" s="1044"/>
      <c r="P63" s="1044"/>
      <c r="Q63" s="1044"/>
      <c r="R63" s="1044"/>
      <c r="S63" s="1044"/>
      <c r="T63" s="1044"/>
      <c r="U63" s="1044"/>
      <c r="V63" s="1044"/>
      <c r="W63" s="1044"/>
      <c r="X63" s="1044"/>
      <c r="Y63" s="1044"/>
      <c r="Z63" s="1044"/>
      <c r="AA63" s="1044"/>
      <c r="AB63" s="1044"/>
      <c r="AC63" s="1044"/>
      <c r="AD63" s="1044"/>
    </row>
    <row r="64" spans="1:30" x14ac:dyDescent="0.25">
      <c r="J64" s="1044"/>
      <c r="K64" s="1044"/>
      <c r="L64" s="1044"/>
      <c r="M64" s="1044"/>
      <c r="N64" s="1044"/>
      <c r="O64" s="3076"/>
      <c r="P64" s="3076"/>
      <c r="Q64" s="3076"/>
      <c r="R64" s="3076"/>
      <c r="S64" s="3076"/>
      <c r="T64" s="3076"/>
      <c r="U64" s="3076"/>
      <c r="V64" s="3076"/>
      <c r="W64" s="3076"/>
      <c r="X64" s="3076"/>
      <c r="Y64" s="3076"/>
      <c r="Z64" s="3076"/>
      <c r="AA64" s="3076"/>
      <c r="AB64" s="3076"/>
      <c r="AC64" s="3076"/>
      <c r="AD64" s="3076"/>
    </row>
    <row r="65" spans="1:30" x14ac:dyDescent="0.25">
      <c r="A65" s="1028" t="s">
        <v>6</v>
      </c>
      <c r="B65" s="1028"/>
      <c r="C65" s="1028"/>
      <c r="D65" s="1028"/>
      <c r="E65" s="1028"/>
      <c r="F65" s="1028"/>
      <c r="G65" s="1028"/>
      <c r="H65" s="1028"/>
      <c r="I65" s="1028"/>
      <c r="J65" s="1044"/>
      <c r="K65" s="1044"/>
      <c r="L65" s="1044"/>
      <c r="M65" s="1044"/>
      <c r="N65" s="1044"/>
      <c r="O65" s="1049">
        <v>80</v>
      </c>
      <c r="P65" s="1049">
        <v>80</v>
      </c>
      <c r="Q65" s="1049">
        <v>80</v>
      </c>
      <c r="R65" s="1049">
        <v>80</v>
      </c>
      <c r="S65" s="1049">
        <v>80</v>
      </c>
      <c r="T65" s="1049">
        <v>75</v>
      </c>
      <c r="U65" s="1049">
        <v>75</v>
      </c>
      <c r="V65" s="1049">
        <f t="shared" ref="V65:W70" si="56">+U65*0.95</f>
        <v>71.25</v>
      </c>
      <c r="W65" s="1049">
        <f t="shared" si="56"/>
        <v>67.6875</v>
      </c>
      <c r="X65" s="1049">
        <f t="shared" ref="X65:X70" si="57">+W65*0.95</f>
        <v>64.303124999999994</v>
      </c>
      <c r="Y65" s="1049">
        <f t="shared" ref="Y65:Y70" si="58">+X65</f>
        <v>64.303124999999994</v>
      </c>
      <c r="Z65" s="1049">
        <f t="shared" ref="Z65:AD70" si="59">+Y65*0.95</f>
        <v>61.087968749999995</v>
      </c>
      <c r="AA65" s="1049">
        <f t="shared" ref="AA65:AA70" si="60">+Z65</f>
        <v>61.087968749999995</v>
      </c>
      <c r="AB65" s="1049">
        <f t="shared" si="59"/>
        <v>58.03357031249999</v>
      </c>
      <c r="AC65" s="1049">
        <f t="shared" si="59"/>
        <v>55.131891796874989</v>
      </c>
      <c r="AD65" s="1049">
        <f t="shared" si="59"/>
        <v>52.375297207031238</v>
      </c>
    </row>
    <row r="66" spans="1:30" x14ac:dyDescent="0.25">
      <c r="A66" s="1028" t="s">
        <v>1004</v>
      </c>
      <c r="B66" s="1028"/>
      <c r="C66" s="1028"/>
      <c r="D66" s="1028"/>
      <c r="E66" s="1028"/>
      <c r="F66" s="1028"/>
      <c r="G66" s="1028"/>
      <c r="H66" s="1028"/>
      <c r="I66" s="1028"/>
      <c r="J66" s="1044"/>
      <c r="K66" s="1044"/>
      <c r="L66" s="1044"/>
      <c r="M66" s="1044"/>
      <c r="N66" s="1044"/>
      <c r="O66" s="1049">
        <v>80</v>
      </c>
      <c r="P66" s="1049">
        <v>80</v>
      </c>
      <c r="Q66" s="1049">
        <v>80</v>
      </c>
      <c r="R66" s="1049">
        <v>80</v>
      </c>
      <c r="S66" s="1049">
        <v>80</v>
      </c>
      <c r="T66" s="1049">
        <v>75</v>
      </c>
      <c r="U66" s="1049">
        <v>75</v>
      </c>
      <c r="V66" s="1049">
        <f t="shared" si="56"/>
        <v>71.25</v>
      </c>
      <c r="W66" s="1049">
        <f t="shared" si="56"/>
        <v>67.6875</v>
      </c>
      <c r="X66" s="1049">
        <f t="shared" si="57"/>
        <v>64.303124999999994</v>
      </c>
      <c r="Y66" s="1049">
        <f t="shared" si="58"/>
        <v>64.303124999999994</v>
      </c>
      <c r="Z66" s="1049">
        <f t="shared" si="59"/>
        <v>61.087968749999995</v>
      </c>
      <c r="AA66" s="1049">
        <f t="shared" si="60"/>
        <v>61.087968749999995</v>
      </c>
      <c r="AB66" s="1049">
        <f t="shared" si="59"/>
        <v>58.03357031249999</v>
      </c>
      <c r="AC66" s="1049">
        <f t="shared" si="59"/>
        <v>55.131891796874989</v>
      </c>
      <c r="AD66" s="1049">
        <f t="shared" si="59"/>
        <v>52.375297207031238</v>
      </c>
    </row>
    <row r="67" spans="1:30" x14ac:dyDescent="0.25">
      <c r="A67" s="1028" t="s">
        <v>1006</v>
      </c>
      <c r="B67" s="1028"/>
      <c r="C67" s="1028"/>
      <c r="D67" s="1028"/>
      <c r="E67" s="1028"/>
      <c r="F67" s="1028"/>
      <c r="G67" s="1028"/>
      <c r="H67" s="1028"/>
      <c r="I67" s="1028"/>
      <c r="J67" s="1044"/>
      <c r="K67" s="1044"/>
      <c r="L67" s="1044"/>
      <c r="M67" s="1044"/>
      <c r="N67" s="1044"/>
      <c r="O67" s="1049">
        <v>80</v>
      </c>
      <c r="P67" s="1049">
        <v>80</v>
      </c>
      <c r="Q67" s="1049">
        <v>80</v>
      </c>
      <c r="R67" s="1049">
        <v>80</v>
      </c>
      <c r="S67" s="1049">
        <v>80</v>
      </c>
      <c r="T67" s="1049">
        <v>75</v>
      </c>
      <c r="U67" s="1049">
        <v>75</v>
      </c>
      <c r="V67" s="1049">
        <f t="shared" si="56"/>
        <v>71.25</v>
      </c>
      <c r="W67" s="1049">
        <f t="shared" si="56"/>
        <v>67.6875</v>
      </c>
      <c r="X67" s="1049">
        <f t="shared" si="57"/>
        <v>64.303124999999994</v>
      </c>
      <c r="Y67" s="1049">
        <f t="shared" si="58"/>
        <v>64.303124999999994</v>
      </c>
      <c r="Z67" s="1049">
        <f t="shared" si="59"/>
        <v>61.087968749999995</v>
      </c>
      <c r="AA67" s="1049">
        <f t="shared" si="60"/>
        <v>61.087968749999995</v>
      </c>
      <c r="AB67" s="1049">
        <f t="shared" si="59"/>
        <v>58.03357031249999</v>
      </c>
      <c r="AC67" s="1049">
        <f t="shared" si="59"/>
        <v>55.131891796874989</v>
      </c>
      <c r="AD67" s="1049">
        <f t="shared" si="59"/>
        <v>52.375297207031238</v>
      </c>
    </row>
    <row r="68" spans="1:30" x14ac:dyDescent="0.25">
      <c r="A68" s="1028" t="s">
        <v>1008</v>
      </c>
      <c r="B68" s="1028"/>
      <c r="C68" s="1028"/>
      <c r="D68" s="1028"/>
      <c r="E68" s="1028"/>
      <c r="F68" s="1028"/>
      <c r="G68" s="1028"/>
      <c r="H68" s="1028"/>
      <c r="I68" s="1028"/>
      <c r="J68" s="1044"/>
      <c r="K68" s="1044"/>
      <c r="L68" s="1044"/>
      <c r="M68" s="1044"/>
      <c r="N68" s="1044"/>
      <c r="O68" s="1049">
        <v>80</v>
      </c>
      <c r="P68" s="1049">
        <v>80</v>
      </c>
      <c r="Q68" s="1049">
        <v>80</v>
      </c>
      <c r="R68" s="1049">
        <v>80</v>
      </c>
      <c r="S68" s="1049">
        <v>80</v>
      </c>
      <c r="T68" s="1049">
        <v>75</v>
      </c>
      <c r="U68" s="1049">
        <v>75</v>
      </c>
      <c r="V68" s="1049">
        <f t="shared" si="56"/>
        <v>71.25</v>
      </c>
      <c r="W68" s="1049">
        <f t="shared" si="56"/>
        <v>67.6875</v>
      </c>
      <c r="X68" s="1049">
        <f t="shared" si="57"/>
        <v>64.303124999999994</v>
      </c>
      <c r="Y68" s="1049">
        <f t="shared" si="58"/>
        <v>64.303124999999994</v>
      </c>
      <c r="Z68" s="1049">
        <f t="shared" si="59"/>
        <v>61.087968749999995</v>
      </c>
      <c r="AA68" s="1049">
        <f t="shared" si="60"/>
        <v>61.087968749999995</v>
      </c>
      <c r="AB68" s="1049">
        <f t="shared" si="59"/>
        <v>58.03357031249999</v>
      </c>
      <c r="AC68" s="1049">
        <f t="shared" si="59"/>
        <v>55.131891796874989</v>
      </c>
      <c r="AD68" s="1049">
        <f t="shared" si="59"/>
        <v>52.375297207031238</v>
      </c>
    </row>
    <row r="69" spans="1:30" x14ac:dyDescent="0.25">
      <c r="A69" s="1028" t="s">
        <v>1010</v>
      </c>
      <c r="B69" s="1028"/>
      <c r="C69" s="1028"/>
      <c r="D69" s="1028"/>
      <c r="E69" s="1028"/>
      <c r="F69" s="1028"/>
      <c r="G69" s="1028"/>
      <c r="H69" s="1028"/>
      <c r="I69" s="1028"/>
      <c r="J69" s="1044"/>
      <c r="K69" s="1044"/>
      <c r="L69" s="1044"/>
      <c r="M69" s="1044"/>
      <c r="N69" s="1044"/>
      <c r="O69" s="1049">
        <v>60</v>
      </c>
      <c r="P69" s="1049">
        <v>60</v>
      </c>
      <c r="Q69" s="1049">
        <v>60</v>
      </c>
      <c r="R69" s="1049">
        <v>60</v>
      </c>
      <c r="S69" s="1049">
        <v>60</v>
      </c>
      <c r="T69" s="1049">
        <v>55</v>
      </c>
      <c r="U69" s="1049">
        <v>55</v>
      </c>
      <c r="V69" s="1049">
        <f t="shared" si="56"/>
        <v>52.25</v>
      </c>
      <c r="W69" s="1049">
        <f t="shared" si="56"/>
        <v>49.637499999999996</v>
      </c>
      <c r="X69" s="1049">
        <f t="shared" si="57"/>
        <v>47.155624999999993</v>
      </c>
      <c r="Y69" s="1049">
        <f t="shared" si="58"/>
        <v>47.155624999999993</v>
      </c>
      <c r="Z69" s="1049">
        <f t="shared" si="59"/>
        <v>44.797843749999991</v>
      </c>
      <c r="AA69" s="1049">
        <f t="shared" si="60"/>
        <v>44.797843749999991</v>
      </c>
      <c r="AB69" s="1049">
        <f t="shared" si="59"/>
        <v>42.557951562499987</v>
      </c>
      <c r="AC69" s="1049">
        <f t="shared" si="59"/>
        <v>40.430053984374986</v>
      </c>
      <c r="AD69" s="1049">
        <f t="shared" si="59"/>
        <v>38.408551285156236</v>
      </c>
    </row>
    <row r="70" spans="1:30" x14ac:dyDescent="0.25">
      <c r="A70" s="1028" t="s">
        <v>1011</v>
      </c>
      <c r="B70" s="1028"/>
      <c r="C70" s="1028"/>
      <c r="D70" s="1028"/>
      <c r="E70" s="1028"/>
      <c r="F70" s="1028"/>
      <c r="G70" s="1028"/>
      <c r="H70" s="1028"/>
      <c r="I70" s="1028"/>
      <c r="J70" s="1044"/>
      <c r="K70" s="1044"/>
      <c r="L70" s="1044"/>
      <c r="M70" s="1044"/>
      <c r="N70" s="1044"/>
      <c r="O70" s="1049">
        <v>60</v>
      </c>
      <c r="P70" s="1049">
        <v>60</v>
      </c>
      <c r="Q70" s="1049">
        <v>60</v>
      </c>
      <c r="R70" s="1049">
        <v>60</v>
      </c>
      <c r="S70" s="1049">
        <v>60</v>
      </c>
      <c r="T70" s="1049">
        <v>55</v>
      </c>
      <c r="U70" s="1049">
        <v>55</v>
      </c>
      <c r="V70" s="1049">
        <f t="shared" si="56"/>
        <v>52.25</v>
      </c>
      <c r="W70" s="1049">
        <f t="shared" si="56"/>
        <v>49.637499999999996</v>
      </c>
      <c r="X70" s="1049">
        <f t="shared" si="57"/>
        <v>47.155624999999993</v>
      </c>
      <c r="Y70" s="1049">
        <f t="shared" si="58"/>
        <v>47.155624999999993</v>
      </c>
      <c r="Z70" s="1049">
        <f t="shared" si="59"/>
        <v>44.797843749999991</v>
      </c>
      <c r="AA70" s="1049">
        <f t="shared" si="60"/>
        <v>44.797843749999991</v>
      </c>
      <c r="AB70" s="1049">
        <f t="shared" si="59"/>
        <v>42.557951562499987</v>
      </c>
      <c r="AC70" s="1049">
        <f t="shared" si="59"/>
        <v>40.430053984374986</v>
      </c>
      <c r="AD70" s="1049">
        <f t="shared" si="59"/>
        <v>38.408551285156236</v>
      </c>
    </row>
    <row r="71" spans="1:30" x14ac:dyDescent="0.25">
      <c r="N71" s="1044"/>
    </row>
    <row r="72" spans="1:30" x14ac:dyDescent="0.25">
      <c r="A72" s="1028" t="s">
        <v>6</v>
      </c>
      <c r="B72" s="1028"/>
      <c r="C72" s="1028"/>
      <c r="D72" s="1028"/>
      <c r="E72" s="1028"/>
      <c r="F72" s="1028"/>
      <c r="G72" s="1028"/>
      <c r="H72" s="1028"/>
      <c r="I72" s="1028"/>
      <c r="J72" s="1044"/>
      <c r="K72" s="1044"/>
      <c r="L72" s="1044"/>
      <c r="M72" s="1044"/>
      <c r="N72" s="1044"/>
      <c r="O72" s="1049">
        <f t="shared" ref="O72:AA72" si="61">O51*O65</f>
        <v>0</v>
      </c>
      <c r="P72" s="1049">
        <f t="shared" si="61"/>
        <v>1405450.6992414722</v>
      </c>
      <c r="Q72" s="1049">
        <f t="shared" si="61"/>
        <v>3261348.3475898365</v>
      </c>
      <c r="R72" s="1049">
        <f t="shared" si="61"/>
        <v>5848923.6299633104</v>
      </c>
      <c r="S72" s="1049">
        <f t="shared" si="61"/>
        <v>9508156.4759591073</v>
      </c>
      <c r="T72" s="1049">
        <f t="shared" si="61"/>
        <v>12122899.50684786</v>
      </c>
      <c r="U72" s="1049">
        <f t="shared" si="61"/>
        <v>13638261.945203844</v>
      </c>
      <c r="V72" s="1049">
        <f t="shared" si="61"/>
        <v>14801332.923890827</v>
      </c>
      <c r="W72" s="1049">
        <f t="shared" si="61"/>
        <v>16924140.091835249</v>
      </c>
      <c r="X72" s="1049">
        <f t="shared" si="61"/>
        <v>17692708.812622864</v>
      </c>
      <c r="Y72" s="1049">
        <f t="shared" si="61"/>
        <v>21294944.326872878</v>
      </c>
      <c r="Z72" s="1049">
        <f t="shared" si="61"/>
        <v>24349065.24223299</v>
      </c>
      <c r="AA72" s="1049">
        <f t="shared" si="61"/>
        <v>28313093.063668519</v>
      </c>
      <c r="AB72" s="1049">
        <f t="shared" ref="AB72:AC72" si="62">AB51*AB65</f>
        <v>24691848.46082532</v>
      </c>
      <c r="AC72" s="1049">
        <f t="shared" si="62"/>
        <v>23926401.158539735</v>
      </c>
      <c r="AD72" s="1049">
        <f t="shared" ref="AD72" si="63">AD51*AD65</f>
        <v>23184682.722625002</v>
      </c>
    </row>
    <row r="73" spans="1:30" x14ac:dyDescent="0.25">
      <c r="A73" s="1028" t="s">
        <v>1004</v>
      </c>
      <c r="B73" s="1028"/>
      <c r="C73" s="1028"/>
      <c r="D73" s="1028"/>
      <c r="E73" s="1028"/>
      <c r="F73" s="1028"/>
      <c r="G73" s="1028"/>
      <c r="H73" s="1028"/>
      <c r="I73" s="1028"/>
      <c r="J73" s="1044"/>
      <c r="K73" s="1044"/>
      <c r="L73" s="1044"/>
      <c r="M73" s="1044"/>
      <c r="N73" s="1044"/>
      <c r="O73" s="1049">
        <f t="shared" ref="O73:AA73" si="64">O52*O66</f>
        <v>0</v>
      </c>
      <c r="P73" s="1049">
        <f t="shared" si="64"/>
        <v>5612793.4976117769</v>
      </c>
      <c r="Q73" s="1049">
        <f t="shared" si="64"/>
        <v>10632234.539761737</v>
      </c>
      <c r="R73" s="1049">
        <f t="shared" si="64"/>
        <v>20021315.502566718</v>
      </c>
      <c r="S73" s="1049">
        <f t="shared" si="64"/>
        <v>28930800.901208907</v>
      </c>
      <c r="T73" s="1049">
        <f t="shared" si="64"/>
        <v>34581347.952226266</v>
      </c>
      <c r="U73" s="1049">
        <f t="shared" si="64"/>
        <v>37347855.788404375</v>
      </c>
      <c r="V73" s="1049">
        <f t="shared" si="64"/>
        <v>39857332.914538823</v>
      </c>
      <c r="W73" s="1049">
        <f t="shared" si="64"/>
        <v>45573671.601141982</v>
      </c>
      <c r="X73" s="1049">
        <f t="shared" si="64"/>
        <v>47643289.217991091</v>
      </c>
      <c r="Y73" s="1049">
        <f t="shared" si="64"/>
        <v>57343462.902774073</v>
      </c>
      <c r="Z73" s="1049">
        <f t="shared" si="64"/>
        <v>63345029.730178408</v>
      </c>
      <c r="AA73" s="1049">
        <f t="shared" si="64"/>
        <v>71073123.357260182</v>
      </c>
      <c r="AB73" s="1049">
        <f t="shared" ref="AB73:AC73" si="65">AB52*AB66</f>
        <v>61982870.879866607</v>
      </c>
      <c r="AC73" s="1049">
        <f t="shared" si="65"/>
        <v>60061401.882590741</v>
      </c>
      <c r="AD73" s="1049">
        <f t="shared" ref="AD73" si="66">AD52*AD66</f>
        <v>58199498.424230434</v>
      </c>
    </row>
    <row r="74" spans="1:30" x14ac:dyDescent="0.25">
      <c r="A74" s="1028" t="s">
        <v>1006</v>
      </c>
      <c r="B74" s="1028"/>
      <c r="C74" s="1028"/>
      <c r="D74" s="1028"/>
      <c r="E74" s="1028"/>
      <c r="F74" s="1028"/>
      <c r="G74" s="1028"/>
      <c r="H74" s="1028"/>
      <c r="I74" s="1028"/>
      <c r="J74" s="1044"/>
      <c r="K74" s="1044"/>
      <c r="L74" s="1044"/>
      <c r="M74" s="1044"/>
      <c r="N74" s="1044"/>
      <c r="O74" s="1049">
        <f t="shared" ref="O74:AA74" si="67">O53*O67</f>
        <v>0</v>
      </c>
      <c r="P74" s="1049">
        <f t="shared" si="67"/>
        <v>504520.76383027202</v>
      </c>
      <c r="Q74" s="1049">
        <f t="shared" si="67"/>
        <v>1170740.4324681463</v>
      </c>
      <c r="R74" s="1049">
        <f t="shared" si="67"/>
        <v>2099613.6107560606</v>
      </c>
      <c r="S74" s="1049">
        <f t="shared" si="67"/>
        <v>3413184.3759853202</v>
      </c>
      <c r="T74" s="1049">
        <f t="shared" si="67"/>
        <v>4351810.0793812834</v>
      </c>
      <c r="U74" s="1049">
        <f t="shared" si="67"/>
        <v>4895786.3393039433</v>
      </c>
      <c r="V74" s="1049">
        <f t="shared" si="67"/>
        <v>5313298.9983197832</v>
      </c>
      <c r="W74" s="1049">
        <f t="shared" si="67"/>
        <v>6075332.3406588063</v>
      </c>
      <c r="X74" s="1049">
        <f t="shared" si="67"/>
        <v>6351228.8045312837</v>
      </c>
      <c r="Y74" s="1049">
        <f t="shared" si="67"/>
        <v>7644338.9891338525</v>
      </c>
      <c r="Z74" s="1049">
        <f t="shared" si="67"/>
        <v>8740690.0869554281</v>
      </c>
      <c r="AA74" s="1049">
        <f t="shared" si="67"/>
        <v>10163674.433111774</v>
      </c>
      <c r="AB74" s="1049">
        <f t="shared" ref="AB74:AC74" si="68">AB53*AB67</f>
        <v>8863740.4731167797</v>
      </c>
      <c r="AC74" s="1049">
        <f t="shared" si="68"/>
        <v>8588964.5184501596</v>
      </c>
      <c r="AD74" s="1049">
        <f t="shared" ref="AD74" si="69">AD53*AD67</f>
        <v>8322706.6183782034</v>
      </c>
    </row>
    <row r="75" spans="1:30" x14ac:dyDescent="0.25">
      <c r="A75" s="1028" t="s">
        <v>1008</v>
      </c>
      <c r="B75" s="1028"/>
      <c r="C75" s="1028"/>
      <c r="D75" s="1028"/>
      <c r="E75" s="1028"/>
      <c r="F75" s="1028"/>
      <c r="G75" s="1028"/>
      <c r="H75" s="1028"/>
      <c r="I75" s="1028"/>
      <c r="J75" s="1044"/>
      <c r="K75" s="1044"/>
      <c r="L75" s="1044"/>
      <c r="M75" s="1044"/>
      <c r="N75" s="1044"/>
      <c r="O75" s="1049">
        <f>O54*O68</f>
        <v>0</v>
      </c>
      <c r="P75" s="1049">
        <f t="shared" ref="P75:AA75" si="70">P54*P68</f>
        <v>7252485.9800601611</v>
      </c>
      <c r="Q75" s="1049">
        <f t="shared" si="70"/>
        <v>13738280.585085392</v>
      </c>
      <c r="R75" s="1049">
        <f t="shared" si="70"/>
        <v>25870239.132530026</v>
      </c>
      <c r="S75" s="1049">
        <f t="shared" si="70"/>
        <v>37382495.546505898</v>
      </c>
      <c r="T75" s="1049">
        <f t="shared" si="70"/>
        <v>44683764.20793283</v>
      </c>
      <c r="U75" s="1049">
        <f t="shared" si="70"/>
        <v>48258465.344567455</v>
      </c>
      <c r="V75" s="1049">
        <f t="shared" si="70"/>
        <v>51501048.147999629</v>
      </c>
      <c r="W75" s="1049">
        <f t="shared" si="70"/>
        <v>58887328.473385729</v>
      </c>
      <c r="X75" s="1049">
        <f t="shared" si="70"/>
        <v>61561553.483921103</v>
      </c>
      <c r="Y75" s="1049">
        <f t="shared" si="70"/>
        <v>74095485.773247421</v>
      </c>
      <c r="Z75" s="1049">
        <f t="shared" si="70"/>
        <v>81850319.314275503</v>
      </c>
      <c r="AA75" s="1049">
        <f t="shared" si="70"/>
        <v>91836058.270617127</v>
      </c>
      <c r="AB75" s="1049">
        <f t="shared" ref="AB75:AC75" si="71">AB54*AB68</f>
        <v>80090226.417805195</v>
      </c>
      <c r="AC75" s="1049">
        <f t="shared" si="71"/>
        <v>77607429.398853227</v>
      </c>
      <c r="AD75" s="1049">
        <f t="shared" ref="AD75" si="72">AD54*AD68</f>
        <v>75201599.08748877</v>
      </c>
    </row>
    <row r="76" spans="1:30" x14ac:dyDescent="0.25">
      <c r="A76" s="1028" t="s">
        <v>1010</v>
      </c>
      <c r="B76" s="1028"/>
      <c r="C76" s="1028"/>
      <c r="D76" s="1028"/>
      <c r="E76" s="1028"/>
      <c r="F76" s="1028"/>
      <c r="G76" s="1028"/>
      <c r="H76" s="1028"/>
      <c r="I76" s="1028"/>
      <c r="J76" s="1044"/>
      <c r="K76" s="1044"/>
      <c r="L76" s="1044"/>
      <c r="M76" s="1044"/>
      <c r="N76" s="1044"/>
      <c r="O76" s="1049">
        <f t="shared" ref="O76:AA76" si="73">O55*O69</f>
        <v>0</v>
      </c>
      <c r="P76" s="1049">
        <f t="shared" si="73"/>
        <v>0</v>
      </c>
      <c r="Q76" s="1049">
        <f t="shared" si="73"/>
        <v>5375848.9245986305</v>
      </c>
      <c r="R76" s="1049">
        <f t="shared" si="73"/>
        <v>11810326.56050284</v>
      </c>
      <c r="S76" s="1049">
        <f t="shared" si="73"/>
        <v>18284916.29992136</v>
      </c>
      <c r="T76" s="1049">
        <f t="shared" si="73"/>
        <v>25644595.110639703</v>
      </c>
      <c r="U76" s="1049">
        <f t="shared" si="73"/>
        <v>30773514.132767644</v>
      </c>
      <c r="V76" s="1049">
        <f t="shared" si="73"/>
        <v>34789457.727093823</v>
      </c>
      <c r="W76" s="1049">
        <f t="shared" si="73"/>
        <v>40453181.445064694</v>
      </c>
      <c r="X76" s="1049">
        <f t="shared" si="73"/>
        <v>42290264.436951652</v>
      </c>
      <c r="Y76" s="1049">
        <f t="shared" si="73"/>
        <v>50900562.276315004</v>
      </c>
      <c r="Z76" s="1049">
        <f t="shared" si="73"/>
        <v>58200720.917984098</v>
      </c>
      <c r="AA76" s="1049">
        <f t="shared" si="73"/>
        <v>70050387.69688566</v>
      </c>
      <c r="AB76" s="1049">
        <f t="shared" ref="AB76:AC76" si="74">AB55*AB69</f>
        <v>61090943.110453963</v>
      </c>
      <c r="AC76" s="1049">
        <f t="shared" si="74"/>
        <v>59197123.87402989</v>
      </c>
      <c r="AD76" s="1049">
        <f t="shared" ref="AD76" si="75">AD55*AD69</f>
        <v>57362013.033934973</v>
      </c>
    </row>
    <row r="77" spans="1:30" x14ac:dyDescent="0.25">
      <c r="A77" s="1028" t="s">
        <v>1011</v>
      </c>
      <c r="B77" s="1028"/>
      <c r="C77" s="1028"/>
      <c r="D77" s="1028"/>
      <c r="E77" s="1028"/>
      <c r="F77" s="1028"/>
      <c r="G77" s="1028"/>
      <c r="H77" s="1028"/>
      <c r="I77" s="1028"/>
      <c r="J77" s="1044"/>
      <c r="K77" s="1044"/>
      <c r="L77" s="1044"/>
      <c r="M77" s="1044"/>
      <c r="N77" s="1044"/>
      <c r="O77" s="1049">
        <f t="shared" ref="O77:AA77" si="76">O56*O70</f>
        <v>0</v>
      </c>
      <c r="P77" s="1049">
        <f t="shared" si="76"/>
        <v>1891952.8643635202</v>
      </c>
      <c r="Q77" s="1049">
        <f t="shared" si="76"/>
        <v>4390276.6217555497</v>
      </c>
      <c r="R77" s="1049">
        <f t="shared" si="76"/>
        <v>7873551.0403352268</v>
      </c>
      <c r="S77" s="1049">
        <f t="shared" si="76"/>
        <v>12799441.409944952</v>
      </c>
      <c r="T77" s="1049">
        <f t="shared" si="76"/>
        <v>15956636.957731375</v>
      </c>
      <c r="U77" s="1049">
        <f t="shared" si="76"/>
        <v>17951216.577447794</v>
      </c>
      <c r="V77" s="1049">
        <f t="shared" si="76"/>
        <v>19482096.32717254</v>
      </c>
      <c r="W77" s="1049">
        <f t="shared" si="76"/>
        <v>22276218.582415629</v>
      </c>
      <c r="X77" s="1049">
        <f t="shared" si="76"/>
        <v>23287838.949948043</v>
      </c>
      <c r="Y77" s="1049">
        <f t="shared" si="76"/>
        <v>28029242.960157465</v>
      </c>
      <c r="Z77" s="1049">
        <f t="shared" si="76"/>
        <v>32049196.985503245</v>
      </c>
      <c r="AA77" s="1049">
        <f t="shared" si="76"/>
        <v>37266806.254743174</v>
      </c>
      <c r="AB77" s="1049">
        <f t="shared" ref="AB77:AC77" si="77">AB56*AB70</f>
        <v>32500381.734761521</v>
      </c>
      <c r="AC77" s="1049">
        <f t="shared" si="77"/>
        <v>31492869.900983915</v>
      </c>
      <c r="AD77" s="1049">
        <f t="shared" ref="AD77" si="78">AD56*AD70</f>
        <v>30516590.93405341</v>
      </c>
    </row>
    <row r="78" spans="1:30" x14ac:dyDescent="0.25">
      <c r="A78" s="1030" t="s">
        <v>655</v>
      </c>
      <c r="B78" s="1030"/>
      <c r="C78" s="1030"/>
      <c r="D78" s="1030"/>
      <c r="E78" s="1030"/>
      <c r="F78" s="1030"/>
      <c r="G78" s="1030"/>
      <c r="H78" s="1030"/>
      <c r="I78" s="1030"/>
      <c r="O78" s="1050">
        <f>SUM(O72:O77)</f>
        <v>0</v>
      </c>
      <c r="P78" s="3102">
        <f t="shared" ref="P78:AA78" si="79">SUM(P72:P77)</f>
        <v>16667203.805107201</v>
      </c>
      <c r="Q78" s="3102">
        <f t="shared" si="79"/>
        <v>38568729.451259293</v>
      </c>
      <c r="R78" s="3102">
        <f t="shared" si="79"/>
        <v>73523969.476654187</v>
      </c>
      <c r="S78" s="3102">
        <f t="shared" si="79"/>
        <v>110318995.00952554</v>
      </c>
      <c r="T78" s="3102">
        <f t="shared" si="79"/>
        <v>137341053.81475931</v>
      </c>
      <c r="U78" s="3102">
        <f t="shared" si="79"/>
        <v>152865100.12769505</v>
      </c>
      <c r="V78" s="3102">
        <f t="shared" si="79"/>
        <v>165744567.03901544</v>
      </c>
      <c r="W78" s="3102">
        <f t="shared" si="79"/>
        <v>190189872.53450209</v>
      </c>
      <c r="X78" s="3102">
        <f t="shared" si="79"/>
        <v>198826883.70596603</v>
      </c>
      <c r="Y78" s="3102">
        <f t="shared" si="79"/>
        <v>239308037.22850069</v>
      </c>
      <c r="Z78" s="3102">
        <f t="shared" si="79"/>
        <v>268535022.27712965</v>
      </c>
      <c r="AA78" s="3102">
        <f t="shared" si="79"/>
        <v>308703143.07628644</v>
      </c>
      <c r="AB78" s="3102">
        <f t="shared" ref="AB78:AC78" si="80">SUM(AB72:AB77)</f>
        <v>269220011.07682937</v>
      </c>
      <c r="AC78" s="3102">
        <f t="shared" si="80"/>
        <v>260874190.73344767</v>
      </c>
      <c r="AD78" s="3102">
        <f t="shared" ref="AD78" si="81">SUM(AD72:AD77)</f>
        <v>252787090.82071081</v>
      </c>
    </row>
    <row r="79" spans="1:30" x14ac:dyDescent="0.25">
      <c r="N79" s="3075"/>
    </row>
    <row r="80" spans="1:30" x14ac:dyDescent="0.25">
      <c r="A80" s="1042" t="s">
        <v>994</v>
      </c>
      <c r="B80" s="1042"/>
      <c r="C80" s="1042"/>
      <c r="D80" s="1042"/>
      <c r="E80" s="1042"/>
      <c r="F80" s="1042"/>
      <c r="G80" s="1042"/>
      <c r="H80" s="1042"/>
      <c r="I80" s="1042"/>
      <c r="O80" s="1050">
        <f>O78</f>
        <v>0</v>
      </c>
      <c r="P80" s="1050">
        <f t="shared" ref="P80:AA80" si="82">P78</f>
        <v>16667203.805107201</v>
      </c>
      <c r="Q80" s="1050">
        <f t="shared" si="82"/>
        <v>38568729.451259293</v>
      </c>
      <c r="R80" s="1050">
        <f t="shared" si="82"/>
        <v>73523969.476654187</v>
      </c>
      <c r="S80" s="1050">
        <f t="shared" si="82"/>
        <v>110318995.00952554</v>
      </c>
      <c r="T80" s="1050">
        <f t="shared" si="82"/>
        <v>137341053.81475931</v>
      </c>
      <c r="U80" s="1050">
        <f t="shared" si="82"/>
        <v>152865100.12769505</v>
      </c>
      <c r="V80" s="1050">
        <f t="shared" si="82"/>
        <v>165744567.03901544</v>
      </c>
      <c r="W80" s="1050">
        <f t="shared" si="82"/>
        <v>190189872.53450209</v>
      </c>
      <c r="X80" s="1050">
        <f t="shared" si="82"/>
        <v>198826883.70596603</v>
      </c>
      <c r="Y80" s="1050">
        <f t="shared" si="82"/>
        <v>239308037.22850069</v>
      </c>
      <c r="Z80" s="1050">
        <f t="shared" si="82"/>
        <v>268535022.27712965</v>
      </c>
      <c r="AA80" s="1050">
        <f t="shared" si="82"/>
        <v>308703143.07628644</v>
      </c>
      <c r="AB80" s="1050">
        <f t="shared" ref="AB80:AC80" si="83">AB78</f>
        <v>269220011.07682937</v>
      </c>
      <c r="AC80" s="1050">
        <f t="shared" si="83"/>
        <v>260874190.73344767</v>
      </c>
      <c r="AD80" s="1050">
        <f t="shared" ref="AD80" si="84">AD78</f>
        <v>252787090.82071081</v>
      </c>
    </row>
    <row r="82" spans="1:30" outlineLevel="1" x14ac:dyDescent="0.25">
      <c r="A82" s="1031" t="s">
        <v>993</v>
      </c>
      <c r="O82" s="3077" t="e">
        <f>O80/O59</f>
        <v>#DIV/0!</v>
      </c>
      <c r="P82" s="3077">
        <f t="shared" ref="P82:AA82" si="85">P80/P59</f>
        <v>77.083333333333329</v>
      </c>
      <c r="Q82" s="3077">
        <f t="shared" si="85"/>
        <v>73.773207654955726</v>
      </c>
      <c r="R82" s="3077">
        <f t="shared" si="85"/>
        <v>73.445692883895134</v>
      </c>
      <c r="S82" s="3077">
        <f t="shared" si="85"/>
        <v>73.131313131313121</v>
      </c>
      <c r="T82" s="3077">
        <f t="shared" si="85"/>
        <v>67.55861365953109</v>
      </c>
      <c r="U82" s="3077">
        <f t="shared" si="85"/>
        <v>67.209922099220989</v>
      </c>
      <c r="V82" s="3077">
        <f t="shared" si="85"/>
        <v>63.668972008512043</v>
      </c>
      <c r="W82" s="3077">
        <f t="shared" si="85"/>
        <v>60.438699261865203</v>
      </c>
      <c r="X82" s="3077">
        <f t="shared" si="85"/>
        <v>57.41676429877193</v>
      </c>
      <c r="Y82" s="3077">
        <f t="shared" si="85"/>
        <v>57.41676429877193</v>
      </c>
      <c r="Z82" s="3077">
        <f t="shared" si="85"/>
        <v>54.435328548988963</v>
      </c>
      <c r="AA82" s="3077">
        <f t="shared" si="85"/>
        <v>54.232247286580005</v>
      </c>
      <c r="AB82" s="3077">
        <f t="shared" ref="AB82:AC82" si="86">AB80/AB59</f>
        <v>51.520634922250991</v>
      </c>
      <c r="AC82" s="3077">
        <f t="shared" si="86"/>
        <v>48.944603176138443</v>
      </c>
      <c r="AD82" s="3077">
        <f t="shared" ref="AD82" si="87">AD80/AD59</f>
        <v>46.497373017331519</v>
      </c>
    </row>
    <row r="83" spans="1:30" outlineLevel="1" x14ac:dyDescent="0.25">
      <c r="A83" s="1031" t="s">
        <v>995</v>
      </c>
      <c r="O83" s="1049">
        <v>15</v>
      </c>
      <c r="P83" s="1049">
        <v>15</v>
      </c>
      <c r="Q83" s="1049">
        <v>15</v>
      </c>
      <c r="R83" s="1049">
        <v>15</v>
      </c>
      <c r="S83" s="1049">
        <v>15</v>
      </c>
      <c r="T83" s="1049">
        <v>14</v>
      </c>
      <c r="U83" s="1049">
        <v>14</v>
      </c>
      <c r="V83" s="1049">
        <v>14</v>
      </c>
      <c r="W83" s="1049">
        <v>13</v>
      </c>
      <c r="X83" s="1049">
        <v>13</v>
      </c>
      <c r="Y83" s="1049">
        <v>12</v>
      </c>
      <c r="Z83" s="1049">
        <v>12</v>
      </c>
      <c r="AA83" s="1049">
        <v>12</v>
      </c>
      <c r="AB83" s="1049">
        <v>12</v>
      </c>
      <c r="AC83" s="1049">
        <v>12</v>
      </c>
      <c r="AD83" s="1049">
        <v>12</v>
      </c>
    </row>
    <row r="84" spans="1:30" outlineLevel="1" x14ac:dyDescent="0.25">
      <c r="A84" s="1031" t="s">
        <v>996</v>
      </c>
      <c r="O84" s="1051" t="e">
        <f>O82-O83</f>
        <v>#DIV/0!</v>
      </c>
      <c r="P84" s="1051">
        <f t="shared" ref="P84:AA84" si="88">P82-P83</f>
        <v>62.083333333333329</v>
      </c>
      <c r="Q84" s="1051">
        <f t="shared" si="88"/>
        <v>58.773207654955726</v>
      </c>
      <c r="R84" s="1051">
        <f t="shared" si="88"/>
        <v>58.445692883895134</v>
      </c>
      <c r="S84" s="1051">
        <f t="shared" si="88"/>
        <v>58.131313131313121</v>
      </c>
      <c r="T84" s="1051">
        <f t="shared" si="88"/>
        <v>53.55861365953109</v>
      </c>
      <c r="U84" s="1051">
        <f t="shared" si="88"/>
        <v>53.209922099220989</v>
      </c>
      <c r="V84" s="1051">
        <f t="shared" si="88"/>
        <v>49.668972008512043</v>
      </c>
      <c r="W84" s="1051">
        <f t="shared" si="88"/>
        <v>47.438699261865203</v>
      </c>
      <c r="X84" s="1051">
        <f t="shared" si="88"/>
        <v>44.41676429877193</v>
      </c>
      <c r="Y84" s="1051">
        <f t="shared" si="88"/>
        <v>45.41676429877193</v>
      </c>
      <c r="Z84" s="1051">
        <f t="shared" si="88"/>
        <v>42.435328548988963</v>
      </c>
      <c r="AA84" s="1051">
        <f t="shared" si="88"/>
        <v>42.232247286580005</v>
      </c>
      <c r="AB84" s="1051">
        <f t="shared" ref="AB84:AC84" si="89">AB82-AB83</f>
        <v>39.520634922250991</v>
      </c>
      <c r="AC84" s="1051">
        <f t="shared" si="89"/>
        <v>36.944603176138443</v>
      </c>
      <c r="AD84" s="1051">
        <f t="shared" ref="AD84" si="90">AD82-AD83</f>
        <v>34.497373017331519</v>
      </c>
    </row>
    <row r="85" spans="1:30" outlineLevel="1" x14ac:dyDescent="0.25">
      <c r="A85" s="1031" t="s">
        <v>997</v>
      </c>
      <c r="O85" s="1052" t="e">
        <f>+O84/O82</f>
        <v>#DIV/0!</v>
      </c>
      <c r="P85" s="1052">
        <f t="shared" ref="P85:AA85" si="91">+P84/P82</f>
        <v>0.80540540540540539</v>
      </c>
      <c r="Q85" s="1052">
        <f t="shared" si="91"/>
        <v>0.79667415208301073</v>
      </c>
      <c r="R85" s="1052">
        <f t="shared" si="91"/>
        <v>0.7957674655787863</v>
      </c>
      <c r="S85" s="1052">
        <f t="shared" si="91"/>
        <v>0.79488950276243087</v>
      </c>
      <c r="T85" s="1052">
        <f t="shared" si="91"/>
        <v>0.7927725386646548</v>
      </c>
      <c r="U85" s="1052">
        <f t="shared" si="91"/>
        <v>0.79169742260179965</v>
      </c>
      <c r="V85" s="1052">
        <f t="shared" si="91"/>
        <v>0.78011267406471851</v>
      </c>
      <c r="W85" s="1052">
        <f t="shared" si="91"/>
        <v>0.78490602612616833</v>
      </c>
      <c r="X85" s="1052">
        <f t="shared" si="91"/>
        <v>0.77358529065912451</v>
      </c>
      <c r="Y85" s="1052">
        <f t="shared" si="91"/>
        <v>0.79100180676226883</v>
      </c>
      <c r="Z85" s="1052">
        <f t="shared" si="91"/>
        <v>0.7795549265547167</v>
      </c>
      <c r="AA85" s="1052">
        <f t="shared" si="91"/>
        <v>0.77872943496904568</v>
      </c>
      <c r="AB85" s="1052">
        <f t="shared" ref="AB85:AC85" si="92">+AB84/AB82</f>
        <v>0.7670836157568901</v>
      </c>
      <c r="AC85" s="1052">
        <f t="shared" si="92"/>
        <v>0.75482485869146321</v>
      </c>
      <c r="AD85" s="1052">
        <f t="shared" ref="AD85" si="93">+AD84/AD82</f>
        <v>0.74192090388575072</v>
      </c>
    </row>
    <row r="86" spans="1:30" outlineLevel="1" x14ac:dyDescent="0.25"/>
    <row r="87" spans="1:30" outlineLevel="1" x14ac:dyDescent="0.25"/>
    <row r="88" spans="1:30" outlineLevel="1" x14ac:dyDescent="0.25">
      <c r="A88" s="1031" t="s">
        <v>1000</v>
      </c>
      <c r="O88" s="1050">
        <f t="shared" ref="O88:AA88" si="94">+O83*O59</f>
        <v>0</v>
      </c>
      <c r="P88" s="1050">
        <f t="shared" si="94"/>
        <v>3243347.7674803203</v>
      </c>
      <c r="Q88" s="1050">
        <f t="shared" si="94"/>
        <v>7842019.6187582538</v>
      </c>
      <c r="R88" s="1050">
        <f t="shared" si="94"/>
        <v>15015986.626925038</v>
      </c>
      <c r="S88" s="1050">
        <f t="shared" si="94"/>
        <v>22627583.921152685</v>
      </c>
      <c r="T88" s="1050">
        <f t="shared" si="94"/>
        <v>28460837.919153597</v>
      </c>
      <c r="U88" s="1050">
        <f t="shared" si="94"/>
        <v>31842194.350832853</v>
      </c>
      <c r="V88" s="1050">
        <f t="shared" si="94"/>
        <v>36445129.6345101</v>
      </c>
      <c r="W88" s="1050">
        <f t="shared" si="94"/>
        <v>40908695.474003561</v>
      </c>
      <c r="X88" s="1050">
        <f t="shared" si="94"/>
        <v>45017331.083438344</v>
      </c>
      <c r="Y88" s="1050">
        <f t="shared" si="94"/>
        <v>50014947.408024356</v>
      </c>
      <c r="Z88" s="1050">
        <f t="shared" si="94"/>
        <v>59197222.708512634</v>
      </c>
      <c r="AA88" s="1050">
        <f t="shared" si="94"/>
        <v>68306918.895321459</v>
      </c>
      <c r="AB88" s="1050">
        <f t="shared" ref="AB88:AC88" si="95">+AB83*AB59</f>
        <v>62705751.545905106</v>
      </c>
      <c r="AC88" s="1050">
        <f t="shared" si="95"/>
        <v>63959866.576823205</v>
      </c>
      <c r="AD88" s="1050">
        <f t="shared" ref="AD88" si="96">+AD83*AD59</f>
        <v>65239063.908359677</v>
      </c>
    </row>
    <row r="89" spans="1:30" outlineLevel="1" x14ac:dyDescent="0.25"/>
    <row r="90" spans="1:30" outlineLevel="1" x14ac:dyDescent="0.25"/>
    <row r="91" spans="1:30" outlineLevel="1" x14ac:dyDescent="0.25"/>
    <row r="92" spans="1:30" outlineLevel="1" x14ac:dyDescent="0.25">
      <c r="O92" s="1031" t="s">
        <v>946</v>
      </c>
      <c r="P92" s="1031" t="s">
        <v>948</v>
      </c>
      <c r="Q92" s="1031" t="s">
        <v>949</v>
      </c>
      <c r="R92" s="1031" t="s">
        <v>965</v>
      </c>
      <c r="S92" s="1031" t="s">
        <v>966</v>
      </c>
      <c r="T92" s="1031" t="s">
        <v>967</v>
      </c>
      <c r="U92" s="1031" t="s">
        <v>968</v>
      </c>
      <c r="V92" s="1031" t="s">
        <v>979</v>
      </c>
      <c r="W92" s="1031" t="s">
        <v>980</v>
      </c>
      <c r="X92" s="1031" t="s">
        <v>981</v>
      </c>
      <c r="Y92" s="1031" t="s">
        <v>982</v>
      </c>
      <c r="Z92" s="1031" t="s">
        <v>983</v>
      </c>
      <c r="AA92" s="1031" t="s">
        <v>984</v>
      </c>
      <c r="AB92" s="1031" t="s">
        <v>984</v>
      </c>
      <c r="AC92" s="1031" t="s">
        <v>984</v>
      </c>
      <c r="AD92" s="1031" t="s">
        <v>984</v>
      </c>
    </row>
    <row r="93" spans="1:30" outlineLevel="1" x14ac:dyDescent="0.25">
      <c r="O93" s="1031" t="s">
        <v>6</v>
      </c>
      <c r="P93" s="1031" t="s">
        <v>1006</v>
      </c>
      <c r="Q93" s="1031" t="s">
        <v>1010</v>
      </c>
    </row>
    <row r="94" spans="1:30" outlineLevel="1" x14ac:dyDescent="0.25">
      <c r="J94" s="1031" t="s">
        <v>1002</v>
      </c>
      <c r="K94" s="1031" t="s">
        <v>1014</v>
      </c>
      <c r="O94" s="1031" t="s">
        <v>1004</v>
      </c>
      <c r="P94" s="1031" t="s">
        <v>1008</v>
      </c>
    </row>
    <row r="95" spans="1:30" outlineLevel="1" x14ac:dyDescent="0.25">
      <c r="J95" s="1031" t="s">
        <v>6</v>
      </c>
      <c r="K95" s="1031" t="s">
        <v>1003</v>
      </c>
      <c r="P95" s="1031" t="s">
        <v>1011</v>
      </c>
    </row>
    <row r="96" spans="1:30" outlineLevel="1" x14ac:dyDescent="0.25">
      <c r="J96" s="1031" t="s">
        <v>1004</v>
      </c>
      <c r="K96" s="1031" t="s">
        <v>1005</v>
      </c>
    </row>
    <row r="97" spans="10:30" outlineLevel="1" x14ac:dyDescent="0.25">
      <c r="J97" s="1031" t="s">
        <v>1006</v>
      </c>
      <c r="K97" s="1031" t="s">
        <v>1007</v>
      </c>
    </row>
    <row r="98" spans="10:30" outlineLevel="1" x14ac:dyDescent="0.25">
      <c r="J98" s="1031" t="s">
        <v>1008</v>
      </c>
      <c r="K98" s="1031" t="s">
        <v>1009</v>
      </c>
      <c r="N98" s="1031" t="s">
        <v>1016</v>
      </c>
      <c r="O98" s="1053">
        <v>75</v>
      </c>
      <c r="P98" s="1053">
        <v>75</v>
      </c>
      <c r="Q98" s="1053">
        <v>75</v>
      </c>
      <c r="R98" s="1053">
        <v>75</v>
      </c>
      <c r="S98" s="1053">
        <v>75</v>
      </c>
      <c r="T98" s="1054">
        <v>70</v>
      </c>
      <c r="U98" s="1054">
        <v>70</v>
      </c>
      <c r="V98" s="1055">
        <f>U98*0.95</f>
        <v>66.5</v>
      </c>
      <c r="W98" s="1056">
        <f>V98*1</f>
        <v>66.5</v>
      </c>
      <c r="X98" s="1057">
        <f>W98*0.95</f>
        <v>63.174999999999997</v>
      </c>
      <c r="Y98" s="1057">
        <f>X98</f>
        <v>63.174999999999997</v>
      </c>
      <c r="Z98" s="1058">
        <f>Y98*0.95</f>
        <v>60.016249999999992</v>
      </c>
      <c r="AA98" s="1058">
        <f>Z98</f>
        <v>60.016249999999992</v>
      </c>
      <c r="AB98" s="1058">
        <f t="shared" ref="AB98:AC98" si="97">AA98</f>
        <v>60.016249999999992</v>
      </c>
      <c r="AC98" s="1058">
        <f t="shared" si="97"/>
        <v>60.016249999999992</v>
      </c>
      <c r="AD98" s="1058">
        <f t="shared" ref="AD98" si="98">AC98</f>
        <v>60.016249999999992</v>
      </c>
    </row>
    <row r="99" spans="10:30" outlineLevel="1" x14ac:dyDescent="0.25">
      <c r="J99" s="1031" t="s">
        <v>1010</v>
      </c>
      <c r="K99" s="1031" t="s">
        <v>1009</v>
      </c>
      <c r="N99" s="1031" t="s">
        <v>786</v>
      </c>
      <c r="O99" s="1059">
        <v>12</v>
      </c>
      <c r="P99" s="1059">
        <v>12</v>
      </c>
      <c r="Q99" s="1059">
        <v>12</v>
      </c>
      <c r="R99" s="1059">
        <v>12</v>
      </c>
      <c r="S99" s="1059">
        <v>12</v>
      </c>
      <c r="T99" s="1059">
        <v>12</v>
      </c>
      <c r="U99" s="1059">
        <v>12</v>
      </c>
      <c r="V99" s="1059">
        <v>12</v>
      </c>
      <c r="W99" s="1059">
        <v>12</v>
      </c>
      <c r="X99" s="1059">
        <v>12</v>
      </c>
      <c r="Y99" s="1059">
        <v>12</v>
      </c>
      <c r="Z99" s="1059">
        <v>12</v>
      </c>
      <c r="AA99" s="1059">
        <v>12</v>
      </c>
      <c r="AB99" s="1059">
        <v>12</v>
      </c>
      <c r="AC99" s="1059">
        <v>12</v>
      </c>
      <c r="AD99" s="1059">
        <v>12</v>
      </c>
    </row>
    <row r="100" spans="10:30" outlineLevel="1" x14ac:dyDescent="0.25">
      <c r="J100" s="1031" t="s">
        <v>1011</v>
      </c>
      <c r="K100" s="1031" t="s">
        <v>1012</v>
      </c>
    </row>
    <row r="101" spans="10:30" outlineLevel="1" x14ac:dyDescent="0.25">
      <c r="N101" s="1031" t="s">
        <v>1018</v>
      </c>
      <c r="O101" s="1045">
        <v>0.04</v>
      </c>
      <c r="P101" s="1045">
        <v>0.1</v>
      </c>
      <c r="Q101" s="1045">
        <v>0.15</v>
      </c>
      <c r="R101" s="1045">
        <v>0.2</v>
      </c>
      <c r="S101" s="1045">
        <v>0.25</v>
      </c>
      <c r="T101" s="1045">
        <v>0.27</v>
      </c>
      <c r="U101" s="1045">
        <v>0.3</v>
      </c>
      <c r="V101" s="1046">
        <f>+U101*V104+U101</f>
        <v>0.3</v>
      </c>
      <c r="W101" s="1046">
        <f t="shared" ref="W101" si="99">+V101*W104+V101</f>
        <v>0.3</v>
      </c>
      <c r="X101" s="1046">
        <f t="shared" ref="X101" si="100">+W101*X104+W101</f>
        <v>0.3</v>
      </c>
      <c r="Y101" s="1046">
        <f t="shared" ref="Y101" si="101">+X101*Y104+X101</f>
        <v>0.3</v>
      </c>
      <c r="Z101" s="1046">
        <f t="shared" ref="Z101" si="102">+Y101*Z104+Y101</f>
        <v>0.3</v>
      </c>
      <c r="AA101" s="1046">
        <f t="shared" ref="AA101" si="103">+Z101*AA104+Z101</f>
        <v>0.3</v>
      </c>
      <c r="AB101" s="1046">
        <f t="shared" ref="AB101" si="104">+AA101*AB104+AA101</f>
        <v>0.3</v>
      </c>
      <c r="AC101" s="1046">
        <f t="shared" ref="AC101:AD101" si="105">+AB101*AC104+AB101</f>
        <v>0.3</v>
      </c>
      <c r="AD101" s="1046">
        <f t="shared" si="105"/>
        <v>0.3</v>
      </c>
    </row>
    <row r="102" spans="10:30" outlineLevel="1" x14ac:dyDescent="0.25">
      <c r="J102" s="1031" t="s">
        <v>655</v>
      </c>
      <c r="K102" s="1031" t="s">
        <v>1013</v>
      </c>
    </row>
    <row r="103" spans="10:30" outlineLevel="1" x14ac:dyDescent="0.25"/>
    <row r="104" spans="10:30" outlineLevel="1" x14ac:dyDescent="0.25">
      <c r="J104" s="1031" t="s">
        <v>969</v>
      </c>
      <c r="K104" s="1060">
        <v>0.02</v>
      </c>
      <c r="L104" s="1031" t="s">
        <v>1015</v>
      </c>
    </row>
    <row r="105" spans="10:30" outlineLevel="1" x14ac:dyDescent="0.25">
      <c r="J105" s="1031" t="s">
        <v>1017</v>
      </c>
      <c r="K105" s="1060">
        <v>0.1</v>
      </c>
    </row>
    <row r="106" spans="10:30" outlineLevel="1" x14ac:dyDescent="0.25"/>
    <row r="107" spans="10:30" outlineLevel="1" x14ac:dyDescent="0.25">
      <c r="O107" s="1061">
        <v>7949382</v>
      </c>
    </row>
  </sheetData>
  <pageMargins left="0.7" right="0.7" top="0.75" bottom="0.75" header="0.3" footer="0.3"/>
  <pageSetup orientation="portrait" horizontalDpi="4294967295" verticalDpi="4294967295"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O443"/>
  <sheetViews>
    <sheetView zoomScale="80" workbookViewId="0">
      <pane xSplit="3" ySplit="9" topLeftCell="U10" activePane="bottomRight" state="frozen"/>
      <selection pane="topRight" activeCell="D1" sqref="D1"/>
      <selection pane="bottomLeft" activeCell="A10" sqref="A10"/>
      <selection pane="bottomRight" activeCell="U26" sqref="U26"/>
    </sheetView>
  </sheetViews>
  <sheetFormatPr defaultColWidth="9.109375" defaultRowHeight="12.75" customHeight="1" x14ac:dyDescent="0.25"/>
  <cols>
    <col min="1" max="1" width="3.5546875" style="245" customWidth="1"/>
    <col min="2" max="2" width="5.6640625" style="245" customWidth="1"/>
    <col min="3" max="3" width="44" style="245" customWidth="1"/>
    <col min="4" max="5" width="27.88671875" style="245" customWidth="1"/>
    <col min="6" max="6" width="27.88671875" style="245" hidden="1" customWidth="1"/>
    <col min="7" max="7" width="2.88671875" style="245" hidden="1" customWidth="1"/>
    <col min="8" max="10" width="10.109375" style="246" hidden="1" customWidth="1"/>
    <col min="11" max="12" width="10.109375" style="245" hidden="1" customWidth="1"/>
    <col min="13" max="13" width="17.33203125" style="245" customWidth="1"/>
    <col min="14" max="19" width="13.44140625" style="245" bestFit="1" customWidth="1"/>
    <col min="20" max="20" width="14.109375" style="245" bestFit="1" customWidth="1"/>
    <col min="21" max="26" width="13.44140625" style="245" bestFit="1" customWidth="1"/>
    <col min="27" max="35" width="13.44140625" style="245" customWidth="1"/>
    <col min="36" max="36" width="8" style="245" customWidth="1"/>
    <col min="37" max="37" width="54.88671875" style="245" customWidth="1"/>
    <col min="38" max="38" width="3.33203125" style="245" customWidth="1"/>
    <col min="39" max="39" width="75.88671875" style="247" customWidth="1"/>
    <col min="40" max="41" width="9.109375" style="247"/>
    <col min="42" max="16384" width="9.109375" style="245"/>
  </cols>
  <sheetData>
    <row r="1" spans="1:41" ht="16.5" customHeight="1" x14ac:dyDescent="0.3">
      <c r="A1" s="244" t="s">
        <v>974</v>
      </c>
    </row>
    <row r="2" spans="1:41" ht="16.5" customHeight="1" x14ac:dyDescent="0.3">
      <c r="A2" s="244" t="s">
        <v>261</v>
      </c>
      <c r="D2" s="248" t="s">
        <v>135</v>
      </c>
      <c r="E2" s="247"/>
      <c r="F2" s="247"/>
      <c r="AK2" s="247"/>
      <c r="AL2" s="247"/>
    </row>
    <row r="3" spans="1:41" ht="12.75" customHeight="1" x14ac:dyDescent="0.25">
      <c r="A3" s="249"/>
      <c r="D3" s="250" t="s">
        <v>632</v>
      </c>
      <c r="E3" s="250"/>
      <c r="F3" s="250"/>
      <c r="AK3" s="250"/>
      <c r="AL3" s="250"/>
    </row>
    <row r="4" spans="1:41" ht="12.75" customHeight="1" x14ac:dyDescent="0.3">
      <c r="A4" s="244"/>
      <c r="B4" s="449" t="s">
        <v>462</v>
      </c>
      <c r="D4" s="250" t="s">
        <v>633</v>
      </c>
      <c r="E4" s="250"/>
      <c r="F4" s="250"/>
      <c r="AK4" s="250"/>
      <c r="AL4" s="250"/>
    </row>
    <row r="5" spans="1:41" ht="12.75" customHeight="1" x14ac:dyDescent="0.3">
      <c r="A5" s="244"/>
      <c r="D5" s="251" t="s">
        <v>267</v>
      </c>
      <c r="E5" s="251"/>
      <c r="F5" s="251"/>
      <c r="I5" s="252"/>
      <c r="AK5" s="251"/>
      <c r="AL5" s="251"/>
      <c r="AM5" s="253"/>
    </row>
    <row r="6" spans="1:41" ht="12.75" customHeight="1" x14ac:dyDescent="0.3">
      <c r="A6" s="244"/>
      <c r="D6" s="251"/>
      <c r="E6" s="251"/>
      <c r="F6" s="251"/>
      <c r="I6" s="252"/>
      <c r="AK6" s="251"/>
      <c r="AL6" s="251"/>
      <c r="AM6" s="253"/>
    </row>
    <row r="7" spans="1:41" ht="12.75" customHeight="1" x14ac:dyDescent="0.3">
      <c r="A7" s="244"/>
      <c r="D7" s="254"/>
      <c r="E7" s="254"/>
      <c r="F7" s="254"/>
      <c r="I7" s="252" t="s">
        <v>701</v>
      </c>
      <c r="T7" s="245" t="s">
        <v>985</v>
      </c>
      <c r="V7" s="245" t="s">
        <v>986</v>
      </c>
      <c r="AK7" s="254"/>
      <c r="AL7" s="254"/>
      <c r="AM7" s="253"/>
    </row>
    <row r="8" spans="1:41" ht="12.75" customHeight="1" thickBot="1" x14ac:dyDescent="0.3">
      <c r="A8" s="255"/>
      <c r="B8" s="256"/>
      <c r="C8" s="256"/>
      <c r="D8" s="257" t="s">
        <v>136</v>
      </c>
      <c r="E8" s="258" t="s">
        <v>137</v>
      </c>
      <c r="F8" s="258" t="s">
        <v>351</v>
      </c>
      <c r="G8" s="259"/>
      <c r="H8" s="259" t="s">
        <v>685</v>
      </c>
      <c r="I8" s="259" t="s">
        <v>686</v>
      </c>
      <c r="J8" s="259" t="s">
        <v>687</v>
      </c>
      <c r="K8" s="259" t="s">
        <v>711</v>
      </c>
      <c r="L8" s="259" t="s">
        <v>719</v>
      </c>
      <c r="M8" s="259"/>
      <c r="N8" s="259"/>
      <c r="O8" s="259" t="s">
        <v>722</v>
      </c>
      <c r="P8" s="259" t="s">
        <v>770</v>
      </c>
      <c r="Q8" s="259" t="s">
        <v>790</v>
      </c>
      <c r="R8" s="259" t="s">
        <v>803</v>
      </c>
      <c r="S8" s="259" t="s">
        <v>804</v>
      </c>
      <c r="T8" s="1021" t="s">
        <v>946</v>
      </c>
      <c r="U8" s="259" t="s">
        <v>948</v>
      </c>
      <c r="V8" s="1021" t="s">
        <v>949</v>
      </c>
      <c r="W8" s="1022" t="s">
        <v>965</v>
      </c>
      <c r="X8" s="259" t="s">
        <v>966</v>
      </c>
      <c r="Y8" s="259" t="s">
        <v>967</v>
      </c>
      <c r="Z8" s="259" t="s">
        <v>968</v>
      </c>
      <c r="AA8" s="259" t="s">
        <v>979</v>
      </c>
      <c r="AB8" s="259" t="s">
        <v>980</v>
      </c>
      <c r="AC8" s="259" t="s">
        <v>981</v>
      </c>
      <c r="AD8" s="259" t="s">
        <v>982</v>
      </c>
      <c r="AE8" s="259" t="s">
        <v>983</v>
      </c>
      <c r="AF8" s="259" t="s">
        <v>984</v>
      </c>
      <c r="AG8" s="259" t="s">
        <v>2511</v>
      </c>
      <c r="AH8" s="259" t="s">
        <v>2512</v>
      </c>
      <c r="AI8" s="259" t="s">
        <v>2513</v>
      </c>
      <c r="AK8" s="258" t="s">
        <v>0</v>
      </c>
      <c r="AL8" s="275"/>
      <c r="AM8" s="253" t="s">
        <v>263</v>
      </c>
    </row>
    <row r="9" spans="1:41" s="249" customFormat="1" ht="12.75" customHeight="1" x14ac:dyDescent="0.25">
      <c r="B9" s="288" t="s">
        <v>273</v>
      </c>
      <c r="C9" s="288"/>
      <c r="D9" s="261"/>
      <c r="E9" s="262"/>
      <c r="F9" s="262"/>
      <c r="H9" s="289"/>
      <c r="I9" s="289"/>
      <c r="J9" s="289"/>
      <c r="AK9" s="262"/>
      <c r="AL9" s="262"/>
      <c r="AM9" s="248"/>
      <c r="AN9" s="248"/>
      <c r="AO9" s="248"/>
    </row>
    <row r="10" spans="1:41" ht="12.75" customHeight="1" x14ac:dyDescent="0.25">
      <c r="A10" s="249"/>
      <c r="B10" s="260"/>
      <c r="C10" s="260" t="s">
        <v>129</v>
      </c>
      <c r="D10" s="239" t="s">
        <v>112</v>
      </c>
      <c r="E10" s="239"/>
      <c r="F10" s="239"/>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0"/>
      <c r="AG10" s="240"/>
      <c r="AH10" s="240"/>
      <c r="AI10" s="240"/>
      <c r="AK10" s="245" t="s">
        <v>987</v>
      </c>
      <c r="AL10" s="260"/>
      <c r="AM10" s="304" t="s">
        <v>269</v>
      </c>
    </row>
    <row r="11" spans="1:41" ht="12.75" customHeight="1" x14ac:dyDescent="0.25">
      <c r="A11" s="249"/>
      <c r="C11" s="260" t="s">
        <v>130</v>
      </c>
      <c r="D11" s="239" t="s">
        <v>112</v>
      </c>
      <c r="E11" s="239"/>
      <c r="F11" s="239" t="s">
        <v>54</v>
      </c>
      <c r="H11" s="240"/>
      <c r="I11" s="240"/>
      <c r="J11" s="240"/>
      <c r="K11" s="240"/>
      <c r="L11" s="240"/>
      <c r="M11" s="240"/>
      <c r="N11" s="240"/>
      <c r="O11" s="240"/>
      <c r="P11" s="240"/>
      <c r="Q11" s="240"/>
      <c r="R11" s="240"/>
      <c r="S11" s="240"/>
      <c r="T11" s="240"/>
      <c r="U11" s="240"/>
      <c r="V11" s="240"/>
      <c r="W11" s="240"/>
      <c r="X11" s="240"/>
      <c r="Y11" s="240"/>
      <c r="Z11" s="240"/>
      <c r="AA11" s="1012"/>
      <c r="AB11" s="1012"/>
      <c r="AC11" s="1012"/>
      <c r="AD11" s="1012"/>
      <c r="AE11" s="1012"/>
      <c r="AF11" s="1012"/>
      <c r="AG11" s="1012"/>
      <c r="AH11" s="1012"/>
      <c r="AI11" s="1012"/>
      <c r="AK11" s="239"/>
      <c r="AL11" s="260"/>
      <c r="AM11" s="241" t="s">
        <v>270</v>
      </c>
    </row>
    <row r="12" spans="1:41" ht="12.75" customHeight="1" x14ac:dyDescent="0.25">
      <c r="A12" s="249"/>
      <c r="C12" s="260" t="s">
        <v>131</v>
      </c>
      <c r="D12" s="239" t="s">
        <v>112</v>
      </c>
      <c r="E12" s="239"/>
      <c r="F12" s="239"/>
      <c r="H12" s="240"/>
      <c r="I12" s="240"/>
      <c r="J12" s="240"/>
      <c r="K12" s="240"/>
      <c r="L12" s="240"/>
      <c r="M12" s="240"/>
      <c r="N12" s="240"/>
      <c r="O12" s="240"/>
      <c r="P12" s="240"/>
      <c r="Q12" s="240"/>
      <c r="R12" s="240"/>
      <c r="S12" s="240"/>
      <c r="T12" s="240"/>
      <c r="U12" s="240"/>
      <c r="V12" s="240"/>
      <c r="W12" s="240"/>
      <c r="X12" s="240"/>
      <c r="Y12" s="240"/>
      <c r="Z12" s="240"/>
      <c r="AA12" s="1012"/>
      <c r="AB12" s="1012"/>
      <c r="AC12" s="1012"/>
      <c r="AD12" s="1012"/>
      <c r="AE12" s="1012"/>
      <c r="AF12" s="1012"/>
      <c r="AG12" s="1012"/>
      <c r="AH12" s="1012"/>
      <c r="AI12" s="1012"/>
      <c r="AK12" s="239"/>
      <c r="AL12" s="260"/>
      <c r="AM12" s="241" t="s">
        <v>310</v>
      </c>
    </row>
    <row r="13" spans="1:41" ht="12.75" customHeight="1" x14ac:dyDescent="0.25">
      <c r="A13" s="249"/>
      <c r="B13" s="260"/>
      <c r="C13" s="260" t="s">
        <v>132</v>
      </c>
      <c r="D13" s="239"/>
      <c r="E13" s="239"/>
      <c r="F13" s="239"/>
      <c r="H13" s="277"/>
      <c r="I13" s="277"/>
      <c r="J13" s="277"/>
      <c r="K13" s="277"/>
      <c r="L13" s="277"/>
      <c r="M13" s="277"/>
      <c r="N13" s="277"/>
      <c r="O13" s="277"/>
      <c r="P13" s="277"/>
      <c r="Q13" s="277"/>
      <c r="R13" s="277"/>
      <c r="S13" s="277"/>
      <c r="T13" s="277"/>
      <c r="U13" s="277"/>
      <c r="V13" s="277"/>
      <c r="W13" s="277"/>
      <c r="X13" s="277"/>
      <c r="Y13" s="277"/>
      <c r="Z13" s="277"/>
      <c r="AA13" s="1012"/>
      <c r="AB13" s="1012"/>
      <c r="AC13" s="1012"/>
      <c r="AD13" s="1012"/>
      <c r="AE13" s="1012"/>
      <c r="AF13" s="1012"/>
      <c r="AG13" s="1012"/>
      <c r="AH13" s="1012"/>
      <c r="AI13" s="1012"/>
      <c r="AK13" s="239"/>
      <c r="AL13" s="260"/>
      <c r="AM13" s="241"/>
    </row>
    <row r="14" spans="1:41" s="249" customFormat="1" ht="12.75" customHeight="1" x14ac:dyDescent="0.25">
      <c r="B14" s="288"/>
      <c r="C14" s="288" t="s">
        <v>264</v>
      </c>
      <c r="D14" s="261"/>
      <c r="E14" s="262"/>
      <c r="F14" s="262"/>
      <c r="H14" s="290">
        <f>SUM(H10:H13)</f>
        <v>0</v>
      </c>
      <c r="I14" s="291">
        <f>SUM(I10:I13)</f>
        <v>0</v>
      </c>
      <c r="J14" s="291">
        <f>SUM(J10:J13)</f>
        <v>0</v>
      </c>
      <c r="K14" s="291">
        <f>SUM(K10:K13)</f>
        <v>0</v>
      </c>
      <c r="L14" s="291">
        <f>SUM(L10:L13)</f>
        <v>0</v>
      </c>
      <c r="M14" s="290">
        <f t="shared" ref="M14:AF14" si="0">SUM(M10:M13)</f>
        <v>0</v>
      </c>
      <c r="N14" s="290">
        <f t="shared" si="0"/>
        <v>0</v>
      </c>
      <c r="O14" s="290">
        <f t="shared" si="0"/>
        <v>0</v>
      </c>
      <c r="P14" s="290">
        <f t="shared" si="0"/>
        <v>0</v>
      </c>
      <c r="Q14" s="290">
        <f t="shared" si="0"/>
        <v>0</v>
      </c>
      <c r="R14" s="290">
        <f t="shared" si="0"/>
        <v>0</v>
      </c>
      <c r="S14" s="290">
        <f t="shared" si="0"/>
        <v>0</v>
      </c>
      <c r="T14" s="290">
        <f t="shared" si="0"/>
        <v>0</v>
      </c>
      <c r="U14" s="290">
        <f t="shared" si="0"/>
        <v>0</v>
      </c>
      <c r="V14" s="290">
        <f t="shared" si="0"/>
        <v>0</v>
      </c>
      <c r="W14" s="290">
        <f t="shared" si="0"/>
        <v>0</v>
      </c>
      <c r="X14" s="290">
        <f t="shared" si="0"/>
        <v>0</v>
      </c>
      <c r="Y14" s="290">
        <f t="shared" si="0"/>
        <v>0</v>
      </c>
      <c r="Z14" s="290">
        <f t="shared" si="0"/>
        <v>0</v>
      </c>
      <c r="AA14" s="290">
        <f t="shared" si="0"/>
        <v>0</v>
      </c>
      <c r="AB14" s="290">
        <f t="shared" si="0"/>
        <v>0</v>
      </c>
      <c r="AC14" s="290">
        <f t="shared" si="0"/>
        <v>0</v>
      </c>
      <c r="AD14" s="290">
        <f t="shared" si="0"/>
        <v>0</v>
      </c>
      <c r="AE14" s="290">
        <f t="shared" si="0"/>
        <v>0</v>
      </c>
      <c r="AF14" s="290">
        <f t="shared" si="0"/>
        <v>0</v>
      </c>
      <c r="AG14" s="290">
        <f t="shared" ref="AG14:AH14" si="1">SUM(AG10:AG13)</f>
        <v>0</v>
      </c>
      <c r="AH14" s="290">
        <f t="shared" si="1"/>
        <v>0</v>
      </c>
      <c r="AI14" s="290">
        <f t="shared" ref="AI14" si="2">SUM(AI10:AI13)</f>
        <v>0</v>
      </c>
      <c r="AK14" s="262"/>
      <c r="AL14" s="262"/>
      <c r="AM14" s="306"/>
      <c r="AN14" s="248"/>
      <c r="AO14" s="248"/>
    </row>
    <row r="15" spans="1:41" s="269" customFormat="1" ht="12.75" customHeight="1" x14ac:dyDescent="0.25">
      <c r="A15" s="264"/>
      <c r="B15" s="265"/>
      <c r="C15" s="266" t="s">
        <v>265</v>
      </c>
      <c r="D15" s="267"/>
      <c r="E15" s="268"/>
      <c r="F15" s="268"/>
      <c r="H15" s="279"/>
      <c r="I15" s="279" t="str">
        <f>IF(H14=0, "n/a", I14/H14-1)</f>
        <v>n/a</v>
      </c>
      <c r="J15" s="279" t="str">
        <f t="shared" ref="J15:U15" si="3">IF(I14=0, "n/a", J14/I14-1)</f>
        <v>n/a</v>
      </c>
      <c r="K15" s="279" t="str">
        <f t="shared" si="3"/>
        <v>n/a</v>
      </c>
      <c r="L15" s="279" t="str">
        <f t="shared" si="3"/>
        <v>n/a</v>
      </c>
      <c r="M15" s="279" t="str">
        <f t="shared" si="3"/>
        <v>n/a</v>
      </c>
      <c r="N15" s="279" t="str">
        <f t="shared" si="3"/>
        <v>n/a</v>
      </c>
      <c r="O15" s="279" t="str">
        <f t="shared" si="3"/>
        <v>n/a</v>
      </c>
      <c r="P15" s="279" t="str">
        <f t="shared" si="3"/>
        <v>n/a</v>
      </c>
      <c r="Q15" s="279" t="str">
        <f t="shared" si="3"/>
        <v>n/a</v>
      </c>
      <c r="R15" s="279" t="str">
        <f t="shared" si="3"/>
        <v>n/a</v>
      </c>
      <c r="S15" s="279" t="str">
        <f t="shared" si="3"/>
        <v>n/a</v>
      </c>
      <c r="T15" s="279" t="str">
        <f t="shared" si="3"/>
        <v>n/a</v>
      </c>
      <c r="U15" s="279" t="str">
        <f t="shared" si="3"/>
        <v>n/a</v>
      </c>
      <c r="V15" s="279" t="str">
        <f>IF(U14=0, "n/a", V14/U14-1)</f>
        <v>n/a</v>
      </c>
      <c r="W15" s="279" t="str">
        <f>IF(V14=0, "n/a", W14/V14-1)</f>
        <v>n/a</v>
      </c>
      <c r="X15" s="279" t="str">
        <f>IF(W14=0, "n/a", X14/W14-1)</f>
        <v>n/a</v>
      </c>
      <c r="Y15" s="279" t="str">
        <f t="shared" ref="Y15:Z15" si="4">IF(X14=0, "n/a", Y14/X14-1)</f>
        <v>n/a</v>
      </c>
      <c r="Z15" s="279" t="str">
        <f t="shared" si="4"/>
        <v>n/a</v>
      </c>
      <c r="AA15" s="279" t="str">
        <f t="shared" ref="AA15" si="5">IF(Z14=0, "n/a", AA14/Z14-1)</f>
        <v>n/a</v>
      </c>
      <c r="AB15" s="279" t="str">
        <f t="shared" ref="AB15" si="6">IF(AA14=0, "n/a", AB14/AA14-1)</f>
        <v>n/a</v>
      </c>
      <c r="AC15" s="279" t="str">
        <f t="shared" ref="AC15" si="7">IF(AB14=0, "n/a", AC14/AB14-1)</f>
        <v>n/a</v>
      </c>
      <c r="AD15" s="279" t="str">
        <f t="shared" ref="AD15" si="8">IF(AC14=0, "n/a", AD14/AC14-1)</f>
        <v>n/a</v>
      </c>
      <c r="AE15" s="279" t="str">
        <f t="shared" ref="AE15" si="9">IF(AD14=0, "n/a", AE14/AD14-1)</f>
        <v>n/a</v>
      </c>
      <c r="AF15" s="279" t="str">
        <f t="shared" ref="AF15" si="10">IF(AE14=0, "n/a", AF14/AE14-1)</f>
        <v>n/a</v>
      </c>
      <c r="AG15" s="279" t="str">
        <f t="shared" ref="AG15" si="11">IF(AF14=0, "n/a", AG14/AF14-1)</f>
        <v>n/a</v>
      </c>
      <c r="AH15" s="279" t="str">
        <f t="shared" ref="AH15:AI15" si="12">IF(AG14=0, "n/a", AH14/AG14-1)</f>
        <v>n/a</v>
      </c>
      <c r="AI15" s="279" t="str">
        <f t="shared" si="12"/>
        <v>n/a</v>
      </c>
      <c r="AK15" s="268"/>
      <c r="AL15" s="268"/>
      <c r="AM15" s="241"/>
      <c r="AN15" s="250"/>
      <c r="AO15" s="250"/>
    </row>
    <row r="16" spans="1:41" ht="12.75" customHeight="1" x14ac:dyDescent="0.3">
      <c r="A16" s="249"/>
      <c r="B16" s="272"/>
      <c r="C16" s="261"/>
      <c r="D16" s="261"/>
      <c r="E16" s="262"/>
      <c r="F16" s="262"/>
      <c r="AK16" s="262"/>
      <c r="AL16" s="262"/>
      <c r="AM16" s="307"/>
    </row>
    <row r="17" spans="1:41" s="249" customFormat="1" ht="12.75" customHeight="1" x14ac:dyDescent="0.25">
      <c r="B17" s="288" t="s">
        <v>274</v>
      </c>
      <c r="C17" s="288"/>
      <c r="D17" s="288"/>
      <c r="E17" s="288"/>
      <c r="F17" s="288"/>
      <c r="H17" s="289"/>
      <c r="I17" s="289"/>
      <c r="J17" s="289"/>
      <c r="AK17" s="288"/>
      <c r="AL17" s="288"/>
      <c r="AM17" s="308"/>
      <c r="AN17" s="248"/>
      <c r="AO17" s="248"/>
    </row>
    <row r="18" spans="1:41" ht="12.75" customHeight="1" x14ac:dyDescent="0.25">
      <c r="A18" s="249"/>
      <c r="B18" s="260"/>
      <c r="C18" s="260" t="s">
        <v>129</v>
      </c>
      <c r="D18" s="239"/>
      <c r="E18" s="239"/>
      <c r="F18" s="239"/>
      <c r="H18" s="240"/>
      <c r="I18" s="240"/>
      <c r="J18" s="240"/>
      <c r="K18" s="240"/>
      <c r="L18" s="240"/>
      <c r="M18" s="240"/>
      <c r="N18" s="240"/>
      <c r="O18" s="240"/>
      <c r="P18" s="240"/>
      <c r="Q18" s="240"/>
      <c r="R18" s="240"/>
      <c r="S18" s="240"/>
      <c r="T18" s="240"/>
      <c r="U18" s="240"/>
      <c r="V18" s="240"/>
      <c r="W18" s="240"/>
      <c r="X18" s="240"/>
      <c r="Y18" s="240"/>
      <c r="Z18" s="240"/>
      <c r="AA18" s="240"/>
      <c r="AB18" s="240"/>
      <c r="AC18" s="240"/>
      <c r="AD18" s="240"/>
      <c r="AE18" s="240"/>
      <c r="AF18" s="240"/>
      <c r="AG18" s="240"/>
      <c r="AH18" s="240"/>
      <c r="AI18" s="240"/>
      <c r="AK18" s="448"/>
      <c r="AL18" s="260"/>
      <c r="AM18" s="241" t="s">
        <v>311</v>
      </c>
    </row>
    <row r="19" spans="1:41" ht="12.75" customHeight="1" x14ac:dyDescent="0.25">
      <c r="A19" s="249"/>
      <c r="C19" s="260" t="s">
        <v>130</v>
      </c>
      <c r="D19" s="239"/>
      <c r="E19" s="239"/>
      <c r="F19" s="239"/>
      <c r="H19" s="240"/>
      <c r="I19" s="240"/>
      <c r="J19" s="240"/>
      <c r="K19" s="240"/>
      <c r="L19" s="240"/>
      <c r="M19" s="240"/>
      <c r="N19" s="240"/>
      <c r="O19" s="240"/>
      <c r="P19" s="240"/>
      <c r="Q19" s="240"/>
      <c r="R19" s="240"/>
      <c r="S19" s="240"/>
      <c r="T19" s="240"/>
      <c r="U19" s="240"/>
      <c r="V19" s="240"/>
      <c r="W19" s="240"/>
      <c r="X19" s="240"/>
      <c r="Y19" s="240"/>
      <c r="Z19" s="240"/>
      <c r="AA19" s="240"/>
      <c r="AB19" s="240"/>
      <c r="AC19" s="240"/>
      <c r="AD19" s="240"/>
      <c r="AE19" s="240"/>
      <c r="AF19" s="240"/>
      <c r="AG19" s="240"/>
      <c r="AH19" s="240"/>
      <c r="AI19" s="240"/>
      <c r="AK19" s="448"/>
      <c r="AL19" s="260"/>
      <c r="AM19" s="241" t="s">
        <v>312</v>
      </c>
    </row>
    <row r="20" spans="1:41" ht="12.75" customHeight="1" x14ac:dyDescent="0.25">
      <c r="A20" s="249"/>
      <c r="C20" s="260" t="s">
        <v>131</v>
      </c>
      <c r="D20" s="239"/>
      <c r="E20" s="239"/>
      <c r="F20" s="239"/>
      <c r="H20" s="240"/>
      <c r="I20" s="240"/>
      <c r="J20" s="240"/>
      <c r="K20" s="240"/>
      <c r="L20" s="240"/>
      <c r="M20" s="240"/>
      <c r="N20" s="240"/>
      <c r="O20" s="240"/>
      <c r="P20" s="240"/>
      <c r="Q20" s="240"/>
      <c r="R20" s="240"/>
      <c r="S20" s="240"/>
      <c r="T20" s="240"/>
      <c r="U20" s="240"/>
      <c r="V20" s="240"/>
      <c r="W20" s="240"/>
      <c r="X20" s="240"/>
      <c r="Y20" s="240"/>
      <c r="Z20" s="240"/>
      <c r="AA20" s="240"/>
      <c r="AB20" s="240"/>
      <c r="AC20" s="240"/>
      <c r="AD20" s="240"/>
      <c r="AE20" s="240"/>
      <c r="AF20" s="240"/>
      <c r="AG20" s="240"/>
      <c r="AH20" s="240"/>
      <c r="AI20" s="240"/>
      <c r="AK20" s="239"/>
      <c r="AL20" s="260"/>
      <c r="AM20" s="241" t="s">
        <v>313</v>
      </c>
    </row>
    <row r="21" spans="1:41" ht="12.75" customHeight="1" x14ac:dyDescent="0.25">
      <c r="A21" s="249"/>
      <c r="B21" s="260"/>
      <c r="C21" s="260" t="s">
        <v>132</v>
      </c>
      <c r="D21" s="239"/>
      <c r="E21" s="239"/>
      <c r="F21" s="239"/>
      <c r="H21" s="277"/>
      <c r="I21" s="277"/>
      <c r="J21" s="277"/>
      <c r="K21" s="277"/>
      <c r="L21" s="277"/>
      <c r="M21" s="277"/>
      <c r="N21" s="277"/>
      <c r="O21" s="277"/>
      <c r="P21" s="277"/>
      <c r="Q21" s="277"/>
      <c r="R21" s="277"/>
      <c r="S21" s="277"/>
      <c r="T21" s="277"/>
      <c r="U21" s="277"/>
      <c r="V21" s="277"/>
      <c r="W21" s="277"/>
      <c r="X21" s="277"/>
      <c r="Y21" s="277"/>
      <c r="Z21" s="277"/>
      <c r="AA21" s="277"/>
      <c r="AB21" s="277"/>
      <c r="AC21" s="277"/>
      <c r="AD21" s="277"/>
      <c r="AE21" s="277"/>
      <c r="AF21" s="277"/>
      <c r="AG21" s="277"/>
      <c r="AH21" s="277"/>
      <c r="AI21" s="277"/>
      <c r="AK21" s="239"/>
      <c r="AL21" s="260"/>
      <c r="AM21" s="241" t="s">
        <v>314</v>
      </c>
    </row>
    <row r="22" spans="1:41" s="249" customFormat="1" ht="12.75" customHeight="1" x14ac:dyDescent="0.25">
      <c r="B22" s="288"/>
      <c r="C22" s="288" t="s">
        <v>264</v>
      </c>
      <c r="D22" s="261"/>
      <c r="E22" s="262"/>
      <c r="F22" s="262"/>
      <c r="H22" s="290">
        <f>SUM(H18:H21)</f>
        <v>0</v>
      </c>
      <c r="I22" s="290">
        <f t="shared" ref="I22:P22" si="13">SUM(I18:I21)</f>
        <v>0</v>
      </c>
      <c r="J22" s="290">
        <f t="shared" si="13"/>
        <v>0</v>
      </c>
      <c r="K22" s="290">
        <f t="shared" si="13"/>
        <v>0</v>
      </c>
      <c r="L22" s="290">
        <f t="shared" si="13"/>
        <v>0</v>
      </c>
      <c r="M22" s="290">
        <f t="shared" si="13"/>
        <v>0</v>
      </c>
      <c r="N22" s="290">
        <f t="shared" si="13"/>
        <v>0</v>
      </c>
      <c r="O22" s="290">
        <f t="shared" si="13"/>
        <v>0</v>
      </c>
      <c r="P22" s="290">
        <f t="shared" si="13"/>
        <v>0</v>
      </c>
      <c r="Q22" s="290">
        <f t="shared" ref="Q22:W22" si="14">SUM(Q18:Q21)</f>
        <v>0</v>
      </c>
      <c r="R22" s="290">
        <f t="shared" si="14"/>
        <v>0</v>
      </c>
      <c r="S22" s="290">
        <f t="shared" si="14"/>
        <v>0</v>
      </c>
      <c r="T22" s="290">
        <f t="shared" si="14"/>
        <v>0</v>
      </c>
      <c r="U22" s="290">
        <f t="shared" si="14"/>
        <v>0</v>
      </c>
      <c r="V22" s="290">
        <f t="shared" si="14"/>
        <v>0</v>
      </c>
      <c r="W22" s="290">
        <f t="shared" si="14"/>
        <v>0</v>
      </c>
      <c r="X22" s="290">
        <f>SUM(X18:X21)</f>
        <v>0</v>
      </c>
      <c r="Y22" s="290">
        <f t="shared" ref="Y22:Z22" si="15">SUM(Y18:Y21)</f>
        <v>0</v>
      </c>
      <c r="Z22" s="290">
        <f t="shared" si="15"/>
        <v>0</v>
      </c>
      <c r="AA22" s="290">
        <f t="shared" ref="AA22:AF22" si="16">SUM(AA18:AA21)</f>
        <v>0</v>
      </c>
      <c r="AB22" s="290">
        <f t="shared" si="16"/>
        <v>0</v>
      </c>
      <c r="AC22" s="290">
        <f t="shared" si="16"/>
        <v>0</v>
      </c>
      <c r="AD22" s="290">
        <f t="shared" si="16"/>
        <v>0</v>
      </c>
      <c r="AE22" s="290">
        <f t="shared" si="16"/>
        <v>0</v>
      </c>
      <c r="AF22" s="290">
        <f t="shared" si="16"/>
        <v>0</v>
      </c>
      <c r="AG22" s="290">
        <f t="shared" ref="AG22:AH22" si="17">SUM(AG18:AG21)</f>
        <v>0</v>
      </c>
      <c r="AH22" s="290">
        <f t="shared" si="17"/>
        <v>0</v>
      </c>
      <c r="AI22" s="290">
        <f t="shared" ref="AI22" si="18">SUM(AI18:AI21)</f>
        <v>0</v>
      </c>
      <c r="AK22" s="239"/>
      <c r="AL22" s="262"/>
      <c r="AM22" s="241" t="s">
        <v>315</v>
      </c>
      <c r="AN22" s="248"/>
      <c r="AO22" s="248"/>
    </row>
    <row r="23" spans="1:41" s="269" customFormat="1" ht="12.75" customHeight="1" x14ac:dyDescent="0.25">
      <c r="A23" s="264"/>
      <c r="B23" s="265"/>
      <c r="C23" s="266" t="s">
        <v>265</v>
      </c>
      <c r="D23" s="267"/>
      <c r="E23" s="268"/>
      <c r="F23" s="268"/>
      <c r="H23" s="279"/>
      <c r="I23" s="279" t="str">
        <f t="shared" ref="I23:U23" si="19">IF(H22=0, "n/a", I22/H22-1)</f>
        <v>n/a</v>
      </c>
      <c r="J23" s="279" t="str">
        <f t="shared" si="19"/>
        <v>n/a</v>
      </c>
      <c r="K23" s="279" t="str">
        <f t="shared" si="19"/>
        <v>n/a</v>
      </c>
      <c r="L23" s="279" t="str">
        <f t="shared" si="19"/>
        <v>n/a</v>
      </c>
      <c r="M23" s="279" t="str">
        <f t="shared" si="19"/>
        <v>n/a</v>
      </c>
      <c r="N23" s="279" t="str">
        <f t="shared" si="19"/>
        <v>n/a</v>
      </c>
      <c r="O23" s="279" t="str">
        <f t="shared" si="19"/>
        <v>n/a</v>
      </c>
      <c r="P23" s="279" t="str">
        <f t="shared" si="19"/>
        <v>n/a</v>
      </c>
      <c r="Q23" s="279" t="str">
        <f t="shared" si="19"/>
        <v>n/a</v>
      </c>
      <c r="R23" s="279" t="str">
        <f t="shared" si="19"/>
        <v>n/a</v>
      </c>
      <c r="S23" s="279" t="str">
        <f t="shared" si="19"/>
        <v>n/a</v>
      </c>
      <c r="T23" s="279" t="str">
        <f t="shared" si="19"/>
        <v>n/a</v>
      </c>
      <c r="U23" s="279" t="str">
        <f t="shared" si="19"/>
        <v>n/a</v>
      </c>
      <c r="V23" s="279" t="str">
        <f>IF(U22=0, "n/a", V22/U22-1)</f>
        <v>n/a</v>
      </c>
      <c r="W23" s="279" t="str">
        <f>IF(V22=0, "n/a", W22/V22-1)</f>
        <v>n/a</v>
      </c>
      <c r="X23" s="279" t="str">
        <f>IF(W22=0, "n/a", X22/W22-1)</f>
        <v>n/a</v>
      </c>
      <c r="Y23" s="279" t="str">
        <f t="shared" ref="Y23:Z23" si="20">IF(X22=0, "n/a", Y22/X22-1)</f>
        <v>n/a</v>
      </c>
      <c r="Z23" s="279" t="str">
        <f t="shared" si="20"/>
        <v>n/a</v>
      </c>
      <c r="AA23" s="279" t="str">
        <f t="shared" ref="AA23" si="21">IF(Z22=0, "n/a", AA22/Z22-1)</f>
        <v>n/a</v>
      </c>
      <c r="AB23" s="279" t="str">
        <f t="shared" ref="AB23" si="22">IF(AA22=0, "n/a", AB22/AA22-1)</f>
        <v>n/a</v>
      </c>
      <c r="AC23" s="279" t="str">
        <f t="shared" ref="AC23" si="23">IF(AB22=0, "n/a", AC22/AB22-1)</f>
        <v>n/a</v>
      </c>
      <c r="AD23" s="279" t="str">
        <f t="shared" ref="AD23" si="24">IF(AC22=0, "n/a", AD22/AC22-1)</f>
        <v>n/a</v>
      </c>
      <c r="AE23" s="279" t="str">
        <f t="shared" ref="AE23" si="25">IF(AD22=0, "n/a", AE22/AD22-1)</f>
        <v>n/a</v>
      </c>
      <c r="AF23" s="279" t="str">
        <f t="shared" ref="AF23" si="26">IF(AE22=0, "n/a", AF22/AE22-1)</f>
        <v>n/a</v>
      </c>
      <c r="AG23" s="279" t="str">
        <f t="shared" ref="AG23" si="27">IF(AF22=0, "n/a", AG22/AF22-1)</f>
        <v>n/a</v>
      </c>
      <c r="AH23" s="279" t="str">
        <f t="shared" ref="AH23:AI23" si="28">IF(AG22=0, "n/a", AH22/AG22-1)</f>
        <v>n/a</v>
      </c>
      <c r="AI23" s="279" t="str">
        <f t="shared" si="28"/>
        <v>n/a</v>
      </c>
      <c r="AK23" s="239"/>
      <c r="AL23" s="268"/>
      <c r="AM23" s="241" t="s">
        <v>316</v>
      </c>
      <c r="AN23" s="250"/>
      <c r="AO23" s="250"/>
    </row>
    <row r="24" spans="1:41" ht="12.75" customHeight="1" x14ac:dyDescent="0.25">
      <c r="A24" s="249"/>
      <c r="B24" s="260"/>
      <c r="C24" s="260"/>
      <c r="D24" s="260"/>
      <c r="E24" s="260"/>
      <c r="F24" s="260"/>
      <c r="K24" s="246"/>
      <c r="L24" s="246"/>
      <c r="M24" s="246"/>
      <c r="N24" s="246"/>
      <c r="O24" s="246"/>
      <c r="AA24" s="455"/>
      <c r="AB24" s="455"/>
      <c r="AC24" s="455"/>
      <c r="AD24" s="455"/>
      <c r="AE24" s="455"/>
      <c r="AF24" s="455"/>
      <c r="AG24" s="455"/>
      <c r="AH24" s="455"/>
      <c r="AI24" s="455"/>
      <c r="AK24" s="260"/>
      <c r="AL24" s="260"/>
      <c r="AM24" s="307"/>
    </row>
    <row r="25" spans="1:41" s="249" customFormat="1" ht="12.75" customHeight="1" x14ac:dyDescent="0.25">
      <c r="B25" s="288" t="s">
        <v>344</v>
      </c>
      <c r="C25" s="288"/>
      <c r="D25" s="288"/>
      <c r="E25" s="288"/>
      <c r="F25" s="288"/>
      <c r="H25" s="289"/>
      <c r="I25" s="289"/>
      <c r="J25" s="289"/>
      <c r="T25" s="445"/>
      <c r="U25" s="445"/>
      <c r="V25" s="445"/>
      <c r="W25" s="445"/>
      <c r="X25" s="445"/>
      <c r="Y25" s="445"/>
      <c r="Z25" s="445"/>
      <c r="AA25" s="445"/>
      <c r="AB25" s="445"/>
      <c r="AC25" s="445"/>
      <c r="AD25" s="445"/>
      <c r="AE25" s="445"/>
      <c r="AF25" s="445"/>
      <c r="AG25" s="445"/>
      <c r="AH25" s="445"/>
      <c r="AI25" s="445"/>
      <c r="AK25" s="288"/>
      <c r="AL25" s="288"/>
      <c r="AM25" s="308"/>
      <c r="AN25" s="248"/>
      <c r="AO25" s="248"/>
    </row>
    <row r="26" spans="1:41" ht="12.75" customHeight="1" x14ac:dyDescent="0.25">
      <c r="A26" s="249"/>
      <c r="B26" s="260"/>
      <c r="C26" s="260" t="s">
        <v>129</v>
      </c>
      <c r="D26" s="239"/>
      <c r="E26" s="239"/>
      <c r="F26" s="239"/>
      <c r="H26" s="240"/>
      <c r="I26" s="240"/>
      <c r="J26" s="240"/>
      <c r="K26" s="240"/>
      <c r="L26" s="240"/>
      <c r="M26" s="240"/>
      <c r="N26" s="240"/>
      <c r="O26" s="240"/>
      <c r="P26" s="240"/>
      <c r="Q26" s="240"/>
      <c r="R26" s="240"/>
      <c r="S26" s="240"/>
      <c r="T26" s="1026">
        <f>+Assumptions!O80/1000</f>
        <v>0</v>
      </c>
      <c r="U26" s="1026">
        <f>+Assumptions!P80/1000</f>
        <v>16667.203805107201</v>
      </c>
      <c r="V26" s="1026">
        <f>+Assumptions!Q80/1000</f>
        <v>38568.729451259293</v>
      </c>
      <c r="W26" s="1026">
        <f>+Assumptions!R80/1000</f>
        <v>73523.96947665418</v>
      </c>
      <c r="X26" s="1026">
        <f>+Assumptions!S80/1000</f>
        <v>110318.99500952553</v>
      </c>
      <c r="Y26" s="1026">
        <f>+Assumptions!T80/1000</f>
        <v>137341.0538147593</v>
      </c>
      <c r="Z26" s="1026">
        <f>+Assumptions!U80/1000</f>
        <v>152865.10012769504</v>
      </c>
      <c r="AA26" s="1026">
        <f>+Assumptions!V80/1000</f>
        <v>165744.56703901544</v>
      </c>
      <c r="AB26" s="1026">
        <f>+Assumptions!W80/1000</f>
        <v>190189.87253450209</v>
      </c>
      <c r="AC26" s="1026">
        <f>+Assumptions!X80/1000</f>
        <v>198826.88370596603</v>
      </c>
      <c r="AD26" s="1026">
        <f>+Assumptions!Y80/1000</f>
        <v>239308.0372285007</v>
      </c>
      <c r="AE26" s="1026">
        <f>+Assumptions!Z80/1000</f>
        <v>268535.02227712964</v>
      </c>
      <c r="AF26" s="1026">
        <f>+Assumptions!AA80/1000</f>
        <v>308703.14307628642</v>
      </c>
      <c r="AG26" s="1026">
        <f>+Assumptions!AB80/1000</f>
        <v>269220.0110768294</v>
      </c>
      <c r="AH26" s="1026">
        <f>+Assumptions!AC80/1000</f>
        <v>260874.19073344767</v>
      </c>
      <c r="AI26" s="1026">
        <f>+Assumptions!AD80/1000</f>
        <v>252787.09082071082</v>
      </c>
      <c r="AK26" s="647"/>
      <c r="AL26" s="260"/>
      <c r="AM26" s="241" t="s">
        <v>317</v>
      </c>
    </row>
    <row r="27" spans="1:41" ht="12.75" customHeight="1" x14ac:dyDescent="0.25">
      <c r="A27" s="249"/>
      <c r="B27" s="260"/>
      <c r="C27" s="260" t="s">
        <v>130</v>
      </c>
      <c r="D27" s="239"/>
      <c r="E27" s="239"/>
      <c r="F27" s="239"/>
      <c r="H27" s="240"/>
      <c r="I27" s="240"/>
      <c r="J27" s="240"/>
      <c r="K27" s="240"/>
      <c r="L27" s="240"/>
      <c r="M27" s="240"/>
      <c r="N27" s="240"/>
      <c r="O27" s="240"/>
      <c r="P27" s="240"/>
      <c r="Q27" s="240"/>
      <c r="R27" s="240"/>
      <c r="S27" s="240"/>
      <c r="T27" s="240"/>
      <c r="U27" s="240"/>
      <c r="V27" s="240"/>
      <c r="W27" s="240"/>
      <c r="X27" s="240"/>
      <c r="Y27" s="240"/>
      <c r="Z27" s="240"/>
      <c r="AA27" s="240"/>
      <c r="AB27" s="240"/>
      <c r="AC27" s="240"/>
      <c r="AD27" s="240"/>
      <c r="AE27" s="240"/>
      <c r="AF27" s="240"/>
      <c r="AG27" s="240"/>
      <c r="AH27" s="240"/>
      <c r="AI27" s="240"/>
      <c r="AK27" s="239"/>
      <c r="AL27" s="260"/>
      <c r="AM27" s="306" t="s">
        <v>324</v>
      </c>
    </row>
    <row r="28" spans="1:41" ht="12.75" customHeight="1" x14ac:dyDescent="0.25">
      <c r="A28" s="249"/>
      <c r="B28" s="260"/>
      <c r="C28" s="260" t="s">
        <v>131</v>
      </c>
      <c r="D28" s="239"/>
      <c r="E28" s="239"/>
      <c r="F28" s="239"/>
      <c r="H28" s="240"/>
      <c r="I28" s="240"/>
      <c r="J28" s="240"/>
      <c r="K28" s="240"/>
      <c r="L28" s="240"/>
      <c r="M28" s="240"/>
      <c r="N28" s="240"/>
      <c r="O28" s="240"/>
      <c r="P28" s="240"/>
      <c r="Q28" s="240"/>
      <c r="R28" s="240"/>
      <c r="S28" s="240"/>
      <c r="T28" s="240"/>
      <c r="U28" s="240"/>
      <c r="V28" s="240"/>
      <c r="W28" s="240"/>
      <c r="X28" s="240"/>
      <c r="Y28" s="240"/>
      <c r="Z28" s="240"/>
      <c r="AA28" s="240"/>
      <c r="AB28" s="240"/>
      <c r="AC28" s="240"/>
      <c r="AD28" s="240"/>
      <c r="AE28" s="240"/>
      <c r="AF28" s="240"/>
      <c r="AG28" s="240"/>
      <c r="AH28" s="240"/>
      <c r="AI28" s="240"/>
      <c r="AK28" s="239"/>
      <c r="AL28" s="260"/>
      <c r="AM28" s="241" t="s">
        <v>325</v>
      </c>
    </row>
    <row r="29" spans="1:41" ht="12.75" customHeight="1" x14ac:dyDescent="0.25">
      <c r="A29" s="249"/>
      <c r="B29" s="260"/>
      <c r="C29" s="260" t="s">
        <v>132</v>
      </c>
      <c r="D29" s="239"/>
      <c r="E29" s="239"/>
      <c r="F29" s="239"/>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K29" s="239"/>
      <c r="AL29" s="260"/>
      <c r="AM29" s="241" t="s">
        <v>326</v>
      </c>
    </row>
    <row r="30" spans="1:41" s="249" customFormat="1" ht="12.75" customHeight="1" x14ac:dyDescent="0.25">
      <c r="B30" s="288"/>
      <c r="C30" s="288" t="s">
        <v>264</v>
      </c>
      <c r="D30" s="261"/>
      <c r="E30" s="262"/>
      <c r="F30" s="262"/>
      <c r="H30" s="290">
        <f t="shared" ref="H30:T30" si="29">SUM(H26:H29)</f>
        <v>0</v>
      </c>
      <c r="I30" s="290">
        <f t="shared" si="29"/>
        <v>0</v>
      </c>
      <c r="J30" s="290">
        <f t="shared" si="29"/>
        <v>0</v>
      </c>
      <c r="K30" s="290">
        <f t="shared" si="29"/>
        <v>0</v>
      </c>
      <c r="L30" s="290">
        <f t="shared" si="29"/>
        <v>0</v>
      </c>
      <c r="M30" s="290">
        <f t="shared" si="29"/>
        <v>0</v>
      </c>
      <c r="N30" s="290">
        <f t="shared" si="29"/>
        <v>0</v>
      </c>
      <c r="O30" s="290">
        <f t="shared" si="29"/>
        <v>0</v>
      </c>
      <c r="P30" s="290">
        <f t="shared" si="29"/>
        <v>0</v>
      </c>
      <c r="Q30" s="290">
        <f t="shared" si="29"/>
        <v>0</v>
      </c>
      <c r="R30" s="290">
        <f t="shared" si="29"/>
        <v>0</v>
      </c>
      <c r="S30" s="290">
        <f t="shared" si="29"/>
        <v>0</v>
      </c>
      <c r="T30" s="290">
        <f t="shared" si="29"/>
        <v>0</v>
      </c>
      <c r="U30" s="290">
        <f t="shared" ref="U30:AF30" si="30">SUM(U26:U29)</f>
        <v>16667.203805107201</v>
      </c>
      <c r="V30" s="290">
        <f t="shared" si="30"/>
        <v>38568.729451259293</v>
      </c>
      <c r="W30" s="290">
        <f t="shared" si="30"/>
        <v>73523.96947665418</v>
      </c>
      <c r="X30" s="290">
        <f t="shared" si="30"/>
        <v>110318.99500952553</v>
      </c>
      <c r="Y30" s="290">
        <f t="shared" si="30"/>
        <v>137341.0538147593</v>
      </c>
      <c r="Z30" s="290">
        <f t="shared" si="30"/>
        <v>152865.10012769504</v>
      </c>
      <c r="AA30" s="290">
        <f t="shared" si="30"/>
        <v>165744.56703901544</v>
      </c>
      <c r="AB30" s="290">
        <f t="shared" si="30"/>
        <v>190189.87253450209</v>
      </c>
      <c r="AC30" s="290">
        <f t="shared" si="30"/>
        <v>198826.88370596603</v>
      </c>
      <c r="AD30" s="290">
        <f t="shared" si="30"/>
        <v>239308.0372285007</v>
      </c>
      <c r="AE30" s="290">
        <f t="shared" si="30"/>
        <v>268535.02227712964</v>
      </c>
      <c r="AF30" s="290">
        <f t="shared" si="30"/>
        <v>308703.14307628642</v>
      </c>
      <c r="AG30" s="290">
        <f t="shared" ref="AG30:AH30" si="31">SUM(AG26:AG29)</f>
        <v>269220.0110768294</v>
      </c>
      <c r="AH30" s="290">
        <f t="shared" si="31"/>
        <v>260874.19073344767</v>
      </c>
      <c r="AI30" s="290">
        <f t="shared" ref="AI30" si="32">SUM(AI26:AI29)</f>
        <v>252787.09082071082</v>
      </c>
      <c r="AK30" s="239"/>
      <c r="AL30" s="262"/>
      <c r="AM30" s="241" t="s">
        <v>327</v>
      </c>
      <c r="AN30" s="248"/>
      <c r="AO30" s="248"/>
    </row>
    <row r="31" spans="1:41" s="269" customFormat="1" ht="12.75" customHeight="1" x14ac:dyDescent="0.25">
      <c r="A31" s="264"/>
      <c r="B31" s="265"/>
      <c r="C31" s="266" t="s">
        <v>265</v>
      </c>
      <c r="D31" s="267"/>
      <c r="E31" s="268"/>
      <c r="F31" s="268"/>
      <c r="H31" s="278"/>
      <c r="I31" s="279" t="str">
        <f t="shared" ref="I31:U31" si="33">IF(H30=0, "n/a", I30/H30-1)</f>
        <v>n/a</v>
      </c>
      <c r="J31" s="279" t="str">
        <f t="shared" si="33"/>
        <v>n/a</v>
      </c>
      <c r="K31" s="279" t="str">
        <f t="shared" si="33"/>
        <v>n/a</v>
      </c>
      <c r="L31" s="279" t="str">
        <f t="shared" si="33"/>
        <v>n/a</v>
      </c>
      <c r="M31" s="279" t="str">
        <f t="shared" si="33"/>
        <v>n/a</v>
      </c>
      <c r="N31" s="279" t="str">
        <f t="shared" si="33"/>
        <v>n/a</v>
      </c>
      <c r="O31" s="279" t="str">
        <f t="shared" si="33"/>
        <v>n/a</v>
      </c>
      <c r="P31" s="279" t="str">
        <f t="shared" si="33"/>
        <v>n/a</v>
      </c>
      <c r="Q31" s="279" t="str">
        <f t="shared" si="33"/>
        <v>n/a</v>
      </c>
      <c r="R31" s="279" t="str">
        <f t="shared" si="33"/>
        <v>n/a</v>
      </c>
      <c r="S31" s="279" t="str">
        <f t="shared" si="33"/>
        <v>n/a</v>
      </c>
      <c r="T31" s="279" t="str">
        <f t="shared" si="33"/>
        <v>n/a</v>
      </c>
      <c r="U31" s="279" t="str">
        <f t="shared" si="33"/>
        <v>n/a</v>
      </c>
      <c r="V31" s="279">
        <f>IF(U30=0, "n/a", V30/U30-1)</f>
        <v>1.3140491891891894</v>
      </c>
      <c r="W31" s="279">
        <f>IF(V30=0, "n/a", W30/V30-1)</f>
        <v>0.90631038467495006</v>
      </c>
      <c r="X31" s="279">
        <f>IF(W30=0, "n/a", X30/W30-1)</f>
        <v>0.50044938806731265</v>
      </c>
      <c r="Y31" s="279">
        <f t="shared" ref="Y31:Z31" si="34">IF(X30=0, "n/a", Y30/X30-1)</f>
        <v>0.2449447513812153</v>
      </c>
      <c r="Z31" s="279">
        <f t="shared" si="34"/>
        <v>0.11303281780460206</v>
      </c>
      <c r="AA31" s="279">
        <f t="shared" ref="AA31" si="35">IF(Z30=0, "n/a", AA30/Z30-1)</f>
        <v>8.4253808754003456E-2</v>
      </c>
      <c r="AB31" s="279">
        <f t="shared" ref="AB31" si="36">IF(AA30=0, "n/a", AB30/AA30-1)</f>
        <v>0.14748782377724856</v>
      </c>
      <c r="AC31" s="279">
        <f t="shared" ref="AC31" si="37">IF(AB30=0, "n/a", AC30/AB30-1)</f>
        <v>4.5412571428571136E-2</v>
      </c>
      <c r="AD31" s="279">
        <f t="shared" ref="AD31" si="38">IF(AC30=0, "n/a", AD30/AC30-1)</f>
        <v>0.2036</v>
      </c>
      <c r="AE31" s="279">
        <f t="shared" ref="AE31" si="39">IF(AD30=0, "n/a", AE30/AD30-1)</f>
        <v>0.12213123047230479</v>
      </c>
      <c r="AF31" s="279">
        <f t="shared" ref="AF31" si="40">IF(AE30=0, "n/a", AF30/AE30-1)</f>
        <v>0.14958242861038462</v>
      </c>
      <c r="AG31" s="279">
        <f t="shared" ref="AG31" si="41">IF(AF30=0, "n/a", AG30/AF30-1)</f>
        <v>-0.12790000000000001</v>
      </c>
      <c r="AH31" s="279">
        <f t="shared" ref="AH31:AI31" si="42">IF(AG30=0, "n/a", AH30/AG30-1)</f>
        <v>-3.1000000000000028E-2</v>
      </c>
      <c r="AI31" s="279">
        <f t="shared" si="42"/>
        <v>-3.0999999999999917E-2</v>
      </c>
      <c r="AK31" s="239"/>
      <c r="AL31" s="268"/>
      <c r="AM31" s="241" t="s">
        <v>318</v>
      </c>
      <c r="AN31" s="250"/>
      <c r="AO31" s="250"/>
    </row>
    <row r="32" spans="1:41" ht="12.75" customHeight="1" x14ac:dyDescent="0.25">
      <c r="A32" s="249"/>
      <c r="B32" s="260"/>
      <c r="C32" s="260"/>
      <c r="D32" s="260"/>
      <c r="E32" s="260"/>
      <c r="F32" s="260"/>
      <c r="K32" s="246"/>
      <c r="L32" s="246"/>
      <c r="M32" s="246"/>
      <c r="N32" s="246"/>
      <c r="O32" s="246"/>
      <c r="P32" s="246"/>
      <c r="Q32" s="246"/>
      <c r="R32" s="246"/>
      <c r="S32" s="246"/>
      <c r="T32" s="246"/>
      <c r="U32" s="246"/>
      <c r="V32" s="246"/>
      <c r="W32" s="246"/>
      <c r="X32" s="246"/>
      <c r="Y32" s="246"/>
      <c r="Z32" s="246"/>
      <c r="AA32" s="246"/>
      <c r="AB32" s="246"/>
      <c r="AC32" s="246"/>
      <c r="AD32" s="246"/>
      <c r="AE32" s="246"/>
      <c r="AF32" s="246"/>
      <c r="AG32" s="246"/>
      <c r="AH32" s="246"/>
      <c r="AI32" s="246"/>
      <c r="AK32" s="260"/>
      <c r="AL32" s="260"/>
      <c r="AM32" s="241" t="s">
        <v>319</v>
      </c>
    </row>
    <row r="33" spans="1:41" s="249" customFormat="1" ht="12.75" customHeight="1" x14ac:dyDescent="0.25">
      <c r="B33" s="288" t="s">
        <v>772</v>
      </c>
      <c r="C33" s="288"/>
      <c r="D33" s="288"/>
      <c r="E33" s="288"/>
      <c r="F33" s="288"/>
      <c r="H33" s="696" t="s">
        <v>795</v>
      </c>
      <c r="I33" s="289"/>
      <c r="J33" s="289"/>
      <c r="AK33" s="288"/>
      <c r="AL33" s="288"/>
      <c r="AM33" s="308"/>
      <c r="AN33" s="248"/>
      <c r="AO33" s="248"/>
    </row>
    <row r="34" spans="1:41" ht="12.75" customHeight="1" x14ac:dyDescent="0.25">
      <c r="A34" s="249"/>
      <c r="B34" s="260"/>
      <c r="C34" s="260" t="s">
        <v>129</v>
      </c>
      <c r="D34" s="239"/>
      <c r="E34" s="239"/>
      <c r="F34" s="239"/>
      <c r="H34" s="240"/>
      <c r="I34" s="240"/>
      <c r="J34" s="240"/>
      <c r="K34" s="240"/>
      <c r="L34" s="240"/>
      <c r="M34" s="240"/>
      <c r="N34" s="240"/>
      <c r="O34" s="240"/>
      <c r="P34" s="240"/>
      <c r="Q34" s="240"/>
      <c r="R34" s="240"/>
      <c r="S34" s="240"/>
      <c r="T34" s="240"/>
      <c r="U34" s="240"/>
      <c r="V34" s="240"/>
      <c r="W34" s="240"/>
      <c r="X34" s="240"/>
      <c r="Y34" s="240"/>
      <c r="Z34" s="240"/>
      <c r="AA34" s="240"/>
      <c r="AB34" s="240"/>
      <c r="AC34" s="240"/>
      <c r="AD34" s="240"/>
      <c r="AE34" s="240"/>
      <c r="AF34" s="240"/>
      <c r="AG34" s="240"/>
      <c r="AH34" s="240"/>
      <c r="AI34" s="240"/>
      <c r="AK34" s="239"/>
      <c r="AL34" s="260"/>
      <c r="AM34" s="241" t="s">
        <v>773</v>
      </c>
    </row>
    <row r="35" spans="1:41" ht="12.75" customHeight="1" x14ac:dyDescent="0.25">
      <c r="A35" s="249"/>
      <c r="B35" s="260"/>
      <c r="C35" s="260" t="s">
        <v>130</v>
      </c>
      <c r="D35" s="239"/>
      <c r="E35" s="239"/>
      <c r="F35" s="239"/>
      <c r="H35" s="240"/>
      <c r="I35" s="240"/>
      <c r="J35" s="240"/>
      <c r="K35" s="240"/>
      <c r="L35" s="240"/>
      <c r="M35" s="240"/>
      <c r="N35" s="240"/>
      <c r="O35" s="240"/>
      <c r="P35" s="240"/>
      <c r="Q35" s="240"/>
      <c r="R35" s="240"/>
      <c r="S35" s="240"/>
      <c r="T35" s="240"/>
      <c r="U35" s="240"/>
      <c r="V35" s="240"/>
      <c r="W35" s="240"/>
      <c r="X35" s="240"/>
      <c r="Y35" s="240"/>
      <c r="Z35" s="240"/>
      <c r="AA35" s="240"/>
      <c r="AB35" s="240"/>
      <c r="AC35" s="240"/>
      <c r="AD35" s="240"/>
      <c r="AE35" s="240"/>
      <c r="AF35" s="240"/>
      <c r="AG35" s="240"/>
      <c r="AH35" s="240"/>
      <c r="AI35" s="240"/>
      <c r="AK35" s="239"/>
      <c r="AL35" s="260"/>
      <c r="AM35" s="241" t="s">
        <v>271</v>
      </c>
    </row>
    <row r="36" spans="1:41" ht="12.75" customHeight="1" x14ac:dyDescent="0.3">
      <c r="A36" s="249"/>
      <c r="B36" s="260"/>
      <c r="C36" s="260" t="s">
        <v>131</v>
      </c>
      <c r="D36" s="239"/>
      <c r="E36" s="239"/>
      <c r="F36" s="239"/>
      <c r="H36" s="240"/>
      <c r="I36" s="240"/>
      <c r="J36" s="240"/>
      <c r="K36" s="240"/>
      <c r="L36" s="240"/>
      <c r="M36" s="240"/>
      <c r="N36" s="240"/>
      <c r="O36" s="240"/>
      <c r="P36" s="240"/>
      <c r="Q36" s="240"/>
      <c r="R36" s="240"/>
      <c r="S36" s="240"/>
      <c r="T36" s="240"/>
      <c r="U36" s="240"/>
      <c r="V36" s="240"/>
      <c r="W36" s="240"/>
      <c r="X36" s="240"/>
      <c r="Y36" s="240"/>
      <c r="Z36" s="240"/>
      <c r="AA36" s="240"/>
      <c r="AB36" s="240"/>
      <c r="AC36" s="240"/>
      <c r="AD36" s="240"/>
      <c r="AE36" s="240"/>
      <c r="AF36" s="240"/>
      <c r="AG36" s="240"/>
      <c r="AH36" s="240"/>
      <c r="AI36" s="240"/>
      <c r="AK36" s="239"/>
      <c r="AL36" s="260"/>
      <c r="AM36" s="241" t="s">
        <v>774</v>
      </c>
    </row>
    <row r="37" spans="1:41" ht="12.75" customHeight="1" x14ac:dyDescent="0.25">
      <c r="A37" s="249"/>
      <c r="B37" s="260"/>
      <c r="C37" s="260" t="s">
        <v>132</v>
      </c>
      <c r="D37" s="239"/>
      <c r="E37" s="239"/>
      <c r="F37" s="239"/>
      <c r="H37" s="277"/>
      <c r="I37" s="277"/>
      <c r="J37" s="277"/>
      <c r="K37" s="277"/>
      <c r="L37" s="277"/>
      <c r="M37" s="277"/>
      <c r="N37" s="277"/>
      <c r="O37" s="277"/>
      <c r="P37" s="277"/>
      <c r="Q37" s="277"/>
      <c r="R37" s="277"/>
      <c r="S37" s="277"/>
      <c r="T37" s="277"/>
      <c r="U37" s="277"/>
      <c r="V37" s="277"/>
      <c r="W37" s="277"/>
      <c r="X37" s="277"/>
      <c r="Y37" s="277"/>
      <c r="Z37" s="277"/>
      <c r="AA37" s="277"/>
      <c r="AB37" s="277"/>
      <c r="AC37" s="277"/>
      <c r="AD37" s="277"/>
      <c r="AE37" s="277"/>
      <c r="AF37" s="277"/>
      <c r="AG37" s="277"/>
      <c r="AH37" s="277"/>
      <c r="AI37" s="277"/>
      <c r="AK37" s="239"/>
      <c r="AL37" s="260"/>
      <c r="AM37" s="241" t="s">
        <v>272</v>
      </c>
    </row>
    <row r="38" spans="1:41" s="249" customFormat="1" ht="12.75" customHeight="1" x14ac:dyDescent="0.25">
      <c r="B38" s="288"/>
      <c r="C38" s="288" t="s">
        <v>264</v>
      </c>
      <c r="D38" s="261"/>
      <c r="E38" s="262"/>
      <c r="F38" s="262"/>
      <c r="H38" s="290">
        <f t="shared" ref="H38:P38" si="43">SUM(H34:H35,H36:H37)</f>
        <v>0</v>
      </c>
      <c r="I38" s="290">
        <f t="shared" si="43"/>
        <v>0</v>
      </c>
      <c r="J38" s="290">
        <f t="shared" si="43"/>
        <v>0</v>
      </c>
      <c r="K38" s="290">
        <f t="shared" si="43"/>
        <v>0</v>
      </c>
      <c r="L38" s="290">
        <f t="shared" si="43"/>
        <v>0</v>
      </c>
      <c r="M38" s="290">
        <f t="shared" si="43"/>
        <v>0</v>
      </c>
      <c r="N38" s="290">
        <f t="shared" si="43"/>
        <v>0</v>
      </c>
      <c r="O38" s="290">
        <f t="shared" si="43"/>
        <v>0</v>
      </c>
      <c r="P38" s="290">
        <f t="shared" si="43"/>
        <v>0</v>
      </c>
      <c r="Q38" s="290">
        <f t="shared" ref="Q38:W38" si="44">SUM(Q34:Q35,Q36:Q37)</f>
        <v>0</v>
      </c>
      <c r="R38" s="290">
        <f t="shared" si="44"/>
        <v>0</v>
      </c>
      <c r="S38" s="290">
        <f t="shared" si="44"/>
        <v>0</v>
      </c>
      <c r="T38" s="290">
        <f t="shared" si="44"/>
        <v>0</v>
      </c>
      <c r="U38" s="290">
        <f t="shared" si="44"/>
        <v>0</v>
      </c>
      <c r="V38" s="290">
        <f t="shared" si="44"/>
        <v>0</v>
      </c>
      <c r="W38" s="290">
        <f t="shared" si="44"/>
        <v>0</v>
      </c>
      <c r="X38" s="290">
        <f>SUM(X34:X35,X36:X37)</f>
        <v>0</v>
      </c>
      <c r="Y38" s="290">
        <f t="shared" ref="Y38:Z38" si="45">SUM(Y34:Y35,Y36:Y37)</f>
        <v>0</v>
      </c>
      <c r="Z38" s="290">
        <f t="shared" si="45"/>
        <v>0</v>
      </c>
      <c r="AA38" s="290">
        <f t="shared" ref="AA38:AF38" si="46">SUM(AA34:AA35,AA36:AA37)</f>
        <v>0</v>
      </c>
      <c r="AB38" s="290">
        <f t="shared" si="46"/>
        <v>0</v>
      </c>
      <c r="AC38" s="290">
        <f t="shared" si="46"/>
        <v>0</v>
      </c>
      <c r="AD38" s="290">
        <f t="shared" si="46"/>
        <v>0</v>
      </c>
      <c r="AE38" s="290">
        <f t="shared" si="46"/>
        <v>0</v>
      </c>
      <c r="AF38" s="290">
        <f t="shared" si="46"/>
        <v>0</v>
      </c>
      <c r="AG38" s="290">
        <f t="shared" ref="AG38:AH38" si="47">SUM(AG34:AG35,AG36:AG37)</f>
        <v>0</v>
      </c>
      <c r="AH38" s="290">
        <f t="shared" si="47"/>
        <v>0</v>
      </c>
      <c r="AI38" s="290">
        <f t="shared" ref="AI38" si="48">SUM(AI34:AI35,AI36:AI37)</f>
        <v>0</v>
      </c>
      <c r="AK38" s="239"/>
      <c r="AL38" s="262"/>
      <c r="AM38" s="306"/>
      <c r="AN38" s="248"/>
      <c r="AO38" s="248"/>
    </row>
    <row r="39" spans="1:41" s="269" customFormat="1" ht="12.75" customHeight="1" x14ac:dyDescent="0.25">
      <c r="A39" s="264"/>
      <c r="B39" s="265"/>
      <c r="C39" s="266" t="s">
        <v>265</v>
      </c>
      <c r="D39" s="267"/>
      <c r="E39" s="268"/>
      <c r="F39" s="268"/>
      <c r="H39" s="278"/>
      <c r="I39" s="279" t="str">
        <f t="shared" ref="I39:U39" si="49">IF(H38=0, "n/a", I38/H38-1)</f>
        <v>n/a</v>
      </c>
      <c r="J39" s="279" t="str">
        <f t="shared" si="49"/>
        <v>n/a</v>
      </c>
      <c r="K39" s="279" t="str">
        <f t="shared" si="49"/>
        <v>n/a</v>
      </c>
      <c r="L39" s="279" t="str">
        <f t="shared" si="49"/>
        <v>n/a</v>
      </c>
      <c r="M39" s="279" t="str">
        <f t="shared" si="49"/>
        <v>n/a</v>
      </c>
      <c r="N39" s="279" t="str">
        <f t="shared" si="49"/>
        <v>n/a</v>
      </c>
      <c r="O39" s="279" t="str">
        <f t="shared" si="49"/>
        <v>n/a</v>
      </c>
      <c r="P39" s="279" t="str">
        <f t="shared" si="49"/>
        <v>n/a</v>
      </c>
      <c r="Q39" s="279" t="str">
        <f t="shared" si="49"/>
        <v>n/a</v>
      </c>
      <c r="R39" s="279" t="str">
        <f t="shared" si="49"/>
        <v>n/a</v>
      </c>
      <c r="S39" s="279" t="str">
        <f t="shared" si="49"/>
        <v>n/a</v>
      </c>
      <c r="T39" s="279" t="str">
        <f t="shared" si="49"/>
        <v>n/a</v>
      </c>
      <c r="U39" s="279" t="str">
        <f t="shared" si="49"/>
        <v>n/a</v>
      </c>
      <c r="V39" s="279" t="str">
        <f>IF(U38=0, "n/a", V38/U38-1)</f>
        <v>n/a</v>
      </c>
      <c r="W39" s="279" t="str">
        <f>IF(V38=0, "n/a", W38/V38-1)</f>
        <v>n/a</v>
      </c>
      <c r="X39" s="279" t="str">
        <f>IF(W38=0, "n/a", X38/W38-1)</f>
        <v>n/a</v>
      </c>
      <c r="Y39" s="279" t="str">
        <f t="shared" ref="Y39:Z39" si="50">IF(X38=0, "n/a", Y38/X38-1)</f>
        <v>n/a</v>
      </c>
      <c r="Z39" s="279" t="str">
        <f t="shared" si="50"/>
        <v>n/a</v>
      </c>
      <c r="AA39" s="279" t="str">
        <f t="shared" ref="AA39" si="51">IF(Z38=0, "n/a", AA38/Z38-1)</f>
        <v>n/a</v>
      </c>
      <c r="AB39" s="279" t="str">
        <f t="shared" ref="AB39" si="52">IF(AA38=0, "n/a", AB38/AA38-1)</f>
        <v>n/a</v>
      </c>
      <c r="AC39" s="279" t="str">
        <f t="shared" ref="AC39" si="53">IF(AB38=0, "n/a", AC38/AB38-1)</f>
        <v>n/a</v>
      </c>
      <c r="AD39" s="279" t="str">
        <f t="shared" ref="AD39" si="54">IF(AC38=0, "n/a", AD38/AC38-1)</f>
        <v>n/a</v>
      </c>
      <c r="AE39" s="279" t="str">
        <f t="shared" ref="AE39" si="55">IF(AD38=0, "n/a", AE38/AD38-1)</f>
        <v>n/a</v>
      </c>
      <c r="AF39" s="279" t="str">
        <f t="shared" ref="AF39" si="56">IF(AE38=0, "n/a", AF38/AE38-1)</f>
        <v>n/a</v>
      </c>
      <c r="AG39" s="279" t="str">
        <f t="shared" ref="AG39" si="57">IF(AF38=0, "n/a", AG38/AF38-1)</f>
        <v>n/a</v>
      </c>
      <c r="AH39" s="279" t="str">
        <f t="shared" ref="AH39:AI39" si="58">IF(AG38=0, "n/a", AH38/AG38-1)</f>
        <v>n/a</v>
      </c>
      <c r="AI39" s="279" t="str">
        <f t="shared" si="58"/>
        <v>n/a</v>
      </c>
      <c r="AK39" s="239"/>
      <c r="AL39" s="268"/>
      <c r="AM39" s="241"/>
      <c r="AN39" s="250"/>
      <c r="AO39" s="250"/>
    </row>
    <row r="40" spans="1:41" ht="12.75" customHeight="1" x14ac:dyDescent="0.25">
      <c r="A40" s="249"/>
      <c r="B40" s="260"/>
      <c r="C40" s="260"/>
      <c r="D40" s="260"/>
      <c r="E40" s="260"/>
      <c r="F40" s="260"/>
      <c r="J40" s="444"/>
      <c r="AK40" s="260"/>
      <c r="AL40" s="260"/>
      <c r="AM40" s="307"/>
    </row>
    <row r="41" spans="1:41" s="249" customFormat="1" ht="12.75" customHeight="1" x14ac:dyDescent="0.25">
      <c r="B41" s="288" t="s">
        <v>275</v>
      </c>
      <c r="C41" s="288"/>
      <c r="D41" s="288"/>
      <c r="E41" s="288"/>
      <c r="F41" s="288"/>
      <c r="H41" s="289"/>
      <c r="I41" s="289"/>
      <c r="J41" s="445"/>
      <c r="K41" s="445"/>
      <c r="L41" s="445"/>
      <c r="M41" s="445"/>
      <c r="N41" s="445"/>
      <c r="AK41" s="288"/>
      <c r="AL41" s="288"/>
      <c r="AM41" s="306"/>
      <c r="AN41" s="248"/>
      <c r="AO41" s="248"/>
    </row>
    <row r="42" spans="1:41" ht="12.75" customHeight="1" x14ac:dyDescent="0.25">
      <c r="A42" s="249"/>
      <c r="B42" s="260"/>
      <c r="C42" s="260" t="s">
        <v>129</v>
      </c>
      <c r="D42" s="260"/>
      <c r="E42" s="260"/>
      <c r="F42" s="260"/>
      <c r="H42" s="263">
        <f t="shared" ref="H42:AF42" si="59">H26+H34</f>
        <v>0</v>
      </c>
      <c r="I42" s="263">
        <f t="shared" si="59"/>
        <v>0</v>
      </c>
      <c r="J42" s="263">
        <f t="shared" si="59"/>
        <v>0</v>
      </c>
      <c r="K42" s="263">
        <f t="shared" si="59"/>
        <v>0</v>
      </c>
      <c r="L42" s="263">
        <f t="shared" si="59"/>
        <v>0</v>
      </c>
      <c r="M42" s="263">
        <f t="shared" si="59"/>
        <v>0</v>
      </c>
      <c r="N42" s="263">
        <f t="shared" si="59"/>
        <v>0</v>
      </c>
      <c r="O42" s="263">
        <f t="shared" si="59"/>
        <v>0</v>
      </c>
      <c r="P42" s="263">
        <f t="shared" si="59"/>
        <v>0</v>
      </c>
      <c r="Q42" s="263">
        <f t="shared" si="59"/>
        <v>0</v>
      </c>
      <c r="R42" s="263">
        <f t="shared" si="59"/>
        <v>0</v>
      </c>
      <c r="S42" s="263">
        <f t="shared" si="59"/>
        <v>0</v>
      </c>
      <c r="T42" s="263">
        <f t="shared" si="59"/>
        <v>0</v>
      </c>
      <c r="U42" s="263">
        <f t="shared" si="59"/>
        <v>16667.203805107201</v>
      </c>
      <c r="V42" s="263">
        <f t="shared" si="59"/>
        <v>38568.729451259293</v>
      </c>
      <c r="W42" s="263">
        <f t="shared" si="59"/>
        <v>73523.96947665418</v>
      </c>
      <c r="X42" s="263">
        <f t="shared" si="59"/>
        <v>110318.99500952553</v>
      </c>
      <c r="Y42" s="263">
        <f t="shared" si="59"/>
        <v>137341.0538147593</v>
      </c>
      <c r="Z42" s="263">
        <f t="shared" si="59"/>
        <v>152865.10012769504</v>
      </c>
      <c r="AA42" s="263">
        <f t="shared" si="59"/>
        <v>165744.56703901544</v>
      </c>
      <c r="AB42" s="263">
        <f t="shared" si="59"/>
        <v>190189.87253450209</v>
      </c>
      <c r="AC42" s="263">
        <f t="shared" si="59"/>
        <v>198826.88370596603</v>
      </c>
      <c r="AD42" s="263">
        <f t="shared" si="59"/>
        <v>239308.0372285007</v>
      </c>
      <c r="AE42" s="263">
        <f t="shared" si="59"/>
        <v>268535.02227712964</v>
      </c>
      <c r="AF42" s="263">
        <f t="shared" si="59"/>
        <v>308703.14307628642</v>
      </c>
      <c r="AG42" s="263">
        <f t="shared" ref="AG42:AH42" si="60">AG26+AG34</f>
        <v>269220.0110768294</v>
      </c>
      <c r="AH42" s="263">
        <f t="shared" si="60"/>
        <v>260874.19073344767</v>
      </c>
      <c r="AI42" s="263">
        <f t="shared" ref="AI42" si="61">AI26+AI34</f>
        <v>252787.09082071082</v>
      </c>
      <c r="AL42" s="260"/>
      <c r="AM42" s="241" t="s">
        <v>266</v>
      </c>
    </row>
    <row r="43" spans="1:41" ht="12.75" customHeight="1" x14ac:dyDescent="0.25">
      <c r="A43" s="249"/>
      <c r="B43" s="260"/>
      <c r="C43" s="260" t="s">
        <v>130</v>
      </c>
      <c r="D43" s="260"/>
      <c r="E43" s="260"/>
      <c r="F43" s="260"/>
      <c r="H43" s="263">
        <f>H27+H35</f>
        <v>0</v>
      </c>
      <c r="I43" s="263">
        <f t="shared" ref="I43:U43" si="62">I27+I35</f>
        <v>0</v>
      </c>
      <c r="J43" s="263">
        <f t="shared" si="62"/>
        <v>0</v>
      </c>
      <c r="K43" s="263">
        <f t="shared" si="62"/>
        <v>0</v>
      </c>
      <c r="L43" s="263">
        <f t="shared" si="62"/>
        <v>0</v>
      </c>
      <c r="M43" s="263">
        <f t="shared" si="62"/>
        <v>0</v>
      </c>
      <c r="N43" s="263">
        <f t="shared" si="62"/>
        <v>0</v>
      </c>
      <c r="O43" s="263">
        <f t="shared" si="62"/>
        <v>0</v>
      </c>
      <c r="P43" s="263">
        <f t="shared" si="62"/>
        <v>0</v>
      </c>
      <c r="Q43" s="263">
        <f t="shared" si="62"/>
        <v>0</v>
      </c>
      <c r="R43" s="263">
        <f t="shared" si="62"/>
        <v>0</v>
      </c>
      <c r="S43" s="263">
        <f t="shared" si="62"/>
        <v>0</v>
      </c>
      <c r="T43" s="263">
        <f t="shared" si="62"/>
        <v>0</v>
      </c>
      <c r="U43" s="263">
        <f t="shared" si="62"/>
        <v>0</v>
      </c>
      <c r="V43" s="263">
        <f t="shared" ref="V43:W45" si="63">V27+V35</f>
        <v>0</v>
      </c>
      <c r="W43" s="263">
        <f t="shared" si="63"/>
        <v>0</v>
      </c>
      <c r="X43" s="263">
        <f>X27+X35</f>
        <v>0</v>
      </c>
      <c r="Y43" s="263">
        <f t="shared" ref="Y43:Z43" si="64">Y27+Y35</f>
        <v>0</v>
      </c>
      <c r="Z43" s="263">
        <f t="shared" si="64"/>
        <v>0</v>
      </c>
      <c r="AA43" s="263">
        <f t="shared" ref="AA43:AF43" si="65">AA27+AA35</f>
        <v>0</v>
      </c>
      <c r="AB43" s="263">
        <f t="shared" si="65"/>
        <v>0</v>
      </c>
      <c r="AC43" s="263">
        <f t="shared" si="65"/>
        <v>0</v>
      </c>
      <c r="AD43" s="263">
        <f t="shared" si="65"/>
        <v>0</v>
      </c>
      <c r="AE43" s="263">
        <f t="shared" si="65"/>
        <v>0</v>
      </c>
      <c r="AF43" s="263">
        <f t="shared" si="65"/>
        <v>0</v>
      </c>
      <c r="AG43" s="263">
        <f t="shared" ref="AG43:AH43" si="66">AG27+AG35</f>
        <v>0</v>
      </c>
      <c r="AH43" s="263">
        <f t="shared" si="66"/>
        <v>0</v>
      </c>
      <c r="AI43" s="263">
        <f t="shared" ref="AI43" si="67">AI27+AI35</f>
        <v>0</v>
      </c>
      <c r="AK43" s="239"/>
      <c r="AL43" s="260"/>
      <c r="AM43" s="307"/>
    </row>
    <row r="44" spans="1:41" ht="12.75" customHeight="1" x14ac:dyDescent="0.25">
      <c r="A44" s="249"/>
      <c r="B44" s="260"/>
      <c r="C44" s="260" t="s">
        <v>131</v>
      </c>
      <c r="D44" s="260"/>
      <c r="E44" s="260"/>
      <c r="F44" s="260"/>
      <c r="H44" s="263">
        <f>H28+H36</f>
        <v>0</v>
      </c>
      <c r="I44" s="263">
        <f t="shared" ref="I44:U44" si="68">I28+I36</f>
        <v>0</v>
      </c>
      <c r="J44" s="263">
        <f t="shared" si="68"/>
        <v>0</v>
      </c>
      <c r="K44" s="263">
        <f t="shared" si="68"/>
        <v>0</v>
      </c>
      <c r="L44" s="263">
        <f t="shared" si="68"/>
        <v>0</v>
      </c>
      <c r="M44" s="263">
        <f t="shared" si="68"/>
        <v>0</v>
      </c>
      <c r="N44" s="263">
        <f t="shared" si="68"/>
        <v>0</v>
      </c>
      <c r="O44" s="263">
        <f t="shared" si="68"/>
        <v>0</v>
      </c>
      <c r="P44" s="263">
        <f t="shared" si="68"/>
        <v>0</v>
      </c>
      <c r="Q44" s="263">
        <f t="shared" si="68"/>
        <v>0</v>
      </c>
      <c r="R44" s="263">
        <f t="shared" si="68"/>
        <v>0</v>
      </c>
      <c r="S44" s="263">
        <f t="shared" si="68"/>
        <v>0</v>
      </c>
      <c r="T44" s="263">
        <f t="shared" si="68"/>
        <v>0</v>
      </c>
      <c r="U44" s="263">
        <f t="shared" si="68"/>
        <v>0</v>
      </c>
      <c r="V44" s="263">
        <f t="shared" si="63"/>
        <v>0</v>
      </c>
      <c r="W44" s="263">
        <f t="shared" si="63"/>
        <v>0</v>
      </c>
      <c r="X44" s="263">
        <f>X28+X36</f>
        <v>0</v>
      </c>
      <c r="Y44" s="263">
        <f t="shared" ref="Y44:Z44" si="69">Y28+Y36</f>
        <v>0</v>
      </c>
      <c r="Z44" s="263">
        <f t="shared" si="69"/>
        <v>0</v>
      </c>
      <c r="AA44" s="263">
        <f t="shared" ref="AA44:AF44" si="70">AA28+AA36</f>
        <v>0</v>
      </c>
      <c r="AB44" s="263">
        <f t="shared" si="70"/>
        <v>0</v>
      </c>
      <c r="AC44" s="263">
        <f t="shared" si="70"/>
        <v>0</v>
      </c>
      <c r="AD44" s="263">
        <f t="shared" si="70"/>
        <v>0</v>
      </c>
      <c r="AE44" s="263">
        <f t="shared" si="70"/>
        <v>0</v>
      </c>
      <c r="AF44" s="263">
        <f t="shared" si="70"/>
        <v>0</v>
      </c>
      <c r="AG44" s="263">
        <f t="shared" ref="AG44:AH44" si="71">AG28+AG36</f>
        <v>0</v>
      </c>
      <c r="AH44" s="263">
        <f t="shared" si="71"/>
        <v>0</v>
      </c>
      <c r="AI44" s="263">
        <f t="shared" ref="AI44" si="72">AI28+AI36</f>
        <v>0</v>
      </c>
      <c r="AK44" s="239"/>
      <c r="AL44" s="260"/>
      <c r="AM44" s="307"/>
    </row>
    <row r="45" spans="1:41" ht="12.75" customHeight="1" x14ac:dyDescent="0.25">
      <c r="A45" s="249"/>
      <c r="B45" s="260"/>
      <c r="C45" s="260" t="s">
        <v>132</v>
      </c>
      <c r="D45" s="260"/>
      <c r="E45" s="260"/>
      <c r="F45" s="260"/>
      <c r="H45" s="276">
        <f>H29+H37</f>
        <v>0</v>
      </c>
      <c r="I45" s="276">
        <f t="shared" ref="I45:U45" si="73">I29+I37</f>
        <v>0</v>
      </c>
      <c r="J45" s="276">
        <f t="shared" si="73"/>
        <v>0</v>
      </c>
      <c r="K45" s="276">
        <f t="shared" si="73"/>
        <v>0</v>
      </c>
      <c r="L45" s="276">
        <f t="shared" si="73"/>
        <v>0</v>
      </c>
      <c r="M45" s="276">
        <f t="shared" si="73"/>
        <v>0</v>
      </c>
      <c r="N45" s="276">
        <f t="shared" si="73"/>
        <v>0</v>
      </c>
      <c r="O45" s="276">
        <f t="shared" si="73"/>
        <v>0</v>
      </c>
      <c r="P45" s="276">
        <f t="shared" si="73"/>
        <v>0</v>
      </c>
      <c r="Q45" s="276">
        <f t="shared" si="73"/>
        <v>0</v>
      </c>
      <c r="R45" s="276">
        <f t="shared" si="73"/>
        <v>0</v>
      </c>
      <c r="S45" s="276">
        <f t="shared" si="73"/>
        <v>0</v>
      </c>
      <c r="T45" s="276">
        <f t="shared" si="73"/>
        <v>0</v>
      </c>
      <c r="U45" s="276">
        <f t="shared" si="73"/>
        <v>0</v>
      </c>
      <c r="V45" s="276">
        <f t="shared" si="63"/>
        <v>0</v>
      </c>
      <c r="W45" s="276">
        <f t="shared" si="63"/>
        <v>0</v>
      </c>
      <c r="X45" s="276">
        <f>X29+X37</f>
        <v>0</v>
      </c>
      <c r="Y45" s="276">
        <f t="shared" ref="Y45:Z45" si="74">Y29+Y37</f>
        <v>0</v>
      </c>
      <c r="Z45" s="276">
        <f t="shared" si="74"/>
        <v>0</v>
      </c>
      <c r="AA45" s="276">
        <f t="shared" ref="AA45:AF45" si="75">AA29+AA37</f>
        <v>0</v>
      </c>
      <c r="AB45" s="276">
        <f t="shared" si="75"/>
        <v>0</v>
      </c>
      <c r="AC45" s="276">
        <f t="shared" si="75"/>
        <v>0</v>
      </c>
      <c r="AD45" s="276">
        <f t="shared" si="75"/>
        <v>0</v>
      </c>
      <c r="AE45" s="276">
        <f t="shared" si="75"/>
        <v>0</v>
      </c>
      <c r="AF45" s="276">
        <f t="shared" si="75"/>
        <v>0</v>
      </c>
      <c r="AG45" s="276">
        <f t="shared" ref="AG45:AH45" si="76">AG29+AG37</f>
        <v>0</v>
      </c>
      <c r="AH45" s="276">
        <f t="shared" si="76"/>
        <v>0</v>
      </c>
      <c r="AI45" s="276">
        <f t="shared" ref="AI45" si="77">AI29+AI37</f>
        <v>0</v>
      </c>
      <c r="AK45" s="239"/>
      <c r="AL45" s="260"/>
      <c r="AM45" s="307"/>
    </row>
    <row r="46" spans="1:41" s="249" customFormat="1" ht="12.75" customHeight="1" x14ac:dyDescent="0.25">
      <c r="B46" s="288"/>
      <c r="C46" s="288" t="s">
        <v>264</v>
      </c>
      <c r="D46" s="261"/>
      <c r="E46" s="262"/>
      <c r="F46" s="262"/>
      <c r="H46" s="293">
        <f t="shared" ref="H46:U46" si="78">SUM(H42:H45)</f>
        <v>0</v>
      </c>
      <c r="I46" s="293">
        <f t="shared" si="78"/>
        <v>0</v>
      </c>
      <c r="J46" s="293">
        <f t="shared" si="78"/>
        <v>0</v>
      </c>
      <c r="K46" s="293">
        <f t="shared" si="78"/>
        <v>0</v>
      </c>
      <c r="L46" s="293">
        <f t="shared" si="78"/>
        <v>0</v>
      </c>
      <c r="M46" s="293">
        <f t="shared" si="78"/>
        <v>0</v>
      </c>
      <c r="N46" s="293">
        <f t="shared" si="78"/>
        <v>0</v>
      </c>
      <c r="O46" s="293">
        <f t="shared" si="78"/>
        <v>0</v>
      </c>
      <c r="P46" s="293">
        <f t="shared" si="78"/>
        <v>0</v>
      </c>
      <c r="Q46" s="293">
        <f t="shared" si="78"/>
        <v>0</v>
      </c>
      <c r="R46" s="293">
        <f t="shared" si="78"/>
        <v>0</v>
      </c>
      <c r="S46" s="293">
        <f t="shared" si="78"/>
        <v>0</v>
      </c>
      <c r="T46" s="293">
        <f t="shared" si="78"/>
        <v>0</v>
      </c>
      <c r="U46" s="293">
        <f t="shared" si="78"/>
        <v>16667.203805107201</v>
      </c>
      <c r="V46" s="293">
        <f>SUM(V42:V45)</f>
        <v>38568.729451259293</v>
      </c>
      <c r="W46" s="293">
        <f>SUM(W42:W45)</f>
        <v>73523.96947665418</v>
      </c>
      <c r="X46" s="293">
        <f>SUM(X42:X45)</f>
        <v>110318.99500952553</v>
      </c>
      <c r="Y46" s="293">
        <f t="shared" ref="Y46:AF46" si="79">SUM(Y42:Y45)</f>
        <v>137341.0538147593</v>
      </c>
      <c r="Z46" s="293">
        <f t="shared" si="79"/>
        <v>152865.10012769504</v>
      </c>
      <c r="AA46" s="293">
        <f t="shared" si="79"/>
        <v>165744.56703901544</v>
      </c>
      <c r="AB46" s="293">
        <f t="shared" si="79"/>
        <v>190189.87253450209</v>
      </c>
      <c r="AC46" s="293">
        <f t="shared" si="79"/>
        <v>198826.88370596603</v>
      </c>
      <c r="AD46" s="293">
        <f t="shared" si="79"/>
        <v>239308.0372285007</v>
      </c>
      <c r="AE46" s="293">
        <f t="shared" si="79"/>
        <v>268535.02227712964</v>
      </c>
      <c r="AF46" s="293">
        <f t="shared" si="79"/>
        <v>308703.14307628642</v>
      </c>
      <c r="AG46" s="293">
        <f t="shared" ref="AG46:AH46" si="80">SUM(AG42:AG45)</f>
        <v>269220.0110768294</v>
      </c>
      <c r="AH46" s="293">
        <f t="shared" si="80"/>
        <v>260874.19073344767</v>
      </c>
      <c r="AI46" s="293">
        <f t="shared" ref="AI46" si="81">SUM(AI42:AI45)</f>
        <v>252787.09082071082</v>
      </c>
      <c r="AK46" s="446" t="s">
        <v>320</v>
      </c>
      <c r="AL46" s="287"/>
      <c r="AM46" s="241" t="s">
        <v>276</v>
      </c>
      <c r="AN46" s="248"/>
      <c r="AO46" s="248"/>
    </row>
    <row r="47" spans="1:41" s="269" customFormat="1" ht="12.75" customHeight="1" x14ac:dyDescent="0.25">
      <c r="A47" s="264"/>
      <c r="B47" s="265"/>
      <c r="C47" s="266" t="s">
        <v>265</v>
      </c>
      <c r="D47" s="267"/>
      <c r="E47" s="268"/>
      <c r="F47" s="268"/>
      <c r="H47" s="270"/>
      <c r="I47" s="271" t="str">
        <f t="shared" ref="I47:U47" si="82">IF(H46=0, "n/a", I46/H46-1)</f>
        <v>n/a</v>
      </c>
      <c r="J47" s="271" t="str">
        <f t="shared" si="82"/>
        <v>n/a</v>
      </c>
      <c r="K47" s="271" t="str">
        <f t="shared" si="82"/>
        <v>n/a</v>
      </c>
      <c r="L47" s="271" t="str">
        <f t="shared" si="82"/>
        <v>n/a</v>
      </c>
      <c r="M47" s="271" t="str">
        <f t="shared" si="82"/>
        <v>n/a</v>
      </c>
      <c r="N47" s="271" t="str">
        <f t="shared" si="82"/>
        <v>n/a</v>
      </c>
      <c r="O47" s="271" t="str">
        <f t="shared" si="82"/>
        <v>n/a</v>
      </c>
      <c r="P47" s="271" t="str">
        <f t="shared" si="82"/>
        <v>n/a</v>
      </c>
      <c r="Q47" s="271" t="str">
        <f t="shared" si="82"/>
        <v>n/a</v>
      </c>
      <c r="R47" s="271" t="str">
        <f t="shared" si="82"/>
        <v>n/a</v>
      </c>
      <c r="S47" s="271" t="str">
        <f t="shared" si="82"/>
        <v>n/a</v>
      </c>
      <c r="T47" s="271" t="str">
        <f t="shared" si="82"/>
        <v>n/a</v>
      </c>
      <c r="U47" s="271" t="str">
        <f t="shared" si="82"/>
        <v>n/a</v>
      </c>
      <c r="V47" s="271">
        <f>IF(U46=0, "n/a", V46/U46-1)</f>
        <v>1.3140491891891894</v>
      </c>
      <c r="W47" s="271">
        <f>IF(V46=0, "n/a", W46/V46-1)</f>
        <v>0.90631038467495006</v>
      </c>
      <c r="X47" s="271">
        <f>IF(W46=0, "n/a", X46/W46-1)</f>
        <v>0.50044938806731265</v>
      </c>
      <c r="Y47" s="271">
        <f t="shared" ref="Y47:Z47" si="83">IF(X46=0, "n/a", Y46/X46-1)</f>
        <v>0.2449447513812153</v>
      </c>
      <c r="Z47" s="271">
        <f t="shared" si="83"/>
        <v>0.11303281780460206</v>
      </c>
      <c r="AA47" s="271">
        <f t="shared" ref="AA47" si="84">IF(Z46=0, "n/a", AA46/Z46-1)</f>
        <v>8.4253808754003456E-2</v>
      </c>
      <c r="AB47" s="271">
        <f t="shared" ref="AB47" si="85">IF(AA46=0, "n/a", AB46/AA46-1)</f>
        <v>0.14748782377724856</v>
      </c>
      <c r="AC47" s="271">
        <f t="shared" ref="AC47" si="86">IF(AB46=0, "n/a", AC46/AB46-1)</f>
        <v>4.5412571428571136E-2</v>
      </c>
      <c r="AD47" s="271">
        <f t="shared" ref="AD47" si="87">IF(AC46=0, "n/a", AD46/AC46-1)</f>
        <v>0.2036</v>
      </c>
      <c r="AE47" s="271">
        <f t="shared" ref="AE47" si="88">IF(AD46=0, "n/a", AE46/AD46-1)</f>
        <v>0.12213123047230479</v>
      </c>
      <c r="AF47" s="271">
        <f t="shared" ref="AF47" si="89">IF(AE46=0, "n/a", AF46/AE46-1)</f>
        <v>0.14958242861038462</v>
      </c>
      <c r="AG47" s="271">
        <f t="shared" ref="AG47" si="90">IF(AF46=0, "n/a", AG46/AF46-1)</f>
        <v>-0.12790000000000001</v>
      </c>
      <c r="AH47" s="271">
        <f t="shared" ref="AH47:AI47" si="91">IF(AG46=0, "n/a", AH46/AG46-1)</f>
        <v>-3.1000000000000028E-2</v>
      </c>
      <c r="AI47" s="271">
        <f t="shared" si="91"/>
        <v>-3.0999999999999917E-2</v>
      </c>
      <c r="AK47" s="268"/>
      <c r="AL47" s="268"/>
      <c r="AM47" s="241"/>
      <c r="AN47" s="250"/>
      <c r="AO47" s="250"/>
    </row>
    <row r="48" spans="1:41" ht="12.75" customHeight="1" x14ac:dyDescent="0.25">
      <c r="A48" s="249"/>
      <c r="B48" s="260"/>
      <c r="C48" s="260"/>
      <c r="D48" s="260"/>
      <c r="E48" s="260"/>
      <c r="F48" s="260"/>
      <c r="K48" s="246"/>
      <c r="L48" s="246"/>
      <c r="M48" s="246"/>
      <c r="N48" s="246"/>
      <c r="O48" s="246"/>
      <c r="P48" s="246"/>
      <c r="Q48" s="246"/>
      <c r="R48" s="246"/>
      <c r="S48" s="246"/>
      <c r="T48" s="246"/>
      <c r="U48" s="246"/>
      <c r="V48" s="246"/>
      <c r="W48" s="246"/>
      <c r="X48" s="246"/>
      <c r="Y48" s="246"/>
      <c r="Z48" s="246"/>
      <c r="AA48" s="246"/>
      <c r="AB48" s="246"/>
      <c r="AC48" s="246"/>
      <c r="AD48" s="246"/>
      <c r="AE48" s="246"/>
      <c r="AF48" s="246"/>
      <c r="AG48" s="246"/>
      <c r="AH48" s="246"/>
      <c r="AI48" s="246"/>
      <c r="AK48" s="260"/>
      <c r="AL48" s="260"/>
      <c r="AM48" s="307"/>
    </row>
    <row r="49" spans="1:41" s="249" customFormat="1" ht="12.75" customHeight="1" x14ac:dyDescent="0.25">
      <c r="B49" s="288" t="s">
        <v>460</v>
      </c>
      <c r="C49" s="288"/>
      <c r="D49" s="288"/>
      <c r="E49" s="288"/>
      <c r="F49" s="288"/>
      <c r="H49" s="289"/>
      <c r="I49" s="289"/>
      <c r="J49" s="289"/>
      <c r="AK49" s="451"/>
      <c r="AL49" s="288"/>
      <c r="AM49" s="306"/>
      <c r="AN49" s="248"/>
      <c r="AO49" s="248"/>
    </row>
    <row r="50" spans="1:41" ht="12.75" customHeight="1" x14ac:dyDescent="0.25">
      <c r="A50" s="249"/>
      <c r="B50" s="260"/>
      <c r="C50" s="260" t="s">
        <v>129</v>
      </c>
      <c r="D50" s="260"/>
      <c r="E50" s="260"/>
      <c r="F50" s="260"/>
      <c r="H50" s="263">
        <f t="shared" ref="H50:AF50" si="92">H42+H18</f>
        <v>0</v>
      </c>
      <c r="I50" s="263">
        <f t="shared" si="92"/>
        <v>0</v>
      </c>
      <c r="J50" s="263">
        <f t="shared" si="92"/>
        <v>0</v>
      </c>
      <c r="K50" s="263">
        <f t="shared" si="92"/>
        <v>0</v>
      </c>
      <c r="L50" s="263">
        <f t="shared" si="92"/>
        <v>0</v>
      </c>
      <c r="M50" s="263">
        <f t="shared" si="92"/>
        <v>0</v>
      </c>
      <c r="N50" s="263">
        <f t="shared" si="92"/>
        <v>0</v>
      </c>
      <c r="O50" s="263">
        <f t="shared" si="92"/>
        <v>0</v>
      </c>
      <c r="P50" s="263">
        <f t="shared" si="92"/>
        <v>0</v>
      </c>
      <c r="Q50" s="263">
        <f t="shared" si="92"/>
        <v>0</v>
      </c>
      <c r="R50" s="263">
        <f t="shared" si="92"/>
        <v>0</v>
      </c>
      <c r="S50" s="263">
        <f t="shared" si="92"/>
        <v>0</v>
      </c>
      <c r="T50" s="263">
        <f t="shared" si="92"/>
        <v>0</v>
      </c>
      <c r="U50" s="263">
        <f t="shared" si="92"/>
        <v>16667.203805107201</v>
      </c>
      <c r="V50" s="263">
        <f t="shared" si="92"/>
        <v>38568.729451259293</v>
      </c>
      <c r="W50" s="263">
        <f t="shared" si="92"/>
        <v>73523.96947665418</v>
      </c>
      <c r="X50" s="263">
        <f t="shared" si="92"/>
        <v>110318.99500952553</v>
      </c>
      <c r="Y50" s="263">
        <f t="shared" si="92"/>
        <v>137341.0538147593</v>
      </c>
      <c r="Z50" s="263">
        <f t="shared" si="92"/>
        <v>152865.10012769504</v>
      </c>
      <c r="AA50" s="263">
        <f t="shared" si="92"/>
        <v>165744.56703901544</v>
      </c>
      <c r="AB50" s="263">
        <f t="shared" si="92"/>
        <v>190189.87253450209</v>
      </c>
      <c r="AC50" s="263">
        <f t="shared" si="92"/>
        <v>198826.88370596603</v>
      </c>
      <c r="AD50" s="263">
        <f t="shared" si="92"/>
        <v>239308.0372285007</v>
      </c>
      <c r="AE50" s="263">
        <f t="shared" si="92"/>
        <v>268535.02227712964</v>
      </c>
      <c r="AF50" s="263">
        <f t="shared" si="92"/>
        <v>308703.14307628642</v>
      </c>
      <c r="AG50" s="263">
        <f t="shared" ref="AG50:AH50" si="93">AG42+AG18</f>
        <v>269220.0110768294</v>
      </c>
      <c r="AH50" s="263">
        <f t="shared" si="93"/>
        <v>260874.19073344767</v>
      </c>
      <c r="AI50" s="263">
        <f t="shared" ref="AI50" si="94">AI42+AI18</f>
        <v>252787.09082071082</v>
      </c>
      <c r="AK50" s="452"/>
      <c r="AL50" s="260"/>
      <c r="AM50" s="241" t="s">
        <v>266</v>
      </c>
    </row>
    <row r="51" spans="1:41" ht="12.75" customHeight="1" x14ac:dyDescent="0.25">
      <c r="A51" s="249"/>
      <c r="B51" s="260"/>
      <c r="C51" s="260" t="s">
        <v>130</v>
      </c>
      <c r="D51" s="260"/>
      <c r="E51" s="260"/>
      <c r="F51" s="260"/>
      <c r="H51" s="263">
        <f t="shared" ref="H51:Z51" si="95">H43+H19</f>
        <v>0</v>
      </c>
      <c r="I51" s="263">
        <f t="shared" si="95"/>
        <v>0</v>
      </c>
      <c r="J51" s="263">
        <f t="shared" si="95"/>
        <v>0</v>
      </c>
      <c r="K51" s="263">
        <f t="shared" si="95"/>
        <v>0</v>
      </c>
      <c r="L51" s="263">
        <f t="shared" si="95"/>
        <v>0</v>
      </c>
      <c r="M51" s="263">
        <f t="shared" si="95"/>
        <v>0</v>
      </c>
      <c r="N51" s="263">
        <f t="shared" si="95"/>
        <v>0</v>
      </c>
      <c r="O51" s="263">
        <f t="shared" si="95"/>
        <v>0</v>
      </c>
      <c r="P51" s="263">
        <f t="shared" si="95"/>
        <v>0</v>
      </c>
      <c r="Q51" s="263">
        <f t="shared" si="95"/>
        <v>0</v>
      </c>
      <c r="R51" s="263">
        <f t="shared" si="95"/>
        <v>0</v>
      </c>
      <c r="S51" s="263">
        <f t="shared" si="95"/>
        <v>0</v>
      </c>
      <c r="T51" s="263">
        <f t="shared" si="95"/>
        <v>0</v>
      </c>
      <c r="U51" s="263">
        <f t="shared" si="95"/>
        <v>0</v>
      </c>
      <c r="V51" s="263">
        <f t="shared" si="95"/>
        <v>0</v>
      </c>
      <c r="W51" s="263">
        <f t="shared" si="95"/>
        <v>0</v>
      </c>
      <c r="X51" s="263">
        <f t="shared" si="95"/>
        <v>0</v>
      </c>
      <c r="Y51" s="263">
        <f t="shared" si="95"/>
        <v>0</v>
      </c>
      <c r="Z51" s="263">
        <f t="shared" si="95"/>
        <v>0</v>
      </c>
      <c r="AA51" s="263">
        <f t="shared" ref="AA51:AF51" si="96">AA43+AA19</f>
        <v>0</v>
      </c>
      <c r="AB51" s="263">
        <f t="shared" si="96"/>
        <v>0</v>
      </c>
      <c r="AC51" s="263">
        <f t="shared" si="96"/>
        <v>0</v>
      </c>
      <c r="AD51" s="263">
        <f t="shared" si="96"/>
        <v>0</v>
      </c>
      <c r="AE51" s="263">
        <f t="shared" si="96"/>
        <v>0</v>
      </c>
      <c r="AF51" s="263">
        <f t="shared" si="96"/>
        <v>0</v>
      </c>
      <c r="AG51" s="263">
        <f t="shared" ref="AG51:AH51" si="97">AG43+AG19</f>
        <v>0</v>
      </c>
      <c r="AH51" s="263">
        <f t="shared" si="97"/>
        <v>0</v>
      </c>
      <c r="AI51" s="263">
        <f t="shared" ref="AI51" si="98">AI43+AI19</f>
        <v>0</v>
      </c>
      <c r="AK51" s="452"/>
      <c r="AL51" s="260"/>
      <c r="AM51" s="307"/>
    </row>
    <row r="52" spans="1:41" ht="12.75" customHeight="1" x14ac:dyDescent="0.25">
      <c r="A52" s="249"/>
      <c r="B52" s="260"/>
      <c r="C52" s="260" t="s">
        <v>131</v>
      </c>
      <c r="D52" s="260"/>
      <c r="E52" s="260"/>
      <c r="F52" s="260"/>
      <c r="H52" s="263">
        <f t="shared" ref="H52:Z52" si="99">H44+H20</f>
        <v>0</v>
      </c>
      <c r="I52" s="263">
        <f t="shared" si="99"/>
        <v>0</v>
      </c>
      <c r="J52" s="263">
        <f t="shared" si="99"/>
        <v>0</v>
      </c>
      <c r="K52" s="263">
        <f t="shared" si="99"/>
        <v>0</v>
      </c>
      <c r="L52" s="263">
        <f t="shared" si="99"/>
        <v>0</v>
      </c>
      <c r="M52" s="263">
        <f t="shared" si="99"/>
        <v>0</v>
      </c>
      <c r="N52" s="263">
        <f t="shared" si="99"/>
        <v>0</v>
      </c>
      <c r="O52" s="263">
        <f t="shared" si="99"/>
        <v>0</v>
      </c>
      <c r="P52" s="263">
        <f t="shared" si="99"/>
        <v>0</v>
      </c>
      <c r="Q52" s="263">
        <f t="shared" si="99"/>
        <v>0</v>
      </c>
      <c r="R52" s="263">
        <f t="shared" si="99"/>
        <v>0</v>
      </c>
      <c r="S52" s="263">
        <f t="shared" si="99"/>
        <v>0</v>
      </c>
      <c r="T52" s="263">
        <f t="shared" si="99"/>
        <v>0</v>
      </c>
      <c r="U52" s="263">
        <f t="shared" si="99"/>
        <v>0</v>
      </c>
      <c r="V52" s="263">
        <f t="shared" si="99"/>
        <v>0</v>
      </c>
      <c r="W52" s="263">
        <f t="shared" si="99"/>
        <v>0</v>
      </c>
      <c r="X52" s="263">
        <f t="shared" si="99"/>
        <v>0</v>
      </c>
      <c r="Y52" s="263">
        <f t="shared" si="99"/>
        <v>0</v>
      </c>
      <c r="Z52" s="263">
        <f t="shared" si="99"/>
        <v>0</v>
      </c>
      <c r="AA52" s="263">
        <f t="shared" ref="AA52:AF52" si="100">AA44+AA20</f>
        <v>0</v>
      </c>
      <c r="AB52" s="263">
        <f t="shared" si="100"/>
        <v>0</v>
      </c>
      <c r="AC52" s="263">
        <f t="shared" si="100"/>
        <v>0</v>
      </c>
      <c r="AD52" s="263">
        <f t="shared" si="100"/>
        <v>0</v>
      </c>
      <c r="AE52" s="263">
        <f t="shared" si="100"/>
        <v>0</v>
      </c>
      <c r="AF52" s="263">
        <f t="shared" si="100"/>
        <v>0</v>
      </c>
      <c r="AG52" s="263">
        <f t="shared" ref="AG52:AH52" si="101">AG44+AG20</f>
        <v>0</v>
      </c>
      <c r="AH52" s="263">
        <f t="shared" si="101"/>
        <v>0</v>
      </c>
      <c r="AI52" s="263">
        <f t="shared" ref="AI52" si="102">AI44+AI20</f>
        <v>0</v>
      </c>
      <c r="AK52" s="452"/>
      <c r="AL52" s="260"/>
      <c r="AM52" s="307"/>
    </row>
    <row r="53" spans="1:41" ht="12.75" customHeight="1" x14ac:dyDescent="0.25">
      <c r="A53" s="249"/>
      <c r="B53" s="260"/>
      <c r="C53" s="260" t="s">
        <v>132</v>
      </c>
      <c r="D53" s="260"/>
      <c r="E53" s="260"/>
      <c r="F53" s="260"/>
      <c r="H53" s="276">
        <f t="shared" ref="H53:Z53" si="103">H45+H21</f>
        <v>0</v>
      </c>
      <c r="I53" s="276">
        <f t="shared" si="103"/>
        <v>0</v>
      </c>
      <c r="J53" s="276">
        <f t="shared" si="103"/>
        <v>0</v>
      </c>
      <c r="K53" s="276">
        <f t="shared" si="103"/>
        <v>0</v>
      </c>
      <c r="L53" s="276">
        <f t="shared" si="103"/>
        <v>0</v>
      </c>
      <c r="M53" s="276">
        <f t="shared" si="103"/>
        <v>0</v>
      </c>
      <c r="N53" s="276">
        <f t="shared" si="103"/>
        <v>0</v>
      </c>
      <c r="O53" s="276">
        <f t="shared" si="103"/>
        <v>0</v>
      </c>
      <c r="P53" s="276">
        <f t="shared" si="103"/>
        <v>0</v>
      </c>
      <c r="Q53" s="276">
        <f t="shared" si="103"/>
        <v>0</v>
      </c>
      <c r="R53" s="276">
        <f t="shared" si="103"/>
        <v>0</v>
      </c>
      <c r="S53" s="276">
        <f t="shared" si="103"/>
        <v>0</v>
      </c>
      <c r="T53" s="276">
        <f t="shared" si="103"/>
        <v>0</v>
      </c>
      <c r="U53" s="276">
        <f t="shared" si="103"/>
        <v>0</v>
      </c>
      <c r="V53" s="276">
        <f t="shared" si="103"/>
        <v>0</v>
      </c>
      <c r="W53" s="276">
        <f t="shared" si="103"/>
        <v>0</v>
      </c>
      <c r="X53" s="276">
        <f t="shared" si="103"/>
        <v>0</v>
      </c>
      <c r="Y53" s="276">
        <f t="shared" si="103"/>
        <v>0</v>
      </c>
      <c r="Z53" s="276">
        <f t="shared" si="103"/>
        <v>0</v>
      </c>
      <c r="AA53" s="276">
        <f t="shared" ref="AA53:AF53" si="104">AA45+AA21</f>
        <v>0</v>
      </c>
      <c r="AB53" s="276">
        <f t="shared" si="104"/>
        <v>0</v>
      </c>
      <c r="AC53" s="276">
        <f t="shared" si="104"/>
        <v>0</v>
      </c>
      <c r="AD53" s="276">
        <f t="shared" si="104"/>
        <v>0</v>
      </c>
      <c r="AE53" s="276">
        <f t="shared" si="104"/>
        <v>0</v>
      </c>
      <c r="AF53" s="276">
        <f t="shared" si="104"/>
        <v>0</v>
      </c>
      <c r="AG53" s="276">
        <f t="shared" ref="AG53:AH53" si="105">AG45+AG21</f>
        <v>0</v>
      </c>
      <c r="AH53" s="276">
        <f t="shared" si="105"/>
        <v>0</v>
      </c>
      <c r="AI53" s="276">
        <f t="shared" ref="AI53" si="106">AI45+AI21</f>
        <v>0</v>
      </c>
      <c r="AK53" s="452"/>
      <c r="AL53" s="260"/>
      <c r="AM53" s="307"/>
    </row>
    <row r="54" spans="1:41" s="249" customFormat="1" ht="12.75" customHeight="1" x14ac:dyDescent="0.25">
      <c r="B54" s="288"/>
      <c r="C54" s="288" t="s">
        <v>264</v>
      </c>
      <c r="D54" s="261"/>
      <c r="E54" s="262"/>
      <c r="F54" s="262"/>
      <c r="H54" s="293">
        <f>SUM(H50:H53)</f>
        <v>0</v>
      </c>
      <c r="I54" s="293">
        <f t="shared" ref="I54:U54" si="107">SUM(I50:I53)</f>
        <v>0</v>
      </c>
      <c r="J54" s="293">
        <f t="shared" si="107"/>
        <v>0</v>
      </c>
      <c r="K54" s="293">
        <f t="shared" si="107"/>
        <v>0</v>
      </c>
      <c r="L54" s="293">
        <f t="shared" si="107"/>
        <v>0</v>
      </c>
      <c r="M54" s="293">
        <f t="shared" si="107"/>
        <v>0</v>
      </c>
      <c r="N54" s="293">
        <f t="shared" si="107"/>
        <v>0</v>
      </c>
      <c r="O54" s="293">
        <f t="shared" si="107"/>
        <v>0</v>
      </c>
      <c r="P54" s="293">
        <f t="shared" si="107"/>
        <v>0</v>
      </c>
      <c r="Q54" s="293">
        <f t="shared" si="107"/>
        <v>0</v>
      </c>
      <c r="R54" s="293">
        <f t="shared" si="107"/>
        <v>0</v>
      </c>
      <c r="S54" s="293">
        <f t="shared" si="107"/>
        <v>0</v>
      </c>
      <c r="T54" s="293">
        <f t="shared" si="107"/>
        <v>0</v>
      </c>
      <c r="U54" s="293">
        <f t="shared" si="107"/>
        <v>16667.203805107201</v>
      </c>
      <c r="V54" s="293">
        <f>SUM(V50:V53)</f>
        <v>38568.729451259293</v>
      </c>
      <c r="W54" s="293">
        <f>SUM(W50:W53)</f>
        <v>73523.96947665418</v>
      </c>
      <c r="X54" s="293">
        <f>SUM(X50:X53)</f>
        <v>110318.99500952553</v>
      </c>
      <c r="Y54" s="293">
        <f t="shared" ref="Y54:AF54" si="108">SUM(Y50:Y53)</f>
        <v>137341.0538147593</v>
      </c>
      <c r="Z54" s="293">
        <f t="shared" si="108"/>
        <v>152865.10012769504</v>
      </c>
      <c r="AA54" s="293">
        <f t="shared" si="108"/>
        <v>165744.56703901544</v>
      </c>
      <c r="AB54" s="293">
        <f t="shared" si="108"/>
        <v>190189.87253450209</v>
      </c>
      <c r="AC54" s="293">
        <f t="shared" si="108"/>
        <v>198826.88370596603</v>
      </c>
      <c r="AD54" s="293">
        <f t="shared" si="108"/>
        <v>239308.0372285007</v>
      </c>
      <c r="AE54" s="293">
        <f t="shared" si="108"/>
        <v>268535.02227712964</v>
      </c>
      <c r="AF54" s="293">
        <f t="shared" si="108"/>
        <v>308703.14307628642</v>
      </c>
      <c r="AG54" s="293">
        <f t="shared" ref="AG54:AH54" si="109">SUM(AG50:AG53)</f>
        <v>269220.0110768294</v>
      </c>
      <c r="AH54" s="293">
        <f t="shared" si="109"/>
        <v>260874.19073344767</v>
      </c>
      <c r="AI54" s="293">
        <f t="shared" ref="AI54" si="110">SUM(AI50:AI53)</f>
        <v>252787.09082071082</v>
      </c>
      <c r="AK54" s="453"/>
      <c r="AL54" s="287"/>
      <c r="AM54" s="241"/>
      <c r="AN54" s="248"/>
      <c r="AO54" s="248"/>
    </row>
    <row r="55" spans="1:41" s="269" customFormat="1" ht="12.75" customHeight="1" x14ac:dyDescent="0.25">
      <c r="A55" s="264"/>
      <c r="B55" s="265"/>
      <c r="C55" s="266" t="s">
        <v>265</v>
      </c>
      <c r="D55" s="267"/>
      <c r="E55" s="268"/>
      <c r="F55" s="268"/>
      <c r="H55" s="270"/>
      <c r="I55" s="271" t="str">
        <f t="shared" ref="I55:U55" si="111">IF(H54=0, "n/a", I54/H54-1)</f>
        <v>n/a</v>
      </c>
      <c r="J55" s="271" t="str">
        <f t="shared" si="111"/>
        <v>n/a</v>
      </c>
      <c r="K55" s="271" t="str">
        <f t="shared" si="111"/>
        <v>n/a</v>
      </c>
      <c r="L55" s="271" t="str">
        <f t="shared" si="111"/>
        <v>n/a</v>
      </c>
      <c r="M55" s="271" t="str">
        <f t="shared" si="111"/>
        <v>n/a</v>
      </c>
      <c r="N55" s="271" t="str">
        <f t="shared" si="111"/>
        <v>n/a</v>
      </c>
      <c r="O55" s="271" t="str">
        <f t="shared" si="111"/>
        <v>n/a</v>
      </c>
      <c r="P55" s="271" t="str">
        <f t="shared" si="111"/>
        <v>n/a</v>
      </c>
      <c r="Q55" s="271" t="str">
        <f t="shared" si="111"/>
        <v>n/a</v>
      </c>
      <c r="R55" s="271" t="str">
        <f t="shared" si="111"/>
        <v>n/a</v>
      </c>
      <c r="S55" s="271" t="str">
        <f t="shared" si="111"/>
        <v>n/a</v>
      </c>
      <c r="T55" s="271" t="str">
        <f t="shared" si="111"/>
        <v>n/a</v>
      </c>
      <c r="U55" s="271" t="str">
        <f t="shared" si="111"/>
        <v>n/a</v>
      </c>
      <c r="V55" s="271">
        <f>IF(U54=0, "n/a", V54/U54-1)</f>
        <v>1.3140491891891894</v>
      </c>
      <c r="W55" s="271">
        <f>IF(V54=0, "n/a", W54/V54-1)</f>
        <v>0.90631038467495006</v>
      </c>
      <c r="X55" s="271">
        <f>IF(W54=0, "n/a", X54/W54-1)</f>
        <v>0.50044938806731265</v>
      </c>
      <c r="Y55" s="271">
        <f t="shared" ref="Y55:Z55" si="112">IF(X54=0, "n/a", Y54/X54-1)</f>
        <v>0.2449447513812153</v>
      </c>
      <c r="Z55" s="271">
        <f t="shared" si="112"/>
        <v>0.11303281780460206</v>
      </c>
      <c r="AA55" s="271">
        <f t="shared" ref="AA55" si="113">IF(Z54=0, "n/a", AA54/Z54-1)</f>
        <v>8.4253808754003456E-2</v>
      </c>
      <c r="AB55" s="271">
        <f t="shared" ref="AB55" si="114">IF(AA54=0, "n/a", AB54/AA54-1)</f>
        <v>0.14748782377724856</v>
      </c>
      <c r="AC55" s="271">
        <f t="shared" ref="AC55" si="115">IF(AB54=0, "n/a", AC54/AB54-1)</f>
        <v>4.5412571428571136E-2</v>
      </c>
      <c r="AD55" s="271">
        <f t="shared" ref="AD55" si="116">IF(AC54=0, "n/a", AD54/AC54-1)</f>
        <v>0.2036</v>
      </c>
      <c r="AE55" s="271">
        <f t="shared" ref="AE55" si="117">IF(AD54=0, "n/a", AE54/AD54-1)</f>
        <v>0.12213123047230479</v>
      </c>
      <c r="AF55" s="271">
        <f t="shared" ref="AF55" si="118">IF(AE54=0, "n/a", AF54/AE54-1)</f>
        <v>0.14958242861038462</v>
      </c>
      <c r="AG55" s="271">
        <f t="shared" ref="AG55" si="119">IF(AF54=0, "n/a", AG54/AF54-1)</f>
        <v>-0.12790000000000001</v>
      </c>
      <c r="AH55" s="271">
        <f t="shared" ref="AH55:AI55" si="120">IF(AG54=0, "n/a", AH54/AG54-1)</f>
        <v>-3.1000000000000028E-2</v>
      </c>
      <c r="AI55" s="271">
        <f t="shared" si="120"/>
        <v>-3.0999999999999917E-2</v>
      </c>
      <c r="AK55" s="454"/>
      <c r="AL55" s="268"/>
      <c r="AM55" s="241"/>
      <c r="AN55" s="250"/>
      <c r="AO55" s="250"/>
    </row>
    <row r="56" spans="1:41" ht="12.75" customHeight="1" x14ac:dyDescent="0.25">
      <c r="A56" s="249"/>
      <c r="B56" s="260"/>
      <c r="C56" s="260"/>
      <c r="D56" s="260"/>
      <c r="E56" s="260"/>
      <c r="F56" s="260"/>
      <c r="K56" s="246"/>
      <c r="L56" s="246"/>
      <c r="M56" s="246"/>
      <c r="N56" s="246"/>
      <c r="O56" s="246"/>
      <c r="P56" s="246"/>
      <c r="Q56" s="246"/>
      <c r="R56" s="246"/>
      <c r="S56" s="246"/>
      <c r="T56" s="246"/>
      <c r="U56" s="246"/>
      <c r="V56" s="246"/>
      <c r="W56" s="246"/>
      <c r="X56" s="246"/>
      <c r="Y56" s="246"/>
      <c r="Z56" s="246"/>
      <c r="AA56" s="246"/>
      <c r="AB56" s="246"/>
      <c r="AC56" s="246"/>
      <c r="AD56" s="246"/>
      <c r="AE56" s="246"/>
      <c r="AF56" s="246"/>
      <c r="AG56" s="246"/>
      <c r="AH56" s="246"/>
      <c r="AI56" s="246"/>
      <c r="AK56" s="260"/>
      <c r="AL56" s="260"/>
      <c r="AM56" s="307"/>
    </row>
    <row r="57" spans="1:41" s="249" customFormat="1" ht="12.75" customHeight="1" x14ac:dyDescent="0.25">
      <c r="B57" s="288" t="s">
        <v>461</v>
      </c>
      <c r="C57" s="288"/>
      <c r="D57" s="288"/>
      <c r="E57" s="288"/>
      <c r="F57" s="288"/>
      <c r="H57" s="289"/>
      <c r="I57" s="289"/>
      <c r="J57" s="289"/>
      <c r="K57" s="289"/>
      <c r="L57" s="289"/>
      <c r="M57" s="289"/>
      <c r="N57" s="289"/>
      <c r="O57" s="289"/>
      <c r="P57" s="289"/>
      <c r="Q57" s="289"/>
      <c r="R57" s="289"/>
      <c r="S57" s="289"/>
      <c r="T57" s="289"/>
      <c r="U57" s="289"/>
      <c r="V57" s="289"/>
      <c r="W57" s="289"/>
      <c r="X57" s="289"/>
      <c r="Y57" s="289"/>
      <c r="Z57" s="289"/>
      <c r="AA57" s="289"/>
      <c r="AB57" s="289"/>
      <c r="AC57" s="289"/>
      <c r="AD57" s="289"/>
      <c r="AE57" s="289"/>
      <c r="AF57" s="289"/>
      <c r="AG57" s="289"/>
      <c r="AH57" s="289"/>
      <c r="AI57" s="289"/>
      <c r="AK57" s="288"/>
      <c r="AL57" s="288"/>
      <c r="AM57" s="306"/>
      <c r="AN57" s="248"/>
      <c r="AO57" s="248"/>
    </row>
    <row r="58" spans="1:41" ht="12.75" customHeight="1" x14ac:dyDescent="0.25">
      <c r="A58" s="249"/>
      <c r="B58" s="260"/>
      <c r="C58" s="260" t="s">
        <v>129</v>
      </c>
      <c r="D58" s="260"/>
      <c r="E58" s="260"/>
      <c r="F58" s="260"/>
      <c r="H58" s="279" t="str">
        <f t="shared" ref="H58:AF58" si="121">IF(H10=0, "n/a", H50/H10)</f>
        <v>n/a</v>
      </c>
      <c r="I58" s="279" t="str">
        <f t="shared" si="121"/>
        <v>n/a</v>
      </c>
      <c r="J58" s="279" t="str">
        <f t="shared" si="121"/>
        <v>n/a</v>
      </c>
      <c r="K58" s="279" t="str">
        <f t="shared" si="121"/>
        <v>n/a</v>
      </c>
      <c r="L58" s="279" t="str">
        <f t="shared" si="121"/>
        <v>n/a</v>
      </c>
      <c r="M58" s="279" t="str">
        <f t="shared" si="121"/>
        <v>n/a</v>
      </c>
      <c r="N58" s="279" t="str">
        <f t="shared" si="121"/>
        <v>n/a</v>
      </c>
      <c r="O58" s="279" t="str">
        <f t="shared" si="121"/>
        <v>n/a</v>
      </c>
      <c r="P58" s="279" t="str">
        <f t="shared" si="121"/>
        <v>n/a</v>
      </c>
      <c r="Q58" s="279" t="str">
        <f t="shared" si="121"/>
        <v>n/a</v>
      </c>
      <c r="R58" s="279" t="str">
        <f t="shared" si="121"/>
        <v>n/a</v>
      </c>
      <c r="S58" s="279" t="str">
        <f t="shared" si="121"/>
        <v>n/a</v>
      </c>
      <c r="T58" s="279" t="str">
        <f t="shared" si="121"/>
        <v>n/a</v>
      </c>
      <c r="U58" s="279" t="str">
        <f t="shared" si="121"/>
        <v>n/a</v>
      </c>
      <c r="V58" s="279" t="str">
        <f t="shared" si="121"/>
        <v>n/a</v>
      </c>
      <c r="W58" s="279" t="str">
        <f t="shared" si="121"/>
        <v>n/a</v>
      </c>
      <c r="X58" s="279" t="str">
        <f t="shared" si="121"/>
        <v>n/a</v>
      </c>
      <c r="Y58" s="279" t="str">
        <f t="shared" si="121"/>
        <v>n/a</v>
      </c>
      <c r="Z58" s="279" t="str">
        <f t="shared" si="121"/>
        <v>n/a</v>
      </c>
      <c r="AA58" s="279" t="str">
        <f t="shared" si="121"/>
        <v>n/a</v>
      </c>
      <c r="AB58" s="279" t="str">
        <f t="shared" si="121"/>
        <v>n/a</v>
      </c>
      <c r="AC58" s="279" t="str">
        <f t="shared" si="121"/>
        <v>n/a</v>
      </c>
      <c r="AD58" s="279" t="str">
        <f t="shared" si="121"/>
        <v>n/a</v>
      </c>
      <c r="AE58" s="279" t="str">
        <f t="shared" si="121"/>
        <v>n/a</v>
      </c>
      <c r="AF58" s="279" t="str">
        <f t="shared" si="121"/>
        <v>n/a</v>
      </c>
      <c r="AG58" s="279" t="str">
        <f t="shared" ref="AG58:AH58" si="122">IF(AG10=0, "n/a", AG50/AG10)</f>
        <v>n/a</v>
      </c>
      <c r="AH58" s="279" t="str">
        <f t="shared" si="122"/>
        <v>n/a</v>
      </c>
      <c r="AI58" s="279" t="str">
        <f t="shared" ref="AI58" si="123">IF(AI10=0, "n/a", AI50/AI10)</f>
        <v>n/a</v>
      </c>
      <c r="AK58" s="239"/>
      <c r="AL58" s="260"/>
      <c r="AM58" s="241" t="s">
        <v>266</v>
      </c>
    </row>
    <row r="59" spans="1:41" ht="12.75" customHeight="1" x14ac:dyDescent="0.25">
      <c r="A59" s="249"/>
      <c r="B59" s="260"/>
      <c r="C59" s="260" t="s">
        <v>130</v>
      </c>
      <c r="D59" s="260"/>
      <c r="E59" s="260"/>
      <c r="F59" s="260"/>
      <c r="H59" s="279" t="str">
        <f t="shared" ref="H59:Z59" si="124">IF(H11=0, "n/a", H51/H11)</f>
        <v>n/a</v>
      </c>
      <c r="I59" s="279" t="str">
        <f t="shared" si="124"/>
        <v>n/a</v>
      </c>
      <c r="J59" s="279" t="str">
        <f t="shared" si="124"/>
        <v>n/a</v>
      </c>
      <c r="K59" s="279" t="str">
        <f t="shared" si="124"/>
        <v>n/a</v>
      </c>
      <c r="L59" s="279" t="str">
        <f t="shared" si="124"/>
        <v>n/a</v>
      </c>
      <c r="M59" s="279" t="str">
        <f t="shared" si="124"/>
        <v>n/a</v>
      </c>
      <c r="N59" s="279" t="str">
        <f t="shared" si="124"/>
        <v>n/a</v>
      </c>
      <c r="O59" s="279" t="str">
        <f t="shared" si="124"/>
        <v>n/a</v>
      </c>
      <c r="P59" s="279" t="str">
        <f t="shared" si="124"/>
        <v>n/a</v>
      </c>
      <c r="Q59" s="279" t="str">
        <f t="shared" si="124"/>
        <v>n/a</v>
      </c>
      <c r="R59" s="279" t="str">
        <f t="shared" si="124"/>
        <v>n/a</v>
      </c>
      <c r="S59" s="279" t="str">
        <f t="shared" si="124"/>
        <v>n/a</v>
      </c>
      <c r="T59" s="279" t="str">
        <f t="shared" si="124"/>
        <v>n/a</v>
      </c>
      <c r="U59" s="279" t="str">
        <f t="shared" si="124"/>
        <v>n/a</v>
      </c>
      <c r="V59" s="279" t="str">
        <f t="shared" si="124"/>
        <v>n/a</v>
      </c>
      <c r="W59" s="279" t="str">
        <f t="shared" si="124"/>
        <v>n/a</v>
      </c>
      <c r="X59" s="279" t="str">
        <f t="shared" si="124"/>
        <v>n/a</v>
      </c>
      <c r="Y59" s="279" t="str">
        <f t="shared" si="124"/>
        <v>n/a</v>
      </c>
      <c r="Z59" s="279" t="str">
        <f t="shared" si="124"/>
        <v>n/a</v>
      </c>
      <c r="AA59" s="279" t="str">
        <f t="shared" ref="AA59:AF59" si="125">IF(AA11=0, "n/a", AA51/AA11)</f>
        <v>n/a</v>
      </c>
      <c r="AB59" s="279" t="str">
        <f t="shared" si="125"/>
        <v>n/a</v>
      </c>
      <c r="AC59" s="279" t="str">
        <f t="shared" si="125"/>
        <v>n/a</v>
      </c>
      <c r="AD59" s="279" t="str">
        <f t="shared" si="125"/>
        <v>n/a</v>
      </c>
      <c r="AE59" s="279" t="str">
        <f t="shared" si="125"/>
        <v>n/a</v>
      </c>
      <c r="AF59" s="279" t="str">
        <f t="shared" si="125"/>
        <v>n/a</v>
      </c>
      <c r="AG59" s="279" t="str">
        <f t="shared" ref="AG59:AH59" si="126">IF(AG11=0, "n/a", AG51/AG11)</f>
        <v>n/a</v>
      </c>
      <c r="AH59" s="279" t="str">
        <f t="shared" si="126"/>
        <v>n/a</v>
      </c>
      <c r="AI59" s="279" t="str">
        <f t="shared" ref="AI59" si="127">IF(AI11=0, "n/a", AI51/AI11)</f>
        <v>n/a</v>
      </c>
      <c r="AK59" s="239"/>
      <c r="AL59" s="260"/>
      <c r="AM59" s="307"/>
    </row>
    <row r="60" spans="1:41" ht="12.75" customHeight="1" x14ac:dyDescent="0.25">
      <c r="A60" s="249"/>
      <c r="B60" s="260"/>
      <c r="C60" s="260" t="s">
        <v>131</v>
      </c>
      <c r="D60" s="260"/>
      <c r="E60" s="260"/>
      <c r="F60" s="260"/>
      <c r="H60" s="279" t="str">
        <f t="shared" ref="H60:Z60" si="128">IF(H12=0, "n/a", H52/H12)</f>
        <v>n/a</v>
      </c>
      <c r="I60" s="279" t="str">
        <f t="shared" si="128"/>
        <v>n/a</v>
      </c>
      <c r="J60" s="279" t="str">
        <f t="shared" si="128"/>
        <v>n/a</v>
      </c>
      <c r="K60" s="279" t="str">
        <f t="shared" si="128"/>
        <v>n/a</v>
      </c>
      <c r="L60" s="279" t="str">
        <f t="shared" si="128"/>
        <v>n/a</v>
      </c>
      <c r="M60" s="279" t="str">
        <f t="shared" si="128"/>
        <v>n/a</v>
      </c>
      <c r="N60" s="279" t="str">
        <f t="shared" si="128"/>
        <v>n/a</v>
      </c>
      <c r="O60" s="279" t="str">
        <f t="shared" si="128"/>
        <v>n/a</v>
      </c>
      <c r="P60" s="279" t="str">
        <f t="shared" si="128"/>
        <v>n/a</v>
      </c>
      <c r="Q60" s="279" t="str">
        <f t="shared" si="128"/>
        <v>n/a</v>
      </c>
      <c r="R60" s="279" t="str">
        <f t="shared" si="128"/>
        <v>n/a</v>
      </c>
      <c r="S60" s="279" t="str">
        <f t="shared" si="128"/>
        <v>n/a</v>
      </c>
      <c r="T60" s="279" t="str">
        <f t="shared" si="128"/>
        <v>n/a</v>
      </c>
      <c r="U60" s="279" t="str">
        <f t="shared" si="128"/>
        <v>n/a</v>
      </c>
      <c r="V60" s="279" t="str">
        <f t="shared" si="128"/>
        <v>n/a</v>
      </c>
      <c r="W60" s="279" t="str">
        <f t="shared" si="128"/>
        <v>n/a</v>
      </c>
      <c r="X60" s="279" t="str">
        <f t="shared" si="128"/>
        <v>n/a</v>
      </c>
      <c r="Y60" s="279" t="str">
        <f t="shared" si="128"/>
        <v>n/a</v>
      </c>
      <c r="Z60" s="279" t="str">
        <f t="shared" si="128"/>
        <v>n/a</v>
      </c>
      <c r="AA60" s="279" t="str">
        <f t="shared" ref="AA60:AF60" si="129">IF(AA12=0, "n/a", AA52/AA12)</f>
        <v>n/a</v>
      </c>
      <c r="AB60" s="279" t="str">
        <f t="shared" si="129"/>
        <v>n/a</v>
      </c>
      <c r="AC60" s="279" t="str">
        <f t="shared" si="129"/>
        <v>n/a</v>
      </c>
      <c r="AD60" s="279" t="str">
        <f t="shared" si="129"/>
        <v>n/a</v>
      </c>
      <c r="AE60" s="279" t="str">
        <f t="shared" si="129"/>
        <v>n/a</v>
      </c>
      <c r="AF60" s="279" t="str">
        <f t="shared" si="129"/>
        <v>n/a</v>
      </c>
      <c r="AG60" s="279" t="str">
        <f t="shared" ref="AG60:AH60" si="130">IF(AG12=0, "n/a", AG52/AG12)</f>
        <v>n/a</v>
      </c>
      <c r="AH60" s="279" t="str">
        <f t="shared" si="130"/>
        <v>n/a</v>
      </c>
      <c r="AI60" s="279" t="str">
        <f t="shared" ref="AI60" si="131">IF(AI12=0, "n/a", AI52/AI12)</f>
        <v>n/a</v>
      </c>
      <c r="AK60" s="239"/>
      <c r="AL60" s="260"/>
      <c r="AM60" s="307"/>
    </row>
    <row r="61" spans="1:41" ht="12.75" customHeight="1" x14ac:dyDescent="0.25">
      <c r="A61" s="249"/>
      <c r="B61" s="260"/>
      <c r="C61" s="260" t="s">
        <v>132</v>
      </c>
      <c r="D61" s="260"/>
      <c r="E61" s="260"/>
      <c r="F61" s="260"/>
      <c r="H61" s="279" t="str">
        <f t="shared" ref="H61:Z61" si="132">IF(H13=0, "n/a",H53/H13)</f>
        <v>n/a</v>
      </c>
      <c r="I61" s="279" t="str">
        <f t="shared" si="132"/>
        <v>n/a</v>
      </c>
      <c r="J61" s="279" t="str">
        <f t="shared" si="132"/>
        <v>n/a</v>
      </c>
      <c r="K61" s="279" t="str">
        <f t="shared" si="132"/>
        <v>n/a</v>
      </c>
      <c r="L61" s="279" t="str">
        <f t="shared" si="132"/>
        <v>n/a</v>
      </c>
      <c r="M61" s="279" t="str">
        <f t="shared" si="132"/>
        <v>n/a</v>
      </c>
      <c r="N61" s="279" t="str">
        <f t="shared" si="132"/>
        <v>n/a</v>
      </c>
      <c r="O61" s="279" t="str">
        <f t="shared" si="132"/>
        <v>n/a</v>
      </c>
      <c r="P61" s="279" t="str">
        <f t="shared" si="132"/>
        <v>n/a</v>
      </c>
      <c r="Q61" s="279" t="str">
        <f t="shared" si="132"/>
        <v>n/a</v>
      </c>
      <c r="R61" s="279" t="str">
        <f t="shared" si="132"/>
        <v>n/a</v>
      </c>
      <c r="S61" s="279" t="str">
        <f t="shared" si="132"/>
        <v>n/a</v>
      </c>
      <c r="T61" s="279" t="str">
        <f t="shared" si="132"/>
        <v>n/a</v>
      </c>
      <c r="U61" s="279" t="str">
        <f t="shared" si="132"/>
        <v>n/a</v>
      </c>
      <c r="V61" s="279" t="str">
        <f t="shared" si="132"/>
        <v>n/a</v>
      </c>
      <c r="W61" s="279" t="str">
        <f t="shared" si="132"/>
        <v>n/a</v>
      </c>
      <c r="X61" s="279" t="str">
        <f t="shared" si="132"/>
        <v>n/a</v>
      </c>
      <c r="Y61" s="279" t="str">
        <f t="shared" si="132"/>
        <v>n/a</v>
      </c>
      <c r="Z61" s="279" t="str">
        <f t="shared" si="132"/>
        <v>n/a</v>
      </c>
      <c r="AA61" s="279" t="str">
        <f t="shared" ref="AA61:AF61" si="133">IF(AA13=0, "n/a",AA53/AA13)</f>
        <v>n/a</v>
      </c>
      <c r="AB61" s="279" t="str">
        <f t="shared" si="133"/>
        <v>n/a</v>
      </c>
      <c r="AC61" s="279" t="str">
        <f t="shared" si="133"/>
        <v>n/a</v>
      </c>
      <c r="AD61" s="279" t="str">
        <f t="shared" si="133"/>
        <v>n/a</v>
      </c>
      <c r="AE61" s="279" t="str">
        <f t="shared" si="133"/>
        <v>n/a</v>
      </c>
      <c r="AF61" s="279" t="str">
        <f t="shared" si="133"/>
        <v>n/a</v>
      </c>
      <c r="AG61" s="279" t="str">
        <f t="shared" ref="AG61:AH61" si="134">IF(AG13=0, "n/a",AG53/AG13)</f>
        <v>n/a</v>
      </c>
      <c r="AH61" s="279" t="str">
        <f t="shared" si="134"/>
        <v>n/a</v>
      </c>
      <c r="AI61" s="279" t="str">
        <f t="shared" ref="AI61" si="135">IF(AI13=0, "n/a",AI53/AI13)</f>
        <v>n/a</v>
      </c>
      <c r="AK61" s="239"/>
      <c r="AL61" s="260"/>
      <c r="AM61" s="309"/>
    </row>
    <row r="62" spans="1:41" s="249" customFormat="1" ht="12.75" customHeight="1" x14ac:dyDescent="0.25">
      <c r="B62" s="288"/>
      <c r="C62" s="288" t="s">
        <v>264</v>
      </c>
      <c r="D62" s="288"/>
      <c r="E62" s="288"/>
      <c r="F62" s="288"/>
      <c r="H62" s="294" t="str">
        <f t="shared" ref="H62:Z62" si="136">IF(H14=0, "n/a", H54/H14)</f>
        <v>n/a</v>
      </c>
      <c r="I62" s="294" t="str">
        <f t="shared" si="136"/>
        <v>n/a</v>
      </c>
      <c r="J62" s="294" t="str">
        <f t="shared" si="136"/>
        <v>n/a</v>
      </c>
      <c r="K62" s="294" t="str">
        <f t="shared" si="136"/>
        <v>n/a</v>
      </c>
      <c r="L62" s="294" t="str">
        <f t="shared" si="136"/>
        <v>n/a</v>
      </c>
      <c r="M62" s="294" t="str">
        <f t="shared" si="136"/>
        <v>n/a</v>
      </c>
      <c r="N62" s="294" t="str">
        <f t="shared" si="136"/>
        <v>n/a</v>
      </c>
      <c r="O62" s="294" t="str">
        <f t="shared" si="136"/>
        <v>n/a</v>
      </c>
      <c r="P62" s="294" t="str">
        <f t="shared" si="136"/>
        <v>n/a</v>
      </c>
      <c r="Q62" s="294" t="str">
        <f t="shared" si="136"/>
        <v>n/a</v>
      </c>
      <c r="R62" s="294" t="str">
        <f t="shared" si="136"/>
        <v>n/a</v>
      </c>
      <c r="S62" s="294" t="str">
        <f t="shared" si="136"/>
        <v>n/a</v>
      </c>
      <c r="T62" s="294" t="str">
        <f t="shared" si="136"/>
        <v>n/a</v>
      </c>
      <c r="U62" s="294" t="str">
        <f t="shared" si="136"/>
        <v>n/a</v>
      </c>
      <c r="V62" s="294" t="str">
        <f t="shared" si="136"/>
        <v>n/a</v>
      </c>
      <c r="W62" s="294" t="str">
        <f t="shared" si="136"/>
        <v>n/a</v>
      </c>
      <c r="X62" s="294" t="str">
        <f t="shared" si="136"/>
        <v>n/a</v>
      </c>
      <c r="Y62" s="294" t="str">
        <f t="shared" si="136"/>
        <v>n/a</v>
      </c>
      <c r="Z62" s="294" t="str">
        <f t="shared" si="136"/>
        <v>n/a</v>
      </c>
      <c r="AA62" s="294" t="str">
        <f t="shared" ref="AA62:AF62" si="137">IF(AA14=0, "n/a", AA54/AA14)</f>
        <v>n/a</v>
      </c>
      <c r="AB62" s="294" t="str">
        <f t="shared" si="137"/>
        <v>n/a</v>
      </c>
      <c r="AC62" s="294" t="str">
        <f t="shared" si="137"/>
        <v>n/a</v>
      </c>
      <c r="AD62" s="294" t="str">
        <f t="shared" si="137"/>
        <v>n/a</v>
      </c>
      <c r="AE62" s="294" t="str">
        <f t="shared" si="137"/>
        <v>n/a</v>
      </c>
      <c r="AF62" s="294" t="str">
        <f t="shared" si="137"/>
        <v>n/a</v>
      </c>
      <c r="AG62" s="294" t="str">
        <f t="shared" ref="AG62:AH62" si="138">IF(AG14=0, "n/a", AG54/AG14)</f>
        <v>n/a</v>
      </c>
      <c r="AH62" s="294" t="str">
        <f t="shared" si="138"/>
        <v>n/a</v>
      </c>
      <c r="AI62" s="294" t="str">
        <f t="shared" ref="AI62" si="139">IF(AI14=0, "n/a", AI54/AI14)</f>
        <v>n/a</v>
      </c>
      <c r="AK62" s="288"/>
      <c r="AL62" s="288"/>
      <c r="AM62" s="248"/>
      <c r="AN62" s="248"/>
      <c r="AO62" s="248"/>
    </row>
    <row r="63" spans="1:41" ht="12.75" customHeight="1" x14ac:dyDescent="0.25">
      <c r="A63" s="249"/>
      <c r="B63" s="260"/>
      <c r="C63" s="260"/>
      <c r="D63" s="260"/>
      <c r="E63" s="260"/>
      <c r="F63" s="260"/>
      <c r="AK63" s="260"/>
      <c r="AL63" s="260"/>
    </row>
    <row r="64" spans="1:41" ht="12.75" customHeight="1" x14ac:dyDescent="0.25">
      <c r="A64" s="249"/>
      <c r="B64" s="260"/>
      <c r="C64" s="260"/>
      <c r="D64" s="260"/>
      <c r="E64" s="260"/>
      <c r="F64" s="260"/>
      <c r="AK64" s="260"/>
      <c r="AL64" s="260"/>
    </row>
    <row r="131" spans="1:38" ht="12.75" customHeight="1" x14ac:dyDescent="0.25">
      <c r="C131" s="273"/>
    </row>
    <row r="132" spans="1:38" ht="12.75" customHeight="1" x14ac:dyDescent="0.25">
      <c r="A132" s="262" t="s">
        <v>268</v>
      </c>
      <c r="C132" s="274"/>
    </row>
    <row r="133" spans="1:38" ht="12.75" customHeight="1" x14ac:dyDescent="0.25">
      <c r="C133" s="274"/>
    </row>
    <row r="134" spans="1:38" ht="12.75" customHeight="1" x14ac:dyDescent="0.25">
      <c r="A134" s="280" t="s">
        <v>133</v>
      </c>
      <c r="B134" s="280" t="s">
        <v>134</v>
      </c>
      <c r="C134" s="320" t="s">
        <v>352</v>
      </c>
      <c r="E134" s="246"/>
      <c r="F134" s="246"/>
      <c r="G134" s="246"/>
      <c r="H134" s="245"/>
      <c r="I134" s="245"/>
      <c r="J134" s="245"/>
      <c r="AK134" s="246"/>
      <c r="AL134" s="246"/>
    </row>
    <row r="135" spans="1:38" ht="12.75" customHeight="1" x14ac:dyDescent="0.25">
      <c r="A135" s="281" t="s">
        <v>112</v>
      </c>
      <c r="B135" s="281" t="s">
        <v>112</v>
      </c>
      <c r="C135" s="283" t="s">
        <v>228</v>
      </c>
      <c r="E135" s="246"/>
      <c r="F135" s="246"/>
      <c r="G135" s="246"/>
      <c r="H135" s="245"/>
      <c r="I135" s="245"/>
      <c r="J135" s="245"/>
      <c r="AK135" s="246"/>
      <c r="AL135" s="246"/>
    </row>
    <row r="136" spans="1:38" ht="12.75" customHeight="1" x14ac:dyDescent="0.25">
      <c r="A136" s="282" t="s">
        <v>149</v>
      </c>
      <c r="B136" s="282" t="s">
        <v>174</v>
      </c>
      <c r="C136" s="283" t="s">
        <v>368</v>
      </c>
      <c r="E136" s="246"/>
      <c r="F136" s="246"/>
      <c r="G136" s="246"/>
      <c r="H136" s="245"/>
      <c r="I136" s="245"/>
      <c r="J136" s="245"/>
      <c r="AK136" s="246"/>
      <c r="AL136" s="246"/>
    </row>
    <row r="137" spans="1:38" ht="12.75" customHeight="1" x14ac:dyDescent="0.25">
      <c r="A137" s="283" t="s">
        <v>228</v>
      </c>
      <c r="B137" s="282" t="s">
        <v>177</v>
      </c>
      <c r="C137" s="283" t="s">
        <v>367</v>
      </c>
      <c r="E137" s="246"/>
      <c r="F137" s="246"/>
      <c r="G137" s="246"/>
      <c r="H137" s="245"/>
      <c r="I137" s="245"/>
      <c r="J137" s="245"/>
      <c r="AK137" s="246"/>
      <c r="AL137" s="246"/>
    </row>
    <row r="138" spans="1:38" ht="12.75" customHeight="1" x14ac:dyDescent="0.25">
      <c r="A138" s="282" t="s">
        <v>139</v>
      </c>
      <c r="B138" s="282" t="s">
        <v>176</v>
      </c>
      <c r="C138" s="283" t="s">
        <v>369</v>
      </c>
      <c r="E138" s="246"/>
      <c r="F138" s="246"/>
      <c r="G138" s="246"/>
      <c r="H138" s="245"/>
      <c r="I138" s="245"/>
      <c r="J138" s="245"/>
      <c r="AK138" s="246"/>
      <c r="AL138" s="246"/>
    </row>
    <row r="139" spans="1:38" ht="12.75" customHeight="1" x14ac:dyDescent="0.25">
      <c r="A139" s="283" t="s">
        <v>157</v>
      </c>
      <c r="B139" s="282" t="s">
        <v>175</v>
      </c>
      <c r="C139" s="283" t="s">
        <v>376</v>
      </c>
      <c r="E139" s="246"/>
      <c r="F139" s="246"/>
      <c r="G139" s="246"/>
      <c r="H139" s="245"/>
      <c r="I139" s="245"/>
      <c r="J139" s="245"/>
      <c r="AK139" s="246"/>
      <c r="AL139" s="246"/>
    </row>
    <row r="140" spans="1:38" ht="12.75" customHeight="1" x14ac:dyDescent="0.25">
      <c r="A140" s="283" t="s">
        <v>153</v>
      </c>
      <c r="B140" s="283" t="s">
        <v>210</v>
      </c>
      <c r="C140" s="283" t="s">
        <v>377</v>
      </c>
      <c r="E140" s="246"/>
      <c r="F140" s="246"/>
      <c r="G140" s="246"/>
      <c r="H140" s="245"/>
      <c r="I140" s="245"/>
      <c r="J140" s="245"/>
      <c r="AK140" s="246"/>
      <c r="AL140" s="246"/>
    </row>
    <row r="141" spans="1:38" ht="12.75" customHeight="1" x14ac:dyDescent="0.25">
      <c r="A141" s="282" t="s">
        <v>138</v>
      </c>
      <c r="B141" s="283" t="s">
        <v>233</v>
      </c>
      <c r="C141" s="283" t="s">
        <v>374</v>
      </c>
      <c r="E141" s="246"/>
      <c r="F141" s="246"/>
      <c r="G141" s="246"/>
      <c r="H141" s="245"/>
      <c r="I141" s="245"/>
      <c r="J141" s="245"/>
      <c r="AK141" s="246"/>
      <c r="AL141" s="246"/>
    </row>
    <row r="142" spans="1:38" ht="12.75" customHeight="1" x14ac:dyDescent="0.25">
      <c r="A142" s="282" t="s">
        <v>142</v>
      </c>
      <c r="B142" s="283" t="s">
        <v>234</v>
      </c>
      <c r="C142" s="283" t="s">
        <v>373</v>
      </c>
      <c r="E142" s="246"/>
      <c r="F142" s="246"/>
      <c r="G142" s="246"/>
      <c r="H142" s="245"/>
      <c r="I142" s="245"/>
      <c r="J142" s="245"/>
      <c r="AK142" s="246"/>
      <c r="AL142" s="246"/>
    </row>
    <row r="143" spans="1:38" ht="12.75" customHeight="1" x14ac:dyDescent="0.25">
      <c r="A143" s="283" t="s">
        <v>142</v>
      </c>
      <c r="B143" s="283" t="s">
        <v>235</v>
      </c>
      <c r="C143" s="283" t="s">
        <v>375</v>
      </c>
      <c r="E143" s="246"/>
      <c r="F143" s="246"/>
      <c r="G143" s="246"/>
      <c r="H143" s="245"/>
      <c r="I143" s="245"/>
      <c r="J143" s="245"/>
      <c r="AK143" s="246"/>
      <c r="AL143" s="246"/>
    </row>
    <row r="144" spans="1:38" ht="12.75" customHeight="1" x14ac:dyDescent="0.25">
      <c r="A144" s="283" t="s">
        <v>230</v>
      </c>
      <c r="B144" s="283" t="s">
        <v>231</v>
      </c>
      <c r="C144" s="283" t="s">
        <v>371</v>
      </c>
      <c r="E144" s="246"/>
      <c r="F144" s="246"/>
      <c r="G144" s="246"/>
      <c r="H144" s="245"/>
      <c r="I144" s="245"/>
      <c r="J144" s="245"/>
      <c r="AK144" s="246"/>
      <c r="AL144" s="246"/>
    </row>
    <row r="145" spans="1:38" ht="12.75" customHeight="1" x14ac:dyDescent="0.25">
      <c r="A145" s="283" t="s">
        <v>229</v>
      </c>
      <c r="B145" s="283" t="s">
        <v>232</v>
      </c>
      <c r="C145" s="283" t="s">
        <v>370</v>
      </c>
      <c r="E145" s="246"/>
      <c r="F145" s="246"/>
      <c r="G145" s="246"/>
      <c r="H145" s="245"/>
      <c r="I145" s="245"/>
      <c r="J145" s="245"/>
      <c r="AK145" s="246"/>
      <c r="AL145" s="246"/>
    </row>
    <row r="146" spans="1:38" ht="12.75" customHeight="1" x14ac:dyDescent="0.25">
      <c r="A146" s="282" t="s">
        <v>146</v>
      </c>
      <c r="B146" s="283" t="s">
        <v>236</v>
      </c>
      <c r="C146" s="283" t="s">
        <v>372</v>
      </c>
      <c r="E146" s="246"/>
      <c r="F146" s="246"/>
      <c r="G146" s="246"/>
      <c r="H146" s="245"/>
      <c r="I146" s="245"/>
      <c r="J146" s="245"/>
      <c r="AK146" s="246"/>
      <c r="AL146" s="246"/>
    </row>
    <row r="147" spans="1:38" ht="12.75" customHeight="1" x14ac:dyDescent="0.25">
      <c r="A147" s="282" t="s">
        <v>198</v>
      </c>
      <c r="B147" s="282" t="s">
        <v>189</v>
      </c>
      <c r="C147" s="283" t="s">
        <v>486</v>
      </c>
      <c r="E147" s="246"/>
      <c r="F147" s="246"/>
      <c r="G147" s="246"/>
      <c r="H147" s="245"/>
      <c r="I147" s="245"/>
      <c r="J147" s="245"/>
      <c r="AK147" s="246"/>
      <c r="AL147" s="246"/>
    </row>
    <row r="148" spans="1:38" ht="12.75" customHeight="1" x14ac:dyDescent="0.25">
      <c r="A148" s="283" t="s">
        <v>159</v>
      </c>
      <c r="B148" s="283" t="s">
        <v>214</v>
      </c>
      <c r="C148" s="283" t="s">
        <v>487</v>
      </c>
      <c r="E148" s="246"/>
      <c r="F148" s="246"/>
      <c r="G148" s="246"/>
      <c r="H148" s="245"/>
      <c r="I148" s="245"/>
      <c r="J148" s="245"/>
      <c r="AK148" s="246"/>
      <c r="AL148" s="246"/>
    </row>
    <row r="149" spans="1:38" ht="12.75" customHeight="1" x14ac:dyDescent="0.25">
      <c r="A149" s="283" t="s">
        <v>155</v>
      </c>
      <c r="B149" s="283" t="s">
        <v>205</v>
      </c>
      <c r="C149" s="283" t="s">
        <v>622</v>
      </c>
      <c r="E149" s="246"/>
      <c r="F149" s="246"/>
      <c r="G149" s="246"/>
      <c r="H149" s="245"/>
      <c r="I149" s="245"/>
      <c r="J149" s="245"/>
      <c r="AK149" s="246"/>
      <c r="AL149" s="246"/>
    </row>
    <row r="150" spans="1:38" ht="12.75" customHeight="1" x14ac:dyDescent="0.25">
      <c r="A150" s="282" t="s">
        <v>147</v>
      </c>
      <c r="B150" s="283" t="s">
        <v>206</v>
      </c>
      <c r="C150" s="283" t="s">
        <v>624</v>
      </c>
      <c r="E150" s="246"/>
      <c r="F150" s="246"/>
      <c r="G150" s="246"/>
      <c r="H150" s="245"/>
      <c r="I150" s="245"/>
      <c r="J150" s="245"/>
      <c r="AK150" s="246"/>
      <c r="AL150" s="246"/>
    </row>
    <row r="151" spans="1:38" ht="12.75" customHeight="1" x14ac:dyDescent="0.25">
      <c r="A151" s="282" t="s">
        <v>143</v>
      </c>
      <c r="B151" s="283" t="s">
        <v>204</v>
      </c>
      <c r="C151" s="283" t="s">
        <v>623</v>
      </c>
      <c r="E151" s="246"/>
      <c r="F151" s="246"/>
      <c r="G151" s="246"/>
      <c r="H151" s="245"/>
      <c r="I151" s="245"/>
      <c r="J151" s="245"/>
      <c r="AK151" s="246"/>
      <c r="AL151" s="246"/>
    </row>
    <row r="152" spans="1:38" ht="12.75" customHeight="1" x14ac:dyDescent="0.25">
      <c r="A152" s="283" t="s">
        <v>152</v>
      </c>
      <c r="B152" s="282" t="s">
        <v>199</v>
      </c>
      <c r="C152" s="283" t="s">
        <v>608</v>
      </c>
      <c r="E152" s="246"/>
      <c r="F152" s="246"/>
      <c r="G152" s="246"/>
      <c r="H152" s="245"/>
      <c r="I152" s="245"/>
      <c r="J152" s="245"/>
      <c r="AK152" s="246"/>
      <c r="AL152" s="246"/>
    </row>
    <row r="153" spans="1:38" ht="12.75" customHeight="1" x14ac:dyDescent="0.25">
      <c r="A153" s="283" t="s">
        <v>227</v>
      </c>
      <c r="B153" s="282" t="s">
        <v>200</v>
      </c>
      <c r="C153" s="283" t="s">
        <v>609</v>
      </c>
      <c r="E153" s="246"/>
      <c r="F153" s="246"/>
      <c r="G153" s="246"/>
      <c r="H153" s="245"/>
      <c r="I153" s="245"/>
      <c r="J153" s="245"/>
      <c r="AK153" s="246"/>
      <c r="AL153" s="246"/>
    </row>
    <row r="154" spans="1:38" ht="12.75" customHeight="1" x14ac:dyDescent="0.25">
      <c r="A154" s="282" t="s">
        <v>144</v>
      </c>
      <c r="B154" s="283" t="s">
        <v>203</v>
      </c>
      <c r="C154" s="283" t="s">
        <v>611</v>
      </c>
      <c r="E154" s="246"/>
      <c r="F154" s="246"/>
      <c r="G154" s="246"/>
      <c r="H154" s="245"/>
      <c r="I154" s="245"/>
      <c r="J154" s="245"/>
      <c r="AK154" s="246"/>
      <c r="AL154" s="246"/>
    </row>
    <row r="155" spans="1:38" ht="12.75" customHeight="1" x14ac:dyDescent="0.25">
      <c r="A155" s="282" t="s">
        <v>160</v>
      </c>
      <c r="B155" s="282" t="s">
        <v>161</v>
      </c>
      <c r="C155" s="283" t="s">
        <v>610</v>
      </c>
      <c r="E155" s="246"/>
      <c r="F155" s="246"/>
      <c r="G155" s="246"/>
      <c r="H155" s="245"/>
      <c r="I155" s="245"/>
      <c r="J155" s="245"/>
      <c r="AK155" s="246"/>
      <c r="AL155" s="246"/>
    </row>
    <row r="156" spans="1:38" ht="12.75" customHeight="1" x14ac:dyDescent="0.25">
      <c r="A156" s="283" t="s">
        <v>154</v>
      </c>
      <c r="B156" s="283" t="s">
        <v>209</v>
      </c>
      <c r="C156" s="283" t="s">
        <v>612</v>
      </c>
      <c r="E156" s="246"/>
      <c r="F156" s="246"/>
      <c r="G156" s="246"/>
      <c r="H156" s="245"/>
      <c r="I156" s="245"/>
      <c r="J156" s="245"/>
      <c r="AK156" s="246"/>
      <c r="AL156" s="246"/>
    </row>
    <row r="157" spans="1:38" ht="12.75" customHeight="1" x14ac:dyDescent="0.25">
      <c r="A157" s="282" t="s">
        <v>145</v>
      </c>
      <c r="B157" s="282" t="s">
        <v>169</v>
      </c>
      <c r="C157" s="283" t="s">
        <v>614</v>
      </c>
      <c r="E157" s="246"/>
      <c r="F157" s="246"/>
      <c r="G157" s="246"/>
      <c r="H157" s="245"/>
      <c r="I157" s="245"/>
      <c r="J157" s="245"/>
      <c r="AK157" s="246"/>
      <c r="AL157" s="246"/>
    </row>
    <row r="158" spans="1:38" ht="12.75" customHeight="1" x14ac:dyDescent="0.25">
      <c r="A158" s="283" t="s">
        <v>151</v>
      </c>
      <c r="B158" s="282" t="s">
        <v>172</v>
      </c>
      <c r="C158" s="283" t="s">
        <v>613</v>
      </c>
      <c r="E158" s="246"/>
      <c r="F158" s="246"/>
      <c r="G158" s="246"/>
      <c r="H158" s="245"/>
      <c r="I158" s="245"/>
      <c r="J158" s="245"/>
      <c r="AK158" s="246"/>
      <c r="AL158" s="246"/>
    </row>
    <row r="159" spans="1:38" ht="12.75" customHeight="1" x14ac:dyDescent="0.25">
      <c r="A159" s="282" t="s">
        <v>141</v>
      </c>
      <c r="B159" s="282" t="s">
        <v>166</v>
      </c>
      <c r="C159" s="283" t="s">
        <v>615</v>
      </c>
      <c r="E159" s="246"/>
      <c r="F159" s="246"/>
      <c r="G159" s="246"/>
      <c r="H159" s="245"/>
      <c r="I159" s="245"/>
      <c r="J159" s="245"/>
      <c r="AK159" s="246"/>
      <c r="AL159" s="246"/>
    </row>
    <row r="160" spans="1:38" ht="12.75" customHeight="1" x14ac:dyDescent="0.25">
      <c r="A160" s="283" t="s">
        <v>156</v>
      </c>
      <c r="B160" s="282" t="s">
        <v>170</v>
      </c>
      <c r="C160" s="283" t="s">
        <v>625</v>
      </c>
      <c r="E160" s="246"/>
      <c r="F160" s="246"/>
      <c r="G160" s="246"/>
      <c r="H160" s="245"/>
      <c r="I160" s="245"/>
      <c r="J160" s="245"/>
      <c r="AK160" s="246"/>
      <c r="AL160" s="246"/>
    </row>
    <row r="161" spans="1:38" ht="12.75" customHeight="1" x14ac:dyDescent="0.25">
      <c r="A161" s="283" t="s">
        <v>150</v>
      </c>
      <c r="B161" s="282" t="s">
        <v>173</v>
      </c>
      <c r="C161" s="283" t="s">
        <v>603</v>
      </c>
      <c r="E161" s="246"/>
      <c r="F161" s="246"/>
      <c r="G161" s="246"/>
      <c r="H161" s="245"/>
      <c r="I161" s="245"/>
      <c r="J161" s="245"/>
      <c r="AK161" s="246"/>
      <c r="AL161" s="246"/>
    </row>
    <row r="162" spans="1:38" ht="12.75" customHeight="1" x14ac:dyDescent="0.25">
      <c r="A162" s="282" t="s">
        <v>148</v>
      </c>
      <c r="B162" s="282" t="s">
        <v>168</v>
      </c>
      <c r="C162" s="283" t="s">
        <v>604</v>
      </c>
      <c r="E162" s="246"/>
      <c r="F162" s="246"/>
      <c r="G162" s="246"/>
      <c r="H162" s="245"/>
      <c r="I162" s="245"/>
      <c r="J162" s="245"/>
      <c r="AK162" s="246"/>
      <c r="AL162" s="246"/>
    </row>
    <row r="163" spans="1:38" ht="12.75" customHeight="1" x14ac:dyDescent="0.25">
      <c r="A163" s="283" t="s">
        <v>158</v>
      </c>
      <c r="B163" s="282" t="s">
        <v>171</v>
      </c>
      <c r="C163" s="283" t="s">
        <v>605</v>
      </c>
      <c r="E163" s="246"/>
      <c r="F163" s="246"/>
      <c r="G163" s="246"/>
      <c r="H163" s="245"/>
      <c r="I163" s="245"/>
      <c r="J163" s="245"/>
      <c r="AK163" s="246"/>
      <c r="AL163" s="246"/>
    </row>
    <row r="164" spans="1:38" ht="12.75" customHeight="1" x14ac:dyDescent="0.25">
      <c r="A164" s="283" t="s">
        <v>226</v>
      </c>
      <c r="B164" s="282" t="s">
        <v>167</v>
      </c>
      <c r="C164" s="283" t="s">
        <v>629</v>
      </c>
      <c r="E164" s="246"/>
      <c r="F164" s="246"/>
      <c r="G164" s="246"/>
      <c r="H164" s="245"/>
      <c r="I164" s="245"/>
      <c r="J164" s="245"/>
      <c r="AK164" s="246"/>
      <c r="AL164" s="246"/>
    </row>
    <row r="165" spans="1:38" ht="12.75" customHeight="1" x14ac:dyDescent="0.25">
      <c r="A165" s="282" t="s">
        <v>140</v>
      </c>
      <c r="B165" s="282" t="s">
        <v>197</v>
      </c>
      <c r="C165" s="283" t="s">
        <v>631</v>
      </c>
      <c r="E165" s="246"/>
      <c r="F165" s="246"/>
      <c r="G165" s="246"/>
      <c r="H165" s="245"/>
      <c r="I165" s="245"/>
      <c r="J165" s="245"/>
      <c r="AK165" s="246"/>
      <c r="AL165" s="246"/>
    </row>
    <row r="166" spans="1:38" ht="12.75" customHeight="1" x14ac:dyDescent="0.25">
      <c r="A166" s="284" t="s">
        <v>262</v>
      </c>
      <c r="B166" s="283" t="s">
        <v>244</v>
      </c>
      <c r="C166" s="283" t="s">
        <v>630</v>
      </c>
      <c r="E166" s="246"/>
      <c r="F166" s="246"/>
      <c r="G166" s="246"/>
      <c r="H166" s="245"/>
      <c r="I166" s="245"/>
      <c r="J166" s="245"/>
      <c r="AK166" s="246"/>
      <c r="AL166" s="246"/>
    </row>
    <row r="167" spans="1:38" ht="12.75" customHeight="1" x14ac:dyDescent="0.25">
      <c r="A167" s="285" t="s">
        <v>54</v>
      </c>
      <c r="B167" s="283" t="s">
        <v>238</v>
      </c>
      <c r="C167" s="283" t="s">
        <v>606</v>
      </c>
      <c r="E167" s="246"/>
      <c r="F167" s="246"/>
      <c r="G167" s="246"/>
      <c r="H167" s="245"/>
      <c r="I167" s="245"/>
      <c r="J167" s="245"/>
      <c r="AK167" s="246"/>
      <c r="AL167" s="246"/>
    </row>
    <row r="168" spans="1:38" ht="12.75" customHeight="1" x14ac:dyDescent="0.25">
      <c r="A168" s="254"/>
      <c r="B168" s="283" t="s">
        <v>240</v>
      </c>
      <c r="C168" s="283" t="s">
        <v>607</v>
      </c>
      <c r="E168" s="246"/>
      <c r="F168" s="246"/>
      <c r="G168" s="246"/>
      <c r="H168" s="245"/>
      <c r="I168" s="245"/>
      <c r="J168" s="245"/>
      <c r="AK168" s="246"/>
      <c r="AL168" s="246"/>
    </row>
    <row r="169" spans="1:38" ht="12.75" customHeight="1" x14ac:dyDescent="0.25">
      <c r="A169" s="254"/>
      <c r="B169" s="283" t="s">
        <v>241</v>
      </c>
      <c r="C169" s="283" t="s">
        <v>626</v>
      </c>
      <c r="E169" s="246"/>
      <c r="F169" s="246"/>
      <c r="G169" s="246"/>
      <c r="H169" s="245"/>
      <c r="I169" s="245"/>
      <c r="J169" s="245"/>
      <c r="AK169" s="246"/>
      <c r="AL169" s="246"/>
    </row>
    <row r="170" spans="1:38" ht="12.75" customHeight="1" x14ac:dyDescent="0.25">
      <c r="A170" s="254"/>
      <c r="B170" s="283" t="s">
        <v>245</v>
      </c>
      <c r="C170" s="283" t="s">
        <v>616</v>
      </c>
      <c r="E170" s="246"/>
      <c r="F170" s="246"/>
      <c r="G170" s="246"/>
      <c r="H170" s="245"/>
      <c r="I170" s="245"/>
      <c r="J170" s="245"/>
      <c r="AK170" s="246"/>
      <c r="AL170" s="246"/>
    </row>
    <row r="171" spans="1:38" ht="12.75" customHeight="1" x14ac:dyDescent="0.25">
      <c r="A171" s="254"/>
      <c r="B171" s="283" t="s">
        <v>247</v>
      </c>
      <c r="C171" s="283" t="s">
        <v>617</v>
      </c>
      <c r="E171" s="246"/>
      <c r="F171" s="246"/>
      <c r="G171" s="246"/>
      <c r="H171" s="245"/>
      <c r="I171" s="245"/>
      <c r="J171" s="245"/>
      <c r="AK171" s="246"/>
      <c r="AL171" s="246"/>
    </row>
    <row r="172" spans="1:38" ht="12.75" customHeight="1" x14ac:dyDescent="0.25">
      <c r="A172" s="254"/>
      <c r="B172" s="283" t="s">
        <v>237</v>
      </c>
      <c r="C172" s="283" t="s">
        <v>628</v>
      </c>
      <c r="E172" s="246"/>
      <c r="F172" s="246"/>
      <c r="G172" s="246"/>
      <c r="H172" s="245"/>
      <c r="I172" s="245"/>
      <c r="J172" s="245"/>
      <c r="AK172" s="246"/>
      <c r="AL172" s="246"/>
    </row>
    <row r="173" spans="1:38" ht="12.75" customHeight="1" x14ac:dyDescent="0.25">
      <c r="A173" s="254"/>
      <c r="B173" s="283" t="s">
        <v>239</v>
      </c>
      <c r="C173" s="283" t="s">
        <v>619</v>
      </c>
      <c r="E173" s="246"/>
      <c r="F173" s="246"/>
      <c r="G173" s="246"/>
      <c r="H173" s="245"/>
      <c r="I173" s="245"/>
      <c r="J173" s="245"/>
      <c r="AK173" s="246"/>
      <c r="AL173" s="246"/>
    </row>
    <row r="174" spans="1:38" ht="12.75" customHeight="1" x14ac:dyDescent="0.25">
      <c r="A174" s="254"/>
      <c r="B174" s="283" t="s">
        <v>246</v>
      </c>
      <c r="C174" s="283" t="s">
        <v>618</v>
      </c>
      <c r="E174" s="246"/>
      <c r="F174" s="246"/>
      <c r="G174" s="246"/>
      <c r="H174" s="245"/>
      <c r="I174" s="245"/>
      <c r="J174" s="245"/>
      <c r="AK174" s="246"/>
      <c r="AL174" s="246"/>
    </row>
    <row r="175" spans="1:38" ht="12.75" customHeight="1" x14ac:dyDescent="0.25">
      <c r="A175" s="254"/>
      <c r="B175" s="282" t="s">
        <v>187</v>
      </c>
      <c r="C175" s="283" t="s">
        <v>621</v>
      </c>
      <c r="E175" s="246"/>
      <c r="F175" s="246"/>
      <c r="G175" s="246"/>
      <c r="H175" s="245"/>
      <c r="I175" s="245"/>
      <c r="J175" s="245"/>
      <c r="AK175" s="246"/>
      <c r="AL175" s="246"/>
    </row>
    <row r="176" spans="1:38" ht="12.75" customHeight="1" x14ac:dyDescent="0.25">
      <c r="A176" s="254"/>
      <c r="B176" s="283" t="s">
        <v>242</v>
      </c>
      <c r="C176" s="283" t="s">
        <v>620</v>
      </c>
      <c r="E176" s="246"/>
      <c r="F176" s="246"/>
      <c r="G176" s="246"/>
      <c r="H176" s="245"/>
      <c r="I176" s="245"/>
      <c r="J176" s="245"/>
      <c r="AK176" s="246"/>
      <c r="AL176" s="246"/>
    </row>
    <row r="177" spans="1:38" ht="12.75" customHeight="1" x14ac:dyDescent="0.25">
      <c r="A177" s="254"/>
      <c r="B177" s="283" t="s">
        <v>243</v>
      </c>
      <c r="C177" s="283" t="s">
        <v>627</v>
      </c>
      <c r="E177" s="246"/>
      <c r="F177" s="246"/>
      <c r="G177" s="246"/>
      <c r="H177" s="245"/>
      <c r="I177" s="245"/>
      <c r="J177" s="245"/>
      <c r="AK177" s="246"/>
      <c r="AL177" s="246"/>
    </row>
    <row r="178" spans="1:38" ht="12.75" customHeight="1" x14ac:dyDescent="0.25">
      <c r="A178" s="254"/>
      <c r="B178" s="282" t="s">
        <v>188</v>
      </c>
      <c r="C178" s="283" t="s">
        <v>507</v>
      </c>
      <c r="E178" s="246"/>
      <c r="F178" s="246"/>
      <c r="G178" s="246"/>
      <c r="H178" s="245"/>
      <c r="I178" s="245"/>
      <c r="J178" s="245"/>
      <c r="AK178" s="246"/>
      <c r="AL178" s="246"/>
    </row>
    <row r="179" spans="1:38" ht="12.75" customHeight="1" x14ac:dyDescent="0.25">
      <c r="A179" s="254"/>
      <c r="B179" s="282" t="s">
        <v>162</v>
      </c>
      <c r="C179" s="283" t="s">
        <v>506</v>
      </c>
      <c r="E179" s="246"/>
      <c r="F179" s="246"/>
      <c r="G179" s="246"/>
      <c r="H179" s="245"/>
      <c r="I179" s="245"/>
      <c r="J179" s="245"/>
      <c r="AK179" s="246"/>
      <c r="AL179" s="246"/>
    </row>
    <row r="180" spans="1:38" ht="12.75" customHeight="1" x14ac:dyDescent="0.25">
      <c r="A180" s="254"/>
      <c r="B180" s="283" t="s">
        <v>230</v>
      </c>
      <c r="C180" s="283" t="s">
        <v>509</v>
      </c>
      <c r="E180" s="246"/>
      <c r="F180" s="246"/>
      <c r="G180" s="246"/>
      <c r="H180" s="245"/>
      <c r="I180" s="245"/>
      <c r="J180" s="245"/>
      <c r="AK180" s="246"/>
      <c r="AL180" s="246"/>
    </row>
    <row r="181" spans="1:38" ht="12.75" customHeight="1" x14ac:dyDescent="0.25">
      <c r="A181" s="254"/>
      <c r="B181" s="283" t="s">
        <v>213</v>
      </c>
      <c r="C181" s="283" t="s">
        <v>508</v>
      </c>
      <c r="E181" s="246"/>
      <c r="F181" s="246"/>
      <c r="G181" s="246"/>
      <c r="H181" s="245"/>
      <c r="I181" s="245"/>
      <c r="J181" s="245"/>
      <c r="AK181" s="246"/>
      <c r="AL181" s="246"/>
    </row>
    <row r="182" spans="1:38" ht="12.75" customHeight="1" x14ac:dyDescent="0.25">
      <c r="A182" s="254"/>
      <c r="B182" s="283" t="s">
        <v>229</v>
      </c>
      <c r="C182" s="283" t="s">
        <v>510</v>
      </c>
      <c r="E182" s="246"/>
      <c r="F182" s="246"/>
      <c r="G182" s="246"/>
      <c r="H182" s="245"/>
      <c r="I182" s="245"/>
      <c r="J182" s="245"/>
      <c r="AK182" s="246"/>
      <c r="AL182" s="246"/>
    </row>
    <row r="183" spans="1:38" ht="12.75" customHeight="1" x14ac:dyDescent="0.25">
      <c r="A183" s="254"/>
      <c r="B183" s="282" t="s">
        <v>198</v>
      </c>
      <c r="C183" s="283" t="s">
        <v>511</v>
      </c>
      <c r="G183" s="246"/>
      <c r="J183" s="245"/>
    </row>
    <row r="184" spans="1:38" ht="12.75" customHeight="1" x14ac:dyDescent="0.25">
      <c r="A184" s="254"/>
      <c r="B184" s="282" t="s">
        <v>202</v>
      </c>
      <c r="C184" s="283" t="s">
        <v>495</v>
      </c>
      <c r="G184" s="246"/>
      <c r="J184" s="245"/>
    </row>
    <row r="185" spans="1:38" ht="12.75" customHeight="1" x14ac:dyDescent="0.25">
      <c r="A185" s="254"/>
      <c r="B185" s="283" t="s">
        <v>208</v>
      </c>
      <c r="C185" s="283" t="s">
        <v>494</v>
      </c>
      <c r="G185" s="246"/>
      <c r="J185" s="245"/>
    </row>
    <row r="186" spans="1:38" ht="12.75" customHeight="1" x14ac:dyDescent="0.25">
      <c r="A186" s="254"/>
      <c r="B186" s="283" t="s">
        <v>164</v>
      </c>
      <c r="C186" s="283" t="s">
        <v>497</v>
      </c>
      <c r="G186" s="246"/>
      <c r="J186" s="245"/>
    </row>
    <row r="187" spans="1:38" ht="12.75" customHeight="1" x14ac:dyDescent="0.25">
      <c r="A187" s="254"/>
      <c r="B187" s="283" t="s">
        <v>260</v>
      </c>
      <c r="C187" s="283" t="s">
        <v>499</v>
      </c>
      <c r="G187" s="246"/>
      <c r="J187" s="245"/>
    </row>
    <row r="188" spans="1:38" ht="12.75" customHeight="1" x14ac:dyDescent="0.25">
      <c r="A188" s="254"/>
      <c r="B188" s="283" t="s">
        <v>259</v>
      </c>
      <c r="C188" s="283" t="s">
        <v>498</v>
      </c>
      <c r="G188" s="246"/>
      <c r="J188" s="245"/>
    </row>
    <row r="189" spans="1:38" ht="12.75" customHeight="1" x14ac:dyDescent="0.25">
      <c r="A189" s="254"/>
      <c r="B189" s="283" t="s">
        <v>207</v>
      </c>
      <c r="C189" s="283" t="s">
        <v>496</v>
      </c>
      <c r="G189" s="246"/>
      <c r="J189" s="245"/>
    </row>
    <row r="190" spans="1:38" ht="12.75" customHeight="1" x14ac:dyDescent="0.25">
      <c r="A190" s="254"/>
      <c r="B190" s="283" t="s">
        <v>155</v>
      </c>
      <c r="C190" s="283" t="s">
        <v>501</v>
      </c>
      <c r="G190" s="246"/>
      <c r="J190" s="245"/>
    </row>
    <row r="191" spans="1:38" ht="12.75" customHeight="1" x14ac:dyDescent="0.25">
      <c r="A191" s="254"/>
      <c r="B191" s="282" t="s">
        <v>147</v>
      </c>
      <c r="C191" s="283" t="s">
        <v>500</v>
      </c>
      <c r="G191" s="246"/>
      <c r="J191" s="245"/>
    </row>
    <row r="192" spans="1:38" ht="12.75" customHeight="1" x14ac:dyDescent="0.25">
      <c r="A192" s="254"/>
      <c r="B192" s="282" t="s">
        <v>192</v>
      </c>
      <c r="C192" s="283" t="s">
        <v>503</v>
      </c>
      <c r="G192" s="246"/>
      <c r="J192" s="245"/>
    </row>
    <row r="193" spans="1:10" ht="12.75" customHeight="1" x14ac:dyDescent="0.25">
      <c r="A193" s="254"/>
      <c r="B193" s="282" t="s">
        <v>190</v>
      </c>
      <c r="C193" s="283" t="s">
        <v>505</v>
      </c>
      <c r="G193" s="246"/>
      <c r="J193" s="245"/>
    </row>
    <row r="194" spans="1:10" ht="12.75" customHeight="1" x14ac:dyDescent="0.25">
      <c r="A194" s="254"/>
      <c r="B194" s="282" t="s">
        <v>191</v>
      </c>
      <c r="C194" s="283" t="s">
        <v>504</v>
      </c>
      <c r="G194" s="246"/>
      <c r="J194" s="245"/>
    </row>
    <row r="195" spans="1:10" ht="12.75" customHeight="1" x14ac:dyDescent="0.25">
      <c r="A195" s="254"/>
      <c r="B195" s="283" t="s">
        <v>212</v>
      </c>
      <c r="C195" s="283" t="s">
        <v>502</v>
      </c>
      <c r="G195" s="246"/>
      <c r="J195" s="245"/>
    </row>
    <row r="196" spans="1:10" ht="12.75" customHeight="1" x14ac:dyDescent="0.25">
      <c r="A196" s="254"/>
      <c r="B196" s="283" t="s">
        <v>227</v>
      </c>
      <c r="C196" s="283" t="s">
        <v>517</v>
      </c>
      <c r="G196" s="246"/>
      <c r="J196" s="245"/>
    </row>
    <row r="197" spans="1:10" ht="12.75" customHeight="1" x14ac:dyDescent="0.25">
      <c r="A197" s="254"/>
      <c r="B197" s="282" t="s">
        <v>193</v>
      </c>
      <c r="C197" s="283" t="s">
        <v>513</v>
      </c>
      <c r="G197" s="246"/>
      <c r="J197" s="245"/>
    </row>
    <row r="198" spans="1:10" ht="12.75" customHeight="1" x14ac:dyDescent="0.25">
      <c r="A198" s="254"/>
      <c r="B198" s="282" t="s">
        <v>194</v>
      </c>
      <c r="C198" s="283" t="s">
        <v>512</v>
      </c>
      <c r="G198" s="246"/>
      <c r="J198" s="245"/>
    </row>
    <row r="199" spans="1:10" ht="12.75" customHeight="1" x14ac:dyDescent="0.25">
      <c r="A199" s="254"/>
      <c r="B199" s="283" t="s">
        <v>211</v>
      </c>
      <c r="C199" s="283" t="s">
        <v>514</v>
      </c>
      <c r="G199" s="246"/>
      <c r="J199" s="245"/>
    </row>
    <row r="200" spans="1:10" ht="12.75" customHeight="1" x14ac:dyDescent="0.25">
      <c r="A200" s="254"/>
      <c r="B200" s="282" t="s">
        <v>201</v>
      </c>
      <c r="C200" s="283" t="s">
        <v>515</v>
      </c>
      <c r="G200" s="246"/>
      <c r="J200" s="245"/>
    </row>
    <row r="201" spans="1:10" ht="12.75" customHeight="1" x14ac:dyDescent="0.25">
      <c r="A201" s="254"/>
      <c r="B201" s="283" t="s">
        <v>154</v>
      </c>
      <c r="C201" s="283" t="s">
        <v>516</v>
      </c>
      <c r="G201" s="246"/>
      <c r="J201" s="245"/>
    </row>
    <row r="202" spans="1:10" ht="12.75" customHeight="1" x14ac:dyDescent="0.25">
      <c r="A202" s="254"/>
      <c r="B202" s="282" t="s">
        <v>165</v>
      </c>
      <c r="C202" s="283" t="s">
        <v>490</v>
      </c>
      <c r="G202" s="246"/>
      <c r="J202" s="245"/>
    </row>
    <row r="203" spans="1:10" ht="12.75" customHeight="1" x14ac:dyDescent="0.25">
      <c r="A203" s="254"/>
      <c r="B203" s="283" t="s">
        <v>222</v>
      </c>
      <c r="C203" s="283" t="s">
        <v>476</v>
      </c>
      <c r="G203" s="246"/>
      <c r="J203" s="245"/>
    </row>
    <row r="204" spans="1:10" ht="12.75" customHeight="1" x14ac:dyDescent="0.25">
      <c r="A204" s="254"/>
      <c r="B204" s="283" t="s">
        <v>224</v>
      </c>
      <c r="C204" s="283" t="s">
        <v>475</v>
      </c>
      <c r="G204" s="246"/>
      <c r="J204" s="245"/>
    </row>
    <row r="205" spans="1:10" ht="12.75" customHeight="1" x14ac:dyDescent="0.25">
      <c r="A205" s="254"/>
      <c r="B205" s="283" t="s">
        <v>215</v>
      </c>
      <c r="C205" s="283" t="s">
        <v>478</v>
      </c>
      <c r="G205" s="246"/>
      <c r="J205" s="245"/>
    </row>
    <row r="206" spans="1:10" ht="12.75" customHeight="1" x14ac:dyDescent="0.25">
      <c r="A206" s="254"/>
      <c r="B206" s="283" t="s">
        <v>221</v>
      </c>
      <c r="C206" s="283" t="s">
        <v>477</v>
      </c>
      <c r="G206" s="246"/>
      <c r="J206" s="245"/>
    </row>
    <row r="207" spans="1:10" ht="12.75" customHeight="1" x14ac:dyDescent="0.25">
      <c r="A207" s="254"/>
      <c r="B207" s="283" t="s">
        <v>225</v>
      </c>
      <c r="C207" s="283" t="s">
        <v>474</v>
      </c>
      <c r="G207" s="246"/>
      <c r="J207" s="245"/>
    </row>
    <row r="208" spans="1:10" ht="12.75" customHeight="1" x14ac:dyDescent="0.25">
      <c r="A208" s="254"/>
      <c r="B208" s="283" t="s">
        <v>218</v>
      </c>
      <c r="C208" s="283" t="s">
        <v>473</v>
      </c>
      <c r="G208" s="246"/>
      <c r="J208" s="245"/>
    </row>
    <row r="209" spans="1:10" ht="12.75" customHeight="1" x14ac:dyDescent="0.25">
      <c r="A209" s="254"/>
      <c r="B209" s="283" t="s">
        <v>216</v>
      </c>
      <c r="C209" s="283" t="s">
        <v>464</v>
      </c>
      <c r="G209" s="246"/>
      <c r="J209" s="245"/>
    </row>
    <row r="210" spans="1:10" ht="12.75" customHeight="1" x14ac:dyDescent="0.25">
      <c r="A210" s="254"/>
      <c r="B210" s="283" t="s">
        <v>223</v>
      </c>
      <c r="C210" s="283" t="s">
        <v>463</v>
      </c>
      <c r="G210" s="246"/>
      <c r="J210" s="245"/>
    </row>
    <row r="211" spans="1:10" ht="12.75" customHeight="1" x14ac:dyDescent="0.25">
      <c r="A211" s="254"/>
      <c r="B211" s="283" t="s">
        <v>219</v>
      </c>
      <c r="C211" s="283" t="s">
        <v>471</v>
      </c>
      <c r="G211" s="246"/>
      <c r="J211" s="245"/>
    </row>
    <row r="212" spans="1:10" ht="12.75" customHeight="1" x14ac:dyDescent="0.25">
      <c r="A212" s="254"/>
      <c r="B212" s="283" t="s">
        <v>220</v>
      </c>
      <c r="C212" s="283" t="s">
        <v>472</v>
      </c>
      <c r="G212" s="246"/>
      <c r="J212" s="245"/>
    </row>
    <row r="213" spans="1:10" ht="12.75" customHeight="1" x14ac:dyDescent="0.25">
      <c r="A213" s="254"/>
      <c r="B213" s="283" t="s">
        <v>217</v>
      </c>
      <c r="C213" s="283" t="s">
        <v>467</v>
      </c>
      <c r="G213" s="246"/>
      <c r="J213" s="245"/>
    </row>
    <row r="214" spans="1:10" ht="12.75" customHeight="1" x14ac:dyDescent="0.25">
      <c r="A214" s="254"/>
      <c r="B214" s="282" t="s">
        <v>186</v>
      </c>
      <c r="C214" s="283" t="s">
        <v>466</v>
      </c>
      <c r="G214" s="246"/>
      <c r="J214" s="245"/>
    </row>
    <row r="215" spans="1:10" ht="12.75" customHeight="1" x14ac:dyDescent="0.25">
      <c r="A215" s="254"/>
      <c r="B215" s="282" t="s">
        <v>185</v>
      </c>
      <c r="C215" s="283" t="s">
        <v>209</v>
      </c>
      <c r="G215" s="246"/>
      <c r="J215" s="245"/>
    </row>
    <row r="216" spans="1:10" ht="12.75" customHeight="1" x14ac:dyDescent="0.25">
      <c r="A216" s="254"/>
      <c r="B216" s="283" t="s">
        <v>249</v>
      </c>
      <c r="C216" s="283" t="s">
        <v>365</v>
      </c>
      <c r="G216" s="246"/>
      <c r="J216" s="245"/>
    </row>
    <row r="217" spans="1:10" ht="12.75" customHeight="1" x14ac:dyDescent="0.25">
      <c r="A217" s="254"/>
      <c r="B217" s="283" t="s">
        <v>250</v>
      </c>
      <c r="C217" s="283" t="s">
        <v>364</v>
      </c>
      <c r="G217" s="246"/>
      <c r="J217" s="245"/>
    </row>
    <row r="218" spans="1:10" ht="12.75" customHeight="1" x14ac:dyDescent="0.25">
      <c r="A218" s="254"/>
      <c r="B218" s="283" t="s">
        <v>251</v>
      </c>
      <c r="C218" s="283" t="s">
        <v>360</v>
      </c>
      <c r="G218" s="246"/>
      <c r="J218" s="245"/>
    </row>
    <row r="219" spans="1:10" ht="12.75" customHeight="1" x14ac:dyDescent="0.25">
      <c r="A219" s="254"/>
      <c r="B219" s="283" t="s">
        <v>254</v>
      </c>
      <c r="C219" s="282" t="s">
        <v>353</v>
      </c>
      <c r="G219" s="246"/>
      <c r="J219" s="245"/>
    </row>
    <row r="220" spans="1:10" ht="12.75" customHeight="1" x14ac:dyDescent="0.25">
      <c r="A220" s="254"/>
      <c r="B220" s="283" t="s">
        <v>248</v>
      </c>
      <c r="C220" s="283" t="s">
        <v>361</v>
      </c>
      <c r="G220" s="246"/>
      <c r="J220" s="245"/>
    </row>
    <row r="221" spans="1:10" ht="12.75" customHeight="1" x14ac:dyDescent="0.25">
      <c r="A221" s="254"/>
      <c r="B221" s="283" t="s">
        <v>258</v>
      </c>
      <c r="C221" s="283" t="s">
        <v>366</v>
      </c>
      <c r="G221" s="246"/>
      <c r="J221" s="245"/>
    </row>
    <row r="222" spans="1:10" ht="12.75" customHeight="1" x14ac:dyDescent="0.25">
      <c r="A222" s="254"/>
      <c r="B222" s="283" t="s">
        <v>255</v>
      </c>
      <c r="C222" s="283" t="s">
        <v>358</v>
      </c>
      <c r="G222" s="246"/>
      <c r="J222" s="245"/>
    </row>
    <row r="223" spans="1:10" ht="12.75" customHeight="1" x14ac:dyDescent="0.25">
      <c r="A223" s="254"/>
      <c r="B223" s="283" t="s">
        <v>252</v>
      </c>
      <c r="C223" s="283" t="s">
        <v>357</v>
      </c>
      <c r="G223" s="246"/>
      <c r="J223" s="245"/>
    </row>
    <row r="224" spans="1:10" ht="12.75" customHeight="1" x14ac:dyDescent="0.25">
      <c r="A224" s="254"/>
      <c r="B224" s="283" t="s">
        <v>257</v>
      </c>
      <c r="C224" s="283" t="s">
        <v>359</v>
      </c>
      <c r="G224" s="246"/>
      <c r="J224" s="245"/>
    </row>
    <row r="225" spans="1:10" ht="12.75" customHeight="1" x14ac:dyDescent="0.25">
      <c r="A225" s="254"/>
      <c r="B225" s="283" t="s">
        <v>253</v>
      </c>
      <c r="C225" s="283" t="s">
        <v>362</v>
      </c>
      <c r="G225" s="246"/>
      <c r="J225" s="245"/>
    </row>
    <row r="226" spans="1:10" ht="12.75" customHeight="1" x14ac:dyDescent="0.25">
      <c r="A226" s="254"/>
      <c r="B226" s="283" t="s">
        <v>256</v>
      </c>
      <c r="C226" s="283" t="s">
        <v>363</v>
      </c>
      <c r="G226" s="246"/>
      <c r="J226" s="245"/>
    </row>
    <row r="227" spans="1:10" ht="12.75" customHeight="1" x14ac:dyDescent="0.25">
      <c r="A227" s="254"/>
      <c r="B227" s="283" t="s">
        <v>163</v>
      </c>
      <c r="C227" s="283" t="s">
        <v>355</v>
      </c>
      <c r="G227" s="246"/>
      <c r="J227" s="245"/>
    </row>
    <row r="228" spans="1:10" ht="12.75" customHeight="1" x14ac:dyDescent="0.25">
      <c r="A228" s="254"/>
      <c r="B228" s="282" t="s">
        <v>148</v>
      </c>
      <c r="C228" s="283" t="s">
        <v>354</v>
      </c>
      <c r="G228" s="246"/>
      <c r="J228" s="245"/>
    </row>
    <row r="229" spans="1:10" ht="12.75" customHeight="1" x14ac:dyDescent="0.25">
      <c r="A229" s="254"/>
      <c r="B229" s="282" t="s">
        <v>195</v>
      </c>
      <c r="C229" s="283" t="s">
        <v>356</v>
      </c>
      <c r="G229" s="246"/>
      <c r="J229" s="245"/>
    </row>
    <row r="230" spans="1:10" ht="12.75" customHeight="1" x14ac:dyDescent="0.25">
      <c r="A230" s="254"/>
      <c r="B230" s="282" t="s">
        <v>196</v>
      </c>
      <c r="C230" s="283" t="s">
        <v>405</v>
      </c>
      <c r="G230" s="246"/>
      <c r="J230" s="245"/>
    </row>
    <row r="231" spans="1:10" ht="12.75" customHeight="1" x14ac:dyDescent="0.25">
      <c r="A231" s="254"/>
      <c r="B231" s="283" t="s">
        <v>226</v>
      </c>
      <c r="C231" s="283" t="s">
        <v>404</v>
      </c>
      <c r="G231" s="246"/>
      <c r="J231" s="245"/>
    </row>
    <row r="232" spans="1:10" ht="12.75" customHeight="1" x14ac:dyDescent="0.25">
      <c r="A232" s="254"/>
      <c r="B232" s="282" t="s">
        <v>179</v>
      </c>
      <c r="C232" s="283" t="s">
        <v>406</v>
      </c>
      <c r="G232" s="246"/>
      <c r="J232" s="245"/>
    </row>
    <row r="233" spans="1:10" ht="12.75" customHeight="1" x14ac:dyDescent="0.25">
      <c r="A233" s="254"/>
      <c r="B233" s="282" t="s">
        <v>182</v>
      </c>
      <c r="C233" s="283" t="s">
        <v>549</v>
      </c>
      <c r="G233" s="246"/>
      <c r="J233" s="245"/>
    </row>
    <row r="234" spans="1:10" ht="12.75" customHeight="1" x14ac:dyDescent="0.25">
      <c r="A234" s="254"/>
      <c r="B234" s="282" t="s">
        <v>180</v>
      </c>
      <c r="C234" s="283" t="s">
        <v>548</v>
      </c>
      <c r="G234" s="246"/>
      <c r="J234" s="245"/>
    </row>
    <row r="235" spans="1:10" ht="12.75" customHeight="1" x14ac:dyDescent="0.25">
      <c r="A235" s="254"/>
      <c r="B235" s="282" t="s">
        <v>183</v>
      </c>
      <c r="C235" s="283" t="s">
        <v>525</v>
      </c>
      <c r="G235" s="246"/>
      <c r="J235" s="245"/>
    </row>
    <row r="236" spans="1:10" ht="12.75" customHeight="1" x14ac:dyDescent="0.25">
      <c r="A236" s="254"/>
      <c r="B236" s="282" t="s">
        <v>181</v>
      </c>
      <c r="C236" s="283" t="s">
        <v>524</v>
      </c>
      <c r="G236" s="246"/>
      <c r="J236" s="245"/>
    </row>
    <row r="237" spans="1:10" ht="12.75" customHeight="1" x14ac:dyDescent="0.25">
      <c r="A237" s="254"/>
      <c r="B237" s="282" t="s">
        <v>178</v>
      </c>
      <c r="C237" s="283" t="s">
        <v>527</v>
      </c>
      <c r="G237" s="246"/>
      <c r="J237" s="245"/>
    </row>
    <row r="238" spans="1:10" ht="12.75" customHeight="1" x14ac:dyDescent="0.25">
      <c r="A238" s="254"/>
      <c r="B238" s="282" t="s">
        <v>184</v>
      </c>
      <c r="C238" s="283" t="s">
        <v>526</v>
      </c>
      <c r="G238" s="246"/>
      <c r="J238" s="245"/>
    </row>
    <row r="239" spans="1:10" ht="12.75" customHeight="1" x14ac:dyDescent="0.25">
      <c r="A239" s="254"/>
      <c r="B239" s="284" t="s">
        <v>262</v>
      </c>
      <c r="C239" s="283" t="s">
        <v>532</v>
      </c>
      <c r="G239" s="246"/>
      <c r="J239" s="245"/>
    </row>
    <row r="240" spans="1:10" ht="12.75" customHeight="1" x14ac:dyDescent="0.25">
      <c r="A240" s="254"/>
      <c r="B240" s="285" t="s">
        <v>54</v>
      </c>
      <c r="C240" s="283" t="s">
        <v>531</v>
      </c>
      <c r="G240" s="246"/>
      <c r="J240" s="245"/>
    </row>
    <row r="241" spans="3:10" ht="12.75" customHeight="1" x14ac:dyDescent="0.25">
      <c r="C241" s="283" t="s">
        <v>533</v>
      </c>
      <c r="G241" s="246"/>
      <c r="J241" s="245"/>
    </row>
    <row r="242" spans="3:10" ht="12.75" customHeight="1" x14ac:dyDescent="0.25">
      <c r="C242" s="283" t="s">
        <v>535</v>
      </c>
      <c r="G242" s="246"/>
      <c r="J242" s="245"/>
    </row>
    <row r="243" spans="3:10" ht="12.75" customHeight="1" x14ac:dyDescent="0.25">
      <c r="C243" s="283" t="s">
        <v>534</v>
      </c>
      <c r="G243" s="246"/>
      <c r="J243" s="245"/>
    </row>
    <row r="244" spans="3:10" ht="12.75" customHeight="1" x14ac:dyDescent="0.25">
      <c r="C244" s="283" t="s">
        <v>537</v>
      </c>
      <c r="G244" s="246"/>
      <c r="J244" s="245"/>
    </row>
    <row r="245" spans="3:10" ht="12.75" customHeight="1" x14ac:dyDescent="0.25">
      <c r="C245" s="283" t="s">
        <v>536</v>
      </c>
      <c r="G245" s="246"/>
      <c r="J245" s="245"/>
    </row>
    <row r="246" spans="3:10" ht="12.75" customHeight="1" x14ac:dyDescent="0.25">
      <c r="C246" s="283" t="s">
        <v>551</v>
      </c>
      <c r="G246" s="246"/>
      <c r="J246" s="245"/>
    </row>
    <row r="247" spans="3:10" ht="12.75" customHeight="1" x14ac:dyDescent="0.25">
      <c r="C247" s="283" t="s">
        <v>550</v>
      </c>
      <c r="G247" s="246"/>
      <c r="J247" s="245"/>
    </row>
    <row r="248" spans="3:10" ht="12.75" customHeight="1" x14ac:dyDescent="0.25">
      <c r="C248" s="283" t="s">
        <v>552</v>
      </c>
      <c r="G248" s="246"/>
      <c r="J248" s="245"/>
    </row>
    <row r="249" spans="3:10" ht="12.75" customHeight="1" x14ac:dyDescent="0.25">
      <c r="C249" s="283" t="s">
        <v>519</v>
      </c>
      <c r="G249" s="246"/>
      <c r="J249" s="245"/>
    </row>
    <row r="250" spans="3:10" ht="12.75" customHeight="1" x14ac:dyDescent="0.25">
      <c r="C250" s="283" t="s">
        <v>518</v>
      </c>
      <c r="G250" s="246"/>
      <c r="J250" s="245"/>
    </row>
    <row r="251" spans="3:10" ht="12.75" customHeight="1" x14ac:dyDescent="0.25">
      <c r="C251" s="283" t="s">
        <v>521</v>
      </c>
      <c r="G251" s="246"/>
      <c r="J251" s="245"/>
    </row>
    <row r="252" spans="3:10" ht="12.75" customHeight="1" x14ac:dyDescent="0.25">
      <c r="C252" s="283" t="s">
        <v>523</v>
      </c>
      <c r="G252" s="246"/>
      <c r="J252" s="245"/>
    </row>
    <row r="253" spans="3:10" ht="12.75" customHeight="1" x14ac:dyDescent="0.25">
      <c r="C253" s="283" t="s">
        <v>522</v>
      </c>
      <c r="G253" s="246"/>
      <c r="J253" s="245"/>
    </row>
    <row r="254" spans="3:10" ht="12.75" customHeight="1" x14ac:dyDescent="0.25">
      <c r="C254" s="283" t="s">
        <v>520</v>
      </c>
      <c r="G254" s="246"/>
      <c r="J254" s="245"/>
    </row>
    <row r="255" spans="3:10" ht="12.75" customHeight="1" x14ac:dyDescent="0.25">
      <c r="C255" s="283" t="s">
        <v>556</v>
      </c>
      <c r="G255" s="246"/>
      <c r="J255" s="245"/>
    </row>
    <row r="256" spans="3:10" ht="12.75" customHeight="1" x14ac:dyDescent="0.25">
      <c r="C256" s="283" t="s">
        <v>529</v>
      </c>
      <c r="G256" s="246"/>
      <c r="J256" s="245"/>
    </row>
    <row r="257" spans="3:10" ht="12.75" customHeight="1" x14ac:dyDescent="0.25">
      <c r="C257" s="283" t="s">
        <v>528</v>
      </c>
      <c r="G257" s="246"/>
      <c r="J257" s="245"/>
    </row>
    <row r="258" spans="3:10" ht="12.75" customHeight="1" x14ac:dyDescent="0.25">
      <c r="C258" s="283" t="s">
        <v>530</v>
      </c>
      <c r="G258" s="246"/>
      <c r="J258" s="245"/>
    </row>
    <row r="259" spans="3:10" ht="12.75" customHeight="1" x14ac:dyDescent="0.25">
      <c r="C259" s="283" t="s">
        <v>554</v>
      </c>
      <c r="G259" s="246"/>
      <c r="J259" s="245"/>
    </row>
    <row r="260" spans="3:10" ht="12.75" customHeight="1" x14ac:dyDescent="0.25">
      <c r="C260" s="283" t="s">
        <v>553</v>
      </c>
      <c r="G260" s="246"/>
      <c r="J260" s="245"/>
    </row>
    <row r="261" spans="3:10" ht="12.75" customHeight="1" x14ac:dyDescent="0.25">
      <c r="C261" s="283" t="s">
        <v>555</v>
      </c>
      <c r="G261" s="246"/>
      <c r="J261" s="245"/>
    </row>
    <row r="262" spans="3:10" ht="12.75" customHeight="1" x14ac:dyDescent="0.25">
      <c r="C262" s="283" t="s">
        <v>391</v>
      </c>
      <c r="G262" s="246"/>
      <c r="J262" s="245"/>
    </row>
    <row r="263" spans="3:10" ht="12.75" customHeight="1" x14ac:dyDescent="0.25">
      <c r="C263" s="283" t="s">
        <v>539</v>
      </c>
      <c r="G263" s="246"/>
      <c r="J263" s="245"/>
    </row>
    <row r="264" spans="3:10" ht="12.75" customHeight="1" x14ac:dyDescent="0.25">
      <c r="C264" s="283" t="s">
        <v>538</v>
      </c>
      <c r="G264" s="246"/>
      <c r="J264" s="245"/>
    </row>
    <row r="265" spans="3:10" ht="12.75" customHeight="1" x14ac:dyDescent="0.25">
      <c r="C265" s="283" t="s">
        <v>541</v>
      </c>
      <c r="G265" s="246"/>
      <c r="J265" s="245"/>
    </row>
    <row r="266" spans="3:10" ht="12.75" customHeight="1" x14ac:dyDescent="0.25">
      <c r="C266" s="283" t="s">
        <v>542</v>
      </c>
      <c r="G266" s="246"/>
      <c r="J266" s="245"/>
    </row>
    <row r="267" spans="3:10" ht="12.75" customHeight="1" x14ac:dyDescent="0.25">
      <c r="C267" s="283" t="s">
        <v>540</v>
      </c>
      <c r="G267" s="246"/>
      <c r="J267" s="245"/>
    </row>
    <row r="268" spans="3:10" ht="12.75" customHeight="1" x14ac:dyDescent="0.25">
      <c r="C268" s="283" t="s">
        <v>544</v>
      </c>
      <c r="G268" s="246"/>
      <c r="J268" s="245"/>
    </row>
    <row r="269" spans="3:10" ht="12.75" customHeight="1" x14ac:dyDescent="0.25">
      <c r="C269" s="283" t="s">
        <v>543</v>
      </c>
      <c r="G269" s="246"/>
      <c r="J269" s="245"/>
    </row>
    <row r="270" spans="3:10" ht="12.75" customHeight="1" x14ac:dyDescent="0.25">
      <c r="C270" s="283" t="s">
        <v>546</v>
      </c>
      <c r="G270" s="246"/>
      <c r="J270" s="245"/>
    </row>
    <row r="271" spans="3:10" ht="12.75" customHeight="1" x14ac:dyDescent="0.25">
      <c r="C271" s="283" t="s">
        <v>547</v>
      </c>
      <c r="G271" s="246"/>
      <c r="J271" s="245"/>
    </row>
    <row r="272" spans="3:10" ht="12.75" customHeight="1" x14ac:dyDescent="0.25">
      <c r="C272" s="283" t="s">
        <v>545</v>
      </c>
      <c r="G272" s="246"/>
      <c r="J272" s="245"/>
    </row>
    <row r="273" spans="3:10" ht="12.75" customHeight="1" x14ac:dyDescent="0.25">
      <c r="C273" s="283" t="s">
        <v>392</v>
      </c>
      <c r="G273" s="246"/>
      <c r="J273" s="245"/>
    </row>
    <row r="274" spans="3:10" ht="12.75" customHeight="1" x14ac:dyDescent="0.25">
      <c r="C274" s="283" t="s">
        <v>470</v>
      </c>
      <c r="G274" s="246"/>
      <c r="J274" s="245"/>
    </row>
    <row r="275" spans="3:10" ht="12.75" customHeight="1" x14ac:dyDescent="0.25">
      <c r="C275" s="283" t="s">
        <v>230</v>
      </c>
      <c r="G275" s="246"/>
      <c r="J275" s="245"/>
    </row>
    <row r="276" spans="3:10" ht="12.75" customHeight="1" x14ac:dyDescent="0.25">
      <c r="C276" s="283" t="s">
        <v>469</v>
      </c>
      <c r="G276" s="246"/>
      <c r="J276" s="245"/>
    </row>
    <row r="277" spans="3:10" ht="12.75" customHeight="1" x14ac:dyDescent="0.25">
      <c r="C277" s="283" t="s">
        <v>468</v>
      </c>
      <c r="G277" s="246"/>
      <c r="J277" s="245"/>
    </row>
    <row r="278" spans="3:10" ht="12.75" customHeight="1" x14ac:dyDescent="0.25">
      <c r="C278" s="283" t="s">
        <v>208</v>
      </c>
      <c r="G278" s="246"/>
      <c r="J278" s="245"/>
    </row>
    <row r="279" spans="3:10" ht="12.75" customHeight="1" x14ac:dyDescent="0.25">
      <c r="C279" s="283" t="s">
        <v>479</v>
      </c>
      <c r="G279" s="246"/>
      <c r="J279" s="245"/>
    </row>
    <row r="280" spans="3:10" ht="12.75" customHeight="1" x14ac:dyDescent="0.25">
      <c r="C280" s="283" t="s">
        <v>599</v>
      </c>
      <c r="G280" s="246"/>
      <c r="J280" s="245"/>
    </row>
    <row r="281" spans="3:10" ht="12.75" customHeight="1" x14ac:dyDescent="0.25">
      <c r="C281" s="283" t="s">
        <v>598</v>
      </c>
      <c r="G281" s="246"/>
      <c r="J281" s="245"/>
    </row>
    <row r="282" spans="3:10" ht="12.75" customHeight="1" x14ac:dyDescent="0.25">
      <c r="C282" s="283" t="s">
        <v>601</v>
      </c>
      <c r="G282" s="246"/>
      <c r="J282" s="245"/>
    </row>
    <row r="283" spans="3:10" ht="12.75" customHeight="1" x14ac:dyDescent="0.25">
      <c r="C283" s="283" t="s">
        <v>600</v>
      </c>
      <c r="G283" s="246"/>
      <c r="J283" s="245"/>
    </row>
    <row r="284" spans="3:10" ht="12.75" customHeight="1" x14ac:dyDescent="0.25">
      <c r="C284" s="283" t="s">
        <v>594</v>
      </c>
      <c r="G284" s="246"/>
      <c r="J284" s="245"/>
    </row>
    <row r="285" spans="3:10" ht="12.75" customHeight="1" x14ac:dyDescent="0.25">
      <c r="C285" s="283" t="s">
        <v>593</v>
      </c>
      <c r="G285" s="246"/>
      <c r="J285" s="245"/>
    </row>
    <row r="286" spans="3:10" ht="12.75" customHeight="1" x14ac:dyDescent="0.25">
      <c r="C286" s="283" t="s">
        <v>597</v>
      </c>
      <c r="G286" s="246"/>
      <c r="J286" s="245"/>
    </row>
    <row r="287" spans="3:10" ht="12.75" customHeight="1" x14ac:dyDescent="0.25">
      <c r="C287" s="283" t="s">
        <v>596</v>
      </c>
      <c r="G287" s="246"/>
      <c r="J287" s="245"/>
    </row>
    <row r="288" spans="3:10" ht="12.75" customHeight="1" x14ac:dyDescent="0.25">
      <c r="C288" s="283" t="s">
        <v>595</v>
      </c>
      <c r="G288" s="246"/>
      <c r="J288" s="245"/>
    </row>
    <row r="289" spans="3:10" ht="12.75" customHeight="1" x14ac:dyDescent="0.25">
      <c r="C289" s="283" t="s">
        <v>485</v>
      </c>
      <c r="G289" s="246"/>
      <c r="J289" s="245"/>
    </row>
    <row r="290" spans="3:10" ht="12.75" customHeight="1" x14ac:dyDescent="0.25">
      <c r="C290" s="283" t="s">
        <v>483</v>
      </c>
      <c r="G290" s="246"/>
      <c r="J290" s="245"/>
    </row>
    <row r="291" spans="3:10" ht="12.75" customHeight="1" x14ac:dyDescent="0.25">
      <c r="C291" s="283" t="s">
        <v>484</v>
      </c>
      <c r="G291" s="246"/>
      <c r="J291" s="245"/>
    </row>
    <row r="292" spans="3:10" ht="12.75" customHeight="1" x14ac:dyDescent="0.25">
      <c r="C292" s="283" t="s">
        <v>602</v>
      </c>
      <c r="G292" s="246"/>
      <c r="J292" s="245"/>
    </row>
    <row r="293" spans="3:10" ht="12.75" customHeight="1" x14ac:dyDescent="0.25">
      <c r="C293" s="283" t="s">
        <v>155</v>
      </c>
      <c r="G293" s="246"/>
      <c r="J293" s="245"/>
    </row>
    <row r="294" spans="3:10" ht="12.75" customHeight="1" x14ac:dyDescent="0.25">
      <c r="C294" s="283" t="s">
        <v>147</v>
      </c>
      <c r="G294" s="246"/>
      <c r="J294" s="245"/>
    </row>
    <row r="295" spans="3:10" ht="12.75" customHeight="1" x14ac:dyDescent="0.25">
      <c r="C295" s="283" t="s">
        <v>398</v>
      </c>
      <c r="G295" s="246"/>
      <c r="J295" s="245"/>
    </row>
    <row r="296" spans="3:10" ht="12.75" customHeight="1" x14ac:dyDescent="0.25">
      <c r="C296" s="283" t="s">
        <v>397</v>
      </c>
      <c r="G296" s="246"/>
      <c r="J296" s="245"/>
    </row>
    <row r="297" spans="3:10" ht="12.75" customHeight="1" x14ac:dyDescent="0.25">
      <c r="C297" s="283" t="s">
        <v>393</v>
      </c>
      <c r="G297" s="246"/>
      <c r="J297" s="245"/>
    </row>
    <row r="298" spans="3:10" ht="12.75" customHeight="1" x14ac:dyDescent="0.25">
      <c r="C298" s="283" t="s">
        <v>395</v>
      </c>
      <c r="G298" s="246"/>
      <c r="J298" s="245"/>
    </row>
    <row r="299" spans="3:10" ht="12.75" customHeight="1" x14ac:dyDescent="0.25">
      <c r="C299" s="283" t="s">
        <v>394</v>
      </c>
      <c r="G299" s="246"/>
      <c r="J299" s="245"/>
    </row>
    <row r="300" spans="3:10" ht="12.75" customHeight="1" x14ac:dyDescent="0.25">
      <c r="C300" s="283" t="s">
        <v>396</v>
      </c>
      <c r="G300" s="246"/>
      <c r="J300" s="245"/>
    </row>
    <row r="301" spans="3:10" ht="12.75" customHeight="1" x14ac:dyDescent="0.25">
      <c r="C301" s="283" t="s">
        <v>491</v>
      </c>
      <c r="G301" s="246"/>
      <c r="J301" s="245"/>
    </row>
    <row r="302" spans="3:10" ht="12.75" customHeight="1" x14ac:dyDescent="0.25">
      <c r="C302" s="283" t="s">
        <v>212</v>
      </c>
      <c r="G302" s="246"/>
      <c r="J302" s="245"/>
    </row>
    <row r="303" spans="3:10" ht="12.75" customHeight="1" x14ac:dyDescent="0.25">
      <c r="C303" s="283" t="s">
        <v>227</v>
      </c>
      <c r="G303" s="246"/>
      <c r="J303" s="245"/>
    </row>
    <row r="304" spans="3:10" ht="12.75" customHeight="1" x14ac:dyDescent="0.25">
      <c r="C304" s="283" t="s">
        <v>399</v>
      </c>
      <c r="G304" s="246"/>
      <c r="J304" s="245"/>
    </row>
    <row r="305" spans="3:10" ht="12.75" customHeight="1" x14ac:dyDescent="0.25">
      <c r="C305" s="283" t="s">
        <v>400</v>
      </c>
      <c r="G305" s="246"/>
      <c r="J305" s="245"/>
    </row>
    <row r="306" spans="3:10" ht="12.75" customHeight="1" x14ac:dyDescent="0.25">
      <c r="C306" s="283" t="s">
        <v>488</v>
      </c>
      <c r="G306" s="246"/>
      <c r="J306" s="245"/>
    </row>
    <row r="307" spans="3:10" ht="12.75" customHeight="1" x14ac:dyDescent="0.25">
      <c r="C307" s="283" t="s">
        <v>489</v>
      </c>
      <c r="G307" s="246"/>
      <c r="J307" s="245"/>
    </row>
    <row r="308" spans="3:10" ht="12.75" customHeight="1" x14ac:dyDescent="0.25">
      <c r="C308" s="283" t="s">
        <v>154</v>
      </c>
      <c r="G308" s="246"/>
      <c r="J308" s="245"/>
    </row>
    <row r="309" spans="3:10" ht="12.75" customHeight="1" x14ac:dyDescent="0.25">
      <c r="C309" s="282" t="s">
        <v>165</v>
      </c>
      <c r="G309" s="246"/>
      <c r="J309" s="245"/>
    </row>
    <row r="310" spans="3:10" ht="12.75" customHeight="1" x14ac:dyDescent="0.25">
      <c r="C310" s="283" t="s">
        <v>222</v>
      </c>
      <c r="G310" s="246"/>
      <c r="J310" s="245"/>
    </row>
    <row r="311" spans="3:10" ht="12.75" customHeight="1" x14ac:dyDescent="0.25">
      <c r="C311" s="283" t="s">
        <v>224</v>
      </c>
      <c r="G311" s="246"/>
      <c r="J311" s="245"/>
    </row>
    <row r="312" spans="3:10" ht="12.75" customHeight="1" x14ac:dyDescent="0.25">
      <c r="C312" s="283" t="s">
        <v>492</v>
      </c>
      <c r="G312" s="246"/>
      <c r="J312" s="245"/>
    </row>
    <row r="313" spans="3:10" ht="12.75" customHeight="1" x14ac:dyDescent="0.25">
      <c r="C313" s="283" t="s">
        <v>215</v>
      </c>
      <c r="G313" s="246"/>
      <c r="J313" s="245"/>
    </row>
    <row r="314" spans="3:10" ht="12.75" customHeight="1" x14ac:dyDescent="0.25">
      <c r="C314" s="283" t="s">
        <v>221</v>
      </c>
      <c r="G314" s="246"/>
      <c r="J314" s="245"/>
    </row>
    <row r="315" spans="3:10" ht="12.75" customHeight="1" x14ac:dyDescent="0.25">
      <c r="C315" s="283" t="s">
        <v>225</v>
      </c>
      <c r="G315" s="246"/>
      <c r="J315" s="245"/>
    </row>
    <row r="316" spans="3:10" ht="12.75" customHeight="1" x14ac:dyDescent="0.25">
      <c r="C316" s="283" t="s">
        <v>218</v>
      </c>
      <c r="G316" s="246"/>
      <c r="J316" s="245"/>
    </row>
    <row r="317" spans="3:10" ht="12.75" customHeight="1" x14ac:dyDescent="0.25">
      <c r="C317" s="283" t="s">
        <v>216</v>
      </c>
      <c r="G317" s="246"/>
      <c r="J317" s="245"/>
    </row>
    <row r="318" spans="3:10" ht="12.75" customHeight="1" x14ac:dyDescent="0.25">
      <c r="C318" s="283" t="s">
        <v>223</v>
      </c>
      <c r="G318" s="246"/>
      <c r="J318" s="245"/>
    </row>
    <row r="319" spans="3:10" ht="12.75" customHeight="1" x14ac:dyDescent="0.25">
      <c r="C319" s="283" t="s">
        <v>219</v>
      </c>
      <c r="G319" s="246"/>
      <c r="J319" s="245"/>
    </row>
    <row r="320" spans="3:10" ht="12.75" customHeight="1" x14ac:dyDescent="0.25">
      <c r="C320" s="283" t="s">
        <v>220</v>
      </c>
      <c r="G320" s="246"/>
      <c r="J320" s="245"/>
    </row>
    <row r="321" spans="3:10" ht="12.75" customHeight="1" x14ac:dyDescent="0.25">
      <c r="C321" s="283" t="s">
        <v>217</v>
      </c>
      <c r="G321" s="246"/>
      <c r="J321" s="245"/>
    </row>
    <row r="322" spans="3:10" ht="12.75" customHeight="1" x14ac:dyDescent="0.25">
      <c r="C322" s="283" t="s">
        <v>465</v>
      </c>
      <c r="G322" s="246"/>
      <c r="J322" s="245"/>
    </row>
    <row r="323" spans="3:10" ht="12.75" customHeight="1" x14ac:dyDescent="0.25">
      <c r="C323" s="283" t="s">
        <v>390</v>
      </c>
      <c r="G323" s="246"/>
      <c r="J323" s="245"/>
    </row>
    <row r="324" spans="3:10" ht="12.75" customHeight="1" x14ac:dyDescent="0.25">
      <c r="C324" s="283" t="s">
        <v>389</v>
      </c>
      <c r="G324" s="246"/>
      <c r="J324" s="245"/>
    </row>
    <row r="325" spans="3:10" ht="12.75" customHeight="1" x14ac:dyDescent="0.25">
      <c r="C325" s="283" t="s">
        <v>388</v>
      </c>
      <c r="G325" s="246"/>
      <c r="J325" s="245"/>
    </row>
    <row r="326" spans="3:10" ht="12.75" customHeight="1" x14ac:dyDescent="0.25">
      <c r="C326" s="283" t="s">
        <v>563</v>
      </c>
      <c r="G326" s="246"/>
      <c r="J326" s="245"/>
    </row>
    <row r="327" spans="3:10" ht="12.75" customHeight="1" x14ac:dyDescent="0.25">
      <c r="C327" s="283" t="s">
        <v>565</v>
      </c>
      <c r="G327" s="246"/>
      <c r="J327" s="245"/>
    </row>
    <row r="328" spans="3:10" ht="12.75" customHeight="1" x14ac:dyDescent="0.25">
      <c r="C328" s="283" t="s">
        <v>564</v>
      </c>
      <c r="G328" s="246"/>
      <c r="J328" s="245"/>
    </row>
    <row r="329" spans="3:10" ht="12.75" customHeight="1" x14ac:dyDescent="0.25">
      <c r="C329" s="283" t="s">
        <v>566</v>
      </c>
      <c r="G329" s="246"/>
      <c r="J329" s="245"/>
    </row>
    <row r="330" spans="3:10" ht="12.75" customHeight="1" x14ac:dyDescent="0.25">
      <c r="C330" s="283" t="s">
        <v>567</v>
      </c>
      <c r="G330" s="246"/>
      <c r="J330" s="245"/>
    </row>
    <row r="331" spans="3:10" ht="12.75" customHeight="1" x14ac:dyDescent="0.25">
      <c r="C331" s="283" t="s">
        <v>570</v>
      </c>
      <c r="G331" s="246"/>
      <c r="J331" s="245"/>
    </row>
    <row r="332" spans="3:10" ht="12.75" customHeight="1" x14ac:dyDescent="0.25">
      <c r="C332" s="283" t="s">
        <v>569</v>
      </c>
      <c r="G332" s="246"/>
      <c r="J332" s="245"/>
    </row>
    <row r="333" spans="3:10" ht="12.75" customHeight="1" x14ac:dyDescent="0.25">
      <c r="C333" s="283" t="s">
        <v>568</v>
      </c>
      <c r="G333" s="246"/>
      <c r="J333" s="245"/>
    </row>
    <row r="334" spans="3:10" ht="12.75" customHeight="1" x14ac:dyDescent="0.25">
      <c r="C334" s="283" t="s">
        <v>578</v>
      </c>
      <c r="G334" s="246"/>
      <c r="J334" s="245"/>
    </row>
    <row r="335" spans="3:10" ht="12.75" customHeight="1" x14ac:dyDescent="0.25">
      <c r="C335" s="283" t="s">
        <v>558</v>
      </c>
      <c r="G335" s="246"/>
      <c r="J335" s="245"/>
    </row>
    <row r="336" spans="3:10" ht="12.75" customHeight="1" x14ac:dyDescent="0.25">
      <c r="C336" s="283" t="s">
        <v>557</v>
      </c>
      <c r="G336" s="246"/>
      <c r="J336" s="245"/>
    </row>
    <row r="337" spans="3:10" ht="12.75" customHeight="1" x14ac:dyDescent="0.25">
      <c r="C337" s="283" t="s">
        <v>560</v>
      </c>
      <c r="G337" s="246"/>
      <c r="J337" s="245"/>
    </row>
    <row r="338" spans="3:10" ht="12.75" customHeight="1" x14ac:dyDescent="0.25">
      <c r="C338" s="283" t="s">
        <v>562</v>
      </c>
      <c r="G338" s="246"/>
      <c r="J338" s="245"/>
    </row>
    <row r="339" spans="3:10" ht="12.75" customHeight="1" x14ac:dyDescent="0.25">
      <c r="C339" s="283" t="s">
        <v>561</v>
      </c>
      <c r="G339" s="246"/>
      <c r="J339" s="245"/>
    </row>
    <row r="340" spans="3:10" ht="12.75" customHeight="1" x14ac:dyDescent="0.25">
      <c r="C340" s="283" t="s">
        <v>559</v>
      </c>
      <c r="G340" s="246"/>
      <c r="J340" s="245"/>
    </row>
    <row r="341" spans="3:10" ht="12.75" customHeight="1" x14ac:dyDescent="0.25">
      <c r="C341" s="283" t="s">
        <v>589</v>
      </c>
      <c r="G341" s="246"/>
      <c r="J341" s="245"/>
    </row>
    <row r="342" spans="3:10" ht="12.75" customHeight="1" x14ac:dyDescent="0.25">
      <c r="C342" s="283" t="s">
        <v>588</v>
      </c>
      <c r="G342" s="246"/>
      <c r="J342" s="245"/>
    </row>
    <row r="343" spans="3:10" ht="12.75" customHeight="1" x14ac:dyDescent="0.25">
      <c r="C343" s="283" t="s">
        <v>592</v>
      </c>
      <c r="G343" s="246"/>
      <c r="J343" s="245"/>
    </row>
    <row r="344" spans="3:10" ht="12.75" customHeight="1" x14ac:dyDescent="0.25">
      <c r="C344" s="283" t="s">
        <v>591</v>
      </c>
      <c r="G344" s="246"/>
      <c r="J344" s="245"/>
    </row>
    <row r="345" spans="3:10" ht="12.75" customHeight="1" x14ac:dyDescent="0.25">
      <c r="C345" s="283" t="s">
        <v>590</v>
      </c>
      <c r="G345" s="246"/>
      <c r="J345" s="245"/>
    </row>
    <row r="346" spans="3:10" ht="12.75" customHeight="1" x14ac:dyDescent="0.25">
      <c r="C346" s="283" t="s">
        <v>580</v>
      </c>
      <c r="G346" s="246"/>
      <c r="J346" s="245"/>
    </row>
    <row r="347" spans="3:10" ht="12.75" customHeight="1" x14ac:dyDescent="0.25">
      <c r="C347" s="283" t="s">
        <v>579</v>
      </c>
      <c r="G347" s="246"/>
      <c r="J347" s="245"/>
    </row>
    <row r="348" spans="3:10" ht="12.75" customHeight="1" x14ac:dyDescent="0.25">
      <c r="C348" s="283" t="s">
        <v>571</v>
      </c>
      <c r="G348" s="246"/>
      <c r="J348" s="245"/>
    </row>
    <row r="349" spans="3:10" ht="12.75" customHeight="1" x14ac:dyDescent="0.25">
      <c r="C349" s="283" t="s">
        <v>573</v>
      </c>
      <c r="G349" s="246"/>
      <c r="J349" s="245"/>
    </row>
    <row r="350" spans="3:10" ht="12.75" customHeight="1" x14ac:dyDescent="0.25">
      <c r="C350" s="283" t="s">
        <v>572</v>
      </c>
      <c r="G350" s="246"/>
      <c r="J350" s="245"/>
    </row>
    <row r="351" spans="3:10" ht="12.75" customHeight="1" x14ac:dyDescent="0.25">
      <c r="C351" s="283" t="s">
        <v>587</v>
      </c>
      <c r="G351" s="246"/>
      <c r="J351" s="245"/>
    </row>
    <row r="352" spans="3:10" ht="12.75" customHeight="1" x14ac:dyDescent="0.25">
      <c r="C352" s="283" t="s">
        <v>586</v>
      </c>
      <c r="G352" s="246"/>
      <c r="J352" s="245"/>
    </row>
    <row r="353" spans="3:10" ht="12.75" customHeight="1" x14ac:dyDescent="0.25">
      <c r="C353" s="283" t="s">
        <v>574</v>
      </c>
      <c r="G353" s="246"/>
      <c r="J353" s="245"/>
    </row>
    <row r="354" spans="3:10" ht="12.75" customHeight="1" x14ac:dyDescent="0.25">
      <c r="C354" s="283" t="s">
        <v>576</v>
      </c>
      <c r="G354" s="246"/>
      <c r="J354" s="245"/>
    </row>
    <row r="355" spans="3:10" ht="12.75" customHeight="1" x14ac:dyDescent="0.25">
      <c r="C355" s="283" t="s">
        <v>577</v>
      </c>
      <c r="G355" s="246"/>
      <c r="J355" s="245"/>
    </row>
    <row r="356" spans="3:10" ht="12.75" customHeight="1" x14ac:dyDescent="0.25">
      <c r="C356" s="283" t="s">
        <v>575</v>
      </c>
      <c r="G356" s="246"/>
      <c r="J356" s="245"/>
    </row>
    <row r="357" spans="3:10" ht="12.75" customHeight="1" x14ac:dyDescent="0.25">
      <c r="C357" s="283" t="s">
        <v>582</v>
      </c>
      <c r="G357" s="246"/>
      <c r="J357" s="245"/>
    </row>
    <row r="358" spans="3:10" ht="12.75" customHeight="1" x14ac:dyDescent="0.25">
      <c r="C358" s="283" t="s">
        <v>581</v>
      </c>
      <c r="G358" s="246"/>
      <c r="J358" s="245"/>
    </row>
    <row r="359" spans="3:10" ht="12.75" customHeight="1" x14ac:dyDescent="0.25">
      <c r="C359" s="283" t="s">
        <v>585</v>
      </c>
      <c r="G359" s="246"/>
      <c r="J359" s="245"/>
    </row>
    <row r="360" spans="3:10" ht="12.75" customHeight="1" x14ac:dyDescent="0.25">
      <c r="C360" s="283" t="s">
        <v>584</v>
      </c>
      <c r="G360" s="246"/>
      <c r="J360" s="245"/>
    </row>
    <row r="361" spans="3:10" ht="12.75" customHeight="1" x14ac:dyDescent="0.25">
      <c r="C361" s="283" t="s">
        <v>583</v>
      </c>
      <c r="G361" s="246"/>
      <c r="J361" s="245"/>
    </row>
    <row r="362" spans="3:10" ht="12.75" customHeight="1" x14ac:dyDescent="0.25">
      <c r="C362" s="283" t="s">
        <v>482</v>
      </c>
      <c r="G362" s="246"/>
      <c r="J362" s="245"/>
    </row>
    <row r="363" spans="3:10" ht="12.75" customHeight="1" x14ac:dyDescent="0.25">
      <c r="C363" s="283" t="s">
        <v>481</v>
      </c>
      <c r="G363" s="246"/>
      <c r="J363" s="245"/>
    </row>
    <row r="364" spans="3:10" ht="12.75" customHeight="1" x14ac:dyDescent="0.25">
      <c r="C364" s="283" t="s">
        <v>480</v>
      </c>
      <c r="G364" s="246"/>
      <c r="J364" s="245"/>
    </row>
    <row r="365" spans="3:10" ht="12.75" customHeight="1" x14ac:dyDescent="0.25">
      <c r="C365" s="283" t="s">
        <v>403</v>
      </c>
      <c r="G365" s="246"/>
      <c r="J365" s="245"/>
    </row>
    <row r="366" spans="3:10" ht="12.75" customHeight="1" x14ac:dyDescent="0.25">
      <c r="C366" s="283" t="s">
        <v>401</v>
      </c>
      <c r="G366" s="246"/>
      <c r="J366" s="245"/>
    </row>
    <row r="367" spans="3:10" ht="12.75" customHeight="1" x14ac:dyDescent="0.25">
      <c r="C367" s="283" t="s">
        <v>402</v>
      </c>
      <c r="G367" s="246"/>
      <c r="J367" s="245"/>
    </row>
    <row r="368" spans="3:10" ht="12.75" customHeight="1" x14ac:dyDescent="0.25">
      <c r="C368" s="283" t="s">
        <v>493</v>
      </c>
      <c r="G368" s="246"/>
      <c r="J368" s="245"/>
    </row>
    <row r="369" spans="3:10" ht="12.75" customHeight="1" x14ac:dyDescent="0.25">
      <c r="C369" s="283" t="s">
        <v>226</v>
      </c>
      <c r="G369" s="246"/>
      <c r="J369" s="245"/>
    </row>
    <row r="370" spans="3:10" ht="12.75" customHeight="1" x14ac:dyDescent="0.25">
      <c r="C370" s="283" t="s">
        <v>379</v>
      </c>
      <c r="G370" s="246"/>
      <c r="J370" s="245"/>
    </row>
    <row r="371" spans="3:10" ht="12.75" customHeight="1" x14ac:dyDescent="0.25">
      <c r="C371" s="283" t="s">
        <v>383</v>
      </c>
      <c r="G371" s="246"/>
      <c r="J371" s="245"/>
    </row>
    <row r="372" spans="3:10" ht="12.75" customHeight="1" x14ac:dyDescent="0.25">
      <c r="C372" s="283" t="s">
        <v>380</v>
      </c>
      <c r="G372" s="246"/>
      <c r="J372" s="245"/>
    </row>
    <row r="373" spans="3:10" ht="12.75" customHeight="1" x14ac:dyDescent="0.25">
      <c r="C373" s="283" t="s">
        <v>381</v>
      </c>
      <c r="G373" s="246"/>
      <c r="J373" s="245"/>
    </row>
    <row r="374" spans="3:10" ht="12.75" customHeight="1" x14ac:dyDescent="0.25">
      <c r="C374" s="283" t="s">
        <v>384</v>
      </c>
      <c r="G374" s="246"/>
      <c r="J374" s="245"/>
    </row>
    <row r="375" spans="3:10" ht="12.75" customHeight="1" x14ac:dyDescent="0.25">
      <c r="C375" s="283" t="s">
        <v>382</v>
      </c>
      <c r="G375" s="246"/>
      <c r="J375" s="245"/>
    </row>
    <row r="376" spans="3:10" ht="12.75" customHeight="1" x14ac:dyDescent="0.25">
      <c r="C376" s="283" t="s">
        <v>378</v>
      </c>
      <c r="G376" s="246"/>
      <c r="J376" s="245"/>
    </row>
    <row r="377" spans="3:10" ht="12.75" customHeight="1" x14ac:dyDescent="0.25">
      <c r="C377" s="283" t="s">
        <v>386</v>
      </c>
      <c r="G377" s="246"/>
      <c r="J377" s="245"/>
    </row>
    <row r="378" spans="3:10" ht="12.75" customHeight="1" x14ac:dyDescent="0.25">
      <c r="C378" s="283" t="s">
        <v>385</v>
      </c>
      <c r="G378" s="246"/>
      <c r="J378" s="245"/>
    </row>
    <row r="379" spans="3:10" ht="12.75" customHeight="1" x14ac:dyDescent="0.25">
      <c r="C379" s="283" t="s">
        <v>387</v>
      </c>
      <c r="G379" s="246"/>
      <c r="J379" s="245"/>
    </row>
    <row r="380" spans="3:10" ht="12.75" customHeight="1" x14ac:dyDescent="0.25">
      <c r="C380" s="284" t="s">
        <v>262</v>
      </c>
      <c r="G380" s="246"/>
      <c r="J380" s="245"/>
    </row>
    <row r="381" spans="3:10" ht="12.75" customHeight="1" x14ac:dyDescent="0.25">
      <c r="C381" s="285" t="s">
        <v>54</v>
      </c>
      <c r="G381" s="246"/>
      <c r="J381" s="245"/>
    </row>
    <row r="382" spans="3:10" ht="12.75" customHeight="1" x14ac:dyDescent="0.25">
      <c r="C382" s="283"/>
      <c r="G382" s="246"/>
      <c r="J382" s="245"/>
    </row>
    <row r="383" spans="3:10" ht="12.75" customHeight="1" x14ac:dyDescent="0.25">
      <c r="C383" s="283"/>
      <c r="G383" s="246"/>
      <c r="J383" s="245"/>
    </row>
    <row r="384" spans="3:10" ht="12.75" customHeight="1" x14ac:dyDescent="0.25">
      <c r="C384" s="283"/>
      <c r="G384" s="246"/>
      <c r="J384" s="245"/>
    </row>
    <row r="385" spans="3:10" ht="12.75" customHeight="1" x14ac:dyDescent="0.25">
      <c r="C385" s="283"/>
      <c r="G385" s="246"/>
      <c r="J385" s="245"/>
    </row>
    <row r="386" spans="3:10" ht="12.75" customHeight="1" x14ac:dyDescent="0.25">
      <c r="C386" s="283"/>
      <c r="G386" s="246"/>
      <c r="J386" s="245"/>
    </row>
    <row r="387" spans="3:10" ht="12.75" customHeight="1" x14ac:dyDescent="0.25">
      <c r="C387" s="283"/>
      <c r="G387" s="246"/>
      <c r="J387" s="245"/>
    </row>
    <row r="388" spans="3:10" ht="12.75" customHeight="1" x14ac:dyDescent="0.25">
      <c r="C388" s="283"/>
      <c r="G388" s="246"/>
      <c r="J388" s="245"/>
    </row>
    <row r="389" spans="3:10" ht="12.75" customHeight="1" x14ac:dyDescent="0.25">
      <c r="C389" s="283"/>
      <c r="G389" s="246"/>
      <c r="J389" s="245"/>
    </row>
    <row r="390" spans="3:10" ht="12.75" customHeight="1" x14ac:dyDescent="0.25">
      <c r="C390" s="283"/>
      <c r="G390" s="246"/>
      <c r="J390" s="245"/>
    </row>
    <row r="391" spans="3:10" ht="12.75" customHeight="1" x14ac:dyDescent="0.25">
      <c r="C391" s="283"/>
      <c r="G391" s="246"/>
      <c r="J391" s="245"/>
    </row>
    <row r="392" spans="3:10" ht="12.75" customHeight="1" x14ac:dyDescent="0.25">
      <c r="C392" s="283"/>
      <c r="G392" s="246"/>
      <c r="J392" s="245"/>
    </row>
    <row r="393" spans="3:10" ht="12.75" customHeight="1" x14ac:dyDescent="0.25">
      <c r="C393" s="283"/>
      <c r="G393" s="246"/>
      <c r="J393" s="245"/>
    </row>
    <row r="394" spans="3:10" ht="12.75" customHeight="1" x14ac:dyDescent="0.25">
      <c r="C394" s="254"/>
      <c r="G394" s="246"/>
      <c r="J394" s="245"/>
    </row>
    <row r="395" spans="3:10" ht="12.75" customHeight="1" x14ac:dyDescent="0.25">
      <c r="C395" s="254"/>
      <c r="G395" s="246"/>
      <c r="J395" s="245"/>
    </row>
    <row r="396" spans="3:10" ht="12.75" customHeight="1" x14ac:dyDescent="0.25">
      <c r="C396" s="254"/>
      <c r="G396" s="246"/>
      <c r="J396" s="245"/>
    </row>
    <row r="397" spans="3:10" ht="12.75" customHeight="1" x14ac:dyDescent="0.25">
      <c r="G397" s="246"/>
      <c r="J397" s="245"/>
    </row>
    <row r="398" spans="3:10" ht="12.75" customHeight="1" x14ac:dyDescent="0.25">
      <c r="G398" s="246"/>
      <c r="J398" s="245"/>
    </row>
    <row r="399" spans="3:10" ht="12.75" customHeight="1" x14ac:dyDescent="0.25">
      <c r="G399" s="246"/>
      <c r="J399" s="245"/>
    </row>
    <row r="400" spans="3:10" ht="12.75" customHeight="1" x14ac:dyDescent="0.25">
      <c r="G400" s="246"/>
      <c r="J400" s="245"/>
    </row>
    <row r="401" spans="7:10" ht="12.75" customHeight="1" x14ac:dyDescent="0.25">
      <c r="G401" s="246"/>
      <c r="J401" s="245"/>
    </row>
    <row r="402" spans="7:10" ht="12.75" customHeight="1" x14ac:dyDescent="0.25">
      <c r="G402" s="246"/>
      <c r="J402" s="245"/>
    </row>
    <row r="403" spans="7:10" ht="12.75" customHeight="1" x14ac:dyDescent="0.25">
      <c r="G403" s="246"/>
      <c r="J403" s="245"/>
    </row>
    <row r="404" spans="7:10" ht="12.75" customHeight="1" x14ac:dyDescent="0.25">
      <c r="G404" s="246"/>
      <c r="J404" s="245"/>
    </row>
    <row r="405" spans="7:10" ht="12.75" customHeight="1" x14ac:dyDescent="0.25">
      <c r="G405" s="246"/>
      <c r="J405" s="245"/>
    </row>
    <row r="406" spans="7:10" ht="12.75" customHeight="1" x14ac:dyDescent="0.25">
      <c r="G406" s="246"/>
      <c r="J406" s="245"/>
    </row>
    <row r="407" spans="7:10" ht="12.75" customHeight="1" x14ac:dyDescent="0.25">
      <c r="G407" s="246"/>
      <c r="J407" s="245"/>
    </row>
    <row r="408" spans="7:10" ht="12.75" customHeight="1" x14ac:dyDescent="0.25">
      <c r="G408" s="246"/>
      <c r="J408" s="245"/>
    </row>
    <row r="409" spans="7:10" ht="12.75" customHeight="1" x14ac:dyDescent="0.25">
      <c r="G409" s="246"/>
      <c r="J409" s="245"/>
    </row>
    <row r="410" spans="7:10" ht="12.75" customHeight="1" x14ac:dyDescent="0.25">
      <c r="G410" s="246"/>
      <c r="J410" s="245"/>
    </row>
    <row r="411" spans="7:10" ht="12.75" customHeight="1" x14ac:dyDescent="0.25">
      <c r="G411" s="246"/>
      <c r="J411" s="245"/>
    </row>
    <row r="412" spans="7:10" ht="12.75" customHeight="1" x14ac:dyDescent="0.25">
      <c r="G412" s="246"/>
      <c r="J412" s="245"/>
    </row>
    <row r="413" spans="7:10" ht="12.75" customHeight="1" x14ac:dyDescent="0.25">
      <c r="G413" s="246"/>
      <c r="J413" s="245"/>
    </row>
    <row r="414" spans="7:10" ht="12.75" customHeight="1" x14ac:dyDescent="0.25">
      <c r="G414" s="246"/>
      <c r="J414" s="245"/>
    </row>
    <row r="415" spans="7:10" ht="12.75" customHeight="1" x14ac:dyDescent="0.25">
      <c r="G415" s="246"/>
      <c r="J415" s="245"/>
    </row>
    <row r="416" spans="7:10" ht="12.75" customHeight="1" x14ac:dyDescent="0.25">
      <c r="G416" s="246"/>
      <c r="J416" s="245"/>
    </row>
    <row r="417" spans="7:10" ht="12.75" customHeight="1" x14ac:dyDescent="0.25">
      <c r="G417" s="246"/>
      <c r="J417" s="245"/>
    </row>
    <row r="418" spans="7:10" ht="12.75" customHeight="1" x14ac:dyDescent="0.25">
      <c r="G418" s="246"/>
      <c r="J418" s="245"/>
    </row>
    <row r="419" spans="7:10" ht="12.75" customHeight="1" x14ac:dyDescent="0.25">
      <c r="G419" s="246"/>
      <c r="J419" s="245"/>
    </row>
    <row r="420" spans="7:10" ht="12.75" customHeight="1" x14ac:dyDescent="0.25">
      <c r="G420" s="246"/>
      <c r="J420" s="245"/>
    </row>
    <row r="421" spans="7:10" ht="12.75" customHeight="1" x14ac:dyDescent="0.25">
      <c r="G421" s="246"/>
      <c r="J421" s="245"/>
    </row>
    <row r="422" spans="7:10" ht="12.75" customHeight="1" x14ac:dyDescent="0.25">
      <c r="G422" s="246"/>
      <c r="J422" s="245"/>
    </row>
    <row r="423" spans="7:10" ht="12.75" customHeight="1" x14ac:dyDescent="0.25">
      <c r="G423" s="246"/>
      <c r="J423" s="245"/>
    </row>
    <row r="424" spans="7:10" ht="12.75" customHeight="1" x14ac:dyDescent="0.25">
      <c r="G424" s="246"/>
      <c r="J424" s="245"/>
    </row>
    <row r="425" spans="7:10" ht="12.75" customHeight="1" x14ac:dyDescent="0.25">
      <c r="G425" s="246"/>
      <c r="J425" s="245"/>
    </row>
    <row r="426" spans="7:10" ht="12.75" customHeight="1" x14ac:dyDescent="0.25">
      <c r="G426" s="246"/>
      <c r="J426" s="245"/>
    </row>
    <row r="427" spans="7:10" ht="12.75" customHeight="1" x14ac:dyDescent="0.25">
      <c r="G427" s="246"/>
      <c r="J427" s="245"/>
    </row>
    <row r="428" spans="7:10" ht="12.75" customHeight="1" x14ac:dyDescent="0.25">
      <c r="G428" s="246"/>
      <c r="J428" s="245"/>
    </row>
    <row r="429" spans="7:10" ht="12.75" customHeight="1" x14ac:dyDescent="0.25">
      <c r="G429" s="246"/>
      <c r="J429" s="245"/>
    </row>
    <row r="430" spans="7:10" ht="12.75" customHeight="1" x14ac:dyDescent="0.25">
      <c r="G430" s="246"/>
      <c r="J430" s="245"/>
    </row>
    <row r="431" spans="7:10" ht="12.75" customHeight="1" x14ac:dyDescent="0.25">
      <c r="G431" s="246"/>
      <c r="J431" s="245"/>
    </row>
    <row r="432" spans="7:10" ht="12.75" customHeight="1" x14ac:dyDescent="0.25">
      <c r="G432" s="246"/>
      <c r="J432" s="245"/>
    </row>
    <row r="433" spans="7:10" ht="12.75" customHeight="1" x14ac:dyDescent="0.25">
      <c r="G433" s="246"/>
      <c r="J433" s="245"/>
    </row>
    <row r="434" spans="7:10" ht="12.75" customHeight="1" x14ac:dyDescent="0.25">
      <c r="G434" s="246"/>
      <c r="J434" s="245"/>
    </row>
    <row r="435" spans="7:10" ht="12.75" customHeight="1" x14ac:dyDescent="0.25">
      <c r="G435" s="246"/>
      <c r="J435" s="245"/>
    </row>
    <row r="436" spans="7:10" ht="12.75" customHeight="1" x14ac:dyDescent="0.25">
      <c r="G436" s="246"/>
      <c r="J436" s="245"/>
    </row>
    <row r="437" spans="7:10" ht="12.75" customHeight="1" x14ac:dyDescent="0.25">
      <c r="G437" s="246"/>
      <c r="J437" s="245"/>
    </row>
    <row r="438" spans="7:10" ht="12.75" customHeight="1" x14ac:dyDescent="0.25">
      <c r="G438" s="246"/>
      <c r="J438" s="245"/>
    </row>
    <row r="439" spans="7:10" ht="12.75" customHeight="1" x14ac:dyDescent="0.25">
      <c r="G439" s="246"/>
      <c r="J439" s="245"/>
    </row>
    <row r="440" spans="7:10" ht="12.75" customHeight="1" x14ac:dyDescent="0.25">
      <c r="G440" s="246"/>
      <c r="J440" s="245"/>
    </row>
    <row r="441" spans="7:10" ht="12.75" customHeight="1" x14ac:dyDescent="0.25">
      <c r="G441" s="246"/>
      <c r="J441" s="245"/>
    </row>
    <row r="442" spans="7:10" ht="12.75" customHeight="1" x14ac:dyDescent="0.25">
      <c r="G442" s="246"/>
      <c r="J442" s="245"/>
    </row>
    <row r="443" spans="7:10" ht="12.75" customHeight="1" x14ac:dyDescent="0.25">
      <c r="G443" s="246"/>
      <c r="J443" s="245"/>
    </row>
  </sheetData>
  <phoneticPr fontId="18" type="noConversion"/>
  <dataValidations disablePrompts="1" count="4">
    <dataValidation type="list" allowBlank="1" showInputMessage="1" sqref="F18:F21 F34:F37 F10:F13 F26:F29" xr:uid="{00000000-0002-0000-0E00-000000000000}">
      <formula1>$C$135:$C$381</formula1>
    </dataValidation>
    <dataValidation type="list" allowBlank="1" showInputMessage="1" sqref="E18:E21 E34:E37 E10:E13 E26:E29" xr:uid="{00000000-0002-0000-0E00-000001000000}">
      <formula1>$B$135:$B$240</formula1>
    </dataValidation>
    <dataValidation type="list" allowBlank="1" showInputMessage="1" sqref="D18:D21 D34:D37 D10:D13 D26:D29" xr:uid="{00000000-0002-0000-0E00-000002000000}">
      <formula1>$A$135:$A$167</formula1>
    </dataValidation>
    <dataValidation type="list" allowBlank="1" showInputMessage="1" showErrorMessage="1" sqref="D17" xr:uid="{00000000-0002-0000-0E00-000003000000}">
      <formula1>#REF!</formula1>
    </dataValidation>
  </dataValidations>
  <pageMargins left="0.2" right="0.2" top="1" bottom="1" header="0.5" footer="0.5"/>
  <pageSetup scale="52" orientation="landscape" horizontalDpi="4294967292"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AM421"/>
  <sheetViews>
    <sheetView zoomScale="80" workbookViewId="0">
      <pane xSplit="5" ySplit="9" topLeftCell="S10" activePane="bottomRight" state="frozen"/>
      <selection pane="topRight" activeCell="F1" sqref="F1"/>
      <selection pane="bottomLeft" activeCell="A10" sqref="A10"/>
      <selection pane="bottomRight" activeCell="S13" sqref="S13:AG13"/>
    </sheetView>
  </sheetViews>
  <sheetFormatPr defaultColWidth="9.109375" defaultRowHeight="12.75" customHeight="1" x14ac:dyDescent="0.25"/>
  <cols>
    <col min="1" max="1" width="7" style="245" customWidth="1"/>
    <col min="2" max="2" width="3.88671875" style="245" customWidth="1"/>
    <col min="3" max="3" width="20.5546875" style="245" customWidth="1"/>
    <col min="4" max="4" width="4.109375" style="245" customWidth="1"/>
    <col min="5" max="5" width="8.44140625" style="245" bestFit="1" customWidth="1"/>
    <col min="6" max="8" width="10.44140625" style="246" customWidth="1"/>
    <col min="9" max="14" width="10.44140625" style="245" customWidth="1"/>
    <col min="15" max="16" width="9.33203125" style="245" bestFit="1" customWidth="1"/>
    <col min="17" max="17" width="10.33203125" style="245" customWidth="1"/>
    <col min="18" max="18" width="13.6640625" style="245" bestFit="1" customWidth="1"/>
    <col min="19" max="22" width="13" style="245" bestFit="1" customWidth="1"/>
    <col min="23" max="23" width="13.44140625" style="245" bestFit="1" customWidth="1"/>
    <col min="24" max="24" width="14.109375" style="245" bestFit="1" customWidth="1"/>
    <col min="25" max="33" width="14.109375" style="245" customWidth="1"/>
    <col min="34" max="34" width="2.109375" style="245" customWidth="1"/>
    <col min="35" max="35" width="43.88671875" style="245" customWidth="1"/>
    <col min="36" max="36" width="3.33203125" style="245" customWidth="1"/>
    <col min="37" max="37" width="55" style="247" customWidth="1"/>
    <col min="38" max="39" width="9.109375" style="247"/>
    <col min="40" max="16384" width="9.109375" style="245"/>
  </cols>
  <sheetData>
    <row r="1" spans="1:39" ht="16.5" customHeight="1" x14ac:dyDescent="0.3">
      <c r="A1" s="244" t="s">
        <v>974</v>
      </c>
    </row>
    <row r="2" spans="1:39" ht="16.5" customHeight="1" x14ac:dyDescent="0.3">
      <c r="A2" s="244" t="s">
        <v>261</v>
      </c>
      <c r="AI2" s="247"/>
      <c r="AJ2" s="247"/>
    </row>
    <row r="3" spans="1:39" ht="12.75" customHeight="1" x14ac:dyDescent="0.25">
      <c r="A3" s="249"/>
      <c r="AI3" s="250"/>
      <c r="AJ3" s="250"/>
    </row>
    <row r="4" spans="1:39" ht="12.75" customHeight="1" x14ac:dyDescent="0.3">
      <c r="A4" s="244"/>
      <c r="AI4" s="250"/>
      <c r="AJ4" s="250"/>
    </row>
    <row r="5" spans="1:39" ht="12.75" customHeight="1" x14ac:dyDescent="0.3">
      <c r="A5" s="244"/>
      <c r="G5" s="252"/>
      <c r="AI5" s="251"/>
      <c r="AJ5" s="251"/>
      <c r="AK5" s="253"/>
    </row>
    <row r="6" spans="1:39" ht="12.75" customHeight="1" x14ac:dyDescent="0.3">
      <c r="A6" s="244"/>
      <c r="G6" s="252"/>
      <c r="AI6" s="251"/>
      <c r="AJ6" s="251"/>
      <c r="AK6" s="253"/>
    </row>
    <row r="7" spans="1:39" ht="12.75" customHeight="1" x14ac:dyDescent="0.3">
      <c r="A7" s="244"/>
      <c r="G7" s="252" t="s">
        <v>701</v>
      </c>
      <c r="AI7" s="254"/>
      <c r="AJ7" s="254"/>
      <c r="AK7" s="253"/>
    </row>
    <row r="8" spans="1:39" ht="12.75" customHeight="1" thickBot="1" x14ac:dyDescent="0.3">
      <c r="A8" s="255"/>
      <c r="B8" s="256"/>
      <c r="C8" s="256"/>
      <c r="D8" s="256"/>
      <c r="E8" s="259"/>
      <c r="F8" s="259" t="s">
        <v>685</v>
      </c>
      <c r="G8" s="259" t="s">
        <v>686</v>
      </c>
      <c r="H8" s="259" t="s">
        <v>687</v>
      </c>
      <c r="I8" s="259" t="s">
        <v>711</v>
      </c>
      <c r="J8" s="259" t="s">
        <v>719</v>
      </c>
      <c r="K8" s="259" t="s">
        <v>444</v>
      </c>
      <c r="L8" s="259" t="s">
        <v>445</v>
      </c>
      <c r="M8" s="259" t="s">
        <v>722</v>
      </c>
      <c r="N8" s="259" t="s">
        <v>770</v>
      </c>
      <c r="O8" s="259" t="s">
        <v>790</v>
      </c>
      <c r="P8" s="259" t="s">
        <v>803</v>
      </c>
      <c r="Q8" s="259" t="s">
        <v>804</v>
      </c>
      <c r="R8" s="259" t="s">
        <v>946</v>
      </c>
      <c r="S8" s="259" t="s">
        <v>948</v>
      </c>
      <c r="T8" s="259" t="s">
        <v>949</v>
      </c>
      <c r="U8" s="259" t="s">
        <v>965</v>
      </c>
      <c r="V8" s="259" t="s">
        <v>966</v>
      </c>
      <c r="W8" s="259" t="s">
        <v>967</v>
      </c>
      <c r="X8" s="259" t="s">
        <v>968</v>
      </c>
      <c r="Y8" s="259" t="s">
        <v>979</v>
      </c>
      <c r="Z8" s="259" t="s">
        <v>980</v>
      </c>
      <c r="AA8" s="259" t="s">
        <v>981</v>
      </c>
      <c r="AB8" s="259" t="s">
        <v>982</v>
      </c>
      <c r="AC8" s="259" t="s">
        <v>983</v>
      </c>
      <c r="AD8" s="259" t="s">
        <v>984</v>
      </c>
      <c r="AE8" s="259" t="s">
        <v>2511</v>
      </c>
      <c r="AF8" s="259" t="s">
        <v>2512</v>
      </c>
      <c r="AG8" s="259" t="s">
        <v>2513</v>
      </c>
      <c r="AI8" s="258" t="s">
        <v>0</v>
      </c>
      <c r="AJ8" s="275"/>
      <c r="AK8" s="253" t="s">
        <v>263</v>
      </c>
    </row>
    <row r="9" spans="1:39" s="249" customFormat="1" ht="12.75" customHeight="1" x14ac:dyDescent="0.25">
      <c r="B9" s="288" t="s">
        <v>129</v>
      </c>
      <c r="C9" s="288"/>
      <c r="D9" s="288"/>
      <c r="F9" s="289"/>
      <c r="G9" s="289"/>
      <c r="H9" s="289"/>
      <c r="AI9" s="288"/>
      <c r="AJ9" s="288"/>
      <c r="AK9" s="292"/>
      <c r="AL9" s="248"/>
      <c r="AM9" s="248"/>
    </row>
    <row r="10" spans="1:39" s="249" customFormat="1" ht="12.75" customHeight="1" x14ac:dyDescent="0.25">
      <c r="B10" s="288"/>
      <c r="C10" s="286" t="s">
        <v>283</v>
      </c>
      <c r="D10" s="286"/>
      <c r="F10" s="263">
        <f>+'REV Worksheet'!H42</f>
        <v>0</v>
      </c>
      <c r="G10" s="263">
        <f>+'REV Worksheet'!I42</f>
        <v>0</v>
      </c>
      <c r="H10" s="263">
        <f>+'REV Worksheet'!J42</f>
        <v>0</v>
      </c>
      <c r="I10" s="263">
        <f>+'REV Worksheet'!K42</f>
        <v>0</v>
      </c>
      <c r="J10" s="263">
        <f>+'REV Worksheet'!L42</f>
        <v>0</v>
      </c>
      <c r="K10" s="263">
        <f>+'REV Worksheet'!M42</f>
        <v>0</v>
      </c>
      <c r="L10" s="263">
        <f>+'REV Worksheet'!N42</f>
        <v>0</v>
      </c>
      <c r="M10" s="263">
        <f>+'REV Worksheet'!O42</f>
        <v>0</v>
      </c>
      <c r="N10" s="263">
        <f>+'REV Worksheet'!P42</f>
        <v>0</v>
      </c>
      <c r="O10" s="263">
        <f>+'REV Worksheet'!Q42</f>
        <v>0</v>
      </c>
      <c r="P10" s="263">
        <f>+'REV Worksheet'!R42</f>
        <v>0</v>
      </c>
      <c r="Q10" s="263">
        <f>+'REV Worksheet'!S42</f>
        <v>0</v>
      </c>
      <c r="R10" s="263">
        <f>+'REV Worksheet'!T42</f>
        <v>0</v>
      </c>
      <c r="S10" s="263">
        <f>+'REV Worksheet'!U42</f>
        <v>16667.203805107201</v>
      </c>
      <c r="T10" s="263">
        <f>+'REV Worksheet'!V42</f>
        <v>38568.729451259293</v>
      </c>
      <c r="U10" s="263">
        <f>+'REV Worksheet'!W42</f>
        <v>73523.96947665418</v>
      </c>
      <c r="V10" s="263">
        <f>+'REV Worksheet'!X42</f>
        <v>110318.99500952553</v>
      </c>
      <c r="W10" s="263">
        <f>+'REV Worksheet'!Y42</f>
        <v>137341.0538147593</v>
      </c>
      <c r="X10" s="263">
        <f>+'REV Worksheet'!Z42</f>
        <v>152865.10012769504</v>
      </c>
      <c r="Y10" s="263">
        <f>+'REV Worksheet'!AA42</f>
        <v>165744.56703901544</v>
      </c>
      <c r="Z10" s="263">
        <f>+'REV Worksheet'!AB42</f>
        <v>190189.87253450209</v>
      </c>
      <c r="AA10" s="263">
        <f>+'REV Worksheet'!AC42</f>
        <v>198826.88370596603</v>
      </c>
      <c r="AB10" s="263">
        <f>+'REV Worksheet'!AD42</f>
        <v>239308.0372285007</v>
      </c>
      <c r="AC10" s="263">
        <f>+'REV Worksheet'!AE42</f>
        <v>268535.02227712964</v>
      </c>
      <c r="AD10" s="263">
        <f>+'REV Worksheet'!AF42</f>
        <v>308703.14307628642</v>
      </c>
      <c r="AE10" s="263">
        <f>+'REV Worksheet'!AG42</f>
        <v>269220.0110768294</v>
      </c>
      <c r="AF10" s="263">
        <f>+'REV Worksheet'!AH42</f>
        <v>260874.19073344767</v>
      </c>
      <c r="AG10" s="263">
        <f>+'REV Worksheet'!AI42</f>
        <v>252787.09082071082</v>
      </c>
      <c r="AI10" s="239"/>
      <c r="AJ10" s="288"/>
      <c r="AK10" s="304" t="s">
        <v>295</v>
      </c>
      <c r="AL10" s="248"/>
      <c r="AM10" s="248"/>
    </row>
    <row r="11" spans="1:39" ht="12.75" customHeight="1" x14ac:dyDescent="0.25">
      <c r="A11" s="249"/>
      <c r="B11" s="260"/>
      <c r="C11" s="260" t="s">
        <v>284</v>
      </c>
      <c r="D11" s="260"/>
      <c r="E11" s="303" t="s">
        <v>970</v>
      </c>
      <c r="F11" s="299"/>
      <c r="G11" s="299"/>
      <c r="H11" s="299"/>
      <c r="I11" s="299"/>
      <c r="J11" s="299"/>
      <c r="K11" s="299"/>
      <c r="L11" s="299"/>
      <c r="M11" s="299">
        <v>0</v>
      </c>
      <c r="N11" s="299">
        <v>0</v>
      </c>
      <c r="O11" s="299">
        <v>0</v>
      </c>
      <c r="P11" s="299">
        <v>0</v>
      </c>
      <c r="Q11" s="299">
        <v>0</v>
      </c>
      <c r="R11" s="299">
        <f>Assumptions!O88/1000</f>
        <v>0</v>
      </c>
      <c r="S11" s="299">
        <f>Assumptions!P88/1000</f>
        <v>3243.3477674803203</v>
      </c>
      <c r="T11" s="299">
        <f>Assumptions!Q88/1000</f>
        <v>7842.0196187582542</v>
      </c>
      <c r="U11" s="299">
        <f>Assumptions!R88/1000</f>
        <v>15015.986626925038</v>
      </c>
      <c r="V11" s="299">
        <f>Assumptions!S88/1000</f>
        <v>22627.583921152684</v>
      </c>
      <c r="W11" s="299">
        <f>Assumptions!T88/1000</f>
        <v>28460.837919153597</v>
      </c>
      <c r="X11" s="299">
        <f>Assumptions!U88/1000</f>
        <v>31842.194350832855</v>
      </c>
      <c r="Y11" s="299">
        <f>Assumptions!V88/1000</f>
        <v>36445.1296345101</v>
      </c>
      <c r="Z11" s="299">
        <f>Assumptions!W88/1000</f>
        <v>40908.695474003558</v>
      </c>
      <c r="AA11" s="299">
        <f>Assumptions!X88/1000</f>
        <v>45017.331083438345</v>
      </c>
      <c r="AB11" s="299">
        <f>Assumptions!Y88/1000</f>
        <v>50014.947408024353</v>
      </c>
      <c r="AC11" s="299">
        <f>Assumptions!Z88/1000</f>
        <v>59197.222708512636</v>
      </c>
      <c r="AD11" s="299">
        <f>Assumptions!AA88/1000</f>
        <v>68306.918895321462</v>
      </c>
      <c r="AE11" s="299">
        <f>Assumptions!AB88/1000</f>
        <v>62705.751545905106</v>
      </c>
      <c r="AF11" s="299">
        <f>Assumptions!AC88/1000</f>
        <v>63959.866576823202</v>
      </c>
      <c r="AG11" s="299">
        <f>Assumptions!AD88/1000</f>
        <v>65239.063908359676</v>
      </c>
      <c r="AH11" s="1025">
        <f t="shared" ref="AH11" si="0">20%*AH10</f>
        <v>0</v>
      </c>
      <c r="AI11" s="1010" t="s">
        <v>971</v>
      </c>
      <c r="AJ11" s="260"/>
      <c r="AK11" s="241" t="s">
        <v>296</v>
      </c>
    </row>
    <row r="12" spans="1:39" ht="12.75" customHeight="1" x14ac:dyDescent="0.25">
      <c r="A12" s="249"/>
      <c r="B12" s="260"/>
      <c r="C12" s="260" t="s">
        <v>288</v>
      </c>
      <c r="D12" s="260" t="s">
        <v>289</v>
      </c>
      <c r="E12" s="303">
        <v>0.1</v>
      </c>
      <c r="F12" s="302">
        <f t="shared" ref="F12:W12" si="1">$E12*F10</f>
        <v>0</v>
      </c>
      <c r="G12" s="302">
        <f t="shared" si="1"/>
        <v>0</v>
      </c>
      <c r="H12" s="302">
        <f t="shared" si="1"/>
        <v>0</v>
      </c>
      <c r="I12" s="302">
        <f t="shared" si="1"/>
        <v>0</v>
      </c>
      <c r="J12" s="302">
        <f t="shared" si="1"/>
        <v>0</v>
      </c>
      <c r="K12" s="302">
        <f t="shared" si="1"/>
        <v>0</v>
      </c>
      <c r="L12" s="302">
        <f t="shared" si="1"/>
        <v>0</v>
      </c>
      <c r="M12" s="302">
        <f t="shared" si="1"/>
        <v>0</v>
      </c>
      <c r="N12" s="302">
        <f t="shared" si="1"/>
        <v>0</v>
      </c>
      <c r="O12" s="302">
        <f t="shared" si="1"/>
        <v>0</v>
      </c>
      <c r="P12" s="302">
        <f t="shared" si="1"/>
        <v>0</v>
      </c>
      <c r="Q12" s="302">
        <f t="shared" si="1"/>
        <v>0</v>
      </c>
      <c r="R12" s="1023">
        <f t="shared" si="1"/>
        <v>0</v>
      </c>
      <c r="S12" s="1023">
        <f t="shared" si="1"/>
        <v>1666.7203805107201</v>
      </c>
      <c r="T12" s="1023">
        <f t="shared" si="1"/>
        <v>3856.8729451259296</v>
      </c>
      <c r="U12" s="1023">
        <f t="shared" si="1"/>
        <v>7352.3969476654183</v>
      </c>
      <c r="V12" s="1023">
        <f t="shared" si="1"/>
        <v>11031.899500952553</v>
      </c>
      <c r="W12" s="1023">
        <f t="shared" si="1"/>
        <v>13734.105381475931</v>
      </c>
      <c r="X12" s="1023">
        <f>$E12*X10</f>
        <v>15286.510012769504</v>
      </c>
      <c r="Y12" s="1023">
        <f t="shared" ref="Y12:AD12" si="2">$E12*Y10</f>
        <v>16574.456703901546</v>
      </c>
      <c r="Z12" s="1023">
        <f t="shared" si="2"/>
        <v>19018.98725345021</v>
      </c>
      <c r="AA12" s="1023">
        <f t="shared" si="2"/>
        <v>19882.688370596603</v>
      </c>
      <c r="AB12" s="1023">
        <f t="shared" si="2"/>
        <v>23930.803722850073</v>
      </c>
      <c r="AC12" s="1023">
        <f t="shared" si="2"/>
        <v>26853.502227712965</v>
      </c>
      <c r="AD12" s="1023">
        <f t="shared" si="2"/>
        <v>30870.314307628643</v>
      </c>
      <c r="AE12" s="1023">
        <f t="shared" ref="AE12:AF12" si="3">$E12*AE10</f>
        <v>26922.00110768294</v>
      </c>
      <c r="AF12" s="1023">
        <f t="shared" si="3"/>
        <v>26087.419073344769</v>
      </c>
      <c r="AG12" s="1023">
        <f t="shared" ref="AG12" si="4">$E12*AG10</f>
        <v>25278.709082071084</v>
      </c>
      <c r="AI12" s="239" t="s">
        <v>972</v>
      </c>
      <c r="AJ12" s="260"/>
      <c r="AK12" s="241" t="s">
        <v>297</v>
      </c>
    </row>
    <row r="13" spans="1:39" ht="12.75" customHeight="1" x14ac:dyDescent="0.25">
      <c r="A13" s="249"/>
      <c r="B13" s="260"/>
      <c r="C13" s="260" t="s">
        <v>286</v>
      </c>
      <c r="D13" s="260"/>
      <c r="F13" s="300">
        <f t="shared" ref="F13:AD13" si="5">F10-F11-F12</f>
        <v>0</v>
      </c>
      <c r="G13" s="300">
        <f t="shared" si="5"/>
        <v>0</v>
      </c>
      <c r="H13" s="300">
        <f t="shared" si="5"/>
        <v>0</v>
      </c>
      <c r="I13" s="300">
        <f t="shared" si="5"/>
        <v>0</v>
      </c>
      <c r="J13" s="300">
        <f t="shared" si="5"/>
        <v>0</v>
      </c>
      <c r="K13" s="300">
        <f t="shared" si="5"/>
        <v>0</v>
      </c>
      <c r="L13" s="300">
        <f t="shared" si="5"/>
        <v>0</v>
      </c>
      <c r="M13" s="300">
        <f t="shared" si="5"/>
        <v>0</v>
      </c>
      <c r="N13" s="300">
        <f t="shared" si="5"/>
        <v>0</v>
      </c>
      <c r="O13" s="300">
        <f t="shared" si="5"/>
        <v>0</v>
      </c>
      <c r="P13" s="300">
        <f t="shared" si="5"/>
        <v>0</v>
      </c>
      <c r="Q13" s="300">
        <f t="shared" si="5"/>
        <v>0</v>
      </c>
      <c r="R13" s="300">
        <f t="shared" si="5"/>
        <v>0</v>
      </c>
      <c r="S13" s="300">
        <f t="shared" si="5"/>
        <v>11757.135657116161</v>
      </c>
      <c r="T13" s="300">
        <f t="shared" si="5"/>
        <v>26869.83688737511</v>
      </c>
      <c r="U13" s="300">
        <f t="shared" si="5"/>
        <v>51155.585902063729</v>
      </c>
      <c r="V13" s="300">
        <f t="shared" si="5"/>
        <v>76659.511587420289</v>
      </c>
      <c r="W13" s="300">
        <f t="shared" si="5"/>
        <v>95146.110514129774</v>
      </c>
      <c r="X13" s="300">
        <f t="shared" si="5"/>
        <v>105736.39576409268</v>
      </c>
      <c r="Y13" s="300">
        <f t="shared" si="5"/>
        <v>112724.9807006038</v>
      </c>
      <c r="Z13" s="300">
        <f t="shared" si="5"/>
        <v>130262.18980704833</v>
      </c>
      <c r="AA13" s="300">
        <f t="shared" si="5"/>
        <v>133926.86425193108</v>
      </c>
      <c r="AB13" s="300">
        <f t="shared" si="5"/>
        <v>165362.28609762629</v>
      </c>
      <c r="AC13" s="300">
        <f t="shared" si="5"/>
        <v>182484.29734090404</v>
      </c>
      <c r="AD13" s="300">
        <f t="shared" si="5"/>
        <v>209525.90987333632</v>
      </c>
      <c r="AE13" s="300">
        <f t="shared" ref="AE13:AF13" si="6">AE10-AE11-AE12</f>
        <v>179592.25842324135</v>
      </c>
      <c r="AF13" s="300">
        <f t="shared" si="6"/>
        <v>170826.90508327971</v>
      </c>
      <c r="AG13" s="300">
        <f t="shared" ref="AG13" si="7">AG10-AG11-AG12</f>
        <v>162269.31783028005</v>
      </c>
      <c r="AI13" s="298"/>
      <c r="AJ13" s="260"/>
      <c r="AK13" s="241" t="s">
        <v>298</v>
      </c>
    </row>
    <row r="14" spans="1:39" s="269" customFormat="1" ht="12.75" customHeight="1" x14ac:dyDescent="0.25">
      <c r="A14" s="264"/>
      <c r="B14" s="265"/>
      <c r="C14" s="266" t="s">
        <v>285</v>
      </c>
      <c r="D14" s="266"/>
      <c r="F14" s="271" t="str">
        <f t="shared" ref="F14:AD14" si="8">IF(F10=0, "n/a", F13/F10)</f>
        <v>n/a</v>
      </c>
      <c r="G14" s="271" t="str">
        <f t="shared" si="8"/>
        <v>n/a</v>
      </c>
      <c r="H14" s="271" t="str">
        <f t="shared" si="8"/>
        <v>n/a</v>
      </c>
      <c r="I14" s="271" t="str">
        <f t="shared" si="8"/>
        <v>n/a</v>
      </c>
      <c r="J14" s="271" t="str">
        <f t="shared" si="8"/>
        <v>n/a</v>
      </c>
      <c r="K14" s="271" t="str">
        <f t="shared" si="8"/>
        <v>n/a</v>
      </c>
      <c r="L14" s="271" t="str">
        <f t="shared" si="8"/>
        <v>n/a</v>
      </c>
      <c r="M14" s="271" t="str">
        <f t="shared" si="8"/>
        <v>n/a</v>
      </c>
      <c r="N14" s="271" t="str">
        <f t="shared" si="8"/>
        <v>n/a</v>
      </c>
      <c r="O14" s="271" t="str">
        <f t="shared" si="8"/>
        <v>n/a</v>
      </c>
      <c r="P14" s="271" t="str">
        <f t="shared" si="8"/>
        <v>n/a</v>
      </c>
      <c r="Q14" s="271" t="str">
        <f t="shared" si="8"/>
        <v>n/a</v>
      </c>
      <c r="R14" s="271" t="str">
        <f t="shared" si="8"/>
        <v>n/a</v>
      </c>
      <c r="S14" s="271">
        <f t="shared" si="8"/>
        <v>0.70540540540540542</v>
      </c>
      <c r="T14" s="271">
        <f t="shared" si="8"/>
        <v>0.69667415208301064</v>
      </c>
      <c r="U14" s="271">
        <f t="shared" si="8"/>
        <v>0.69576746557878644</v>
      </c>
      <c r="V14" s="271">
        <f t="shared" si="8"/>
        <v>0.69488950276243089</v>
      </c>
      <c r="W14" s="271">
        <f t="shared" si="8"/>
        <v>0.69277253866465482</v>
      </c>
      <c r="X14" s="271">
        <f t="shared" si="8"/>
        <v>0.69169742260179956</v>
      </c>
      <c r="Y14" s="271">
        <f t="shared" si="8"/>
        <v>0.68011267406471854</v>
      </c>
      <c r="Z14" s="271">
        <f t="shared" si="8"/>
        <v>0.68490602612616835</v>
      </c>
      <c r="AA14" s="271">
        <f t="shared" si="8"/>
        <v>0.67358529065912454</v>
      </c>
      <c r="AB14" s="271">
        <f t="shared" si="8"/>
        <v>0.69100180676226886</v>
      </c>
      <c r="AC14" s="271">
        <f t="shared" si="8"/>
        <v>0.67955492655471672</v>
      </c>
      <c r="AD14" s="271">
        <f t="shared" si="8"/>
        <v>0.67872943496904559</v>
      </c>
      <c r="AE14" s="271">
        <f t="shared" ref="AE14:AF14" si="9">IF(AE10=0, "n/a", AE13/AE10)</f>
        <v>0.66708361575689012</v>
      </c>
      <c r="AF14" s="271">
        <f t="shared" si="9"/>
        <v>0.65482485869146323</v>
      </c>
      <c r="AG14" s="271">
        <f t="shared" ref="AG14" si="10">IF(AG10=0, "n/a", AG13/AG10)</f>
        <v>0.64192090388575074</v>
      </c>
      <c r="AI14" s="298"/>
      <c r="AJ14" s="265"/>
      <c r="AK14" s="241" t="s">
        <v>321</v>
      </c>
      <c r="AL14" s="250"/>
      <c r="AM14" s="250"/>
    </row>
    <row r="15" spans="1:39" s="269" customFormat="1" ht="12.75" customHeight="1" x14ac:dyDescent="0.25">
      <c r="A15" s="264"/>
      <c r="B15" s="265"/>
      <c r="C15" s="266"/>
      <c r="D15" s="266"/>
      <c r="F15" s="301"/>
      <c r="G15" s="271"/>
      <c r="H15" s="271"/>
      <c r="I15" s="271"/>
      <c r="J15" s="271"/>
      <c r="K15" s="271"/>
      <c r="L15" s="271"/>
      <c r="M15" s="271"/>
      <c r="N15" s="271"/>
      <c r="O15" s="271"/>
      <c r="P15" s="271"/>
      <c r="Q15" s="271"/>
      <c r="R15" s="271"/>
      <c r="S15" s="271"/>
      <c r="T15" s="271"/>
      <c r="U15" s="271"/>
      <c r="V15" s="271"/>
      <c r="W15" s="271"/>
      <c r="X15" s="271"/>
      <c r="Y15" s="271"/>
      <c r="Z15" s="271"/>
      <c r="AA15" s="271"/>
      <c r="AB15" s="271"/>
      <c r="AC15" s="271"/>
      <c r="AD15" s="271"/>
      <c r="AE15" s="271"/>
      <c r="AF15" s="271"/>
      <c r="AG15" s="271"/>
      <c r="AI15" s="298"/>
      <c r="AJ15" s="265"/>
      <c r="AK15" s="241" t="s">
        <v>299</v>
      </c>
      <c r="AL15" s="250"/>
      <c r="AM15" s="250"/>
    </row>
    <row r="16" spans="1:39" s="249" customFormat="1" ht="12.75" customHeight="1" x14ac:dyDescent="0.25">
      <c r="B16" s="288" t="s">
        <v>130</v>
      </c>
      <c r="C16" s="288"/>
      <c r="D16" s="288"/>
      <c r="F16" s="289"/>
      <c r="G16" s="289"/>
      <c r="H16" s="289"/>
      <c r="I16" s="447"/>
      <c r="J16" s="447"/>
      <c r="AI16" s="288"/>
      <c r="AJ16" s="288"/>
      <c r="AK16" s="241"/>
      <c r="AL16" s="248"/>
      <c r="AM16" s="248"/>
    </row>
    <row r="17" spans="1:39" s="249" customFormat="1" ht="12.75" customHeight="1" x14ac:dyDescent="0.25">
      <c r="B17" s="288"/>
      <c r="C17" s="286" t="s">
        <v>283</v>
      </c>
      <c r="D17" s="286"/>
      <c r="F17" s="263">
        <f>+'REV Worksheet'!H43</f>
        <v>0</v>
      </c>
      <c r="G17" s="263">
        <f>+'REV Worksheet'!I43</f>
        <v>0</v>
      </c>
      <c r="H17" s="263">
        <f>+'REV Worksheet'!J43</f>
        <v>0</v>
      </c>
      <c r="I17" s="263">
        <f>+'REV Worksheet'!K43</f>
        <v>0</v>
      </c>
      <c r="J17" s="263">
        <f>+'REV Worksheet'!L43</f>
        <v>0</v>
      </c>
      <c r="K17" s="263">
        <f>+'REV Worksheet'!M43</f>
        <v>0</v>
      </c>
      <c r="L17" s="263">
        <f>+'REV Worksheet'!N43</f>
        <v>0</v>
      </c>
      <c r="M17" s="263">
        <f>+'REV Worksheet'!O43</f>
        <v>0</v>
      </c>
      <c r="N17" s="263">
        <f>+'REV Worksheet'!P43</f>
        <v>0</v>
      </c>
      <c r="O17" s="263">
        <f>+'REV Worksheet'!Q43</f>
        <v>0</v>
      </c>
      <c r="P17" s="263">
        <f>+'REV Worksheet'!R43</f>
        <v>0</v>
      </c>
      <c r="Q17" s="263">
        <f>+'REV Worksheet'!S43</f>
        <v>0</v>
      </c>
      <c r="R17" s="263">
        <f>+'REV Worksheet'!T43</f>
        <v>0</v>
      </c>
      <c r="S17" s="263">
        <f>+'REV Worksheet'!U43</f>
        <v>0</v>
      </c>
      <c r="T17" s="263">
        <f>+'REV Worksheet'!V43</f>
        <v>0</v>
      </c>
      <c r="U17" s="263">
        <f>+'REV Worksheet'!W43</f>
        <v>0</v>
      </c>
      <c r="V17" s="263">
        <f>+'REV Worksheet'!X43</f>
        <v>0</v>
      </c>
      <c r="W17" s="263">
        <f>+'REV Worksheet'!Y43</f>
        <v>0</v>
      </c>
      <c r="X17" s="263">
        <f>+'REV Worksheet'!Z43</f>
        <v>0</v>
      </c>
      <c r="Y17" s="1014"/>
      <c r="Z17" s="1014"/>
      <c r="AA17" s="1014"/>
      <c r="AB17" s="1014"/>
      <c r="AC17" s="1014"/>
      <c r="AD17" s="1014"/>
      <c r="AE17" s="1014"/>
      <c r="AF17" s="1014"/>
      <c r="AG17" s="1014"/>
      <c r="AI17" s="239"/>
      <c r="AJ17" s="288"/>
      <c r="AK17" s="241" t="s">
        <v>300</v>
      </c>
      <c r="AL17" s="248"/>
      <c r="AM17" s="248"/>
    </row>
    <row r="18" spans="1:39" ht="12.75" customHeight="1" x14ac:dyDescent="0.25">
      <c r="A18" s="249"/>
      <c r="B18" s="260"/>
      <c r="C18" s="260" t="s">
        <v>284</v>
      </c>
      <c r="D18" s="260"/>
      <c r="E18" s="303">
        <v>0</v>
      </c>
      <c r="F18" s="299"/>
      <c r="G18" s="299"/>
      <c r="H18" s="299"/>
      <c r="I18" s="299"/>
      <c r="J18" s="299"/>
      <c r="K18" s="299"/>
      <c r="L18" s="299"/>
      <c r="M18" s="299">
        <f>$E$18*M17</f>
        <v>0</v>
      </c>
      <c r="N18" s="299">
        <f t="shared" ref="N18:X18" si="11">$E$18*N17</f>
        <v>0</v>
      </c>
      <c r="O18" s="299">
        <f t="shared" si="11"/>
        <v>0</v>
      </c>
      <c r="P18" s="299">
        <f t="shared" si="11"/>
        <v>0</v>
      </c>
      <c r="Q18" s="299">
        <f t="shared" si="11"/>
        <v>0</v>
      </c>
      <c r="R18" s="299">
        <f t="shared" si="11"/>
        <v>0</v>
      </c>
      <c r="S18" s="299">
        <f t="shared" si="11"/>
        <v>0</v>
      </c>
      <c r="T18" s="299">
        <f t="shared" si="11"/>
        <v>0</v>
      </c>
      <c r="U18" s="299">
        <f t="shared" si="11"/>
        <v>0</v>
      </c>
      <c r="V18" s="299">
        <f t="shared" si="11"/>
        <v>0</v>
      </c>
      <c r="W18" s="299">
        <f t="shared" si="11"/>
        <v>0</v>
      </c>
      <c r="X18" s="299">
        <f t="shared" si="11"/>
        <v>0</v>
      </c>
      <c r="Y18" s="1017"/>
      <c r="Z18" s="1017"/>
      <c r="AA18" s="1017"/>
      <c r="AB18" s="1017"/>
      <c r="AC18" s="1017"/>
      <c r="AD18" s="1017"/>
      <c r="AE18" s="1017"/>
      <c r="AF18" s="1017"/>
      <c r="AG18" s="1017"/>
      <c r="AI18" s="239"/>
      <c r="AJ18" s="260"/>
      <c r="AK18" s="241" t="s">
        <v>301</v>
      </c>
    </row>
    <row r="19" spans="1:39" ht="12.75" customHeight="1" x14ac:dyDescent="0.25">
      <c r="A19" s="249"/>
      <c r="B19" s="260"/>
      <c r="C19" s="260" t="s">
        <v>288</v>
      </c>
      <c r="D19" s="260" t="s">
        <v>289</v>
      </c>
      <c r="E19" s="303">
        <v>0</v>
      </c>
      <c r="F19" s="302">
        <f>$E19*F17</f>
        <v>0</v>
      </c>
      <c r="G19" s="302">
        <f t="shared" ref="G19:S19" si="12">$E19*G17</f>
        <v>0</v>
      </c>
      <c r="H19" s="302">
        <f t="shared" si="12"/>
        <v>0</v>
      </c>
      <c r="I19" s="302">
        <f t="shared" si="12"/>
        <v>0</v>
      </c>
      <c r="J19" s="302">
        <f t="shared" si="12"/>
        <v>0</v>
      </c>
      <c r="K19" s="302">
        <f t="shared" si="12"/>
        <v>0</v>
      </c>
      <c r="L19" s="302">
        <f t="shared" si="12"/>
        <v>0</v>
      </c>
      <c r="M19" s="302">
        <f t="shared" si="12"/>
        <v>0</v>
      </c>
      <c r="N19" s="302">
        <f t="shared" si="12"/>
        <v>0</v>
      </c>
      <c r="O19" s="302">
        <f t="shared" si="12"/>
        <v>0</v>
      </c>
      <c r="P19" s="302">
        <f t="shared" si="12"/>
        <v>0</v>
      </c>
      <c r="Q19" s="302">
        <f t="shared" si="12"/>
        <v>0</v>
      </c>
      <c r="R19" s="302">
        <f t="shared" si="12"/>
        <v>0</v>
      </c>
      <c r="S19" s="302">
        <f t="shared" si="12"/>
        <v>0</v>
      </c>
      <c r="T19" s="302">
        <f>$E19*T17</f>
        <v>0</v>
      </c>
      <c r="U19" s="302">
        <f>$E19*U17</f>
        <v>0</v>
      </c>
      <c r="V19" s="302">
        <f>$E19*V17</f>
        <v>0</v>
      </c>
      <c r="W19" s="302">
        <f t="shared" ref="W19:X19" si="13">$E19*W17</f>
        <v>0</v>
      </c>
      <c r="X19" s="302">
        <f t="shared" si="13"/>
        <v>0</v>
      </c>
      <c r="Y19" s="1015"/>
      <c r="Z19" s="1015"/>
      <c r="AA19" s="1015"/>
      <c r="AB19" s="1015"/>
      <c r="AC19" s="1015"/>
      <c r="AD19" s="1015"/>
      <c r="AE19" s="1015"/>
      <c r="AF19" s="1015"/>
      <c r="AG19" s="1015"/>
      <c r="AI19" s="239"/>
      <c r="AJ19" s="260"/>
      <c r="AK19" s="241"/>
    </row>
    <row r="20" spans="1:39" ht="12.75" customHeight="1" x14ac:dyDescent="0.25">
      <c r="A20" s="249"/>
      <c r="B20" s="260"/>
      <c r="C20" s="260" t="s">
        <v>286</v>
      </c>
      <c r="D20" s="260"/>
      <c r="F20" s="300">
        <f t="shared" ref="F20:S20" si="14">F17-F18-F19</f>
        <v>0</v>
      </c>
      <c r="G20" s="300">
        <f t="shared" si="14"/>
        <v>0</v>
      </c>
      <c r="H20" s="300">
        <f t="shared" si="14"/>
        <v>0</v>
      </c>
      <c r="I20" s="300">
        <f t="shared" si="14"/>
        <v>0</v>
      </c>
      <c r="J20" s="300">
        <f t="shared" si="14"/>
        <v>0</v>
      </c>
      <c r="K20" s="300">
        <f t="shared" si="14"/>
        <v>0</v>
      </c>
      <c r="L20" s="300">
        <f t="shared" si="14"/>
        <v>0</v>
      </c>
      <c r="M20" s="300">
        <f t="shared" si="14"/>
        <v>0</v>
      </c>
      <c r="N20" s="300">
        <f t="shared" si="14"/>
        <v>0</v>
      </c>
      <c r="O20" s="300">
        <f t="shared" si="14"/>
        <v>0</v>
      </c>
      <c r="P20" s="300">
        <f t="shared" si="14"/>
        <v>0</v>
      </c>
      <c r="Q20" s="300">
        <f t="shared" si="14"/>
        <v>0</v>
      </c>
      <c r="R20" s="300">
        <f t="shared" si="14"/>
        <v>0</v>
      </c>
      <c r="S20" s="300">
        <f t="shared" si="14"/>
        <v>0</v>
      </c>
      <c r="T20" s="300">
        <f>T17-T18-T19</f>
        <v>0</v>
      </c>
      <c r="U20" s="300">
        <f>U17-U18-U19</f>
        <v>0</v>
      </c>
      <c r="V20" s="300">
        <f>V17-V18-V19</f>
        <v>0</v>
      </c>
      <c r="W20" s="300">
        <f t="shared" ref="W20:X20" si="15">W17-W18-W19</f>
        <v>0</v>
      </c>
      <c r="X20" s="300">
        <f t="shared" si="15"/>
        <v>0</v>
      </c>
      <c r="Y20" s="1016"/>
      <c r="Z20" s="1016"/>
      <c r="AA20" s="1016"/>
      <c r="AB20" s="1016"/>
      <c r="AC20" s="1016"/>
      <c r="AD20" s="1016"/>
      <c r="AE20" s="1016"/>
      <c r="AF20" s="1016"/>
      <c r="AG20" s="1016"/>
      <c r="AI20" s="298"/>
      <c r="AJ20" s="260"/>
      <c r="AK20" s="241" t="s">
        <v>322</v>
      </c>
    </row>
    <row r="21" spans="1:39" s="269" customFormat="1" ht="12.75" customHeight="1" x14ac:dyDescent="0.25">
      <c r="A21" s="264"/>
      <c r="B21" s="265"/>
      <c r="C21" s="266" t="s">
        <v>285</v>
      </c>
      <c r="D21" s="266"/>
      <c r="F21" s="271" t="str">
        <f t="shared" ref="F21:S21" si="16">IF(F17=0, "n/a", F20/F17)</f>
        <v>n/a</v>
      </c>
      <c r="G21" s="271" t="str">
        <f t="shared" si="16"/>
        <v>n/a</v>
      </c>
      <c r="H21" s="271" t="str">
        <f t="shared" si="16"/>
        <v>n/a</v>
      </c>
      <c r="I21" s="271" t="str">
        <f t="shared" si="16"/>
        <v>n/a</v>
      </c>
      <c r="J21" s="271" t="str">
        <f t="shared" si="16"/>
        <v>n/a</v>
      </c>
      <c r="K21" s="271" t="str">
        <f t="shared" si="16"/>
        <v>n/a</v>
      </c>
      <c r="L21" s="271" t="str">
        <f t="shared" si="16"/>
        <v>n/a</v>
      </c>
      <c r="M21" s="271" t="str">
        <f t="shared" si="16"/>
        <v>n/a</v>
      </c>
      <c r="N21" s="271" t="str">
        <f t="shared" si="16"/>
        <v>n/a</v>
      </c>
      <c r="O21" s="271" t="str">
        <f t="shared" si="16"/>
        <v>n/a</v>
      </c>
      <c r="P21" s="271" t="str">
        <f t="shared" si="16"/>
        <v>n/a</v>
      </c>
      <c r="Q21" s="271" t="str">
        <f t="shared" si="16"/>
        <v>n/a</v>
      </c>
      <c r="R21" s="271" t="str">
        <f t="shared" si="16"/>
        <v>n/a</v>
      </c>
      <c r="S21" s="271" t="str">
        <f t="shared" si="16"/>
        <v>n/a</v>
      </c>
      <c r="T21" s="271" t="str">
        <f>IF(T17=0, "n/a", T20/T17)</f>
        <v>n/a</v>
      </c>
      <c r="U21" s="271" t="str">
        <f>IF(U17=0, "n/a", U20/U17)</f>
        <v>n/a</v>
      </c>
      <c r="V21" s="271" t="str">
        <f>IF(V17=0, "n/a", V20/V17)</f>
        <v>n/a</v>
      </c>
      <c r="W21" s="271" t="str">
        <f t="shared" ref="W21:X21" si="17">IF(W17=0, "n/a", W20/W17)</f>
        <v>n/a</v>
      </c>
      <c r="X21" s="271" t="str">
        <f t="shared" si="17"/>
        <v>n/a</v>
      </c>
      <c r="Y21" s="271"/>
      <c r="Z21" s="271"/>
      <c r="AA21" s="271"/>
      <c r="AB21" s="271"/>
      <c r="AC21" s="271"/>
      <c r="AD21" s="271"/>
      <c r="AE21" s="271"/>
      <c r="AF21" s="271"/>
      <c r="AG21" s="271"/>
      <c r="AI21" s="298"/>
      <c r="AJ21" s="265"/>
      <c r="AK21" s="241" t="s">
        <v>323</v>
      </c>
      <c r="AL21" s="250"/>
      <c r="AM21" s="250"/>
    </row>
    <row r="22" spans="1:39" s="269" customFormat="1" ht="12.75" customHeight="1" x14ac:dyDescent="0.25">
      <c r="A22" s="264"/>
      <c r="B22" s="265"/>
      <c r="C22" s="266"/>
      <c r="D22" s="266"/>
      <c r="F22" s="301"/>
      <c r="G22" s="271"/>
      <c r="H22" s="271"/>
      <c r="I22" s="271"/>
      <c r="J22" s="271"/>
      <c r="K22" s="271"/>
      <c r="L22" s="271"/>
      <c r="M22" s="271"/>
      <c r="N22" s="271"/>
      <c r="O22" s="271"/>
      <c r="P22" s="271"/>
      <c r="Q22" s="271"/>
      <c r="R22" s="271"/>
      <c r="S22" s="271"/>
      <c r="T22" s="271"/>
      <c r="U22" s="271"/>
      <c r="V22" s="271"/>
      <c r="W22" s="271"/>
      <c r="X22" s="271"/>
      <c r="Y22" s="271"/>
      <c r="Z22" s="271"/>
      <c r="AA22" s="271"/>
      <c r="AB22" s="271"/>
      <c r="AC22" s="271"/>
      <c r="AD22" s="271"/>
      <c r="AE22" s="271"/>
      <c r="AF22" s="271"/>
      <c r="AG22" s="271"/>
      <c r="AI22" s="298"/>
      <c r="AJ22" s="265"/>
      <c r="AK22" s="241"/>
      <c r="AL22" s="250"/>
      <c r="AM22" s="250"/>
    </row>
    <row r="23" spans="1:39" s="249" customFormat="1" ht="12.75" customHeight="1" x14ac:dyDescent="0.25">
      <c r="B23" s="288" t="s">
        <v>131</v>
      </c>
      <c r="C23" s="288"/>
      <c r="D23" s="288"/>
      <c r="F23" s="289"/>
      <c r="G23" s="289"/>
      <c r="H23" s="289"/>
      <c r="AI23" s="288"/>
      <c r="AJ23" s="288"/>
      <c r="AK23" s="241" t="s">
        <v>305</v>
      </c>
      <c r="AL23" s="248"/>
      <c r="AM23" s="248"/>
    </row>
    <row r="24" spans="1:39" s="249" customFormat="1" ht="12.75" customHeight="1" x14ac:dyDescent="0.25">
      <c r="B24" s="288"/>
      <c r="C24" s="286" t="s">
        <v>283</v>
      </c>
      <c r="D24" s="286"/>
      <c r="F24" s="263">
        <f>+'REV Worksheet'!H44</f>
        <v>0</v>
      </c>
      <c r="G24" s="263">
        <f>+'REV Worksheet'!I44</f>
        <v>0</v>
      </c>
      <c r="H24" s="263">
        <f>+'REV Worksheet'!J44</f>
        <v>0</v>
      </c>
      <c r="I24" s="263">
        <f>+'REV Worksheet'!K44</f>
        <v>0</v>
      </c>
      <c r="J24" s="263">
        <f>+'REV Worksheet'!L44</f>
        <v>0</v>
      </c>
      <c r="K24" s="263">
        <f>+'REV Worksheet'!M44</f>
        <v>0</v>
      </c>
      <c r="L24" s="263">
        <f>+'REV Worksheet'!N44</f>
        <v>0</v>
      </c>
      <c r="M24" s="263">
        <f>+'REV Worksheet'!O44</f>
        <v>0</v>
      </c>
      <c r="N24" s="263">
        <f>+'REV Worksheet'!P44</f>
        <v>0</v>
      </c>
      <c r="O24" s="263">
        <f>+'REV Worksheet'!Q44</f>
        <v>0</v>
      </c>
      <c r="P24" s="263">
        <f>+'REV Worksheet'!R44</f>
        <v>0</v>
      </c>
      <c r="Q24" s="263">
        <f>+'REV Worksheet'!S44</f>
        <v>0</v>
      </c>
      <c r="R24" s="263">
        <f>+'REV Worksheet'!T44</f>
        <v>0</v>
      </c>
      <c r="S24" s="263">
        <f>+'REV Worksheet'!U44</f>
        <v>0</v>
      </c>
      <c r="T24" s="263">
        <f>+'REV Worksheet'!V44</f>
        <v>0</v>
      </c>
      <c r="U24" s="263">
        <f>+'REV Worksheet'!W44</f>
        <v>0</v>
      </c>
      <c r="V24" s="263">
        <f>+'REV Worksheet'!X44</f>
        <v>0</v>
      </c>
      <c r="W24" s="263">
        <f>+'REV Worksheet'!Y44</f>
        <v>0</v>
      </c>
      <c r="X24" s="263">
        <f>+'REV Worksheet'!Z44</f>
        <v>0</v>
      </c>
      <c r="Y24" s="1014"/>
      <c r="Z24" s="1014"/>
      <c r="AA24" s="1014"/>
      <c r="AB24" s="1014"/>
      <c r="AC24" s="1014"/>
      <c r="AD24" s="1014"/>
      <c r="AE24" s="1014"/>
      <c r="AF24" s="1014"/>
      <c r="AG24" s="1014"/>
      <c r="AI24" s="239"/>
      <c r="AJ24" s="288"/>
      <c r="AK24" s="241" t="s">
        <v>302</v>
      </c>
      <c r="AL24" s="248"/>
      <c r="AM24" s="248"/>
    </row>
    <row r="25" spans="1:39" ht="12.75" customHeight="1" x14ac:dyDescent="0.25">
      <c r="A25" s="249"/>
      <c r="B25" s="260"/>
      <c r="C25" s="260" t="s">
        <v>284</v>
      </c>
      <c r="D25" s="260"/>
      <c r="F25" s="299"/>
      <c r="G25" s="299"/>
      <c r="H25" s="299"/>
      <c r="I25" s="456"/>
      <c r="J25" s="456"/>
      <c r="K25" s="456"/>
      <c r="L25" s="456"/>
      <c r="M25" s="456"/>
      <c r="N25" s="456"/>
      <c r="O25" s="456"/>
      <c r="P25" s="456"/>
      <c r="Q25" s="456"/>
      <c r="R25" s="456"/>
      <c r="S25" s="456"/>
      <c r="T25" s="456"/>
      <c r="U25" s="456"/>
      <c r="V25" s="456"/>
      <c r="W25" s="456"/>
      <c r="X25" s="456"/>
      <c r="Y25" s="1018"/>
      <c r="Z25" s="1018"/>
      <c r="AA25" s="1018"/>
      <c r="AB25" s="1018"/>
      <c r="AC25" s="1018"/>
      <c r="AD25" s="1018"/>
      <c r="AE25" s="1018"/>
      <c r="AF25" s="1018"/>
      <c r="AG25" s="1018"/>
      <c r="AI25" s="239"/>
      <c r="AJ25" s="260"/>
      <c r="AK25" s="241" t="s">
        <v>303</v>
      </c>
    </row>
    <row r="26" spans="1:39" ht="12.75" customHeight="1" x14ac:dyDescent="0.25">
      <c r="A26" s="249"/>
      <c r="B26" s="260"/>
      <c r="C26" s="260" t="s">
        <v>288</v>
      </c>
      <c r="D26" s="260" t="s">
        <v>289</v>
      </c>
      <c r="E26" s="303">
        <v>0</v>
      </c>
      <c r="F26" s="302">
        <f>$E26*F24</f>
        <v>0</v>
      </c>
      <c r="G26" s="302">
        <f t="shared" ref="G26:S26" si="18">$E26*G24</f>
        <v>0</v>
      </c>
      <c r="H26" s="302">
        <f t="shared" si="18"/>
        <v>0</v>
      </c>
      <c r="I26" s="302">
        <f t="shared" si="18"/>
        <v>0</v>
      </c>
      <c r="J26" s="302">
        <f t="shared" si="18"/>
        <v>0</v>
      </c>
      <c r="K26" s="302">
        <f t="shared" si="18"/>
        <v>0</v>
      </c>
      <c r="L26" s="302">
        <f t="shared" si="18"/>
        <v>0</v>
      </c>
      <c r="M26" s="302">
        <f t="shared" si="18"/>
        <v>0</v>
      </c>
      <c r="N26" s="302">
        <f t="shared" si="18"/>
        <v>0</v>
      </c>
      <c r="O26" s="302">
        <f t="shared" si="18"/>
        <v>0</v>
      </c>
      <c r="P26" s="302">
        <f t="shared" si="18"/>
        <v>0</v>
      </c>
      <c r="Q26" s="302">
        <f t="shared" si="18"/>
        <v>0</v>
      </c>
      <c r="R26" s="302">
        <f t="shared" si="18"/>
        <v>0</v>
      </c>
      <c r="S26" s="302">
        <f t="shared" si="18"/>
        <v>0</v>
      </c>
      <c r="T26" s="302">
        <f>$E26*T24</f>
        <v>0</v>
      </c>
      <c r="U26" s="302">
        <f>$E26*U24</f>
        <v>0</v>
      </c>
      <c r="V26" s="302">
        <f>$E26*V24</f>
        <v>0</v>
      </c>
      <c r="W26" s="302">
        <f t="shared" ref="W26:X26" si="19">$E26*W24</f>
        <v>0</v>
      </c>
      <c r="X26" s="302">
        <f t="shared" si="19"/>
        <v>0</v>
      </c>
      <c r="Y26" s="1015"/>
      <c r="Z26" s="1015"/>
      <c r="AA26" s="1015"/>
      <c r="AB26" s="1015"/>
      <c r="AC26" s="1015"/>
      <c r="AD26" s="1015"/>
      <c r="AE26" s="1015"/>
      <c r="AF26" s="1015"/>
      <c r="AG26" s="1015"/>
      <c r="AI26" s="239"/>
      <c r="AJ26" s="260"/>
      <c r="AK26" s="241" t="s">
        <v>304</v>
      </c>
    </row>
    <row r="27" spans="1:39" ht="12.75" customHeight="1" x14ac:dyDescent="0.25">
      <c r="A27" s="249"/>
      <c r="B27" s="260"/>
      <c r="C27" s="260" t="s">
        <v>343</v>
      </c>
      <c r="D27" s="260"/>
      <c r="E27" s="319"/>
      <c r="F27" s="302">
        <f>'Amortz &amp; Depr'!D151+'Amortz &amp; Depr'!D75</f>
        <v>0</v>
      </c>
      <c r="G27" s="302">
        <f>'Amortz &amp; Depr'!E151+'Amortz &amp; Depr'!E75</f>
        <v>0</v>
      </c>
      <c r="H27" s="302">
        <f>'Amortz &amp; Depr'!F151+'Amortz &amp; Depr'!F75</f>
        <v>0</v>
      </c>
      <c r="I27" s="302">
        <f>'Amortz &amp; Depr'!G151+'Amortz &amp; Depr'!G75</f>
        <v>0</v>
      </c>
      <c r="J27" s="302">
        <f>'Amortz &amp; Depr'!H151+'Amortz &amp; Depr'!H75</f>
        <v>0</v>
      </c>
      <c r="K27" s="302">
        <f>'Amortz &amp; Depr'!I151+'Amortz &amp; Depr'!I75</f>
        <v>0</v>
      </c>
      <c r="L27" s="302">
        <f>'Amortz &amp; Depr'!J151+'Amortz &amp; Depr'!J75</f>
        <v>0</v>
      </c>
      <c r="M27" s="302">
        <f>'Amortz &amp; Depr'!K151+'Amortz &amp; Depr'!K75</f>
        <v>0</v>
      </c>
      <c r="N27" s="302">
        <f>'Amortz &amp; Depr'!L151+'Amortz &amp; Depr'!L75</f>
        <v>0</v>
      </c>
      <c r="O27" s="302">
        <f>'Amortz &amp; Depr'!M151+'Amortz &amp; Depr'!M75</f>
        <v>0</v>
      </c>
      <c r="P27" s="302">
        <f>'Amortz &amp; Depr'!N151+'Amortz &amp; Depr'!N75</f>
        <v>0</v>
      </c>
      <c r="Q27" s="302">
        <f>'Amortz &amp; Depr'!O151+'Amortz &amp; Depr'!O75</f>
        <v>0</v>
      </c>
      <c r="R27" s="302">
        <f>'Amortz &amp; Depr'!P151+'Amortz &amp; Depr'!P75</f>
        <v>0</v>
      </c>
      <c r="S27" s="302">
        <f>'Amortz &amp; Depr'!Q151+'Amortz &amp; Depr'!Q75</f>
        <v>0</v>
      </c>
      <c r="T27" s="302">
        <f>'Amortz &amp; Depr'!R151+'Amortz &amp; Depr'!R75</f>
        <v>0</v>
      </c>
      <c r="U27" s="302">
        <f>'Amortz &amp; Depr'!S151+'Amortz &amp; Depr'!S75</f>
        <v>0</v>
      </c>
      <c r="V27" s="302">
        <f>'Amortz &amp; Depr'!T151+'Amortz &amp; Depr'!T75</f>
        <v>0</v>
      </c>
      <c r="W27" s="302">
        <f>'Amortz &amp; Depr'!U151+'Amortz &amp; Depr'!U75</f>
        <v>0</v>
      </c>
      <c r="X27" s="302">
        <f>'Amortz &amp; Depr'!V151+'Amortz &amp; Depr'!V75</f>
        <v>0</v>
      </c>
      <c r="Y27" s="1015"/>
      <c r="Z27" s="1015"/>
      <c r="AA27" s="1015"/>
      <c r="AB27" s="1015"/>
      <c r="AC27" s="1015"/>
      <c r="AD27" s="1015"/>
      <c r="AE27" s="1015"/>
      <c r="AF27" s="1015"/>
      <c r="AG27" s="1015"/>
      <c r="AI27" s="239"/>
      <c r="AJ27" s="260"/>
      <c r="AK27" s="241"/>
    </row>
    <row r="28" spans="1:39" ht="12.75" customHeight="1" x14ac:dyDescent="0.25">
      <c r="A28" s="249"/>
      <c r="B28" s="260"/>
      <c r="C28" s="260" t="s">
        <v>286</v>
      </c>
      <c r="D28" s="260"/>
      <c r="F28" s="300">
        <f>F24-F25-F26-F27</f>
        <v>0</v>
      </c>
      <c r="G28" s="300">
        <f t="shared" ref="G28:S28" si="20">G24-G25-G26-G27</f>
        <v>0</v>
      </c>
      <c r="H28" s="300">
        <f t="shared" si="20"/>
        <v>0</v>
      </c>
      <c r="I28" s="300">
        <f t="shared" si="20"/>
        <v>0</v>
      </c>
      <c r="J28" s="300">
        <f t="shared" si="20"/>
        <v>0</v>
      </c>
      <c r="K28" s="300">
        <f t="shared" si="20"/>
        <v>0</v>
      </c>
      <c r="L28" s="300">
        <f t="shared" si="20"/>
        <v>0</v>
      </c>
      <c r="M28" s="300">
        <f t="shared" si="20"/>
        <v>0</v>
      </c>
      <c r="N28" s="300">
        <f t="shared" si="20"/>
        <v>0</v>
      </c>
      <c r="O28" s="300">
        <f t="shared" si="20"/>
        <v>0</v>
      </c>
      <c r="P28" s="300">
        <f t="shared" si="20"/>
        <v>0</v>
      </c>
      <c r="Q28" s="300">
        <f t="shared" si="20"/>
        <v>0</v>
      </c>
      <c r="R28" s="300">
        <f t="shared" si="20"/>
        <v>0</v>
      </c>
      <c r="S28" s="300">
        <f t="shared" si="20"/>
        <v>0</v>
      </c>
      <c r="T28" s="300">
        <f>T24-T25-T26-T27</f>
        <v>0</v>
      </c>
      <c r="U28" s="300">
        <f>U24-U25-U26-U27</f>
        <v>0</v>
      </c>
      <c r="V28" s="300">
        <f>V24-V25-V26-V27</f>
        <v>0</v>
      </c>
      <c r="W28" s="300">
        <f t="shared" ref="W28:X28" si="21">W24-W25-W26-W27</f>
        <v>0</v>
      </c>
      <c r="X28" s="300">
        <f t="shared" si="21"/>
        <v>0</v>
      </c>
      <c r="Y28" s="1016"/>
      <c r="Z28" s="1016"/>
      <c r="AA28" s="1016"/>
      <c r="AB28" s="1016"/>
      <c r="AC28" s="1016"/>
      <c r="AD28" s="1016"/>
      <c r="AE28" s="1016"/>
      <c r="AF28" s="1016"/>
      <c r="AG28" s="1016"/>
      <c r="AI28" s="298"/>
      <c r="AJ28" s="260"/>
      <c r="AK28" s="242"/>
    </row>
    <row r="29" spans="1:39" s="269" customFormat="1" ht="12.75" customHeight="1" x14ac:dyDescent="0.25">
      <c r="A29" s="264"/>
      <c r="B29" s="265"/>
      <c r="C29" s="266" t="s">
        <v>285</v>
      </c>
      <c r="D29" s="266"/>
      <c r="F29" s="271" t="str">
        <f t="shared" ref="F29:S29" si="22">IF(F24=0, "n/a", F28/F24)</f>
        <v>n/a</v>
      </c>
      <c r="G29" s="271" t="str">
        <f t="shared" si="22"/>
        <v>n/a</v>
      </c>
      <c r="H29" s="271" t="str">
        <f t="shared" si="22"/>
        <v>n/a</v>
      </c>
      <c r="I29" s="271" t="str">
        <f t="shared" si="22"/>
        <v>n/a</v>
      </c>
      <c r="J29" s="271" t="str">
        <f t="shared" si="22"/>
        <v>n/a</v>
      </c>
      <c r="K29" s="271" t="str">
        <f t="shared" si="22"/>
        <v>n/a</v>
      </c>
      <c r="L29" s="271" t="str">
        <f t="shared" si="22"/>
        <v>n/a</v>
      </c>
      <c r="M29" s="271" t="str">
        <f t="shared" si="22"/>
        <v>n/a</v>
      </c>
      <c r="N29" s="271" t="str">
        <f t="shared" si="22"/>
        <v>n/a</v>
      </c>
      <c r="O29" s="271" t="str">
        <f t="shared" si="22"/>
        <v>n/a</v>
      </c>
      <c r="P29" s="271" t="str">
        <f t="shared" si="22"/>
        <v>n/a</v>
      </c>
      <c r="Q29" s="271" t="str">
        <f t="shared" si="22"/>
        <v>n/a</v>
      </c>
      <c r="R29" s="271" t="str">
        <f t="shared" si="22"/>
        <v>n/a</v>
      </c>
      <c r="S29" s="271" t="str">
        <f t="shared" si="22"/>
        <v>n/a</v>
      </c>
      <c r="T29" s="271" t="str">
        <f>IF(T24=0, "n/a", T28/T24)</f>
        <v>n/a</v>
      </c>
      <c r="U29" s="271" t="str">
        <f>IF(U24=0, "n/a", U28/U24)</f>
        <v>n/a</v>
      </c>
      <c r="V29" s="271" t="str">
        <f>IF(V24=0, "n/a", V28/V24)</f>
        <v>n/a</v>
      </c>
      <c r="W29" s="271" t="str">
        <f t="shared" ref="W29:X29" si="23">IF(W24=0, "n/a", W28/W24)</f>
        <v>n/a</v>
      </c>
      <c r="X29" s="271" t="str">
        <f t="shared" si="23"/>
        <v>n/a</v>
      </c>
      <c r="Y29" s="271"/>
      <c r="Z29" s="271"/>
      <c r="AA29" s="271"/>
      <c r="AB29" s="271"/>
      <c r="AC29" s="271"/>
      <c r="AD29" s="271"/>
      <c r="AE29" s="271"/>
      <c r="AF29" s="271"/>
      <c r="AG29" s="271"/>
      <c r="AI29" s="298"/>
      <c r="AJ29" s="265"/>
      <c r="AK29" s="241" t="s">
        <v>306</v>
      </c>
      <c r="AL29" s="250"/>
      <c r="AM29" s="250"/>
    </row>
    <row r="30" spans="1:39" s="269" customFormat="1" ht="12.75" customHeight="1" x14ac:dyDescent="0.25">
      <c r="A30" s="264"/>
      <c r="B30" s="265"/>
      <c r="C30" s="266"/>
      <c r="D30" s="266"/>
      <c r="F30" s="271"/>
      <c r="G30" s="271"/>
      <c r="H30" s="271"/>
      <c r="I30" s="271"/>
      <c r="J30" s="271"/>
      <c r="K30" s="271"/>
      <c r="L30" s="271"/>
      <c r="M30" s="271"/>
      <c r="N30" s="271"/>
      <c r="O30" s="271"/>
      <c r="P30" s="271"/>
      <c r="Q30" s="271"/>
      <c r="R30" s="271"/>
      <c r="S30" s="271"/>
      <c r="T30" s="271"/>
      <c r="U30" s="271"/>
      <c r="V30" s="271"/>
      <c r="W30" s="271"/>
      <c r="X30" s="271"/>
      <c r="Y30" s="271"/>
      <c r="Z30" s="271"/>
      <c r="AA30" s="271"/>
      <c r="AB30" s="271"/>
      <c r="AC30" s="271"/>
      <c r="AD30" s="271"/>
      <c r="AE30" s="271"/>
      <c r="AF30" s="271"/>
      <c r="AG30" s="271"/>
      <c r="AI30" s="298"/>
      <c r="AJ30" s="265"/>
      <c r="AK30" s="242" t="s">
        <v>307</v>
      </c>
      <c r="AL30" s="250"/>
      <c r="AM30" s="250"/>
    </row>
    <row r="31" spans="1:39" s="249" customFormat="1" ht="12.75" customHeight="1" x14ac:dyDescent="0.25">
      <c r="B31" s="288" t="s">
        <v>328</v>
      </c>
      <c r="C31" s="288"/>
      <c r="D31" s="288"/>
      <c r="F31" s="289"/>
      <c r="G31" s="289"/>
      <c r="H31" s="289"/>
      <c r="AI31" s="288"/>
      <c r="AJ31" s="288"/>
      <c r="AK31" s="242" t="s">
        <v>308</v>
      </c>
      <c r="AL31" s="248"/>
      <c r="AM31" s="248"/>
    </row>
    <row r="32" spans="1:39" s="249" customFormat="1" ht="12.75" customHeight="1" x14ac:dyDescent="0.25">
      <c r="B32" s="288"/>
      <c r="C32" s="286" t="s">
        <v>801</v>
      </c>
      <c r="D32" s="286"/>
      <c r="F32" s="291">
        <f>+'REV Worksheet'!H45</f>
        <v>0</v>
      </c>
      <c r="G32" s="291">
        <f>+'REV Worksheet'!I45</f>
        <v>0</v>
      </c>
      <c r="H32" s="291">
        <f>+'REV Worksheet'!J45</f>
        <v>0</v>
      </c>
      <c r="I32" s="291">
        <f>+'REV Worksheet'!K45</f>
        <v>0</v>
      </c>
      <c r="J32" s="291">
        <f>+'REV Worksheet'!L45</f>
        <v>0</v>
      </c>
      <c r="K32" s="291">
        <f>+'REV Worksheet'!M45</f>
        <v>0</v>
      </c>
      <c r="L32" s="291">
        <f>+'REV Worksheet'!N45</f>
        <v>0</v>
      </c>
      <c r="M32" s="291">
        <f>+'REV Worksheet'!O45</f>
        <v>0</v>
      </c>
      <c r="N32" s="291">
        <f>+'REV Worksheet'!P45</f>
        <v>0</v>
      </c>
      <c r="O32" s="291">
        <f>+'REV Worksheet'!Q45</f>
        <v>0</v>
      </c>
      <c r="P32" s="291">
        <f>+'REV Worksheet'!R45</f>
        <v>0</v>
      </c>
      <c r="Q32" s="291">
        <f>+'REV Worksheet'!S45</f>
        <v>0</v>
      </c>
      <c r="R32" s="291">
        <f>+'REV Worksheet'!T45</f>
        <v>0</v>
      </c>
      <c r="S32" s="291">
        <f>+'REV Worksheet'!U45</f>
        <v>0</v>
      </c>
      <c r="T32" s="291">
        <f>+'REV Worksheet'!V45</f>
        <v>0</v>
      </c>
      <c r="U32" s="291">
        <f>+'REV Worksheet'!W45</f>
        <v>0</v>
      </c>
      <c r="V32" s="291">
        <f>+'REV Worksheet'!X45</f>
        <v>0</v>
      </c>
      <c r="W32" s="291">
        <f>+'REV Worksheet'!Y45</f>
        <v>0</v>
      </c>
      <c r="X32" s="291">
        <f>+'REV Worksheet'!Z45</f>
        <v>0</v>
      </c>
      <c r="Y32" s="1013"/>
      <c r="Z32" s="1013"/>
      <c r="AA32" s="1013"/>
      <c r="AB32" s="1013"/>
      <c r="AC32" s="1013"/>
      <c r="AD32" s="1013"/>
      <c r="AE32" s="1013"/>
      <c r="AF32" s="1013"/>
      <c r="AG32" s="1013"/>
      <c r="AI32" s="239"/>
      <c r="AJ32" s="288"/>
      <c r="AK32" s="242" t="s">
        <v>309</v>
      </c>
      <c r="AL32" s="248"/>
      <c r="AM32" s="248"/>
    </row>
    <row r="33" spans="1:39" s="249" customFormat="1" ht="12.75" customHeight="1" x14ac:dyDescent="0.25">
      <c r="B33" s="288"/>
      <c r="C33" s="260" t="s">
        <v>287</v>
      </c>
      <c r="D33" s="260"/>
      <c r="F33" s="299"/>
      <c r="G33" s="299"/>
      <c r="H33" s="299"/>
      <c r="I33" s="299"/>
      <c r="J33" s="299"/>
      <c r="K33" s="299"/>
      <c r="L33" s="299"/>
      <c r="M33" s="299"/>
      <c r="N33" s="299"/>
      <c r="O33" s="299"/>
      <c r="P33" s="299"/>
      <c r="Q33" s="299"/>
      <c r="R33" s="299"/>
      <c r="S33" s="299"/>
      <c r="T33" s="299"/>
      <c r="U33" s="299"/>
      <c r="V33" s="299"/>
      <c r="W33" s="299"/>
      <c r="X33" s="299"/>
      <c r="Y33" s="1017"/>
      <c r="Z33" s="1017"/>
      <c r="AA33" s="1017"/>
      <c r="AB33" s="1017"/>
      <c r="AC33" s="1017"/>
      <c r="AD33" s="1017"/>
      <c r="AE33" s="1017"/>
      <c r="AF33" s="1017"/>
      <c r="AG33" s="1017"/>
      <c r="AI33" s="239"/>
      <c r="AJ33" s="288"/>
      <c r="AK33" s="242" t="s">
        <v>308</v>
      </c>
      <c r="AL33" s="248"/>
      <c r="AM33" s="248"/>
    </row>
    <row r="34" spans="1:39" ht="12.75" customHeight="1" x14ac:dyDescent="0.25">
      <c r="A34" s="249"/>
      <c r="B34" s="260"/>
      <c r="C34" s="260" t="s">
        <v>288</v>
      </c>
      <c r="D34" s="260" t="s">
        <v>289</v>
      </c>
      <c r="E34" s="303"/>
      <c r="F34" s="302">
        <f t="shared" ref="F34:S34" si="24">$E34*F32</f>
        <v>0</v>
      </c>
      <c r="G34" s="302">
        <f t="shared" si="24"/>
        <v>0</v>
      </c>
      <c r="H34" s="302">
        <f t="shared" si="24"/>
        <v>0</v>
      </c>
      <c r="I34" s="302">
        <f t="shared" si="24"/>
        <v>0</v>
      </c>
      <c r="J34" s="302">
        <f t="shared" si="24"/>
        <v>0</v>
      </c>
      <c r="K34" s="302">
        <f t="shared" si="24"/>
        <v>0</v>
      </c>
      <c r="L34" s="302">
        <f t="shared" si="24"/>
        <v>0</v>
      </c>
      <c r="M34" s="302">
        <f t="shared" si="24"/>
        <v>0</v>
      </c>
      <c r="N34" s="302">
        <f t="shared" si="24"/>
        <v>0</v>
      </c>
      <c r="O34" s="302">
        <f t="shared" si="24"/>
        <v>0</v>
      </c>
      <c r="P34" s="302">
        <f t="shared" si="24"/>
        <v>0</v>
      </c>
      <c r="Q34" s="302">
        <f t="shared" si="24"/>
        <v>0</v>
      </c>
      <c r="R34" s="302">
        <f t="shared" si="24"/>
        <v>0</v>
      </c>
      <c r="S34" s="302">
        <f t="shared" si="24"/>
        <v>0</v>
      </c>
      <c r="T34" s="302">
        <f>$E34*T32</f>
        <v>0</v>
      </c>
      <c r="U34" s="302">
        <f>$E34*U32</f>
        <v>0</v>
      </c>
      <c r="V34" s="302">
        <f>$E34*V32</f>
        <v>0</v>
      </c>
      <c r="W34" s="302">
        <f t="shared" ref="W34:X34" si="25">$E34*W32</f>
        <v>0</v>
      </c>
      <c r="X34" s="302">
        <f t="shared" si="25"/>
        <v>0</v>
      </c>
      <c r="Y34" s="1015"/>
      <c r="Z34" s="1015"/>
      <c r="AA34" s="1015"/>
      <c r="AB34" s="1015"/>
      <c r="AC34" s="1015"/>
      <c r="AD34" s="1015"/>
      <c r="AE34" s="1015"/>
      <c r="AF34" s="1015"/>
      <c r="AG34" s="1015"/>
      <c r="AI34" s="239"/>
      <c r="AJ34" s="260"/>
      <c r="AK34" s="241"/>
    </row>
    <row r="35" spans="1:39" ht="12.75" customHeight="1" x14ac:dyDescent="0.25">
      <c r="A35" s="249"/>
      <c r="B35" s="260"/>
      <c r="C35" s="260" t="s">
        <v>342</v>
      </c>
      <c r="D35" s="260"/>
      <c r="F35" s="302">
        <f>'Amortz &amp; Depr'!D125</f>
        <v>0</v>
      </c>
      <c r="G35" s="302">
        <f>'Amortz &amp; Depr'!E125</f>
        <v>0</v>
      </c>
      <c r="H35" s="302">
        <f>'Amortz &amp; Depr'!F125</f>
        <v>0</v>
      </c>
      <c r="I35" s="302">
        <f>'Amortz &amp; Depr'!G125</f>
        <v>0</v>
      </c>
      <c r="J35" s="302">
        <f>'Amortz &amp; Depr'!H125</f>
        <v>0</v>
      </c>
      <c r="K35" s="302">
        <f>'Amortz &amp; Depr'!I125</f>
        <v>0</v>
      </c>
      <c r="L35" s="302">
        <f>'Amortz &amp; Depr'!J125</f>
        <v>0</v>
      </c>
      <c r="M35" s="302">
        <f>'Amortz &amp; Depr'!K125</f>
        <v>0</v>
      </c>
      <c r="N35" s="302">
        <f>'Amortz &amp; Depr'!L125</f>
        <v>0</v>
      </c>
      <c r="O35" s="302">
        <f>'Amortz &amp; Depr'!M125</f>
        <v>0</v>
      </c>
      <c r="P35" s="302">
        <f>'Amortz &amp; Depr'!N125</f>
        <v>0</v>
      </c>
      <c r="Q35" s="302">
        <f>'Amortz &amp; Depr'!O125</f>
        <v>0</v>
      </c>
      <c r="R35" s="302">
        <f>'Amortz &amp; Depr'!P125</f>
        <v>0</v>
      </c>
      <c r="S35" s="302">
        <f>'Amortz &amp; Depr'!Q125</f>
        <v>0</v>
      </c>
      <c r="T35" s="302">
        <f>'Amortz &amp; Depr'!R125</f>
        <v>0</v>
      </c>
      <c r="U35" s="302">
        <f>'Amortz &amp; Depr'!S125</f>
        <v>0</v>
      </c>
      <c r="V35" s="302">
        <f>'Amortz &amp; Depr'!T125</f>
        <v>0</v>
      </c>
      <c r="W35" s="302">
        <f>'Amortz &amp; Depr'!U125</f>
        <v>0</v>
      </c>
      <c r="X35" s="302">
        <f>'Amortz &amp; Depr'!V125</f>
        <v>0</v>
      </c>
      <c r="Y35" s="1015"/>
      <c r="Z35" s="1015"/>
      <c r="AA35" s="1015"/>
      <c r="AB35" s="1015"/>
      <c r="AC35" s="1015"/>
      <c r="AD35" s="1015"/>
      <c r="AE35" s="1015"/>
      <c r="AF35" s="1015"/>
      <c r="AG35" s="1015"/>
      <c r="AI35" s="298"/>
      <c r="AJ35" s="260"/>
      <c r="AK35" s="241"/>
    </row>
    <row r="36" spans="1:39" ht="12.75" customHeight="1" x14ac:dyDescent="0.25">
      <c r="A36" s="249"/>
      <c r="B36" s="260"/>
      <c r="C36" s="260" t="s">
        <v>286</v>
      </c>
      <c r="D36" s="260"/>
      <c r="F36" s="300">
        <f t="shared" ref="F36:S36" si="26">F32-F33-F34-F35</f>
        <v>0</v>
      </c>
      <c r="G36" s="300">
        <f t="shared" si="26"/>
        <v>0</v>
      </c>
      <c r="H36" s="300">
        <f t="shared" si="26"/>
        <v>0</v>
      </c>
      <c r="I36" s="300">
        <f t="shared" si="26"/>
        <v>0</v>
      </c>
      <c r="J36" s="300">
        <f t="shared" si="26"/>
        <v>0</v>
      </c>
      <c r="K36" s="300">
        <f t="shared" si="26"/>
        <v>0</v>
      </c>
      <c r="L36" s="300">
        <f t="shared" si="26"/>
        <v>0</v>
      </c>
      <c r="M36" s="300">
        <f t="shared" si="26"/>
        <v>0</v>
      </c>
      <c r="N36" s="300">
        <f t="shared" si="26"/>
        <v>0</v>
      </c>
      <c r="O36" s="300">
        <f t="shared" si="26"/>
        <v>0</v>
      </c>
      <c r="P36" s="300">
        <f t="shared" si="26"/>
        <v>0</v>
      </c>
      <c r="Q36" s="300">
        <f t="shared" si="26"/>
        <v>0</v>
      </c>
      <c r="R36" s="300">
        <f t="shared" si="26"/>
        <v>0</v>
      </c>
      <c r="S36" s="300">
        <f t="shared" si="26"/>
        <v>0</v>
      </c>
      <c r="T36" s="300">
        <f>T32-T33-T34-T35</f>
        <v>0</v>
      </c>
      <c r="U36" s="300">
        <f>U32-U33-U34-U35</f>
        <v>0</v>
      </c>
      <c r="V36" s="300">
        <f>V32-V33-V34-V35</f>
        <v>0</v>
      </c>
      <c r="W36" s="300">
        <f t="shared" ref="W36:X36" si="27">W32-W33-W34-W35</f>
        <v>0</v>
      </c>
      <c r="X36" s="300">
        <f t="shared" si="27"/>
        <v>0</v>
      </c>
      <c r="Y36" s="1016"/>
      <c r="Z36" s="1016"/>
      <c r="AA36" s="1016"/>
      <c r="AB36" s="1016"/>
      <c r="AC36" s="1016"/>
      <c r="AD36" s="1016"/>
      <c r="AE36" s="1016"/>
      <c r="AF36" s="1016"/>
      <c r="AG36" s="1016"/>
      <c r="AI36" s="298"/>
      <c r="AJ36" s="260"/>
      <c r="AK36" s="241"/>
    </row>
    <row r="37" spans="1:39" s="269" customFormat="1" ht="12.75" customHeight="1" x14ac:dyDescent="0.25">
      <c r="A37" s="264"/>
      <c r="B37" s="265"/>
      <c r="C37" s="266" t="s">
        <v>285</v>
      </c>
      <c r="D37" s="266"/>
      <c r="F37" s="271" t="str">
        <f t="shared" ref="F37:S37" si="28">IF(F32=0, "n/a", F36/F32)</f>
        <v>n/a</v>
      </c>
      <c r="G37" s="271" t="str">
        <f t="shared" si="28"/>
        <v>n/a</v>
      </c>
      <c r="H37" s="271" t="str">
        <f t="shared" si="28"/>
        <v>n/a</v>
      </c>
      <c r="I37" s="271" t="str">
        <f t="shared" si="28"/>
        <v>n/a</v>
      </c>
      <c r="J37" s="271" t="str">
        <f t="shared" si="28"/>
        <v>n/a</v>
      </c>
      <c r="K37" s="271" t="str">
        <f t="shared" si="28"/>
        <v>n/a</v>
      </c>
      <c r="L37" s="271" t="str">
        <f t="shared" si="28"/>
        <v>n/a</v>
      </c>
      <c r="M37" s="271" t="str">
        <f t="shared" si="28"/>
        <v>n/a</v>
      </c>
      <c r="N37" s="271" t="str">
        <f t="shared" si="28"/>
        <v>n/a</v>
      </c>
      <c r="O37" s="271" t="str">
        <f t="shared" si="28"/>
        <v>n/a</v>
      </c>
      <c r="P37" s="271" t="str">
        <f t="shared" si="28"/>
        <v>n/a</v>
      </c>
      <c r="Q37" s="271" t="str">
        <f t="shared" si="28"/>
        <v>n/a</v>
      </c>
      <c r="R37" s="271" t="str">
        <f t="shared" si="28"/>
        <v>n/a</v>
      </c>
      <c r="S37" s="271" t="str">
        <f t="shared" si="28"/>
        <v>n/a</v>
      </c>
      <c r="T37" s="271" t="str">
        <f>IF(T32=0, "n/a", T36/T32)</f>
        <v>n/a</v>
      </c>
      <c r="U37" s="271" t="str">
        <f>IF(U32=0, "n/a", U36/U32)</f>
        <v>n/a</v>
      </c>
      <c r="V37" s="271" t="str">
        <f>IF(V32=0, "n/a", V36/V32)</f>
        <v>n/a</v>
      </c>
      <c r="W37" s="271" t="str">
        <f t="shared" ref="W37:X37" si="29">IF(W32=0, "n/a", W36/W32)</f>
        <v>n/a</v>
      </c>
      <c r="X37" s="271" t="str">
        <f t="shared" si="29"/>
        <v>n/a</v>
      </c>
      <c r="Y37" s="271"/>
      <c r="Z37" s="271"/>
      <c r="AA37" s="271"/>
      <c r="AB37" s="271"/>
      <c r="AC37" s="271"/>
      <c r="AD37" s="271"/>
      <c r="AE37" s="271"/>
      <c r="AF37" s="271"/>
      <c r="AG37" s="271"/>
      <c r="AI37" s="298"/>
      <c r="AJ37" s="265"/>
      <c r="AK37" s="243"/>
      <c r="AL37" s="250"/>
      <c r="AM37" s="250"/>
    </row>
    <row r="38" spans="1:39" ht="12.75" customHeight="1" x14ac:dyDescent="0.25">
      <c r="A38" s="249"/>
      <c r="B38" s="260"/>
      <c r="C38" s="260"/>
      <c r="D38" s="260"/>
      <c r="AI38" s="260"/>
      <c r="AJ38" s="260"/>
      <c r="AK38" s="250"/>
    </row>
    <row r="39" spans="1:39" ht="12.75" customHeight="1" x14ac:dyDescent="0.25">
      <c r="A39" s="249"/>
      <c r="B39" s="288" t="s">
        <v>655</v>
      </c>
      <c r="C39" s="260"/>
      <c r="D39" s="260"/>
      <c r="AI39" s="260"/>
      <c r="AJ39" s="260"/>
    </row>
    <row r="40" spans="1:39" s="249" customFormat="1" ht="12.75" customHeight="1" x14ac:dyDescent="0.25">
      <c r="B40" s="288"/>
      <c r="C40" s="286" t="s">
        <v>283</v>
      </c>
      <c r="D40" s="286"/>
      <c r="F40" s="291">
        <f t="shared" ref="F40:AD40" si="30">F32+F24+F17+F10</f>
        <v>0</v>
      </c>
      <c r="G40" s="291">
        <f t="shared" si="30"/>
        <v>0</v>
      </c>
      <c r="H40" s="291">
        <f t="shared" si="30"/>
        <v>0</v>
      </c>
      <c r="I40" s="291">
        <f t="shared" si="30"/>
        <v>0</v>
      </c>
      <c r="J40" s="291">
        <f t="shared" si="30"/>
        <v>0</v>
      </c>
      <c r="K40" s="291">
        <f t="shared" si="30"/>
        <v>0</v>
      </c>
      <c r="L40" s="291">
        <f t="shared" si="30"/>
        <v>0</v>
      </c>
      <c r="M40" s="291">
        <f t="shared" si="30"/>
        <v>0</v>
      </c>
      <c r="N40" s="291">
        <f t="shared" si="30"/>
        <v>0</v>
      </c>
      <c r="O40" s="291">
        <f t="shared" si="30"/>
        <v>0</v>
      </c>
      <c r="P40" s="291">
        <f t="shared" si="30"/>
        <v>0</v>
      </c>
      <c r="Q40" s="291">
        <f t="shared" si="30"/>
        <v>0</v>
      </c>
      <c r="R40" s="291">
        <f t="shared" si="30"/>
        <v>0</v>
      </c>
      <c r="S40" s="291">
        <f t="shared" si="30"/>
        <v>16667.203805107201</v>
      </c>
      <c r="T40" s="291">
        <f t="shared" si="30"/>
        <v>38568.729451259293</v>
      </c>
      <c r="U40" s="291">
        <f t="shared" si="30"/>
        <v>73523.96947665418</v>
      </c>
      <c r="V40" s="291">
        <f t="shared" si="30"/>
        <v>110318.99500952553</v>
      </c>
      <c r="W40" s="291">
        <f t="shared" si="30"/>
        <v>137341.0538147593</v>
      </c>
      <c r="X40" s="291">
        <f t="shared" si="30"/>
        <v>152865.10012769504</v>
      </c>
      <c r="Y40" s="291">
        <f t="shared" si="30"/>
        <v>165744.56703901544</v>
      </c>
      <c r="Z40" s="291">
        <f t="shared" si="30"/>
        <v>190189.87253450209</v>
      </c>
      <c r="AA40" s="291">
        <f t="shared" si="30"/>
        <v>198826.88370596603</v>
      </c>
      <c r="AB40" s="291">
        <f t="shared" si="30"/>
        <v>239308.0372285007</v>
      </c>
      <c r="AC40" s="291">
        <f t="shared" si="30"/>
        <v>268535.02227712964</v>
      </c>
      <c r="AD40" s="291">
        <f t="shared" si="30"/>
        <v>308703.14307628642</v>
      </c>
      <c r="AE40" s="291">
        <f t="shared" ref="AE40:AF40" si="31">AE32+AE24+AE17+AE10</f>
        <v>269220.0110768294</v>
      </c>
      <c r="AF40" s="291">
        <f t="shared" si="31"/>
        <v>260874.19073344767</v>
      </c>
      <c r="AG40" s="291">
        <f t="shared" ref="AG40" si="32">AG32+AG24+AG17+AG10</f>
        <v>252787.09082071082</v>
      </c>
      <c r="AI40" s="245"/>
      <c r="AJ40" s="288"/>
      <c r="AK40" s="305"/>
      <c r="AL40" s="248"/>
      <c r="AM40" s="248"/>
    </row>
    <row r="41" spans="1:39" s="249" customFormat="1" ht="12.75" customHeight="1" x14ac:dyDescent="0.25">
      <c r="B41" s="288"/>
      <c r="C41" s="260" t="s">
        <v>284</v>
      </c>
      <c r="D41" s="260"/>
      <c r="F41" s="291">
        <f t="shared" ref="F41:AD41" si="33">F33+F25+F18+F11</f>
        <v>0</v>
      </c>
      <c r="G41" s="291">
        <f t="shared" si="33"/>
        <v>0</v>
      </c>
      <c r="H41" s="291">
        <f t="shared" si="33"/>
        <v>0</v>
      </c>
      <c r="I41" s="291">
        <f t="shared" si="33"/>
        <v>0</v>
      </c>
      <c r="J41" s="291">
        <f t="shared" si="33"/>
        <v>0</v>
      </c>
      <c r="K41" s="291">
        <f t="shared" si="33"/>
        <v>0</v>
      </c>
      <c r="L41" s="291">
        <f t="shared" si="33"/>
        <v>0</v>
      </c>
      <c r="M41" s="291">
        <f t="shared" si="33"/>
        <v>0</v>
      </c>
      <c r="N41" s="291">
        <f t="shared" si="33"/>
        <v>0</v>
      </c>
      <c r="O41" s="291">
        <f t="shared" si="33"/>
        <v>0</v>
      </c>
      <c r="P41" s="291">
        <f t="shared" si="33"/>
        <v>0</v>
      </c>
      <c r="Q41" s="291">
        <f t="shared" si="33"/>
        <v>0</v>
      </c>
      <c r="R41" s="291">
        <f t="shared" si="33"/>
        <v>0</v>
      </c>
      <c r="S41" s="291">
        <f t="shared" si="33"/>
        <v>3243.3477674803203</v>
      </c>
      <c r="T41" s="291">
        <f t="shared" si="33"/>
        <v>7842.0196187582542</v>
      </c>
      <c r="U41" s="291">
        <f t="shared" si="33"/>
        <v>15015.986626925038</v>
      </c>
      <c r="V41" s="291">
        <f t="shared" si="33"/>
        <v>22627.583921152684</v>
      </c>
      <c r="W41" s="291">
        <f t="shared" si="33"/>
        <v>28460.837919153597</v>
      </c>
      <c r="X41" s="291">
        <f t="shared" si="33"/>
        <v>31842.194350832855</v>
      </c>
      <c r="Y41" s="291">
        <f t="shared" si="33"/>
        <v>36445.1296345101</v>
      </c>
      <c r="Z41" s="291">
        <f t="shared" si="33"/>
        <v>40908.695474003558</v>
      </c>
      <c r="AA41" s="291">
        <f t="shared" si="33"/>
        <v>45017.331083438345</v>
      </c>
      <c r="AB41" s="291">
        <f t="shared" si="33"/>
        <v>50014.947408024353</v>
      </c>
      <c r="AC41" s="291">
        <f t="shared" si="33"/>
        <v>59197.222708512636</v>
      </c>
      <c r="AD41" s="291">
        <f t="shared" si="33"/>
        <v>68306.918895321462</v>
      </c>
      <c r="AE41" s="291">
        <f t="shared" ref="AE41:AF41" si="34">AE33+AE25+AE18+AE11</f>
        <v>62705.751545905106</v>
      </c>
      <c r="AF41" s="291">
        <f t="shared" si="34"/>
        <v>63959.866576823202</v>
      </c>
      <c r="AG41" s="291">
        <f t="shared" ref="AG41" si="35">AG33+AG25+AG18+AG11</f>
        <v>65239.063908359676</v>
      </c>
      <c r="AI41" s="245"/>
      <c r="AJ41" s="288"/>
      <c r="AK41" s="305"/>
      <c r="AL41" s="248"/>
      <c r="AM41" s="248"/>
    </row>
    <row r="42" spans="1:39" ht="12.75" customHeight="1" x14ac:dyDescent="0.25">
      <c r="A42" s="249"/>
      <c r="B42" s="260"/>
      <c r="C42" s="260" t="s">
        <v>288</v>
      </c>
      <c r="D42" s="260"/>
      <c r="E42" s="249"/>
      <c r="F42" s="291">
        <f>F34+F26+F19+F12</f>
        <v>0</v>
      </c>
      <c r="G42" s="291">
        <f t="shared" ref="G42:S42" si="36">G34+G26+G19+G12</f>
        <v>0</v>
      </c>
      <c r="H42" s="291">
        <f t="shared" si="36"/>
        <v>0</v>
      </c>
      <c r="I42" s="291">
        <f t="shared" si="36"/>
        <v>0</v>
      </c>
      <c r="J42" s="291">
        <f t="shared" si="36"/>
        <v>0</v>
      </c>
      <c r="K42" s="291">
        <f t="shared" si="36"/>
        <v>0</v>
      </c>
      <c r="L42" s="291">
        <f t="shared" si="36"/>
        <v>0</v>
      </c>
      <c r="M42" s="291">
        <f t="shared" si="36"/>
        <v>0</v>
      </c>
      <c r="N42" s="291">
        <f t="shared" si="36"/>
        <v>0</v>
      </c>
      <c r="O42" s="291">
        <f t="shared" si="36"/>
        <v>0</v>
      </c>
      <c r="P42" s="291">
        <f t="shared" si="36"/>
        <v>0</v>
      </c>
      <c r="Q42" s="291">
        <f t="shared" si="36"/>
        <v>0</v>
      </c>
      <c r="R42" s="291">
        <f t="shared" si="36"/>
        <v>0</v>
      </c>
      <c r="S42" s="291">
        <f t="shared" si="36"/>
        <v>1666.7203805107201</v>
      </c>
      <c r="T42" s="291">
        <f t="shared" ref="T42:U42" si="37">T34+T26+T19+T12</f>
        <v>3856.8729451259296</v>
      </c>
      <c r="U42" s="291">
        <f t="shared" si="37"/>
        <v>7352.3969476654183</v>
      </c>
      <c r="V42" s="291">
        <f>V34+V26+V19+V12</f>
        <v>11031.899500952553</v>
      </c>
      <c r="W42" s="291">
        <f t="shared" ref="W42:AD42" si="38">W34+W26+W19+W12</f>
        <v>13734.105381475931</v>
      </c>
      <c r="X42" s="291">
        <f t="shared" si="38"/>
        <v>15286.510012769504</v>
      </c>
      <c r="Y42" s="291">
        <f t="shared" si="38"/>
        <v>16574.456703901546</v>
      </c>
      <c r="Z42" s="291">
        <f t="shared" si="38"/>
        <v>19018.98725345021</v>
      </c>
      <c r="AA42" s="291">
        <f t="shared" si="38"/>
        <v>19882.688370596603</v>
      </c>
      <c r="AB42" s="291">
        <f t="shared" si="38"/>
        <v>23930.803722850073</v>
      </c>
      <c r="AC42" s="291">
        <f t="shared" si="38"/>
        <v>26853.502227712965</v>
      </c>
      <c r="AD42" s="291">
        <f t="shared" si="38"/>
        <v>30870.314307628643</v>
      </c>
      <c r="AE42" s="291">
        <f t="shared" ref="AE42:AF42" si="39">AE34+AE26+AE19+AE12</f>
        <v>26922.00110768294</v>
      </c>
      <c r="AF42" s="291">
        <f t="shared" si="39"/>
        <v>26087.419073344769</v>
      </c>
      <c r="AG42" s="291">
        <f t="shared" ref="AG42" si="40">AG34+AG26+AG19+AG12</f>
        <v>25278.709082071084</v>
      </c>
      <c r="AJ42" s="260"/>
      <c r="AK42" s="251"/>
    </row>
    <row r="43" spans="1:39" ht="11.25" customHeight="1" x14ac:dyDescent="0.25">
      <c r="A43" s="249"/>
      <c r="B43" s="260"/>
      <c r="C43" s="260" t="s">
        <v>341</v>
      </c>
      <c r="D43" s="260"/>
      <c r="F43" s="291">
        <f>F35+F27</f>
        <v>0</v>
      </c>
      <c r="G43" s="291">
        <f t="shared" ref="G43:S43" si="41">G35+G27</f>
        <v>0</v>
      </c>
      <c r="H43" s="291">
        <f t="shared" si="41"/>
        <v>0</v>
      </c>
      <c r="I43" s="291">
        <f t="shared" si="41"/>
        <v>0</v>
      </c>
      <c r="J43" s="291">
        <f t="shared" si="41"/>
        <v>0</v>
      </c>
      <c r="K43" s="291">
        <f t="shared" si="41"/>
        <v>0</v>
      </c>
      <c r="L43" s="291">
        <f t="shared" si="41"/>
        <v>0</v>
      </c>
      <c r="M43" s="291">
        <f t="shared" si="41"/>
        <v>0</v>
      </c>
      <c r="N43" s="291">
        <f t="shared" si="41"/>
        <v>0</v>
      </c>
      <c r="O43" s="291">
        <f t="shared" si="41"/>
        <v>0</v>
      </c>
      <c r="P43" s="291">
        <f t="shared" si="41"/>
        <v>0</v>
      </c>
      <c r="Q43" s="291">
        <f t="shared" si="41"/>
        <v>0</v>
      </c>
      <c r="R43" s="291">
        <f t="shared" si="41"/>
        <v>0</v>
      </c>
      <c r="S43" s="291">
        <f t="shared" si="41"/>
        <v>0</v>
      </c>
      <c r="T43" s="291">
        <f>T35+T27</f>
        <v>0</v>
      </c>
      <c r="U43" s="291">
        <f>U35+U27</f>
        <v>0</v>
      </c>
      <c r="V43" s="291">
        <f>V35+V27</f>
        <v>0</v>
      </c>
      <c r="W43" s="291">
        <f t="shared" ref="W43:X43" si="42">W35+W27</f>
        <v>0</v>
      </c>
      <c r="X43" s="291">
        <f t="shared" si="42"/>
        <v>0</v>
      </c>
      <c r="Y43" s="1013"/>
      <c r="Z43" s="1013"/>
      <c r="AA43" s="1013"/>
      <c r="AB43" s="1013"/>
      <c r="AC43" s="1013"/>
      <c r="AD43" s="1013"/>
      <c r="AE43" s="1013"/>
      <c r="AF43" s="1013"/>
      <c r="AG43" s="1013"/>
      <c r="AJ43" s="260"/>
      <c r="AK43" s="251"/>
    </row>
    <row r="44" spans="1:39" ht="12.75" customHeight="1" x14ac:dyDescent="0.25">
      <c r="A44" s="249"/>
      <c r="B44" s="260"/>
      <c r="C44" s="260" t="s">
        <v>286</v>
      </c>
      <c r="D44" s="260"/>
      <c r="F44" s="291">
        <f>F36+F28+F20+F13</f>
        <v>0</v>
      </c>
      <c r="G44" s="291">
        <f t="shared" ref="G44:S44" si="43">G36+G28+G20+G13</f>
        <v>0</v>
      </c>
      <c r="H44" s="291">
        <f t="shared" si="43"/>
        <v>0</v>
      </c>
      <c r="I44" s="291">
        <f t="shared" si="43"/>
        <v>0</v>
      </c>
      <c r="J44" s="291">
        <f t="shared" si="43"/>
        <v>0</v>
      </c>
      <c r="K44" s="291">
        <f t="shared" si="43"/>
        <v>0</v>
      </c>
      <c r="L44" s="291">
        <f t="shared" si="43"/>
        <v>0</v>
      </c>
      <c r="M44" s="291">
        <f t="shared" si="43"/>
        <v>0</v>
      </c>
      <c r="N44" s="291">
        <f t="shared" si="43"/>
        <v>0</v>
      </c>
      <c r="O44" s="291">
        <f t="shared" si="43"/>
        <v>0</v>
      </c>
      <c r="P44" s="291">
        <f t="shared" si="43"/>
        <v>0</v>
      </c>
      <c r="Q44" s="291">
        <f t="shared" si="43"/>
        <v>0</v>
      </c>
      <c r="R44" s="291">
        <f t="shared" si="43"/>
        <v>0</v>
      </c>
      <c r="S44" s="291">
        <f t="shared" si="43"/>
        <v>11757.135657116161</v>
      </c>
      <c r="T44" s="291">
        <f>T36+T28+T20+T13</f>
        <v>26869.83688737511</v>
      </c>
      <c r="U44" s="291">
        <f>U36+U28+U20+U13</f>
        <v>51155.585902063729</v>
      </c>
      <c r="V44" s="291">
        <f>V36+V28+V20+V13</f>
        <v>76659.511587420289</v>
      </c>
      <c r="W44" s="291">
        <f t="shared" ref="W44:AD44" si="44">W36+W28+W20+W13</f>
        <v>95146.110514129774</v>
      </c>
      <c r="X44" s="291">
        <f t="shared" si="44"/>
        <v>105736.39576409268</v>
      </c>
      <c r="Y44" s="291">
        <f t="shared" si="44"/>
        <v>112724.9807006038</v>
      </c>
      <c r="Z44" s="291">
        <f t="shared" si="44"/>
        <v>130262.18980704833</v>
      </c>
      <c r="AA44" s="291">
        <f t="shared" si="44"/>
        <v>133926.86425193108</v>
      </c>
      <c r="AB44" s="291">
        <f t="shared" si="44"/>
        <v>165362.28609762629</v>
      </c>
      <c r="AC44" s="291">
        <f t="shared" si="44"/>
        <v>182484.29734090404</v>
      </c>
      <c r="AD44" s="291">
        <f t="shared" si="44"/>
        <v>209525.90987333632</v>
      </c>
      <c r="AE44" s="291">
        <f t="shared" ref="AE44:AF44" si="45">AE36+AE28+AE20+AE13</f>
        <v>179592.25842324135</v>
      </c>
      <c r="AF44" s="291">
        <f t="shared" si="45"/>
        <v>170826.90508327971</v>
      </c>
      <c r="AG44" s="291">
        <f t="shared" ref="AG44" si="46">AG36+AG28+AG20+AG13</f>
        <v>162269.31783028005</v>
      </c>
      <c r="AI44" s="455"/>
      <c r="AJ44" s="260"/>
      <c r="AK44" s="251"/>
    </row>
    <row r="45" spans="1:39" s="269" customFormat="1" ht="12.75" customHeight="1" x14ac:dyDescent="0.25">
      <c r="A45" s="264"/>
      <c r="B45" s="265"/>
      <c r="C45" s="266" t="s">
        <v>285</v>
      </c>
      <c r="D45" s="266"/>
      <c r="F45" s="271" t="str">
        <f t="shared" ref="F45:S45" si="47">IF(F40=0, "n/a", F44/F40)</f>
        <v>n/a</v>
      </c>
      <c r="G45" s="271" t="str">
        <f t="shared" si="47"/>
        <v>n/a</v>
      </c>
      <c r="H45" s="271" t="str">
        <f t="shared" si="47"/>
        <v>n/a</v>
      </c>
      <c r="I45" s="271" t="str">
        <f t="shared" si="47"/>
        <v>n/a</v>
      </c>
      <c r="J45" s="271" t="str">
        <f t="shared" si="47"/>
        <v>n/a</v>
      </c>
      <c r="K45" s="271" t="str">
        <f t="shared" si="47"/>
        <v>n/a</v>
      </c>
      <c r="L45" s="271" t="str">
        <f t="shared" si="47"/>
        <v>n/a</v>
      </c>
      <c r="M45" s="271" t="str">
        <f t="shared" si="47"/>
        <v>n/a</v>
      </c>
      <c r="N45" s="271" t="str">
        <f t="shared" si="47"/>
        <v>n/a</v>
      </c>
      <c r="O45" s="271" t="str">
        <f t="shared" si="47"/>
        <v>n/a</v>
      </c>
      <c r="P45" s="271" t="str">
        <f t="shared" si="47"/>
        <v>n/a</v>
      </c>
      <c r="Q45" s="271" t="str">
        <f t="shared" si="47"/>
        <v>n/a</v>
      </c>
      <c r="R45" s="271" t="str">
        <f t="shared" si="47"/>
        <v>n/a</v>
      </c>
      <c r="S45" s="271">
        <f t="shared" si="47"/>
        <v>0.70540540540540542</v>
      </c>
      <c r="T45" s="271">
        <f>IF(T40=0, "n/a", T44/T40)</f>
        <v>0.69667415208301064</v>
      </c>
      <c r="U45" s="271">
        <f>IF(U40=0, "n/a", U44/U40)</f>
        <v>0.69576746557878644</v>
      </c>
      <c r="V45" s="271">
        <f>IF(V40=0, "n/a", V44/V40)</f>
        <v>0.69488950276243089</v>
      </c>
      <c r="W45" s="271">
        <f t="shared" ref="W45:AD45" si="48">IF(W40=0, "n/a", W44/W40)</f>
        <v>0.69277253866465482</v>
      </c>
      <c r="X45" s="271">
        <f t="shared" si="48"/>
        <v>0.69169742260179956</v>
      </c>
      <c r="Y45" s="271">
        <f t="shared" si="48"/>
        <v>0.68011267406471854</v>
      </c>
      <c r="Z45" s="271">
        <f t="shared" si="48"/>
        <v>0.68490602612616835</v>
      </c>
      <c r="AA45" s="271">
        <f t="shared" si="48"/>
        <v>0.67358529065912454</v>
      </c>
      <c r="AB45" s="271">
        <f t="shared" si="48"/>
        <v>0.69100180676226886</v>
      </c>
      <c r="AC45" s="271">
        <f t="shared" si="48"/>
        <v>0.67955492655471672</v>
      </c>
      <c r="AD45" s="271">
        <f t="shared" si="48"/>
        <v>0.67872943496904559</v>
      </c>
      <c r="AE45" s="271">
        <f t="shared" ref="AE45:AF45" si="49">IF(AE40=0, "n/a", AE44/AE40)</f>
        <v>0.66708361575689012</v>
      </c>
      <c r="AF45" s="271">
        <f t="shared" si="49"/>
        <v>0.65482485869146323</v>
      </c>
      <c r="AG45" s="271">
        <f t="shared" ref="AG45" si="50">IF(AG40=0, "n/a", AG44/AG40)</f>
        <v>0.64192090388575074</v>
      </c>
      <c r="AI45" s="245"/>
      <c r="AJ45" s="265"/>
      <c r="AK45" s="251"/>
      <c r="AL45" s="250"/>
      <c r="AM45" s="250"/>
    </row>
    <row r="52" spans="6:39" ht="12.75" customHeight="1" x14ac:dyDescent="0.25">
      <c r="F52" s="245"/>
      <c r="G52" s="245"/>
      <c r="H52" s="245"/>
      <c r="AK52" s="245"/>
      <c r="AL52" s="245"/>
      <c r="AM52" s="245"/>
    </row>
    <row r="53" spans="6:39" ht="12.75" customHeight="1" x14ac:dyDescent="0.25">
      <c r="W53" s="455"/>
    </row>
    <row r="55" spans="6:39" ht="12.75" customHeight="1" x14ac:dyDescent="0.25">
      <c r="F55" s="245"/>
      <c r="G55" s="245"/>
      <c r="H55" s="245"/>
      <c r="W55" s="3067"/>
      <c r="AK55" s="245"/>
      <c r="AL55" s="245"/>
      <c r="AM55" s="245"/>
    </row>
    <row r="60" spans="6:39" ht="12.75" customHeight="1" x14ac:dyDescent="0.25">
      <c r="F60" s="245"/>
      <c r="G60" s="245"/>
      <c r="H60" s="245"/>
      <c r="AK60" s="245"/>
      <c r="AL60" s="245"/>
      <c r="AM60" s="245"/>
    </row>
    <row r="106" spans="1:39" ht="12.75" customHeight="1" x14ac:dyDescent="0.25">
      <c r="C106" s="273"/>
      <c r="D106" s="273"/>
      <c r="AK106" s="245"/>
      <c r="AL106" s="245"/>
      <c r="AM106" s="245"/>
    </row>
    <row r="107" spans="1:39" ht="12.75" customHeight="1" x14ac:dyDescent="0.25">
      <c r="A107" s="262" t="s">
        <v>268</v>
      </c>
      <c r="C107" s="274"/>
      <c r="D107" s="274"/>
      <c r="AK107" s="245"/>
      <c r="AL107" s="245"/>
      <c r="AM107" s="245"/>
    </row>
    <row r="108" spans="1:39" ht="12.75" customHeight="1" x14ac:dyDescent="0.25">
      <c r="C108" s="274"/>
      <c r="D108" s="274"/>
      <c r="AK108" s="245"/>
      <c r="AL108" s="245"/>
      <c r="AM108" s="245"/>
    </row>
    <row r="109" spans="1:39" ht="12.75" customHeight="1" x14ac:dyDescent="0.25">
      <c r="A109" s="280" t="s">
        <v>133</v>
      </c>
      <c r="B109" s="280" t="s">
        <v>134</v>
      </c>
      <c r="C109" s="254"/>
      <c r="D109" s="254"/>
      <c r="E109" s="246"/>
      <c r="F109" s="245"/>
      <c r="G109" s="245"/>
      <c r="H109" s="245"/>
      <c r="AI109" s="246"/>
      <c r="AJ109" s="246"/>
      <c r="AK109" s="245"/>
      <c r="AL109" s="245"/>
      <c r="AM109" s="245"/>
    </row>
    <row r="110" spans="1:39" ht="12.75" customHeight="1" x14ac:dyDescent="0.25">
      <c r="A110" s="281" t="s">
        <v>112</v>
      </c>
      <c r="B110" s="281" t="s">
        <v>112</v>
      </c>
      <c r="C110" s="254"/>
      <c r="D110" s="254"/>
      <c r="E110" s="246"/>
      <c r="F110" s="245"/>
      <c r="G110" s="245"/>
      <c r="H110" s="245"/>
      <c r="AI110" s="246"/>
      <c r="AJ110" s="246"/>
      <c r="AK110" s="245"/>
      <c r="AL110" s="245"/>
      <c r="AM110" s="245"/>
    </row>
    <row r="111" spans="1:39" ht="12.75" customHeight="1" x14ac:dyDescent="0.25">
      <c r="A111" s="282" t="s">
        <v>149</v>
      </c>
      <c r="B111" s="282" t="s">
        <v>174</v>
      </c>
      <c r="C111" s="254"/>
      <c r="D111" s="254"/>
      <c r="E111" s="246"/>
      <c r="F111" s="245"/>
      <c r="G111" s="245"/>
      <c r="H111" s="245"/>
      <c r="AI111" s="246"/>
      <c r="AJ111" s="246"/>
      <c r="AK111" s="245"/>
      <c r="AL111" s="245"/>
      <c r="AM111" s="245"/>
    </row>
    <row r="112" spans="1:39" ht="12.75" customHeight="1" x14ac:dyDescent="0.25">
      <c r="A112" s="283" t="s">
        <v>228</v>
      </c>
      <c r="B112" s="282" t="s">
        <v>177</v>
      </c>
      <c r="C112" s="254"/>
      <c r="D112" s="254"/>
      <c r="E112" s="246"/>
      <c r="F112" s="245"/>
      <c r="G112" s="245"/>
      <c r="H112" s="245"/>
      <c r="AI112" s="246"/>
      <c r="AJ112" s="246"/>
      <c r="AK112" s="245"/>
      <c r="AL112" s="245"/>
      <c r="AM112" s="245"/>
    </row>
    <row r="113" spans="1:39" ht="12.75" customHeight="1" x14ac:dyDescent="0.25">
      <c r="A113" s="282" t="s">
        <v>139</v>
      </c>
      <c r="B113" s="282" t="s">
        <v>176</v>
      </c>
      <c r="C113" s="254"/>
      <c r="D113" s="254"/>
      <c r="E113" s="246"/>
      <c r="F113" s="245"/>
      <c r="G113" s="245"/>
      <c r="H113" s="245"/>
      <c r="AI113" s="246"/>
      <c r="AJ113" s="246"/>
      <c r="AK113" s="245"/>
      <c r="AL113" s="245"/>
      <c r="AM113" s="245"/>
    </row>
    <row r="114" spans="1:39" ht="12.75" customHeight="1" x14ac:dyDescent="0.25">
      <c r="A114" s="283" t="s">
        <v>157</v>
      </c>
      <c r="B114" s="282" t="s">
        <v>175</v>
      </c>
      <c r="C114" s="254"/>
      <c r="D114" s="254"/>
      <c r="E114" s="246"/>
      <c r="F114" s="245"/>
      <c r="G114" s="245"/>
      <c r="H114" s="245"/>
      <c r="AI114" s="246"/>
      <c r="AJ114" s="246"/>
      <c r="AK114" s="245"/>
      <c r="AL114" s="245"/>
      <c r="AM114" s="245"/>
    </row>
    <row r="115" spans="1:39" ht="12.75" customHeight="1" x14ac:dyDescent="0.25">
      <c r="A115" s="283" t="s">
        <v>153</v>
      </c>
      <c r="B115" s="283" t="s">
        <v>210</v>
      </c>
      <c r="C115" s="254"/>
      <c r="D115" s="254"/>
      <c r="E115" s="246"/>
      <c r="F115" s="245"/>
      <c r="G115" s="245"/>
      <c r="H115" s="245"/>
      <c r="AI115" s="246"/>
      <c r="AJ115" s="246"/>
      <c r="AK115" s="245"/>
      <c r="AL115" s="245"/>
      <c r="AM115" s="245"/>
    </row>
    <row r="116" spans="1:39" ht="12.75" customHeight="1" x14ac:dyDescent="0.25">
      <c r="A116" s="282" t="s">
        <v>138</v>
      </c>
      <c r="B116" s="283" t="s">
        <v>233</v>
      </c>
      <c r="C116" s="254"/>
      <c r="D116" s="254"/>
      <c r="E116" s="246"/>
      <c r="F116" s="245"/>
      <c r="G116" s="245"/>
      <c r="H116" s="245"/>
      <c r="AI116" s="246"/>
      <c r="AJ116" s="246"/>
      <c r="AK116" s="245"/>
      <c r="AL116" s="245"/>
      <c r="AM116" s="245"/>
    </row>
    <row r="117" spans="1:39" ht="12.75" customHeight="1" x14ac:dyDescent="0.25">
      <c r="A117" s="282" t="s">
        <v>142</v>
      </c>
      <c r="B117" s="283" t="s">
        <v>234</v>
      </c>
      <c r="C117" s="254"/>
      <c r="D117" s="254"/>
      <c r="E117" s="246"/>
      <c r="F117" s="245"/>
      <c r="G117" s="245"/>
      <c r="H117" s="245"/>
      <c r="AI117" s="246"/>
      <c r="AJ117" s="246"/>
      <c r="AK117" s="245"/>
      <c r="AL117" s="245"/>
      <c r="AM117" s="245"/>
    </row>
    <row r="118" spans="1:39" ht="12.75" customHeight="1" x14ac:dyDescent="0.25">
      <c r="A118" s="283" t="s">
        <v>142</v>
      </c>
      <c r="B118" s="283" t="s">
        <v>235</v>
      </c>
      <c r="C118" s="254"/>
      <c r="D118" s="254"/>
      <c r="E118" s="246"/>
      <c r="F118" s="245"/>
      <c r="G118" s="245"/>
      <c r="H118" s="245"/>
      <c r="AI118" s="246"/>
      <c r="AJ118" s="246"/>
      <c r="AK118" s="245"/>
      <c r="AL118" s="245"/>
      <c r="AM118" s="245"/>
    </row>
    <row r="119" spans="1:39" ht="12.75" customHeight="1" x14ac:dyDescent="0.25">
      <c r="A119" s="283" t="s">
        <v>230</v>
      </c>
      <c r="B119" s="283" t="s">
        <v>231</v>
      </c>
      <c r="C119" s="254"/>
      <c r="D119" s="254"/>
      <c r="E119" s="246"/>
      <c r="F119" s="245"/>
      <c r="G119" s="245"/>
      <c r="H119" s="245"/>
      <c r="AI119" s="246"/>
      <c r="AJ119" s="246"/>
      <c r="AK119" s="245"/>
      <c r="AL119" s="245"/>
      <c r="AM119" s="245"/>
    </row>
    <row r="120" spans="1:39" ht="12.75" customHeight="1" x14ac:dyDescent="0.25">
      <c r="A120" s="283" t="s">
        <v>229</v>
      </c>
      <c r="B120" s="283" t="s">
        <v>232</v>
      </c>
      <c r="C120" s="254"/>
      <c r="D120" s="254"/>
      <c r="E120" s="246"/>
      <c r="F120" s="245"/>
      <c r="G120" s="245"/>
      <c r="H120" s="245"/>
      <c r="AI120" s="246"/>
      <c r="AJ120" s="246"/>
      <c r="AK120" s="245"/>
      <c r="AL120" s="245"/>
      <c r="AM120" s="245"/>
    </row>
    <row r="121" spans="1:39" ht="12.75" customHeight="1" x14ac:dyDescent="0.25">
      <c r="A121" s="282" t="s">
        <v>146</v>
      </c>
      <c r="B121" s="283" t="s">
        <v>236</v>
      </c>
      <c r="C121" s="254"/>
      <c r="D121" s="254"/>
      <c r="E121" s="246"/>
      <c r="F121" s="245"/>
      <c r="G121" s="245"/>
      <c r="H121" s="245"/>
      <c r="AI121" s="246"/>
      <c r="AJ121" s="246"/>
      <c r="AK121" s="245"/>
      <c r="AL121" s="245"/>
      <c r="AM121" s="245"/>
    </row>
    <row r="122" spans="1:39" ht="12.75" customHeight="1" x14ac:dyDescent="0.25">
      <c r="A122" s="282" t="s">
        <v>198</v>
      </c>
      <c r="B122" s="282" t="s">
        <v>189</v>
      </c>
      <c r="C122" s="254"/>
      <c r="D122" s="254"/>
      <c r="E122" s="246"/>
      <c r="F122" s="245"/>
      <c r="G122" s="245"/>
      <c r="H122" s="245"/>
      <c r="AI122" s="246"/>
      <c r="AJ122" s="246"/>
      <c r="AK122" s="245"/>
      <c r="AL122" s="245"/>
      <c r="AM122" s="245"/>
    </row>
    <row r="123" spans="1:39" ht="12.75" customHeight="1" x14ac:dyDescent="0.25">
      <c r="A123" s="283" t="s">
        <v>159</v>
      </c>
      <c r="B123" s="283" t="s">
        <v>214</v>
      </c>
      <c r="C123" s="254"/>
      <c r="D123" s="254"/>
      <c r="E123" s="246"/>
      <c r="F123" s="245"/>
      <c r="G123" s="245"/>
      <c r="H123" s="245"/>
      <c r="AI123" s="246"/>
      <c r="AJ123" s="246"/>
      <c r="AK123" s="245"/>
      <c r="AL123" s="245"/>
      <c r="AM123" s="245"/>
    </row>
    <row r="124" spans="1:39" ht="12.75" customHeight="1" x14ac:dyDescent="0.25">
      <c r="A124" s="283" t="s">
        <v>155</v>
      </c>
      <c r="B124" s="283" t="s">
        <v>205</v>
      </c>
      <c r="C124" s="254"/>
      <c r="D124" s="254"/>
      <c r="E124" s="246"/>
      <c r="F124" s="245"/>
      <c r="G124" s="245"/>
      <c r="H124" s="245"/>
      <c r="AI124" s="246"/>
      <c r="AJ124" s="246"/>
      <c r="AK124" s="245"/>
      <c r="AL124" s="245"/>
      <c r="AM124" s="245"/>
    </row>
    <row r="125" spans="1:39" ht="12.75" customHeight="1" x14ac:dyDescent="0.25">
      <c r="A125" s="282" t="s">
        <v>147</v>
      </c>
      <c r="B125" s="283" t="s">
        <v>206</v>
      </c>
      <c r="C125" s="254"/>
      <c r="D125" s="254"/>
      <c r="E125" s="246"/>
      <c r="F125" s="245"/>
      <c r="G125" s="245"/>
      <c r="H125" s="245"/>
      <c r="AI125" s="246"/>
      <c r="AJ125" s="246"/>
      <c r="AK125" s="245"/>
      <c r="AL125" s="245"/>
      <c r="AM125" s="245"/>
    </row>
    <row r="126" spans="1:39" ht="12.75" customHeight="1" x14ac:dyDescent="0.25">
      <c r="A126" s="282" t="s">
        <v>143</v>
      </c>
      <c r="B126" s="283" t="s">
        <v>204</v>
      </c>
      <c r="C126" s="254"/>
      <c r="D126" s="254"/>
      <c r="E126" s="246"/>
      <c r="F126" s="245"/>
      <c r="G126" s="245"/>
      <c r="H126" s="245"/>
      <c r="AI126" s="246"/>
      <c r="AJ126" s="246"/>
      <c r="AK126" s="245"/>
      <c r="AL126" s="245"/>
      <c r="AM126" s="245"/>
    </row>
    <row r="127" spans="1:39" ht="12.75" customHeight="1" x14ac:dyDescent="0.25">
      <c r="A127" s="283" t="s">
        <v>152</v>
      </c>
      <c r="B127" s="282" t="s">
        <v>199</v>
      </c>
      <c r="C127" s="254"/>
      <c r="D127" s="254"/>
      <c r="E127" s="246"/>
      <c r="F127" s="245"/>
      <c r="G127" s="245"/>
      <c r="H127" s="245"/>
      <c r="AI127" s="246"/>
      <c r="AJ127" s="246"/>
      <c r="AK127" s="245"/>
      <c r="AL127" s="245"/>
      <c r="AM127" s="245"/>
    </row>
    <row r="128" spans="1:39" ht="12.75" customHeight="1" x14ac:dyDescent="0.25">
      <c r="A128" s="283" t="s">
        <v>227</v>
      </c>
      <c r="B128" s="282" t="s">
        <v>200</v>
      </c>
      <c r="C128" s="254"/>
      <c r="D128" s="254"/>
      <c r="E128" s="246"/>
      <c r="F128" s="245"/>
      <c r="G128" s="245"/>
      <c r="H128" s="245"/>
      <c r="AI128" s="246"/>
      <c r="AJ128" s="246"/>
      <c r="AK128" s="245"/>
      <c r="AL128" s="245"/>
      <c r="AM128" s="245"/>
    </row>
    <row r="129" spans="1:39" ht="12.75" customHeight="1" x14ac:dyDescent="0.25">
      <c r="A129" s="282" t="s">
        <v>144</v>
      </c>
      <c r="B129" s="283" t="s">
        <v>203</v>
      </c>
      <c r="C129" s="254"/>
      <c r="D129" s="254"/>
      <c r="E129" s="246"/>
      <c r="F129" s="245"/>
      <c r="G129" s="245"/>
      <c r="H129" s="245"/>
      <c r="AI129" s="246"/>
      <c r="AJ129" s="246"/>
      <c r="AK129" s="245"/>
      <c r="AL129" s="245"/>
      <c r="AM129" s="245"/>
    </row>
    <row r="130" spans="1:39" ht="12.75" customHeight="1" x14ac:dyDescent="0.25">
      <c r="A130" s="282" t="s">
        <v>160</v>
      </c>
      <c r="B130" s="282" t="s">
        <v>161</v>
      </c>
      <c r="C130" s="254"/>
      <c r="D130" s="254"/>
      <c r="E130" s="246"/>
      <c r="F130" s="245"/>
      <c r="G130" s="245"/>
      <c r="H130" s="245"/>
      <c r="AI130" s="246"/>
      <c r="AJ130" s="246"/>
      <c r="AK130" s="245"/>
      <c r="AL130" s="245"/>
      <c r="AM130" s="245"/>
    </row>
    <row r="131" spans="1:39" ht="12.75" customHeight="1" x14ac:dyDescent="0.25">
      <c r="A131" s="283" t="s">
        <v>154</v>
      </c>
      <c r="B131" s="283" t="s">
        <v>209</v>
      </c>
      <c r="C131" s="254"/>
      <c r="D131" s="254"/>
      <c r="E131" s="246"/>
      <c r="F131" s="245"/>
      <c r="G131" s="245"/>
      <c r="H131" s="245"/>
      <c r="AI131" s="246"/>
      <c r="AJ131" s="246"/>
      <c r="AK131" s="245"/>
      <c r="AL131" s="245"/>
      <c r="AM131" s="245"/>
    </row>
    <row r="132" spans="1:39" ht="12.75" customHeight="1" x14ac:dyDescent="0.25">
      <c r="A132" s="282" t="s">
        <v>145</v>
      </c>
      <c r="B132" s="282" t="s">
        <v>169</v>
      </c>
      <c r="C132" s="254"/>
      <c r="D132" s="254"/>
      <c r="E132" s="246"/>
      <c r="F132" s="245"/>
      <c r="G132" s="245"/>
      <c r="H132" s="245"/>
      <c r="AI132" s="246"/>
      <c r="AJ132" s="246"/>
      <c r="AK132" s="245"/>
      <c r="AL132" s="245"/>
      <c r="AM132" s="245"/>
    </row>
    <row r="133" spans="1:39" ht="12.75" customHeight="1" x14ac:dyDescent="0.25">
      <c r="A133" s="283" t="s">
        <v>151</v>
      </c>
      <c r="B133" s="282" t="s">
        <v>172</v>
      </c>
      <c r="C133" s="254"/>
      <c r="D133" s="254"/>
      <c r="E133" s="246"/>
      <c r="F133" s="245"/>
      <c r="G133" s="245"/>
      <c r="H133" s="245"/>
      <c r="AI133" s="246"/>
      <c r="AJ133" s="246"/>
      <c r="AK133" s="245"/>
      <c r="AL133" s="245"/>
      <c r="AM133" s="245"/>
    </row>
    <row r="134" spans="1:39" ht="12.75" customHeight="1" x14ac:dyDescent="0.25">
      <c r="A134" s="282" t="s">
        <v>141</v>
      </c>
      <c r="B134" s="282" t="s">
        <v>166</v>
      </c>
      <c r="C134" s="254"/>
      <c r="D134" s="254"/>
      <c r="E134" s="246"/>
      <c r="F134" s="245"/>
      <c r="G134" s="245"/>
      <c r="H134" s="245"/>
      <c r="AI134" s="246"/>
      <c r="AJ134" s="246"/>
      <c r="AK134" s="245"/>
      <c r="AL134" s="245"/>
      <c r="AM134" s="245"/>
    </row>
    <row r="135" spans="1:39" ht="12.75" customHeight="1" x14ac:dyDescent="0.25">
      <c r="A135" s="283" t="s">
        <v>156</v>
      </c>
      <c r="B135" s="282" t="s">
        <v>170</v>
      </c>
      <c r="C135" s="254"/>
      <c r="D135" s="254"/>
      <c r="E135" s="246"/>
      <c r="F135" s="245"/>
      <c r="G135" s="245"/>
      <c r="H135" s="245"/>
      <c r="AI135" s="246"/>
      <c r="AJ135" s="246"/>
      <c r="AK135" s="245"/>
      <c r="AL135" s="245"/>
      <c r="AM135" s="245"/>
    </row>
    <row r="136" spans="1:39" ht="12.75" customHeight="1" x14ac:dyDescent="0.25">
      <c r="A136" s="283" t="s">
        <v>150</v>
      </c>
      <c r="B136" s="282" t="s">
        <v>173</v>
      </c>
      <c r="C136" s="254"/>
      <c r="D136" s="254"/>
      <c r="E136" s="246"/>
      <c r="F136" s="245"/>
      <c r="G136" s="245"/>
      <c r="H136" s="245"/>
      <c r="AI136" s="246"/>
      <c r="AJ136" s="246"/>
      <c r="AK136" s="245"/>
      <c r="AL136" s="245"/>
      <c r="AM136" s="245"/>
    </row>
    <row r="137" spans="1:39" ht="12.75" customHeight="1" x14ac:dyDescent="0.25">
      <c r="A137" s="282" t="s">
        <v>148</v>
      </c>
      <c r="B137" s="282" t="s">
        <v>168</v>
      </c>
      <c r="C137" s="254"/>
      <c r="D137" s="254"/>
      <c r="E137" s="246"/>
      <c r="F137" s="245"/>
      <c r="G137" s="245"/>
      <c r="H137" s="245"/>
      <c r="AI137" s="246"/>
      <c r="AJ137" s="246"/>
      <c r="AK137" s="245"/>
      <c r="AL137" s="245"/>
      <c r="AM137" s="245"/>
    </row>
    <row r="138" spans="1:39" ht="12.75" customHeight="1" x14ac:dyDescent="0.25">
      <c r="A138" s="283" t="s">
        <v>158</v>
      </c>
      <c r="B138" s="282" t="s">
        <v>171</v>
      </c>
      <c r="C138" s="254"/>
      <c r="D138" s="254"/>
      <c r="E138" s="246"/>
      <c r="F138" s="245"/>
      <c r="G138" s="245"/>
      <c r="H138" s="245"/>
      <c r="AI138" s="246"/>
      <c r="AJ138" s="246"/>
      <c r="AK138" s="245"/>
      <c r="AL138" s="245"/>
      <c r="AM138" s="245"/>
    </row>
    <row r="139" spans="1:39" ht="12.75" customHeight="1" x14ac:dyDescent="0.25">
      <c r="A139" s="283" t="s">
        <v>226</v>
      </c>
      <c r="B139" s="282" t="s">
        <v>167</v>
      </c>
      <c r="C139" s="254"/>
      <c r="D139" s="254"/>
      <c r="E139" s="246"/>
      <c r="F139" s="245"/>
      <c r="G139" s="245"/>
      <c r="H139" s="245"/>
      <c r="AI139" s="246"/>
      <c r="AJ139" s="246"/>
      <c r="AK139" s="245"/>
      <c r="AL139" s="245"/>
      <c r="AM139" s="245"/>
    </row>
    <row r="140" spans="1:39" ht="12.75" customHeight="1" x14ac:dyDescent="0.25">
      <c r="A140" s="282" t="s">
        <v>140</v>
      </c>
      <c r="B140" s="282" t="s">
        <v>197</v>
      </c>
      <c r="C140" s="254"/>
      <c r="D140" s="254"/>
      <c r="E140" s="246"/>
      <c r="F140" s="245"/>
      <c r="G140" s="245"/>
      <c r="H140" s="245"/>
      <c r="AI140" s="246"/>
      <c r="AJ140" s="246"/>
      <c r="AK140" s="245"/>
      <c r="AL140" s="245"/>
      <c r="AM140" s="245"/>
    </row>
    <row r="141" spans="1:39" ht="12.75" customHeight="1" x14ac:dyDescent="0.25">
      <c r="A141" s="284" t="s">
        <v>262</v>
      </c>
      <c r="B141" s="283" t="s">
        <v>244</v>
      </c>
      <c r="C141" s="254"/>
      <c r="D141" s="254"/>
      <c r="E141" s="246"/>
      <c r="F141" s="245"/>
      <c r="G141" s="245"/>
      <c r="H141" s="245"/>
      <c r="AI141" s="246"/>
      <c r="AJ141" s="246"/>
      <c r="AK141" s="245"/>
      <c r="AL141" s="245"/>
      <c r="AM141" s="245"/>
    </row>
    <row r="142" spans="1:39" ht="12.75" customHeight="1" x14ac:dyDescent="0.25">
      <c r="A142" s="285" t="s">
        <v>54</v>
      </c>
      <c r="B142" s="283" t="s">
        <v>238</v>
      </c>
      <c r="C142" s="254"/>
      <c r="D142" s="254"/>
      <c r="E142" s="246"/>
      <c r="F142" s="245"/>
      <c r="G142" s="245"/>
      <c r="H142" s="245"/>
      <c r="AI142" s="246"/>
      <c r="AJ142" s="246"/>
      <c r="AK142" s="245"/>
      <c r="AL142" s="245"/>
      <c r="AM142" s="245"/>
    </row>
    <row r="143" spans="1:39" ht="12.75" customHeight="1" x14ac:dyDescent="0.25">
      <c r="A143" s="254"/>
      <c r="B143" s="283" t="s">
        <v>240</v>
      </c>
      <c r="C143" s="254"/>
      <c r="D143" s="254"/>
      <c r="E143" s="246"/>
      <c r="F143" s="245"/>
      <c r="G143" s="245"/>
      <c r="H143" s="245"/>
      <c r="AI143" s="246"/>
      <c r="AJ143" s="246"/>
      <c r="AK143" s="245"/>
      <c r="AL143" s="245"/>
      <c r="AM143" s="245"/>
    </row>
    <row r="144" spans="1:39" ht="12.75" customHeight="1" x14ac:dyDescent="0.25">
      <c r="A144" s="254"/>
      <c r="B144" s="283" t="s">
        <v>241</v>
      </c>
      <c r="C144" s="254"/>
      <c r="D144" s="254"/>
      <c r="E144" s="246"/>
      <c r="F144" s="245"/>
      <c r="G144" s="245"/>
      <c r="H144" s="245"/>
      <c r="AI144" s="246"/>
      <c r="AJ144" s="246"/>
      <c r="AK144" s="245"/>
      <c r="AL144" s="245"/>
      <c r="AM144" s="245"/>
    </row>
    <row r="145" spans="1:39" ht="12.75" customHeight="1" x14ac:dyDescent="0.25">
      <c r="A145" s="254"/>
      <c r="B145" s="283" t="s">
        <v>245</v>
      </c>
      <c r="C145" s="254"/>
      <c r="D145" s="254"/>
      <c r="E145" s="246"/>
      <c r="F145" s="245"/>
      <c r="G145" s="245"/>
      <c r="H145" s="245"/>
      <c r="AI145" s="246"/>
      <c r="AJ145" s="246"/>
      <c r="AK145" s="245"/>
      <c r="AL145" s="245"/>
      <c r="AM145" s="245"/>
    </row>
    <row r="146" spans="1:39" ht="12.75" customHeight="1" x14ac:dyDescent="0.25">
      <c r="A146" s="254"/>
      <c r="B146" s="283" t="s">
        <v>247</v>
      </c>
      <c r="C146" s="254"/>
      <c r="D146" s="254"/>
      <c r="E146" s="246"/>
      <c r="F146" s="245"/>
      <c r="G146" s="245"/>
      <c r="H146" s="245"/>
      <c r="AI146" s="246"/>
      <c r="AJ146" s="246"/>
      <c r="AK146" s="245"/>
      <c r="AL146" s="245"/>
      <c r="AM146" s="245"/>
    </row>
    <row r="147" spans="1:39" ht="12.75" customHeight="1" x14ac:dyDescent="0.25">
      <c r="A147" s="254"/>
      <c r="B147" s="283" t="s">
        <v>237</v>
      </c>
      <c r="C147" s="254"/>
      <c r="D147" s="254"/>
      <c r="E147" s="246"/>
      <c r="F147" s="245"/>
      <c r="G147" s="245"/>
      <c r="H147" s="245"/>
      <c r="AI147" s="246"/>
      <c r="AJ147" s="246"/>
      <c r="AK147" s="245"/>
      <c r="AL147" s="245"/>
      <c r="AM147" s="245"/>
    </row>
    <row r="148" spans="1:39" ht="12.75" customHeight="1" x14ac:dyDescent="0.25">
      <c r="A148" s="254"/>
      <c r="B148" s="283" t="s">
        <v>239</v>
      </c>
      <c r="C148" s="254"/>
      <c r="D148" s="254"/>
      <c r="E148" s="246"/>
      <c r="F148" s="245"/>
      <c r="G148" s="245"/>
      <c r="H148" s="245"/>
      <c r="AI148" s="246"/>
      <c r="AJ148" s="246"/>
      <c r="AK148" s="245"/>
      <c r="AL148" s="245"/>
      <c r="AM148" s="245"/>
    </row>
    <row r="149" spans="1:39" ht="12.75" customHeight="1" x14ac:dyDescent="0.25">
      <c r="A149" s="254"/>
      <c r="B149" s="283" t="s">
        <v>246</v>
      </c>
      <c r="C149" s="254"/>
      <c r="D149" s="254"/>
      <c r="E149" s="246"/>
      <c r="F149" s="245"/>
      <c r="G149" s="245"/>
      <c r="H149" s="245"/>
      <c r="AI149" s="246"/>
      <c r="AJ149" s="246"/>
      <c r="AK149" s="245"/>
      <c r="AL149" s="245"/>
      <c r="AM149" s="245"/>
    </row>
    <row r="150" spans="1:39" ht="12.75" customHeight="1" x14ac:dyDescent="0.25">
      <c r="A150" s="254"/>
      <c r="B150" s="282" t="s">
        <v>187</v>
      </c>
      <c r="C150" s="254"/>
      <c r="D150" s="254"/>
      <c r="E150" s="246"/>
      <c r="F150" s="245"/>
      <c r="G150" s="245"/>
      <c r="H150" s="245"/>
      <c r="AI150" s="246"/>
      <c r="AJ150" s="246"/>
      <c r="AK150" s="245"/>
      <c r="AL150" s="245"/>
      <c r="AM150" s="245"/>
    </row>
    <row r="151" spans="1:39" ht="12.75" customHeight="1" x14ac:dyDescent="0.25">
      <c r="A151" s="254"/>
      <c r="B151" s="283" t="s">
        <v>242</v>
      </c>
      <c r="C151" s="254"/>
      <c r="D151" s="254"/>
      <c r="E151" s="246"/>
      <c r="F151" s="245"/>
      <c r="G151" s="245"/>
      <c r="H151" s="245"/>
      <c r="AI151" s="246"/>
      <c r="AJ151" s="246"/>
      <c r="AK151" s="245"/>
      <c r="AL151" s="245"/>
      <c r="AM151" s="245"/>
    </row>
    <row r="152" spans="1:39" ht="12.75" customHeight="1" x14ac:dyDescent="0.25">
      <c r="A152" s="254"/>
      <c r="B152" s="283" t="s">
        <v>243</v>
      </c>
      <c r="C152" s="254"/>
      <c r="D152" s="254"/>
      <c r="E152" s="246"/>
      <c r="F152" s="245"/>
      <c r="G152" s="245"/>
      <c r="H152" s="245"/>
      <c r="AI152" s="246"/>
      <c r="AJ152" s="246"/>
      <c r="AK152" s="245"/>
      <c r="AL152" s="245"/>
      <c r="AM152" s="245"/>
    </row>
    <row r="153" spans="1:39" ht="12.75" customHeight="1" x14ac:dyDescent="0.25">
      <c r="A153" s="254"/>
      <c r="B153" s="282" t="s">
        <v>188</v>
      </c>
      <c r="C153" s="254"/>
      <c r="D153" s="254"/>
      <c r="E153" s="246"/>
      <c r="F153" s="245"/>
      <c r="G153" s="245"/>
      <c r="H153" s="245"/>
      <c r="AI153" s="246"/>
      <c r="AJ153" s="246"/>
      <c r="AK153" s="245"/>
      <c r="AL153" s="245"/>
      <c r="AM153" s="245"/>
    </row>
    <row r="154" spans="1:39" ht="12.75" customHeight="1" x14ac:dyDescent="0.25">
      <c r="A154" s="254"/>
      <c r="B154" s="282" t="s">
        <v>162</v>
      </c>
      <c r="C154" s="254"/>
      <c r="D154" s="254"/>
      <c r="E154" s="246"/>
      <c r="F154" s="245"/>
      <c r="G154" s="245"/>
      <c r="H154" s="245"/>
      <c r="AI154" s="246"/>
      <c r="AJ154" s="246"/>
      <c r="AK154" s="245"/>
      <c r="AL154" s="245"/>
      <c r="AM154" s="245"/>
    </row>
    <row r="155" spans="1:39" ht="12.75" customHeight="1" x14ac:dyDescent="0.25">
      <c r="A155" s="254"/>
      <c r="B155" s="283" t="s">
        <v>230</v>
      </c>
      <c r="C155" s="254"/>
      <c r="D155" s="254"/>
      <c r="E155" s="246"/>
      <c r="F155" s="245"/>
      <c r="G155" s="245"/>
      <c r="H155" s="245"/>
      <c r="AI155" s="246"/>
      <c r="AJ155" s="246"/>
      <c r="AK155" s="245"/>
      <c r="AL155" s="245"/>
      <c r="AM155" s="245"/>
    </row>
    <row r="156" spans="1:39" ht="12.75" customHeight="1" x14ac:dyDescent="0.25">
      <c r="A156" s="254"/>
      <c r="B156" s="283" t="s">
        <v>213</v>
      </c>
      <c r="C156" s="254"/>
      <c r="D156" s="254"/>
      <c r="E156" s="246"/>
      <c r="F156" s="245"/>
      <c r="G156" s="245"/>
      <c r="H156" s="245"/>
      <c r="AI156" s="246"/>
      <c r="AJ156" s="246"/>
      <c r="AK156" s="245"/>
      <c r="AL156" s="245"/>
      <c r="AM156" s="245"/>
    </row>
    <row r="157" spans="1:39" ht="12.75" customHeight="1" x14ac:dyDescent="0.25">
      <c r="A157" s="254"/>
      <c r="B157" s="283" t="s">
        <v>229</v>
      </c>
      <c r="C157" s="254"/>
      <c r="D157" s="254"/>
      <c r="E157" s="246"/>
      <c r="F157" s="245"/>
      <c r="G157" s="245"/>
      <c r="H157" s="245"/>
      <c r="AI157" s="246"/>
      <c r="AJ157" s="246"/>
      <c r="AK157" s="245"/>
      <c r="AL157" s="245"/>
      <c r="AM157" s="245"/>
    </row>
    <row r="158" spans="1:39" ht="12.75" customHeight="1" x14ac:dyDescent="0.25">
      <c r="A158" s="254"/>
      <c r="B158" s="282" t="s">
        <v>198</v>
      </c>
      <c r="C158" s="254"/>
      <c r="D158" s="254"/>
      <c r="E158" s="246"/>
      <c r="H158" s="245"/>
      <c r="AK158" s="245"/>
      <c r="AL158" s="245"/>
      <c r="AM158" s="245"/>
    </row>
    <row r="159" spans="1:39" ht="12.75" customHeight="1" x14ac:dyDescent="0.25">
      <c r="A159" s="254"/>
      <c r="B159" s="282" t="s">
        <v>202</v>
      </c>
      <c r="C159" s="254"/>
      <c r="D159" s="254"/>
      <c r="E159" s="246"/>
      <c r="H159" s="245"/>
      <c r="AK159" s="245"/>
      <c r="AL159" s="245"/>
      <c r="AM159" s="245"/>
    </row>
    <row r="160" spans="1:39" ht="12.75" customHeight="1" x14ac:dyDescent="0.25">
      <c r="A160" s="254"/>
      <c r="B160" s="283" t="s">
        <v>208</v>
      </c>
      <c r="C160" s="254"/>
      <c r="D160" s="254"/>
      <c r="E160" s="246"/>
      <c r="H160" s="245"/>
      <c r="AK160" s="245"/>
      <c r="AL160" s="245"/>
      <c r="AM160" s="245"/>
    </row>
    <row r="161" spans="1:39" ht="12.75" customHeight="1" x14ac:dyDescent="0.25">
      <c r="A161" s="254"/>
      <c r="B161" s="283" t="s">
        <v>164</v>
      </c>
      <c r="C161" s="254"/>
      <c r="D161" s="254"/>
      <c r="E161" s="246"/>
      <c r="H161" s="245"/>
      <c r="AK161" s="245"/>
      <c r="AL161" s="245"/>
      <c r="AM161" s="245"/>
    </row>
    <row r="162" spans="1:39" ht="12.75" customHeight="1" x14ac:dyDescent="0.25">
      <c r="A162" s="254"/>
      <c r="B162" s="283" t="s">
        <v>260</v>
      </c>
      <c r="C162" s="254"/>
      <c r="D162" s="254"/>
      <c r="E162" s="246"/>
      <c r="H162" s="245"/>
      <c r="AK162" s="245"/>
      <c r="AL162" s="245"/>
      <c r="AM162" s="245"/>
    </row>
    <row r="163" spans="1:39" ht="12.75" customHeight="1" x14ac:dyDescent="0.25">
      <c r="A163" s="254"/>
      <c r="B163" s="283" t="s">
        <v>259</v>
      </c>
      <c r="C163" s="254"/>
      <c r="D163" s="254"/>
      <c r="E163" s="246"/>
      <c r="H163" s="245"/>
      <c r="AK163" s="245"/>
      <c r="AL163" s="245"/>
      <c r="AM163" s="245"/>
    </row>
    <row r="164" spans="1:39" ht="12.75" customHeight="1" x14ac:dyDescent="0.25">
      <c r="A164" s="254"/>
      <c r="B164" s="283" t="s">
        <v>207</v>
      </c>
      <c r="C164" s="254"/>
      <c r="D164" s="254"/>
      <c r="E164" s="246"/>
      <c r="H164" s="245"/>
      <c r="AK164" s="245"/>
      <c r="AL164" s="245"/>
      <c r="AM164" s="245"/>
    </row>
    <row r="165" spans="1:39" ht="12.75" customHeight="1" x14ac:dyDescent="0.25">
      <c r="A165" s="254"/>
      <c r="B165" s="283" t="s">
        <v>155</v>
      </c>
      <c r="C165" s="254"/>
      <c r="D165" s="254"/>
      <c r="E165" s="246"/>
      <c r="H165" s="245"/>
      <c r="AK165" s="245"/>
      <c r="AL165" s="245"/>
      <c r="AM165" s="245"/>
    </row>
    <row r="166" spans="1:39" ht="12.75" customHeight="1" x14ac:dyDescent="0.25">
      <c r="A166" s="254"/>
      <c r="B166" s="282" t="s">
        <v>147</v>
      </c>
      <c r="C166" s="254"/>
      <c r="D166" s="254"/>
      <c r="E166" s="246"/>
      <c r="H166" s="245"/>
      <c r="AK166" s="245"/>
      <c r="AL166" s="245"/>
      <c r="AM166" s="245"/>
    </row>
    <row r="167" spans="1:39" ht="12.75" customHeight="1" x14ac:dyDescent="0.25">
      <c r="A167" s="254"/>
      <c r="B167" s="282" t="s">
        <v>192</v>
      </c>
      <c r="C167" s="254"/>
      <c r="D167" s="254"/>
      <c r="E167" s="246"/>
      <c r="H167" s="245"/>
      <c r="AK167" s="245"/>
      <c r="AL167" s="245"/>
      <c r="AM167" s="245"/>
    </row>
    <row r="168" spans="1:39" ht="12.75" customHeight="1" x14ac:dyDescent="0.25">
      <c r="A168" s="254"/>
      <c r="B168" s="282" t="s">
        <v>190</v>
      </c>
      <c r="C168" s="254"/>
      <c r="D168" s="254"/>
      <c r="E168" s="246"/>
      <c r="H168" s="245"/>
      <c r="AK168" s="245"/>
      <c r="AL168" s="245"/>
      <c r="AM168" s="245"/>
    </row>
    <row r="169" spans="1:39" ht="12.75" customHeight="1" x14ac:dyDescent="0.25">
      <c r="A169" s="254"/>
      <c r="B169" s="282" t="s">
        <v>191</v>
      </c>
      <c r="C169" s="254"/>
      <c r="D169" s="254"/>
      <c r="E169" s="246"/>
      <c r="H169" s="245"/>
      <c r="AK169" s="245"/>
      <c r="AL169" s="245"/>
      <c r="AM169" s="245"/>
    </row>
    <row r="170" spans="1:39" ht="12.75" customHeight="1" x14ac:dyDescent="0.25">
      <c r="A170" s="254"/>
      <c r="B170" s="283" t="s">
        <v>212</v>
      </c>
      <c r="C170" s="254"/>
      <c r="D170" s="254"/>
      <c r="E170" s="246"/>
      <c r="H170" s="245"/>
      <c r="AK170" s="245"/>
      <c r="AL170" s="245"/>
      <c r="AM170" s="245"/>
    </row>
    <row r="171" spans="1:39" ht="12.75" customHeight="1" x14ac:dyDescent="0.25">
      <c r="A171" s="254"/>
      <c r="B171" s="283" t="s">
        <v>227</v>
      </c>
      <c r="C171" s="254"/>
      <c r="D171" s="254"/>
      <c r="E171" s="246"/>
      <c r="H171" s="245"/>
      <c r="AK171" s="245"/>
      <c r="AL171" s="245"/>
      <c r="AM171" s="245"/>
    </row>
    <row r="172" spans="1:39" ht="12.75" customHeight="1" x14ac:dyDescent="0.25">
      <c r="A172" s="254"/>
      <c r="B172" s="282" t="s">
        <v>193</v>
      </c>
      <c r="C172" s="254"/>
      <c r="D172" s="254"/>
      <c r="E172" s="246"/>
      <c r="H172" s="245"/>
      <c r="AK172" s="245"/>
      <c r="AL172" s="245"/>
      <c r="AM172" s="245"/>
    </row>
    <row r="173" spans="1:39" ht="12.75" customHeight="1" x14ac:dyDescent="0.25">
      <c r="A173" s="254"/>
      <c r="B173" s="282" t="s">
        <v>194</v>
      </c>
      <c r="C173" s="254"/>
      <c r="D173" s="254"/>
      <c r="E173" s="246"/>
      <c r="H173" s="245"/>
      <c r="AK173" s="245"/>
      <c r="AL173" s="245"/>
      <c r="AM173" s="245"/>
    </row>
    <row r="174" spans="1:39" ht="12.75" customHeight="1" x14ac:dyDescent="0.25">
      <c r="A174" s="254"/>
      <c r="B174" s="283" t="s">
        <v>211</v>
      </c>
      <c r="C174" s="254"/>
      <c r="D174" s="254"/>
      <c r="E174" s="246"/>
      <c r="H174" s="245"/>
      <c r="AK174" s="245"/>
      <c r="AL174" s="245"/>
      <c r="AM174" s="245"/>
    </row>
    <row r="175" spans="1:39" ht="12.75" customHeight="1" x14ac:dyDescent="0.25">
      <c r="A175" s="254"/>
      <c r="B175" s="282" t="s">
        <v>201</v>
      </c>
      <c r="C175" s="254"/>
      <c r="D175" s="254"/>
      <c r="E175" s="246"/>
      <c r="H175" s="245"/>
      <c r="AK175" s="245"/>
      <c r="AL175" s="245"/>
      <c r="AM175" s="245"/>
    </row>
    <row r="176" spans="1:39" ht="12.75" customHeight="1" x14ac:dyDescent="0.25">
      <c r="A176" s="254"/>
      <c r="B176" s="283" t="s">
        <v>154</v>
      </c>
      <c r="C176" s="254"/>
      <c r="D176" s="254"/>
      <c r="E176" s="246"/>
      <c r="H176" s="245"/>
      <c r="AK176" s="245"/>
      <c r="AL176" s="245"/>
      <c r="AM176" s="245"/>
    </row>
    <row r="177" spans="1:39" ht="12.75" customHeight="1" x14ac:dyDescent="0.25">
      <c r="A177" s="254"/>
      <c r="B177" s="282" t="s">
        <v>165</v>
      </c>
      <c r="C177" s="254"/>
      <c r="D177" s="254"/>
      <c r="E177" s="246"/>
      <c r="H177" s="245"/>
      <c r="AK177" s="245"/>
      <c r="AL177" s="245"/>
      <c r="AM177" s="245"/>
    </row>
    <row r="178" spans="1:39" ht="12.75" customHeight="1" x14ac:dyDescent="0.25">
      <c r="A178" s="254"/>
      <c r="B178" s="283" t="s">
        <v>222</v>
      </c>
      <c r="C178" s="254"/>
      <c r="D178" s="254"/>
      <c r="E178" s="246"/>
      <c r="H178" s="245"/>
      <c r="AK178" s="245"/>
      <c r="AL178" s="245"/>
      <c r="AM178" s="245"/>
    </row>
    <row r="179" spans="1:39" ht="12.75" customHeight="1" x14ac:dyDescent="0.25">
      <c r="A179" s="254"/>
      <c r="B179" s="283" t="s">
        <v>224</v>
      </c>
      <c r="C179" s="254"/>
      <c r="D179" s="254"/>
      <c r="E179" s="246"/>
      <c r="H179" s="245"/>
      <c r="AK179" s="245"/>
      <c r="AL179" s="245"/>
      <c r="AM179" s="245"/>
    </row>
    <row r="180" spans="1:39" ht="12.75" customHeight="1" x14ac:dyDescent="0.25">
      <c r="A180" s="254"/>
      <c r="B180" s="283" t="s">
        <v>215</v>
      </c>
      <c r="C180" s="254"/>
      <c r="D180" s="254"/>
      <c r="E180" s="246"/>
      <c r="H180" s="245"/>
      <c r="AK180" s="245"/>
      <c r="AL180" s="245"/>
      <c r="AM180" s="245"/>
    </row>
    <row r="181" spans="1:39" ht="12.75" customHeight="1" x14ac:dyDescent="0.25">
      <c r="A181" s="254"/>
      <c r="B181" s="283" t="s">
        <v>221</v>
      </c>
      <c r="C181" s="254"/>
      <c r="D181" s="254"/>
      <c r="E181" s="246"/>
      <c r="H181" s="245"/>
      <c r="AK181" s="245"/>
      <c r="AL181" s="245"/>
      <c r="AM181" s="245"/>
    </row>
    <row r="182" spans="1:39" ht="12.75" customHeight="1" x14ac:dyDescent="0.25">
      <c r="A182" s="254"/>
      <c r="B182" s="283" t="s">
        <v>225</v>
      </c>
      <c r="C182" s="254"/>
      <c r="D182" s="254"/>
      <c r="E182" s="246"/>
      <c r="H182" s="245"/>
      <c r="AK182" s="245"/>
      <c r="AL182" s="245"/>
      <c r="AM182" s="245"/>
    </row>
    <row r="183" spans="1:39" ht="12.75" customHeight="1" x14ac:dyDescent="0.25">
      <c r="A183" s="254"/>
      <c r="B183" s="283" t="s">
        <v>218</v>
      </c>
      <c r="C183" s="254"/>
      <c r="D183" s="254"/>
      <c r="E183" s="246"/>
      <c r="H183" s="245"/>
      <c r="AK183" s="245"/>
      <c r="AL183" s="245"/>
      <c r="AM183" s="245"/>
    </row>
    <row r="184" spans="1:39" ht="12.75" customHeight="1" x14ac:dyDescent="0.25">
      <c r="A184" s="254"/>
      <c r="B184" s="283" t="s">
        <v>216</v>
      </c>
      <c r="C184" s="254"/>
      <c r="D184" s="254"/>
      <c r="E184" s="246"/>
      <c r="H184" s="245"/>
      <c r="AK184" s="245"/>
      <c r="AL184" s="245"/>
      <c r="AM184" s="245"/>
    </row>
    <row r="185" spans="1:39" ht="12.75" customHeight="1" x14ac:dyDescent="0.25">
      <c r="A185" s="254"/>
      <c r="B185" s="283" t="s">
        <v>223</v>
      </c>
      <c r="C185" s="254"/>
      <c r="D185" s="254"/>
      <c r="E185" s="246"/>
      <c r="H185" s="245"/>
      <c r="AK185" s="245"/>
      <c r="AL185" s="245"/>
      <c r="AM185" s="245"/>
    </row>
    <row r="186" spans="1:39" ht="12.75" customHeight="1" x14ac:dyDescent="0.25">
      <c r="A186" s="254"/>
      <c r="B186" s="283" t="s">
        <v>219</v>
      </c>
      <c r="C186" s="254"/>
      <c r="D186" s="254"/>
      <c r="E186" s="246"/>
      <c r="H186" s="245"/>
      <c r="AK186" s="245"/>
      <c r="AL186" s="245"/>
      <c r="AM186" s="245"/>
    </row>
    <row r="187" spans="1:39" ht="12.75" customHeight="1" x14ac:dyDescent="0.25">
      <c r="A187" s="254"/>
      <c r="B187" s="283" t="s">
        <v>220</v>
      </c>
      <c r="C187" s="254"/>
      <c r="D187" s="254"/>
      <c r="E187" s="246"/>
      <c r="H187" s="245"/>
      <c r="AK187" s="245"/>
      <c r="AL187" s="245"/>
      <c r="AM187" s="245"/>
    </row>
    <row r="188" spans="1:39" ht="12.75" customHeight="1" x14ac:dyDescent="0.25">
      <c r="A188" s="254"/>
      <c r="B188" s="283" t="s">
        <v>217</v>
      </c>
      <c r="C188" s="254"/>
      <c r="D188" s="254"/>
      <c r="E188" s="246"/>
      <c r="H188" s="245"/>
      <c r="AK188" s="245"/>
      <c r="AL188" s="245"/>
      <c r="AM188" s="245"/>
    </row>
    <row r="189" spans="1:39" ht="12.75" customHeight="1" x14ac:dyDescent="0.25">
      <c r="A189" s="254"/>
      <c r="B189" s="282" t="s">
        <v>186</v>
      </c>
      <c r="C189" s="254"/>
      <c r="D189" s="254"/>
      <c r="E189" s="246"/>
      <c r="H189" s="245"/>
      <c r="AK189" s="245"/>
      <c r="AL189" s="245"/>
      <c r="AM189" s="245"/>
    </row>
    <row r="190" spans="1:39" ht="12.75" customHeight="1" x14ac:dyDescent="0.25">
      <c r="A190" s="254"/>
      <c r="B190" s="282" t="s">
        <v>185</v>
      </c>
      <c r="C190" s="254"/>
      <c r="D190" s="254"/>
      <c r="E190" s="246"/>
      <c r="H190" s="245"/>
      <c r="AK190" s="245"/>
      <c r="AL190" s="245"/>
      <c r="AM190" s="245"/>
    </row>
    <row r="191" spans="1:39" ht="12.75" customHeight="1" x14ac:dyDescent="0.25">
      <c r="A191" s="254"/>
      <c r="B191" s="283" t="s">
        <v>249</v>
      </c>
      <c r="C191" s="254"/>
      <c r="D191" s="254"/>
      <c r="E191" s="246"/>
      <c r="H191" s="245"/>
      <c r="AK191" s="245"/>
      <c r="AL191" s="245"/>
      <c r="AM191" s="245"/>
    </row>
    <row r="192" spans="1:39" ht="12.75" customHeight="1" x14ac:dyDescent="0.25">
      <c r="A192" s="254"/>
      <c r="B192" s="283" t="s">
        <v>250</v>
      </c>
      <c r="C192" s="254"/>
      <c r="D192" s="254"/>
      <c r="E192" s="246"/>
      <c r="H192" s="245"/>
      <c r="AK192" s="245"/>
      <c r="AL192" s="245"/>
      <c r="AM192" s="245"/>
    </row>
    <row r="193" spans="1:39" ht="12.75" customHeight="1" x14ac:dyDescent="0.25">
      <c r="A193" s="254"/>
      <c r="B193" s="283" t="s">
        <v>251</v>
      </c>
      <c r="C193" s="254"/>
      <c r="D193" s="254"/>
      <c r="E193" s="246"/>
      <c r="H193" s="245"/>
      <c r="AK193" s="245"/>
      <c r="AL193" s="245"/>
      <c r="AM193" s="245"/>
    </row>
    <row r="194" spans="1:39" ht="12.75" customHeight="1" x14ac:dyDescent="0.25">
      <c r="A194" s="254"/>
      <c r="B194" s="283" t="s">
        <v>254</v>
      </c>
      <c r="C194" s="254"/>
      <c r="D194" s="254"/>
      <c r="E194" s="246"/>
      <c r="H194" s="245"/>
      <c r="AK194" s="245"/>
      <c r="AL194" s="245"/>
      <c r="AM194" s="245"/>
    </row>
    <row r="195" spans="1:39" ht="12.75" customHeight="1" x14ac:dyDescent="0.25">
      <c r="A195" s="254"/>
      <c r="B195" s="283" t="s">
        <v>248</v>
      </c>
      <c r="C195" s="254"/>
      <c r="D195" s="254"/>
      <c r="E195" s="246"/>
      <c r="H195" s="245"/>
      <c r="AK195" s="245"/>
      <c r="AL195" s="245"/>
      <c r="AM195" s="245"/>
    </row>
    <row r="196" spans="1:39" ht="12.75" customHeight="1" x14ac:dyDescent="0.25">
      <c r="A196" s="254"/>
      <c r="B196" s="283" t="s">
        <v>258</v>
      </c>
      <c r="C196" s="254"/>
      <c r="D196" s="254"/>
      <c r="E196" s="246"/>
      <c r="H196" s="245"/>
      <c r="AK196" s="245"/>
      <c r="AL196" s="245"/>
      <c r="AM196" s="245"/>
    </row>
    <row r="197" spans="1:39" ht="12.75" customHeight="1" x14ac:dyDescent="0.25">
      <c r="A197" s="254"/>
      <c r="B197" s="283" t="s">
        <v>255</v>
      </c>
      <c r="C197" s="254"/>
      <c r="D197" s="254"/>
      <c r="E197" s="246"/>
      <c r="H197" s="245"/>
      <c r="AK197" s="245"/>
      <c r="AL197" s="245"/>
      <c r="AM197" s="245"/>
    </row>
    <row r="198" spans="1:39" ht="12.75" customHeight="1" x14ac:dyDescent="0.25">
      <c r="A198" s="254"/>
      <c r="B198" s="283" t="s">
        <v>252</v>
      </c>
      <c r="C198" s="254"/>
      <c r="D198" s="254"/>
      <c r="E198" s="246"/>
      <c r="H198" s="245"/>
      <c r="AK198" s="245"/>
      <c r="AL198" s="245"/>
      <c r="AM198" s="245"/>
    </row>
    <row r="199" spans="1:39" ht="12.75" customHeight="1" x14ac:dyDescent="0.25">
      <c r="A199" s="254"/>
      <c r="B199" s="283" t="s">
        <v>257</v>
      </c>
      <c r="C199" s="254"/>
      <c r="D199" s="254"/>
      <c r="E199" s="246"/>
      <c r="H199" s="245"/>
      <c r="AK199" s="245"/>
      <c r="AL199" s="245"/>
      <c r="AM199" s="245"/>
    </row>
    <row r="200" spans="1:39" ht="12.75" customHeight="1" x14ac:dyDescent="0.25">
      <c r="A200" s="254"/>
      <c r="B200" s="283" t="s">
        <v>253</v>
      </c>
      <c r="C200" s="254"/>
      <c r="D200" s="254"/>
      <c r="E200" s="246"/>
      <c r="H200" s="245"/>
      <c r="AK200" s="245"/>
      <c r="AL200" s="245"/>
      <c r="AM200" s="245"/>
    </row>
    <row r="201" spans="1:39" ht="12.75" customHeight="1" x14ac:dyDescent="0.25">
      <c r="A201" s="254"/>
      <c r="B201" s="283" t="s">
        <v>256</v>
      </c>
      <c r="C201" s="254"/>
      <c r="D201" s="254"/>
      <c r="E201" s="246"/>
      <c r="H201" s="245"/>
      <c r="AK201" s="245"/>
      <c r="AL201" s="245"/>
      <c r="AM201" s="245"/>
    </row>
    <row r="202" spans="1:39" ht="12.75" customHeight="1" x14ac:dyDescent="0.25">
      <c r="A202" s="254"/>
      <c r="B202" s="283" t="s">
        <v>163</v>
      </c>
      <c r="C202" s="254"/>
      <c r="D202" s="254"/>
      <c r="E202" s="246"/>
      <c r="H202" s="245"/>
      <c r="AK202" s="245"/>
      <c r="AL202" s="245"/>
      <c r="AM202" s="245"/>
    </row>
    <row r="203" spans="1:39" ht="12.75" customHeight="1" x14ac:dyDescent="0.25">
      <c r="A203" s="254"/>
      <c r="B203" s="282" t="s">
        <v>148</v>
      </c>
      <c r="C203" s="254"/>
      <c r="D203" s="254"/>
      <c r="E203" s="246"/>
      <c r="H203" s="245"/>
      <c r="AK203" s="245"/>
      <c r="AL203" s="245"/>
      <c r="AM203" s="245"/>
    </row>
    <row r="204" spans="1:39" ht="12.75" customHeight="1" x14ac:dyDescent="0.25">
      <c r="A204" s="254"/>
      <c r="B204" s="282" t="s">
        <v>195</v>
      </c>
      <c r="C204" s="254"/>
      <c r="D204" s="254"/>
      <c r="E204" s="246"/>
      <c r="H204" s="245"/>
      <c r="AK204" s="245"/>
      <c r="AL204" s="245"/>
      <c r="AM204" s="245"/>
    </row>
    <row r="205" spans="1:39" ht="12.75" customHeight="1" x14ac:dyDescent="0.25">
      <c r="A205" s="254"/>
      <c r="B205" s="282" t="s">
        <v>196</v>
      </c>
      <c r="C205" s="254"/>
      <c r="D205" s="254"/>
      <c r="E205" s="246"/>
      <c r="H205" s="245"/>
      <c r="AK205" s="245"/>
      <c r="AL205" s="245"/>
      <c r="AM205" s="245"/>
    </row>
    <row r="206" spans="1:39" ht="12.75" customHeight="1" x14ac:dyDescent="0.25">
      <c r="A206" s="254"/>
      <c r="B206" s="283" t="s">
        <v>226</v>
      </c>
      <c r="C206" s="254"/>
      <c r="D206" s="254"/>
      <c r="E206" s="246"/>
      <c r="H206" s="245"/>
      <c r="AK206" s="245"/>
      <c r="AL206" s="245"/>
      <c r="AM206" s="245"/>
    </row>
    <row r="207" spans="1:39" ht="12.75" customHeight="1" x14ac:dyDescent="0.25">
      <c r="A207" s="254"/>
      <c r="B207" s="282" t="s">
        <v>179</v>
      </c>
      <c r="C207" s="254"/>
      <c r="D207" s="254"/>
      <c r="E207" s="246"/>
      <c r="H207" s="245"/>
      <c r="AK207" s="245"/>
      <c r="AL207" s="245"/>
      <c r="AM207" s="245"/>
    </row>
    <row r="208" spans="1:39" ht="12.75" customHeight="1" x14ac:dyDescent="0.25">
      <c r="A208" s="254"/>
      <c r="B208" s="282" t="s">
        <v>182</v>
      </c>
      <c r="C208" s="254"/>
      <c r="D208" s="254"/>
      <c r="E208" s="246"/>
      <c r="H208" s="245"/>
      <c r="AK208" s="245"/>
      <c r="AL208" s="245"/>
      <c r="AM208" s="245"/>
    </row>
    <row r="209" spans="1:39" ht="12.75" customHeight="1" x14ac:dyDescent="0.25">
      <c r="A209" s="254"/>
      <c r="B209" s="282" t="s">
        <v>180</v>
      </c>
      <c r="C209" s="254"/>
      <c r="D209" s="254"/>
      <c r="E209" s="246"/>
      <c r="H209" s="245"/>
      <c r="AK209" s="245"/>
      <c r="AL209" s="245"/>
      <c r="AM209" s="245"/>
    </row>
    <row r="210" spans="1:39" ht="12.75" customHeight="1" x14ac:dyDescent="0.25">
      <c r="A210" s="254"/>
      <c r="B210" s="282" t="s">
        <v>183</v>
      </c>
      <c r="C210" s="254"/>
      <c r="D210" s="254"/>
      <c r="E210" s="246"/>
      <c r="H210" s="245"/>
      <c r="AK210" s="245"/>
      <c r="AL210" s="245"/>
      <c r="AM210" s="245"/>
    </row>
    <row r="211" spans="1:39" ht="12.75" customHeight="1" x14ac:dyDescent="0.25">
      <c r="A211" s="254"/>
      <c r="B211" s="282" t="s">
        <v>181</v>
      </c>
      <c r="C211" s="254"/>
      <c r="D211" s="254"/>
      <c r="E211" s="246"/>
      <c r="H211" s="245"/>
      <c r="AK211" s="245"/>
      <c r="AL211" s="245"/>
      <c r="AM211" s="245"/>
    </row>
    <row r="212" spans="1:39" ht="12.75" customHeight="1" x14ac:dyDescent="0.25">
      <c r="A212" s="254"/>
      <c r="B212" s="282" t="s">
        <v>178</v>
      </c>
      <c r="C212" s="254"/>
      <c r="D212" s="254"/>
      <c r="E212" s="246"/>
      <c r="H212" s="245"/>
      <c r="AK212" s="245"/>
      <c r="AL212" s="245"/>
      <c r="AM212" s="245"/>
    </row>
    <row r="213" spans="1:39" ht="12.75" customHeight="1" x14ac:dyDescent="0.25">
      <c r="A213" s="254"/>
      <c r="B213" s="282" t="s">
        <v>184</v>
      </c>
      <c r="C213" s="254"/>
      <c r="D213" s="254"/>
      <c r="E213" s="246"/>
      <c r="H213" s="245"/>
      <c r="AK213" s="245"/>
      <c r="AL213" s="245"/>
      <c r="AM213" s="245"/>
    </row>
    <row r="214" spans="1:39" ht="12.75" customHeight="1" x14ac:dyDescent="0.25">
      <c r="A214" s="254"/>
      <c r="B214" s="284" t="s">
        <v>262</v>
      </c>
      <c r="C214" s="254"/>
      <c r="D214" s="254"/>
      <c r="E214" s="246"/>
      <c r="H214" s="245"/>
      <c r="AK214" s="245"/>
      <c r="AL214" s="245"/>
      <c r="AM214" s="245"/>
    </row>
    <row r="215" spans="1:39" ht="12.75" customHeight="1" x14ac:dyDescent="0.25">
      <c r="A215" s="254"/>
      <c r="B215" s="285" t="s">
        <v>54</v>
      </c>
      <c r="C215" s="254"/>
      <c r="D215" s="254"/>
      <c r="E215" s="246"/>
      <c r="H215" s="245"/>
      <c r="AK215" s="245"/>
      <c r="AL215" s="245"/>
      <c r="AM215" s="245"/>
    </row>
    <row r="216" spans="1:39" ht="12.75" customHeight="1" x14ac:dyDescent="0.25">
      <c r="E216" s="246"/>
      <c r="H216" s="245"/>
      <c r="AK216" s="245"/>
      <c r="AL216" s="245"/>
      <c r="AM216" s="245"/>
    </row>
    <row r="217" spans="1:39" ht="12.75" customHeight="1" x14ac:dyDescent="0.25">
      <c r="E217" s="246"/>
      <c r="H217" s="245"/>
      <c r="AK217" s="245"/>
      <c r="AL217" s="245"/>
      <c r="AM217" s="245"/>
    </row>
    <row r="218" spans="1:39" ht="12.75" customHeight="1" x14ac:dyDescent="0.25">
      <c r="E218" s="246"/>
      <c r="H218" s="245"/>
      <c r="AK218" s="245"/>
      <c r="AL218" s="245"/>
      <c r="AM218" s="245"/>
    </row>
    <row r="219" spans="1:39" ht="12.75" customHeight="1" x14ac:dyDescent="0.25">
      <c r="E219" s="246"/>
      <c r="H219" s="245"/>
      <c r="AK219" s="245"/>
      <c r="AL219" s="245"/>
      <c r="AM219" s="245"/>
    </row>
    <row r="220" spans="1:39" ht="12.75" customHeight="1" x14ac:dyDescent="0.25">
      <c r="E220" s="246"/>
      <c r="H220" s="245"/>
      <c r="AK220" s="245"/>
      <c r="AL220" s="245"/>
      <c r="AM220" s="245"/>
    </row>
    <row r="221" spans="1:39" ht="12.75" customHeight="1" x14ac:dyDescent="0.25">
      <c r="E221" s="246"/>
      <c r="H221" s="245"/>
      <c r="AK221" s="245"/>
      <c r="AL221" s="245"/>
      <c r="AM221" s="245"/>
    </row>
    <row r="222" spans="1:39" ht="12.75" customHeight="1" x14ac:dyDescent="0.25">
      <c r="E222" s="246"/>
      <c r="H222" s="245"/>
      <c r="AK222" s="245"/>
      <c r="AL222" s="245"/>
      <c r="AM222" s="245"/>
    </row>
    <row r="223" spans="1:39" ht="12.75" customHeight="1" x14ac:dyDescent="0.25">
      <c r="E223" s="246"/>
      <c r="H223" s="245"/>
      <c r="AK223" s="245"/>
      <c r="AL223" s="245"/>
      <c r="AM223" s="245"/>
    </row>
    <row r="224" spans="1:39" ht="12.75" customHeight="1" x14ac:dyDescent="0.25">
      <c r="E224" s="246"/>
      <c r="H224" s="245"/>
      <c r="AK224" s="245"/>
      <c r="AL224" s="245"/>
      <c r="AM224" s="245"/>
    </row>
    <row r="225" spans="5:39" ht="12.75" customHeight="1" x14ac:dyDescent="0.25">
      <c r="E225" s="246"/>
      <c r="H225" s="245"/>
      <c r="AK225" s="245"/>
      <c r="AL225" s="245"/>
      <c r="AM225" s="245"/>
    </row>
    <row r="226" spans="5:39" ht="12.75" customHeight="1" x14ac:dyDescent="0.25">
      <c r="E226" s="246"/>
      <c r="H226" s="245"/>
      <c r="AK226" s="245"/>
      <c r="AL226" s="245"/>
      <c r="AM226" s="245"/>
    </row>
    <row r="227" spans="5:39" ht="12.75" customHeight="1" x14ac:dyDescent="0.25">
      <c r="E227" s="246"/>
      <c r="H227" s="245"/>
      <c r="AK227" s="245"/>
      <c r="AL227" s="245"/>
      <c r="AM227" s="245"/>
    </row>
    <row r="228" spans="5:39" ht="12.75" customHeight="1" x14ac:dyDescent="0.25">
      <c r="E228" s="246"/>
      <c r="H228" s="245"/>
      <c r="AK228" s="245"/>
      <c r="AL228" s="245"/>
      <c r="AM228" s="245"/>
    </row>
    <row r="229" spans="5:39" ht="12.75" customHeight="1" x14ac:dyDescent="0.25">
      <c r="E229" s="246"/>
      <c r="H229" s="245"/>
      <c r="AK229" s="245"/>
      <c r="AL229" s="245"/>
      <c r="AM229" s="245"/>
    </row>
    <row r="230" spans="5:39" ht="12.75" customHeight="1" x14ac:dyDescent="0.25">
      <c r="E230" s="246"/>
      <c r="H230" s="245"/>
      <c r="AK230" s="245"/>
      <c r="AL230" s="245"/>
      <c r="AM230" s="245"/>
    </row>
    <row r="231" spans="5:39" ht="12.75" customHeight="1" x14ac:dyDescent="0.25">
      <c r="E231" s="246"/>
      <c r="H231" s="245"/>
      <c r="AK231" s="245"/>
      <c r="AL231" s="245"/>
      <c r="AM231" s="245"/>
    </row>
    <row r="232" spans="5:39" ht="12.75" customHeight="1" x14ac:dyDescent="0.25">
      <c r="E232" s="246"/>
      <c r="H232" s="245"/>
      <c r="AK232" s="245"/>
      <c r="AL232" s="245"/>
      <c r="AM232" s="245"/>
    </row>
    <row r="233" spans="5:39" ht="12.75" customHeight="1" x14ac:dyDescent="0.25">
      <c r="E233" s="246"/>
      <c r="H233" s="245"/>
      <c r="AK233" s="245"/>
      <c r="AL233" s="245"/>
      <c r="AM233" s="245"/>
    </row>
    <row r="234" spans="5:39" ht="12.75" customHeight="1" x14ac:dyDescent="0.25">
      <c r="E234" s="246"/>
      <c r="H234" s="245"/>
      <c r="AK234" s="245"/>
      <c r="AL234" s="245"/>
      <c r="AM234" s="245"/>
    </row>
    <row r="235" spans="5:39" ht="12.75" customHeight="1" x14ac:dyDescent="0.25">
      <c r="E235" s="246"/>
      <c r="H235" s="245"/>
      <c r="AK235" s="245"/>
      <c r="AL235" s="245"/>
      <c r="AM235" s="245"/>
    </row>
    <row r="236" spans="5:39" ht="12.75" customHeight="1" x14ac:dyDescent="0.25">
      <c r="E236" s="246"/>
      <c r="H236" s="245"/>
      <c r="AK236" s="245"/>
      <c r="AL236" s="245"/>
      <c r="AM236" s="245"/>
    </row>
    <row r="237" spans="5:39" ht="12.75" customHeight="1" x14ac:dyDescent="0.25">
      <c r="E237" s="246"/>
      <c r="H237" s="245"/>
      <c r="AK237" s="245"/>
      <c r="AL237" s="245"/>
      <c r="AM237" s="245"/>
    </row>
    <row r="238" spans="5:39" ht="12.75" customHeight="1" x14ac:dyDescent="0.25">
      <c r="E238" s="246"/>
      <c r="H238" s="245"/>
      <c r="AK238" s="245"/>
      <c r="AL238" s="245"/>
      <c r="AM238" s="245"/>
    </row>
    <row r="239" spans="5:39" ht="12.75" customHeight="1" x14ac:dyDescent="0.25">
      <c r="E239" s="246"/>
      <c r="H239" s="245"/>
      <c r="AK239" s="245"/>
      <c r="AL239" s="245"/>
      <c r="AM239" s="245"/>
    </row>
    <row r="240" spans="5:39" ht="12.75" customHeight="1" x14ac:dyDescent="0.25">
      <c r="E240" s="246"/>
      <c r="H240" s="245"/>
      <c r="AK240" s="245"/>
      <c r="AL240" s="245"/>
      <c r="AM240" s="245"/>
    </row>
    <row r="241" spans="5:39" ht="12.75" customHeight="1" x14ac:dyDescent="0.25">
      <c r="E241" s="246"/>
      <c r="H241" s="245"/>
      <c r="AK241" s="245"/>
      <c r="AL241" s="245"/>
      <c r="AM241" s="245"/>
    </row>
    <row r="242" spans="5:39" ht="12.75" customHeight="1" x14ac:dyDescent="0.25">
      <c r="E242" s="246"/>
      <c r="H242" s="245"/>
      <c r="AK242" s="245"/>
      <c r="AL242" s="245"/>
      <c r="AM242" s="245"/>
    </row>
    <row r="243" spans="5:39" ht="12.75" customHeight="1" x14ac:dyDescent="0.25">
      <c r="E243" s="246"/>
      <c r="H243" s="245"/>
      <c r="AK243" s="245"/>
      <c r="AL243" s="245"/>
      <c r="AM243" s="245"/>
    </row>
    <row r="244" spans="5:39" ht="12.75" customHeight="1" x14ac:dyDescent="0.25">
      <c r="E244" s="246"/>
      <c r="H244" s="245"/>
      <c r="AK244" s="245"/>
      <c r="AL244" s="245"/>
      <c r="AM244" s="245"/>
    </row>
    <row r="245" spans="5:39" ht="12.75" customHeight="1" x14ac:dyDescent="0.25">
      <c r="E245" s="246"/>
      <c r="H245" s="245"/>
      <c r="AK245" s="245"/>
      <c r="AL245" s="245"/>
      <c r="AM245" s="245"/>
    </row>
    <row r="246" spans="5:39" ht="12.75" customHeight="1" x14ac:dyDescent="0.25">
      <c r="E246" s="246"/>
      <c r="H246" s="245"/>
      <c r="AK246" s="245"/>
      <c r="AL246" s="245"/>
      <c r="AM246" s="245"/>
    </row>
    <row r="247" spans="5:39" ht="12.75" customHeight="1" x14ac:dyDescent="0.25">
      <c r="E247" s="246"/>
      <c r="H247" s="245"/>
      <c r="AK247" s="245"/>
      <c r="AL247" s="245"/>
      <c r="AM247" s="245"/>
    </row>
    <row r="248" spans="5:39" ht="12.75" customHeight="1" x14ac:dyDescent="0.25">
      <c r="E248" s="246"/>
      <c r="H248" s="245"/>
      <c r="AK248" s="245"/>
      <c r="AL248" s="245"/>
      <c r="AM248" s="245"/>
    </row>
    <row r="249" spans="5:39" ht="12.75" customHeight="1" x14ac:dyDescent="0.25">
      <c r="E249" s="246"/>
      <c r="H249" s="245"/>
      <c r="AK249" s="245"/>
      <c r="AL249" s="245"/>
      <c r="AM249" s="245"/>
    </row>
    <row r="250" spans="5:39" ht="12.75" customHeight="1" x14ac:dyDescent="0.25">
      <c r="E250" s="246"/>
      <c r="H250" s="245"/>
      <c r="AK250" s="245"/>
      <c r="AL250" s="245"/>
      <c r="AM250" s="245"/>
    </row>
    <row r="251" spans="5:39" ht="12.75" customHeight="1" x14ac:dyDescent="0.25">
      <c r="E251" s="246"/>
      <c r="H251" s="245"/>
      <c r="AK251" s="245"/>
      <c r="AL251" s="245"/>
      <c r="AM251" s="245"/>
    </row>
    <row r="252" spans="5:39" ht="12.75" customHeight="1" x14ac:dyDescent="0.25">
      <c r="E252" s="246"/>
      <c r="H252" s="245"/>
      <c r="AK252" s="245"/>
      <c r="AL252" s="245"/>
      <c r="AM252" s="245"/>
    </row>
    <row r="253" spans="5:39" ht="12.75" customHeight="1" x14ac:dyDescent="0.25">
      <c r="E253" s="246"/>
      <c r="H253" s="245"/>
      <c r="AK253" s="245"/>
      <c r="AL253" s="245"/>
      <c r="AM253" s="245"/>
    </row>
    <row r="254" spans="5:39" ht="12.75" customHeight="1" x14ac:dyDescent="0.25">
      <c r="E254" s="246"/>
      <c r="H254" s="245"/>
      <c r="AK254" s="245"/>
      <c r="AL254" s="245"/>
      <c r="AM254" s="245"/>
    </row>
    <row r="255" spans="5:39" ht="12.75" customHeight="1" x14ac:dyDescent="0.25">
      <c r="E255" s="246"/>
      <c r="H255" s="245"/>
      <c r="AK255" s="245"/>
      <c r="AL255" s="245"/>
      <c r="AM255" s="245"/>
    </row>
    <row r="256" spans="5:39" ht="12.75" customHeight="1" x14ac:dyDescent="0.25">
      <c r="E256" s="246"/>
      <c r="H256" s="245"/>
      <c r="AK256" s="245"/>
      <c r="AL256" s="245"/>
      <c r="AM256" s="245"/>
    </row>
    <row r="257" spans="5:39" ht="12.75" customHeight="1" x14ac:dyDescent="0.25">
      <c r="E257" s="246"/>
      <c r="H257" s="245"/>
      <c r="AK257" s="245"/>
      <c r="AL257" s="245"/>
      <c r="AM257" s="245"/>
    </row>
    <row r="258" spans="5:39" ht="12.75" customHeight="1" x14ac:dyDescent="0.25">
      <c r="E258" s="246"/>
      <c r="H258" s="245"/>
      <c r="AK258" s="245"/>
      <c r="AL258" s="245"/>
      <c r="AM258" s="245"/>
    </row>
    <row r="259" spans="5:39" ht="12.75" customHeight="1" x14ac:dyDescent="0.25">
      <c r="E259" s="246"/>
      <c r="H259" s="245"/>
      <c r="AK259" s="245"/>
      <c r="AL259" s="245"/>
      <c r="AM259" s="245"/>
    </row>
    <row r="260" spans="5:39" ht="12.75" customHeight="1" x14ac:dyDescent="0.25">
      <c r="E260" s="246"/>
      <c r="H260" s="245"/>
      <c r="AK260" s="245"/>
      <c r="AL260" s="245"/>
      <c r="AM260" s="245"/>
    </row>
    <row r="261" spans="5:39" ht="12.75" customHeight="1" x14ac:dyDescent="0.25">
      <c r="E261" s="246"/>
      <c r="H261" s="245"/>
      <c r="AK261" s="245"/>
      <c r="AL261" s="245"/>
      <c r="AM261" s="245"/>
    </row>
    <row r="262" spans="5:39" ht="12.75" customHeight="1" x14ac:dyDescent="0.25">
      <c r="E262" s="246"/>
      <c r="H262" s="245"/>
      <c r="AK262" s="245"/>
      <c r="AL262" s="245"/>
      <c r="AM262" s="245"/>
    </row>
    <row r="263" spans="5:39" ht="12.75" customHeight="1" x14ac:dyDescent="0.25">
      <c r="E263" s="246"/>
      <c r="H263" s="245"/>
      <c r="AK263" s="245"/>
      <c r="AL263" s="245"/>
      <c r="AM263" s="245"/>
    </row>
    <row r="264" spans="5:39" ht="12.75" customHeight="1" x14ac:dyDescent="0.25">
      <c r="E264" s="246"/>
      <c r="H264" s="245"/>
      <c r="AK264" s="245"/>
      <c r="AL264" s="245"/>
      <c r="AM264" s="245"/>
    </row>
    <row r="265" spans="5:39" ht="12.75" customHeight="1" x14ac:dyDescent="0.25">
      <c r="E265" s="246"/>
      <c r="H265" s="245"/>
      <c r="AK265" s="245"/>
      <c r="AL265" s="245"/>
      <c r="AM265" s="245"/>
    </row>
    <row r="266" spans="5:39" ht="12.75" customHeight="1" x14ac:dyDescent="0.25">
      <c r="E266" s="246"/>
      <c r="H266" s="245"/>
      <c r="AK266" s="245"/>
      <c r="AL266" s="245"/>
      <c r="AM266" s="245"/>
    </row>
    <row r="267" spans="5:39" ht="12.75" customHeight="1" x14ac:dyDescent="0.25">
      <c r="E267" s="246"/>
      <c r="H267" s="245"/>
      <c r="AK267" s="245"/>
      <c r="AL267" s="245"/>
      <c r="AM267" s="245"/>
    </row>
    <row r="268" spans="5:39" ht="12.75" customHeight="1" x14ac:dyDescent="0.25">
      <c r="E268" s="246"/>
      <c r="H268" s="245"/>
      <c r="AK268" s="245"/>
      <c r="AL268" s="245"/>
      <c r="AM268" s="245"/>
    </row>
    <row r="269" spans="5:39" ht="12.75" customHeight="1" x14ac:dyDescent="0.25">
      <c r="E269" s="246"/>
      <c r="H269" s="245"/>
      <c r="AK269" s="245"/>
      <c r="AL269" s="245"/>
      <c r="AM269" s="245"/>
    </row>
    <row r="270" spans="5:39" ht="12.75" customHeight="1" x14ac:dyDescent="0.25">
      <c r="E270" s="246"/>
      <c r="H270" s="245"/>
      <c r="AK270" s="245"/>
      <c r="AL270" s="245"/>
      <c r="AM270" s="245"/>
    </row>
    <row r="271" spans="5:39" ht="12.75" customHeight="1" x14ac:dyDescent="0.25">
      <c r="E271" s="246"/>
      <c r="H271" s="245"/>
      <c r="AK271" s="245"/>
      <c r="AL271" s="245"/>
      <c r="AM271" s="245"/>
    </row>
    <row r="272" spans="5:39" ht="12.75" customHeight="1" x14ac:dyDescent="0.25">
      <c r="E272" s="246"/>
      <c r="H272" s="245"/>
      <c r="AK272" s="245"/>
      <c r="AL272" s="245"/>
      <c r="AM272" s="245"/>
    </row>
    <row r="273" spans="5:39" ht="12.75" customHeight="1" x14ac:dyDescent="0.25">
      <c r="E273" s="246"/>
      <c r="H273" s="245"/>
      <c r="AK273" s="245"/>
      <c r="AL273" s="245"/>
      <c r="AM273" s="245"/>
    </row>
    <row r="274" spans="5:39" ht="12.75" customHeight="1" x14ac:dyDescent="0.25">
      <c r="E274" s="246"/>
      <c r="H274" s="245"/>
      <c r="AK274" s="245"/>
      <c r="AL274" s="245"/>
      <c r="AM274" s="245"/>
    </row>
    <row r="275" spans="5:39" ht="12.75" customHeight="1" x14ac:dyDescent="0.25">
      <c r="E275" s="246"/>
      <c r="H275" s="245"/>
      <c r="AK275" s="245"/>
      <c r="AL275" s="245"/>
      <c r="AM275" s="245"/>
    </row>
    <row r="276" spans="5:39" ht="12.75" customHeight="1" x14ac:dyDescent="0.25">
      <c r="E276" s="246"/>
      <c r="H276" s="245"/>
      <c r="AK276" s="245"/>
      <c r="AL276" s="245"/>
      <c r="AM276" s="245"/>
    </row>
    <row r="277" spans="5:39" ht="12.75" customHeight="1" x14ac:dyDescent="0.25">
      <c r="E277" s="246"/>
      <c r="H277" s="245"/>
      <c r="AK277" s="245"/>
      <c r="AL277" s="245"/>
      <c r="AM277" s="245"/>
    </row>
    <row r="278" spans="5:39" ht="12.75" customHeight="1" x14ac:dyDescent="0.25">
      <c r="E278" s="246"/>
      <c r="H278" s="245"/>
      <c r="AK278" s="245"/>
      <c r="AL278" s="245"/>
      <c r="AM278" s="245"/>
    </row>
    <row r="279" spans="5:39" ht="12.75" customHeight="1" x14ac:dyDescent="0.25">
      <c r="E279" s="246"/>
      <c r="H279" s="245"/>
      <c r="AK279" s="245"/>
      <c r="AL279" s="245"/>
      <c r="AM279" s="245"/>
    </row>
    <row r="280" spans="5:39" ht="12.75" customHeight="1" x14ac:dyDescent="0.25">
      <c r="E280" s="246"/>
      <c r="H280" s="245"/>
      <c r="AK280" s="245"/>
      <c r="AL280" s="245"/>
      <c r="AM280" s="245"/>
    </row>
    <row r="281" spans="5:39" ht="12.75" customHeight="1" x14ac:dyDescent="0.25">
      <c r="E281" s="246"/>
      <c r="H281" s="245"/>
      <c r="AK281" s="245"/>
      <c r="AL281" s="245"/>
      <c r="AM281" s="245"/>
    </row>
    <row r="282" spans="5:39" ht="12.75" customHeight="1" x14ac:dyDescent="0.25">
      <c r="E282" s="246"/>
      <c r="H282" s="245"/>
      <c r="AK282" s="245"/>
      <c r="AL282" s="245"/>
      <c r="AM282" s="245"/>
    </row>
    <row r="283" spans="5:39" ht="12.75" customHeight="1" x14ac:dyDescent="0.25">
      <c r="E283" s="246"/>
      <c r="H283" s="245"/>
      <c r="AK283" s="245"/>
      <c r="AL283" s="245"/>
      <c r="AM283" s="245"/>
    </row>
    <row r="284" spans="5:39" ht="12.75" customHeight="1" x14ac:dyDescent="0.25">
      <c r="E284" s="246"/>
      <c r="H284" s="245"/>
      <c r="AK284" s="245"/>
      <c r="AL284" s="245"/>
      <c r="AM284" s="245"/>
    </row>
    <row r="285" spans="5:39" ht="12.75" customHeight="1" x14ac:dyDescent="0.25">
      <c r="E285" s="246"/>
      <c r="H285" s="245"/>
      <c r="AK285" s="245"/>
      <c r="AL285" s="245"/>
      <c r="AM285" s="245"/>
    </row>
    <row r="286" spans="5:39" ht="12.75" customHeight="1" x14ac:dyDescent="0.25">
      <c r="E286" s="246"/>
      <c r="H286" s="245"/>
      <c r="AK286" s="245"/>
      <c r="AL286" s="245"/>
      <c r="AM286" s="245"/>
    </row>
    <row r="287" spans="5:39" ht="12.75" customHeight="1" x14ac:dyDescent="0.25">
      <c r="E287" s="246"/>
      <c r="H287" s="245"/>
      <c r="AK287" s="245"/>
      <c r="AL287" s="245"/>
      <c r="AM287" s="245"/>
    </row>
    <row r="288" spans="5:39" ht="12.75" customHeight="1" x14ac:dyDescent="0.25">
      <c r="E288" s="246"/>
      <c r="H288" s="245"/>
      <c r="AK288" s="245"/>
      <c r="AL288" s="245"/>
      <c r="AM288" s="245"/>
    </row>
    <row r="289" spans="5:39" ht="12.75" customHeight="1" x14ac:dyDescent="0.25">
      <c r="E289" s="246"/>
      <c r="H289" s="245"/>
      <c r="AK289" s="245"/>
      <c r="AL289" s="245"/>
      <c r="AM289" s="245"/>
    </row>
    <row r="290" spans="5:39" ht="12.75" customHeight="1" x14ac:dyDescent="0.25">
      <c r="E290" s="246"/>
      <c r="H290" s="245"/>
      <c r="AK290" s="245"/>
      <c r="AL290" s="245"/>
      <c r="AM290" s="245"/>
    </row>
    <row r="291" spans="5:39" ht="12.75" customHeight="1" x14ac:dyDescent="0.25">
      <c r="E291" s="246"/>
      <c r="H291" s="245"/>
      <c r="AK291" s="245"/>
      <c r="AL291" s="245"/>
      <c r="AM291" s="245"/>
    </row>
    <row r="292" spans="5:39" ht="12.75" customHeight="1" x14ac:dyDescent="0.25">
      <c r="E292" s="246"/>
      <c r="H292" s="245"/>
      <c r="AK292" s="245"/>
      <c r="AL292" s="245"/>
      <c r="AM292" s="245"/>
    </row>
    <row r="293" spans="5:39" ht="12.75" customHeight="1" x14ac:dyDescent="0.25">
      <c r="E293" s="246"/>
      <c r="H293" s="245"/>
      <c r="AK293" s="245"/>
      <c r="AL293" s="245"/>
      <c r="AM293" s="245"/>
    </row>
    <row r="294" spans="5:39" ht="12.75" customHeight="1" x14ac:dyDescent="0.25">
      <c r="E294" s="246"/>
      <c r="H294" s="245"/>
      <c r="AK294" s="245"/>
      <c r="AL294" s="245"/>
      <c r="AM294" s="245"/>
    </row>
    <row r="295" spans="5:39" ht="12.75" customHeight="1" x14ac:dyDescent="0.25">
      <c r="E295" s="246"/>
      <c r="H295" s="245"/>
      <c r="AK295" s="245"/>
      <c r="AL295" s="245"/>
      <c r="AM295" s="245"/>
    </row>
    <row r="296" spans="5:39" ht="12.75" customHeight="1" x14ac:dyDescent="0.25">
      <c r="E296" s="246"/>
      <c r="H296" s="245"/>
      <c r="AK296" s="245"/>
      <c r="AL296" s="245"/>
      <c r="AM296" s="245"/>
    </row>
    <row r="297" spans="5:39" ht="12.75" customHeight="1" x14ac:dyDescent="0.25">
      <c r="E297" s="246"/>
      <c r="H297" s="245"/>
      <c r="AK297" s="245"/>
      <c r="AL297" s="245"/>
      <c r="AM297" s="245"/>
    </row>
    <row r="298" spans="5:39" ht="12.75" customHeight="1" x14ac:dyDescent="0.25">
      <c r="E298" s="246"/>
      <c r="H298" s="245"/>
      <c r="AK298" s="245"/>
      <c r="AL298" s="245"/>
      <c r="AM298" s="245"/>
    </row>
    <row r="299" spans="5:39" ht="12.75" customHeight="1" x14ac:dyDescent="0.25">
      <c r="E299" s="246"/>
      <c r="H299" s="245"/>
      <c r="AK299" s="245"/>
      <c r="AL299" s="245"/>
      <c r="AM299" s="245"/>
    </row>
    <row r="300" spans="5:39" ht="12.75" customHeight="1" x14ac:dyDescent="0.25">
      <c r="E300" s="246"/>
      <c r="H300" s="245"/>
      <c r="AK300" s="245"/>
      <c r="AL300" s="245"/>
      <c r="AM300" s="245"/>
    </row>
    <row r="301" spans="5:39" ht="12.75" customHeight="1" x14ac:dyDescent="0.25">
      <c r="E301" s="246"/>
      <c r="H301" s="245"/>
      <c r="AK301" s="245"/>
      <c r="AL301" s="245"/>
      <c r="AM301" s="245"/>
    </row>
    <row r="302" spans="5:39" ht="12.75" customHeight="1" x14ac:dyDescent="0.25">
      <c r="E302" s="246"/>
      <c r="H302" s="245"/>
      <c r="AK302" s="245"/>
      <c r="AL302" s="245"/>
      <c r="AM302" s="245"/>
    </row>
    <row r="303" spans="5:39" ht="12.75" customHeight="1" x14ac:dyDescent="0.25">
      <c r="E303" s="246"/>
      <c r="H303" s="245"/>
      <c r="AK303" s="245"/>
      <c r="AL303" s="245"/>
      <c r="AM303" s="245"/>
    </row>
    <row r="304" spans="5:39" ht="12.75" customHeight="1" x14ac:dyDescent="0.25">
      <c r="E304" s="246"/>
      <c r="H304" s="245"/>
      <c r="AK304" s="245"/>
      <c r="AL304" s="245"/>
      <c r="AM304" s="245"/>
    </row>
    <row r="305" spans="5:39" ht="12.75" customHeight="1" x14ac:dyDescent="0.25">
      <c r="E305" s="246"/>
      <c r="H305" s="245"/>
      <c r="AK305" s="245"/>
      <c r="AL305" s="245"/>
      <c r="AM305" s="245"/>
    </row>
    <row r="306" spans="5:39" ht="12.75" customHeight="1" x14ac:dyDescent="0.25">
      <c r="E306" s="246"/>
      <c r="H306" s="245"/>
      <c r="AK306" s="245"/>
      <c r="AL306" s="245"/>
      <c r="AM306" s="245"/>
    </row>
    <row r="307" spans="5:39" ht="12.75" customHeight="1" x14ac:dyDescent="0.25">
      <c r="E307" s="246"/>
      <c r="H307" s="245"/>
      <c r="AK307" s="245"/>
      <c r="AL307" s="245"/>
      <c r="AM307" s="245"/>
    </row>
    <row r="308" spans="5:39" ht="12.75" customHeight="1" x14ac:dyDescent="0.25">
      <c r="E308" s="246"/>
      <c r="H308" s="245"/>
      <c r="AK308" s="245"/>
      <c r="AL308" s="245"/>
      <c r="AM308" s="245"/>
    </row>
    <row r="309" spans="5:39" ht="12.75" customHeight="1" x14ac:dyDescent="0.25">
      <c r="E309" s="246"/>
      <c r="H309" s="245"/>
      <c r="AK309" s="245"/>
      <c r="AL309" s="245"/>
      <c r="AM309" s="245"/>
    </row>
    <row r="310" spans="5:39" ht="12.75" customHeight="1" x14ac:dyDescent="0.25">
      <c r="E310" s="246"/>
      <c r="H310" s="245"/>
      <c r="AK310" s="245"/>
      <c r="AL310" s="245"/>
      <c r="AM310" s="245"/>
    </row>
    <row r="311" spans="5:39" ht="12.75" customHeight="1" x14ac:dyDescent="0.25">
      <c r="E311" s="246"/>
      <c r="H311" s="245"/>
      <c r="AK311" s="245"/>
      <c r="AL311" s="245"/>
      <c r="AM311" s="245"/>
    </row>
    <row r="312" spans="5:39" ht="12.75" customHeight="1" x14ac:dyDescent="0.25">
      <c r="E312" s="246"/>
      <c r="H312" s="245"/>
      <c r="AK312" s="245"/>
      <c r="AL312" s="245"/>
      <c r="AM312" s="245"/>
    </row>
    <row r="313" spans="5:39" ht="12.75" customHeight="1" x14ac:dyDescent="0.25">
      <c r="E313" s="246"/>
      <c r="H313" s="245"/>
      <c r="AK313" s="245"/>
      <c r="AL313" s="245"/>
      <c r="AM313" s="245"/>
    </row>
    <row r="314" spans="5:39" ht="12.75" customHeight="1" x14ac:dyDescent="0.25">
      <c r="E314" s="246"/>
      <c r="H314" s="245"/>
      <c r="AK314" s="245"/>
      <c r="AL314" s="245"/>
      <c r="AM314" s="245"/>
    </row>
    <row r="315" spans="5:39" ht="12.75" customHeight="1" x14ac:dyDescent="0.25">
      <c r="E315" s="246"/>
      <c r="H315" s="245"/>
      <c r="AK315" s="245"/>
      <c r="AL315" s="245"/>
      <c r="AM315" s="245"/>
    </row>
    <row r="316" spans="5:39" ht="12.75" customHeight="1" x14ac:dyDescent="0.25">
      <c r="E316" s="246"/>
      <c r="H316" s="245"/>
      <c r="AK316" s="245"/>
      <c r="AL316" s="245"/>
      <c r="AM316" s="245"/>
    </row>
    <row r="317" spans="5:39" ht="12.75" customHeight="1" x14ac:dyDescent="0.25">
      <c r="E317" s="246"/>
      <c r="H317" s="245"/>
      <c r="AK317" s="245"/>
      <c r="AL317" s="245"/>
      <c r="AM317" s="245"/>
    </row>
    <row r="318" spans="5:39" ht="12.75" customHeight="1" x14ac:dyDescent="0.25">
      <c r="E318" s="246"/>
      <c r="H318" s="245"/>
      <c r="AK318" s="245"/>
      <c r="AL318" s="245"/>
      <c r="AM318" s="245"/>
    </row>
    <row r="319" spans="5:39" ht="12.75" customHeight="1" x14ac:dyDescent="0.25">
      <c r="E319" s="246"/>
      <c r="H319" s="245"/>
      <c r="AK319" s="245"/>
      <c r="AL319" s="245"/>
      <c r="AM319" s="245"/>
    </row>
    <row r="320" spans="5:39" ht="12.75" customHeight="1" x14ac:dyDescent="0.25">
      <c r="E320" s="246"/>
      <c r="H320" s="245"/>
      <c r="AK320" s="245"/>
      <c r="AL320" s="245"/>
      <c r="AM320" s="245"/>
    </row>
    <row r="321" spans="5:39" ht="12.75" customHeight="1" x14ac:dyDescent="0.25">
      <c r="E321" s="246"/>
      <c r="H321" s="245"/>
      <c r="AK321" s="245"/>
      <c r="AL321" s="245"/>
      <c r="AM321" s="245"/>
    </row>
    <row r="322" spans="5:39" ht="12.75" customHeight="1" x14ac:dyDescent="0.25">
      <c r="E322" s="246"/>
      <c r="H322" s="245"/>
      <c r="AK322" s="245"/>
      <c r="AL322" s="245"/>
      <c r="AM322" s="245"/>
    </row>
    <row r="323" spans="5:39" ht="12.75" customHeight="1" x14ac:dyDescent="0.25">
      <c r="E323" s="246"/>
      <c r="H323" s="245"/>
      <c r="AK323" s="245"/>
      <c r="AL323" s="245"/>
      <c r="AM323" s="245"/>
    </row>
    <row r="324" spans="5:39" ht="12.75" customHeight="1" x14ac:dyDescent="0.25">
      <c r="E324" s="246"/>
      <c r="H324" s="245"/>
      <c r="AK324" s="245"/>
      <c r="AL324" s="245"/>
      <c r="AM324" s="245"/>
    </row>
    <row r="325" spans="5:39" ht="12.75" customHeight="1" x14ac:dyDescent="0.25">
      <c r="E325" s="246"/>
      <c r="H325" s="245"/>
      <c r="AK325" s="245"/>
      <c r="AL325" s="245"/>
      <c r="AM325" s="245"/>
    </row>
    <row r="326" spans="5:39" ht="12.75" customHeight="1" x14ac:dyDescent="0.25">
      <c r="E326" s="246"/>
      <c r="H326" s="245"/>
      <c r="AK326" s="245"/>
      <c r="AL326" s="245"/>
      <c r="AM326" s="245"/>
    </row>
    <row r="327" spans="5:39" ht="12.75" customHeight="1" x14ac:dyDescent="0.25">
      <c r="E327" s="246"/>
      <c r="H327" s="245"/>
      <c r="AK327" s="245"/>
      <c r="AL327" s="245"/>
      <c r="AM327" s="245"/>
    </row>
    <row r="328" spans="5:39" ht="12.75" customHeight="1" x14ac:dyDescent="0.25">
      <c r="E328" s="246"/>
      <c r="H328" s="245"/>
      <c r="AK328" s="245"/>
      <c r="AL328" s="245"/>
      <c r="AM328" s="245"/>
    </row>
    <row r="329" spans="5:39" ht="12.75" customHeight="1" x14ac:dyDescent="0.25">
      <c r="E329" s="246"/>
      <c r="H329" s="245"/>
      <c r="AK329" s="245"/>
      <c r="AL329" s="245"/>
      <c r="AM329" s="245"/>
    </row>
    <row r="330" spans="5:39" ht="12.75" customHeight="1" x14ac:dyDescent="0.25">
      <c r="E330" s="246"/>
      <c r="H330" s="245"/>
      <c r="AK330" s="245"/>
      <c r="AL330" s="245"/>
      <c r="AM330" s="245"/>
    </row>
    <row r="331" spans="5:39" ht="12.75" customHeight="1" x14ac:dyDescent="0.25">
      <c r="E331" s="246"/>
      <c r="H331" s="245"/>
      <c r="AK331" s="245"/>
      <c r="AL331" s="245"/>
      <c r="AM331" s="245"/>
    </row>
    <row r="332" spans="5:39" ht="12.75" customHeight="1" x14ac:dyDescent="0.25">
      <c r="E332" s="246"/>
      <c r="H332" s="245"/>
      <c r="AK332" s="245"/>
      <c r="AL332" s="245"/>
      <c r="AM332" s="245"/>
    </row>
    <row r="333" spans="5:39" ht="12.75" customHeight="1" x14ac:dyDescent="0.25">
      <c r="E333" s="246"/>
      <c r="H333" s="245"/>
      <c r="AK333" s="245"/>
      <c r="AL333" s="245"/>
      <c r="AM333" s="245"/>
    </row>
    <row r="334" spans="5:39" ht="12.75" customHeight="1" x14ac:dyDescent="0.25">
      <c r="E334" s="246"/>
      <c r="H334" s="245"/>
      <c r="AK334" s="245"/>
      <c r="AL334" s="245"/>
      <c r="AM334" s="245"/>
    </row>
    <row r="335" spans="5:39" ht="12.75" customHeight="1" x14ac:dyDescent="0.25">
      <c r="E335" s="246"/>
      <c r="H335" s="245"/>
      <c r="AK335" s="245"/>
      <c r="AL335" s="245"/>
      <c r="AM335" s="245"/>
    </row>
    <row r="336" spans="5:39" ht="12.75" customHeight="1" x14ac:dyDescent="0.25">
      <c r="E336" s="246"/>
      <c r="H336" s="245"/>
      <c r="AK336" s="245"/>
      <c r="AL336" s="245"/>
      <c r="AM336" s="245"/>
    </row>
    <row r="337" spans="5:39" ht="12.75" customHeight="1" x14ac:dyDescent="0.25">
      <c r="E337" s="246"/>
      <c r="H337" s="245"/>
      <c r="AK337" s="245"/>
      <c r="AL337" s="245"/>
      <c r="AM337" s="245"/>
    </row>
    <row r="338" spans="5:39" ht="12.75" customHeight="1" x14ac:dyDescent="0.25">
      <c r="E338" s="246"/>
      <c r="H338" s="245"/>
      <c r="AK338" s="245"/>
      <c r="AL338" s="245"/>
      <c r="AM338" s="245"/>
    </row>
    <row r="339" spans="5:39" ht="12.75" customHeight="1" x14ac:dyDescent="0.25">
      <c r="E339" s="246"/>
      <c r="H339" s="245"/>
      <c r="AK339" s="245"/>
      <c r="AL339" s="245"/>
      <c r="AM339" s="245"/>
    </row>
    <row r="340" spans="5:39" ht="12.75" customHeight="1" x14ac:dyDescent="0.25">
      <c r="E340" s="246"/>
      <c r="H340" s="245"/>
      <c r="AK340" s="245"/>
      <c r="AL340" s="245"/>
      <c r="AM340" s="245"/>
    </row>
    <row r="341" spans="5:39" ht="12.75" customHeight="1" x14ac:dyDescent="0.25">
      <c r="E341" s="246"/>
      <c r="H341" s="245"/>
      <c r="AK341" s="245"/>
      <c r="AL341" s="245"/>
      <c r="AM341" s="245"/>
    </row>
    <row r="342" spans="5:39" ht="12.75" customHeight="1" x14ac:dyDescent="0.25">
      <c r="E342" s="246"/>
      <c r="H342" s="245"/>
      <c r="AK342" s="245"/>
      <c r="AL342" s="245"/>
      <c r="AM342" s="245"/>
    </row>
    <row r="343" spans="5:39" ht="12.75" customHeight="1" x14ac:dyDescent="0.25">
      <c r="E343" s="246"/>
      <c r="H343" s="245"/>
      <c r="AK343" s="245"/>
      <c r="AL343" s="245"/>
      <c r="AM343" s="245"/>
    </row>
    <row r="344" spans="5:39" ht="12.75" customHeight="1" x14ac:dyDescent="0.25">
      <c r="E344" s="246"/>
      <c r="H344" s="245"/>
      <c r="AK344" s="245"/>
      <c r="AL344" s="245"/>
      <c r="AM344" s="245"/>
    </row>
    <row r="345" spans="5:39" ht="12.75" customHeight="1" x14ac:dyDescent="0.25">
      <c r="E345" s="246"/>
      <c r="H345" s="245"/>
      <c r="AK345" s="245"/>
      <c r="AL345" s="245"/>
      <c r="AM345" s="245"/>
    </row>
    <row r="346" spans="5:39" ht="12.75" customHeight="1" x14ac:dyDescent="0.25">
      <c r="E346" s="246"/>
      <c r="H346" s="245"/>
      <c r="AK346" s="245"/>
      <c r="AL346" s="245"/>
      <c r="AM346" s="245"/>
    </row>
    <row r="347" spans="5:39" ht="12.75" customHeight="1" x14ac:dyDescent="0.25">
      <c r="E347" s="246"/>
      <c r="H347" s="245"/>
      <c r="AK347" s="245"/>
      <c r="AL347" s="245"/>
      <c r="AM347" s="245"/>
    </row>
    <row r="348" spans="5:39" ht="12.75" customHeight="1" x14ac:dyDescent="0.25">
      <c r="E348" s="246"/>
      <c r="H348" s="245"/>
      <c r="AK348" s="245"/>
      <c r="AL348" s="245"/>
      <c r="AM348" s="245"/>
    </row>
    <row r="349" spans="5:39" ht="12.75" customHeight="1" x14ac:dyDescent="0.25">
      <c r="E349" s="246"/>
      <c r="H349" s="245"/>
      <c r="AK349" s="245"/>
      <c r="AL349" s="245"/>
      <c r="AM349" s="245"/>
    </row>
    <row r="350" spans="5:39" ht="12.75" customHeight="1" x14ac:dyDescent="0.25">
      <c r="E350" s="246"/>
      <c r="H350" s="245"/>
      <c r="AK350" s="245"/>
      <c r="AL350" s="245"/>
      <c r="AM350" s="245"/>
    </row>
    <row r="351" spans="5:39" ht="12.75" customHeight="1" x14ac:dyDescent="0.25">
      <c r="E351" s="246"/>
      <c r="H351" s="245"/>
      <c r="AK351" s="245"/>
      <c r="AL351" s="245"/>
      <c r="AM351" s="245"/>
    </row>
    <row r="352" spans="5:39" ht="12.75" customHeight="1" x14ac:dyDescent="0.25">
      <c r="E352" s="246"/>
      <c r="H352" s="245"/>
      <c r="AK352" s="245"/>
      <c r="AL352" s="245"/>
      <c r="AM352" s="245"/>
    </row>
    <row r="353" spans="5:39" ht="12.75" customHeight="1" x14ac:dyDescent="0.25">
      <c r="E353" s="246"/>
      <c r="H353" s="245"/>
      <c r="AK353" s="245"/>
      <c r="AL353" s="245"/>
      <c r="AM353" s="245"/>
    </row>
    <row r="354" spans="5:39" ht="12.75" customHeight="1" x14ac:dyDescent="0.25">
      <c r="E354" s="246"/>
      <c r="H354" s="245"/>
      <c r="AK354" s="245"/>
      <c r="AL354" s="245"/>
      <c r="AM354" s="245"/>
    </row>
    <row r="355" spans="5:39" ht="12.75" customHeight="1" x14ac:dyDescent="0.25">
      <c r="E355" s="246"/>
      <c r="H355" s="245"/>
      <c r="AK355" s="245"/>
      <c r="AL355" s="245"/>
      <c r="AM355" s="245"/>
    </row>
    <row r="356" spans="5:39" ht="12.75" customHeight="1" x14ac:dyDescent="0.25">
      <c r="E356" s="246"/>
      <c r="H356" s="245"/>
      <c r="AK356" s="245"/>
      <c r="AL356" s="245"/>
      <c r="AM356" s="245"/>
    </row>
    <row r="357" spans="5:39" ht="12.75" customHeight="1" x14ac:dyDescent="0.25">
      <c r="E357" s="246"/>
      <c r="H357" s="245"/>
      <c r="AK357" s="245"/>
      <c r="AL357" s="245"/>
      <c r="AM357" s="245"/>
    </row>
    <row r="358" spans="5:39" ht="12.75" customHeight="1" x14ac:dyDescent="0.25">
      <c r="E358" s="246"/>
      <c r="H358" s="245"/>
      <c r="AK358" s="245"/>
      <c r="AL358" s="245"/>
      <c r="AM358" s="245"/>
    </row>
    <row r="359" spans="5:39" ht="12.75" customHeight="1" x14ac:dyDescent="0.25">
      <c r="E359" s="246"/>
      <c r="H359" s="245"/>
      <c r="AK359" s="245"/>
      <c r="AL359" s="245"/>
      <c r="AM359" s="245"/>
    </row>
    <row r="360" spans="5:39" ht="12.75" customHeight="1" x14ac:dyDescent="0.25">
      <c r="E360" s="246"/>
      <c r="H360" s="245"/>
      <c r="AK360" s="245"/>
      <c r="AL360" s="245"/>
      <c r="AM360" s="245"/>
    </row>
    <row r="361" spans="5:39" ht="12.75" customHeight="1" x14ac:dyDescent="0.25">
      <c r="E361" s="246"/>
      <c r="H361" s="245"/>
      <c r="AK361" s="245"/>
      <c r="AL361" s="245"/>
      <c r="AM361" s="245"/>
    </row>
    <row r="362" spans="5:39" ht="12.75" customHeight="1" x14ac:dyDescent="0.25">
      <c r="E362" s="246"/>
      <c r="H362" s="245"/>
      <c r="AK362" s="245"/>
      <c r="AL362" s="245"/>
      <c r="AM362" s="245"/>
    </row>
    <row r="363" spans="5:39" ht="12.75" customHeight="1" x14ac:dyDescent="0.25">
      <c r="E363" s="246"/>
      <c r="H363" s="245"/>
      <c r="AK363" s="245"/>
      <c r="AL363" s="245"/>
      <c r="AM363" s="245"/>
    </row>
    <row r="364" spans="5:39" ht="12.75" customHeight="1" x14ac:dyDescent="0.25">
      <c r="E364" s="246"/>
      <c r="H364" s="245"/>
      <c r="AK364" s="245"/>
      <c r="AL364" s="245"/>
      <c r="AM364" s="245"/>
    </row>
    <row r="365" spans="5:39" ht="12.75" customHeight="1" x14ac:dyDescent="0.25">
      <c r="E365" s="246"/>
      <c r="H365" s="245"/>
      <c r="AK365" s="245"/>
      <c r="AL365" s="245"/>
      <c r="AM365" s="245"/>
    </row>
    <row r="366" spans="5:39" ht="12.75" customHeight="1" x14ac:dyDescent="0.25">
      <c r="E366" s="246"/>
      <c r="H366" s="245"/>
      <c r="AK366" s="245"/>
      <c r="AL366" s="245"/>
      <c r="AM366" s="245"/>
    </row>
    <row r="367" spans="5:39" ht="12.75" customHeight="1" x14ac:dyDescent="0.25">
      <c r="E367" s="246"/>
      <c r="H367" s="245"/>
      <c r="AK367" s="245"/>
      <c r="AL367" s="245"/>
      <c r="AM367" s="245"/>
    </row>
    <row r="368" spans="5:39" ht="12.75" customHeight="1" x14ac:dyDescent="0.25">
      <c r="E368" s="246"/>
      <c r="H368" s="245"/>
      <c r="AK368" s="245"/>
      <c r="AL368" s="245"/>
      <c r="AM368" s="245"/>
    </row>
    <row r="369" spans="5:39" ht="12.75" customHeight="1" x14ac:dyDescent="0.25">
      <c r="E369" s="246"/>
      <c r="H369" s="245"/>
      <c r="AK369" s="245"/>
      <c r="AL369" s="245"/>
      <c r="AM369" s="245"/>
    </row>
    <row r="370" spans="5:39" ht="12.75" customHeight="1" x14ac:dyDescent="0.25">
      <c r="E370" s="246"/>
      <c r="H370" s="245"/>
      <c r="AK370" s="245"/>
      <c r="AL370" s="245"/>
      <c r="AM370" s="245"/>
    </row>
    <row r="371" spans="5:39" ht="12.75" customHeight="1" x14ac:dyDescent="0.25">
      <c r="E371" s="246"/>
      <c r="H371" s="245"/>
      <c r="AK371" s="245"/>
      <c r="AL371" s="245"/>
      <c r="AM371" s="245"/>
    </row>
    <row r="372" spans="5:39" ht="12.75" customHeight="1" x14ac:dyDescent="0.25">
      <c r="E372" s="246"/>
      <c r="H372" s="245"/>
      <c r="AK372" s="245"/>
      <c r="AL372" s="245"/>
      <c r="AM372" s="245"/>
    </row>
    <row r="373" spans="5:39" ht="12.75" customHeight="1" x14ac:dyDescent="0.25">
      <c r="E373" s="246"/>
      <c r="H373" s="245"/>
      <c r="AK373" s="245"/>
      <c r="AL373" s="245"/>
      <c r="AM373" s="245"/>
    </row>
    <row r="374" spans="5:39" ht="12.75" customHeight="1" x14ac:dyDescent="0.25">
      <c r="E374" s="246"/>
      <c r="H374" s="245"/>
      <c r="AK374" s="245"/>
      <c r="AL374" s="245"/>
      <c r="AM374" s="245"/>
    </row>
    <row r="375" spans="5:39" ht="12.75" customHeight="1" x14ac:dyDescent="0.25">
      <c r="E375" s="246"/>
      <c r="H375" s="245"/>
      <c r="AK375" s="245"/>
      <c r="AL375" s="245"/>
      <c r="AM375" s="245"/>
    </row>
    <row r="376" spans="5:39" ht="12.75" customHeight="1" x14ac:dyDescent="0.25">
      <c r="E376" s="246"/>
      <c r="H376" s="245"/>
      <c r="AK376" s="245"/>
      <c r="AL376" s="245"/>
      <c r="AM376" s="245"/>
    </row>
    <row r="377" spans="5:39" ht="12.75" customHeight="1" x14ac:dyDescent="0.25">
      <c r="E377" s="246"/>
      <c r="H377" s="245"/>
      <c r="AK377" s="245"/>
      <c r="AL377" s="245"/>
      <c r="AM377" s="245"/>
    </row>
    <row r="378" spans="5:39" ht="12.75" customHeight="1" x14ac:dyDescent="0.25">
      <c r="E378" s="246"/>
      <c r="H378" s="245"/>
      <c r="AK378" s="245"/>
      <c r="AL378" s="245"/>
      <c r="AM378" s="245"/>
    </row>
    <row r="379" spans="5:39" ht="12.75" customHeight="1" x14ac:dyDescent="0.25">
      <c r="E379" s="246"/>
      <c r="H379" s="245"/>
      <c r="AK379" s="245"/>
      <c r="AL379" s="245"/>
      <c r="AM379" s="245"/>
    </row>
    <row r="380" spans="5:39" ht="12.75" customHeight="1" x14ac:dyDescent="0.25">
      <c r="E380" s="246"/>
      <c r="H380" s="245"/>
      <c r="AK380" s="245"/>
      <c r="AL380" s="245"/>
      <c r="AM380" s="245"/>
    </row>
    <row r="381" spans="5:39" ht="12.75" customHeight="1" x14ac:dyDescent="0.25">
      <c r="E381" s="246"/>
      <c r="H381" s="245"/>
      <c r="AK381" s="245"/>
      <c r="AL381" s="245"/>
      <c r="AM381" s="245"/>
    </row>
    <row r="382" spans="5:39" ht="12.75" customHeight="1" x14ac:dyDescent="0.25">
      <c r="E382" s="246"/>
      <c r="H382" s="245"/>
      <c r="AK382" s="245"/>
      <c r="AL382" s="245"/>
      <c r="AM382" s="245"/>
    </row>
    <row r="383" spans="5:39" ht="12.75" customHeight="1" x14ac:dyDescent="0.25">
      <c r="E383" s="246"/>
      <c r="H383" s="245"/>
      <c r="AK383" s="245"/>
      <c r="AL383" s="245"/>
      <c r="AM383" s="245"/>
    </row>
    <row r="384" spans="5:39" ht="12.75" customHeight="1" x14ac:dyDescent="0.25">
      <c r="E384" s="246"/>
      <c r="H384" s="245"/>
      <c r="AK384" s="245"/>
      <c r="AL384" s="245"/>
      <c r="AM384" s="245"/>
    </row>
    <row r="385" spans="5:39" ht="12.75" customHeight="1" x14ac:dyDescent="0.25">
      <c r="E385" s="246"/>
      <c r="H385" s="245"/>
      <c r="AK385" s="245"/>
      <c r="AL385" s="245"/>
      <c r="AM385" s="245"/>
    </row>
    <row r="386" spans="5:39" ht="12.75" customHeight="1" x14ac:dyDescent="0.25">
      <c r="E386" s="246"/>
      <c r="H386" s="245"/>
      <c r="AK386" s="245"/>
      <c r="AL386" s="245"/>
      <c r="AM386" s="245"/>
    </row>
    <row r="387" spans="5:39" ht="12.75" customHeight="1" x14ac:dyDescent="0.25">
      <c r="E387" s="246"/>
      <c r="H387" s="245"/>
      <c r="AK387" s="245"/>
      <c r="AL387" s="245"/>
      <c r="AM387" s="245"/>
    </row>
    <row r="388" spans="5:39" ht="12.75" customHeight="1" x14ac:dyDescent="0.25">
      <c r="E388" s="246"/>
      <c r="H388" s="245"/>
      <c r="AK388" s="245"/>
      <c r="AL388" s="245"/>
      <c r="AM388" s="245"/>
    </row>
    <row r="389" spans="5:39" ht="12.75" customHeight="1" x14ac:dyDescent="0.25">
      <c r="E389" s="246"/>
      <c r="H389" s="245"/>
      <c r="AK389" s="245"/>
      <c r="AL389" s="245"/>
      <c r="AM389" s="245"/>
    </row>
    <row r="390" spans="5:39" ht="12.75" customHeight="1" x14ac:dyDescent="0.25">
      <c r="E390" s="246"/>
      <c r="H390" s="245"/>
      <c r="AK390" s="245"/>
      <c r="AL390" s="245"/>
      <c r="AM390" s="245"/>
    </row>
    <row r="391" spans="5:39" ht="12.75" customHeight="1" x14ac:dyDescent="0.25">
      <c r="E391" s="246"/>
      <c r="H391" s="245"/>
      <c r="AK391" s="245"/>
      <c r="AL391" s="245"/>
      <c r="AM391" s="245"/>
    </row>
    <row r="392" spans="5:39" ht="12.75" customHeight="1" x14ac:dyDescent="0.25">
      <c r="E392" s="246"/>
      <c r="H392" s="245"/>
      <c r="AK392" s="245"/>
      <c r="AL392" s="245"/>
      <c r="AM392" s="245"/>
    </row>
    <row r="393" spans="5:39" ht="12.75" customHeight="1" x14ac:dyDescent="0.25">
      <c r="E393" s="246"/>
      <c r="H393" s="245"/>
      <c r="AK393" s="245"/>
      <c r="AL393" s="245"/>
      <c r="AM393" s="245"/>
    </row>
    <row r="394" spans="5:39" ht="12.75" customHeight="1" x14ac:dyDescent="0.25">
      <c r="E394" s="246"/>
      <c r="H394" s="245"/>
      <c r="AK394" s="245"/>
      <c r="AL394" s="245"/>
      <c r="AM394" s="245"/>
    </row>
    <row r="395" spans="5:39" ht="12.75" customHeight="1" x14ac:dyDescent="0.25">
      <c r="E395" s="246"/>
      <c r="H395" s="245"/>
      <c r="AK395" s="245"/>
      <c r="AL395" s="245"/>
      <c r="AM395" s="245"/>
    </row>
    <row r="396" spans="5:39" ht="12.75" customHeight="1" x14ac:dyDescent="0.25">
      <c r="E396" s="246"/>
      <c r="H396" s="245"/>
      <c r="AK396" s="245"/>
      <c r="AL396" s="245"/>
      <c r="AM396" s="245"/>
    </row>
    <row r="397" spans="5:39" ht="12.75" customHeight="1" x14ac:dyDescent="0.25">
      <c r="E397" s="246"/>
      <c r="H397" s="245"/>
      <c r="AK397" s="245"/>
      <c r="AL397" s="245"/>
      <c r="AM397" s="245"/>
    </row>
    <row r="398" spans="5:39" ht="12.75" customHeight="1" x14ac:dyDescent="0.25">
      <c r="E398" s="246"/>
      <c r="H398" s="245"/>
      <c r="AK398" s="245"/>
      <c r="AL398" s="245"/>
      <c r="AM398" s="245"/>
    </row>
    <row r="399" spans="5:39" ht="12.75" customHeight="1" x14ac:dyDescent="0.25">
      <c r="E399" s="246"/>
      <c r="H399" s="245"/>
      <c r="AK399" s="245"/>
      <c r="AL399" s="245"/>
      <c r="AM399" s="245"/>
    </row>
    <row r="400" spans="5:39" ht="12.75" customHeight="1" x14ac:dyDescent="0.25">
      <c r="E400" s="246"/>
      <c r="H400" s="245"/>
      <c r="AK400" s="245"/>
      <c r="AL400" s="245"/>
      <c r="AM400" s="245"/>
    </row>
    <row r="401" spans="5:39" ht="12.75" customHeight="1" x14ac:dyDescent="0.25">
      <c r="E401" s="246"/>
      <c r="H401" s="245"/>
      <c r="AK401" s="245"/>
      <c r="AL401" s="245"/>
      <c r="AM401" s="245"/>
    </row>
    <row r="402" spans="5:39" ht="12.75" customHeight="1" x14ac:dyDescent="0.25">
      <c r="E402" s="246"/>
      <c r="H402" s="245"/>
      <c r="AK402" s="245"/>
      <c r="AL402" s="245"/>
      <c r="AM402" s="245"/>
    </row>
    <row r="403" spans="5:39" ht="12.75" customHeight="1" x14ac:dyDescent="0.25">
      <c r="E403" s="246"/>
      <c r="H403" s="245"/>
      <c r="AK403" s="245"/>
      <c r="AL403" s="245"/>
      <c r="AM403" s="245"/>
    </row>
    <row r="404" spans="5:39" ht="12.75" customHeight="1" x14ac:dyDescent="0.25">
      <c r="E404" s="246"/>
      <c r="H404" s="245"/>
      <c r="AK404" s="245"/>
      <c r="AL404" s="245"/>
      <c r="AM404" s="245"/>
    </row>
    <row r="405" spans="5:39" ht="12.75" customHeight="1" x14ac:dyDescent="0.25">
      <c r="E405" s="246"/>
      <c r="H405" s="245"/>
      <c r="AK405" s="245"/>
      <c r="AL405" s="245"/>
      <c r="AM405" s="245"/>
    </row>
    <row r="406" spans="5:39" ht="12.75" customHeight="1" x14ac:dyDescent="0.25">
      <c r="E406" s="246"/>
      <c r="H406" s="245"/>
      <c r="AK406" s="245"/>
      <c r="AL406" s="245"/>
      <c r="AM406" s="245"/>
    </row>
    <row r="407" spans="5:39" ht="12.75" customHeight="1" x14ac:dyDescent="0.25">
      <c r="E407" s="246"/>
      <c r="H407" s="245"/>
      <c r="AK407" s="245"/>
      <c r="AL407" s="245"/>
      <c r="AM407" s="245"/>
    </row>
    <row r="408" spans="5:39" ht="12.75" customHeight="1" x14ac:dyDescent="0.25">
      <c r="E408" s="246"/>
      <c r="H408" s="245"/>
      <c r="AK408" s="245"/>
      <c r="AL408" s="245"/>
      <c r="AM408" s="245"/>
    </row>
    <row r="409" spans="5:39" ht="12.75" customHeight="1" x14ac:dyDescent="0.25">
      <c r="E409" s="246"/>
      <c r="H409" s="245"/>
      <c r="AK409" s="245"/>
      <c r="AL409" s="245"/>
      <c r="AM409" s="245"/>
    </row>
    <row r="410" spans="5:39" ht="12.75" customHeight="1" x14ac:dyDescent="0.25">
      <c r="E410" s="246"/>
      <c r="H410" s="245"/>
      <c r="AK410" s="245"/>
      <c r="AL410" s="245"/>
      <c r="AM410" s="245"/>
    </row>
    <row r="411" spans="5:39" ht="12.75" customHeight="1" x14ac:dyDescent="0.25">
      <c r="E411" s="246"/>
      <c r="H411" s="245"/>
      <c r="AK411" s="245"/>
      <c r="AL411" s="245"/>
      <c r="AM411" s="245"/>
    </row>
    <row r="412" spans="5:39" ht="12.75" customHeight="1" x14ac:dyDescent="0.25">
      <c r="E412" s="246"/>
      <c r="H412" s="245"/>
      <c r="AK412" s="245"/>
      <c r="AL412" s="245"/>
      <c r="AM412" s="245"/>
    </row>
    <row r="413" spans="5:39" ht="12.75" customHeight="1" x14ac:dyDescent="0.25">
      <c r="E413" s="246"/>
      <c r="H413" s="245"/>
      <c r="AK413" s="245"/>
      <c r="AL413" s="245"/>
      <c r="AM413" s="245"/>
    </row>
    <row r="414" spans="5:39" ht="12.75" customHeight="1" x14ac:dyDescent="0.25">
      <c r="E414" s="246"/>
      <c r="H414" s="245"/>
      <c r="AK414" s="245"/>
      <c r="AL414" s="245"/>
      <c r="AM414" s="245"/>
    </row>
    <row r="415" spans="5:39" ht="12.75" customHeight="1" x14ac:dyDescent="0.25">
      <c r="E415" s="246"/>
      <c r="H415" s="245"/>
      <c r="AK415" s="245"/>
      <c r="AL415" s="245"/>
      <c r="AM415" s="245"/>
    </row>
    <row r="416" spans="5:39" ht="12.75" customHeight="1" x14ac:dyDescent="0.25">
      <c r="E416" s="246"/>
      <c r="H416" s="245"/>
      <c r="AK416" s="245"/>
      <c r="AL416" s="245"/>
      <c r="AM416" s="245"/>
    </row>
    <row r="417" spans="5:39" ht="12.75" customHeight="1" x14ac:dyDescent="0.25">
      <c r="E417" s="246"/>
      <c r="H417" s="245"/>
      <c r="AK417" s="245"/>
      <c r="AL417" s="245"/>
      <c r="AM417" s="245"/>
    </row>
    <row r="418" spans="5:39" ht="12.75" customHeight="1" x14ac:dyDescent="0.25">
      <c r="E418" s="246"/>
      <c r="H418" s="245"/>
      <c r="AK418" s="245"/>
      <c r="AL418" s="245"/>
      <c r="AM418" s="245"/>
    </row>
    <row r="419" spans="5:39" ht="12.75" customHeight="1" x14ac:dyDescent="0.25">
      <c r="AK419" s="245"/>
      <c r="AL419" s="245"/>
      <c r="AM419" s="245"/>
    </row>
    <row r="420" spans="5:39" ht="12.75" customHeight="1" x14ac:dyDescent="0.25">
      <c r="AK420" s="245"/>
      <c r="AL420" s="245"/>
      <c r="AM420" s="245"/>
    </row>
    <row r="421" spans="5:39" ht="12.75" customHeight="1" x14ac:dyDescent="0.25">
      <c r="AK421" s="245"/>
      <c r="AL421" s="245"/>
      <c r="AM421" s="245"/>
    </row>
  </sheetData>
  <phoneticPr fontId="18" type="noConversion"/>
  <pageMargins left="0.75" right="0.75" top="1" bottom="1" header="0.5" footer="0.5"/>
  <pageSetup scale="70" orientation="landscape" horizontalDpi="4294967292" r:id="rId1"/>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indexed="12"/>
  </sheetPr>
  <dimension ref="A1:HC86"/>
  <sheetViews>
    <sheetView showGridLines="0" zoomScale="85" zoomScaleNormal="85" workbookViewId="0">
      <pane xSplit="4" ySplit="10" topLeftCell="BI26" activePane="bottomRight" state="frozen"/>
      <selection pane="topRight" activeCell="E1" sqref="E1"/>
      <selection pane="bottomLeft" activeCell="A11" sqref="A11"/>
      <selection pane="bottomRight" activeCell="BI35" sqref="BI35"/>
    </sheetView>
  </sheetViews>
  <sheetFormatPr defaultColWidth="9.109375" defaultRowHeight="13.2" outlineLevelRow="1" outlineLevelCol="1" x14ac:dyDescent="0.25"/>
  <cols>
    <col min="1" max="1" width="4.44140625" style="254" customWidth="1"/>
    <col min="2" max="2" width="39.5546875" style="254" customWidth="1"/>
    <col min="3" max="3" width="11" style="254" customWidth="1"/>
    <col min="4" max="4" width="13.33203125" style="254" customWidth="1"/>
    <col min="5" max="5" width="13.33203125" style="254" hidden="1" customWidth="1" outlineLevel="1"/>
    <col min="6" max="7" width="6.44140625" style="254" hidden="1" customWidth="1" outlineLevel="1"/>
    <col min="8" max="8" width="8" style="254" hidden="1" customWidth="1" outlineLevel="1"/>
    <col min="9" max="9" width="6.44140625" style="86" hidden="1" customWidth="1" collapsed="1"/>
    <col min="10" max="10" width="6.88671875" style="254" hidden="1" customWidth="1" outlineLevel="1"/>
    <col min="11" max="11" width="7.5546875" style="254" hidden="1" customWidth="1" outlineLevel="1"/>
    <col min="12" max="12" width="6.88671875" style="254" hidden="1" customWidth="1" outlineLevel="1"/>
    <col min="13" max="13" width="7.44140625" style="254" hidden="1" customWidth="1" outlineLevel="1"/>
    <col min="14" max="14" width="7.6640625" style="86" hidden="1" customWidth="1" collapsed="1"/>
    <col min="15" max="18" width="6.44140625" style="254" hidden="1" customWidth="1" outlineLevel="1"/>
    <col min="19" max="19" width="6.44140625" style="86" hidden="1" customWidth="1" collapsed="1"/>
    <col min="20" max="23" width="6.44140625" style="254" hidden="1" customWidth="1" outlineLevel="1"/>
    <col min="24" max="24" width="6.44140625" style="86" hidden="1" customWidth="1" collapsed="1"/>
    <col min="25" max="28" width="6.44140625" style="254" hidden="1" customWidth="1" outlineLevel="1"/>
    <col min="29" max="29" width="6.44140625" style="58" hidden="1" customWidth="1" collapsed="1"/>
    <col min="30" max="33" width="6.44140625" style="58" hidden="1" customWidth="1" outlineLevel="1"/>
    <col min="34" max="34" width="6.44140625" style="254" hidden="1" customWidth="1" collapsed="1"/>
    <col min="35" max="38" width="6.44140625" style="254" hidden="1" customWidth="1" outlineLevel="1"/>
    <col min="39" max="39" width="6.44140625" style="254" hidden="1" customWidth="1" collapsed="1"/>
    <col min="40" max="43" width="6.44140625" style="254" hidden="1" customWidth="1" outlineLevel="1"/>
    <col min="44" max="44" width="6.44140625" style="254" hidden="1" customWidth="1" collapsed="1"/>
    <col min="45" max="48" width="6.44140625" style="254" customWidth="1" outlineLevel="1"/>
    <col min="49" max="49" width="6.44140625" style="254" customWidth="1"/>
    <col min="50" max="53" width="6.44140625" style="254" customWidth="1" outlineLevel="1"/>
    <col min="54" max="54" width="6.44140625" style="254" customWidth="1"/>
    <col min="55" max="58" width="6.44140625" style="254" customWidth="1" outlineLevel="1"/>
    <col min="59" max="59" width="6.44140625" style="254" customWidth="1"/>
    <col min="60" max="63" width="6.44140625" style="254" customWidth="1" outlineLevel="1"/>
    <col min="64" max="64" width="6.44140625" style="254" customWidth="1"/>
    <col min="65" max="68" width="6.44140625" style="254" customWidth="1" outlineLevel="1"/>
    <col min="69" max="69" width="6.44140625" style="254" customWidth="1"/>
    <col min="70" max="73" width="6.44140625" style="254" customWidth="1" outlineLevel="1"/>
    <col min="74" max="79" width="6.44140625" style="254" customWidth="1"/>
    <col min="80" max="80" width="10.88671875" style="254" customWidth="1"/>
    <col min="81" max="81" width="10.5546875" style="360" customWidth="1"/>
    <col min="82" max="86" width="8.6640625" style="360" customWidth="1"/>
    <col min="87" max="125" width="7.5546875" style="6" customWidth="1"/>
    <col min="126" max="126" width="7.88671875" style="6" bestFit="1" customWidth="1"/>
    <col min="127" max="129" width="7.88671875" style="6" customWidth="1"/>
    <col min="130" max="130" width="8.5546875" style="6" bestFit="1" customWidth="1"/>
    <col min="131" max="133" width="8.5546875" style="6" customWidth="1"/>
    <col min="134" max="134" width="7.88671875" style="6" bestFit="1" customWidth="1"/>
    <col min="135" max="137" width="8.5546875" style="6" customWidth="1"/>
    <col min="138" max="138" width="7.88671875" style="6" bestFit="1" customWidth="1"/>
    <col min="139" max="141" width="8.5546875" style="6" customWidth="1"/>
    <col min="142" max="142" width="7.88671875" style="6" bestFit="1" customWidth="1"/>
    <col min="143" max="150" width="9.109375" style="6"/>
    <col min="151" max="152" width="8.5546875" style="6" customWidth="1"/>
    <col min="153" max="159" width="9.109375" style="6"/>
    <col min="160" max="169" width="8.5546875" style="6" customWidth="1"/>
    <col min="170" max="16384" width="9.109375" style="6"/>
  </cols>
  <sheetData>
    <row r="1" spans="1:190" ht="15.6" x14ac:dyDescent="0.3">
      <c r="A1" s="359" t="s">
        <v>111</v>
      </c>
      <c r="I1" s="339"/>
      <c r="N1" s="339"/>
      <c r="S1" s="339"/>
      <c r="X1" s="339"/>
    </row>
    <row r="2" spans="1:190" x14ac:dyDescent="0.25">
      <c r="A2" s="361" t="str">
        <f>CONCATENATE("PROJECT NAME:        ",'Basic Project Info'!B8)</f>
        <v xml:space="preserve">PROJECT NAME:        </v>
      </c>
      <c r="B2" s="338"/>
      <c r="C2" s="338"/>
      <c r="D2" s="338"/>
      <c r="E2" s="260"/>
      <c r="F2" s="339"/>
      <c r="G2" s="339"/>
      <c r="H2" s="339"/>
      <c r="I2" s="339"/>
      <c r="J2" s="260"/>
      <c r="K2" s="339"/>
      <c r="L2" s="339"/>
      <c r="M2" s="339"/>
      <c r="N2" s="339"/>
      <c r="O2" s="260"/>
      <c r="S2" s="339"/>
      <c r="X2" s="339"/>
      <c r="CC2" s="340"/>
    </row>
    <row r="3" spans="1:190" x14ac:dyDescent="0.25">
      <c r="A3" s="361" t="str">
        <f>CONCATENATE("PROGRAM NAME:      ", 'Basic Project Info'!B4)</f>
        <v xml:space="preserve">PROGRAM NAME:      </v>
      </c>
      <c r="B3" s="338"/>
      <c r="C3" s="338"/>
      <c r="D3" s="338"/>
      <c r="E3" s="260"/>
      <c r="F3" s="339"/>
      <c r="G3" s="339"/>
      <c r="H3" s="339"/>
      <c r="I3" s="339"/>
      <c r="J3" s="260"/>
      <c r="K3" s="339"/>
      <c r="L3" s="339"/>
      <c r="M3" s="339"/>
      <c r="N3" s="339"/>
      <c r="S3" s="339"/>
      <c r="X3" s="339"/>
      <c r="CC3" s="340"/>
      <c r="CD3" s="254"/>
      <c r="CE3" s="254"/>
      <c r="CF3" s="254"/>
      <c r="CG3" s="254"/>
      <c r="CH3" s="254"/>
      <c r="EU3" s="354"/>
      <c r="EV3" s="354"/>
      <c r="EW3" s="354"/>
      <c r="EX3" s="354"/>
      <c r="EY3" s="354"/>
      <c r="EZ3" s="354"/>
      <c r="FA3" s="354"/>
      <c r="FB3" s="354"/>
      <c r="FC3" s="354"/>
      <c r="FD3" s="354"/>
      <c r="FE3" s="354"/>
      <c r="FF3" s="354"/>
      <c r="FG3" s="354"/>
      <c r="FH3" s="354"/>
      <c r="FI3" s="354"/>
      <c r="FJ3" s="354"/>
      <c r="FK3" s="354"/>
      <c r="FL3" s="354"/>
      <c r="FM3" s="354"/>
    </row>
    <row r="4" spans="1:190" outlineLevel="1" x14ac:dyDescent="0.25">
      <c r="A4" s="361"/>
      <c r="B4" s="338"/>
      <c r="C4" s="338"/>
      <c r="D4" s="338"/>
      <c r="E4" s="260"/>
      <c r="F4" s="339"/>
      <c r="G4" s="339"/>
      <c r="H4" s="339"/>
      <c r="I4" s="339"/>
      <c r="BB4" s="86"/>
      <c r="BM4" s="86"/>
      <c r="BS4" s="86"/>
      <c r="CC4" s="340"/>
      <c r="CI4" s="362">
        <v>1</v>
      </c>
      <c r="CJ4" s="362">
        <v>2</v>
      </c>
      <c r="CK4" s="362">
        <v>3</v>
      </c>
      <c r="CL4" s="362">
        <v>4</v>
      </c>
      <c r="CM4" s="362">
        <v>5</v>
      </c>
      <c r="CN4" s="362">
        <v>6</v>
      </c>
      <c r="CO4" s="362">
        <v>7</v>
      </c>
      <c r="CP4" s="362">
        <v>8</v>
      </c>
      <c r="CQ4" s="362">
        <v>9</v>
      </c>
      <c r="CR4" s="362">
        <v>10</v>
      </c>
      <c r="CS4" s="362">
        <v>11</v>
      </c>
      <c r="CT4" s="362">
        <v>12</v>
      </c>
      <c r="CU4" s="362">
        <v>13</v>
      </c>
      <c r="CV4" s="362">
        <v>14</v>
      </c>
      <c r="CW4" s="362">
        <v>15</v>
      </c>
      <c r="CX4" s="362">
        <v>16</v>
      </c>
      <c r="CY4" s="362">
        <v>17</v>
      </c>
      <c r="CZ4" s="362">
        <v>18</v>
      </c>
      <c r="DA4" s="362">
        <v>19</v>
      </c>
      <c r="DB4" s="362">
        <v>20</v>
      </c>
      <c r="DC4" s="362">
        <v>21</v>
      </c>
      <c r="DD4" s="362">
        <v>22</v>
      </c>
      <c r="DE4" s="362">
        <v>23</v>
      </c>
      <c r="DF4" s="362">
        <v>24</v>
      </c>
      <c r="DG4" s="362">
        <v>25</v>
      </c>
      <c r="DH4" s="362">
        <v>26</v>
      </c>
      <c r="DI4" s="362">
        <v>27</v>
      </c>
      <c r="DJ4" s="362">
        <v>28</v>
      </c>
      <c r="DK4" s="362">
        <v>29</v>
      </c>
      <c r="DL4" s="362">
        <v>30</v>
      </c>
      <c r="DM4" s="362">
        <v>31</v>
      </c>
      <c r="DN4" s="362">
        <v>32</v>
      </c>
      <c r="DO4" s="362">
        <v>33</v>
      </c>
      <c r="DP4" s="362">
        <v>34</v>
      </c>
      <c r="DQ4" s="362">
        <v>35</v>
      </c>
      <c r="DR4" s="362">
        <v>36</v>
      </c>
      <c r="DS4" s="362">
        <v>37</v>
      </c>
      <c r="DT4" s="362">
        <v>38</v>
      </c>
      <c r="DU4" s="362">
        <v>39</v>
      </c>
      <c r="DV4" s="362">
        <v>40</v>
      </c>
      <c r="DW4" s="362">
        <v>41</v>
      </c>
      <c r="DX4" s="362">
        <v>42</v>
      </c>
      <c r="DY4" s="362">
        <v>43</v>
      </c>
      <c r="DZ4" s="362">
        <v>44</v>
      </c>
      <c r="EA4" s="362">
        <v>45</v>
      </c>
      <c r="EB4" s="362">
        <v>46</v>
      </c>
      <c r="EC4" s="362">
        <v>47</v>
      </c>
      <c r="ED4" s="362">
        <v>48</v>
      </c>
      <c r="EE4" s="362">
        <v>49</v>
      </c>
      <c r="EF4" s="362">
        <v>50</v>
      </c>
      <c r="EG4" s="362">
        <v>51</v>
      </c>
      <c r="EH4" s="362">
        <v>52</v>
      </c>
      <c r="EI4" s="362">
        <v>53</v>
      </c>
      <c r="EJ4" s="362">
        <v>54</v>
      </c>
      <c r="EK4" s="362">
        <v>55</v>
      </c>
      <c r="EL4" s="362">
        <v>56</v>
      </c>
      <c r="EM4" s="362">
        <v>60</v>
      </c>
      <c r="EN4" s="362">
        <v>64</v>
      </c>
      <c r="EO4" s="362">
        <v>68</v>
      </c>
      <c r="EP4" s="362">
        <v>72</v>
      </c>
      <c r="EQ4" s="362">
        <v>76</v>
      </c>
      <c r="EU4" s="354"/>
      <c r="EV4" s="354"/>
      <c r="EW4" s="354"/>
      <c r="EX4" s="354"/>
      <c r="EY4" s="354"/>
      <c r="EZ4" s="354"/>
      <c r="FA4" s="354"/>
      <c r="FB4" s="354"/>
      <c r="FC4" s="354"/>
      <c r="FD4" s="354"/>
      <c r="FE4" s="354"/>
      <c r="FF4" s="354"/>
      <c r="FG4" s="354"/>
      <c r="FH4" s="354"/>
      <c r="FI4" s="354"/>
      <c r="FJ4" s="354"/>
      <c r="FK4" s="354"/>
      <c r="FL4" s="354"/>
      <c r="FM4" s="354"/>
    </row>
    <row r="5" spans="1:190" outlineLevel="1" x14ac:dyDescent="0.25">
      <c r="A5" s="361"/>
      <c r="B5" s="338"/>
      <c r="C5" s="338"/>
      <c r="D5" s="338"/>
      <c r="E5" s="260"/>
      <c r="F5" s="339"/>
      <c r="G5" s="339"/>
      <c r="H5" s="339"/>
      <c r="I5" s="339"/>
      <c r="J5" s="260"/>
      <c r="K5" s="339"/>
      <c r="L5" s="339"/>
      <c r="M5" s="339"/>
      <c r="N5" s="339"/>
      <c r="S5" s="339"/>
      <c r="X5" s="339"/>
      <c r="CC5" s="340"/>
      <c r="CD5" s="337">
        <f>(RIGHT(C66,2)-10)*4+RIGHT(C67,1)</f>
        <v>36</v>
      </c>
      <c r="CE5" s="337"/>
      <c r="CF5" s="337"/>
      <c r="CG5" s="337"/>
      <c r="CH5" s="337"/>
      <c r="CI5" s="362" t="b">
        <f>CI4&gt;=QTR</f>
        <v>0</v>
      </c>
      <c r="CJ5" s="362" t="b">
        <f t="shared" ref="CJ5:ED5" si="0">CJ4&gt;=QTR</f>
        <v>0</v>
      </c>
      <c r="CK5" s="362" t="b">
        <f t="shared" si="0"/>
        <v>0</v>
      </c>
      <c r="CL5" s="362" t="b">
        <f t="shared" si="0"/>
        <v>0</v>
      </c>
      <c r="CM5" s="362" t="b">
        <f t="shared" si="0"/>
        <v>0</v>
      </c>
      <c r="CN5" s="362" t="b">
        <f t="shared" si="0"/>
        <v>0</v>
      </c>
      <c r="CO5" s="362" t="b">
        <f t="shared" si="0"/>
        <v>0</v>
      </c>
      <c r="CP5" s="362" t="b">
        <f t="shared" si="0"/>
        <v>0</v>
      </c>
      <c r="CQ5" s="362" t="b">
        <f t="shared" si="0"/>
        <v>0</v>
      </c>
      <c r="CR5" s="362" t="b">
        <f t="shared" si="0"/>
        <v>0</v>
      </c>
      <c r="CS5" s="362" t="b">
        <f t="shared" si="0"/>
        <v>0</v>
      </c>
      <c r="CT5" s="362" t="b">
        <f t="shared" si="0"/>
        <v>0</v>
      </c>
      <c r="CU5" s="362" t="b">
        <f t="shared" si="0"/>
        <v>0</v>
      </c>
      <c r="CV5" s="362" t="b">
        <f t="shared" si="0"/>
        <v>0</v>
      </c>
      <c r="CW5" s="362" t="b">
        <f t="shared" si="0"/>
        <v>0</v>
      </c>
      <c r="CX5" s="362" t="b">
        <f t="shared" si="0"/>
        <v>0</v>
      </c>
      <c r="CY5" s="362" t="b">
        <f t="shared" si="0"/>
        <v>0</v>
      </c>
      <c r="CZ5" s="362" t="b">
        <f t="shared" si="0"/>
        <v>0</v>
      </c>
      <c r="DA5" s="362" t="b">
        <f>DA4&gt;=QTR</f>
        <v>0</v>
      </c>
      <c r="DB5" s="362" t="b">
        <f t="shared" si="0"/>
        <v>0</v>
      </c>
      <c r="DC5" s="362" t="b">
        <f>DC4&gt;=QTR</f>
        <v>0</v>
      </c>
      <c r="DD5" s="362" t="b">
        <f>DD4&gt;=QTR</f>
        <v>0</v>
      </c>
      <c r="DE5" s="362" t="b">
        <f>DE4&gt;=QTR</f>
        <v>0</v>
      </c>
      <c r="DF5" s="362" t="b">
        <f t="shared" si="0"/>
        <v>0</v>
      </c>
      <c r="DG5" s="362" t="b">
        <f>DG4&gt;=QTR</f>
        <v>0</v>
      </c>
      <c r="DH5" s="362" t="b">
        <f>DH4&gt;=QTR</f>
        <v>0</v>
      </c>
      <c r="DI5" s="362" t="b">
        <f>DI4&gt;=QTR</f>
        <v>0</v>
      </c>
      <c r="DJ5" s="362" t="b">
        <f t="shared" si="0"/>
        <v>0</v>
      </c>
      <c r="DK5" s="362" t="b">
        <f>DK4&gt;=QTR</f>
        <v>0</v>
      </c>
      <c r="DL5" s="362" t="b">
        <f>DL4&gt;=QTR</f>
        <v>0</v>
      </c>
      <c r="DM5" s="362" t="b">
        <f>DM4&gt;=QTR</f>
        <v>0</v>
      </c>
      <c r="DN5" s="362" t="b">
        <f t="shared" si="0"/>
        <v>0</v>
      </c>
      <c r="DO5" s="362" t="b">
        <f t="shared" ref="DO5:DU5" si="1">DO4&gt;=QTR</f>
        <v>0</v>
      </c>
      <c r="DP5" s="362" t="b">
        <f t="shared" si="1"/>
        <v>0</v>
      </c>
      <c r="DQ5" s="362" t="b">
        <f t="shared" si="1"/>
        <v>0</v>
      </c>
      <c r="DR5" s="362" t="b">
        <f t="shared" si="1"/>
        <v>1</v>
      </c>
      <c r="DS5" s="362" t="b">
        <f t="shared" si="1"/>
        <v>1</v>
      </c>
      <c r="DT5" s="362" t="b">
        <f t="shared" si="1"/>
        <v>1</v>
      </c>
      <c r="DU5" s="362" t="b">
        <f t="shared" si="1"/>
        <v>1</v>
      </c>
      <c r="DV5" s="362" t="b">
        <f t="shared" si="0"/>
        <v>1</v>
      </c>
      <c r="DW5" s="362" t="b">
        <f t="shared" si="0"/>
        <v>1</v>
      </c>
      <c r="DX5" s="362" t="b">
        <f t="shared" si="0"/>
        <v>1</v>
      </c>
      <c r="DY5" s="362" t="b">
        <f t="shared" si="0"/>
        <v>1</v>
      </c>
      <c r="DZ5" s="362" t="b">
        <f t="shared" si="0"/>
        <v>1</v>
      </c>
      <c r="EA5" s="362" t="b">
        <f t="shared" si="0"/>
        <v>1</v>
      </c>
      <c r="EB5" s="362" t="b">
        <f t="shared" si="0"/>
        <v>1</v>
      </c>
      <c r="EC5" s="362" t="b">
        <f t="shared" si="0"/>
        <v>1</v>
      </c>
      <c r="ED5" s="362" t="b">
        <f t="shared" si="0"/>
        <v>1</v>
      </c>
      <c r="EE5" s="362" t="b">
        <f t="shared" ref="EE5:EH5" si="2">EE4&gt;=QTR</f>
        <v>1</v>
      </c>
      <c r="EF5" s="362" t="b">
        <f t="shared" si="2"/>
        <v>1</v>
      </c>
      <c r="EG5" s="362" t="b">
        <f t="shared" si="2"/>
        <v>1</v>
      </c>
      <c r="EH5" s="362" t="b">
        <f t="shared" si="2"/>
        <v>1</v>
      </c>
      <c r="EI5" s="362" t="b">
        <f t="shared" ref="EI5:EL5" si="3">EI4&gt;=QTR</f>
        <v>1</v>
      </c>
      <c r="EJ5" s="362" t="b">
        <f t="shared" si="3"/>
        <v>1</v>
      </c>
      <c r="EK5" s="362" t="b">
        <f t="shared" si="3"/>
        <v>1</v>
      </c>
      <c r="EL5" s="362" t="b">
        <f t="shared" si="3"/>
        <v>1</v>
      </c>
      <c r="EM5" s="362" t="b">
        <f>EM4&gt;=QTR</f>
        <v>1</v>
      </c>
      <c r="EN5" s="362" t="b">
        <f>EN4&gt;=QTR</f>
        <v>1</v>
      </c>
      <c r="EO5" s="362" t="b">
        <f>EO4&gt;=QTR</f>
        <v>1</v>
      </c>
      <c r="EP5" s="362" t="b">
        <f>EP4&gt;=QTR</f>
        <v>1</v>
      </c>
      <c r="EQ5" s="362" t="b">
        <f>EQ4&gt;=QTR</f>
        <v>1</v>
      </c>
      <c r="EU5" s="354"/>
      <c r="EV5" s="354"/>
      <c r="EW5" s="354"/>
      <c r="EX5" s="354"/>
      <c r="EY5" s="354"/>
      <c r="EZ5" s="354"/>
      <c r="FA5" s="354"/>
      <c r="FB5" s="354"/>
      <c r="FC5" s="354"/>
      <c r="FD5" s="354"/>
      <c r="FE5" s="354"/>
      <c r="FF5" s="354"/>
      <c r="FG5" s="354"/>
      <c r="FH5" s="354"/>
      <c r="FI5" s="354"/>
      <c r="FJ5" s="354"/>
      <c r="FK5" s="354"/>
      <c r="FL5" s="354"/>
      <c r="FM5" s="354"/>
    </row>
    <row r="6" spans="1:190" outlineLevel="1" x14ac:dyDescent="0.25">
      <c r="A6" s="361"/>
      <c r="B6" s="338"/>
      <c r="C6" s="338"/>
      <c r="D6" s="338"/>
      <c r="E6" s="260"/>
      <c r="F6" s="339"/>
      <c r="G6" s="339"/>
      <c r="H6" s="339"/>
      <c r="I6" s="339"/>
      <c r="J6" s="260"/>
      <c r="K6" s="339"/>
      <c r="L6" s="339"/>
      <c r="M6" s="339"/>
      <c r="N6" s="339"/>
      <c r="S6" s="339"/>
      <c r="X6" s="339"/>
      <c r="AC6" s="138"/>
      <c r="AD6" s="138"/>
      <c r="AE6" s="138"/>
      <c r="AF6" s="138"/>
      <c r="AG6" s="138"/>
      <c r="CC6" s="340"/>
      <c r="CD6" s="340"/>
      <c r="CE6" s="340"/>
      <c r="CF6" s="340"/>
      <c r="CG6" s="340"/>
      <c r="CH6" s="340"/>
      <c r="CI6" s="363">
        <v>0</v>
      </c>
      <c r="CJ6" s="364">
        <v>0</v>
      </c>
      <c r="CK6" s="364">
        <v>0</v>
      </c>
      <c r="CL6" s="364">
        <v>0</v>
      </c>
      <c r="CM6" s="362">
        <v>1</v>
      </c>
      <c r="CN6" s="362">
        <v>1</v>
      </c>
      <c r="CO6" s="362">
        <v>1</v>
      </c>
      <c r="CP6" s="362">
        <v>1</v>
      </c>
      <c r="CQ6" s="362">
        <v>0</v>
      </c>
      <c r="CR6" s="362">
        <v>0</v>
      </c>
      <c r="CS6" s="362">
        <v>0</v>
      </c>
      <c r="CT6" s="362">
        <v>0</v>
      </c>
      <c r="CU6" s="362">
        <v>1</v>
      </c>
      <c r="CV6" s="362">
        <v>1</v>
      </c>
      <c r="CW6" s="362">
        <v>1</v>
      </c>
      <c r="CX6" s="362">
        <v>1</v>
      </c>
      <c r="CY6" s="362">
        <v>2</v>
      </c>
      <c r="CZ6" s="362">
        <v>2</v>
      </c>
      <c r="DA6" s="362">
        <v>2</v>
      </c>
      <c r="DB6" s="362">
        <v>2</v>
      </c>
      <c r="DC6" s="362">
        <v>3</v>
      </c>
      <c r="DD6" s="362">
        <v>3</v>
      </c>
      <c r="DE6" s="362">
        <v>3</v>
      </c>
      <c r="DF6" s="362">
        <v>3</v>
      </c>
      <c r="DG6" s="362">
        <v>4</v>
      </c>
      <c r="DH6" s="362">
        <v>4</v>
      </c>
      <c r="DI6" s="362">
        <v>4</v>
      </c>
      <c r="DJ6" s="362">
        <v>4</v>
      </c>
      <c r="DK6" s="362">
        <v>5</v>
      </c>
      <c r="DL6" s="362">
        <v>5</v>
      </c>
      <c r="DM6" s="362">
        <v>5</v>
      </c>
      <c r="DN6" s="362">
        <v>5</v>
      </c>
      <c r="DO6" s="362">
        <v>6</v>
      </c>
      <c r="DP6" s="362">
        <v>6</v>
      </c>
      <c r="DQ6" s="362">
        <v>6</v>
      </c>
      <c r="DR6" s="362">
        <v>6</v>
      </c>
      <c r="DS6" s="362">
        <v>7</v>
      </c>
      <c r="DT6" s="362">
        <v>7</v>
      </c>
      <c r="DU6" s="362">
        <v>7</v>
      </c>
      <c r="DV6" s="362">
        <v>7</v>
      </c>
      <c r="DW6" s="362">
        <v>8</v>
      </c>
      <c r="DX6" s="362">
        <v>8</v>
      </c>
      <c r="DY6" s="362">
        <v>8</v>
      </c>
      <c r="DZ6" s="362">
        <v>8</v>
      </c>
      <c r="EA6" s="362">
        <v>9</v>
      </c>
      <c r="EB6" s="362">
        <v>9</v>
      </c>
      <c r="EC6" s="362">
        <v>9</v>
      </c>
      <c r="ED6" s="362">
        <v>9</v>
      </c>
      <c r="EE6" s="362">
        <v>10</v>
      </c>
      <c r="EF6" s="362">
        <v>10</v>
      </c>
      <c r="EG6" s="362">
        <v>10</v>
      </c>
      <c r="EH6" s="362">
        <v>10</v>
      </c>
      <c r="EI6" s="362">
        <v>11</v>
      </c>
      <c r="EJ6" s="362">
        <v>11</v>
      </c>
      <c r="EK6" s="362">
        <v>11</v>
      </c>
      <c r="EL6" s="362">
        <v>11</v>
      </c>
      <c r="EM6" s="736">
        <v>12</v>
      </c>
      <c r="EN6" s="736">
        <v>13</v>
      </c>
      <c r="EO6" s="736">
        <v>14</v>
      </c>
      <c r="EP6" s="736">
        <v>15</v>
      </c>
      <c r="EQ6" s="736">
        <v>16</v>
      </c>
      <c r="EU6" s="354"/>
      <c r="EV6" s="354"/>
      <c r="EW6" s="354"/>
      <c r="EX6" s="354"/>
      <c r="EY6" s="354"/>
      <c r="EZ6" s="354"/>
      <c r="FA6" s="354"/>
      <c r="FB6" s="354"/>
      <c r="FC6" s="354"/>
      <c r="FD6" s="354"/>
      <c r="FE6" s="354"/>
      <c r="FF6" s="354"/>
      <c r="FG6" s="354"/>
      <c r="FH6" s="354"/>
      <c r="FI6" s="354"/>
      <c r="FJ6" s="354"/>
      <c r="FK6" s="354"/>
      <c r="FL6" s="354"/>
      <c r="FM6" s="354"/>
    </row>
    <row r="7" spans="1:190" ht="17.399999999999999" x14ac:dyDescent="0.3">
      <c r="A7" s="361"/>
      <c r="B7" s="338"/>
      <c r="C7" s="338"/>
      <c r="D7" s="338"/>
      <c r="E7" s="953" t="s">
        <v>670</v>
      </c>
      <c r="F7" s="954"/>
      <c r="G7" s="954"/>
      <c r="H7" s="954"/>
      <c r="I7" s="954"/>
      <c r="J7" s="954"/>
      <c r="K7" s="954"/>
      <c r="L7" s="954"/>
      <c r="M7" s="954"/>
      <c r="N7" s="954"/>
      <c r="O7" s="954"/>
      <c r="P7" s="954"/>
      <c r="Q7" s="954"/>
      <c r="R7" s="954"/>
      <c r="S7" s="954"/>
      <c r="T7" s="954"/>
      <c r="U7" s="954"/>
      <c r="V7" s="954"/>
      <c r="W7" s="954"/>
      <c r="X7" s="954"/>
      <c r="Y7" s="954"/>
      <c r="Z7" s="954"/>
      <c r="AA7" s="954"/>
      <c r="AB7" s="954"/>
      <c r="AC7" s="954"/>
      <c r="AD7" s="954"/>
      <c r="AE7" s="954"/>
      <c r="AF7" s="954"/>
      <c r="AG7" s="954"/>
      <c r="AH7" s="954"/>
      <c r="AI7" s="954"/>
      <c r="AJ7" s="954"/>
      <c r="AK7" s="954"/>
      <c r="AL7" s="954"/>
      <c r="AM7" s="954"/>
      <c r="AN7" s="954"/>
      <c r="AO7" s="954"/>
      <c r="AP7" s="954"/>
      <c r="AQ7" s="954"/>
      <c r="AR7" s="954"/>
      <c r="AS7" s="954"/>
      <c r="AT7" s="954"/>
      <c r="AU7" s="954"/>
      <c r="AV7" s="954"/>
      <c r="AW7" s="954"/>
      <c r="AX7" s="954"/>
      <c r="AY7" s="954"/>
      <c r="AZ7" s="954"/>
      <c r="BA7" s="954"/>
      <c r="BB7" s="954"/>
      <c r="BC7" s="954"/>
      <c r="BD7" s="954"/>
      <c r="BE7" s="954"/>
      <c r="BF7" s="954"/>
      <c r="BG7" s="954"/>
      <c r="BH7" s="954"/>
      <c r="BI7" s="954"/>
      <c r="BJ7" s="954"/>
      <c r="BK7" s="954"/>
      <c r="BL7" s="954"/>
      <c r="BM7" s="954"/>
      <c r="BN7" s="954"/>
      <c r="BO7" s="954"/>
      <c r="BP7" s="954"/>
      <c r="BQ7" s="954"/>
      <c r="BR7" s="954"/>
      <c r="BS7" s="954"/>
      <c r="BT7" s="954"/>
      <c r="BU7" s="954"/>
      <c r="BV7" s="954"/>
      <c r="BW7" s="954"/>
      <c r="BX7" s="954"/>
      <c r="BY7" s="952"/>
      <c r="BZ7" s="952"/>
      <c r="CA7" s="952"/>
      <c r="CC7" s="666" t="s">
        <v>407</v>
      </c>
      <c r="CD7" s="667"/>
      <c r="CE7" s="667"/>
      <c r="CF7" s="667"/>
      <c r="CG7" s="457"/>
      <c r="CH7" s="457"/>
      <c r="CI7" s="667"/>
      <c r="CJ7" s="667"/>
      <c r="CK7" s="667"/>
      <c r="CL7" s="667"/>
      <c r="CM7" s="667"/>
      <c r="CN7" s="667"/>
      <c r="CO7" s="667"/>
      <c r="CP7" s="667"/>
      <c r="CQ7" s="667"/>
      <c r="CR7" s="667"/>
      <c r="CS7" s="667"/>
      <c r="CT7" s="667"/>
      <c r="CU7" s="667"/>
      <c r="CV7" s="667"/>
      <c r="CW7" s="667"/>
      <c r="CX7" s="667"/>
      <c r="CY7" s="667"/>
      <c r="CZ7" s="667"/>
      <c r="DA7" s="667"/>
      <c r="DB7" s="667"/>
      <c r="DC7" s="667"/>
      <c r="DD7" s="667"/>
      <c r="DE7" s="667"/>
      <c r="DF7" s="667"/>
      <c r="DG7" s="667"/>
      <c r="DH7" s="667"/>
      <c r="DI7" s="667"/>
      <c r="DJ7" s="667"/>
      <c r="DK7" s="667"/>
      <c r="DL7" s="667"/>
      <c r="DM7" s="667"/>
      <c r="DN7" s="667"/>
      <c r="DO7" s="667"/>
      <c r="DP7" s="667"/>
      <c r="DQ7" s="667"/>
      <c r="DR7" s="667"/>
      <c r="DS7" s="667"/>
      <c r="DT7" s="667"/>
      <c r="DU7" s="667"/>
      <c r="DV7" s="667"/>
      <c r="DW7" s="667"/>
      <c r="DX7" s="667"/>
      <c r="DY7" s="667"/>
      <c r="DZ7" s="667"/>
      <c r="EA7" s="667"/>
      <c r="EB7" s="667"/>
      <c r="EC7" s="667"/>
      <c r="ED7" s="667"/>
      <c r="EE7" s="667"/>
      <c r="EF7" s="667"/>
      <c r="EG7" s="667"/>
      <c r="EH7" s="667"/>
      <c r="EI7" s="667"/>
      <c r="EJ7" s="667"/>
      <c r="EK7" s="667"/>
      <c r="EL7" s="667"/>
      <c r="EM7" s="735"/>
      <c r="EN7" s="737"/>
      <c r="EO7" s="737"/>
      <c r="EP7" s="737"/>
      <c r="EQ7" s="737"/>
      <c r="EU7" s="955" t="s">
        <v>429</v>
      </c>
      <c r="EV7" s="956"/>
      <c r="EW7" s="956"/>
      <c r="EX7" s="956"/>
      <c r="EY7" s="956"/>
      <c r="EZ7" s="956"/>
      <c r="FA7" s="956"/>
      <c r="FB7" s="956"/>
      <c r="FC7" s="956"/>
      <c r="FD7" s="956"/>
      <c r="FE7" s="956"/>
      <c r="FF7" s="956"/>
      <c r="FG7" s="956"/>
      <c r="FH7" s="956"/>
      <c r="FI7" s="956"/>
      <c r="FJ7" s="956"/>
      <c r="FK7" s="957"/>
      <c r="FL7" s="957"/>
      <c r="FM7" s="957"/>
      <c r="FP7" s="955" t="s">
        <v>430</v>
      </c>
      <c r="FQ7" s="956"/>
      <c r="FR7" s="956"/>
      <c r="FS7" s="956"/>
      <c r="FT7" s="956"/>
      <c r="FU7" s="956"/>
      <c r="FV7" s="956"/>
      <c r="FW7" s="956"/>
      <c r="FX7" s="956"/>
      <c r="FY7" s="956"/>
      <c r="FZ7" s="956"/>
      <c r="GA7" s="956"/>
      <c r="GB7" s="956"/>
      <c r="GC7" s="956"/>
      <c r="GD7" s="956"/>
      <c r="GE7" s="956"/>
      <c r="GF7" s="957"/>
      <c r="GG7" s="957"/>
      <c r="GH7" s="957"/>
    </row>
    <row r="8" spans="1:190" x14ac:dyDescent="0.25">
      <c r="A8" s="365"/>
      <c r="B8" s="450"/>
      <c r="C8" s="366"/>
      <c r="D8" s="366"/>
      <c r="E8" s="3409" t="s">
        <v>685</v>
      </c>
      <c r="F8" s="3410"/>
      <c r="G8" s="3410"/>
      <c r="H8" s="3410"/>
      <c r="I8" s="3411"/>
      <c r="J8" s="3409" t="s">
        <v>686</v>
      </c>
      <c r="K8" s="3410"/>
      <c r="L8" s="3410"/>
      <c r="M8" s="3410"/>
      <c r="N8" s="3411"/>
      <c r="O8" s="3409" t="s">
        <v>687</v>
      </c>
      <c r="P8" s="3410"/>
      <c r="Q8" s="3410"/>
      <c r="R8" s="3410"/>
      <c r="S8" s="3411"/>
      <c r="T8" s="3409" t="s">
        <v>711</v>
      </c>
      <c r="U8" s="3410"/>
      <c r="V8" s="3410"/>
      <c r="W8" s="3410"/>
      <c r="X8" s="3411"/>
      <c r="Y8" s="3409" t="s">
        <v>719</v>
      </c>
      <c r="Z8" s="3410"/>
      <c r="AA8" s="3410"/>
      <c r="AB8" s="3410"/>
      <c r="AC8" s="3411"/>
      <c r="AD8" s="3409" t="s">
        <v>444</v>
      </c>
      <c r="AE8" s="3410"/>
      <c r="AF8" s="3410"/>
      <c r="AG8" s="3410"/>
      <c r="AH8" s="3411"/>
      <c r="AI8" s="3409" t="s">
        <v>445</v>
      </c>
      <c r="AJ8" s="3410"/>
      <c r="AK8" s="3410"/>
      <c r="AL8" s="3410"/>
      <c r="AM8" s="3411"/>
      <c r="AN8" s="3409" t="s">
        <v>722</v>
      </c>
      <c r="AO8" s="3410"/>
      <c r="AP8" s="3410"/>
      <c r="AQ8" s="3410"/>
      <c r="AR8" s="3411"/>
      <c r="AS8" s="3409" t="s">
        <v>770</v>
      </c>
      <c r="AT8" s="3410"/>
      <c r="AU8" s="3410"/>
      <c r="AV8" s="3410"/>
      <c r="AW8" s="3411"/>
      <c r="AX8" s="3409" t="s">
        <v>790</v>
      </c>
      <c r="AY8" s="3410"/>
      <c r="AZ8" s="3410"/>
      <c r="BA8" s="3410"/>
      <c r="BB8" s="3411"/>
      <c r="BC8" s="3409" t="s">
        <v>803</v>
      </c>
      <c r="BD8" s="3410"/>
      <c r="BE8" s="3410"/>
      <c r="BF8" s="3410"/>
      <c r="BG8" s="3411"/>
      <c r="BH8" s="3409" t="s">
        <v>804</v>
      </c>
      <c r="BI8" s="3410"/>
      <c r="BJ8" s="3410"/>
      <c r="BK8" s="3410"/>
      <c r="BL8" s="3411"/>
      <c r="BM8" s="3409" t="s">
        <v>946</v>
      </c>
      <c r="BN8" s="3410"/>
      <c r="BO8" s="3410"/>
      <c r="BP8" s="3410"/>
      <c r="BQ8" s="3411"/>
      <c r="BR8" s="3409" t="s">
        <v>948</v>
      </c>
      <c r="BS8" s="3410"/>
      <c r="BT8" s="3410"/>
      <c r="BU8" s="3410"/>
      <c r="BV8" s="3411"/>
      <c r="BW8" s="1000" t="s">
        <v>949</v>
      </c>
      <c r="BX8" s="1000" t="s">
        <v>965</v>
      </c>
      <c r="BY8" s="1000" t="s">
        <v>966</v>
      </c>
      <c r="BZ8" s="1000" t="s">
        <v>967</v>
      </c>
      <c r="CA8" s="1000" t="s">
        <v>968</v>
      </c>
      <c r="CC8" s="342" t="s">
        <v>685</v>
      </c>
      <c r="CD8" s="344" t="s">
        <v>409</v>
      </c>
      <c r="CE8" s="342" t="s">
        <v>687</v>
      </c>
      <c r="CF8" s="344" t="s">
        <v>409</v>
      </c>
      <c r="CG8" s="342" t="s">
        <v>408</v>
      </c>
      <c r="CH8" s="344" t="s">
        <v>409</v>
      </c>
      <c r="CI8" s="400" t="s">
        <v>685</v>
      </c>
      <c r="CJ8" s="401"/>
      <c r="CK8" s="401"/>
      <c r="CL8" s="402"/>
      <c r="CM8" s="400" t="s">
        <v>686</v>
      </c>
      <c r="CN8" s="401"/>
      <c r="CO8" s="401"/>
      <c r="CP8" s="402"/>
      <c r="CQ8" s="400" t="s">
        <v>687</v>
      </c>
      <c r="CR8" s="401"/>
      <c r="CS8" s="401"/>
      <c r="CT8" s="402"/>
      <c r="CU8" s="958" t="s">
        <v>711</v>
      </c>
      <c r="CV8" s="959"/>
      <c r="CW8" s="959"/>
      <c r="CX8" s="960"/>
      <c r="CY8" s="958" t="s">
        <v>719</v>
      </c>
      <c r="CZ8" s="959"/>
      <c r="DA8" s="959"/>
      <c r="DB8" s="960"/>
      <c r="DC8" s="958" t="s">
        <v>444</v>
      </c>
      <c r="DD8" s="959"/>
      <c r="DE8" s="959"/>
      <c r="DF8" s="960"/>
      <c r="DG8" s="958" t="s">
        <v>445</v>
      </c>
      <c r="DH8" s="959"/>
      <c r="DI8" s="959"/>
      <c r="DJ8" s="960"/>
      <c r="DK8" s="958" t="s">
        <v>722</v>
      </c>
      <c r="DL8" s="959"/>
      <c r="DM8" s="959"/>
      <c r="DN8" s="960"/>
      <c r="DO8" s="958" t="s">
        <v>770</v>
      </c>
      <c r="DP8" s="959"/>
      <c r="DQ8" s="959"/>
      <c r="DR8" s="960"/>
      <c r="DS8" s="958" t="s">
        <v>790</v>
      </c>
      <c r="DT8" s="959"/>
      <c r="DU8" s="959"/>
      <c r="DV8" s="960"/>
      <c r="DW8" s="958" t="s">
        <v>803</v>
      </c>
      <c r="DX8" s="959"/>
      <c r="DY8" s="959"/>
      <c r="DZ8" s="960"/>
      <c r="EA8" s="958" t="s">
        <v>804</v>
      </c>
      <c r="EB8" s="959"/>
      <c r="EC8" s="959"/>
      <c r="ED8" s="960"/>
      <c r="EE8" s="958" t="s">
        <v>946</v>
      </c>
      <c r="EF8" s="959"/>
      <c r="EG8" s="959"/>
      <c r="EH8" s="960"/>
      <c r="EI8" s="958" t="s">
        <v>948</v>
      </c>
      <c r="EJ8" s="959"/>
      <c r="EK8" s="959"/>
      <c r="EL8" s="960"/>
      <c r="EM8" s="415" t="s">
        <v>949</v>
      </c>
      <c r="EN8" s="415" t="s">
        <v>965</v>
      </c>
      <c r="EO8" s="415" t="s">
        <v>966</v>
      </c>
      <c r="EP8" s="415" t="s">
        <v>967</v>
      </c>
      <c r="EQ8" s="415" t="s">
        <v>968</v>
      </c>
      <c r="EU8" s="415" t="s">
        <v>685</v>
      </c>
      <c r="EV8" s="415" t="s">
        <v>686</v>
      </c>
      <c r="EW8" s="415" t="s">
        <v>687</v>
      </c>
      <c r="EX8" s="415" t="s">
        <v>711</v>
      </c>
      <c r="EY8" s="415" t="s">
        <v>719</v>
      </c>
      <c r="EZ8" s="415" t="s">
        <v>444</v>
      </c>
      <c r="FA8" s="415" t="s">
        <v>445</v>
      </c>
      <c r="FB8" s="415" t="s">
        <v>722</v>
      </c>
      <c r="FC8" s="415" t="s">
        <v>770</v>
      </c>
      <c r="FD8" s="415" t="s">
        <v>790</v>
      </c>
      <c r="FE8" s="415" t="s">
        <v>803</v>
      </c>
      <c r="FF8" s="415" t="s">
        <v>804</v>
      </c>
      <c r="FG8" s="415" t="s">
        <v>946</v>
      </c>
      <c r="FH8" s="415" t="s">
        <v>948</v>
      </c>
      <c r="FI8" s="415" t="s">
        <v>949</v>
      </c>
      <c r="FJ8" s="415" t="s">
        <v>965</v>
      </c>
      <c r="FK8" s="415" t="s">
        <v>966</v>
      </c>
      <c r="FL8" s="415" t="s">
        <v>967</v>
      </c>
      <c r="FM8" s="415" t="s">
        <v>968</v>
      </c>
      <c r="FP8" s="415" t="s">
        <v>685</v>
      </c>
      <c r="FQ8" s="415" t="s">
        <v>686</v>
      </c>
      <c r="FR8" s="415" t="s">
        <v>687</v>
      </c>
      <c r="FS8" s="415" t="s">
        <v>711</v>
      </c>
      <c r="FT8" s="415" t="s">
        <v>719</v>
      </c>
      <c r="FU8" s="415" t="s">
        <v>444</v>
      </c>
      <c r="FV8" s="415" t="s">
        <v>445</v>
      </c>
      <c r="FW8" s="415" t="s">
        <v>722</v>
      </c>
      <c r="FX8" s="415" t="s">
        <v>770</v>
      </c>
      <c r="FY8" s="415" t="s">
        <v>790</v>
      </c>
      <c r="FZ8" s="415" t="s">
        <v>803</v>
      </c>
      <c r="GA8" s="415" t="s">
        <v>804</v>
      </c>
      <c r="GB8" s="415" t="s">
        <v>946</v>
      </c>
      <c r="GC8" s="415" t="s">
        <v>948</v>
      </c>
      <c r="GD8" s="415" t="s">
        <v>949</v>
      </c>
      <c r="GE8" s="415" t="s">
        <v>965</v>
      </c>
      <c r="GF8" s="415" t="s">
        <v>966</v>
      </c>
      <c r="GG8" s="415" t="s">
        <v>967</v>
      </c>
      <c r="GH8" s="415" t="s">
        <v>968</v>
      </c>
    </row>
    <row r="9" spans="1:190" ht="15.6" x14ac:dyDescent="0.25">
      <c r="E9" s="384" t="s">
        <v>647</v>
      </c>
      <c r="F9" s="385" t="s">
        <v>648</v>
      </c>
      <c r="G9" s="385" t="s">
        <v>649</v>
      </c>
      <c r="H9" s="385" t="s">
        <v>650</v>
      </c>
      <c r="I9" s="355" t="s">
        <v>410</v>
      </c>
      <c r="J9" s="384" t="s">
        <v>647</v>
      </c>
      <c r="K9" s="385" t="s">
        <v>648</v>
      </c>
      <c r="L9" s="385" t="s">
        <v>649</v>
      </c>
      <c r="M9" s="385" t="s">
        <v>650</v>
      </c>
      <c r="N9" s="355" t="s">
        <v>410</v>
      </c>
      <c r="O9" s="384" t="s">
        <v>647</v>
      </c>
      <c r="P9" s="385" t="s">
        <v>648</v>
      </c>
      <c r="Q9" s="385" t="s">
        <v>649</v>
      </c>
      <c r="R9" s="385" t="s">
        <v>650</v>
      </c>
      <c r="S9" s="355" t="s">
        <v>410</v>
      </c>
      <c r="T9" s="384" t="s">
        <v>647</v>
      </c>
      <c r="U9" s="385" t="s">
        <v>648</v>
      </c>
      <c r="V9" s="385" t="s">
        <v>649</v>
      </c>
      <c r="W9" s="385" t="s">
        <v>650</v>
      </c>
      <c r="X9" s="355" t="s">
        <v>410</v>
      </c>
      <c r="Y9" s="384" t="s">
        <v>647</v>
      </c>
      <c r="Z9" s="385" t="s">
        <v>648</v>
      </c>
      <c r="AA9" s="385" t="s">
        <v>649</v>
      </c>
      <c r="AB9" s="385" t="s">
        <v>650</v>
      </c>
      <c r="AC9" s="355" t="s">
        <v>410</v>
      </c>
      <c r="AD9" s="384" t="s">
        <v>647</v>
      </c>
      <c r="AE9" s="385" t="s">
        <v>648</v>
      </c>
      <c r="AF9" s="385" t="s">
        <v>649</v>
      </c>
      <c r="AG9" s="385" t="s">
        <v>650</v>
      </c>
      <c r="AH9" s="341" t="s">
        <v>410</v>
      </c>
      <c r="AI9" s="384" t="s">
        <v>647</v>
      </c>
      <c r="AJ9" s="385" t="s">
        <v>648</v>
      </c>
      <c r="AK9" s="385" t="s">
        <v>649</v>
      </c>
      <c r="AL9" s="385" t="s">
        <v>650</v>
      </c>
      <c r="AM9" s="343" t="s">
        <v>410</v>
      </c>
      <c r="AN9" s="384" t="s">
        <v>647</v>
      </c>
      <c r="AO9" s="385" t="s">
        <v>648</v>
      </c>
      <c r="AP9" s="385" t="s">
        <v>649</v>
      </c>
      <c r="AQ9" s="385" t="s">
        <v>650</v>
      </c>
      <c r="AR9" s="343" t="s">
        <v>410</v>
      </c>
      <c r="AS9" s="384" t="s">
        <v>647</v>
      </c>
      <c r="AT9" s="385" t="s">
        <v>648</v>
      </c>
      <c r="AU9" s="385" t="s">
        <v>649</v>
      </c>
      <c r="AV9" s="385" t="s">
        <v>650</v>
      </c>
      <c r="AW9" s="343" t="s">
        <v>410</v>
      </c>
      <c r="AX9" s="384" t="s">
        <v>647</v>
      </c>
      <c r="AY9" s="385" t="s">
        <v>648</v>
      </c>
      <c r="AZ9" s="385" t="s">
        <v>649</v>
      </c>
      <c r="BA9" s="385" t="s">
        <v>650</v>
      </c>
      <c r="BB9" s="343" t="s">
        <v>410</v>
      </c>
      <c r="BC9" s="384" t="s">
        <v>647</v>
      </c>
      <c r="BD9" s="385" t="s">
        <v>648</v>
      </c>
      <c r="BE9" s="385" t="s">
        <v>649</v>
      </c>
      <c r="BF9" s="385" t="s">
        <v>650</v>
      </c>
      <c r="BG9" s="343" t="s">
        <v>410</v>
      </c>
      <c r="BH9" s="384" t="s">
        <v>647</v>
      </c>
      <c r="BI9" s="385" t="s">
        <v>648</v>
      </c>
      <c r="BJ9" s="385" t="s">
        <v>649</v>
      </c>
      <c r="BK9" s="385" t="s">
        <v>650</v>
      </c>
      <c r="BL9" s="343" t="s">
        <v>410</v>
      </c>
      <c r="BM9" s="384" t="s">
        <v>647</v>
      </c>
      <c r="BN9" s="385" t="s">
        <v>648</v>
      </c>
      <c r="BO9" s="385" t="s">
        <v>649</v>
      </c>
      <c r="BP9" s="385" t="s">
        <v>650</v>
      </c>
      <c r="BQ9" s="343" t="s">
        <v>410</v>
      </c>
      <c r="BR9" s="384" t="s">
        <v>647</v>
      </c>
      <c r="BS9" s="385" t="s">
        <v>648</v>
      </c>
      <c r="BT9" s="385" t="s">
        <v>649</v>
      </c>
      <c r="BU9" s="385" t="s">
        <v>650</v>
      </c>
      <c r="BV9" s="343" t="s">
        <v>410</v>
      </c>
      <c r="BW9" s="343" t="s">
        <v>410</v>
      </c>
      <c r="BX9" s="343" t="s">
        <v>410</v>
      </c>
      <c r="BY9" s="343" t="s">
        <v>410</v>
      </c>
      <c r="BZ9" s="343" t="s">
        <v>410</v>
      </c>
      <c r="CA9" s="343" t="s">
        <v>410</v>
      </c>
      <c r="CC9" s="343" t="s">
        <v>431</v>
      </c>
      <c r="CD9" s="344" t="s">
        <v>411</v>
      </c>
      <c r="CE9" s="343" t="s">
        <v>934</v>
      </c>
      <c r="CF9" s="344" t="s">
        <v>411</v>
      </c>
      <c r="CG9" s="343" t="s">
        <v>934</v>
      </c>
      <c r="CH9" s="344" t="s">
        <v>411</v>
      </c>
      <c r="CI9" s="403" t="s">
        <v>647</v>
      </c>
      <c r="CJ9" s="98" t="s">
        <v>648</v>
      </c>
      <c r="CK9" s="98" t="s">
        <v>649</v>
      </c>
      <c r="CL9" s="404" t="s">
        <v>650</v>
      </c>
      <c r="CM9" s="403" t="s">
        <v>647</v>
      </c>
      <c r="CN9" s="98" t="s">
        <v>648</v>
      </c>
      <c r="CO9" s="98" t="s">
        <v>649</v>
      </c>
      <c r="CP9" s="404" t="s">
        <v>650</v>
      </c>
      <c r="CQ9" s="403" t="s">
        <v>647</v>
      </c>
      <c r="CR9" s="98" t="s">
        <v>648</v>
      </c>
      <c r="CS9" s="98" t="s">
        <v>649</v>
      </c>
      <c r="CT9" s="404" t="s">
        <v>650</v>
      </c>
      <c r="CU9" s="403" t="s">
        <v>647</v>
      </c>
      <c r="CV9" s="98" t="s">
        <v>648</v>
      </c>
      <c r="CW9" s="98" t="s">
        <v>649</v>
      </c>
      <c r="CX9" s="404" t="s">
        <v>650</v>
      </c>
      <c r="CY9" s="403" t="s">
        <v>647</v>
      </c>
      <c r="CZ9" s="98" t="s">
        <v>648</v>
      </c>
      <c r="DA9" s="98" t="s">
        <v>649</v>
      </c>
      <c r="DB9" s="404" t="s">
        <v>650</v>
      </c>
      <c r="DC9" s="403" t="s">
        <v>647</v>
      </c>
      <c r="DD9" s="98" t="s">
        <v>648</v>
      </c>
      <c r="DE9" s="98" t="s">
        <v>649</v>
      </c>
      <c r="DF9" s="404" t="s">
        <v>650</v>
      </c>
      <c r="DG9" s="403" t="s">
        <v>647</v>
      </c>
      <c r="DH9" s="98" t="s">
        <v>648</v>
      </c>
      <c r="DI9" s="98" t="s">
        <v>649</v>
      </c>
      <c r="DJ9" s="404" t="s">
        <v>650</v>
      </c>
      <c r="DK9" s="403" t="s">
        <v>647</v>
      </c>
      <c r="DL9" s="98" t="s">
        <v>648</v>
      </c>
      <c r="DM9" s="98" t="s">
        <v>649</v>
      </c>
      <c r="DN9" s="404" t="s">
        <v>650</v>
      </c>
      <c r="DO9" s="403" t="s">
        <v>647</v>
      </c>
      <c r="DP9" s="98" t="s">
        <v>648</v>
      </c>
      <c r="DQ9" s="98" t="s">
        <v>649</v>
      </c>
      <c r="DR9" s="404" t="s">
        <v>650</v>
      </c>
      <c r="DS9" s="403" t="s">
        <v>647</v>
      </c>
      <c r="DT9" s="98" t="s">
        <v>648</v>
      </c>
      <c r="DU9" s="98" t="s">
        <v>649</v>
      </c>
      <c r="DV9" s="404" t="s">
        <v>650</v>
      </c>
      <c r="DW9" s="403" t="s">
        <v>647</v>
      </c>
      <c r="DX9" s="98" t="s">
        <v>648</v>
      </c>
      <c r="DY9" s="98" t="s">
        <v>649</v>
      </c>
      <c r="DZ9" s="404" t="s">
        <v>650</v>
      </c>
      <c r="EA9" s="403" t="s">
        <v>647</v>
      </c>
      <c r="EB9" s="98" t="s">
        <v>648</v>
      </c>
      <c r="EC9" s="98" t="s">
        <v>649</v>
      </c>
      <c r="ED9" s="404" t="s">
        <v>650</v>
      </c>
      <c r="EE9" s="403" t="s">
        <v>647</v>
      </c>
      <c r="EF9" s="98" t="s">
        <v>648</v>
      </c>
      <c r="EG9" s="98" t="s">
        <v>649</v>
      </c>
      <c r="EH9" s="404" t="s">
        <v>650</v>
      </c>
      <c r="EI9" s="403" t="s">
        <v>647</v>
      </c>
      <c r="EJ9" s="98" t="s">
        <v>648</v>
      </c>
      <c r="EK9" s="98" t="s">
        <v>649</v>
      </c>
      <c r="EL9" s="404" t="s">
        <v>650</v>
      </c>
      <c r="EM9" s="67" t="s">
        <v>264</v>
      </c>
      <c r="EN9" s="67" t="s">
        <v>264</v>
      </c>
      <c r="EO9" s="67" t="s">
        <v>264</v>
      </c>
      <c r="EP9" s="67" t="s">
        <v>264</v>
      </c>
      <c r="EQ9" s="67" t="s">
        <v>264</v>
      </c>
      <c r="EU9" s="67" t="s">
        <v>264</v>
      </c>
      <c r="EV9" s="67" t="s">
        <v>264</v>
      </c>
      <c r="EW9" s="67" t="s">
        <v>264</v>
      </c>
      <c r="EX9" s="67" t="s">
        <v>264</v>
      </c>
      <c r="EY9" s="67" t="s">
        <v>264</v>
      </c>
      <c r="EZ9" s="67" t="s">
        <v>264</v>
      </c>
      <c r="FA9" s="67" t="s">
        <v>264</v>
      </c>
      <c r="FB9" s="67" t="s">
        <v>264</v>
      </c>
      <c r="FC9" s="67" t="s">
        <v>264</v>
      </c>
      <c r="FD9" s="67" t="s">
        <v>264</v>
      </c>
      <c r="FE9" s="67" t="s">
        <v>264</v>
      </c>
      <c r="FF9" s="67" t="s">
        <v>264</v>
      </c>
      <c r="FG9" s="67" t="s">
        <v>264</v>
      </c>
      <c r="FH9" s="67" t="s">
        <v>264</v>
      </c>
      <c r="FI9" s="67" t="s">
        <v>264</v>
      </c>
      <c r="FJ9" s="67" t="s">
        <v>264</v>
      </c>
      <c r="FK9" s="67" t="s">
        <v>264</v>
      </c>
      <c r="FL9" s="67" t="s">
        <v>264</v>
      </c>
      <c r="FM9" s="67" t="s">
        <v>264</v>
      </c>
      <c r="FP9" s="67" t="s">
        <v>264</v>
      </c>
      <c r="FQ9" s="67" t="s">
        <v>264</v>
      </c>
      <c r="FR9" s="67" t="s">
        <v>264</v>
      </c>
      <c r="FS9" s="67" t="s">
        <v>264</v>
      </c>
      <c r="FT9" s="67" t="s">
        <v>264</v>
      </c>
      <c r="FU9" s="67" t="s">
        <v>264</v>
      </c>
      <c r="FV9" s="67" t="s">
        <v>264</v>
      </c>
      <c r="FW9" s="67" t="s">
        <v>264</v>
      </c>
      <c r="FX9" s="67" t="s">
        <v>264</v>
      </c>
      <c r="FY9" s="67" t="s">
        <v>264</v>
      </c>
      <c r="FZ9" s="67" t="s">
        <v>264</v>
      </c>
      <c r="GA9" s="67" t="s">
        <v>264</v>
      </c>
      <c r="GB9" s="67" t="s">
        <v>264</v>
      </c>
      <c r="GC9" s="67" t="s">
        <v>264</v>
      </c>
      <c r="GD9" s="67" t="s">
        <v>264</v>
      </c>
      <c r="GE9" s="67" t="s">
        <v>264</v>
      </c>
      <c r="GF9" s="67" t="s">
        <v>264</v>
      </c>
      <c r="GG9" s="67" t="s">
        <v>264</v>
      </c>
      <c r="GH9" s="67" t="s">
        <v>264</v>
      </c>
    </row>
    <row r="10" spans="1:190" ht="12.75" customHeight="1" outlineLevel="1" x14ac:dyDescent="0.25">
      <c r="A10" s="367" t="s">
        <v>412</v>
      </c>
      <c r="E10" s="921">
        <v>0</v>
      </c>
      <c r="F10" s="921">
        <v>0</v>
      </c>
      <c r="G10" s="921">
        <v>0</v>
      </c>
      <c r="H10" s="921">
        <v>0</v>
      </c>
      <c r="I10" s="922"/>
      <c r="J10" s="921">
        <v>0</v>
      </c>
      <c r="K10" s="921">
        <v>0</v>
      </c>
      <c r="L10" s="921">
        <v>0</v>
      </c>
      <c r="M10" s="921">
        <v>0</v>
      </c>
      <c r="N10" s="922"/>
      <c r="O10" s="921">
        <v>0</v>
      </c>
      <c r="P10" s="921">
        <v>0</v>
      </c>
      <c r="Q10" s="921">
        <v>0</v>
      </c>
      <c r="R10" s="921">
        <v>0</v>
      </c>
      <c r="S10" s="922"/>
      <c r="T10" s="921">
        <v>0</v>
      </c>
      <c r="U10" s="921">
        <v>0</v>
      </c>
      <c r="V10" s="921">
        <v>0</v>
      </c>
      <c r="W10" s="921">
        <v>0</v>
      </c>
      <c r="X10" s="922"/>
      <c r="Y10" s="921">
        <v>0</v>
      </c>
      <c r="Z10" s="921">
        <v>0</v>
      </c>
      <c r="AA10" s="921">
        <v>0</v>
      </c>
      <c r="AB10" s="921">
        <v>0</v>
      </c>
      <c r="AC10" s="922"/>
      <c r="AD10" s="921">
        <v>0</v>
      </c>
      <c r="AE10" s="921">
        <v>0</v>
      </c>
      <c r="AF10" s="921">
        <v>0</v>
      </c>
      <c r="AG10" s="923">
        <v>0</v>
      </c>
      <c r="AH10" s="924"/>
      <c r="AI10" s="925">
        <v>0</v>
      </c>
      <c r="AJ10" s="921">
        <v>0</v>
      </c>
      <c r="AK10" s="921">
        <v>0</v>
      </c>
      <c r="AL10" s="921">
        <v>0</v>
      </c>
      <c r="AM10" s="926"/>
      <c r="AN10" s="921">
        <v>0</v>
      </c>
      <c r="AO10" s="921">
        <v>0</v>
      </c>
      <c r="AP10" s="921">
        <v>0</v>
      </c>
      <c r="AQ10" s="921">
        <v>0</v>
      </c>
      <c r="AR10" s="927"/>
      <c r="AS10" s="921">
        <v>0</v>
      </c>
      <c r="AT10" s="921">
        <v>0</v>
      </c>
      <c r="AU10" s="921">
        <v>0</v>
      </c>
      <c r="AV10" s="921">
        <v>0</v>
      </c>
      <c r="AW10" s="927"/>
      <c r="AX10" s="921">
        <v>0</v>
      </c>
      <c r="AY10" s="921">
        <v>0</v>
      </c>
      <c r="AZ10" s="921">
        <v>0</v>
      </c>
      <c r="BA10" s="921">
        <v>0</v>
      </c>
      <c r="BB10" s="927">
        <v>0</v>
      </c>
      <c r="BC10" s="921">
        <v>0</v>
      </c>
      <c r="BD10" s="921">
        <v>0</v>
      </c>
      <c r="BE10" s="921">
        <v>0</v>
      </c>
      <c r="BF10" s="921">
        <v>0</v>
      </c>
      <c r="BG10" s="927">
        <v>0</v>
      </c>
      <c r="BH10" s="921">
        <v>0</v>
      </c>
      <c r="BI10" s="921">
        <v>0</v>
      </c>
      <c r="BJ10" s="921">
        <v>0</v>
      </c>
      <c r="BK10" s="921">
        <v>0</v>
      </c>
      <c r="BL10" s="927">
        <v>0</v>
      </c>
      <c r="BM10" s="921">
        <v>0</v>
      </c>
      <c r="BN10" s="921">
        <v>0</v>
      </c>
      <c r="BO10" s="921">
        <v>0</v>
      </c>
      <c r="BP10" s="921">
        <v>0</v>
      </c>
      <c r="BQ10" s="928">
        <v>0</v>
      </c>
      <c r="BR10" s="921">
        <v>0</v>
      </c>
      <c r="BS10" s="921">
        <v>0</v>
      </c>
      <c r="BT10" s="921">
        <v>0</v>
      </c>
      <c r="BU10" s="921">
        <v>0</v>
      </c>
      <c r="BV10" s="927">
        <v>0</v>
      </c>
      <c r="BW10" s="928">
        <v>0</v>
      </c>
      <c r="BX10" s="927">
        <v>0</v>
      </c>
      <c r="BY10" s="927">
        <v>0</v>
      </c>
      <c r="BZ10" s="927">
        <v>0</v>
      </c>
      <c r="CA10" s="927">
        <v>0</v>
      </c>
      <c r="CC10" s="343"/>
      <c r="CD10" s="343"/>
      <c r="CE10" s="344"/>
      <c r="CF10" s="344"/>
      <c r="CG10" s="344"/>
      <c r="CH10" s="344"/>
      <c r="CI10" s="910">
        <f>E10</f>
        <v>0</v>
      </c>
      <c r="CJ10" s="911">
        <f>F10</f>
        <v>0</v>
      </c>
      <c r="CK10" s="911">
        <f>G10</f>
        <v>0</v>
      </c>
      <c r="CL10" s="912">
        <f>H10</f>
        <v>0</v>
      </c>
      <c r="CM10" s="910">
        <f>J10</f>
        <v>0</v>
      </c>
      <c r="CN10" s="911">
        <f>K10</f>
        <v>0</v>
      </c>
      <c r="CO10" s="911">
        <f>L10</f>
        <v>0</v>
      </c>
      <c r="CP10" s="912">
        <f>M10</f>
        <v>0</v>
      </c>
      <c r="CQ10" s="910">
        <f>O10</f>
        <v>0</v>
      </c>
      <c r="CR10" s="911">
        <f>P10</f>
        <v>0</v>
      </c>
      <c r="CS10" s="911">
        <f>Q10</f>
        <v>0</v>
      </c>
      <c r="CT10" s="912">
        <f>R10</f>
        <v>0</v>
      </c>
      <c r="CU10" s="910">
        <f>T10</f>
        <v>0</v>
      </c>
      <c r="CV10" s="911">
        <f>U10</f>
        <v>0</v>
      </c>
      <c r="CW10" s="911">
        <f>V10</f>
        <v>0</v>
      </c>
      <c r="CX10" s="912">
        <f>W10</f>
        <v>0</v>
      </c>
      <c r="CY10" s="910">
        <f>Y10</f>
        <v>0</v>
      </c>
      <c r="CZ10" s="911">
        <f>Z10</f>
        <v>0</v>
      </c>
      <c r="DA10" s="911">
        <f>AA10</f>
        <v>0</v>
      </c>
      <c r="DB10" s="912">
        <f>AB10</f>
        <v>0</v>
      </c>
      <c r="DC10" s="910">
        <f>AD10</f>
        <v>0</v>
      </c>
      <c r="DD10" s="911">
        <f>AE10</f>
        <v>0</v>
      </c>
      <c r="DE10" s="911">
        <f>AF10</f>
        <v>0</v>
      </c>
      <c r="DF10" s="912">
        <f>AG10</f>
        <v>0</v>
      </c>
      <c r="DG10" s="910">
        <f>AI10</f>
        <v>0</v>
      </c>
      <c r="DH10" s="911">
        <f>AJ10</f>
        <v>0</v>
      </c>
      <c r="DI10" s="911">
        <f>AK10</f>
        <v>0</v>
      </c>
      <c r="DJ10" s="912">
        <f>AL10</f>
        <v>0</v>
      </c>
      <c r="DK10" s="910">
        <f>AN10</f>
        <v>0</v>
      </c>
      <c r="DL10" s="911">
        <f>AO10</f>
        <v>0</v>
      </c>
      <c r="DM10" s="911">
        <f>AP10</f>
        <v>0</v>
      </c>
      <c r="DN10" s="912">
        <f>AQ10</f>
        <v>0</v>
      </c>
      <c r="DO10" s="910">
        <f>AS10</f>
        <v>0</v>
      </c>
      <c r="DP10" s="911">
        <f>AT10</f>
        <v>0</v>
      </c>
      <c r="DQ10" s="911">
        <f>AU10</f>
        <v>0</v>
      </c>
      <c r="DR10" s="912">
        <f>AV10</f>
        <v>0</v>
      </c>
      <c r="DS10" s="910">
        <f>AX10</f>
        <v>0</v>
      </c>
      <c r="DT10" s="911">
        <f>AY10</f>
        <v>0</v>
      </c>
      <c r="DU10" s="911">
        <f>AZ10</f>
        <v>0</v>
      </c>
      <c r="DV10" s="912">
        <f>BA10</f>
        <v>0</v>
      </c>
      <c r="DW10" s="910">
        <f>BC10</f>
        <v>0</v>
      </c>
      <c r="DX10" s="911">
        <f>BD10</f>
        <v>0</v>
      </c>
      <c r="DY10" s="911">
        <f>BE10</f>
        <v>0</v>
      </c>
      <c r="DZ10" s="912">
        <f>BF10</f>
        <v>0</v>
      </c>
      <c r="EA10" s="910">
        <f>BH10</f>
        <v>0</v>
      </c>
      <c r="EB10" s="911">
        <f>BI10</f>
        <v>0</v>
      </c>
      <c r="EC10" s="911">
        <f>BJ10</f>
        <v>0</v>
      </c>
      <c r="ED10" s="912">
        <f>BK10</f>
        <v>0</v>
      </c>
      <c r="EE10" s="910">
        <f>BM10</f>
        <v>0</v>
      </c>
      <c r="EF10" s="911">
        <f>BN10</f>
        <v>0</v>
      </c>
      <c r="EG10" s="911">
        <f>BO10</f>
        <v>0</v>
      </c>
      <c r="EH10" s="912">
        <f>BP10</f>
        <v>0</v>
      </c>
      <c r="EI10" s="910">
        <f>BR10</f>
        <v>0</v>
      </c>
      <c r="EJ10" s="911">
        <f>BS10</f>
        <v>0</v>
      </c>
      <c r="EK10" s="911">
        <f>BT10</f>
        <v>0</v>
      </c>
      <c r="EL10" s="912">
        <f>BU10</f>
        <v>0</v>
      </c>
      <c r="EM10" s="913">
        <f>BW10</f>
        <v>0</v>
      </c>
      <c r="EN10" s="913">
        <f>BX10</f>
        <v>0</v>
      </c>
      <c r="EO10" s="913">
        <f>BY10</f>
        <v>0</v>
      </c>
      <c r="EP10" s="913">
        <f>CB10</f>
        <v>0</v>
      </c>
      <c r="EQ10" s="913">
        <f>CC10</f>
        <v>0</v>
      </c>
      <c r="EU10" s="67"/>
      <c r="EV10" s="67"/>
      <c r="EW10" s="67"/>
      <c r="EX10" s="67"/>
      <c r="EY10" s="67"/>
      <c r="EZ10" s="67"/>
      <c r="FA10" s="67"/>
      <c r="FB10" s="67"/>
      <c r="FC10" s="67"/>
      <c r="FD10" s="67"/>
      <c r="FE10" s="67"/>
      <c r="FF10" s="67"/>
      <c r="FG10" s="67"/>
      <c r="FH10" s="67"/>
      <c r="FI10" s="67"/>
      <c r="FJ10" s="67"/>
      <c r="FK10" s="67"/>
      <c r="FL10" s="67"/>
      <c r="FM10" s="67"/>
      <c r="FP10" s="67"/>
      <c r="FQ10" s="67"/>
      <c r="FR10" s="67"/>
      <c r="FS10" s="67"/>
      <c r="FT10" s="67"/>
      <c r="FU10" s="67"/>
      <c r="FV10" s="67"/>
      <c r="FW10" s="67"/>
      <c r="FX10" s="67"/>
      <c r="FY10" s="67"/>
      <c r="FZ10" s="67"/>
      <c r="GA10" s="67"/>
      <c r="GB10" s="67"/>
      <c r="GC10" s="67"/>
      <c r="GD10" s="67"/>
      <c r="GE10" s="67"/>
      <c r="GF10" s="67"/>
      <c r="GG10" s="67"/>
      <c r="GH10" s="67"/>
    </row>
    <row r="11" spans="1:190" x14ac:dyDescent="0.25">
      <c r="E11" s="341"/>
      <c r="F11" s="344"/>
      <c r="G11" s="344"/>
      <c r="H11" s="344"/>
      <c r="I11" s="356"/>
      <c r="J11" s="341"/>
      <c r="K11" s="344"/>
      <c r="L11" s="344"/>
      <c r="M11" s="344"/>
      <c r="N11" s="356"/>
      <c r="O11" s="341"/>
      <c r="P11" s="344"/>
      <c r="Q11" s="344"/>
      <c r="R11" s="344"/>
      <c r="S11" s="356"/>
      <c r="T11" s="341"/>
      <c r="U11" s="344"/>
      <c r="V11" s="344"/>
      <c r="W11" s="344"/>
      <c r="X11" s="356"/>
      <c r="Y11" s="341"/>
      <c r="Z11" s="344"/>
      <c r="AA11" s="344"/>
      <c r="AB11" s="344"/>
      <c r="AC11" s="356"/>
      <c r="AD11" s="98"/>
      <c r="AE11" s="98"/>
      <c r="AF11" s="98"/>
      <c r="AG11" s="98"/>
      <c r="AH11" s="356"/>
      <c r="AI11" s="341"/>
      <c r="AJ11" s="344"/>
      <c r="AK11" s="344"/>
      <c r="AL11" s="344"/>
      <c r="AM11" s="714"/>
      <c r="AN11" s="341"/>
      <c r="AO11" s="344"/>
      <c r="AP11" s="344"/>
      <c r="AQ11" s="344"/>
      <c r="AR11" s="714"/>
      <c r="AS11" s="341"/>
      <c r="AT11" s="344"/>
      <c r="AU11" s="344"/>
      <c r="AV11" s="344"/>
      <c r="AW11" s="343"/>
      <c r="AX11" s="341"/>
      <c r="AY11" s="344"/>
      <c r="AZ11" s="344"/>
      <c r="BA11" s="344"/>
      <c r="BB11" s="343"/>
      <c r="BC11" s="341"/>
      <c r="BD11" s="344"/>
      <c r="BE11" s="344"/>
      <c r="BF11" s="344"/>
      <c r="BG11" s="343"/>
      <c r="BH11" s="341"/>
      <c r="BI11" s="344"/>
      <c r="BJ11" s="344"/>
      <c r="BK11" s="344"/>
      <c r="BL11" s="343"/>
      <c r="BM11" s="341"/>
      <c r="BN11" s="344"/>
      <c r="BO11" s="344"/>
      <c r="BP11" s="344"/>
      <c r="BQ11" s="343"/>
      <c r="BR11" s="341"/>
      <c r="BS11" s="344"/>
      <c r="BT11" s="344"/>
      <c r="BU11" s="344"/>
      <c r="BV11" s="343"/>
      <c r="BW11" s="343"/>
      <c r="BX11" s="343"/>
      <c r="BY11" s="343"/>
      <c r="BZ11" s="343"/>
      <c r="CA11" s="343"/>
      <c r="CC11" s="342"/>
      <c r="CD11" s="342"/>
      <c r="CE11" s="905"/>
      <c r="CF11" s="410"/>
      <c r="CG11" s="905"/>
      <c r="CH11" s="410"/>
      <c r="CI11" s="400"/>
      <c r="CJ11" s="401"/>
      <c r="CK11" s="401"/>
      <c r="CL11" s="402"/>
      <c r="CM11" s="400"/>
      <c r="CN11" s="401"/>
      <c r="CO11" s="401"/>
      <c r="CP11" s="402"/>
      <c r="CQ11" s="400"/>
      <c r="CR11" s="401"/>
      <c r="CS11" s="401"/>
      <c r="CT11" s="402"/>
      <c r="CU11" s="400"/>
      <c r="CV11" s="401"/>
      <c r="CW11" s="401"/>
      <c r="CX11" s="402"/>
      <c r="CY11" s="400"/>
      <c r="CZ11" s="401"/>
      <c r="DA11" s="401"/>
      <c r="DB11" s="402"/>
      <c r="DC11" s="98"/>
      <c r="DD11" s="98"/>
      <c r="DE11" s="98"/>
      <c r="DF11" s="404"/>
      <c r="DG11" s="98"/>
      <c r="DH11" s="98"/>
      <c r="DI11" s="98"/>
      <c r="DJ11" s="404"/>
      <c r="DK11" s="98"/>
      <c r="DL11" s="98"/>
      <c r="DM11" s="98"/>
      <c r="DN11" s="404"/>
      <c r="DO11" s="98"/>
      <c r="DP11" s="98"/>
      <c r="DQ11" s="98"/>
      <c r="DR11" s="404"/>
      <c r="DS11" s="403"/>
      <c r="DT11" s="98"/>
      <c r="DU11" s="98"/>
      <c r="DV11" s="404"/>
      <c r="DW11" s="400"/>
      <c r="DX11" s="401"/>
      <c r="DY11" s="401"/>
      <c r="DZ11" s="402"/>
      <c r="EA11" s="401"/>
      <c r="EB11" s="401"/>
      <c r="EC11" s="401"/>
      <c r="ED11" s="402"/>
      <c r="EE11" s="401"/>
      <c r="EF11" s="401"/>
      <c r="EG11" s="401"/>
      <c r="EH11" s="402"/>
      <c r="EI11" s="401"/>
      <c r="EJ11" s="401"/>
      <c r="EK11" s="401"/>
      <c r="EL11" s="402"/>
      <c r="EM11" s="67"/>
      <c r="EN11" s="67"/>
      <c r="EO11" s="67"/>
      <c r="EP11" s="67"/>
      <c r="EQ11" s="67"/>
      <c r="EU11" s="67"/>
      <c r="EV11" s="67"/>
      <c r="EW11" s="67"/>
      <c r="EX11" s="67"/>
      <c r="EY11" s="67"/>
      <c r="EZ11" s="67"/>
      <c r="FA11" s="67"/>
      <c r="FB11" s="67"/>
      <c r="FC11" s="67"/>
      <c r="FD11" s="67"/>
      <c r="FE11" s="67"/>
      <c r="FF11" s="67"/>
      <c r="FG11" s="67"/>
      <c r="FH11" s="67"/>
      <c r="FI11" s="67"/>
      <c r="FJ11" s="67"/>
      <c r="FK11" s="67"/>
      <c r="FL11" s="67"/>
      <c r="FM11" s="67"/>
      <c r="FP11" s="67"/>
      <c r="FQ11" s="67"/>
      <c r="FR11" s="67"/>
      <c r="FS11" s="67"/>
      <c r="FT11" s="67"/>
      <c r="FU11" s="67"/>
      <c r="FV11" s="67"/>
      <c r="FW11" s="67"/>
      <c r="FX11" s="67"/>
      <c r="FY11" s="67"/>
      <c r="FZ11" s="67"/>
      <c r="GA11" s="67"/>
      <c r="GB11" s="67"/>
      <c r="GC11" s="67"/>
      <c r="GD11" s="67"/>
      <c r="GE11" s="67"/>
      <c r="GF11" s="67"/>
      <c r="GG11" s="67"/>
      <c r="GH11" s="67"/>
    </row>
    <row r="12" spans="1:190" x14ac:dyDescent="0.25">
      <c r="A12" s="367" t="s">
        <v>413</v>
      </c>
      <c r="E12" s="341"/>
      <c r="F12" s="344"/>
      <c r="G12" s="344"/>
      <c r="H12" s="344"/>
      <c r="I12" s="356"/>
      <c r="J12" s="341"/>
      <c r="K12" s="344"/>
      <c r="L12" s="344"/>
      <c r="M12" s="344"/>
      <c r="N12" s="356"/>
      <c r="O12" s="341"/>
      <c r="P12" s="344"/>
      <c r="Q12" s="344"/>
      <c r="R12" s="344"/>
      <c r="S12" s="356"/>
      <c r="T12" s="341"/>
      <c r="U12" s="344"/>
      <c r="V12" s="344"/>
      <c r="W12" s="344"/>
      <c r="X12" s="356"/>
      <c r="Y12" s="341"/>
      <c r="Z12" s="344"/>
      <c r="AA12" s="344"/>
      <c r="AB12" s="344"/>
      <c r="AC12" s="356"/>
      <c r="AD12" s="98"/>
      <c r="AE12" s="98"/>
      <c r="AF12" s="98"/>
      <c r="AG12" s="98"/>
      <c r="AH12" s="356"/>
      <c r="AI12" s="341"/>
      <c r="AJ12" s="344"/>
      <c r="AK12" s="344"/>
      <c r="AL12" s="344"/>
      <c r="AM12" s="714"/>
      <c r="AN12" s="341"/>
      <c r="AO12" s="344"/>
      <c r="AP12" s="344"/>
      <c r="AQ12" s="344"/>
      <c r="AR12" s="714"/>
      <c r="AS12" s="341"/>
      <c r="AT12" s="344"/>
      <c r="AU12" s="344"/>
      <c r="AV12" s="344"/>
      <c r="AW12" s="343"/>
      <c r="AX12" s="341"/>
      <c r="AY12" s="344"/>
      <c r="AZ12" s="344"/>
      <c r="BA12" s="344"/>
      <c r="BB12" s="343"/>
      <c r="BC12" s="341"/>
      <c r="BD12" s="344"/>
      <c r="BE12" s="344"/>
      <c r="BF12" s="344"/>
      <c r="BG12" s="343"/>
      <c r="BH12" s="341"/>
      <c r="BI12" s="344"/>
      <c r="BJ12" s="344"/>
      <c r="BK12" s="344"/>
      <c r="BL12" s="343"/>
      <c r="BM12" s="341"/>
      <c r="BN12" s="344"/>
      <c r="BO12" s="344"/>
      <c r="BP12" s="344"/>
      <c r="BQ12" s="343"/>
      <c r="BR12" s="341"/>
      <c r="BS12" s="344"/>
      <c r="BT12" s="344"/>
      <c r="BU12" s="344"/>
      <c r="BV12" s="343"/>
      <c r="BW12" s="343"/>
      <c r="BX12" s="343"/>
      <c r="BY12" s="343"/>
      <c r="BZ12" s="343"/>
      <c r="CA12" s="343"/>
      <c r="CB12" s="343"/>
      <c r="CC12" s="547"/>
      <c r="CD12" s="392"/>
      <c r="CE12" s="345"/>
      <c r="CF12" s="345"/>
      <c r="CG12" s="345"/>
      <c r="CH12" s="345"/>
      <c r="CI12" s="403"/>
      <c r="CJ12" s="98"/>
      <c r="CK12" s="98"/>
      <c r="CL12" s="404"/>
      <c r="CM12" s="403"/>
      <c r="CN12" s="98"/>
      <c r="CO12" s="98"/>
      <c r="CP12" s="404"/>
      <c r="CQ12" s="403"/>
      <c r="CR12" s="98"/>
      <c r="CS12" s="98"/>
      <c r="CT12" s="404"/>
      <c r="CU12" s="403"/>
      <c r="CV12" s="98"/>
      <c r="CW12" s="98"/>
      <c r="CX12" s="404"/>
      <c r="CY12" s="403"/>
      <c r="CZ12" s="98"/>
      <c r="DA12" s="98"/>
      <c r="DB12" s="404"/>
      <c r="DC12" s="98"/>
      <c r="DD12" s="98"/>
      <c r="DE12" s="98"/>
      <c r="DF12" s="404"/>
      <c r="DG12" s="98"/>
      <c r="DH12" s="98"/>
      <c r="DI12" s="98"/>
      <c r="DJ12" s="404"/>
      <c r="DK12" s="98"/>
      <c r="DL12" s="98"/>
      <c r="DM12" s="98"/>
      <c r="DN12" s="404"/>
      <c r="DO12" s="98"/>
      <c r="DP12" s="98"/>
      <c r="DQ12" s="98"/>
      <c r="DR12" s="404"/>
      <c r="DS12" s="403"/>
      <c r="DT12" s="98"/>
      <c r="DU12" s="98"/>
      <c r="DV12" s="404"/>
      <c r="DW12" s="403"/>
      <c r="DX12" s="98"/>
      <c r="DY12" s="98"/>
      <c r="DZ12" s="404"/>
      <c r="EA12" s="98"/>
      <c r="EB12" s="98"/>
      <c r="EC12" s="98"/>
      <c r="ED12" s="404"/>
      <c r="EE12" s="98"/>
      <c r="EF12" s="98"/>
      <c r="EG12" s="98"/>
      <c r="EH12" s="404"/>
      <c r="EI12" s="98"/>
      <c r="EJ12" s="98"/>
      <c r="EK12" s="98"/>
      <c r="EL12" s="404"/>
      <c r="EM12" s="67"/>
      <c r="EN12" s="67"/>
      <c r="EO12" s="67"/>
      <c r="EP12" s="67"/>
      <c r="EQ12" s="67"/>
      <c r="EU12" s="67"/>
      <c r="EV12" s="67"/>
      <c r="EW12" s="67"/>
      <c r="EX12" s="67"/>
      <c r="EY12" s="67"/>
      <c r="EZ12" s="67"/>
      <c r="FA12" s="67"/>
      <c r="FB12" s="67"/>
      <c r="FC12" s="67"/>
      <c r="FD12" s="67"/>
      <c r="FE12" s="67"/>
      <c r="FF12" s="67"/>
      <c r="FG12" s="67"/>
      <c r="FH12" s="67"/>
      <c r="FI12" s="67"/>
      <c r="FJ12" s="67"/>
      <c r="FK12" s="67"/>
      <c r="FL12" s="67"/>
      <c r="FM12" s="67"/>
      <c r="FP12" s="67"/>
      <c r="FQ12" s="67"/>
      <c r="FR12" s="67"/>
      <c r="FS12" s="67"/>
      <c r="FT12" s="67"/>
      <c r="FU12" s="67"/>
      <c r="FV12" s="67"/>
      <c r="FW12" s="67"/>
      <c r="FX12" s="67"/>
      <c r="FY12" s="67"/>
      <c r="FZ12" s="67"/>
      <c r="GA12" s="67"/>
      <c r="GB12" s="67"/>
      <c r="GC12" s="67"/>
      <c r="GD12" s="67"/>
      <c r="GE12" s="67"/>
      <c r="GF12" s="67"/>
      <c r="GG12" s="67"/>
      <c r="GH12" s="67"/>
    </row>
    <row r="13" spans="1:190" s="138" customFormat="1" outlineLevel="1" x14ac:dyDescent="0.25">
      <c r="A13" s="361"/>
      <c r="B13" s="368" t="s">
        <v>292</v>
      </c>
      <c r="C13" s="368"/>
      <c r="D13" s="368"/>
      <c r="E13" s="386"/>
      <c r="F13" s="369"/>
      <c r="G13" s="369"/>
      <c r="H13" s="369"/>
      <c r="I13" s="357">
        <f>SUM(E13:H13)/4</f>
        <v>0</v>
      </c>
      <c r="J13" s="386"/>
      <c r="K13" s="369"/>
      <c r="L13" s="369"/>
      <c r="M13" s="369"/>
      <c r="N13" s="357">
        <f>SUM(J13:M13)/4</f>
        <v>0</v>
      </c>
      <c r="O13" s="386"/>
      <c r="P13" s="369"/>
      <c r="Q13" s="369"/>
      <c r="R13" s="369"/>
      <c r="S13" s="357">
        <f>SUM(O13:R13)/4</f>
        <v>0</v>
      </c>
      <c r="T13" s="386"/>
      <c r="U13" s="369"/>
      <c r="V13" s="369"/>
      <c r="W13" s="369"/>
      <c r="X13" s="357">
        <f>SUM(T13:W13)/4</f>
        <v>0</v>
      </c>
      <c r="Y13" s="386"/>
      <c r="Z13" s="369"/>
      <c r="AA13" s="369"/>
      <c r="AB13" s="369"/>
      <c r="AC13" s="357">
        <f>SUM(Y13:AB13)/4</f>
        <v>0</v>
      </c>
      <c r="AD13" s="386"/>
      <c r="AE13" s="369"/>
      <c r="AF13" s="369"/>
      <c r="AG13" s="369"/>
      <c r="AH13" s="357">
        <f>SUM(AD13:AG13)/4</f>
        <v>0</v>
      </c>
      <c r="AI13" s="386"/>
      <c r="AJ13" s="369"/>
      <c r="AK13" s="369"/>
      <c r="AL13" s="369"/>
      <c r="AM13" s="357">
        <f>SUM(AI13:AL13)/4</f>
        <v>0</v>
      </c>
      <c r="AN13" s="386"/>
      <c r="AO13" s="369"/>
      <c r="AP13" s="369"/>
      <c r="AQ13" s="369"/>
      <c r="AR13" s="357">
        <f t="shared" ref="AR13:AR21" si="4">SUM(AN13:AQ13)/4</f>
        <v>0</v>
      </c>
      <c r="AS13" s="386">
        <v>2.5</v>
      </c>
      <c r="AT13" s="386">
        <v>3</v>
      </c>
      <c r="AU13" s="386">
        <v>4</v>
      </c>
      <c r="AV13" s="386">
        <v>4</v>
      </c>
      <c r="AW13" s="357">
        <f t="shared" ref="AW13:AW21" si="5">SUM(AS13:AV13)/4</f>
        <v>3.375</v>
      </c>
      <c r="AX13" s="386">
        <v>7</v>
      </c>
      <c r="AY13" s="369">
        <v>7</v>
      </c>
      <c r="AZ13" s="369">
        <v>7</v>
      </c>
      <c r="BA13" s="369">
        <v>7</v>
      </c>
      <c r="BB13" s="357">
        <f t="shared" ref="BB13:BB21" si="6">SUM(AX13:BA13)/4</f>
        <v>7</v>
      </c>
      <c r="BC13" s="386">
        <v>5</v>
      </c>
      <c r="BD13" s="369">
        <v>5</v>
      </c>
      <c r="BE13" s="369">
        <v>5</v>
      </c>
      <c r="BF13" s="369">
        <v>5</v>
      </c>
      <c r="BG13" s="357">
        <f t="shared" ref="BG13:BG21" si="7">SUM(BC13:BF13)/4</f>
        <v>5</v>
      </c>
      <c r="BH13" s="386">
        <v>3</v>
      </c>
      <c r="BI13" s="386">
        <v>3</v>
      </c>
      <c r="BJ13" s="386">
        <v>3</v>
      </c>
      <c r="BK13" s="386">
        <v>3</v>
      </c>
      <c r="BL13" s="357">
        <f t="shared" ref="BL13:BL21" si="8">SUM(BH13:BK13)/4</f>
        <v>3</v>
      </c>
      <c r="BM13" s="386">
        <v>1</v>
      </c>
      <c r="BN13" s="369">
        <v>1</v>
      </c>
      <c r="BO13" s="369">
        <v>1</v>
      </c>
      <c r="BP13" s="369">
        <v>1</v>
      </c>
      <c r="BQ13" s="964">
        <f t="shared" ref="BQ13:BQ21" si="9">SUM(BM13:BP13)/4</f>
        <v>1</v>
      </c>
      <c r="BR13" s="386"/>
      <c r="BS13" s="369"/>
      <c r="BT13" s="369"/>
      <c r="BU13" s="369"/>
      <c r="BV13" s="964">
        <f t="shared" ref="BV13:BV21" si="10">SUM(BR13:BU13)/4</f>
        <v>0</v>
      </c>
      <c r="BW13" s="463"/>
      <c r="BX13" s="463"/>
      <c r="BY13" s="463"/>
      <c r="BZ13" s="463"/>
      <c r="CA13" s="463"/>
      <c r="CB13" s="1006"/>
      <c r="CC13" s="978">
        <v>129</v>
      </c>
      <c r="CD13" s="371">
        <v>0.02</v>
      </c>
      <c r="CE13" s="979">
        <v>136.62393442622951</v>
      </c>
      <c r="CF13" s="906">
        <v>0.02</v>
      </c>
      <c r="CG13" s="979">
        <v>136.62393442622951</v>
      </c>
      <c r="CH13" s="906">
        <v>0.02</v>
      </c>
      <c r="CI13" s="405">
        <f>(E13*$CC13*(1+$CD13)^CI$6)/4</f>
        <v>0</v>
      </c>
      <c r="CJ13" s="372">
        <f>(F13*$CC13*(1+$CD13)^CJ$6)/4</f>
        <v>0</v>
      </c>
      <c r="CK13" s="372">
        <f t="shared" ref="CI13:CL20" si="11">(G13*$CC13*(1+$CD13)^CK$6)/4</f>
        <v>0</v>
      </c>
      <c r="CL13" s="406">
        <f>(H13*$CC13*(1+$CD13)^CL$6)/4</f>
        <v>0</v>
      </c>
      <c r="CM13" s="405">
        <f>(J13*$CC13*(1+$CD13)^CM$6)/4</f>
        <v>0</v>
      </c>
      <c r="CN13" s="372">
        <f>(K13*$CC13*(1+$CD13)^CN$6)/4</f>
        <v>0</v>
      </c>
      <c r="CO13" s="372">
        <f>(L13*$CC13*(1+$CD13)^CO$6)/4</f>
        <v>0</v>
      </c>
      <c r="CP13" s="406">
        <f>(M13*$CC13*(1+$CD13)^CP$6)/4</f>
        <v>0</v>
      </c>
      <c r="CQ13" s="405">
        <f>(O13*$CE13*(1+$CF13)^CQ$6)/4</f>
        <v>0</v>
      </c>
      <c r="CR13" s="372">
        <f t="shared" ref="CQ13:CT20" si="12">(P13*$CE13*(1+$CF13)^CR$6)/4</f>
        <v>0</v>
      </c>
      <c r="CS13" s="372">
        <f t="shared" si="12"/>
        <v>0</v>
      </c>
      <c r="CT13" s="406">
        <f t="shared" si="12"/>
        <v>0</v>
      </c>
      <c r="CU13" s="405">
        <f t="shared" ref="CU13:CX20" si="13">(T13*$CE13*(1+$CF13)^CU$6)/4</f>
        <v>0</v>
      </c>
      <c r="CV13" s="372">
        <f t="shared" si="13"/>
        <v>0</v>
      </c>
      <c r="CW13" s="372">
        <f t="shared" si="13"/>
        <v>0</v>
      </c>
      <c r="CX13" s="406">
        <f t="shared" si="13"/>
        <v>0</v>
      </c>
      <c r="CY13" s="405">
        <f t="shared" ref="CY13:DB20" si="14">(Y13*$CE13*(1+$CF13)^CY$6)/4</f>
        <v>0</v>
      </c>
      <c r="CZ13" s="372">
        <f t="shared" si="14"/>
        <v>0</v>
      </c>
      <c r="DA13" s="372">
        <f t="shared" si="14"/>
        <v>0</v>
      </c>
      <c r="DB13" s="406">
        <f t="shared" si="14"/>
        <v>0</v>
      </c>
      <c r="DC13" s="405">
        <f t="shared" ref="DC13:DF20" si="15">(AD13*$CE13*(1+$CF13)^DC$6)/4</f>
        <v>0</v>
      </c>
      <c r="DD13" s="372">
        <f t="shared" si="15"/>
        <v>0</v>
      </c>
      <c r="DE13" s="372">
        <f t="shared" si="15"/>
        <v>0</v>
      </c>
      <c r="DF13" s="668">
        <f t="shared" si="15"/>
        <v>0</v>
      </c>
      <c r="DG13" s="405">
        <f t="shared" ref="DG13:DJ20" si="16">(AI13*$CE13*(1+$CF13)^DG$6)/4</f>
        <v>0</v>
      </c>
      <c r="DH13" s="372">
        <f t="shared" si="16"/>
        <v>0</v>
      </c>
      <c r="DI13" s="372">
        <f t="shared" si="16"/>
        <v>0</v>
      </c>
      <c r="DJ13" s="668">
        <f t="shared" si="16"/>
        <v>0</v>
      </c>
      <c r="DK13" s="673">
        <f t="shared" ref="DK13:DN20" si="17">(AN13*$CE13*(1+$CF13)^DK$6)/4</f>
        <v>0</v>
      </c>
      <c r="DL13" s="671">
        <f t="shared" si="17"/>
        <v>0</v>
      </c>
      <c r="DM13" s="671">
        <f t="shared" si="17"/>
        <v>0</v>
      </c>
      <c r="DN13" s="668">
        <f t="shared" si="17"/>
        <v>0</v>
      </c>
      <c r="DO13" s="673">
        <f t="shared" ref="DO13:DR20" si="18">(AS13*$CE13*(1+$CF13)^DO$6)/4</f>
        <v>96.162962826755461</v>
      </c>
      <c r="DP13" s="671">
        <f t="shared" si="18"/>
        <v>115.39555539210654</v>
      </c>
      <c r="DQ13" s="671">
        <f t="shared" si="18"/>
        <v>153.86074052280873</v>
      </c>
      <c r="DR13" s="668">
        <f t="shared" si="18"/>
        <v>153.86074052280873</v>
      </c>
      <c r="DS13" s="673">
        <f t="shared" ref="DS13:DV20" si="19">(AX13*$CE13*(1+$CF13)^DS$6)/4</f>
        <v>274.64142183321354</v>
      </c>
      <c r="DT13" s="671">
        <f t="shared" si="19"/>
        <v>274.64142183321354</v>
      </c>
      <c r="DU13" s="671">
        <f t="shared" si="19"/>
        <v>274.64142183321354</v>
      </c>
      <c r="DV13" s="668">
        <f t="shared" si="19"/>
        <v>274.64142183321354</v>
      </c>
      <c r="DW13" s="673">
        <f t="shared" ref="DW13:DZ20" si="20">(BC13*$CE13*(1+$CF13)^DW$6)/4</f>
        <v>200.09589304991275</v>
      </c>
      <c r="DX13" s="671">
        <f t="shared" si="20"/>
        <v>200.09589304991275</v>
      </c>
      <c r="DY13" s="671">
        <f t="shared" si="20"/>
        <v>200.09589304991275</v>
      </c>
      <c r="DZ13" s="668">
        <f t="shared" si="20"/>
        <v>200.09589304991275</v>
      </c>
      <c r="EA13" s="673">
        <f t="shared" ref="EA13:ED20" si="21">(BH13*$CE13*(1+$CF13)^EA$6)/4</f>
        <v>122.45868654654659</v>
      </c>
      <c r="EB13" s="671">
        <f t="shared" si="21"/>
        <v>122.45868654654659</v>
      </c>
      <c r="EC13" s="671">
        <f t="shared" si="21"/>
        <v>122.45868654654659</v>
      </c>
      <c r="ED13" s="668">
        <f t="shared" si="21"/>
        <v>122.45868654654659</v>
      </c>
      <c r="EE13" s="673">
        <f t="shared" ref="EE13:EH20" si="22">(BM13*$CE13*(1+$CF13)^EE$6)/4</f>
        <v>41.635953425825839</v>
      </c>
      <c r="EF13" s="671">
        <f t="shared" si="22"/>
        <v>41.635953425825839</v>
      </c>
      <c r="EG13" s="671">
        <f t="shared" si="22"/>
        <v>41.635953425825839</v>
      </c>
      <c r="EH13" s="668">
        <f t="shared" si="22"/>
        <v>41.635953425825839</v>
      </c>
      <c r="EI13" s="673">
        <f t="shared" ref="EI13:EL20" si="23">(BR13*$CE13*(1+$CF13)^EI$6)/4</f>
        <v>0</v>
      </c>
      <c r="EJ13" s="671">
        <f t="shared" si="23"/>
        <v>0</v>
      </c>
      <c r="EK13" s="671">
        <f t="shared" si="23"/>
        <v>0</v>
      </c>
      <c r="EL13" s="668">
        <f t="shared" si="23"/>
        <v>0</v>
      </c>
      <c r="EM13" s="416">
        <f t="shared" ref="EM13:EQ20" si="24">(BW13*$CE13*(1+$CF13)^EM$6)</f>
        <v>0</v>
      </c>
      <c r="EN13" s="416">
        <f t="shared" si="24"/>
        <v>0</v>
      </c>
      <c r="EO13" s="416">
        <f t="shared" si="24"/>
        <v>0</v>
      </c>
      <c r="EP13" s="416">
        <f t="shared" si="24"/>
        <v>0</v>
      </c>
      <c r="EQ13" s="416">
        <f t="shared" si="24"/>
        <v>0</v>
      </c>
      <c r="EU13" s="416">
        <f t="shared" ref="EU13:EU20" si="25">SUM(CI13:CL13)</f>
        <v>0</v>
      </c>
      <c r="EV13" s="416">
        <f t="shared" ref="EV13:EV20" si="26">SUM(CM13:CP13)</f>
        <v>0</v>
      </c>
      <c r="EW13" s="416">
        <f t="shared" ref="EW13:EW20" si="27">SUM(CQ13:CT13)</f>
        <v>0</v>
      </c>
      <c r="EX13" s="416">
        <f t="shared" ref="EX13:EX20" si="28">SUM(CU13:CX13)</f>
        <v>0</v>
      </c>
      <c r="EY13" s="416">
        <f t="shared" ref="EY13:EY20" si="29">SUM(CY13:DB13)</f>
        <v>0</v>
      </c>
      <c r="EZ13" s="416">
        <f t="shared" ref="EZ13:EZ20" si="30">SUM(DC13:DF13)</f>
        <v>0</v>
      </c>
      <c r="FA13" s="416">
        <f t="shared" ref="FA13:FA20" si="31">SUM(DG13:DJ13)</f>
        <v>0</v>
      </c>
      <c r="FB13" s="416">
        <f t="shared" ref="FB13:FB20" si="32">SUM(DK13:DN13)</f>
        <v>0</v>
      </c>
      <c r="FC13" s="416">
        <f t="shared" ref="FC13:FC20" si="33">SUM(DO13:DR13)</f>
        <v>519.27999926447944</v>
      </c>
      <c r="FD13" s="416">
        <f t="shared" ref="FD13:FD20" si="34">SUM(DS13:DV13)</f>
        <v>1098.5656873328542</v>
      </c>
      <c r="FE13" s="416">
        <f t="shared" ref="FE13:FE20" si="35">SUM(DW13:DZ13)</f>
        <v>800.38357219965098</v>
      </c>
      <c r="FF13" s="416">
        <f t="shared" ref="FF13:FF20" si="36">SUM(EA13:ED13)</f>
        <v>489.83474618618635</v>
      </c>
      <c r="FG13" s="416">
        <f>SUM(EE13:EH13)</f>
        <v>166.54381370330336</v>
      </c>
      <c r="FH13" s="416">
        <f>SUM(EI13:EL13)</f>
        <v>0</v>
      </c>
      <c r="FI13" s="416">
        <f>EM13</f>
        <v>0</v>
      </c>
      <c r="FJ13" s="416">
        <f>EN13</f>
        <v>0</v>
      </c>
      <c r="FK13" s="416">
        <f>EO13</f>
        <v>0</v>
      </c>
      <c r="FL13" s="416">
        <f t="shared" ref="FL13:FM20" si="37">EP13</f>
        <v>0</v>
      </c>
      <c r="FM13" s="416">
        <f t="shared" si="37"/>
        <v>0</v>
      </c>
      <c r="FP13" s="416">
        <f>SUMIF(CI$5:CL$5,TRUE,CI13:CL13)</f>
        <v>0</v>
      </c>
      <c r="FQ13" s="416">
        <f t="shared" ref="FQ13:FQ20" si="38">SUMIF(CM$5:CP$5,TRUE,CM13:CP13)</f>
        <v>0</v>
      </c>
      <c r="FR13" s="416">
        <f t="shared" ref="FR13:FR20" si="39">SUMIF(CQ$5:CT$5,TRUE,CQ13:CT13)</f>
        <v>0</v>
      </c>
      <c r="FS13" s="416">
        <f t="shared" ref="FS13:FS20" si="40">SUMIF(CU$5:CX$5,TRUE,CU13:CX13)</f>
        <v>0</v>
      </c>
      <c r="FT13" s="416">
        <f t="shared" ref="FT13:FT20" si="41">SUMIF(CY$5:DB$5,TRUE,CY13:DB13)</f>
        <v>0</v>
      </c>
      <c r="FU13" s="416">
        <f t="shared" ref="FU13:FU20" si="42">SUMIF(DC$5:DF$5,TRUE,DC13:DF13)</f>
        <v>0</v>
      </c>
      <c r="FV13" s="416">
        <f t="shared" ref="FV13:FV20" si="43">SUMIF(DG$5:DJ$5,TRUE,DG13:DJ13)</f>
        <v>0</v>
      </c>
      <c r="FW13" s="416">
        <f t="shared" ref="FW13:FW20" si="44">SUMIF(DK$5:DN$5,TRUE,DK13:DN13)</f>
        <v>0</v>
      </c>
      <c r="FX13" s="416">
        <f t="shared" ref="FX13:FX20" si="45">SUMIF(DO$5:DR$5,TRUE,DO13:DR13)</f>
        <v>153.86074052280873</v>
      </c>
      <c r="FY13" s="416">
        <f t="shared" ref="FY13:FY20" si="46">SUMIF(DS$5:DV$5,TRUE,DS13:DV13)</f>
        <v>1098.5656873328542</v>
      </c>
      <c r="FZ13" s="416">
        <f t="shared" ref="FZ13:FZ20" si="47">SUMIF(DW$5:DZ$5,TRUE,DW13:DZ13)</f>
        <v>800.38357219965098</v>
      </c>
      <c r="GA13" s="416">
        <f t="shared" ref="GA13:GA20" si="48">SUMIF(EA$5:ED$5,TRUE,EA13:ED13)</f>
        <v>489.83474618618635</v>
      </c>
      <c r="GB13" s="416">
        <f>SUMIF(EE$5:EH$5,TRUE,EE13:EH13)</f>
        <v>166.54381370330336</v>
      </c>
      <c r="GC13" s="416">
        <f>SUMIF(EE$5:EH$5,TRUE,EE13:EH13)</f>
        <v>166.54381370330336</v>
      </c>
      <c r="GD13" s="416">
        <f>IF(EM$5,EM13,0)</f>
        <v>0</v>
      </c>
      <c r="GE13" s="416">
        <f>IF(EN$5,EN13,0)</f>
        <v>0</v>
      </c>
      <c r="GF13" s="416">
        <f>IF(EO$5,EO13,0)</f>
        <v>0</v>
      </c>
      <c r="GG13" s="416">
        <f t="shared" ref="GG13:GH20" si="49">IF(EP$5,EP13,0)</f>
        <v>0</v>
      </c>
      <c r="GH13" s="416">
        <f t="shared" si="49"/>
        <v>0</v>
      </c>
    </row>
    <row r="14" spans="1:190" s="138" customFormat="1" outlineLevel="1" x14ac:dyDescent="0.25">
      <c r="A14" s="361"/>
      <c r="B14" s="368" t="s">
        <v>293</v>
      </c>
      <c r="C14" s="368"/>
      <c r="D14" s="368"/>
      <c r="E14" s="386"/>
      <c r="F14" s="369"/>
      <c r="G14" s="369"/>
      <c r="H14" s="369"/>
      <c r="I14" s="357">
        <f t="shared" ref="I14:I20" si="50">SUM(E14:H14)/4</f>
        <v>0</v>
      </c>
      <c r="J14" s="386"/>
      <c r="K14" s="369"/>
      <c r="L14" s="369"/>
      <c r="M14" s="369"/>
      <c r="N14" s="357">
        <f t="shared" ref="N14:N21" si="51">SUM(J14:M14)/4</f>
        <v>0</v>
      </c>
      <c r="O14" s="386"/>
      <c r="P14" s="369"/>
      <c r="Q14" s="369"/>
      <c r="R14" s="369"/>
      <c r="S14" s="357">
        <f t="shared" ref="S14:S21" si="52">SUM(O14:R14)/4</f>
        <v>0</v>
      </c>
      <c r="T14" s="386"/>
      <c r="U14" s="369"/>
      <c r="V14" s="369"/>
      <c r="W14" s="369"/>
      <c r="X14" s="357">
        <f t="shared" ref="X14:X21" si="53">SUM(T14:W14)/4</f>
        <v>0</v>
      </c>
      <c r="Y14" s="386"/>
      <c r="Z14" s="369"/>
      <c r="AA14" s="369"/>
      <c r="AB14" s="369"/>
      <c r="AC14" s="357">
        <f t="shared" ref="AC14:AC21" si="54">SUM(Y14:AB14)/4</f>
        <v>0</v>
      </c>
      <c r="AD14" s="386"/>
      <c r="AE14" s="369"/>
      <c r="AF14" s="369"/>
      <c r="AG14" s="369"/>
      <c r="AH14" s="357">
        <f t="shared" ref="AH14:AH21" si="55">SUM(AD14:AG14)/4</f>
        <v>0</v>
      </c>
      <c r="AI14" s="386"/>
      <c r="AJ14" s="369"/>
      <c r="AK14" s="369"/>
      <c r="AL14" s="369"/>
      <c r="AM14" s="357">
        <f t="shared" ref="AM14:AM21" si="56">SUM(AI14:AL14)/4</f>
        <v>0</v>
      </c>
      <c r="AN14" s="386"/>
      <c r="AO14" s="369"/>
      <c r="AP14" s="369"/>
      <c r="AQ14" s="369"/>
      <c r="AR14" s="357">
        <f t="shared" si="4"/>
        <v>0</v>
      </c>
      <c r="AS14" s="386"/>
      <c r="AT14" s="369"/>
      <c r="AU14" s="369"/>
      <c r="AV14" s="369"/>
      <c r="AW14" s="357">
        <f t="shared" si="5"/>
        <v>0</v>
      </c>
      <c r="AX14" s="386">
        <v>1.5</v>
      </c>
      <c r="AY14" s="369">
        <v>1.5</v>
      </c>
      <c r="AZ14" s="369">
        <v>1.5</v>
      </c>
      <c r="BA14" s="369">
        <v>1.5</v>
      </c>
      <c r="BB14" s="357">
        <f t="shared" si="6"/>
        <v>1.5</v>
      </c>
      <c r="BC14" s="386">
        <v>1.5</v>
      </c>
      <c r="BD14" s="386">
        <v>1.5</v>
      </c>
      <c r="BE14" s="386">
        <v>1.5</v>
      </c>
      <c r="BF14" s="386">
        <v>1.5</v>
      </c>
      <c r="BG14" s="357">
        <f t="shared" si="7"/>
        <v>1.5</v>
      </c>
      <c r="BH14" s="386">
        <v>1</v>
      </c>
      <c r="BI14" s="386">
        <v>1</v>
      </c>
      <c r="BJ14" s="386">
        <v>1</v>
      </c>
      <c r="BK14" s="386">
        <v>1</v>
      </c>
      <c r="BL14" s="357">
        <f t="shared" si="8"/>
        <v>1</v>
      </c>
      <c r="BM14" s="386"/>
      <c r="BN14" s="369"/>
      <c r="BO14" s="369"/>
      <c r="BP14" s="369"/>
      <c r="BQ14" s="964">
        <f t="shared" si="9"/>
        <v>0</v>
      </c>
      <c r="BR14" s="386"/>
      <c r="BS14" s="369"/>
      <c r="BT14" s="369"/>
      <c r="BU14" s="369"/>
      <c r="BV14" s="964">
        <f t="shared" si="10"/>
        <v>0</v>
      </c>
      <c r="BW14" s="463"/>
      <c r="BX14" s="463"/>
      <c r="BY14" s="463"/>
      <c r="BZ14" s="463"/>
      <c r="CA14" s="463"/>
      <c r="CB14" s="1006"/>
      <c r="CC14" s="978">
        <v>165</v>
      </c>
      <c r="CD14" s="371">
        <v>0.02</v>
      </c>
      <c r="CE14" s="979">
        <v>157.65330666666665</v>
      </c>
      <c r="CF14" s="906">
        <v>0.02</v>
      </c>
      <c r="CG14" s="979">
        <v>157.65330666666665</v>
      </c>
      <c r="CH14" s="906">
        <v>0.02</v>
      </c>
      <c r="CI14" s="405">
        <f t="shared" si="11"/>
        <v>0</v>
      </c>
      <c r="CJ14" s="372">
        <f t="shared" si="11"/>
        <v>0</v>
      </c>
      <c r="CK14" s="372">
        <f t="shared" si="11"/>
        <v>0</v>
      </c>
      <c r="CL14" s="406">
        <f t="shared" si="11"/>
        <v>0</v>
      </c>
      <c r="CM14" s="405">
        <f t="shared" ref="CM14:CM20" si="57">(J14*$CC14*(1+$CD14)^CM$6)/4</f>
        <v>0</v>
      </c>
      <c r="CN14" s="372">
        <f t="shared" ref="CN14:CN20" si="58">(K14*$CC14*(1+$CD14)^CN$6)/4</f>
        <v>0</v>
      </c>
      <c r="CO14" s="372">
        <f t="shared" ref="CO14:CO20" si="59">(L14*$CC14*(1+$CD14)^CO$6)/4</f>
        <v>0</v>
      </c>
      <c r="CP14" s="406">
        <f t="shared" ref="CP14:CP20" si="60">(M14*$CC14*(1+$CD14)^CP$6)/4</f>
        <v>0</v>
      </c>
      <c r="CQ14" s="405">
        <f t="shared" si="12"/>
        <v>0</v>
      </c>
      <c r="CR14" s="372">
        <f t="shared" si="12"/>
        <v>0</v>
      </c>
      <c r="CS14" s="372">
        <f t="shared" si="12"/>
        <v>0</v>
      </c>
      <c r="CT14" s="406">
        <f t="shared" si="12"/>
        <v>0</v>
      </c>
      <c r="CU14" s="405">
        <f t="shared" si="13"/>
        <v>0</v>
      </c>
      <c r="CV14" s="372">
        <f t="shared" si="13"/>
        <v>0</v>
      </c>
      <c r="CW14" s="372">
        <f t="shared" si="13"/>
        <v>0</v>
      </c>
      <c r="CX14" s="406">
        <f t="shared" si="13"/>
        <v>0</v>
      </c>
      <c r="CY14" s="405">
        <f t="shared" si="14"/>
        <v>0</v>
      </c>
      <c r="CZ14" s="372">
        <f t="shared" si="14"/>
        <v>0</v>
      </c>
      <c r="DA14" s="372">
        <f t="shared" si="14"/>
        <v>0</v>
      </c>
      <c r="DB14" s="406">
        <f t="shared" si="14"/>
        <v>0</v>
      </c>
      <c r="DC14" s="405">
        <f t="shared" si="15"/>
        <v>0</v>
      </c>
      <c r="DD14" s="372">
        <f t="shared" si="15"/>
        <v>0</v>
      </c>
      <c r="DE14" s="372">
        <f t="shared" si="15"/>
        <v>0</v>
      </c>
      <c r="DF14" s="668">
        <f t="shared" si="15"/>
        <v>0</v>
      </c>
      <c r="DG14" s="405">
        <f t="shared" si="16"/>
        <v>0</v>
      </c>
      <c r="DH14" s="372">
        <f t="shared" si="16"/>
        <v>0</v>
      </c>
      <c r="DI14" s="372">
        <f t="shared" si="16"/>
        <v>0</v>
      </c>
      <c r="DJ14" s="668">
        <f t="shared" si="16"/>
        <v>0</v>
      </c>
      <c r="DK14" s="673">
        <f t="shared" si="17"/>
        <v>0</v>
      </c>
      <c r="DL14" s="671">
        <f t="shared" si="17"/>
        <v>0</v>
      </c>
      <c r="DM14" s="671">
        <f t="shared" si="17"/>
        <v>0</v>
      </c>
      <c r="DN14" s="668">
        <f t="shared" si="17"/>
        <v>0</v>
      </c>
      <c r="DO14" s="673">
        <f t="shared" si="18"/>
        <v>0</v>
      </c>
      <c r="DP14" s="671">
        <f t="shared" si="18"/>
        <v>0</v>
      </c>
      <c r="DQ14" s="671">
        <f t="shared" si="18"/>
        <v>0</v>
      </c>
      <c r="DR14" s="668">
        <f t="shared" si="18"/>
        <v>0</v>
      </c>
      <c r="DS14" s="673">
        <f t="shared" si="19"/>
        <v>67.910285184568735</v>
      </c>
      <c r="DT14" s="671">
        <f t="shared" si="19"/>
        <v>67.910285184568735</v>
      </c>
      <c r="DU14" s="671">
        <f t="shared" si="19"/>
        <v>67.910285184568735</v>
      </c>
      <c r="DV14" s="668">
        <f t="shared" si="19"/>
        <v>67.910285184568735</v>
      </c>
      <c r="DW14" s="673">
        <f t="shared" si="20"/>
        <v>69.268490888260118</v>
      </c>
      <c r="DX14" s="671">
        <f t="shared" si="20"/>
        <v>69.268490888260118</v>
      </c>
      <c r="DY14" s="671">
        <f t="shared" si="20"/>
        <v>69.268490888260118</v>
      </c>
      <c r="DZ14" s="668">
        <f t="shared" si="20"/>
        <v>69.268490888260118</v>
      </c>
      <c r="EA14" s="673">
        <f t="shared" si="21"/>
        <v>47.102573804016885</v>
      </c>
      <c r="EB14" s="671">
        <f t="shared" si="21"/>
        <v>47.102573804016885</v>
      </c>
      <c r="EC14" s="671">
        <f t="shared" si="21"/>
        <v>47.102573804016885</v>
      </c>
      <c r="ED14" s="668">
        <f t="shared" si="21"/>
        <v>47.102573804016885</v>
      </c>
      <c r="EE14" s="673">
        <f t="shared" si="22"/>
        <v>0</v>
      </c>
      <c r="EF14" s="671">
        <f t="shared" si="22"/>
        <v>0</v>
      </c>
      <c r="EG14" s="671">
        <f t="shared" si="22"/>
        <v>0</v>
      </c>
      <c r="EH14" s="668">
        <f t="shared" si="22"/>
        <v>0</v>
      </c>
      <c r="EI14" s="673">
        <f t="shared" si="23"/>
        <v>0</v>
      </c>
      <c r="EJ14" s="671">
        <f t="shared" si="23"/>
        <v>0</v>
      </c>
      <c r="EK14" s="671">
        <f t="shared" si="23"/>
        <v>0</v>
      </c>
      <c r="EL14" s="668">
        <f t="shared" si="23"/>
        <v>0</v>
      </c>
      <c r="EM14" s="416">
        <f t="shared" si="24"/>
        <v>0</v>
      </c>
      <c r="EN14" s="416">
        <f t="shared" si="24"/>
        <v>0</v>
      </c>
      <c r="EO14" s="416">
        <f t="shared" si="24"/>
        <v>0</v>
      </c>
      <c r="EP14" s="416">
        <f t="shared" si="24"/>
        <v>0</v>
      </c>
      <c r="EQ14" s="416">
        <f t="shared" si="24"/>
        <v>0</v>
      </c>
      <c r="EU14" s="416">
        <f t="shared" si="25"/>
        <v>0</v>
      </c>
      <c r="EV14" s="416">
        <f t="shared" si="26"/>
        <v>0</v>
      </c>
      <c r="EW14" s="416">
        <f t="shared" si="27"/>
        <v>0</v>
      </c>
      <c r="EX14" s="416">
        <f t="shared" si="28"/>
        <v>0</v>
      </c>
      <c r="EY14" s="416">
        <f t="shared" si="29"/>
        <v>0</v>
      </c>
      <c r="EZ14" s="416">
        <f t="shared" si="30"/>
        <v>0</v>
      </c>
      <c r="FA14" s="416">
        <f t="shared" si="31"/>
        <v>0</v>
      </c>
      <c r="FB14" s="416">
        <f t="shared" si="32"/>
        <v>0</v>
      </c>
      <c r="FC14" s="416">
        <f t="shared" si="33"/>
        <v>0</v>
      </c>
      <c r="FD14" s="416">
        <f t="shared" si="34"/>
        <v>271.64114073827494</v>
      </c>
      <c r="FE14" s="416">
        <f t="shared" si="35"/>
        <v>277.07396355304047</v>
      </c>
      <c r="FF14" s="416">
        <f t="shared" si="36"/>
        <v>188.41029521606754</v>
      </c>
      <c r="FG14" s="416">
        <f t="shared" ref="FG14:FG20" si="61">SUM(EE14:EH14)</f>
        <v>0</v>
      </c>
      <c r="FH14" s="416">
        <f t="shared" ref="FH14:FH20" si="62">SUM(EI14:EL14)</f>
        <v>0</v>
      </c>
      <c r="FI14" s="416">
        <f t="shared" ref="FI14:FI20" si="63">EM14</f>
        <v>0</v>
      </c>
      <c r="FJ14" s="416">
        <f t="shared" ref="FJ14:FK20" si="64">EN14</f>
        <v>0</v>
      </c>
      <c r="FK14" s="416">
        <f t="shared" si="64"/>
        <v>0</v>
      </c>
      <c r="FL14" s="416">
        <f t="shared" si="37"/>
        <v>0</v>
      </c>
      <c r="FM14" s="416">
        <f t="shared" si="37"/>
        <v>0</v>
      </c>
      <c r="FP14" s="416">
        <f t="shared" ref="FP14:FP20" si="65">SUMIF(CI$5:CL$5,TRUE,CI14:CL14)</f>
        <v>0</v>
      </c>
      <c r="FQ14" s="416">
        <f t="shared" si="38"/>
        <v>0</v>
      </c>
      <c r="FR14" s="416">
        <f t="shared" si="39"/>
        <v>0</v>
      </c>
      <c r="FS14" s="416">
        <f t="shared" si="40"/>
        <v>0</v>
      </c>
      <c r="FT14" s="416">
        <f t="shared" si="41"/>
        <v>0</v>
      </c>
      <c r="FU14" s="416">
        <f t="shared" si="42"/>
        <v>0</v>
      </c>
      <c r="FV14" s="416">
        <f t="shared" si="43"/>
        <v>0</v>
      </c>
      <c r="FW14" s="416">
        <f t="shared" si="44"/>
        <v>0</v>
      </c>
      <c r="FX14" s="416">
        <f t="shared" si="45"/>
        <v>0</v>
      </c>
      <c r="FY14" s="416">
        <f t="shared" si="46"/>
        <v>271.64114073827494</v>
      </c>
      <c r="FZ14" s="416">
        <f t="shared" si="47"/>
        <v>277.07396355304047</v>
      </c>
      <c r="GA14" s="416">
        <f t="shared" si="48"/>
        <v>188.41029521606754</v>
      </c>
      <c r="GB14" s="416">
        <f t="shared" ref="GB14:GB20" si="66">SUMIF(EE$5:EH$5,TRUE,EE14:EH14)</f>
        <v>0</v>
      </c>
      <c r="GC14" s="416">
        <f t="shared" ref="GC14:GC20" si="67">SUMIF(EE$5:EH$5,TRUE,EE14:EH14)</f>
        <v>0</v>
      </c>
      <c r="GD14" s="416">
        <f t="shared" ref="GD14:GD20" si="68">IF(EM$5,EM14,0)</f>
        <v>0</v>
      </c>
      <c r="GE14" s="416">
        <f t="shared" ref="GE14:GF20" si="69">IF(EN$5,EN14,0)</f>
        <v>0</v>
      </c>
      <c r="GF14" s="416">
        <f t="shared" si="69"/>
        <v>0</v>
      </c>
      <c r="GG14" s="416">
        <f t="shared" si="49"/>
        <v>0</v>
      </c>
      <c r="GH14" s="416">
        <f t="shared" si="49"/>
        <v>0</v>
      </c>
    </row>
    <row r="15" spans="1:190" s="138" customFormat="1" outlineLevel="1" x14ac:dyDescent="0.25">
      <c r="A15" s="361"/>
      <c r="B15" s="368" t="s">
        <v>414</v>
      </c>
      <c r="C15" s="368"/>
      <c r="D15" s="368"/>
      <c r="E15" s="386"/>
      <c r="F15" s="369"/>
      <c r="G15" s="369"/>
      <c r="H15" s="369"/>
      <c r="I15" s="357">
        <f t="shared" si="50"/>
        <v>0</v>
      </c>
      <c r="J15" s="386"/>
      <c r="K15" s="369"/>
      <c r="L15" s="369"/>
      <c r="M15" s="369"/>
      <c r="N15" s="357">
        <f t="shared" si="51"/>
        <v>0</v>
      </c>
      <c r="O15" s="386"/>
      <c r="P15" s="369"/>
      <c r="Q15" s="369"/>
      <c r="R15" s="369"/>
      <c r="S15" s="357">
        <f t="shared" si="52"/>
        <v>0</v>
      </c>
      <c r="T15" s="386"/>
      <c r="U15" s="369"/>
      <c r="V15" s="369"/>
      <c r="W15" s="369"/>
      <c r="X15" s="357">
        <f t="shared" si="53"/>
        <v>0</v>
      </c>
      <c r="Y15" s="386"/>
      <c r="Z15" s="369"/>
      <c r="AA15" s="369"/>
      <c r="AB15" s="369"/>
      <c r="AC15" s="357">
        <f t="shared" si="54"/>
        <v>0</v>
      </c>
      <c r="AD15" s="386"/>
      <c r="AE15" s="369"/>
      <c r="AF15" s="369"/>
      <c r="AG15" s="369"/>
      <c r="AH15" s="357">
        <f t="shared" si="55"/>
        <v>0</v>
      </c>
      <c r="AI15" s="386"/>
      <c r="AJ15" s="369"/>
      <c r="AK15" s="369"/>
      <c r="AL15" s="369"/>
      <c r="AM15" s="357">
        <f t="shared" si="56"/>
        <v>0</v>
      </c>
      <c r="AN15" s="386"/>
      <c r="AO15" s="369"/>
      <c r="AP15" s="369"/>
      <c r="AQ15" s="369"/>
      <c r="AR15" s="357">
        <f t="shared" si="4"/>
        <v>0</v>
      </c>
      <c r="AS15" s="386"/>
      <c r="AT15" s="369"/>
      <c r="AU15" s="369"/>
      <c r="AV15" s="369"/>
      <c r="AW15" s="357">
        <f t="shared" si="5"/>
        <v>0</v>
      </c>
      <c r="AX15" s="386">
        <v>2</v>
      </c>
      <c r="AY15" s="386">
        <v>2</v>
      </c>
      <c r="AZ15" s="386">
        <v>2</v>
      </c>
      <c r="BA15" s="386">
        <v>2</v>
      </c>
      <c r="BB15" s="357">
        <f t="shared" si="6"/>
        <v>2</v>
      </c>
      <c r="BC15" s="386">
        <v>3.5</v>
      </c>
      <c r="BD15" s="386">
        <v>3.5</v>
      </c>
      <c r="BE15" s="386">
        <v>3.5</v>
      </c>
      <c r="BF15" s="386">
        <v>3.5</v>
      </c>
      <c r="BG15" s="357">
        <f t="shared" si="7"/>
        <v>3.5</v>
      </c>
      <c r="BH15" s="386">
        <v>5</v>
      </c>
      <c r="BI15" s="386">
        <v>5</v>
      </c>
      <c r="BJ15" s="386">
        <v>5</v>
      </c>
      <c r="BK15" s="386">
        <v>5</v>
      </c>
      <c r="BL15" s="357">
        <f t="shared" si="8"/>
        <v>5</v>
      </c>
      <c r="BM15" s="386"/>
      <c r="BN15" s="369"/>
      <c r="BO15" s="369"/>
      <c r="BP15" s="369"/>
      <c r="BQ15" s="964">
        <f t="shared" si="9"/>
        <v>0</v>
      </c>
      <c r="BR15" s="386"/>
      <c r="BS15" s="369"/>
      <c r="BT15" s="369"/>
      <c r="BU15" s="369"/>
      <c r="BV15" s="964">
        <f t="shared" si="10"/>
        <v>0</v>
      </c>
      <c r="BW15" s="463"/>
      <c r="BX15" s="463"/>
      <c r="BY15" s="463"/>
      <c r="BZ15" s="463"/>
      <c r="CA15" s="463"/>
      <c r="CB15" s="370"/>
      <c r="CC15" s="395">
        <v>140</v>
      </c>
      <c r="CD15" s="371">
        <v>0.02</v>
      </c>
      <c r="CE15" s="979">
        <v>146.6985</v>
      </c>
      <c r="CF15" s="906">
        <v>0.02</v>
      </c>
      <c r="CG15" s="979">
        <v>146.6985</v>
      </c>
      <c r="CH15" s="906">
        <v>0.02</v>
      </c>
      <c r="CI15" s="405">
        <f t="shared" si="11"/>
        <v>0</v>
      </c>
      <c r="CJ15" s="372">
        <f t="shared" si="11"/>
        <v>0</v>
      </c>
      <c r="CK15" s="372">
        <f t="shared" si="11"/>
        <v>0</v>
      </c>
      <c r="CL15" s="406">
        <f t="shared" si="11"/>
        <v>0</v>
      </c>
      <c r="CM15" s="405">
        <f t="shared" si="57"/>
        <v>0</v>
      </c>
      <c r="CN15" s="372">
        <f t="shared" si="58"/>
        <v>0</v>
      </c>
      <c r="CO15" s="372">
        <f t="shared" si="59"/>
        <v>0</v>
      </c>
      <c r="CP15" s="406">
        <f t="shared" si="60"/>
        <v>0</v>
      </c>
      <c r="CQ15" s="405">
        <f t="shared" si="12"/>
        <v>0</v>
      </c>
      <c r="CR15" s="372">
        <f t="shared" si="12"/>
        <v>0</v>
      </c>
      <c r="CS15" s="372">
        <f t="shared" si="12"/>
        <v>0</v>
      </c>
      <c r="CT15" s="406">
        <f t="shared" si="12"/>
        <v>0</v>
      </c>
      <c r="CU15" s="405">
        <f t="shared" si="13"/>
        <v>0</v>
      </c>
      <c r="CV15" s="372">
        <f t="shared" si="13"/>
        <v>0</v>
      </c>
      <c r="CW15" s="372">
        <f t="shared" si="13"/>
        <v>0</v>
      </c>
      <c r="CX15" s="406">
        <f t="shared" si="13"/>
        <v>0</v>
      </c>
      <c r="CY15" s="405">
        <f t="shared" si="14"/>
        <v>0</v>
      </c>
      <c r="CZ15" s="372">
        <f t="shared" si="14"/>
        <v>0</v>
      </c>
      <c r="DA15" s="372">
        <f t="shared" si="14"/>
        <v>0</v>
      </c>
      <c r="DB15" s="406">
        <f t="shared" si="14"/>
        <v>0</v>
      </c>
      <c r="DC15" s="405">
        <f t="shared" si="15"/>
        <v>0</v>
      </c>
      <c r="DD15" s="372">
        <f t="shared" si="15"/>
        <v>0</v>
      </c>
      <c r="DE15" s="372">
        <f t="shared" si="15"/>
        <v>0</v>
      </c>
      <c r="DF15" s="668">
        <f t="shared" si="15"/>
        <v>0</v>
      </c>
      <c r="DG15" s="405">
        <f t="shared" si="16"/>
        <v>0</v>
      </c>
      <c r="DH15" s="372">
        <f t="shared" si="16"/>
        <v>0</v>
      </c>
      <c r="DI15" s="372">
        <f t="shared" si="16"/>
        <v>0</v>
      </c>
      <c r="DJ15" s="668">
        <f t="shared" si="16"/>
        <v>0</v>
      </c>
      <c r="DK15" s="673">
        <f t="shared" si="17"/>
        <v>0</v>
      </c>
      <c r="DL15" s="671">
        <f t="shared" si="17"/>
        <v>0</v>
      </c>
      <c r="DM15" s="671">
        <f t="shared" si="17"/>
        <v>0</v>
      </c>
      <c r="DN15" s="668">
        <f t="shared" si="17"/>
        <v>0</v>
      </c>
      <c r="DO15" s="673">
        <f t="shared" si="18"/>
        <v>0</v>
      </c>
      <c r="DP15" s="671">
        <f t="shared" si="18"/>
        <v>0</v>
      </c>
      <c r="DQ15" s="671">
        <f t="shared" si="18"/>
        <v>0</v>
      </c>
      <c r="DR15" s="668">
        <f t="shared" si="18"/>
        <v>0</v>
      </c>
      <c r="DS15" s="673">
        <f t="shared" si="19"/>
        <v>84.255232207823937</v>
      </c>
      <c r="DT15" s="671">
        <f t="shared" si="19"/>
        <v>84.255232207823937</v>
      </c>
      <c r="DU15" s="671">
        <f t="shared" si="19"/>
        <v>84.255232207823937</v>
      </c>
      <c r="DV15" s="668">
        <f t="shared" si="19"/>
        <v>84.255232207823937</v>
      </c>
      <c r="DW15" s="673">
        <f t="shared" si="20"/>
        <v>150.39558949096573</v>
      </c>
      <c r="DX15" s="671">
        <f t="shared" si="20"/>
        <v>150.39558949096573</v>
      </c>
      <c r="DY15" s="671">
        <f t="shared" si="20"/>
        <v>150.39558949096573</v>
      </c>
      <c r="DZ15" s="668">
        <f t="shared" si="20"/>
        <v>150.39558949096573</v>
      </c>
      <c r="EA15" s="673">
        <f t="shared" si="21"/>
        <v>219.14785897255007</v>
      </c>
      <c r="EB15" s="671">
        <f t="shared" si="21"/>
        <v>219.14785897255007</v>
      </c>
      <c r="EC15" s="671">
        <f t="shared" si="21"/>
        <v>219.14785897255007</v>
      </c>
      <c r="ED15" s="668">
        <f t="shared" si="21"/>
        <v>219.14785897255007</v>
      </c>
      <c r="EE15" s="673">
        <f t="shared" si="22"/>
        <v>0</v>
      </c>
      <c r="EF15" s="671">
        <f t="shared" si="22"/>
        <v>0</v>
      </c>
      <c r="EG15" s="671">
        <f t="shared" si="22"/>
        <v>0</v>
      </c>
      <c r="EH15" s="668">
        <f t="shared" si="22"/>
        <v>0</v>
      </c>
      <c r="EI15" s="673">
        <f t="shared" si="23"/>
        <v>0</v>
      </c>
      <c r="EJ15" s="671">
        <f t="shared" si="23"/>
        <v>0</v>
      </c>
      <c r="EK15" s="671">
        <f t="shared" si="23"/>
        <v>0</v>
      </c>
      <c r="EL15" s="668">
        <f t="shared" si="23"/>
        <v>0</v>
      </c>
      <c r="EM15" s="416">
        <f t="shared" si="24"/>
        <v>0</v>
      </c>
      <c r="EN15" s="416">
        <f t="shared" si="24"/>
        <v>0</v>
      </c>
      <c r="EO15" s="416">
        <f t="shared" si="24"/>
        <v>0</v>
      </c>
      <c r="EP15" s="416">
        <f t="shared" si="24"/>
        <v>0</v>
      </c>
      <c r="EQ15" s="416">
        <f t="shared" si="24"/>
        <v>0</v>
      </c>
      <c r="EU15" s="416">
        <f t="shared" si="25"/>
        <v>0</v>
      </c>
      <c r="EV15" s="416">
        <f t="shared" si="26"/>
        <v>0</v>
      </c>
      <c r="EW15" s="416">
        <f t="shared" si="27"/>
        <v>0</v>
      </c>
      <c r="EX15" s="416">
        <f t="shared" si="28"/>
        <v>0</v>
      </c>
      <c r="EY15" s="416">
        <f t="shared" si="29"/>
        <v>0</v>
      </c>
      <c r="EZ15" s="416">
        <f t="shared" si="30"/>
        <v>0</v>
      </c>
      <c r="FA15" s="416">
        <f t="shared" si="31"/>
        <v>0</v>
      </c>
      <c r="FB15" s="416">
        <f t="shared" si="32"/>
        <v>0</v>
      </c>
      <c r="FC15" s="416">
        <f t="shared" si="33"/>
        <v>0</v>
      </c>
      <c r="FD15" s="416">
        <f t="shared" si="34"/>
        <v>337.02092883129575</v>
      </c>
      <c r="FE15" s="416">
        <f t="shared" si="35"/>
        <v>601.58235796386293</v>
      </c>
      <c r="FF15" s="416">
        <f t="shared" si="36"/>
        <v>876.59143589020027</v>
      </c>
      <c r="FG15" s="416">
        <f t="shared" si="61"/>
        <v>0</v>
      </c>
      <c r="FH15" s="416">
        <f t="shared" si="62"/>
        <v>0</v>
      </c>
      <c r="FI15" s="416">
        <f t="shared" si="63"/>
        <v>0</v>
      </c>
      <c r="FJ15" s="416">
        <f t="shared" si="64"/>
        <v>0</v>
      </c>
      <c r="FK15" s="416">
        <f t="shared" si="64"/>
        <v>0</v>
      </c>
      <c r="FL15" s="416">
        <f t="shared" si="37"/>
        <v>0</v>
      </c>
      <c r="FM15" s="416">
        <f t="shared" si="37"/>
        <v>0</v>
      </c>
      <c r="FP15" s="416">
        <f t="shared" si="65"/>
        <v>0</v>
      </c>
      <c r="FQ15" s="416">
        <f t="shared" si="38"/>
        <v>0</v>
      </c>
      <c r="FR15" s="416">
        <f t="shared" si="39"/>
        <v>0</v>
      </c>
      <c r="FS15" s="416">
        <f t="shared" si="40"/>
        <v>0</v>
      </c>
      <c r="FT15" s="416">
        <f t="shared" si="41"/>
        <v>0</v>
      </c>
      <c r="FU15" s="416">
        <f t="shared" si="42"/>
        <v>0</v>
      </c>
      <c r="FV15" s="416">
        <f t="shared" si="43"/>
        <v>0</v>
      </c>
      <c r="FW15" s="416">
        <f t="shared" si="44"/>
        <v>0</v>
      </c>
      <c r="FX15" s="416">
        <f t="shared" si="45"/>
        <v>0</v>
      </c>
      <c r="FY15" s="416">
        <f t="shared" si="46"/>
        <v>337.02092883129575</v>
      </c>
      <c r="FZ15" s="416">
        <f t="shared" si="47"/>
        <v>601.58235796386293</v>
      </c>
      <c r="GA15" s="416">
        <f t="shared" si="48"/>
        <v>876.59143589020027</v>
      </c>
      <c r="GB15" s="416">
        <f t="shared" si="66"/>
        <v>0</v>
      </c>
      <c r="GC15" s="416">
        <f t="shared" si="67"/>
        <v>0</v>
      </c>
      <c r="GD15" s="416">
        <f t="shared" si="68"/>
        <v>0</v>
      </c>
      <c r="GE15" s="416">
        <f t="shared" si="69"/>
        <v>0</v>
      </c>
      <c r="GF15" s="416">
        <f t="shared" si="69"/>
        <v>0</v>
      </c>
      <c r="GG15" s="416">
        <f t="shared" si="49"/>
        <v>0</v>
      </c>
      <c r="GH15" s="416">
        <f t="shared" si="49"/>
        <v>0</v>
      </c>
    </row>
    <row r="16" spans="1:190" s="138" customFormat="1" outlineLevel="1" x14ac:dyDescent="0.25">
      <c r="A16" s="361"/>
      <c r="B16" s="368" t="s">
        <v>452</v>
      </c>
      <c r="C16" s="368"/>
      <c r="D16" s="368"/>
      <c r="E16" s="386"/>
      <c r="F16" s="369"/>
      <c r="G16" s="369"/>
      <c r="H16" s="369"/>
      <c r="I16" s="357">
        <f t="shared" si="50"/>
        <v>0</v>
      </c>
      <c r="J16" s="386"/>
      <c r="K16" s="369"/>
      <c r="L16" s="369"/>
      <c r="M16" s="369"/>
      <c r="N16" s="357">
        <f t="shared" si="51"/>
        <v>0</v>
      </c>
      <c r="O16" s="386"/>
      <c r="P16" s="369"/>
      <c r="Q16" s="369"/>
      <c r="R16" s="369"/>
      <c r="S16" s="357">
        <f t="shared" si="52"/>
        <v>0</v>
      </c>
      <c r="T16" s="386"/>
      <c r="U16" s="369"/>
      <c r="V16" s="369"/>
      <c r="W16" s="369"/>
      <c r="X16" s="357">
        <f t="shared" si="53"/>
        <v>0</v>
      </c>
      <c r="Y16" s="386"/>
      <c r="Z16" s="369"/>
      <c r="AA16" s="369"/>
      <c r="AB16" s="369"/>
      <c r="AC16" s="357">
        <f t="shared" si="54"/>
        <v>0</v>
      </c>
      <c r="AD16" s="386"/>
      <c r="AE16" s="369"/>
      <c r="AF16" s="369"/>
      <c r="AG16" s="369"/>
      <c r="AH16" s="357">
        <f t="shared" si="55"/>
        <v>0</v>
      </c>
      <c r="AI16" s="386"/>
      <c r="AJ16" s="369"/>
      <c r="AK16" s="369"/>
      <c r="AL16" s="369"/>
      <c r="AM16" s="357">
        <f t="shared" si="56"/>
        <v>0</v>
      </c>
      <c r="AN16" s="386"/>
      <c r="AO16" s="369"/>
      <c r="AP16" s="369"/>
      <c r="AQ16" s="369"/>
      <c r="AR16" s="357">
        <f t="shared" si="4"/>
        <v>0</v>
      </c>
      <c r="AS16" s="386"/>
      <c r="AT16" s="369"/>
      <c r="AU16" s="369"/>
      <c r="AV16" s="369"/>
      <c r="AW16" s="357">
        <f t="shared" si="5"/>
        <v>0</v>
      </c>
      <c r="AX16" s="386"/>
      <c r="AY16" s="369"/>
      <c r="AZ16" s="369"/>
      <c r="BA16" s="369"/>
      <c r="BB16" s="357">
        <f t="shared" si="6"/>
        <v>0</v>
      </c>
      <c r="BC16" s="386"/>
      <c r="BD16" s="369"/>
      <c r="BE16" s="369"/>
      <c r="BF16" s="369"/>
      <c r="BG16" s="357">
        <f t="shared" si="7"/>
        <v>0</v>
      </c>
      <c r="BH16" s="386"/>
      <c r="BI16" s="369"/>
      <c r="BJ16" s="369"/>
      <c r="BK16" s="369"/>
      <c r="BL16" s="357">
        <f t="shared" si="8"/>
        <v>0</v>
      </c>
      <c r="BM16" s="386"/>
      <c r="BN16" s="369"/>
      <c r="BO16" s="369"/>
      <c r="BP16" s="369"/>
      <c r="BQ16" s="964">
        <f t="shared" si="9"/>
        <v>0</v>
      </c>
      <c r="BR16" s="386"/>
      <c r="BS16" s="369"/>
      <c r="BT16" s="369"/>
      <c r="BU16" s="369"/>
      <c r="BV16" s="964">
        <f t="shared" si="10"/>
        <v>0</v>
      </c>
      <c r="BW16" s="463"/>
      <c r="BX16" s="463"/>
      <c r="BY16" s="463"/>
      <c r="BZ16" s="463"/>
      <c r="CA16" s="463"/>
      <c r="CB16" s="370"/>
      <c r="CC16" s="395">
        <v>140</v>
      </c>
      <c r="CD16" s="371">
        <v>0.02</v>
      </c>
      <c r="CE16" s="979">
        <v>146.6985</v>
      </c>
      <c r="CF16" s="906">
        <v>0.02</v>
      </c>
      <c r="CG16" s="979">
        <v>146.6985</v>
      </c>
      <c r="CH16" s="906">
        <v>0.02</v>
      </c>
      <c r="CI16" s="405">
        <f t="shared" si="11"/>
        <v>0</v>
      </c>
      <c r="CJ16" s="372">
        <f t="shared" si="11"/>
        <v>0</v>
      </c>
      <c r="CK16" s="372">
        <f t="shared" si="11"/>
        <v>0</v>
      </c>
      <c r="CL16" s="406">
        <f t="shared" si="11"/>
        <v>0</v>
      </c>
      <c r="CM16" s="405">
        <f t="shared" si="57"/>
        <v>0</v>
      </c>
      <c r="CN16" s="372">
        <f t="shared" si="58"/>
        <v>0</v>
      </c>
      <c r="CO16" s="372">
        <f t="shared" si="59"/>
        <v>0</v>
      </c>
      <c r="CP16" s="406">
        <f t="shared" si="60"/>
        <v>0</v>
      </c>
      <c r="CQ16" s="405">
        <f t="shared" si="12"/>
        <v>0</v>
      </c>
      <c r="CR16" s="372">
        <f t="shared" si="12"/>
        <v>0</v>
      </c>
      <c r="CS16" s="372">
        <f t="shared" si="12"/>
        <v>0</v>
      </c>
      <c r="CT16" s="406">
        <f t="shared" si="12"/>
        <v>0</v>
      </c>
      <c r="CU16" s="405">
        <f t="shared" si="13"/>
        <v>0</v>
      </c>
      <c r="CV16" s="372">
        <f t="shared" si="13"/>
        <v>0</v>
      </c>
      <c r="CW16" s="372">
        <f t="shared" si="13"/>
        <v>0</v>
      </c>
      <c r="CX16" s="406">
        <f t="shared" si="13"/>
        <v>0</v>
      </c>
      <c r="CY16" s="405">
        <f t="shared" si="14"/>
        <v>0</v>
      </c>
      <c r="CZ16" s="372">
        <f t="shared" si="14"/>
        <v>0</v>
      </c>
      <c r="DA16" s="372">
        <f t="shared" si="14"/>
        <v>0</v>
      </c>
      <c r="DB16" s="406">
        <f t="shared" si="14"/>
        <v>0</v>
      </c>
      <c r="DC16" s="405">
        <f t="shared" si="15"/>
        <v>0</v>
      </c>
      <c r="DD16" s="372">
        <f t="shared" si="15"/>
        <v>0</v>
      </c>
      <c r="DE16" s="372">
        <f t="shared" si="15"/>
        <v>0</v>
      </c>
      <c r="DF16" s="668">
        <f t="shared" si="15"/>
        <v>0</v>
      </c>
      <c r="DG16" s="405">
        <f t="shared" si="16"/>
        <v>0</v>
      </c>
      <c r="DH16" s="372">
        <f t="shared" si="16"/>
        <v>0</v>
      </c>
      <c r="DI16" s="372">
        <f t="shared" si="16"/>
        <v>0</v>
      </c>
      <c r="DJ16" s="668">
        <f t="shared" si="16"/>
        <v>0</v>
      </c>
      <c r="DK16" s="673">
        <f t="shared" si="17"/>
        <v>0</v>
      </c>
      <c r="DL16" s="671">
        <f t="shared" si="17"/>
        <v>0</v>
      </c>
      <c r="DM16" s="671">
        <f t="shared" si="17"/>
        <v>0</v>
      </c>
      <c r="DN16" s="668">
        <f t="shared" si="17"/>
        <v>0</v>
      </c>
      <c r="DO16" s="673">
        <f t="shared" si="18"/>
        <v>0</v>
      </c>
      <c r="DP16" s="671">
        <f t="shared" si="18"/>
        <v>0</v>
      </c>
      <c r="DQ16" s="671">
        <f t="shared" si="18"/>
        <v>0</v>
      </c>
      <c r="DR16" s="668">
        <f t="shared" si="18"/>
        <v>0</v>
      </c>
      <c r="DS16" s="673">
        <f t="shared" si="19"/>
        <v>0</v>
      </c>
      <c r="DT16" s="671">
        <f t="shared" si="19"/>
        <v>0</v>
      </c>
      <c r="DU16" s="671">
        <f t="shared" si="19"/>
        <v>0</v>
      </c>
      <c r="DV16" s="668">
        <f t="shared" si="19"/>
        <v>0</v>
      </c>
      <c r="DW16" s="673">
        <f t="shared" si="20"/>
        <v>0</v>
      </c>
      <c r="DX16" s="671">
        <f t="shared" si="20"/>
        <v>0</v>
      </c>
      <c r="DY16" s="671">
        <f t="shared" si="20"/>
        <v>0</v>
      </c>
      <c r="DZ16" s="668">
        <f t="shared" si="20"/>
        <v>0</v>
      </c>
      <c r="EA16" s="673">
        <f t="shared" si="21"/>
        <v>0</v>
      </c>
      <c r="EB16" s="671">
        <f t="shared" si="21"/>
        <v>0</v>
      </c>
      <c r="EC16" s="671">
        <f t="shared" si="21"/>
        <v>0</v>
      </c>
      <c r="ED16" s="668">
        <f t="shared" si="21"/>
        <v>0</v>
      </c>
      <c r="EE16" s="673">
        <f t="shared" si="22"/>
        <v>0</v>
      </c>
      <c r="EF16" s="671">
        <f t="shared" si="22"/>
        <v>0</v>
      </c>
      <c r="EG16" s="671">
        <f t="shared" si="22"/>
        <v>0</v>
      </c>
      <c r="EH16" s="668">
        <f t="shared" si="22"/>
        <v>0</v>
      </c>
      <c r="EI16" s="673">
        <f t="shared" si="23"/>
        <v>0</v>
      </c>
      <c r="EJ16" s="671">
        <f t="shared" si="23"/>
        <v>0</v>
      </c>
      <c r="EK16" s="671">
        <f t="shared" si="23"/>
        <v>0</v>
      </c>
      <c r="EL16" s="668">
        <f t="shared" si="23"/>
        <v>0</v>
      </c>
      <c r="EM16" s="416">
        <f t="shared" si="24"/>
        <v>0</v>
      </c>
      <c r="EN16" s="416">
        <f t="shared" si="24"/>
        <v>0</v>
      </c>
      <c r="EO16" s="416">
        <f t="shared" si="24"/>
        <v>0</v>
      </c>
      <c r="EP16" s="416">
        <f t="shared" si="24"/>
        <v>0</v>
      </c>
      <c r="EQ16" s="416">
        <f t="shared" si="24"/>
        <v>0</v>
      </c>
      <c r="EU16" s="416">
        <f t="shared" si="25"/>
        <v>0</v>
      </c>
      <c r="EV16" s="416">
        <f t="shared" si="26"/>
        <v>0</v>
      </c>
      <c r="EW16" s="416">
        <f t="shared" si="27"/>
        <v>0</v>
      </c>
      <c r="EX16" s="416">
        <f t="shared" si="28"/>
        <v>0</v>
      </c>
      <c r="EY16" s="416">
        <f t="shared" si="29"/>
        <v>0</v>
      </c>
      <c r="EZ16" s="416">
        <f t="shared" si="30"/>
        <v>0</v>
      </c>
      <c r="FA16" s="416">
        <f t="shared" si="31"/>
        <v>0</v>
      </c>
      <c r="FB16" s="416">
        <f t="shared" si="32"/>
        <v>0</v>
      </c>
      <c r="FC16" s="416">
        <f t="shared" si="33"/>
        <v>0</v>
      </c>
      <c r="FD16" s="416">
        <f t="shared" si="34"/>
        <v>0</v>
      </c>
      <c r="FE16" s="416">
        <f t="shared" si="35"/>
        <v>0</v>
      </c>
      <c r="FF16" s="416">
        <f t="shared" si="36"/>
        <v>0</v>
      </c>
      <c r="FG16" s="416">
        <f t="shared" si="61"/>
        <v>0</v>
      </c>
      <c r="FH16" s="416">
        <f t="shared" si="62"/>
        <v>0</v>
      </c>
      <c r="FI16" s="416">
        <f t="shared" si="63"/>
        <v>0</v>
      </c>
      <c r="FJ16" s="416">
        <f t="shared" si="64"/>
        <v>0</v>
      </c>
      <c r="FK16" s="416">
        <f t="shared" si="64"/>
        <v>0</v>
      </c>
      <c r="FL16" s="416">
        <f t="shared" si="37"/>
        <v>0</v>
      </c>
      <c r="FM16" s="416">
        <f t="shared" si="37"/>
        <v>0</v>
      </c>
      <c r="FP16" s="416">
        <f t="shared" si="65"/>
        <v>0</v>
      </c>
      <c r="FQ16" s="416">
        <f t="shared" si="38"/>
        <v>0</v>
      </c>
      <c r="FR16" s="416">
        <f t="shared" si="39"/>
        <v>0</v>
      </c>
      <c r="FS16" s="416">
        <f t="shared" si="40"/>
        <v>0</v>
      </c>
      <c r="FT16" s="416">
        <f t="shared" si="41"/>
        <v>0</v>
      </c>
      <c r="FU16" s="416">
        <f t="shared" si="42"/>
        <v>0</v>
      </c>
      <c r="FV16" s="416">
        <f t="shared" si="43"/>
        <v>0</v>
      </c>
      <c r="FW16" s="416">
        <f t="shared" si="44"/>
        <v>0</v>
      </c>
      <c r="FX16" s="416">
        <f t="shared" si="45"/>
        <v>0</v>
      </c>
      <c r="FY16" s="416">
        <f t="shared" si="46"/>
        <v>0</v>
      </c>
      <c r="FZ16" s="416">
        <f t="shared" si="47"/>
        <v>0</v>
      </c>
      <c r="GA16" s="416">
        <f t="shared" si="48"/>
        <v>0</v>
      </c>
      <c r="GB16" s="416">
        <f t="shared" si="66"/>
        <v>0</v>
      </c>
      <c r="GC16" s="416">
        <f t="shared" si="67"/>
        <v>0</v>
      </c>
      <c r="GD16" s="416">
        <f t="shared" si="68"/>
        <v>0</v>
      </c>
      <c r="GE16" s="416">
        <f t="shared" si="69"/>
        <v>0</v>
      </c>
      <c r="GF16" s="416">
        <f t="shared" si="69"/>
        <v>0</v>
      </c>
      <c r="GG16" s="416">
        <f t="shared" si="49"/>
        <v>0</v>
      </c>
      <c r="GH16" s="416">
        <f t="shared" si="49"/>
        <v>0</v>
      </c>
    </row>
    <row r="17" spans="1:190" s="138" customFormat="1" outlineLevel="1" x14ac:dyDescent="0.25">
      <c r="A17" s="361"/>
      <c r="B17" s="368" t="s">
        <v>453</v>
      </c>
      <c r="C17" s="368"/>
      <c r="D17" s="368"/>
      <c r="E17" s="386"/>
      <c r="F17" s="369"/>
      <c r="G17" s="369"/>
      <c r="H17" s="369"/>
      <c r="I17" s="357">
        <f t="shared" si="50"/>
        <v>0</v>
      </c>
      <c r="J17" s="386"/>
      <c r="K17" s="369"/>
      <c r="L17" s="369"/>
      <c r="M17" s="369"/>
      <c r="N17" s="357">
        <f t="shared" si="51"/>
        <v>0</v>
      </c>
      <c r="O17" s="386"/>
      <c r="P17" s="369"/>
      <c r="Q17" s="369"/>
      <c r="R17" s="369"/>
      <c r="S17" s="357">
        <f t="shared" si="52"/>
        <v>0</v>
      </c>
      <c r="T17" s="386"/>
      <c r="U17" s="369"/>
      <c r="V17" s="369"/>
      <c r="W17" s="369"/>
      <c r="X17" s="357">
        <f t="shared" si="53"/>
        <v>0</v>
      </c>
      <c r="Y17" s="386"/>
      <c r="Z17" s="369"/>
      <c r="AA17" s="369"/>
      <c r="AB17" s="369"/>
      <c r="AC17" s="357">
        <f t="shared" si="54"/>
        <v>0</v>
      </c>
      <c r="AD17" s="386"/>
      <c r="AE17" s="369"/>
      <c r="AF17" s="369"/>
      <c r="AG17" s="369"/>
      <c r="AH17" s="357">
        <f t="shared" si="55"/>
        <v>0</v>
      </c>
      <c r="AI17" s="386"/>
      <c r="AJ17" s="369"/>
      <c r="AK17" s="369"/>
      <c r="AL17" s="369"/>
      <c r="AM17" s="357">
        <f t="shared" si="56"/>
        <v>0</v>
      </c>
      <c r="AN17" s="386"/>
      <c r="AO17" s="369"/>
      <c r="AP17" s="369"/>
      <c r="AQ17" s="369"/>
      <c r="AR17" s="357">
        <f t="shared" si="4"/>
        <v>0</v>
      </c>
      <c r="AS17" s="386"/>
      <c r="AT17" s="369"/>
      <c r="AU17" s="369"/>
      <c r="AV17" s="369"/>
      <c r="AW17" s="357">
        <f t="shared" si="5"/>
        <v>0</v>
      </c>
      <c r="AX17" s="386"/>
      <c r="AY17" s="369"/>
      <c r="AZ17" s="369"/>
      <c r="BA17" s="369"/>
      <c r="BB17" s="357">
        <f t="shared" si="6"/>
        <v>0</v>
      </c>
      <c r="BC17" s="386"/>
      <c r="BD17" s="369"/>
      <c r="BE17" s="369"/>
      <c r="BF17" s="369"/>
      <c r="BG17" s="357">
        <f t="shared" si="7"/>
        <v>0</v>
      </c>
      <c r="BH17" s="386"/>
      <c r="BI17" s="369"/>
      <c r="BJ17" s="369"/>
      <c r="BK17" s="369"/>
      <c r="BL17" s="357">
        <f t="shared" si="8"/>
        <v>0</v>
      </c>
      <c r="BM17" s="386"/>
      <c r="BN17" s="369"/>
      <c r="BO17" s="369"/>
      <c r="BP17" s="369"/>
      <c r="BQ17" s="964">
        <f t="shared" si="9"/>
        <v>0</v>
      </c>
      <c r="BR17" s="386"/>
      <c r="BS17" s="369"/>
      <c r="BT17" s="369"/>
      <c r="BU17" s="369"/>
      <c r="BV17" s="964">
        <f t="shared" si="10"/>
        <v>0</v>
      </c>
      <c r="BW17" s="463"/>
      <c r="BX17" s="463"/>
      <c r="BY17" s="463"/>
      <c r="BZ17" s="463"/>
      <c r="CA17" s="463"/>
      <c r="CB17" s="370"/>
      <c r="CC17" s="395">
        <v>140</v>
      </c>
      <c r="CD17" s="371">
        <v>0.02</v>
      </c>
      <c r="CE17" s="979">
        <v>146.6985</v>
      </c>
      <c r="CF17" s="906">
        <v>0.02</v>
      </c>
      <c r="CG17" s="979">
        <v>146.6985</v>
      </c>
      <c r="CH17" s="906">
        <v>0.02</v>
      </c>
      <c r="CI17" s="405">
        <f t="shared" si="11"/>
        <v>0</v>
      </c>
      <c r="CJ17" s="372">
        <f t="shared" si="11"/>
        <v>0</v>
      </c>
      <c r="CK17" s="372">
        <f t="shared" si="11"/>
        <v>0</v>
      </c>
      <c r="CL17" s="406">
        <f t="shared" si="11"/>
        <v>0</v>
      </c>
      <c r="CM17" s="405">
        <f t="shared" si="57"/>
        <v>0</v>
      </c>
      <c r="CN17" s="372">
        <f t="shared" si="58"/>
        <v>0</v>
      </c>
      <c r="CO17" s="372">
        <f t="shared" si="59"/>
        <v>0</v>
      </c>
      <c r="CP17" s="406">
        <f t="shared" si="60"/>
        <v>0</v>
      </c>
      <c r="CQ17" s="405">
        <f t="shared" si="12"/>
        <v>0</v>
      </c>
      <c r="CR17" s="372">
        <f t="shared" si="12"/>
        <v>0</v>
      </c>
      <c r="CS17" s="372">
        <f t="shared" si="12"/>
        <v>0</v>
      </c>
      <c r="CT17" s="406">
        <f t="shared" si="12"/>
        <v>0</v>
      </c>
      <c r="CU17" s="405">
        <f t="shared" si="13"/>
        <v>0</v>
      </c>
      <c r="CV17" s="372">
        <f t="shared" si="13"/>
        <v>0</v>
      </c>
      <c r="CW17" s="372">
        <f t="shared" si="13"/>
        <v>0</v>
      </c>
      <c r="CX17" s="406">
        <f t="shared" si="13"/>
        <v>0</v>
      </c>
      <c r="CY17" s="405">
        <f t="shared" si="14"/>
        <v>0</v>
      </c>
      <c r="CZ17" s="372">
        <f t="shared" si="14"/>
        <v>0</v>
      </c>
      <c r="DA17" s="372">
        <f t="shared" si="14"/>
        <v>0</v>
      </c>
      <c r="DB17" s="406">
        <f t="shared" si="14"/>
        <v>0</v>
      </c>
      <c r="DC17" s="405">
        <f t="shared" si="15"/>
        <v>0</v>
      </c>
      <c r="DD17" s="372">
        <f t="shared" si="15"/>
        <v>0</v>
      </c>
      <c r="DE17" s="372">
        <f t="shared" si="15"/>
        <v>0</v>
      </c>
      <c r="DF17" s="668">
        <f t="shared" si="15"/>
        <v>0</v>
      </c>
      <c r="DG17" s="405">
        <f t="shared" si="16"/>
        <v>0</v>
      </c>
      <c r="DH17" s="372">
        <f t="shared" si="16"/>
        <v>0</v>
      </c>
      <c r="DI17" s="372">
        <f t="shared" si="16"/>
        <v>0</v>
      </c>
      <c r="DJ17" s="668">
        <f t="shared" si="16"/>
        <v>0</v>
      </c>
      <c r="DK17" s="673">
        <f t="shared" si="17"/>
        <v>0</v>
      </c>
      <c r="DL17" s="671">
        <f t="shared" si="17"/>
        <v>0</v>
      </c>
      <c r="DM17" s="671">
        <f t="shared" si="17"/>
        <v>0</v>
      </c>
      <c r="DN17" s="668">
        <f t="shared" si="17"/>
        <v>0</v>
      </c>
      <c r="DO17" s="673">
        <f t="shared" si="18"/>
        <v>0</v>
      </c>
      <c r="DP17" s="671">
        <f t="shared" si="18"/>
        <v>0</v>
      </c>
      <c r="DQ17" s="671">
        <f t="shared" si="18"/>
        <v>0</v>
      </c>
      <c r="DR17" s="668">
        <f t="shared" si="18"/>
        <v>0</v>
      </c>
      <c r="DS17" s="673">
        <f t="shared" si="19"/>
        <v>0</v>
      </c>
      <c r="DT17" s="671">
        <f t="shared" si="19"/>
        <v>0</v>
      </c>
      <c r="DU17" s="671">
        <f t="shared" si="19"/>
        <v>0</v>
      </c>
      <c r="DV17" s="668">
        <f t="shared" si="19"/>
        <v>0</v>
      </c>
      <c r="DW17" s="673">
        <f t="shared" si="20"/>
        <v>0</v>
      </c>
      <c r="DX17" s="671">
        <f t="shared" si="20"/>
        <v>0</v>
      </c>
      <c r="DY17" s="671">
        <f t="shared" si="20"/>
        <v>0</v>
      </c>
      <c r="DZ17" s="668">
        <f t="shared" si="20"/>
        <v>0</v>
      </c>
      <c r="EA17" s="673">
        <f t="shared" si="21"/>
        <v>0</v>
      </c>
      <c r="EB17" s="671">
        <f t="shared" si="21"/>
        <v>0</v>
      </c>
      <c r="EC17" s="671">
        <f t="shared" si="21"/>
        <v>0</v>
      </c>
      <c r="ED17" s="668">
        <f t="shared" si="21"/>
        <v>0</v>
      </c>
      <c r="EE17" s="673">
        <f t="shared" si="22"/>
        <v>0</v>
      </c>
      <c r="EF17" s="671">
        <f t="shared" si="22"/>
        <v>0</v>
      </c>
      <c r="EG17" s="671">
        <f t="shared" si="22"/>
        <v>0</v>
      </c>
      <c r="EH17" s="668">
        <f t="shared" si="22"/>
        <v>0</v>
      </c>
      <c r="EI17" s="673">
        <f t="shared" si="23"/>
        <v>0</v>
      </c>
      <c r="EJ17" s="671">
        <f t="shared" si="23"/>
        <v>0</v>
      </c>
      <c r="EK17" s="671">
        <f t="shared" si="23"/>
        <v>0</v>
      </c>
      <c r="EL17" s="668">
        <f t="shared" si="23"/>
        <v>0</v>
      </c>
      <c r="EM17" s="416">
        <f t="shared" si="24"/>
        <v>0</v>
      </c>
      <c r="EN17" s="416">
        <f t="shared" si="24"/>
        <v>0</v>
      </c>
      <c r="EO17" s="416">
        <f t="shared" si="24"/>
        <v>0</v>
      </c>
      <c r="EP17" s="416">
        <f t="shared" si="24"/>
        <v>0</v>
      </c>
      <c r="EQ17" s="416">
        <f t="shared" si="24"/>
        <v>0</v>
      </c>
      <c r="EU17" s="416">
        <f t="shared" si="25"/>
        <v>0</v>
      </c>
      <c r="EV17" s="416">
        <f t="shared" si="26"/>
        <v>0</v>
      </c>
      <c r="EW17" s="416">
        <f t="shared" si="27"/>
        <v>0</v>
      </c>
      <c r="EX17" s="416">
        <f t="shared" si="28"/>
        <v>0</v>
      </c>
      <c r="EY17" s="416">
        <f t="shared" si="29"/>
        <v>0</v>
      </c>
      <c r="EZ17" s="416">
        <f t="shared" si="30"/>
        <v>0</v>
      </c>
      <c r="FA17" s="416">
        <f t="shared" si="31"/>
        <v>0</v>
      </c>
      <c r="FB17" s="416">
        <f t="shared" si="32"/>
        <v>0</v>
      </c>
      <c r="FC17" s="416">
        <f t="shared" si="33"/>
        <v>0</v>
      </c>
      <c r="FD17" s="416">
        <f t="shared" si="34"/>
        <v>0</v>
      </c>
      <c r="FE17" s="416">
        <f t="shared" si="35"/>
        <v>0</v>
      </c>
      <c r="FF17" s="416">
        <f t="shared" si="36"/>
        <v>0</v>
      </c>
      <c r="FG17" s="416">
        <f t="shared" si="61"/>
        <v>0</v>
      </c>
      <c r="FH17" s="416">
        <f t="shared" si="62"/>
        <v>0</v>
      </c>
      <c r="FI17" s="416">
        <f t="shared" si="63"/>
        <v>0</v>
      </c>
      <c r="FJ17" s="416">
        <f t="shared" si="64"/>
        <v>0</v>
      </c>
      <c r="FK17" s="416">
        <f t="shared" si="64"/>
        <v>0</v>
      </c>
      <c r="FL17" s="416">
        <f t="shared" si="37"/>
        <v>0</v>
      </c>
      <c r="FM17" s="416">
        <f t="shared" si="37"/>
        <v>0</v>
      </c>
      <c r="FP17" s="416">
        <f t="shared" si="65"/>
        <v>0</v>
      </c>
      <c r="FQ17" s="416">
        <f t="shared" si="38"/>
        <v>0</v>
      </c>
      <c r="FR17" s="416">
        <f t="shared" si="39"/>
        <v>0</v>
      </c>
      <c r="FS17" s="416">
        <f t="shared" si="40"/>
        <v>0</v>
      </c>
      <c r="FT17" s="416">
        <f t="shared" si="41"/>
        <v>0</v>
      </c>
      <c r="FU17" s="416">
        <f t="shared" si="42"/>
        <v>0</v>
      </c>
      <c r="FV17" s="416">
        <f t="shared" si="43"/>
        <v>0</v>
      </c>
      <c r="FW17" s="416">
        <f t="shared" si="44"/>
        <v>0</v>
      </c>
      <c r="FX17" s="416">
        <f t="shared" si="45"/>
        <v>0</v>
      </c>
      <c r="FY17" s="416">
        <f t="shared" si="46"/>
        <v>0</v>
      </c>
      <c r="FZ17" s="416">
        <f t="shared" si="47"/>
        <v>0</v>
      </c>
      <c r="GA17" s="416">
        <f t="shared" si="48"/>
        <v>0</v>
      </c>
      <c r="GB17" s="416">
        <f t="shared" si="66"/>
        <v>0</v>
      </c>
      <c r="GC17" s="416">
        <f t="shared" si="67"/>
        <v>0</v>
      </c>
      <c r="GD17" s="416">
        <f t="shared" si="68"/>
        <v>0</v>
      </c>
      <c r="GE17" s="416">
        <f t="shared" si="69"/>
        <v>0</v>
      </c>
      <c r="GF17" s="416">
        <f t="shared" si="69"/>
        <v>0</v>
      </c>
      <c r="GG17" s="416">
        <f t="shared" si="49"/>
        <v>0</v>
      </c>
      <c r="GH17" s="416">
        <f t="shared" si="49"/>
        <v>0</v>
      </c>
    </row>
    <row r="18" spans="1:190" s="138" customFormat="1" outlineLevel="1" x14ac:dyDescent="0.25">
      <c r="A18" s="361"/>
      <c r="B18" s="368" t="s">
        <v>664</v>
      </c>
      <c r="C18" s="368"/>
      <c r="D18" s="368"/>
      <c r="E18" s="386"/>
      <c r="F18" s="369"/>
      <c r="G18" s="369"/>
      <c r="H18" s="369"/>
      <c r="I18" s="357">
        <f t="shared" si="50"/>
        <v>0</v>
      </c>
      <c r="J18" s="386"/>
      <c r="K18" s="369"/>
      <c r="L18" s="369"/>
      <c r="M18" s="369"/>
      <c r="N18" s="357">
        <f t="shared" si="51"/>
        <v>0</v>
      </c>
      <c r="O18" s="386"/>
      <c r="P18" s="369"/>
      <c r="Q18" s="369"/>
      <c r="R18" s="369"/>
      <c r="S18" s="357">
        <f t="shared" si="52"/>
        <v>0</v>
      </c>
      <c r="T18" s="386"/>
      <c r="U18" s="369"/>
      <c r="V18" s="369"/>
      <c r="W18" s="369"/>
      <c r="X18" s="357">
        <f t="shared" si="53"/>
        <v>0</v>
      </c>
      <c r="Y18" s="386"/>
      <c r="Z18" s="369"/>
      <c r="AA18" s="369"/>
      <c r="AB18" s="369"/>
      <c r="AC18" s="357">
        <f t="shared" si="54"/>
        <v>0</v>
      </c>
      <c r="AD18" s="386"/>
      <c r="AE18" s="369"/>
      <c r="AF18" s="369"/>
      <c r="AG18" s="369"/>
      <c r="AH18" s="357">
        <f t="shared" si="55"/>
        <v>0</v>
      </c>
      <c r="AI18" s="386"/>
      <c r="AJ18" s="369"/>
      <c r="AK18" s="369"/>
      <c r="AL18" s="369"/>
      <c r="AM18" s="357">
        <f t="shared" si="56"/>
        <v>0</v>
      </c>
      <c r="AN18" s="386"/>
      <c r="AO18" s="369"/>
      <c r="AP18" s="369"/>
      <c r="AQ18" s="369"/>
      <c r="AR18" s="357">
        <f t="shared" si="4"/>
        <v>0</v>
      </c>
      <c r="AS18" s="386"/>
      <c r="AT18" s="369"/>
      <c r="AU18" s="369"/>
      <c r="AV18" s="369"/>
      <c r="AW18" s="357">
        <f t="shared" si="5"/>
        <v>0</v>
      </c>
      <c r="AX18" s="386">
        <v>1</v>
      </c>
      <c r="AY18" s="386">
        <v>1</v>
      </c>
      <c r="AZ18" s="386">
        <v>1</v>
      </c>
      <c r="BA18" s="386">
        <v>1</v>
      </c>
      <c r="BB18" s="357">
        <f t="shared" si="6"/>
        <v>1</v>
      </c>
      <c r="BC18" s="386">
        <v>1</v>
      </c>
      <c r="BD18" s="386">
        <v>1</v>
      </c>
      <c r="BE18" s="386">
        <v>1</v>
      </c>
      <c r="BF18" s="386">
        <v>1</v>
      </c>
      <c r="BG18" s="357">
        <f t="shared" si="7"/>
        <v>1</v>
      </c>
      <c r="BH18" s="386">
        <v>1</v>
      </c>
      <c r="BI18" s="386">
        <v>1</v>
      </c>
      <c r="BJ18" s="386">
        <v>1</v>
      </c>
      <c r="BK18" s="386">
        <v>1</v>
      </c>
      <c r="BL18" s="357">
        <f t="shared" si="8"/>
        <v>1</v>
      </c>
      <c r="BM18" s="386">
        <v>1</v>
      </c>
      <c r="BN18" s="369">
        <v>1</v>
      </c>
      <c r="BO18" s="369">
        <v>1</v>
      </c>
      <c r="BP18" s="369">
        <v>1</v>
      </c>
      <c r="BQ18" s="964">
        <f t="shared" si="9"/>
        <v>1</v>
      </c>
      <c r="BR18" s="386"/>
      <c r="BS18" s="369"/>
      <c r="BT18" s="369"/>
      <c r="BU18" s="369"/>
      <c r="BV18" s="964">
        <f t="shared" si="10"/>
        <v>0</v>
      </c>
      <c r="BW18" s="463"/>
      <c r="BX18" s="463"/>
      <c r="BY18" s="463"/>
      <c r="BZ18" s="463"/>
      <c r="CA18" s="463"/>
      <c r="CB18" s="370"/>
      <c r="CC18" s="395">
        <v>198</v>
      </c>
      <c r="CD18" s="371">
        <v>0.02</v>
      </c>
      <c r="CE18" s="979">
        <v>195.25049999999999</v>
      </c>
      <c r="CF18" s="906">
        <v>0.02</v>
      </c>
      <c r="CG18" s="979">
        <v>195.25049999999999</v>
      </c>
      <c r="CH18" s="906">
        <v>0.02</v>
      </c>
      <c r="CI18" s="405">
        <f t="shared" si="11"/>
        <v>0</v>
      </c>
      <c r="CJ18" s="372">
        <f t="shared" si="11"/>
        <v>0</v>
      </c>
      <c r="CK18" s="372">
        <f t="shared" si="11"/>
        <v>0</v>
      </c>
      <c r="CL18" s="406">
        <f t="shared" si="11"/>
        <v>0</v>
      </c>
      <c r="CM18" s="405">
        <f t="shared" si="57"/>
        <v>0</v>
      </c>
      <c r="CN18" s="372">
        <f t="shared" si="58"/>
        <v>0</v>
      </c>
      <c r="CO18" s="372">
        <f t="shared" si="59"/>
        <v>0</v>
      </c>
      <c r="CP18" s="406">
        <f t="shared" si="60"/>
        <v>0</v>
      </c>
      <c r="CQ18" s="405">
        <f t="shared" si="12"/>
        <v>0</v>
      </c>
      <c r="CR18" s="372">
        <f t="shared" si="12"/>
        <v>0</v>
      </c>
      <c r="CS18" s="372">
        <f t="shared" si="12"/>
        <v>0</v>
      </c>
      <c r="CT18" s="406">
        <f t="shared" si="12"/>
        <v>0</v>
      </c>
      <c r="CU18" s="405">
        <f t="shared" si="13"/>
        <v>0</v>
      </c>
      <c r="CV18" s="372">
        <f t="shared" si="13"/>
        <v>0</v>
      </c>
      <c r="CW18" s="372">
        <f t="shared" si="13"/>
        <v>0</v>
      </c>
      <c r="CX18" s="406">
        <f t="shared" si="13"/>
        <v>0</v>
      </c>
      <c r="CY18" s="405">
        <f t="shared" si="14"/>
        <v>0</v>
      </c>
      <c r="CZ18" s="372">
        <f t="shared" si="14"/>
        <v>0</v>
      </c>
      <c r="DA18" s="372">
        <f t="shared" si="14"/>
        <v>0</v>
      </c>
      <c r="DB18" s="406">
        <f t="shared" si="14"/>
        <v>0</v>
      </c>
      <c r="DC18" s="405">
        <f t="shared" si="15"/>
        <v>0</v>
      </c>
      <c r="DD18" s="372">
        <f t="shared" si="15"/>
        <v>0</v>
      </c>
      <c r="DE18" s="372">
        <f t="shared" si="15"/>
        <v>0</v>
      </c>
      <c r="DF18" s="668">
        <f t="shared" si="15"/>
        <v>0</v>
      </c>
      <c r="DG18" s="405">
        <f t="shared" si="16"/>
        <v>0</v>
      </c>
      <c r="DH18" s="372">
        <f t="shared" si="16"/>
        <v>0</v>
      </c>
      <c r="DI18" s="372">
        <f t="shared" si="16"/>
        <v>0</v>
      </c>
      <c r="DJ18" s="668">
        <f t="shared" si="16"/>
        <v>0</v>
      </c>
      <c r="DK18" s="673">
        <f t="shared" si="17"/>
        <v>0</v>
      </c>
      <c r="DL18" s="671">
        <f t="shared" si="17"/>
        <v>0</v>
      </c>
      <c r="DM18" s="671">
        <f t="shared" si="17"/>
        <v>0</v>
      </c>
      <c r="DN18" s="668">
        <f t="shared" si="17"/>
        <v>0</v>
      </c>
      <c r="DO18" s="673">
        <f t="shared" si="18"/>
        <v>0</v>
      </c>
      <c r="DP18" s="671">
        <f t="shared" si="18"/>
        <v>0</v>
      </c>
      <c r="DQ18" s="671">
        <f t="shared" si="18"/>
        <v>0</v>
      </c>
      <c r="DR18" s="668">
        <f t="shared" si="18"/>
        <v>0</v>
      </c>
      <c r="DS18" s="673">
        <f t="shared" si="19"/>
        <v>56.070362737838927</v>
      </c>
      <c r="DT18" s="671">
        <f t="shared" si="19"/>
        <v>56.070362737838927</v>
      </c>
      <c r="DU18" s="671">
        <f t="shared" si="19"/>
        <v>56.070362737838927</v>
      </c>
      <c r="DV18" s="668">
        <f t="shared" si="19"/>
        <v>56.070362737838927</v>
      </c>
      <c r="DW18" s="673">
        <f t="shared" si="20"/>
        <v>57.191769992595709</v>
      </c>
      <c r="DX18" s="671">
        <f t="shared" si="20"/>
        <v>57.191769992595709</v>
      </c>
      <c r="DY18" s="671">
        <f t="shared" si="20"/>
        <v>57.191769992595709</v>
      </c>
      <c r="DZ18" s="668">
        <f t="shared" si="20"/>
        <v>57.191769992595709</v>
      </c>
      <c r="EA18" s="673">
        <f t="shared" si="21"/>
        <v>58.335605392447619</v>
      </c>
      <c r="EB18" s="671">
        <f t="shared" si="21"/>
        <v>58.335605392447619</v>
      </c>
      <c r="EC18" s="671">
        <f t="shared" si="21"/>
        <v>58.335605392447619</v>
      </c>
      <c r="ED18" s="668">
        <f t="shared" si="21"/>
        <v>58.335605392447619</v>
      </c>
      <c r="EE18" s="673">
        <f t="shared" si="22"/>
        <v>59.502317500296577</v>
      </c>
      <c r="EF18" s="671">
        <f t="shared" si="22"/>
        <v>59.502317500296577</v>
      </c>
      <c r="EG18" s="671">
        <f t="shared" si="22"/>
        <v>59.502317500296577</v>
      </c>
      <c r="EH18" s="668">
        <f t="shared" si="22"/>
        <v>59.502317500296577</v>
      </c>
      <c r="EI18" s="673">
        <f t="shared" si="23"/>
        <v>0</v>
      </c>
      <c r="EJ18" s="671">
        <f t="shared" si="23"/>
        <v>0</v>
      </c>
      <c r="EK18" s="671">
        <f t="shared" si="23"/>
        <v>0</v>
      </c>
      <c r="EL18" s="668">
        <f t="shared" si="23"/>
        <v>0</v>
      </c>
      <c r="EM18" s="416">
        <f t="shared" si="24"/>
        <v>0</v>
      </c>
      <c r="EN18" s="416">
        <f t="shared" si="24"/>
        <v>0</v>
      </c>
      <c r="EO18" s="416">
        <f t="shared" si="24"/>
        <v>0</v>
      </c>
      <c r="EP18" s="416">
        <f t="shared" si="24"/>
        <v>0</v>
      </c>
      <c r="EQ18" s="416">
        <f t="shared" si="24"/>
        <v>0</v>
      </c>
      <c r="EU18" s="416">
        <f t="shared" si="25"/>
        <v>0</v>
      </c>
      <c r="EV18" s="416">
        <f t="shared" si="26"/>
        <v>0</v>
      </c>
      <c r="EW18" s="416">
        <f t="shared" si="27"/>
        <v>0</v>
      </c>
      <c r="EX18" s="416">
        <f t="shared" si="28"/>
        <v>0</v>
      </c>
      <c r="EY18" s="416">
        <f t="shared" si="29"/>
        <v>0</v>
      </c>
      <c r="EZ18" s="416">
        <f t="shared" si="30"/>
        <v>0</v>
      </c>
      <c r="FA18" s="416">
        <f t="shared" si="31"/>
        <v>0</v>
      </c>
      <c r="FB18" s="416">
        <f t="shared" si="32"/>
        <v>0</v>
      </c>
      <c r="FC18" s="416">
        <f t="shared" si="33"/>
        <v>0</v>
      </c>
      <c r="FD18" s="416">
        <f t="shared" si="34"/>
        <v>224.28145095135571</v>
      </c>
      <c r="FE18" s="416">
        <f t="shared" si="35"/>
        <v>228.76707997038284</v>
      </c>
      <c r="FF18" s="416">
        <f t="shared" si="36"/>
        <v>233.34242156979047</v>
      </c>
      <c r="FG18" s="416">
        <f t="shared" si="61"/>
        <v>238.00927000118631</v>
      </c>
      <c r="FH18" s="416">
        <f t="shared" si="62"/>
        <v>0</v>
      </c>
      <c r="FI18" s="416">
        <f t="shared" si="63"/>
        <v>0</v>
      </c>
      <c r="FJ18" s="416">
        <f t="shared" si="64"/>
        <v>0</v>
      </c>
      <c r="FK18" s="416">
        <f t="shared" si="64"/>
        <v>0</v>
      </c>
      <c r="FL18" s="416">
        <f t="shared" si="37"/>
        <v>0</v>
      </c>
      <c r="FM18" s="416">
        <f t="shared" si="37"/>
        <v>0</v>
      </c>
      <c r="FP18" s="416">
        <f t="shared" si="65"/>
        <v>0</v>
      </c>
      <c r="FQ18" s="416">
        <f t="shared" si="38"/>
        <v>0</v>
      </c>
      <c r="FR18" s="416">
        <f t="shared" si="39"/>
        <v>0</v>
      </c>
      <c r="FS18" s="416">
        <f t="shared" si="40"/>
        <v>0</v>
      </c>
      <c r="FT18" s="416">
        <f t="shared" si="41"/>
        <v>0</v>
      </c>
      <c r="FU18" s="416">
        <f t="shared" si="42"/>
        <v>0</v>
      </c>
      <c r="FV18" s="416">
        <f t="shared" si="43"/>
        <v>0</v>
      </c>
      <c r="FW18" s="416">
        <f t="shared" si="44"/>
        <v>0</v>
      </c>
      <c r="FX18" s="416">
        <f t="shared" si="45"/>
        <v>0</v>
      </c>
      <c r="FY18" s="416">
        <f t="shared" si="46"/>
        <v>224.28145095135571</v>
      </c>
      <c r="FZ18" s="416">
        <f t="shared" si="47"/>
        <v>228.76707997038284</v>
      </c>
      <c r="GA18" s="416">
        <f t="shared" si="48"/>
        <v>233.34242156979047</v>
      </c>
      <c r="GB18" s="416">
        <f t="shared" si="66"/>
        <v>238.00927000118631</v>
      </c>
      <c r="GC18" s="416">
        <f t="shared" si="67"/>
        <v>238.00927000118631</v>
      </c>
      <c r="GD18" s="416">
        <f t="shared" si="68"/>
        <v>0</v>
      </c>
      <c r="GE18" s="416">
        <f t="shared" si="69"/>
        <v>0</v>
      </c>
      <c r="GF18" s="416">
        <f t="shared" si="69"/>
        <v>0</v>
      </c>
      <c r="GG18" s="416">
        <f t="shared" si="49"/>
        <v>0</v>
      </c>
      <c r="GH18" s="416">
        <f t="shared" si="49"/>
        <v>0</v>
      </c>
    </row>
    <row r="19" spans="1:190" s="138" customFormat="1" outlineLevel="1" x14ac:dyDescent="0.25">
      <c r="A19" s="361"/>
      <c r="B19" s="980" t="s">
        <v>953</v>
      </c>
      <c r="C19" s="368"/>
      <c r="D19" s="368"/>
      <c r="E19" s="386"/>
      <c r="F19" s="369"/>
      <c r="G19" s="369"/>
      <c r="H19" s="369"/>
      <c r="I19" s="357">
        <f t="shared" si="50"/>
        <v>0</v>
      </c>
      <c r="J19" s="386"/>
      <c r="K19" s="369"/>
      <c r="L19" s="369"/>
      <c r="M19" s="369"/>
      <c r="N19" s="357">
        <f t="shared" si="51"/>
        <v>0</v>
      </c>
      <c r="O19" s="386"/>
      <c r="P19" s="369"/>
      <c r="Q19" s="369"/>
      <c r="R19" s="369"/>
      <c r="S19" s="357">
        <f t="shared" si="52"/>
        <v>0</v>
      </c>
      <c r="T19" s="386"/>
      <c r="U19" s="369"/>
      <c r="V19" s="369"/>
      <c r="W19" s="369"/>
      <c r="X19" s="357">
        <f t="shared" si="53"/>
        <v>0</v>
      </c>
      <c r="Y19" s="386"/>
      <c r="Z19" s="369"/>
      <c r="AA19" s="369"/>
      <c r="AB19" s="369"/>
      <c r="AC19" s="357">
        <f t="shared" si="54"/>
        <v>0</v>
      </c>
      <c r="AD19" s="386"/>
      <c r="AE19" s="369"/>
      <c r="AF19" s="369"/>
      <c r="AG19" s="369"/>
      <c r="AH19" s="357">
        <f t="shared" si="55"/>
        <v>0</v>
      </c>
      <c r="AI19" s="386"/>
      <c r="AJ19" s="369"/>
      <c r="AK19" s="369"/>
      <c r="AL19" s="369"/>
      <c r="AM19" s="357">
        <f t="shared" si="56"/>
        <v>0</v>
      </c>
      <c r="AN19" s="386"/>
      <c r="AO19" s="369"/>
      <c r="AP19" s="369"/>
      <c r="AQ19" s="369"/>
      <c r="AR19" s="357">
        <f t="shared" si="4"/>
        <v>0</v>
      </c>
      <c r="AS19" s="386"/>
      <c r="AT19" s="369"/>
      <c r="AU19" s="369"/>
      <c r="AV19" s="369"/>
      <c r="AW19" s="357">
        <f t="shared" si="5"/>
        <v>0</v>
      </c>
      <c r="AX19" s="386"/>
      <c r="AY19" s="369"/>
      <c r="AZ19" s="369"/>
      <c r="BA19" s="369"/>
      <c r="BB19" s="357">
        <f t="shared" si="6"/>
        <v>0</v>
      </c>
      <c r="BC19" s="386"/>
      <c r="BD19" s="369"/>
      <c r="BE19" s="369"/>
      <c r="BF19" s="369"/>
      <c r="BG19" s="357">
        <f t="shared" si="7"/>
        <v>0</v>
      </c>
      <c r="BH19" s="386"/>
      <c r="BI19" s="369"/>
      <c r="BJ19" s="369"/>
      <c r="BK19" s="369"/>
      <c r="BL19" s="357">
        <f t="shared" si="8"/>
        <v>0</v>
      </c>
      <c r="BM19" s="386"/>
      <c r="BN19" s="369"/>
      <c r="BO19" s="369"/>
      <c r="BP19" s="369"/>
      <c r="BQ19" s="964">
        <f t="shared" si="9"/>
        <v>0</v>
      </c>
      <c r="BR19" s="386"/>
      <c r="BS19" s="369"/>
      <c r="BT19" s="369"/>
      <c r="BU19" s="369"/>
      <c r="BV19" s="964">
        <f t="shared" si="10"/>
        <v>0</v>
      </c>
      <c r="BW19" s="463"/>
      <c r="BX19" s="463"/>
      <c r="BY19" s="463"/>
      <c r="BZ19" s="463"/>
      <c r="CA19" s="463"/>
      <c r="CB19" s="370"/>
      <c r="CC19" s="395">
        <v>132</v>
      </c>
      <c r="CD19" s="371">
        <v>0.02</v>
      </c>
      <c r="CE19" s="979">
        <v>129.63814285714287</v>
      </c>
      <c r="CF19" s="371">
        <v>0.02</v>
      </c>
      <c r="CG19" s="979">
        <v>129.63814285714287</v>
      </c>
      <c r="CH19" s="371">
        <v>0.02</v>
      </c>
      <c r="CI19" s="405">
        <f t="shared" si="11"/>
        <v>0</v>
      </c>
      <c r="CJ19" s="372">
        <f t="shared" si="11"/>
        <v>0</v>
      </c>
      <c r="CK19" s="372">
        <f t="shared" si="11"/>
        <v>0</v>
      </c>
      <c r="CL19" s="406">
        <f t="shared" si="11"/>
        <v>0</v>
      </c>
      <c r="CM19" s="405">
        <f t="shared" si="57"/>
        <v>0</v>
      </c>
      <c r="CN19" s="372">
        <f t="shared" si="58"/>
        <v>0</v>
      </c>
      <c r="CO19" s="372">
        <f t="shared" si="59"/>
        <v>0</v>
      </c>
      <c r="CP19" s="406">
        <f t="shared" si="60"/>
        <v>0</v>
      </c>
      <c r="CQ19" s="405">
        <f t="shared" si="12"/>
        <v>0</v>
      </c>
      <c r="CR19" s="372">
        <f t="shared" si="12"/>
        <v>0</v>
      </c>
      <c r="CS19" s="372">
        <f t="shared" si="12"/>
        <v>0</v>
      </c>
      <c r="CT19" s="406">
        <f t="shared" si="12"/>
        <v>0</v>
      </c>
      <c r="CU19" s="405">
        <f t="shared" si="13"/>
        <v>0</v>
      </c>
      <c r="CV19" s="372">
        <f t="shared" si="13"/>
        <v>0</v>
      </c>
      <c r="CW19" s="372">
        <f t="shared" si="13"/>
        <v>0</v>
      </c>
      <c r="CX19" s="406">
        <f t="shared" si="13"/>
        <v>0</v>
      </c>
      <c r="CY19" s="405">
        <f t="shared" si="14"/>
        <v>0</v>
      </c>
      <c r="CZ19" s="372">
        <f t="shared" si="14"/>
        <v>0</v>
      </c>
      <c r="DA19" s="372">
        <f t="shared" si="14"/>
        <v>0</v>
      </c>
      <c r="DB19" s="406">
        <f t="shared" si="14"/>
        <v>0</v>
      </c>
      <c r="DC19" s="405">
        <f t="shared" si="15"/>
        <v>0</v>
      </c>
      <c r="DD19" s="372">
        <f t="shared" si="15"/>
        <v>0</v>
      </c>
      <c r="DE19" s="372">
        <f t="shared" si="15"/>
        <v>0</v>
      </c>
      <c r="DF19" s="668">
        <f t="shared" si="15"/>
        <v>0</v>
      </c>
      <c r="DG19" s="405">
        <f t="shared" si="16"/>
        <v>0</v>
      </c>
      <c r="DH19" s="372">
        <f t="shared" si="16"/>
        <v>0</v>
      </c>
      <c r="DI19" s="372">
        <f t="shared" si="16"/>
        <v>0</v>
      </c>
      <c r="DJ19" s="668">
        <f t="shared" si="16"/>
        <v>0</v>
      </c>
      <c r="DK19" s="673">
        <f t="shared" si="17"/>
        <v>0</v>
      </c>
      <c r="DL19" s="671">
        <f t="shared" si="17"/>
        <v>0</v>
      </c>
      <c r="DM19" s="671">
        <f t="shared" si="17"/>
        <v>0</v>
      </c>
      <c r="DN19" s="668">
        <f t="shared" si="17"/>
        <v>0</v>
      </c>
      <c r="DO19" s="673">
        <f t="shared" si="18"/>
        <v>0</v>
      </c>
      <c r="DP19" s="671">
        <f t="shared" si="18"/>
        <v>0</v>
      </c>
      <c r="DQ19" s="671">
        <f t="shared" si="18"/>
        <v>0</v>
      </c>
      <c r="DR19" s="668">
        <f t="shared" si="18"/>
        <v>0</v>
      </c>
      <c r="DS19" s="673">
        <f t="shared" si="19"/>
        <v>0</v>
      </c>
      <c r="DT19" s="671">
        <f t="shared" si="19"/>
        <v>0</v>
      </c>
      <c r="DU19" s="671">
        <f t="shared" si="19"/>
        <v>0</v>
      </c>
      <c r="DV19" s="668">
        <f t="shared" si="19"/>
        <v>0</v>
      </c>
      <c r="DW19" s="673">
        <f t="shared" si="20"/>
        <v>0</v>
      </c>
      <c r="DX19" s="671">
        <f t="shared" si="20"/>
        <v>0</v>
      </c>
      <c r="DY19" s="671">
        <f t="shared" si="20"/>
        <v>0</v>
      </c>
      <c r="DZ19" s="668">
        <f t="shared" si="20"/>
        <v>0</v>
      </c>
      <c r="EA19" s="673">
        <f t="shared" si="21"/>
        <v>0</v>
      </c>
      <c r="EB19" s="671">
        <f t="shared" si="21"/>
        <v>0</v>
      </c>
      <c r="EC19" s="671">
        <f t="shared" si="21"/>
        <v>0</v>
      </c>
      <c r="ED19" s="668">
        <f t="shared" si="21"/>
        <v>0</v>
      </c>
      <c r="EE19" s="673">
        <f t="shared" si="22"/>
        <v>0</v>
      </c>
      <c r="EF19" s="671">
        <f t="shared" si="22"/>
        <v>0</v>
      </c>
      <c r="EG19" s="671">
        <f t="shared" si="22"/>
        <v>0</v>
      </c>
      <c r="EH19" s="668">
        <f t="shared" si="22"/>
        <v>0</v>
      </c>
      <c r="EI19" s="673">
        <f t="shared" si="23"/>
        <v>0</v>
      </c>
      <c r="EJ19" s="671">
        <f t="shared" si="23"/>
        <v>0</v>
      </c>
      <c r="EK19" s="671">
        <f t="shared" si="23"/>
        <v>0</v>
      </c>
      <c r="EL19" s="668">
        <f t="shared" si="23"/>
        <v>0</v>
      </c>
      <c r="EM19" s="416">
        <f t="shared" si="24"/>
        <v>0</v>
      </c>
      <c r="EN19" s="416">
        <f t="shared" si="24"/>
        <v>0</v>
      </c>
      <c r="EO19" s="416">
        <f t="shared" si="24"/>
        <v>0</v>
      </c>
      <c r="EP19" s="416">
        <f t="shared" si="24"/>
        <v>0</v>
      </c>
      <c r="EQ19" s="416">
        <f t="shared" si="24"/>
        <v>0</v>
      </c>
      <c r="EU19" s="416">
        <f t="shared" si="25"/>
        <v>0</v>
      </c>
      <c r="EV19" s="416">
        <f t="shared" si="26"/>
        <v>0</v>
      </c>
      <c r="EW19" s="416">
        <f t="shared" si="27"/>
        <v>0</v>
      </c>
      <c r="EX19" s="416">
        <f t="shared" si="28"/>
        <v>0</v>
      </c>
      <c r="EY19" s="416">
        <f t="shared" si="29"/>
        <v>0</v>
      </c>
      <c r="EZ19" s="416">
        <f t="shared" si="30"/>
        <v>0</v>
      </c>
      <c r="FA19" s="416">
        <f t="shared" si="31"/>
        <v>0</v>
      </c>
      <c r="FB19" s="416">
        <f t="shared" si="32"/>
        <v>0</v>
      </c>
      <c r="FC19" s="416">
        <f t="shared" si="33"/>
        <v>0</v>
      </c>
      <c r="FD19" s="416">
        <f t="shared" si="34"/>
        <v>0</v>
      </c>
      <c r="FE19" s="416">
        <f t="shared" si="35"/>
        <v>0</v>
      </c>
      <c r="FF19" s="416">
        <f t="shared" si="36"/>
        <v>0</v>
      </c>
      <c r="FG19" s="416">
        <f t="shared" si="61"/>
        <v>0</v>
      </c>
      <c r="FH19" s="416">
        <f t="shared" si="62"/>
        <v>0</v>
      </c>
      <c r="FI19" s="416">
        <f t="shared" si="63"/>
        <v>0</v>
      </c>
      <c r="FJ19" s="416">
        <f t="shared" si="64"/>
        <v>0</v>
      </c>
      <c r="FK19" s="416">
        <f t="shared" si="64"/>
        <v>0</v>
      </c>
      <c r="FL19" s="416">
        <f t="shared" si="37"/>
        <v>0</v>
      </c>
      <c r="FM19" s="416">
        <f t="shared" si="37"/>
        <v>0</v>
      </c>
      <c r="FP19" s="416">
        <f t="shared" si="65"/>
        <v>0</v>
      </c>
      <c r="FQ19" s="416">
        <f t="shared" si="38"/>
        <v>0</v>
      </c>
      <c r="FR19" s="416">
        <f t="shared" si="39"/>
        <v>0</v>
      </c>
      <c r="FS19" s="416">
        <f t="shared" si="40"/>
        <v>0</v>
      </c>
      <c r="FT19" s="416">
        <f t="shared" si="41"/>
        <v>0</v>
      </c>
      <c r="FU19" s="416">
        <f t="shared" si="42"/>
        <v>0</v>
      </c>
      <c r="FV19" s="416">
        <f t="shared" si="43"/>
        <v>0</v>
      </c>
      <c r="FW19" s="416">
        <f t="shared" si="44"/>
        <v>0</v>
      </c>
      <c r="FX19" s="416">
        <f t="shared" si="45"/>
        <v>0</v>
      </c>
      <c r="FY19" s="416">
        <f t="shared" si="46"/>
        <v>0</v>
      </c>
      <c r="FZ19" s="416">
        <f t="shared" si="47"/>
        <v>0</v>
      </c>
      <c r="GA19" s="416">
        <f t="shared" si="48"/>
        <v>0</v>
      </c>
      <c r="GB19" s="416">
        <f t="shared" si="66"/>
        <v>0</v>
      </c>
      <c r="GC19" s="416">
        <f t="shared" si="67"/>
        <v>0</v>
      </c>
      <c r="GD19" s="416">
        <f t="shared" si="68"/>
        <v>0</v>
      </c>
      <c r="GE19" s="416">
        <f t="shared" si="69"/>
        <v>0</v>
      </c>
      <c r="GF19" s="416">
        <f t="shared" si="69"/>
        <v>0</v>
      </c>
      <c r="GG19" s="416">
        <f t="shared" si="49"/>
        <v>0</v>
      </c>
      <c r="GH19" s="416">
        <f t="shared" si="49"/>
        <v>0</v>
      </c>
    </row>
    <row r="20" spans="1:190" s="138" customFormat="1" outlineLevel="1" x14ac:dyDescent="0.25">
      <c r="A20" s="361"/>
      <c r="B20" s="426" t="s">
        <v>415</v>
      </c>
      <c r="C20" s="426"/>
      <c r="D20" s="426"/>
      <c r="E20" s="427"/>
      <c r="F20" s="428"/>
      <c r="G20" s="428"/>
      <c r="H20" s="428"/>
      <c r="I20" s="358">
        <f t="shared" si="50"/>
        <v>0</v>
      </c>
      <c r="J20" s="427"/>
      <c r="K20" s="428"/>
      <c r="L20" s="428"/>
      <c r="M20" s="428"/>
      <c r="N20" s="358">
        <f t="shared" si="51"/>
        <v>0</v>
      </c>
      <c r="O20" s="427"/>
      <c r="P20" s="428"/>
      <c r="Q20" s="428"/>
      <c r="R20" s="428"/>
      <c r="S20" s="358">
        <f t="shared" si="52"/>
        <v>0</v>
      </c>
      <c r="T20" s="427"/>
      <c r="U20" s="428"/>
      <c r="V20" s="428"/>
      <c r="W20" s="428"/>
      <c r="X20" s="358">
        <f t="shared" si="53"/>
        <v>0</v>
      </c>
      <c r="Y20" s="427"/>
      <c r="Z20" s="428"/>
      <c r="AA20" s="428"/>
      <c r="AB20" s="428"/>
      <c r="AC20" s="358">
        <f t="shared" si="54"/>
        <v>0</v>
      </c>
      <c r="AD20" s="427"/>
      <c r="AE20" s="428"/>
      <c r="AF20" s="428"/>
      <c r="AG20" s="428"/>
      <c r="AH20" s="358">
        <f t="shared" si="55"/>
        <v>0</v>
      </c>
      <c r="AI20" s="427"/>
      <c r="AJ20" s="428"/>
      <c r="AK20" s="428"/>
      <c r="AL20" s="428"/>
      <c r="AM20" s="358">
        <f t="shared" si="56"/>
        <v>0</v>
      </c>
      <c r="AN20" s="427"/>
      <c r="AO20" s="428"/>
      <c r="AP20" s="428"/>
      <c r="AQ20" s="428"/>
      <c r="AR20" s="358">
        <f t="shared" si="4"/>
        <v>0</v>
      </c>
      <c r="AS20" s="427"/>
      <c r="AT20" s="428"/>
      <c r="AU20" s="428"/>
      <c r="AV20" s="428"/>
      <c r="AW20" s="358">
        <f t="shared" si="5"/>
        <v>0</v>
      </c>
      <c r="AX20" s="427"/>
      <c r="AY20" s="428"/>
      <c r="AZ20" s="428"/>
      <c r="BA20" s="428"/>
      <c r="BB20" s="358">
        <f t="shared" si="6"/>
        <v>0</v>
      </c>
      <c r="BC20" s="427"/>
      <c r="BD20" s="428"/>
      <c r="BE20" s="428"/>
      <c r="BF20" s="428"/>
      <c r="BG20" s="358">
        <f t="shared" si="7"/>
        <v>0</v>
      </c>
      <c r="BH20" s="427"/>
      <c r="BI20" s="428"/>
      <c r="BJ20" s="428"/>
      <c r="BK20" s="428"/>
      <c r="BL20" s="358">
        <f t="shared" si="8"/>
        <v>0</v>
      </c>
      <c r="BM20" s="427"/>
      <c r="BN20" s="428"/>
      <c r="BO20" s="428"/>
      <c r="BP20" s="428"/>
      <c r="BQ20" s="965">
        <f t="shared" si="9"/>
        <v>0</v>
      </c>
      <c r="BR20" s="427"/>
      <c r="BS20" s="428"/>
      <c r="BT20" s="428"/>
      <c r="BU20" s="428"/>
      <c r="BV20" s="965">
        <f t="shared" si="10"/>
        <v>0</v>
      </c>
      <c r="BW20" s="429"/>
      <c r="BX20" s="429"/>
      <c r="BY20" s="429"/>
      <c r="BZ20" s="429"/>
      <c r="CA20" s="429"/>
      <c r="CB20" s="430"/>
      <c r="CC20" s="431">
        <v>135</v>
      </c>
      <c r="CD20" s="903">
        <v>0.02</v>
      </c>
      <c r="CE20" s="431">
        <f>CC20*(1+CD20)^2</f>
        <v>140.45400000000001</v>
      </c>
      <c r="CF20" s="903">
        <v>0.02</v>
      </c>
      <c r="CG20" s="431">
        <f>CE20*(1+CF20)^2</f>
        <v>146.1283416</v>
      </c>
      <c r="CH20" s="903">
        <v>0.02</v>
      </c>
      <c r="CI20" s="433">
        <f>(E20*$CC20*(1+$CD20)^CI$6)/4</f>
        <v>0</v>
      </c>
      <c r="CJ20" s="434">
        <f t="shared" si="11"/>
        <v>0</v>
      </c>
      <c r="CK20" s="434">
        <f t="shared" si="11"/>
        <v>0</v>
      </c>
      <c r="CL20" s="435">
        <f t="shared" si="11"/>
        <v>0</v>
      </c>
      <c r="CM20" s="433">
        <f t="shared" si="57"/>
        <v>0</v>
      </c>
      <c r="CN20" s="434">
        <f t="shared" si="58"/>
        <v>0</v>
      </c>
      <c r="CO20" s="434">
        <f t="shared" si="59"/>
        <v>0</v>
      </c>
      <c r="CP20" s="435">
        <f t="shared" si="60"/>
        <v>0</v>
      </c>
      <c r="CQ20" s="433">
        <f t="shared" si="12"/>
        <v>0</v>
      </c>
      <c r="CR20" s="434">
        <f t="shared" si="12"/>
        <v>0</v>
      </c>
      <c r="CS20" s="434">
        <f t="shared" si="12"/>
        <v>0</v>
      </c>
      <c r="CT20" s="435">
        <f t="shared" si="12"/>
        <v>0</v>
      </c>
      <c r="CU20" s="433">
        <f t="shared" si="13"/>
        <v>0</v>
      </c>
      <c r="CV20" s="434">
        <f t="shared" si="13"/>
        <v>0</v>
      </c>
      <c r="CW20" s="434">
        <f t="shared" si="13"/>
        <v>0</v>
      </c>
      <c r="CX20" s="435">
        <f t="shared" si="13"/>
        <v>0</v>
      </c>
      <c r="CY20" s="433">
        <f t="shared" si="14"/>
        <v>0</v>
      </c>
      <c r="CZ20" s="434">
        <f t="shared" si="14"/>
        <v>0</v>
      </c>
      <c r="DA20" s="434">
        <f t="shared" si="14"/>
        <v>0</v>
      </c>
      <c r="DB20" s="435">
        <f t="shared" si="14"/>
        <v>0</v>
      </c>
      <c r="DC20" s="433">
        <f t="shared" si="15"/>
        <v>0</v>
      </c>
      <c r="DD20" s="434">
        <f t="shared" si="15"/>
        <v>0</v>
      </c>
      <c r="DE20" s="434">
        <f t="shared" si="15"/>
        <v>0</v>
      </c>
      <c r="DF20" s="669">
        <f t="shared" si="15"/>
        <v>0</v>
      </c>
      <c r="DG20" s="433">
        <f t="shared" si="16"/>
        <v>0</v>
      </c>
      <c r="DH20" s="434">
        <f t="shared" si="16"/>
        <v>0</v>
      </c>
      <c r="DI20" s="434">
        <f t="shared" si="16"/>
        <v>0</v>
      </c>
      <c r="DJ20" s="669">
        <f t="shared" si="16"/>
        <v>0</v>
      </c>
      <c r="DK20" s="907">
        <f t="shared" si="17"/>
        <v>0</v>
      </c>
      <c r="DL20" s="672">
        <f t="shared" si="17"/>
        <v>0</v>
      </c>
      <c r="DM20" s="672">
        <f t="shared" si="17"/>
        <v>0</v>
      </c>
      <c r="DN20" s="669">
        <f t="shared" si="17"/>
        <v>0</v>
      </c>
      <c r="DO20" s="907">
        <f t="shared" si="18"/>
        <v>0</v>
      </c>
      <c r="DP20" s="672">
        <f t="shared" si="18"/>
        <v>0</v>
      </c>
      <c r="DQ20" s="672">
        <f t="shared" si="18"/>
        <v>0</v>
      </c>
      <c r="DR20" s="669">
        <f t="shared" si="18"/>
        <v>0</v>
      </c>
      <c r="DS20" s="907">
        <f t="shared" si="19"/>
        <v>0</v>
      </c>
      <c r="DT20" s="672">
        <f t="shared" si="19"/>
        <v>0</v>
      </c>
      <c r="DU20" s="672">
        <f t="shared" si="19"/>
        <v>0</v>
      </c>
      <c r="DV20" s="669">
        <f t="shared" si="19"/>
        <v>0</v>
      </c>
      <c r="DW20" s="907">
        <f t="shared" si="20"/>
        <v>0</v>
      </c>
      <c r="DX20" s="672">
        <f t="shared" si="20"/>
        <v>0</v>
      </c>
      <c r="DY20" s="672">
        <f t="shared" si="20"/>
        <v>0</v>
      </c>
      <c r="DZ20" s="669">
        <f t="shared" si="20"/>
        <v>0</v>
      </c>
      <c r="EA20" s="907">
        <f t="shared" si="21"/>
        <v>0</v>
      </c>
      <c r="EB20" s="672">
        <f t="shared" si="21"/>
        <v>0</v>
      </c>
      <c r="EC20" s="672">
        <f t="shared" si="21"/>
        <v>0</v>
      </c>
      <c r="ED20" s="669">
        <f t="shared" si="21"/>
        <v>0</v>
      </c>
      <c r="EE20" s="907">
        <f t="shared" si="22"/>
        <v>0</v>
      </c>
      <c r="EF20" s="672">
        <f t="shared" si="22"/>
        <v>0</v>
      </c>
      <c r="EG20" s="672">
        <f t="shared" si="22"/>
        <v>0</v>
      </c>
      <c r="EH20" s="669">
        <f t="shared" si="22"/>
        <v>0</v>
      </c>
      <c r="EI20" s="907">
        <f t="shared" si="23"/>
        <v>0</v>
      </c>
      <c r="EJ20" s="672">
        <f t="shared" si="23"/>
        <v>0</v>
      </c>
      <c r="EK20" s="672">
        <f t="shared" si="23"/>
        <v>0</v>
      </c>
      <c r="EL20" s="669">
        <f t="shared" si="23"/>
        <v>0</v>
      </c>
      <c r="EM20" s="436">
        <f t="shared" si="24"/>
        <v>0</v>
      </c>
      <c r="EN20" s="436">
        <f t="shared" si="24"/>
        <v>0</v>
      </c>
      <c r="EO20" s="436">
        <f t="shared" si="24"/>
        <v>0</v>
      </c>
      <c r="EP20" s="436">
        <f t="shared" si="24"/>
        <v>0</v>
      </c>
      <c r="EQ20" s="436">
        <f t="shared" si="24"/>
        <v>0</v>
      </c>
      <c r="ER20" s="437"/>
      <c r="ES20" s="437"/>
      <c r="ET20" s="437"/>
      <c r="EU20" s="436">
        <f t="shared" si="25"/>
        <v>0</v>
      </c>
      <c r="EV20" s="436">
        <f t="shared" si="26"/>
        <v>0</v>
      </c>
      <c r="EW20" s="436">
        <f t="shared" si="27"/>
        <v>0</v>
      </c>
      <c r="EX20" s="436">
        <f t="shared" si="28"/>
        <v>0</v>
      </c>
      <c r="EY20" s="436">
        <f t="shared" si="29"/>
        <v>0</v>
      </c>
      <c r="EZ20" s="436">
        <f t="shared" si="30"/>
        <v>0</v>
      </c>
      <c r="FA20" s="436">
        <f t="shared" si="31"/>
        <v>0</v>
      </c>
      <c r="FB20" s="436">
        <f t="shared" si="32"/>
        <v>0</v>
      </c>
      <c r="FC20" s="436">
        <f t="shared" si="33"/>
        <v>0</v>
      </c>
      <c r="FD20" s="436">
        <f t="shared" si="34"/>
        <v>0</v>
      </c>
      <c r="FE20" s="436">
        <f t="shared" si="35"/>
        <v>0</v>
      </c>
      <c r="FF20" s="436">
        <f t="shared" si="36"/>
        <v>0</v>
      </c>
      <c r="FG20" s="436">
        <f t="shared" si="61"/>
        <v>0</v>
      </c>
      <c r="FH20" s="436">
        <f t="shared" si="62"/>
        <v>0</v>
      </c>
      <c r="FI20" s="436">
        <f t="shared" si="63"/>
        <v>0</v>
      </c>
      <c r="FJ20" s="436">
        <f t="shared" si="64"/>
        <v>0</v>
      </c>
      <c r="FK20" s="436">
        <f t="shared" si="64"/>
        <v>0</v>
      </c>
      <c r="FL20" s="436">
        <f t="shared" si="37"/>
        <v>0</v>
      </c>
      <c r="FM20" s="436">
        <f t="shared" si="37"/>
        <v>0</v>
      </c>
      <c r="FN20" s="437"/>
      <c r="FO20" s="437"/>
      <c r="FP20" s="436">
        <f t="shared" si="65"/>
        <v>0</v>
      </c>
      <c r="FQ20" s="436">
        <f t="shared" si="38"/>
        <v>0</v>
      </c>
      <c r="FR20" s="436">
        <f t="shared" si="39"/>
        <v>0</v>
      </c>
      <c r="FS20" s="436">
        <f t="shared" si="40"/>
        <v>0</v>
      </c>
      <c r="FT20" s="436">
        <f t="shared" si="41"/>
        <v>0</v>
      </c>
      <c r="FU20" s="436">
        <f t="shared" si="42"/>
        <v>0</v>
      </c>
      <c r="FV20" s="436">
        <f t="shared" si="43"/>
        <v>0</v>
      </c>
      <c r="FW20" s="436">
        <f t="shared" si="44"/>
        <v>0</v>
      </c>
      <c r="FX20" s="436">
        <f t="shared" si="45"/>
        <v>0</v>
      </c>
      <c r="FY20" s="436">
        <f t="shared" si="46"/>
        <v>0</v>
      </c>
      <c r="FZ20" s="436">
        <f t="shared" si="47"/>
        <v>0</v>
      </c>
      <c r="GA20" s="436">
        <f t="shared" si="48"/>
        <v>0</v>
      </c>
      <c r="GB20" s="436">
        <f t="shared" si="66"/>
        <v>0</v>
      </c>
      <c r="GC20" s="436">
        <f t="shared" si="67"/>
        <v>0</v>
      </c>
      <c r="GD20" s="436">
        <f t="shared" si="68"/>
        <v>0</v>
      </c>
      <c r="GE20" s="436">
        <f t="shared" si="69"/>
        <v>0</v>
      </c>
      <c r="GF20" s="436">
        <f t="shared" si="69"/>
        <v>0</v>
      </c>
      <c r="GG20" s="436">
        <f t="shared" si="49"/>
        <v>0</v>
      </c>
      <c r="GH20" s="436">
        <f t="shared" si="49"/>
        <v>0</v>
      </c>
    </row>
    <row r="21" spans="1:190" s="86" customFormat="1" x14ac:dyDescent="0.25">
      <c r="A21" s="367"/>
      <c r="B21" s="345" t="s">
        <v>416</v>
      </c>
      <c r="C21" s="345"/>
      <c r="D21" s="345"/>
      <c r="E21" s="346">
        <f>SUM(E13:E20)</f>
        <v>0</v>
      </c>
      <c r="F21" s="348">
        <f>SUM(F13:F20)</f>
        <v>0</v>
      </c>
      <c r="G21" s="348">
        <f>SUM(G13:G20)</f>
        <v>0</v>
      </c>
      <c r="H21" s="348">
        <f>SUM(H13:H20)</f>
        <v>0</v>
      </c>
      <c r="I21" s="357">
        <f>SUM(E21:H21)/4</f>
        <v>0</v>
      </c>
      <c r="J21" s="346">
        <f>SUM(J13:J20)</f>
        <v>0</v>
      </c>
      <c r="K21" s="348">
        <f>SUM(K13:K20)</f>
        <v>0</v>
      </c>
      <c r="L21" s="348">
        <f>SUM(L13:L20)</f>
        <v>0</v>
      </c>
      <c r="M21" s="348">
        <f>SUM(M13:M20)</f>
        <v>0</v>
      </c>
      <c r="N21" s="357">
        <f t="shared" si="51"/>
        <v>0</v>
      </c>
      <c r="O21" s="346">
        <f>SUM(O13:O20)</f>
        <v>0</v>
      </c>
      <c r="P21" s="348">
        <f>SUM(P13:P20)</f>
        <v>0</v>
      </c>
      <c r="Q21" s="348">
        <f>SUM(Q13:Q20)</f>
        <v>0</v>
      </c>
      <c r="R21" s="348">
        <f>SUM(R13:R20)</f>
        <v>0</v>
      </c>
      <c r="S21" s="357">
        <f t="shared" si="52"/>
        <v>0</v>
      </c>
      <c r="T21" s="346">
        <f>SUM(T13:T20)</f>
        <v>0</v>
      </c>
      <c r="U21" s="348">
        <f>SUM(U13:U20)</f>
        <v>0</v>
      </c>
      <c r="V21" s="348">
        <f>SUM(V13:V20)</f>
        <v>0</v>
      </c>
      <c r="W21" s="348">
        <f>SUM(W13:W20)</f>
        <v>0</v>
      </c>
      <c r="X21" s="357">
        <f t="shared" si="53"/>
        <v>0</v>
      </c>
      <c r="Y21" s="346">
        <f>SUM(Y13:Y20)</f>
        <v>0</v>
      </c>
      <c r="Z21" s="348">
        <f>SUM(Z13:Z20)</f>
        <v>0</v>
      </c>
      <c r="AA21" s="348">
        <f>SUM(AA13:AA20)</f>
        <v>0</v>
      </c>
      <c r="AB21" s="348">
        <f>SUM(AB13:AB20)</f>
        <v>0</v>
      </c>
      <c r="AC21" s="357">
        <f t="shared" si="54"/>
        <v>0</v>
      </c>
      <c r="AD21" s="346">
        <f>SUM(AD13:AD20)</f>
        <v>0</v>
      </c>
      <c r="AE21" s="348">
        <f>SUM(AE13:AE20)</f>
        <v>0</v>
      </c>
      <c r="AF21" s="348">
        <f>SUM(AF13:AF20)</f>
        <v>0</v>
      </c>
      <c r="AG21" s="348">
        <f>SUM(AG13:AG20)</f>
        <v>0</v>
      </c>
      <c r="AH21" s="357">
        <f t="shared" si="55"/>
        <v>0</v>
      </c>
      <c r="AI21" s="346">
        <f>SUM(AI13:AI20)</f>
        <v>0</v>
      </c>
      <c r="AJ21" s="348">
        <f>SUM(AJ13:AJ20)</f>
        <v>0</v>
      </c>
      <c r="AK21" s="348">
        <f>SUM(AK13:AK20)</f>
        <v>0</v>
      </c>
      <c r="AL21" s="348">
        <f>SUM(AL13:AL20)</f>
        <v>0</v>
      </c>
      <c r="AM21" s="357">
        <f t="shared" si="56"/>
        <v>0</v>
      </c>
      <c r="AN21" s="346">
        <f t="shared" ref="AN21:BK21" si="70">SUM(AN13:AN20)</f>
        <v>0</v>
      </c>
      <c r="AO21" s="348">
        <f t="shared" si="70"/>
        <v>0</v>
      </c>
      <c r="AP21" s="348">
        <f t="shared" si="70"/>
        <v>0</v>
      </c>
      <c r="AQ21" s="348">
        <f t="shared" si="70"/>
        <v>0</v>
      </c>
      <c r="AR21" s="357">
        <f t="shared" si="4"/>
        <v>0</v>
      </c>
      <c r="AS21" s="346">
        <f t="shared" si="70"/>
        <v>2.5</v>
      </c>
      <c r="AT21" s="348">
        <f t="shared" si="70"/>
        <v>3</v>
      </c>
      <c r="AU21" s="348">
        <f t="shared" si="70"/>
        <v>4</v>
      </c>
      <c r="AV21" s="348">
        <f t="shared" si="70"/>
        <v>4</v>
      </c>
      <c r="AW21" s="357">
        <f t="shared" si="5"/>
        <v>3.375</v>
      </c>
      <c r="AX21" s="346">
        <f t="shared" si="70"/>
        <v>11.5</v>
      </c>
      <c r="AY21" s="348">
        <f t="shared" si="70"/>
        <v>11.5</v>
      </c>
      <c r="AZ21" s="348">
        <f t="shared" si="70"/>
        <v>11.5</v>
      </c>
      <c r="BA21" s="348">
        <f t="shared" si="70"/>
        <v>11.5</v>
      </c>
      <c r="BB21" s="357">
        <f t="shared" si="6"/>
        <v>11.5</v>
      </c>
      <c r="BC21" s="346">
        <f t="shared" si="70"/>
        <v>11</v>
      </c>
      <c r="BD21" s="348">
        <f t="shared" si="70"/>
        <v>11</v>
      </c>
      <c r="BE21" s="348">
        <f t="shared" si="70"/>
        <v>11</v>
      </c>
      <c r="BF21" s="348">
        <f t="shared" si="70"/>
        <v>11</v>
      </c>
      <c r="BG21" s="357">
        <f t="shared" si="7"/>
        <v>11</v>
      </c>
      <c r="BH21" s="346">
        <f t="shared" si="70"/>
        <v>10</v>
      </c>
      <c r="BI21" s="348">
        <f t="shared" si="70"/>
        <v>10</v>
      </c>
      <c r="BJ21" s="348">
        <f t="shared" si="70"/>
        <v>10</v>
      </c>
      <c r="BK21" s="348">
        <f t="shared" si="70"/>
        <v>10</v>
      </c>
      <c r="BL21" s="357">
        <f t="shared" si="8"/>
        <v>10</v>
      </c>
      <c r="BM21" s="346">
        <f t="shared" ref="BM21:BP21" si="71">SUM(BM13:BM20)</f>
        <v>2</v>
      </c>
      <c r="BN21" s="348">
        <f t="shared" si="71"/>
        <v>2</v>
      </c>
      <c r="BO21" s="348">
        <f t="shared" si="71"/>
        <v>2</v>
      </c>
      <c r="BP21" s="348">
        <f t="shared" si="71"/>
        <v>2</v>
      </c>
      <c r="BQ21" s="966">
        <f t="shared" si="9"/>
        <v>2</v>
      </c>
      <c r="BR21" s="346">
        <f t="shared" ref="BR21:BU21" si="72">SUM(BR13:BR20)</f>
        <v>0</v>
      </c>
      <c r="BS21" s="348">
        <f t="shared" si="72"/>
        <v>0</v>
      </c>
      <c r="BT21" s="348">
        <f t="shared" si="72"/>
        <v>0</v>
      </c>
      <c r="BU21" s="348">
        <f t="shared" si="72"/>
        <v>0</v>
      </c>
      <c r="BV21" s="966">
        <f t="shared" si="10"/>
        <v>0</v>
      </c>
      <c r="BW21" s="347">
        <f>SUM(BW13:BW20)</f>
        <v>0</v>
      </c>
      <c r="BX21" s="347">
        <f>SUM(BX13:BX20)</f>
        <v>0</v>
      </c>
      <c r="BY21" s="347">
        <f>SUM(BY13:BY20)</f>
        <v>0</v>
      </c>
      <c r="BZ21" s="347">
        <f t="shared" ref="BZ21:CA21" si="73">SUM(BZ13:BZ20)</f>
        <v>0</v>
      </c>
      <c r="CA21" s="347">
        <f t="shared" si="73"/>
        <v>0</v>
      </c>
      <c r="CB21" s="349"/>
      <c r="CC21" s="396"/>
      <c r="CD21" s="373"/>
      <c r="CE21" s="396"/>
      <c r="CF21" s="373"/>
      <c r="CG21" s="396"/>
      <c r="CH21" s="373"/>
      <c r="CI21" s="393">
        <f t="shared" ref="CI21:EQ21" si="74">SUM(CI13:CI20)</f>
        <v>0</v>
      </c>
      <c r="CJ21" s="374">
        <f t="shared" si="74"/>
        <v>0</v>
      </c>
      <c r="CK21" s="374">
        <f t="shared" si="74"/>
        <v>0</v>
      </c>
      <c r="CL21" s="394">
        <f t="shared" si="74"/>
        <v>0</v>
      </c>
      <c r="CM21" s="393">
        <f t="shared" si="74"/>
        <v>0</v>
      </c>
      <c r="CN21" s="374">
        <f t="shared" si="74"/>
        <v>0</v>
      </c>
      <c r="CO21" s="374">
        <f t="shared" si="74"/>
        <v>0</v>
      </c>
      <c r="CP21" s="394">
        <f t="shared" si="74"/>
        <v>0</v>
      </c>
      <c r="CQ21" s="393">
        <f t="shared" si="74"/>
        <v>0</v>
      </c>
      <c r="CR21" s="374">
        <f t="shared" si="74"/>
        <v>0</v>
      </c>
      <c r="CS21" s="374">
        <f t="shared" si="74"/>
        <v>0</v>
      </c>
      <c r="CT21" s="394">
        <f t="shared" si="74"/>
        <v>0</v>
      </c>
      <c r="CU21" s="393">
        <f t="shared" si="74"/>
        <v>0</v>
      </c>
      <c r="CV21" s="374">
        <f t="shared" si="74"/>
        <v>0</v>
      </c>
      <c r="CW21" s="374">
        <f t="shared" si="74"/>
        <v>0</v>
      </c>
      <c r="CX21" s="394">
        <f t="shared" si="74"/>
        <v>0</v>
      </c>
      <c r="CY21" s="393">
        <f t="shared" si="74"/>
        <v>0</v>
      </c>
      <c r="CZ21" s="374">
        <f t="shared" si="74"/>
        <v>0</v>
      </c>
      <c r="DA21" s="374">
        <f t="shared" si="74"/>
        <v>0</v>
      </c>
      <c r="DB21" s="394">
        <f t="shared" si="74"/>
        <v>0</v>
      </c>
      <c r="DC21" s="393">
        <f t="shared" si="74"/>
        <v>0</v>
      </c>
      <c r="DD21" s="374">
        <f t="shared" si="74"/>
        <v>0</v>
      </c>
      <c r="DE21" s="374">
        <f t="shared" si="74"/>
        <v>0</v>
      </c>
      <c r="DF21" s="394">
        <f t="shared" si="74"/>
        <v>0</v>
      </c>
      <c r="DG21" s="393">
        <f t="shared" si="74"/>
        <v>0</v>
      </c>
      <c r="DH21" s="374">
        <f t="shared" si="74"/>
        <v>0</v>
      </c>
      <c r="DI21" s="374">
        <f t="shared" si="74"/>
        <v>0</v>
      </c>
      <c r="DJ21" s="394">
        <f t="shared" si="74"/>
        <v>0</v>
      </c>
      <c r="DK21" s="393">
        <f t="shared" si="74"/>
        <v>0</v>
      </c>
      <c r="DL21" s="374">
        <f t="shared" si="74"/>
        <v>0</v>
      </c>
      <c r="DM21" s="374">
        <f t="shared" si="74"/>
        <v>0</v>
      </c>
      <c r="DN21" s="394">
        <f t="shared" si="74"/>
        <v>0</v>
      </c>
      <c r="DO21" s="393">
        <f t="shared" si="74"/>
        <v>96.162962826755461</v>
      </c>
      <c r="DP21" s="374">
        <f t="shared" si="74"/>
        <v>115.39555539210654</v>
      </c>
      <c r="DQ21" s="374">
        <f t="shared" si="74"/>
        <v>153.86074052280873</v>
      </c>
      <c r="DR21" s="394">
        <f t="shared" si="74"/>
        <v>153.86074052280873</v>
      </c>
      <c r="DS21" s="393">
        <f t="shared" si="74"/>
        <v>482.87730196344518</v>
      </c>
      <c r="DT21" s="374">
        <f t="shared" si="74"/>
        <v>482.87730196344518</v>
      </c>
      <c r="DU21" s="374">
        <f t="shared" si="74"/>
        <v>482.87730196344518</v>
      </c>
      <c r="DV21" s="394">
        <f t="shared" si="74"/>
        <v>482.87730196344518</v>
      </c>
      <c r="DW21" s="393">
        <f t="shared" si="74"/>
        <v>476.95174342173431</v>
      </c>
      <c r="DX21" s="374">
        <f t="shared" si="74"/>
        <v>476.95174342173431</v>
      </c>
      <c r="DY21" s="374">
        <f t="shared" si="74"/>
        <v>476.95174342173431</v>
      </c>
      <c r="DZ21" s="394">
        <f t="shared" si="74"/>
        <v>476.95174342173431</v>
      </c>
      <c r="EA21" s="393">
        <f t="shared" si="74"/>
        <v>447.04472471556119</v>
      </c>
      <c r="EB21" s="374">
        <f t="shared" si="74"/>
        <v>447.04472471556119</v>
      </c>
      <c r="EC21" s="374">
        <f t="shared" si="74"/>
        <v>447.04472471556119</v>
      </c>
      <c r="ED21" s="394">
        <f t="shared" si="74"/>
        <v>447.04472471556119</v>
      </c>
      <c r="EE21" s="393">
        <f t="shared" si="74"/>
        <v>101.13827092612242</v>
      </c>
      <c r="EF21" s="374">
        <f t="shared" si="74"/>
        <v>101.13827092612242</v>
      </c>
      <c r="EG21" s="374">
        <f t="shared" si="74"/>
        <v>101.13827092612242</v>
      </c>
      <c r="EH21" s="394">
        <f t="shared" si="74"/>
        <v>101.13827092612242</v>
      </c>
      <c r="EI21" s="393">
        <f t="shared" si="74"/>
        <v>0</v>
      </c>
      <c r="EJ21" s="374">
        <f t="shared" si="74"/>
        <v>0</v>
      </c>
      <c r="EK21" s="374">
        <f t="shared" si="74"/>
        <v>0</v>
      </c>
      <c r="EL21" s="394">
        <f t="shared" si="74"/>
        <v>0</v>
      </c>
      <c r="EM21" s="417">
        <f t="shared" si="74"/>
        <v>0</v>
      </c>
      <c r="EN21" s="417">
        <f t="shared" si="74"/>
        <v>0</v>
      </c>
      <c r="EO21" s="417">
        <f t="shared" si="74"/>
        <v>0</v>
      </c>
      <c r="EP21" s="417">
        <f t="shared" si="74"/>
        <v>0</v>
      </c>
      <c r="EQ21" s="417">
        <f t="shared" si="74"/>
        <v>0</v>
      </c>
      <c r="EU21" s="417">
        <f t="shared" ref="EU21:FC21" si="75">SUM(EU13:EU20)</f>
        <v>0</v>
      </c>
      <c r="EV21" s="417">
        <f t="shared" si="75"/>
        <v>0</v>
      </c>
      <c r="EW21" s="417">
        <f t="shared" si="75"/>
        <v>0</v>
      </c>
      <c r="EX21" s="417">
        <f t="shared" si="75"/>
        <v>0</v>
      </c>
      <c r="EY21" s="417">
        <f t="shared" si="75"/>
        <v>0</v>
      </c>
      <c r="EZ21" s="417">
        <f t="shared" si="75"/>
        <v>0</v>
      </c>
      <c r="FA21" s="417">
        <f t="shared" si="75"/>
        <v>0</v>
      </c>
      <c r="FB21" s="417">
        <f t="shared" si="75"/>
        <v>0</v>
      </c>
      <c r="FC21" s="417">
        <f t="shared" si="75"/>
        <v>519.27999926447944</v>
      </c>
      <c r="FD21" s="417">
        <f t="shared" ref="FD21:FK21" si="76">SUM(FD13:FD20)</f>
        <v>1931.5092078537807</v>
      </c>
      <c r="FE21" s="417">
        <f t="shared" si="76"/>
        <v>1907.8069736869372</v>
      </c>
      <c r="FF21" s="417">
        <f t="shared" si="76"/>
        <v>1788.1788988622448</v>
      </c>
      <c r="FG21" s="417">
        <f t="shared" ref="FG21:FH21" si="77">SUM(FG13:FG20)</f>
        <v>404.55308370448967</v>
      </c>
      <c r="FH21" s="417">
        <f t="shared" si="77"/>
        <v>0</v>
      </c>
      <c r="FI21" s="417">
        <f t="shared" si="76"/>
        <v>0</v>
      </c>
      <c r="FJ21" s="417">
        <f t="shared" si="76"/>
        <v>0</v>
      </c>
      <c r="FK21" s="417">
        <f t="shared" si="76"/>
        <v>0</v>
      </c>
      <c r="FL21" s="417">
        <f t="shared" ref="FL21:FM21" si="78">SUM(FL13:FL20)</f>
        <v>0</v>
      </c>
      <c r="FM21" s="417">
        <f t="shared" si="78"/>
        <v>0</v>
      </c>
      <c r="FP21" s="417">
        <f t="shared" ref="FP21:FX21" si="79">SUM(FP13:FP20)</f>
        <v>0</v>
      </c>
      <c r="FQ21" s="417">
        <f t="shared" si="79"/>
        <v>0</v>
      </c>
      <c r="FR21" s="417">
        <f t="shared" si="79"/>
        <v>0</v>
      </c>
      <c r="FS21" s="417">
        <f t="shared" si="79"/>
        <v>0</v>
      </c>
      <c r="FT21" s="417">
        <f t="shared" si="79"/>
        <v>0</v>
      </c>
      <c r="FU21" s="417">
        <f t="shared" si="79"/>
        <v>0</v>
      </c>
      <c r="FV21" s="417">
        <f t="shared" si="79"/>
        <v>0</v>
      </c>
      <c r="FW21" s="417">
        <f t="shared" si="79"/>
        <v>0</v>
      </c>
      <c r="FX21" s="417">
        <f t="shared" si="79"/>
        <v>153.86074052280873</v>
      </c>
      <c r="FY21" s="417">
        <f t="shared" ref="FY21:GF21" si="80">SUM(FY13:FY20)</f>
        <v>1931.5092078537807</v>
      </c>
      <c r="FZ21" s="417">
        <f t="shared" si="80"/>
        <v>1907.8069736869372</v>
      </c>
      <c r="GA21" s="417">
        <f t="shared" si="80"/>
        <v>1788.1788988622448</v>
      </c>
      <c r="GB21" s="417">
        <f t="shared" si="80"/>
        <v>404.55308370448967</v>
      </c>
      <c r="GC21" s="417">
        <f t="shared" si="80"/>
        <v>404.55308370448967</v>
      </c>
      <c r="GD21" s="417">
        <f t="shared" si="80"/>
        <v>0</v>
      </c>
      <c r="GE21" s="417">
        <f t="shared" si="80"/>
        <v>0</v>
      </c>
      <c r="GF21" s="417">
        <f t="shared" si="80"/>
        <v>0</v>
      </c>
      <c r="GG21" s="417">
        <f t="shared" ref="GG21:GH21" si="81">SUM(GG13:GG20)</f>
        <v>0</v>
      </c>
      <c r="GH21" s="417">
        <f t="shared" si="81"/>
        <v>0</v>
      </c>
    </row>
    <row r="22" spans="1:190" s="138" customFormat="1" x14ac:dyDescent="0.25">
      <c r="A22" s="361"/>
      <c r="B22" s="368"/>
      <c r="C22" s="368"/>
      <c r="D22" s="368"/>
      <c r="E22" s="387"/>
      <c r="F22" s="375"/>
      <c r="G22" s="375"/>
      <c r="H22" s="375"/>
      <c r="I22" s="357"/>
      <c r="J22" s="387"/>
      <c r="K22" s="375"/>
      <c r="L22" s="375"/>
      <c r="M22" s="375"/>
      <c r="N22" s="357"/>
      <c r="O22" s="387"/>
      <c r="P22" s="375"/>
      <c r="Q22" s="375"/>
      <c r="R22" s="375"/>
      <c r="S22" s="357"/>
      <c r="T22" s="387"/>
      <c r="U22" s="375"/>
      <c r="V22" s="375"/>
      <c r="W22" s="375"/>
      <c r="X22" s="357"/>
      <c r="Y22" s="387"/>
      <c r="Z22" s="375"/>
      <c r="AA22" s="375"/>
      <c r="AB22" s="375"/>
      <c r="AC22" s="357"/>
      <c r="AD22" s="663"/>
      <c r="AE22" s="663"/>
      <c r="AF22" s="663"/>
      <c r="AG22" s="663"/>
      <c r="AH22" s="357"/>
      <c r="AI22" s="387"/>
      <c r="AJ22" s="375"/>
      <c r="AK22" s="375"/>
      <c r="AL22" s="375"/>
      <c r="AM22" s="715"/>
      <c r="AN22" s="387"/>
      <c r="AO22" s="375"/>
      <c r="AP22" s="375"/>
      <c r="AQ22" s="375"/>
      <c r="AR22" s="715"/>
      <c r="AS22" s="387"/>
      <c r="AT22" s="375"/>
      <c r="AU22" s="375"/>
      <c r="AV22" s="375"/>
      <c r="AW22" s="715"/>
      <c r="AX22" s="387"/>
      <c r="AY22" s="375"/>
      <c r="AZ22" s="375"/>
      <c r="BA22" s="375"/>
      <c r="BB22" s="715"/>
      <c r="BC22" s="387"/>
      <c r="BD22" s="375"/>
      <c r="BE22" s="375"/>
      <c r="BF22" s="375"/>
      <c r="BG22" s="715"/>
      <c r="BH22" s="387"/>
      <c r="BI22" s="375"/>
      <c r="BJ22" s="375"/>
      <c r="BK22" s="375"/>
      <c r="BL22" s="715"/>
      <c r="BM22" s="387"/>
      <c r="BN22" s="375"/>
      <c r="BO22" s="375"/>
      <c r="BP22" s="375"/>
      <c r="BQ22" s="967"/>
      <c r="BR22" s="387"/>
      <c r="BS22" s="375"/>
      <c r="BT22" s="375"/>
      <c r="BU22" s="375"/>
      <c r="BV22" s="967"/>
      <c r="BW22" s="390"/>
      <c r="BX22" s="390"/>
      <c r="BY22" s="390"/>
      <c r="BZ22" s="390"/>
      <c r="CA22" s="390"/>
      <c r="CB22" s="370"/>
      <c r="CC22" s="397"/>
      <c r="CD22" s="376"/>
      <c r="CE22" s="397"/>
      <c r="CF22" s="376"/>
      <c r="CG22" s="397"/>
      <c r="CH22" s="376"/>
      <c r="CI22" s="405"/>
      <c r="CJ22" s="372"/>
      <c r="CK22" s="372"/>
      <c r="CL22" s="406"/>
      <c r="CM22" s="405"/>
      <c r="CN22" s="372"/>
      <c r="CO22" s="372"/>
      <c r="CP22" s="406"/>
      <c r="CQ22" s="405"/>
      <c r="CR22" s="372"/>
      <c r="CS22" s="372"/>
      <c r="CT22" s="406"/>
      <c r="CU22" s="405"/>
      <c r="CV22" s="372"/>
      <c r="CW22" s="372"/>
      <c r="CX22" s="406"/>
      <c r="CY22" s="405"/>
      <c r="CZ22" s="372"/>
      <c r="DA22" s="372"/>
      <c r="DB22" s="406"/>
      <c r="DC22" s="372"/>
      <c r="DD22" s="372"/>
      <c r="DE22" s="372"/>
      <c r="DF22" s="668"/>
      <c r="DG22" s="671"/>
      <c r="DH22" s="671"/>
      <c r="DI22" s="671"/>
      <c r="DJ22" s="668"/>
      <c r="DK22" s="671"/>
      <c r="DL22" s="671"/>
      <c r="DM22" s="671"/>
      <c r="DN22" s="668"/>
      <c r="DO22" s="671"/>
      <c r="DP22" s="671"/>
      <c r="DQ22" s="671"/>
      <c r="DR22" s="668"/>
      <c r="DS22" s="673"/>
      <c r="DT22" s="671"/>
      <c r="DU22" s="671"/>
      <c r="DV22" s="668"/>
      <c r="DW22" s="673"/>
      <c r="DX22" s="671"/>
      <c r="DY22" s="671"/>
      <c r="DZ22" s="668"/>
      <c r="EA22" s="673"/>
      <c r="EB22" s="671"/>
      <c r="EC22" s="671"/>
      <c r="ED22" s="668"/>
      <c r="EE22" s="673"/>
      <c r="EF22" s="671"/>
      <c r="EG22" s="671"/>
      <c r="EH22" s="668"/>
      <c r="EI22" s="673"/>
      <c r="EJ22" s="671"/>
      <c r="EK22" s="671"/>
      <c r="EL22" s="668"/>
      <c r="EM22" s="416"/>
      <c r="EN22" s="416"/>
      <c r="EO22" s="416"/>
      <c r="EP22" s="416"/>
      <c r="EQ22" s="416"/>
      <c r="EU22" s="416"/>
      <c r="EV22" s="416"/>
      <c r="EW22" s="416"/>
      <c r="EX22" s="416"/>
      <c r="EY22" s="416"/>
      <c r="EZ22" s="416"/>
      <c r="FA22" s="416"/>
      <c r="FB22" s="416"/>
      <c r="FC22" s="416"/>
      <c r="FD22" s="416"/>
      <c r="FE22" s="416"/>
      <c r="FF22" s="416"/>
      <c r="FG22" s="416"/>
      <c r="FH22" s="416"/>
      <c r="FI22" s="416"/>
      <c r="FJ22" s="416"/>
      <c r="FK22" s="416"/>
      <c r="FL22" s="416"/>
      <c r="FM22" s="416"/>
      <c r="FP22" s="416"/>
      <c r="FQ22" s="416"/>
      <c r="FR22" s="416"/>
      <c r="FS22" s="416"/>
      <c r="FT22" s="416"/>
      <c r="FU22" s="416"/>
      <c r="FV22" s="416"/>
      <c r="FW22" s="416"/>
      <c r="FX22" s="416"/>
      <c r="FY22" s="416"/>
      <c r="FZ22" s="416"/>
      <c r="GA22" s="416"/>
      <c r="GB22" s="416"/>
      <c r="GC22" s="416"/>
      <c r="GD22" s="416"/>
      <c r="GE22" s="416"/>
      <c r="GF22" s="416"/>
      <c r="GG22" s="416"/>
      <c r="GH22" s="416"/>
    </row>
    <row r="23" spans="1:190" s="138" customFormat="1" x14ac:dyDescent="0.25">
      <c r="A23" s="367" t="s">
        <v>417</v>
      </c>
      <c r="B23" s="368"/>
      <c r="C23" s="368"/>
      <c r="D23" s="368"/>
      <c r="E23" s="387"/>
      <c r="F23" s="375"/>
      <c r="G23" s="375"/>
      <c r="H23" s="375"/>
      <c r="I23" s="357"/>
      <c r="J23" s="387"/>
      <c r="K23" s="375"/>
      <c r="L23" s="375"/>
      <c r="M23" s="375"/>
      <c r="N23" s="357"/>
      <c r="O23" s="387"/>
      <c r="P23" s="375"/>
      <c r="Q23" s="375"/>
      <c r="R23" s="375"/>
      <c r="S23" s="357"/>
      <c r="T23" s="387"/>
      <c r="U23" s="375"/>
      <c r="V23" s="375"/>
      <c r="W23" s="375"/>
      <c r="X23" s="357"/>
      <c r="Y23" s="387"/>
      <c r="Z23" s="375"/>
      <c r="AA23" s="375"/>
      <c r="AB23" s="375"/>
      <c r="AC23" s="357"/>
      <c r="AD23" s="663"/>
      <c r="AE23" s="663"/>
      <c r="AF23" s="663"/>
      <c r="AG23" s="663"/>
      <c r="AH23" s="357"/>
      <c r="AI23" s="387"/>
      <c r="AJ23" s="375"/>
      <c r="AK23" s="375"/>
      <c r="AL23" s="375"/>
      <c r="AM23" s="715"/>
      <c r="AN23" s="387"/>
      <c r="AO23" s="375"/>
      <c r="AP23" s="375"/>
      <c r="AQ23" s="375"/>
      <c r="AR23" s="715"/>
      <c r="AS23" s="387"/>
      <c r="AT23" s="375"/>
      <c r="AU23" s="375"/>
      <c r="AV23" s="375"/>
      <c r="AW23" s="715"/>
      <c r="AX23" s="387"/>
      <c r="AY23" s="375"/>
      <c r="AZ23" s="375"/>
      <c r="BA23" s="375"/>
      <c r="BB23" s="715"/>
      <c r="BC23" s="387"/>
      <c r="BD23" s="375"/>
      <c r="BE23" s="375"/>
      <c r="BF23" s="375"/>
      <c r="BG23" s="715"/>
      <c r="BH23" s="387"/>
      <c r="BI23" s="375"/>
      <c r="BJ23" s="375"/>
      <c r="BK23" s="375"/>
      <c r="BL23" s="715"/>
      <c r="BM23" s="387"/>
      <c r="BN23" s="375"/>
      <c r="BO23" s="375"/>
      <c r="BP23" s="375"/>
      <c r="BQ23" s="967"/>
      <c r="BR23" s="387"/>
      <c r="BS23" s="375"/>
      <c r="BT23" s="375"/>
      <c r="BU23" s="375"/>
      <c r="BV23" s="967"/>
      <c r="BW23" s="390"/>
      <c r="BX23" s="390"/>
      <c r="BY23" s="390"/>
      <c r="BZ23" s="390"/>
      <c r="CA23" s="390"/>
      <c r="CB23" s="370"/>
      <c r="CC23" s="397"/>
      <c r="CD23" s="376"/>
      <c r="CE23" s="397"/>
      <c r="CF23" s="376"/>
      <c r="CG23" s="397"/>
      <c r="CH23" s="376"/>
      <c r="CI23" s="405"/>
      <c r="CJ23" s="372"/>
      <c r="CK23" s="372"/>
      <c r="CL23" s="406"/>
      <c r="CM23" s="405"/>
      <c r="CN23" s="372"/>
      <c r="CO23" s="372"/>
      <c r="CP23" s="406"/>
      <c r="CQ23" s="405"/>
      <c r="CR23" s="372"/>
      <c r="CS23" s="372"/>
      <c r="CT23" s="406"/>
      <c r="CU23" s="405"/>
      <c r="CV23" s="372"/>
      <c r="CW23" s="372"/>
      <c r="CX23" s="406"/>
      <c r="CY23" s="405"/>
      <c r="CZ23" s="372"/>
      <c r="DA23" s="372"/>
      <c r="DB23" s="406"/>
      <c r="DC23" s="372"/>
      <c r="DD23" s="372"/>
      <c r="DE23" s="372"/>
      <c r="DF23" s="668"/>
      <c r="DG23" s="671"/>
      <c r="DH23" s="671"/>
      <c r="DI23" s="671"/>
      <c r="DJ23" s="668"/>
      <c r="DK23" s="671"/>
      <c r="DL23" s="671"/>
      <c r="DM23" s="671"/>
      <c r="DN23" s="668"/>
      <c r="DO23" s="671"/>
      <c r="DP23" s="671"/>
      <c r="DQ23" s="671"/>
      <c r="DR23" s="668"/>
      <c r="DS23" s="673"/>
      <c r="DT23" s="671"/>
      <c r="DU23" s="671"/>
      <c r="DV23" s="668"/>
      <c r="DW23" s="673"/>
      <c r="DX23" s="671"/>
      <c r="DY23" s="671"/>
      <c r="DZ23" s="668"/>
      <c r="EA23" s="673"/>
      <c r="EB23" s="671"/>
      <c r="EC23" s="671"/>
      <c r="ED23" s="668"/>
      <c r="EE23" s="673"/>
      <c r="EF23" s="671"/>
      <c r="EG23" s="671"/>
      <c r="EH23" s="668"/>
      <c r="EI23" s="673"/>
      <c r="EJ23" s="671"/>
      <c r="EK23" s="671"/>
      <c r="EL23" s="668"/>
      <c r="EM23" s="416"/>
      <c r="EN23" s="416"/>
      <c r="EO23" s="416"/>
      <c r="EP23" s="416"/>
      <c r="EQ23" s="416"/>
      <c r="EU23" s="416"/>
      <c r="EV23" s="416"/>
      <c r="EW23" s="416"/>
      <c r="EX23" s="416"/>
      <c r="EY23" s="416"/>
      <c r="EZ23" s="416"/>
      <c r="FA23" s="416"/>
      <c r="FB23" s="416"/>
      <c r="FC23" s="416"/>
      <c r="FD23" s="416"/>
      <c r="FE23" s="416"/>
      <c r="FF23" s="416"/>
      <c r="FG23" s="416"/>
      <c r="FH23" s="416"/>
      <c r="FI23" s="416"/>
      <c r="FJ23" s="416"/>
      <c r="FK23" s="416"/>
      <c r="FL23" s="416"/>
      <c r="FM23" s="416"/>
      <c r="FP23" s="416"/>
      <c r="FQ23" s="416"/>
      <c r="FR23" s="416"/>
      <c r="FS23" s="416"/>
      <c r="FT23" s="416"/>
      <c r="FU23" s="416"/>
      <c r="FV23" s="416"/>
      <c r="FW23" s="416"/>
      <c r="FX23" s="416"/>
      <c r="FY23" s="416"/>
      <c r="FZ23" s="416"/>
      <c r="GA23" s="416"/>
      <c r="GB23" s="416"/>
      <c r="GC23" s="416"/>
      <c r="GD23" s="416"/>
      <c r="GE23" s="416"/>
      <c r="GF23" s="416"/>
      <c r="GG23" s="416"/>
      <c r="GH23" s="416"/>
    </row>
    <row r="24" spans="1:190" s="138" customFormat="1" outlineLevel="1" x14ac:dyDescent="0.25">
      <c r="A24" s="361"/>
      <c r="B24" s="368" t="s">
        <v>294</v>
      </c>
      <c r="C24" s="368"/>
      <c r="D24" s="368"/>
      <c r="E24" s="386"/>
      <c r="F24" s="369"/>
      <c r="G24" s="369"/>
      <c r="H24" s="579"/>
      <c r="I24" s="357">
        <f t="shared" ref="I24:I30" si="82">SUM(E24:H24)/4</f>
        <v>0</v>
      </c>
      <c r="J24" s="386"/>
      <c r="K24" s="369"/>
      <c r="L24" s="369"/>
      <c r="M24" s="579"/>
      <c r="N24" s="357">
        <f t="shared" ref="N24:N30" si="83">SUM(J24:M24)/4</f>
        <v>0</v>
      </c>
      <c r="O24" s="386"/>
      <c r="P24" s="369"/>
      <c r="Q24" s="369"/>
      <c r="R24" s="579"/>
      <c r="S24" s="357">
        <f t="shared" ref="S24:S30" si="84">SUM(O24:R24)/4</f>
        <v>0</v>
      </c>
      <c r="T24" s="386"/>
      <c r="U24" s="369"/>
      <c r="V24" s="369"/>
      <c r="W24" s="369"/>
      <c r="X24" s="357">
        <f t="shared" ref="X24:X30" si="85">SUM(T24:W24)/4</f>
        <v>0</v>
      </c>
      <c r="Y24" s="460"/>
      <c r="Z24" s="458"/>
      <c r="AA24" s="458"/>
      <c r="AB24" s="458"/>
      <c r="AC24" s="357">
        <f t="shared" ref="AC24:AC30" si="86">SUM(Y24:AB24)/4</f>
        <v>0</v>
      </c>
      <c r="AD24" s="460"/>
      <c r="AE24" s="458"/>
      <c r="AF24" s="458"/>
      <c r="AG24" s="458"/>
      <c r="AH24" s="357">
        <f t="shared" ref="AH24:AH30" si="87">SUM(AD24:AG24)/4</f>
        <v>0</v>
      </c>
      <c r="AI24" s="460"/>
      <c r="AJ24" s="458"/>
      <c r="AK24" s="458"/>
      <c r="AL24" s="458"/>
      <c r="AM24" s="357">
        <f t="shared" ref="AM24:AM30" si="88">SUM(AI24:AL24)/4</f>
        <v>0</v>
      </c>
      <c r="AN24" s="460"/>
      <c r="AO24" s="458"/>
      <c r="AP24" s="458"/>
      <c r="AQ24" s="458"/>
      <c r="AR24" s="357">
        <f t="shared" ref="AR24:AR30" si="89">SUM(AN24:AQ24)/4</f>
        <v>0</v>
      </c>
      <c r="AS24" s="460"/>
      <c r="AT24" s="458"/>
      <c r="AU24" s="458"/>
      <c r="AV24" s="458"/>
      <c r="AW24" s="357">
        <f t="shared" ref="AW24:AW30" si="90">SUM(AS24:AV24)/4</f>
        <v>0</v>
      </c>
      <c r="AX24" s="460"/>
      <c r="AY24" s="458"/>
      <c r="AZ24" s="458"/>
      <c r="BA24" s="458"/>
      <c r="BB24" s="357">
        <f t="shared" ref="BB24:BB30" si="91">SUM(AX24:BA24)/4</f>
        <v>0</v>
      </c>
      <c r="BC24" s="460"/>
      <c r="BD24" s="458"/>
      <c r="BE24" s="458"/>
      <c r="BF24" s="458"/>
      <c r="BG24" s="357">
        <f t="shared" ref="BG24:BG30" si="92">SUM(BC24:BF24)/4</f>
        <v>0</v>
      </c>
      <c r="BH24" s="460"/>
      <c r="BI24" s="458"/>
      <c r="BJ24" s="458"/>
      <c r="BK24" s="458"/>
      <c r="BL24" s="357">
        <f t="shared" ref="BL24:BL30" si="93">SUM(BH24:BK24)/4</f>
        <v>0</v>
      </c>
      <c r="BM24" s="460"/>
      <c r="BN24" s="458"/>
      <c r="BO24" s="458"/>
      <c r="BP24" s="458"/>
      <c r="BQ24" s="964">
        <f t="shared" ref="BQ24:BQ30" si="94">SUM(BM24:BP24)/4</f>
        <v>0</v>
      </c>
      <c r="BR24" s="460"/>
      <c r="BS24" s="458"/>
      <c r="BT24" s="458"/>
      <c r="BU24" s="458"/>
      <c r="BV24" s="964">
        <f t="shared" ref="BV24:BV30" si="95">SUM(BR24:BU24)/4</f>
        <v>0</v>
      </c>
      <c r="BW24" s="463"/>
      <c r="BX24" s="463"/>
      <c r="BY24" s="463"/>
      <c r="BZ24" s="463"/>
      <c r="CA24" s="463"/>
      <c r="CB24" s="370"/>
      <c r="CC24" s="395">
        <v>158</v>
      </c>
      <c r="CD24" s="371">
        <v>0.02</v>
      </c>
      <c r="CE24" s="395">
        <f>CC24*(1+CD24)^2</f>
        <v>164.38319999999999</v>
      </c>
      <c r="CF24" s="371">
        <v>0.02</v>
      </c>
      <c r="CG24" s="395">
        <f>CE24*(1+CF24)^2</f>
        <v>171.02428128</v>
      </c>
      <c r="CH24" s="371">
        <v>0.02</v>
      </c>
      <c r="CI24" s="405">
        <f t="shared" ref="CI24:CI29" si="96">(E24*$CC24*(1+$CD24)^CI$6)/4</f>
        <v>0</v>
      </c>
      <c r="CJ24" s="372">
        <f t="shared" ref="CJ24:CJ29" si="97">(F24*$CC24*(1+$CD24)^CJ$6)/4</f>
        <v>0</v>
      </c>
      <c r="CK24" s="372">
        <f t="shared" ref="CK24:CK29" si="98">(G24*$CC24*(1+$CD24)^CK$6)/4</f>
        <v>0</v>
      </c>
      <c r="CL24" s="406">
        <f t="shared" ref="CL24:CL29" si="99">(H24*$CC24*(1+$CD24)^CL$6)/4</f>
        <v>0</v>
      </c>
      <c r="CM24" s="405">
        <f t="shared" ref="CM24:CM29" si="100">(J24*$CC24*(1+$CD24)^CM$6)/4</f>
        <v>0</v>
      </c>
      <c r="CN24" s="372">
        <f t="shared" ref="CN24:CN29" si="101">(K24*$CC24*(1+$CD24)^CN$6)/4</f>
        <v>0</v>
      </c>
      <c r="CO24" s="372">
        <f t="shared" ref="CO24:CO29" si="102">(L24*$CC24*(1+$CD24)^CO$6)/4</f>
        <v>0</v>
      </c>
      <c r="CP24" s="406">
        <f t="shared" ref="CP24:CP29" si="103">(M24*$CC24*(1+$CD24)^CP$6)/4</f>
        <v>0</v>
      </c>
      <c r="CQ24" s="405">
        <f t="shared" ref="CQ24:CT29" si="104">(O24*$CE24*(1+$CF24)^CQ$6)/4</f>
        <v>0</v>
      </c>
      <c r="CR24" s="372">
        <f t="shared" si="104"/>
        <v>0</v>
      </c>
      <c r="CS24" s="372">
        <f t="shared" si="104"/>
        <v>0</v>
      </c>
      <c r="CT24" s="406">
        <f t="shared" si="104"/>
        <v>0</v>
      </c>
      <c r="CU24" s="405">
        <f t="shared" ref="CU24:CX29" si="105">(T24*$CE24*(1+$CF24)^CU$6)/4</f>
        <v>0</v>
      </c>
      <c r="CV24" s="372">
        <f t="shared" si="105"/>
        <v>0</v>
      </c>
      <c r="CW24" s="372">
        <f t="shared" si="105"/>
        <v>0</v>
      </c>
      <c r="CX24" s="406">
        <f t="shared" si="105"/>
        <v>0</v>
      </c>
      <c r="CY24" s="405">
        <f t="shared" ref="CY24:DB29" si="106">(Y24*$CE24*(1+$CF24)^CY$6)/4</f>
        <v>0</v>
      </c>
      <c r="CZ24" s="372">
        <f t="shared" si="106"/>
        <v>0</v>
      </c>
      <c r="DA24" s="372">
        <f t="shared" si="106"/>
        <v>0</v>
      </c>
      <c r="DB24" s="406">
        <f t="shared" si="106"/>
        <v>0</v>
      </c>
      <c r="DC24" s="405">
        <f t="shared" ref="DC24:DF29" si="107">(AD24*$CE24*(1+$CF24)^DC$6)/4</f>
        <v>0</v>
      </c>
      <c r="DD24" s="372">
        <f t="shared" si="107"/>
        <v>0</v>
      </c>
      <c r="DE24" s="372">
        <f t="shared" si="107"/>
        <v>0</v>
      </c>
      <c r="DF24" s="668">
        <f t="shared" si="107"/>
        <v>0</v>
      </c>
      <c r="DG24" s="405">
        <f t="shared" ref="DG24:DJ29" si="108">(AI24*$CE24*(1+$CF24)^DG$6)/4</f>
        <v>0</v>
      </c>
      <c r="DH24" s="372">
        <f t="shared" si="108"/>
        <v>0</v>
      </c>
      <c r="DI24" s="372">
        <f t="shared" si="108"/>
        <v>0</v>
      </c>
      <c r="DJ24" s="668">
        <f t="shared" si="108"/>
        <v>0</v>
      </c>
      <c r="DK24" s="673">
        <f t="shared" ref="DK24:DN29" si="109">(AN24*$CE24*(1+$CF24)^DK$6)/4</f>
        <v>0</v>
      </c>
      <c r="DL24" s="671">
        <f t="shared" si="109"/>
        <v>0</v>
      </c>
      <c r="DM24" s="671">
        <f t="shared" si="109"/>
        <v>0</v>
      </c>
      <c r="DN24" s="668">
        <f t="shared" si="109"/>
        <v>0</v>
      </c>
      <c r="DO24" s="673">
        <f t="shared" ref="DO24:DR29" si="110">(AS24*$CE24*(1+$CF24)^DO$6)/4</f>
        <v>0</v>
      </c>
      <c r="DP24" s="671">
        <f t="shared" si="110"/>
        <v>0</v>
      </c>
      <c r="DQ24" s="671">
        <f t="shared" si="110"/>
        <v>0</v>
      </c>
      <c r="DR24" s="668">
        <f t="shared" si="110"/>
        <v>0</v>
      </c>
      <c r="DS24" s="673">
        <f t="shared" ref="DS24:DV29" si="111">(AX24*$CE24*(1+$CF24)^DS$6)/4</f>
        <v>0</v>
      </c>
      <c r="DT24" s="671">
        <f t="shared" si="111"/>
        <v>0</v>
      </c>
      <c r="DU24" s="671">
        <f t="shared" si="111"/>
        <v>0</v>
      </c>
      <c r="DV24" s="668">
        <f t="shared" si="111"/>
        <v>0</v>
      </c>
      <c r="DW24" s="673">
        <f t="shared" ref="DW24:DZ29" si="112">(BC24*$CE24*(1+$CF24)^DW$6)/4</f>
        <v>0</v>
      </c>
      <c r="DX24" s="671">
        <f t="shared" si="112"/>
        <v>0</v>
      </c>
      <c r="DY24" s="671">
        <f t="shared" si="112"/>
        <v>0</v>
      </c>
      <c r="DZ24" s="668">
        <f t="shared" si="112"/>
        <v>0</v>
      </c>
      <c r="EA24" s="673">
        <f t="shared" ref="EA24:ED29" si="113">(BH24*$CE24*(1+$CF24)^EA$6)/4</f>
        <v>0</v>
      </c>
      <c r="EB24" s="671">
        <f t="shared" si="113"/>
        <v>0</v>
      </c>
      <c r="EC24" s="671">
        <f t="shared" si="113"/>
        <v>0</v>
      </c>
      <c r="ED24" s="668">
        <f t="shared" si="113"/>
        <v>0</v>
      </c>
      <c r="EE24" s="673">
        <f t="shared" ref="EE24:EH29" si="114">(BM24*$CE24*(1+$CF24)^EE$6)/4</f>
        <v>0</v>
      </c>
      <c r="EF24" s="671">
        <f t="shared" si="114"/>
        <v>0</v>
      </c>
      <c r="EG24" s="671">
        <f t="shared" si="114"/>
        <v>0</v>
      </c>
      <c r="EH24" s="668">
        <f t="shared" si="114"/>
        <v>0</v>
      </c>
      <c r="EI24" s="673">
        <f t="shared" ref="EI24:EL29" si="115">(BR24*$CE24*(1+$CF24)^EI$6)/4</f>
        <v>0</v>
      </c>
      <c r="EJ24" s="671">
        <f t="shared" si="115"/>
        <v>0</v>
      </c>
      <c r="EK24" s="671">
        <f t="shared" si="115"/>
        <v>0</v>
      </c>
      <c r="EL24" s="668">
        <f t="shared" si="115"/>
        <v>0</v>
      </c>
      <c r="EM24" s="416">
        <f t="shared" ref="EM24:EQ29" si="116">(BW24*$CE24*(1+$CF24)^EM$6)</f>
        <v>0</v>
      </c>
      <c r="EN24" s="416">
        <f t="shared" si="116"/>
        <v>0</v>
      </c>
      <c r="EO24" s="416">
        <f t="shared" si="116"/>
        <v>0</v>
      </c>
      <c r="EP24" s="416">
        <f t="shared" si="116"/>
        <v>0</v>
      </c>
      <c r="EQ24" s="416">
        <f t="shared" si="116"/>
        <v>0</v>
      </c>
      <c r="EU24" s="416">
        <f t="shared" ref="EU24:EU29" si="117">SUM(CI24:CL24)</f>
        <v>0</v>
      </c>
      <c r="EV24" s="416">
        <f t="shared" ref="EV24:EV29" si="118">SUM(CM24:CP24)</f>
        <v>0</v>
      </c>
      <c r="EW24" s="416">
        <f t="shared" ref="EW24:EW29" si="119">SUM(CQ24:CT24)</f>
        <v>0</v>
      </c>
      <c r="EX24" s="416">
        <f t="shared" ref="EX24:EX29" si="120">SUM(CU24:CX24)</f>
        <v>0</v>
      </c>
      <c r="EY24" s="416">
        <f t="shared" ref="EY24:EY29" si="121">SUM(CY24:DB24)</f>
        <v>0</v>
      </c>
      <c r="EZ24" s="416">
        <f t="shared" ref="EZ24:EZ29" si="122">SUM(DC24:DF24)</f>
        <v>0</v>
      </c>
      <c r="FA24" s="416">
        <f t="shared" ref="FA24:FA29" si="123">SUM(DG24:DJ24)</f>
        <v>0</v>
      </c>
      <c r="FB24" s="416">
        <f t="shared" ref="FB24:FB29" si="124">SUM(DK24:DN24)</f>
        <v>0</v>
      </c>
      <c r="FC24" s="416">
        <f t="shared" ref="FC24:FC29" si="125">SUM(DO24:DR24)</f>
        <v>0</v>
      </c>
      <c r="FD24" s="416">
        <f t="shared" ref="FD24:FD29" si="126">SUM(DS24:DV24)</f>
        <v>0</v>
      </c>
      <c r="FE24" s="416">
        <f t="shared" ref="FE24:FE29" si="127">SUM(DW24:DZ24)</f>
        <v>0</v>
      </c>
      <c r="FF24" s="416">
        <f t="shared" ref="FF24:FF29" si="128">SUM(EA24:ED24)</f>
        <v>0</v>
      </c>
      <c r="FG24" s="416">
        <f t="shared" ref="FG24:FG29" si="129">SUM(EE24:EH24)</f>
        <v>0</v>
      </c>
      <c r="FH24" s="416">
        <f t="shared" ref="FH24:FH29" si="130">SUM(EI24:EL24)</f>
        <v>0</v>
      </c>
      <c r="FI24" s="416">
        <f t="shared" ref="FI24:FI29" si="131">EM24</f>
        <v>0</v>
      </c>
      <c r="FJ24" s="416">
        <f t="shared" ref="FJ24:FK29" si="132">EN24</f>
        <v>0</v>
      </c>
      <c r="FK24" s="416">
        <f t="shared" si="132"/>
        <v>0</v>
      </c>
      <c r="FL24" s="416">
        <f t="shared" ref="FL24:FM29" si="133">EP24</f>
        <v>0</v>
      </c>
      <c r="FM24" s="416">
        <f t="shared" si="133"/>
        <v>0</v>
      </c>
      <c r="FP24" s="416">
        <f t="shared" ref="FP24:FP29" si="134">SUMIF(CI$5:CL$5,TRUE,CI24:CL24)</f>
        <v>0</v>
      </c>
      <c r="FQ24" s="416">
        <f t="shared" ref="FQ24:FQ29" si="135">SUMIF(CM$5:CP$5,TRUE,CM24:CP24)</f>
        <v>0</v>
      </c>
      <c r="FR24" s="416">
        <f t="shared" ref="FR24:FR29" si="136">SUMIF(CQ$5:CT$5,TRUE,CQ24:CT24)</f>
        <v>0</v>
      </c>
      <c r="FS24" s="416">
        <f t="shared" ref="FS24:FS29" si="137">SUMIF(CU$5:CX$5,TRUE,CU24:CX24)</f>
        <v>0</v>
      </c>
      <c r="FT24" s="416">
        <f t="shared" ref="FT24:FT29" si="138">SUMIF(CY$5:DB$5,TRUE,CY24:DB24)</f>
        <v>0</v>
      </c>
      <c r="FU24" s="416">
        <f t="shared" ref="FU24:FU29" si="139">SUMIF(DC$5:DF$5,TRUE,DC24:DF24)</f>
        <v>0</v>
      </c>
      <c r="FV24" s="416">
        <f t="shared" ref="FV24:FV29" si="140">SUMIF(DG$5:DJ$5,TRUE,DG24:DJ24)</f>
        <v>0</v>
      </c>
      <c r="FW24" s="416">
        <f t="shared" ref="FW24:FW29" si="141">SUMIF(DK$5:DN$5,TRUE,DK24:DN24)</f>
        <v>0</v>
      </c>
      <c r="FX24" s="416">
        <f t="shared" ref="FX24:FX29" si="142">SUMIF(DO$5:DR$5,TRUE,DO24:DR24)</f>
        <v>0</v>
      </c>
      <c r="FY24" s="416">
        <f t="shared" ref="FY24:FY29" si="143">SUMIF(DS$5:DV$5,TRUE,DS24:DV24)</f>
        <v>0</v>
      </c>
      <c r="FZ24" s="416">
        <f t="shared" ref="FZ24:FZ29" si="144">SUMIF(DW$5:DZ$5,TRUE,DW24:DZ24)</f>
        <v>0</v>
      </c>
      <c r="GA24" s="416">
        <f t="shared" ref="GA24:GA29" si="145">SUMIF(EA$5:ED$5,TRUE,EA24:ED24)</f>
        <v>0</v>
      </c>
      <c r="GB24" s="416">
        <f t="shared" ref="GB24:GB29" si="146">SUMIF(EE$5:EH$5,TRUE,EE24:EH24)</f>
        <v>0</v>
      </c>
      <c r="GC24" s="416">
        <f t="shared" ref="GC24:GC29" si="147">SUMIF(EE$5:EH$5,TRUE,EE24:EH24)</f>
        <v>0</v>
      </c>
      <c r="GD24" s="416">
        <f t="shared" ref="GD24:GD29" si="148">IF(EM$5,EM24,0)</f>
        <v>0</v>
      </c>
      <c r="GE24" s="416">
        <f t="shared" ref="GE24:GF29" si="149">IF(EN$5,EN24,0)</f>
        <v>0</v>
      </c>
      <c r="GF24" s="416">
        <f t="shared" si="149"/>
        <v>0</v>
      </c>
      <c r="GG24" s="416">
        <f t="shared" ref="GG24:GH29" si="150">IF(EP$5,EP24,0)</f>
        <v>0</v>
      </c>
      <c r="GH24" s="416">
        <f t="shared" si="150"/>
        <v>0</v>
      </c>
    </row>
    <row r="25" spans="1:190" s="138" customFormat="1" outlineLevel="1" x14ac:dyDescent="0.25">
      <c r="A25" s="361"/>
      <c r="B25" s="368" t="s">
        <v>652</v>
      </c>
      <c r="C25" s="368"/>
      <c r="D25" s="368"/>
      <c r="E25" s="386"/>
      <c r="F25" s="369"/>
      <c r="G25" s="369"/>
      <c r="H25" s="579"/>
      <c r="I25" s="357">
        <f t="shared" si="82"/>
        <v>0</v>
      </c>
      <c r="J25" s="386"/>
      <c r="K25" s="369"/>
      <c r="L25" s="369"/>
      <c r="M25" s="579"/>
      <c r="N25" s="357">
        <f t="shared" si="83"/>
        <v>0</v>
      </c>
      <c r="O25" s="386"/>
      <c r="P25" s="369"/>
      <c r="Q25" s="369"/>
      <c r="R25" s="579"/>
      <c r="S25" s="357">
        <f t="shared" si="84"/>
        <v>0</v>
      </c>
      <c r="T25" s="386"/>
      <c r="U25" s="369"/>
      <c r="V25" s="369"/>
      <c r="W25" s="369"/>
      <c r="X25" s="357">
        <f t="shared" si="85"/>
        <v>0</v>
      </c>
      <c r="Y25" s="460"/>
      <c r="Z25" s="458"/>
      <c r="AA25" s="458"/>
      <c r="AB25" s="458"/>
      <c r="AC25" s="357">
        <f t="shared" si="86"/>
        <v>0</v>
      </c>
      <c r="AD25" s="460"/>
      <c r="AE25" s="458"/>
      <c r="AF25" s="458"/>
      <c r="AG25" s="458"/>
      <c r="AH25" s="357">
        <f t="shared" si="87"/>
        <v>0</v>
      </c>
      <c r="AI25" s="460"/>
      <c r="AJ25" s="458"/>
      <c r="AK25" s="458"/>
      <c r="AL25" s="458"/>
      <c r="AM25" s="357">
        <f t="shared" si="88"/>
        <v>0</v>
      </c>
      <c r="AN25" s="460"/>
      <c r="AO25" s="458"/>
      <c r="AP25" s="458"/>
      <c r="AQ25" s="458"/>
      <c r="AR25" s="357">
        <f t="shared" si="89"/>
        <v>0</v>
      </c>
      <c r="AS25" s="460">
        <v>1</v>
      </c>
      <c r="AT25" s="460">
        <v>1</v>
      </c>
      <c r="AU25" s="460">
        <v>1</v>
      </c>
      <c r="AV25" s="460">
        <v>1</v>
      </c>
      <c r="AW25" s="357">
        <f t="shared" si="90"/>
        <v>1</v>
      </c>
      <c r="AX25" s="460">
        <v>1</v>
      </c>
      <c r="AY25" s="460">
        <v>1</v>
      </c>
      <c r="AZ25" s="460">
        <v>1</v>
      </c>
      <c r="BA25" s="460">
        <v>1</v>
      </c>
      <c r="BB25" s="357">
        <f t="shared" si="91"/>
        <v>1</v>
      </c>
      <c r="BC25" s="460">
        <v>1</v>
      </c>
      <c r="BD25" s="460">
        <v>1</v>
      </c>
      <c r="BE25" s="460">
        <v>1</v>
      </c>
      <c r="BF25" s="460">
        <v>1</v>
      </c>
      <c r="BG25" s="357">
        <f t="shared" si="92"/>
        <v>1</v>
      </c>
      <c r="BH25" s="460">
        <v>1</v>
      </c>
      <c r="BI25" s="460">
        <v>1</v>
      </c>
      <c r="BJ25" s="460">
        <v>1</v>
      </c>
      <c r="BK25" s="460">
        <v>1</v>
      </c>
      <c r="BL25" s="357">
        <f t="shared" si="93"/>
        <v>1</v>
      </c>
      <c r="BM25" s="460">
        <v>1</v>
      </c>
      <c r="BN25" s="458">
        <v>1</v>
      </c>
      <c r="BO25" s="458"/>
      <c r="BP25" s="458"/>
      <c r="BQ25" s="964">
        <f t="shared" si="94"/>
        <v>0.5</v>
      </c>
      <c r="BR25" s="460"/>
      <c r="BS25" s="458"/>
      <c r="BT25" s="458"/>
      <c r="BU25" s="458"/>
      <c r="BV25" s="964">
        <f t="shared" si="95"/>
        <v>0</v>
      </c>
      <c r="BW25" s="463"/>
      <c r="BX25" s="463"/>
      <c r="BY25" s="463"/>
      <c r="BZ25" s="463"/>
      <c r="CA25" s="463"/>
      <c r="CB25" s="370"/>
      <c r="CC25" s="395">
        <v>118</v>
      </c>
      <c r="CD25" s="371">
        <v>0.02</v>
      </c>
      <c r="CE25" s="395">
        <f t="shared" ref="CE25:CE29" si="151">CC25*(1+CD25)^2</f>
        <v>122.7672</v>
      </c>
      <c r="CF25" s="371">
        <v>0.02</v>
      </c>
      <c r="CG25" s="395">
        <f t="shared" ref="CG25:CG29" si="152">CE25*(1+CF25)^2</f>
        <v>127.72699488000001</v>
      </c>
      <c r="CH25" s="371">
        <v>0.02</v>
      </c>
      <c r="CI25" s="405">
        <f t="shared" si="96"/>
        <v>0</v>
      </c>
      <c r="CJ25" s="372">
        <f t="shared" si="97"/>
        <v>0</v>
      </c>
      <c r="CK25" s="372">
        <f t="shared" si="98"/>
        <v>0</v>
      </c>
      <c r="CL25" s="406">
        <f t="shared" si="99"/>
        <v>0</v>
      </c>
      <c r="CM25" s="405">
        <f t="shared" si="100"/>
        <v>0</v>
      </c>
      <c r="CN25" s="372">
        <f t="shared" si="101"/>
        <v>0</v>
      </c>
      <c r="CO25" s="372">
        <f t="shared" si="102"/>
        <v>0</v>
      </c>
      <c r="CP25" s="406">
        <f t="shared" si="103"/>
        <v>0</v>
      </c>
      <c r="CQ25" s="405">
        <f t="shared" si="104"/>
        <v>0</v>
      </c>
      <c r="CR25" s="372">
        <f t="shared" si="104"/>
        <v>0</v>
      </c>
      <c r="CS25" s="372">
        <f t="shared" si="104"/>
        <v>0</v>
      </c>
      <c r="CT25" s="406">
        <f t="shared" si="104"/>
        <v>0</v>
      </c>
      <c r="CU25" s="405">
        <f t="shared" si="105"/>
        <v>0</v>
      </c>
      <c r="CV25" s="372">
        <f t="shared" si="105"/>
        <v>0</v>
      </c>
      <c r="CW25" s="372">
        <f t="shared" si="105"/>
        <v>0</v>
      </c>
      <c r="CX25" s="406">
        <f t="shared" si="105"/>
        <v>0</v>
      </c>
      <c r="CY25" s="405">
        <f t="shared" si="106"/>
        <v>0</v>
      </c>
      <c r="CZ25" s="372">
        <f t="shared" si="106"/>
        <v>0</v>
      </c>
      <c r="DA25" s="372">
        <f t="shared" si="106"/>
        <v>0</v>
      </c>
      <c r="DB25" s="406">
        <f t="shared" si="106"/>
        <v>0</v>
      </c>
      <c r="DC25" s="405">
        <f t="shared" si="107"/>
        <v>0</v>
      </c>
      <c r="DD25" s="372">
        <f t="shared" si="107"/>
        <v>0</v>
      </c>
      <c r="DE25" s="372">
        <f t="shared" si="107"/>
        <v>0</v>
      </c>
      <c r="DF25" s="668">
        <f t="shared" si="107"/>
        <v>0</v>
      </c>
      <c r="DG25" s="405">
        <f t="shared" si="108"/>
        <v>0</v>
      </c>
      <c r="DH25" s="372">
        <f t="shared" si="108"/>
        <v>0</v>
      </c>
      <c r="DI25" s="372">
        <f t="shared" si="108"/>
        <v>0</v>
      </c>
      <c r="DJ25" s="668">
        <f t="shared" si="108"/>
        <v>0</v>
      </c>
      <c r="DK25" s="673">
        <f t="shared" si="109"/>
        <v>0</v>
      </c>
      <c r="DL25" s="671">
        <f t="shared" si="109"/>
        <v>0</v>
      </c>
      <c r="DM25" s="671">
        <f t="shared" si="109"/>
        <v>0</v>
      </c>
      <c r="DN25" s="668">
        <f t="shared" si="109"/>
        <v>0</v>
      </c>
      <c r="DO25" s="673">
        <f t="shared" si="110"/>
        <v>34.563951739566839</v>
      </c>
      <c r="DP25" s="671">
        <f t="shared" si="110"/>
        <v>34.563951739566839</v>
      </c>
      <c r="DQ25" s="671">
        <f t="shared" si="110"/>
        <v>34.563951739566839</v>
      </c>
      <c r="DR25" s="668">
        <f t="shared" si="110"/>
        <v>34.563951739566839</v>
      </c>
      <c r="DS25" s="673">
        <f t="shared" si="111"/>
        <v>35.255230774358168</v>
      </c>
      <c r="DT25" s="671">
        <f t="shared" si="111"/>
        <v>35.255230774358168</v>
      </c>
      <c r="DU25" s="671">
        <f t="shared" si="111"/>
        <v>35.255230774358168</v>
      </c>
      <c r="DV25" s="668">
        <f t="shared" si="111"/>
        <v>35.255230774358168</v>
      </c>
      <c r="DW25" s="673">
        <f t="shared" si="112"/>
        <v>35.960335389845334</v>
      </c>
      <c r="DX25" s="671">
        <f t="shared" si="112"/>
        <v>35.960335389845334</v>
      </c>
      <c r="DY25" s="671">
        <f t="shared" si="112"/>
        <v>35.960335389845334</v>
      </c>
      <c r="DZ25" s="668">
        <f t="shared" si="112"/>
        <v>35.960335389845334</v>
      </c>
      <c r="EA25" s="673">
        <f t="shared" si="113"/>
        <v>36.679542097642241</v>
      </c>
      <c r="EB25" s="671">
        <f t="shared" si="113"/>
        <v>36.679542097642241</v>
      </c>
      <c r="EC25" s="671">
        <f t="shared" si="113"/>
        <v>36.679542097642241</v>
      </c>
      <c r="ED25" s="668">
        <f t="shared" si="113"/>
        <v>36.679542097642241</v>
      </c>
      <c r="EE25" s="673">
        <f t="shared" si="114"/>
        <v>37.413132939595087</v>
      </c>
      <c r="EF25" s="671">
        <f t="shared" si="114"/>
        <v>37.413132939595087</v>
      </c>
      <c r="EG25" s="671">
        <f t="shared" si="114"/>
        <v>0</v>
      </c>
      <c r="EH25" s="668">
        <f t="shared" si="114"/>
        <v>0</v>
      </c>
      <c r="EI25" s="673">
        <f t="shared" si="115"/>
        <v>0</v>
      </c>
      <c r="EJ25" s="671">
        <f t="shared" si="115"/>
        <v>0</v>
      </c>
      <c r="EK25" s="671">
        <f t="shared" si="115"/>
        <v>0</v>
      </c>
      <c r="EL25" s="668">
        <f t="shared" si="115"/>
        <v>0</v>
      </c>
      <c r="EM25" s="416">
        <f t="shared" si="116"/>
        <v>0</v>
      </c>
      <c r="EN25" s="416">
        <f t="shared" si="116"/>
        <v>0</v>
      </c>
      <c r="EO25" s="416">
        <f t="shared" si="116"/>
        <v>0</v>
      </c>
      <c r="EP25" s="416">
        <f t="shared" si="116"/>
        <v>0</v>
      </c>
      <c r="EQ25" s="416">
        <f t="shared" si="116"/>
        <v>0</v>
      </c>
      <c r="EU25" s="416">
        <f t="shared" si="117"/>
        <v>0</v>
      </c>
      <c r="EV25" s="416">
        <f t="shared" si="118"/>
        <v>0</v>
      </c>
      <c r="EW25" s="416">
        <f t="shared" si="119"/>
        <v>0</v>
      </c>
      <c r="EX25" s="416">
        <f t="shared" si="120"/>
        <v>0</v>
      </c>
      <c r="EY25" s="416">
        <f t="shared" si="121"/>
        <v>0</v>
      </c>
      <c r="EZ25" s="416">
        <f t="shared" si="122"/>
        <v>0</v>
      </c>
      <c r="FA25" s="416">
        <f t="shared" si="123"/>
        <v>0</v>
      </c>
      <c r="FB25" s="416">
        <f t="shared" si="124"/>
        <v>0</v>
      </c>
      <c r="FC25" s="416">
        <f t="shared" si="125"/>
        <v>138.25580695826736</v>
      </c>
      <c r="FD25" s="416">
        <f t="shared" si="126"/>
        <v>141.02092309743267</v>
      </c>
      <c r="FE25" s="416">
        <f t="shared" si="127"/>
        <v>143.84134155938133</v>
      </c>
      <c r="FF25" s="416">
        <f t="shared" si="128"/>
        <v>146.71816839056896</v>
      </c>
      <c r="FG25" s="416">
        <f t="shared" si="129"/>
        <v>74.826265879190174</v>
      </c>
      <c r="FH25" s="416">
        <f t="shared" si="130"/>
        <v>0</v>
      </c>
      <c r="FI25" s="416">
        <f t="shared" si="131"/>
        <v>0</v>
      </c>
      <c r="FJ25" s="416">
        <f t="shared" si="132"/>
        <v>0</v>
      </c>
      <c r="FK25" s="416">
        <f t="shared" si="132"/>
        <v>0</v>
      </c>
      <c r="FL25" s="416">
        <f t="shared" si="133"/>
        <v>0</v>
      </c>
      <c r="FM25" s="416">
        <f t="shared" si="133"/>
        <v>0</v>
      </c>
      <c r="FP25" s="416">
        <f t="shared" si="134"/>
        <v>0</v>
      </c>
      <c r="FQ25" s="416">
        <f t="shared" si="135"/>
        <v>0</v>
      </c>
      <c r="FR25" s="416">
        <f t="shared" si="136"/>
        <v>0</v>
      </c>
      <c r="FS25" s="416">
        <f t="shared" si="137"/>
        <v>0</v>
      </c>
      <c r="FT25" s="416">
        <f t="shared" si="138"/>
        <v>0</v>
      </c>
      <c r="FU25" s="416">
        <f t="shared" si="139"/>
        <v>0</v>
      </c>
      <c r="FV25" s="416">
        <f t="shared" si="140"/>
        <v>0</v>
      </c>
      <c r="FW25" s="416">
        <f t="shared" si="141"/>
        <v>0</v>
      </c>
      <c r="FX25" s="416">
        <f t="shared" si="142"/>
        <v>34.563951739566839</v>
      </c>
      <c r="FY25" s="416">
        <f t="shared" si="143"/>
        <v>141.02092309743267</v>
      </c>
      <c r="FZ25" s="416">
        <f t="shared" si="144"/>
        <v>143.84134155938133</v>
      </c>
      <c r="GA25" s="416">
        <f t="shared" si="145"/>
        <v>146.71816839056896</v>
      </c>
      <c r="GB25" s="416">
        <f t="shared" si="146"/>
        <v>74.826265879190174</v>
      </c>
      <c r="GC25" s="416">
        <f t="shared" si="147"/>
        <v>74.826265879190174</v>
      </c>
      <c r="GD25" s="416">
        <f t="shared" si="148"/>
        <v>0</v>
      </c>
      <c r="GE25" s="416">
        <f t="shared" si="149"/>
        <v>0</v>
      </c>
      <c r="GF25" s="416">
        <f t="shared" si="149"/>
        <v>0</v>
      </c>
      <c r="GG25" s="416">
        <f t="shared" si="150"/>
        <v>0</v>
      </c>
      <c r="GH25" s="416">
        <f t="shared" si="150"/>
        <v>0</v>
      </c>
    </row>
    <row r="26" spans="1:190" s="138" customFormat="1" outlineLevel="1" x14ac:dyDescent="0.25">
      <c r="A26" s="361"/>
      <c r="B26" s="368" t="s">
        <v>653</v>
      </c>
      <c r="C26" s="368"/>
      <c r="D26" s="368"/>
      <c r="E26" s="386"/>
      <c r="F26" s="369"/>
      <c r="G26" s="369"/>
      <c r="H26" s="579"/>
      <c r="I26" s="357">
        <f t="shared" si="82"/>
        <v>0</v>
      </c>
      <c r="J26" s="386"/>
      <c r="K26" s="369"/>
      <c r="L26" s="369"/>
      <c r="M26" s="579"/>
      <c r="N26" s="357">
        <f t="shared" si="83"/>
        <v>0</v>
      </c>
      <c r="O26" s="386"/>
      <c r="P26" s="369"/>
      <c r="Q26" s="369"/>
      <c r="R26" s="579"/>
      <c r="S26" s="357">
        <f t="shared" si="84"/>
        <v>0</v>
      </c>
      <c r="T26" s="386"/>
      <c r="U26" s="369"/>
      <c r="V26" s="369"/>
      <c r="W26" s="369"/>
      <c r="X26" s="357">
        <f t="shared" si="85"/>
        <v>0</v>
      </c>
      <c r="Y26" s="460"/>
      <c r="Z26" s="458"/>
      <c r="AA26" s="458"/>
      <c r="AB26" s="458"/>
      <c r="AC26" s="357">
        <f t="shared" si="86"/>
        <v>0</v>
      </c>
      <c r="AD26" s="460"/>
      <c r="AE26" s="458"/>
      <c r="AF26" s="458"/>
      <c r="AG26" s="458"/>
      <c r="AH26" s="357">
        <f t="shared" si="87"/>
        <v>0</v>
      </c>
      <c r="AI26" s="460"/>
      <c r="AJ26" s="458"/>
      <c r="AK26" s="458"/>
      <c r="AL26" s="458"/>
      <c r="AM26" s="357">
        <f t="shared" si="88"/>
        <v>0</v>
      </c>
      <c r="AN26" s="460"/>
      <c r="AO26" s="458"/>
      <c r="AP26" s="458"/>
      <c r="AQ26" s="458"/>
      <c r="AR26" s="357">
        <f t="shared" si="89"/>
        <v>0</v>
      </c>
      <c r="AS26" s="460"/>
      <c r="AT26" s="458"/>
      <c r="AU26" s="458"/>
      <c r="AV26" s="458"/>
      <c r="AW26" s="357">
        <f t="shared" si="90"/>
        <v>0</v>
      </c>
      <c r="AX26" s="460">
        <v>1</v>
      </c>
      <c r="AY26" s="460">
        <v>1</v>
      </c>
      <c r="AZ26" s="460">
        <v>1</v>
      </c>
      <c r="BA26" s="460">
        <v>1</v>
      </c>
      <c r="BB26" s="357">
        <f t="shared" si="91"/>
        <v>1</v>
      </c>
      <c r="BC26" s="460">
        <v>1</v>
      </c>
      <c r="BD26" s="460">
        <v>1</v>
      </c>
      <c r="BE26" s="460">
        <v>1</v>
      </c>
      <c r="BF26" s="460">
        <v>1</v>
      </c>
      <c r="BG26" s="357">
        <f t="shared" si="92"/>
        <v>1</v>
      </c>
      <c r="BH26" s="460">
        <v>1</v>
      </c>
      <c r="BI26" s="460">
        <v>1</v>
      </c>
      <c r="BJ26" s="460">
        <v>1</v>
      </c>
      <c r="BK26" s="460">
        <v>1</v>
      </c>
      <c r="BL26" s="357">
        <f t="shared" si="93"/>
        <v>1</v>
      </c>
      <c r="BM26" s="460">
        <v>1</v>
      </c>
      <c r="BN26" s="458">
        <v>1</v>
      </c>
      <c r="BO26" s="458"/>
      <c r="BP26" s="458"/>
      <c r="BQ26" s="964">
        <f t="shared" si="94"/>
        <v>0.5</v>
      </c>
      <c r="BR26" s="460"/>
      <c r="BS26" s="458"/>
      <c r="BT26" s="458"/>
      <c r="BU26" s="458"/>
      <c r="BV26" s="964">
        <f t="shared" si="95"/>
        <v>0</v>
      </c>
      <c r="BW26" s="463"/>
      <c r="BX26" s="463"/>
      <c r="BY26" s="463"/>
      <c r="BZ26" s="463"/>
      <c r="CA26" s="463"/>
      <c r="CB26" s="370"/>
      <c r="CC26" s="395">
        <v>142</v>
      </c>
      <c r="CD26" s="371">
        <v>0.02</v>
      </c>
      <c r="CE26" s="395">
        <f t="shared" si="151"/>
        <v>147.73679999999999</v>
      </c>
      <c r="CF26" s="371">
        <v>0.02</v>
      </c>
      <c r="CG26" s="395">
        <f t="shared" si="152"/>
        <v>153.70536671999997</v>
      </c>
      <c r="CH26" s="371">
        <v>0.02</v>
      </c>
      <c r="CI26" s="405">
        <f t="shared" si="96"/>
        <v>0</v>
      </c>
      <c r="CJ26" s="372">
        <f t="shared" si="97"/>
        <v>0</v>
      </c>
      <c r="CK26" s="372">
        <f t="shared" si="98"/>
        <v>0</v>
      </c>
      <c r="CL26" s="406">
        <f t="shared" si="99"/>
        <v>0</v>
      </c>
      <c r="CM26" s="405">
        <f t="shared" si="100"/>
        <v>0</v>
      </c>
      <c r="CN26" s="372">
        <f t="shared" si="101"/>
        <v>0</v>
      </c>
      <c r="CO26" s="372">
        <f t="shared" si="102"/>
        <v>0</v>
      </c>
      <c r="CP26" s="406">
        <f t="shared" si="103"/>
        <v>0</v>
      </c>
      <c r="CQ26" s="405">
        <f t="shared" si="104"/>
        <v>0</v>
      </c>
      <c r="CR26" s="372">
        <f t="shared" si="104"/>
        <v>0</v>
      </c>
      <c r="CS26" s="372">
        <f t="shared" si="104"/>
        <v>0</v>
      </c>
      <c r="CT26" s="406">
        <f t="shared" si="104"/>
        <v>0</v>
      </c>
      <c r="CU26" s="405">
        <f t="shared" si="105"/>
        <v>0</v>
      </c>
      <c r="CV26" s="372">
        <f t="shared" si="105"/>
        <v>0</v>
      </c>
      <c r="CW26" s="372">
        <f t="shared" si="105"/>
        <v>0</v>
      </c>
      <c r="CX26" s="406">
        <f t="shared" si="105"/>
        <v>0</v>
      </c>
      <c r="CY26" s="405">
        <f t="shared" si="106"/>
        <v>0</v>
      </c>
      <c r="CZ26" s="372">
        <f t="shared" si="106"/>
        <v>0</v>
      </c>
      <c r="DA26" s="372">
        <f t="shared" si="106"/>
        <v>0</v>
      </c>
      <c r="DB26" s="406">
        <f t="shared" si="106"/>
        <v>0</v>
      </c>
      <c r="DC26" s="405">
        <f t="shared" si="107"/>
        <v>0</v>
      </c>
      <c r="DD26" s="372">
        <f t="shared" si="107"/>
        <v>0</v>
      </c>
      <c r="DE26" s="372">
        <f t="shared" si="107"/>
        <v>0</v>
      </c>
      <c r="DF26" s="668">
        <f t="shared" si="107"/>
        <v>0</v>
      </c>
      <c r="DG26" s="405">
        <f t="shared" si="108"/>
        <v>0</v>
      </c>
      <c r="DH26" s="372">
        <f t="shared" si="108"/>
        <v>0</v>
      </c>
      <c r="DI26" s="372">
        <f t="shared" si="108"/>
        <v>0</v>
      </c>
      <c r="DJ26" s="668">
        <f t="shared" si="108"/>
        <v>0</v>
      </c>
      <c r="DK26" s="673">
        <f t="shared" si="109"/>
        <v>0</v>
      </c>
      <c r="DL26" s="671">
        <f t="shared" si="109"/>
        <v>0</v>
      </c>
      <c r="DM26" s="671">
        <f t="shared" si="109"/>
        <v>0</v>
      </c>
      <c r="DN26" s="668">
        <f t="shared" si="109"/>
        <v>0</v>
      </c>
      <c r="DO26" s="673">
        <f t="shared" si="110"/>
        <v>0</v>
      </c>
      <c r="DP26" s="671">
        <f t="shared" si="110"/>
        <v>0</v>
      </c>
      <c r="DQ26" s="671">
        <f t="shared" si="110"/>
        <v>0</v>
      </c>
      <c r="DR26" s="668">
        <f t="shared" si="110"/>
        <v>0</v>
      </c>
      <c r="DS26" s="673">
        <f t="shared" si="111"/>
        <v>42.425786186092026</v>
      </c>
      <c r="DT26" s="671">
        <f t="shared" si="111"/>
        <v>42.425786186092026</v>
      </c>
      <c r="DU26" s="671">
        <f t="shared" si="111"/>
        <v>42.425786186092026</v>
      </c>
      <c r="DV26" s="668">
        <f t="shared" si="111"/>
        <v>42.425786186092026</v>
      </c>
      <c r="DW26" s="673">
        <f t="shared" si="112"/>
        <v>43.274301909813872</v>
      </c>
      <c r="DX26" s="671">
        <f t="shared" si="112"/>
        <v>43.274301909813872</v>
      </c>
      <c r="DY26" s="671">
        <f t="shared" si="112"/>
        <v>43.274301909813872</v>
      </c>
      <c r="DZ26" s="668">
        <f t="shared" si="112"/>
        <v>43.274301909813872</v>
      </c>
      <c r="EA26" s="673">
        <f t="shared" si="113"/>
        <v>44.139787948010152</v>
      </c>
      <c r="EB26" s="671">
        <f t="shared" si="113"/>
        <v>44.139787948010152</v>
      </c>
      <c r="EC26" s="671">
        <f t="shared" si="113"/>
        <v>44.139787948010152</v>
      </c>
      <c r="ED26" s="668">
        <f t="shared" si="113"/>
        <v>44.139787948010152</v>
      </c>
      <c r="EE26" s="673">
        <f t="shared" si="114"/>
        <v>45.022583706970352</v>
      </c>
      <c r="EF26" s="671">
        <f t="shared" si="114"/>
        <v>45.022583706970352</v>
      </c>
      <c r="EG26" s="671">
        <f t="shared" si="114"/>
        <v>0</v>
      </c>
      <c r="EH26" s="668">
        <f t="shared" si="114"/>
        <v>0</v>
      </c>
      <c r="EI26" s="673">
        <f t="shared" si="115"/>
        <v>0</v>
      </c>
      <c r="EJ26" s="671">
        <f t="shared" si="115"/>
        <v>0</v>
      </c>
      <c r="EK26" s="671">
        <f t="shared" si="115"/>
        <v>0</v>
      </c>
      <c r="EL26" s="668">
        <f t="shared" si="115"/>
        <v>0</v>
      </c>
      <c r="EM26" s="416">
        <f t="shared" si="116"/>
        <v>0</v>
      </c>
      <c r="EN26" s="416">
        <f t="shared" si="116"/>
        <v>0</v>
      </c>
      <c r="EO26" s="416">
        <f t="shared" si="116"/>
        <v>0</v>
      </c>
      <c r="EP26" s="416">
        <f t="shared" si="116"/>
        <v>0</v>
      </c>
      <c r="EQ26" s="416">
        <f t="shared" si="116"/>
        <v>0</v>
      </c>
      <c r="EU26" s="416">
        <f t="shared" si="117"/>
        <v>0</v>
      </c>
      <c r="EV26" s="416">
        <f t="shared" si="118"/>
        <v>0</v>
      </c>
      <c r="EW26" s="416">
        <f t="shared" si="119"/>
        <v>0</v>
      </c>
      <c r="EX26" s="416">
        <f t="shared" si="120"/>
        <v>0</v>
      </c>
      <c r="EY26" s="416">
        <f t="shared" si="121"/>
        <v>0</v>
      </c>
      <c r="EZ26" s="416">
        <f t="shared" si="122"/>
        <v>0</v>
      </c>
      <c r="FA26" s="416">
        <f t="shared" si="123"/>
        <v>0</v>
      </c>
      <c r="FB26" s="416">
        <f t="shared" si="124"/>
        <v>0</v>
      </c>
      <c r="FC26" s="416">
        <f t="shared" si="125"/>
        <v>0</v>
      </c>
      <c r="FD26" s="416">
        <f t="shared" si="126"/>
        <v>169.7031447443681</v>
      </c>
      <c r="FE26" s="416">
        <f t="shared" si="127"/>
        <v>173.09720763925549</v>
      </c>
      <c r="FF26" s="416">
        <f t="shared" si="128"/>
        <v>176.55915179204061</v>
      </c>
      <c r="FG26" s="416">
        <f t="shared" si="129"/>
        <v>90.045167413940703</v>
      </c>
      <c r="FH26" s="416">
        <f t="shared" si="130"/>
        <v>0</v>
      </c>
      <c r="FI26" s="416">
        <f t="shared" si="131"/>
        <v>0</v>
      </c>
      <c r="FJ26" s="416">
        <f t="shared" si="132"/>
        <v>0</v>
      </c>
      <c r="FK26" s="416">
        <f t="shared" si="132"/>
        <v>0</v>
      </c>
      <c r="FL26" s="416">
        <f t="shared" si="133"/>
        <v>0</v>
      </c>
      <c r="FM26" s="416">
        <f t="shared" si="133"/>
        <v>0</v>
      </c>
      <c r="FP26" s="416">
        <f t="shared" si="134"/>
        <v>0</v>
      </c>
      <c r="FQ26" s="416">
        <f t="shared" si="135"/>
        <v>0</v>
      </c>
      <c r="FR26" s="416">
        <f t="shared" si="136"/>
        <v>0</v>
      </c>
      <c r="FS26" s="416">
        <f t="shared" si="137"/>
        <v>0</v>
      </c>
      <c r="FT26" s="416">
        <f t="shared" si="138"/>
        <v>0</v>
      </c>
      <c r="FU26" s="416">
        <f t="shared" si="139"/>
        <v>0</v>
      </c>
      <c r="FV26" s="416">
        <f t="shared" si="140"/>
        <v>0</v>
      </c>
      <c r="FW26" s="416">
        <f t="shared" si="141"/>
        <v>0</v>
      </c>
      <c r="FX26" s="416">
        <f t="shared" si="142"/>
        <v>0</v>
      </c>
      <c r="FY26" s="416">
        <f t="shared" si="143"/>
        <v>169.7031447443681</v>
      </c>
      <c r="FZ26" s="416">
        <f t="shared" si="144"/>
        <v>173.09720763925549</v>
      </c>
      <c r="GA26" s="416">
        <f t="shared" si="145"/>
        <v>176.55915179204061</v>
      </c>
      <c r="GB26" s="416">
        <f t="shared" si="146"/>
        <v>90.045167413940703</v>
      </c>
      <c r="GC26" s="416">
        <f t="shared" si="147"/>
        <v>90.045167413940703</v>
      </c>
      <c r="GD26" s="416">
        <f t="shared" si="148"/>
        <v>0</v>
      </c>
      <c r="GE26" s="416">
        <f t="shared" si="149"/>
        <v>0</v>
      </c>
      <c r="GF26" s="416">
        <f t="shared" si="149"/>
        <v>0</v>
      </c>
      <c r="GG26" s="416">
        <f t="shared" si="150"/>
        <v>0</v>
      </c>
      <c r="GH26" s="416">
        <f t="shared" si="150"/>
        <v>0</v>
      </c>
    </row>
    <row r="27" spans="1:190" s="138" customFormat="1" outlineLevel="1" x14ac:dyDescent="0.25">
      <c r="A27" s="368"/>
      <c r="B27" s="368" t="s">
        <v>454</v>
      </c>
      <c r="C27" s="368"/>
      <c r="D27" s="368"/>
      <c r="E27" s="386"/>
      <c r="F27" s="369"/>
      <c r="G27" s="369"/>
      <c r="H27" s="579"/>
      <c r="I27" s="357">
        <f t="shared" si="82"/>
        <v>0</v>
      </c>
      <c r="J27" s="386"/>
      <c r="K27" s="369"/>
      <c r="L27" s="369"/>
      <c r="M27" s="579"/>
      <c r="N27" s="357">
        <f t="shared" si="83"/>
        <v>0</v>
      </c>
      <c r="O27" s="386"/>
      <c r="P27" s="369"/>
      <c r="Q27" s="369"/>
      <c r="R27" s="579"/>
      <c r="S27" s="357">
        <f t="shared" si="84"/>
        <v>0</v>
      </c>
      <c r="T27" s="386"/>
      <c r="U27" s="369"/>
      <c r="V27" s="369"/>
      <c r="W27" s="369"/>
      <c r="X27" s="357">
        <f t="shared" si="85"/>
        <v>0</v>
      </c>
      <c r="Y27" s="386"/>
      <c r="Z27" s="369"/>
      <c r="AA27" s="369"/>
      <c r="AB27" s="369"/>
      <c r="AC27" s="357">
        <f t="shared" si="86"/>
        <v>0</v>
      </c>
      <c r="AD27" s="386"/>
      <c r="AE27" s="369"/>
      <c r="AF27" s="369"/>
      <c r="AG27" s="369"/>
      <c r="AH27" s="357">
        <f t="shared" si="87"/>
        <v>0</v>
      </c>
      <c r="AI27" s="386"/>
      <c r="AJ27" s="369"/>
      <c r="AK27" s="369"/>
      <c r="AL27" s="369"/>
      <c r="AM27" s="357">
        <f t="shared" si="88"/>
        <v>0</v>
      </c>
      <c r="AN27" s="386"/>
      <c r="AO27" s="369"/>
      <c r="AP27" s="369"/>
      <c r="AQ27" s="369"/>
      <c r="AR27" s="357">
        <f t="shared" si="89"/>
        <v>0</v>
      </c>
      <c r="AS27" s="386">
        <v>0.5</v>
      </c>
      <c r="AT27" s="386">
        <v>0.5</v>
      </c>
      <c r="AU27" s="386">
        <v>0.5</v>
      </c>
      <c r="AV27" s="386">
        <v>0.5</v>
      </c>
      <c r="AW27" s="357">
        <f t="shared" si="90"/>
        <v>0.5</v>
      </c>
      <c r="AX27" s="386">
        <v>0.5</v>
      </c>
      <c r="AY27" s="386">
        <v>0.5</v>
      </c>
      <c r="AZ27" s="386">
        <v>0.5</v>
      </c>
      <c r="BA27" s="386">
        <v>0.5</v>
      </c>
      <c r="BB27" s="357">
        <f t="shared" si="91"/>
        <v>0.5</v>
      </c>
      <c r="BC27" s="386"/>
      <c r="BD27" s="369"/>
      <c r="BE27" s="369"/>
      <c r="BF27" s="369"/>
      <c r="BG27" s="357">
        <f t="shared" si="92"/>
        <v>0</v>
      </c>
      <c r="BH27" s="386"/>
      <c r="BI27" s="369"/>
      <c r="BJ27" s="369"/>
      <c r="BK27" s="369"/>
      <c r="BL27" s="357">
        <f t="shared" si="93"/>
        <v>0</v>
      </c>
      <c r="BM27" s="386"/>
      <c r="BN27" s="369"/>
      <c r="BO27" s="369"/>
      <c r="BP27" s="369"/>
      <c r="BQ27" s="964">
        <f t="shared" si="94"/>
        <v>0</v>
      </c>
      <c r="BR27" s="386"/>
      <c r="BS27" s="369"/>
      <c r="BT27" s="369"/>
      <c r="BU27" s="369"/>
      <c r="BV27" s="964">
        <f t="shared" si="95"/>
        <v>0</v>
      </c>
      <c r="BW27" s="463"/>
      <c r="BX27" s="463"/>
      <c r="BY27" s="463"/>
      <c r="BZ27" s="463"/>
      <c r="CA27" s="463"/>
      <c r="CB27" s="370"/>
      <c r="CC27" s="395">
        <v>176</v>
      </c>
      <c r="CD27" s="371">
        <v>0.02</v>
      </c>
      <c r="CE27" s="395">
        <f t="shared" si="151"/>
        <v>183.1104</v>
      </c>
      <c r="CF27" s="371">
        <v>0.02</v>
      </c>
      <c r="CG27" s="395">
        <f t="shared" si="152"/>
        <v>190.50806015999999</v>
      </c>
      <c r="CH27" s="371">
        <v>0.02</v>
      </c>
      <c r="CI27" s="405">
        <f t="shared" si="96"/>
        <v>0</v>
      </c>
      <c r="CJ27" s="372">
        <f t="shared" si="97"/>
        <v>0</v>
      </c>
      <c r="CK27" s="372">
        <f t="shared" si="98"/>
        <v>0</v>
      </c>
      <c r="CL27" s="406">
        <f t="shared" si="99"/>
        <v>0</v>
      </c>
      <c r="CM27" s="405">
        <f t="shared" si="100"/>
        <v>0</v>
      </c>
      <c r="CN27" s="372">
        <f t="shared" si="101"/>
        <v>0</v>
      </c>
      <c r="CO27" s="372">
        <f t="shared" si="102"/>
        <v>0</v>
      </c>
      <c r="CP27" s="406">
        <f t="shared" si="103"/>
        <v>0</v>
      </c>
      <c r="CQ27" s="405">
        <f t="shared" si="104"/>
        <v>0</v>
      </c>
      <c r="CR27" s="372">
        <f t="shared" si="104"/>
        <v>0</v>
      </c>
      <c r="CS27" s="372">
        <f t="shared" si="104"/>
        <v>0</v>
      </c>
      <c r="CT27" s="406">
        <f t="shared" si="104"/>
        <v>0</v>
      </c>
      <c r="CU27" s="405">
        <f t="shared" si="105"/>
        <v>0</v>
      </c>
      <c r="CV27" s="372">
        <f t="shared" si="105"/>
        <v>0</v>
      </c>
      <c r="CW27" s="372">
        <f t="shared" si="105"/>
        <v>0</v>
      </c>
      <c r="CX27" s="406">
        <f t="shared" si="105"/>
        <v>0</v>
      </c>
      <c r="CY27" s="405">
        <f t="shared" si="106"/>
        <v>0</v>
      </c>
      <c r="CZ27" s="372">
        <f t="shared" si="106"/>
        <v>0</v>
      </c>
      <c r="DA27" s="372">
        <f t="shared" si="106"/>
        <v>0</v>
      </c>
      <c r="DB27" s="406">
        <f t="shared" si="106"/>
        <v>0</v>
      </c>
      <c r="DC27" s="405">
        <f t="shared" si="107"/>
        <v>0</v>
      </c>
      <c r="DD27" s="372">
        <f t="shared" si="107"/>
        <v>0</v>
      </c>
      <c r="DE27" s="372">
        <f t="shared" si="107"/>
        <v>0</v>
      </c>
      <c r="DF27" s="668">
        <f t="shared" si="107"/>
        <v>0</v>
      </c>
      <c r="DG27" s="405">
        <f t="shared" si="108"/>
        <v>0</v>
      </c>
      <c r="DH27" s="372">
        <f t="shared" si="108"/>
        <v>0</v>
      </c>
      <c r="DI27" s="372">
        <f t="shared" si="108"/>
        <v>0</v>
      </c>
      <c r="DJ27" s="668">
        <f t="shared" si="108"/>
        <v>0</v>
      </c>
      <c r="DK27" s="673">
        <f t="shared" si="109"/>
        <v>0</v>
      </c>
      <c r="DL27" s="671">
        <f t="shared" si="109"/>
        <v>0</v>
      </c>
      <c r="DM27" s="671">
        <f t="shared" si="109"/>
        <v>0</v>
      </c>
      <c r="DN27" s="668">
        <f t="shared" si="109"/>
        <v>0</v>
      </c>
      <c r="DO27" s="673">
        <f t="shared" si="110"/>
        <v>25.776506382049845</v>
      </c>
      <c r="DP27" s="671">
        <f t="shared" si="110"/>
        <v>25.776506382049845</v>
      </c>
      <c r="DQ27" s="671">
        <f t="shared" si="110"/>
        <v>25.776506382049845</v>
      </c>
      <c r="DR27" s="668">
        <f t="shared" si="110"/>
        <v>25.776506382049845</v>
      </c>
      <c r="DS27" s="673">
        <f t="shared" si="111"/>
        <v>26.292036509690835</v>
      </c>
      <c r="DT27" s="671">
        <f t="shared" si="111"/>
        <v>26.292036509690835</v>
      </c>
      <c r="DU27" s="671">
        <f t="shared" si="111"/>
        <v>26.292036509690835</v>
      </c>
      <c r="DV27" s="668">
        <f t="shared" si="111"/>
        <v>26.292036509690835</v>
      </c>
      <c r="DW27" s="673">
        <f t="shared" si="112"/>
        <v>0</v>
      </c>
      <c r="DX27" s="671">
        <f t="shared" si="112"/>
        <v>0</v>
      </c>
      <c r="DY27" s="671">
        <f t="shared" si="112"/>
        <v>0</v>
      </c>
      <c r="DZ27" s="668">
        <f t="shared" si="112"/>
        <v>0</v>
      </c>
      <c r="EA27" s="673">
        <f t="shared" si="113"/>
        <v>0</v>
      </c>
      <c r="EB27" s="671">
        <f t="shared" si="113"/>
        <v>0</v>
      </c>
      <c r="EC27" s="671">
        <f t="shared" si="113"/>
        <v>0</v>
      </c>
      <c r="ED27" s="668">
        <f t="shared" si="113"/>
        <v>0</v>
      </c>
      <c r="EE27" s="673">
        <f t="shared" si="114"/>
        <v>0</v>
      </c>
      <c r="EF27" s="671">
        <f t="shared" si="114"/>
        <v>0</v>
      </c>
      <c r="EG27" s="671">
        <f t="shared" si="114"/>
        <v>0</v>
      </c>
      <c r="EH27" s="668">
        <f t="shared" si="114"/>
        <v>0</v>
      </c>
      <c r="EI27" s="673">
        <f t="shared" si="115"/>
        <v>0</v>
      </c>
      <c r="EJ27" s="671">
        <f t="shared" si="115"/>
        <v>0</v>
      </c>
      <c r="EK27" s="671">
        <f t="shared" si="115"/>
        <v>0</v>
      </c>
      <c r="EL27" s="668">
        <f t="shared" si="115"/>
        <v>0</v>
      </c>
      <c r="EM27" s="416">
        <f t="shared" si="116"/>
        <v>0</v>
      </c>
      <c r="EN27" s="416">
        <f t="shared" si="116"/>
        <v>0</v>
      </c>
      <c r="EO27" s="416">
        <f t="shared" si="116"/>
        <v>0</v>
      </c>
      <c r="EP27" s="416">
        <f t="shared" si="116"/>
        <v>0</v>
      </c>
      <c r="EQ27" s="416">
        <f t="shared" si="116"/>
        <v>0</v>
      </c>
      <c r="EU27" s="416">
        <f t="shared" si="117"/>
        <v>0</v>
      </c>
      <c r="EV27" s="416">
        <f t="shared" si="118"/>
        <v>0</v>
      </c>
      <c r="EW27" s="416">
        <f t="shared" si="119"/>
        <v>0</v>
      </c>
      <c r="EX27" s="416">
        <f t="shared" si="120"/>
        <v>0</v>
      </c>
      <c r="EY27" s="416">
        <f t="shared" si="121"/>
        <v>0</v>
      </c>
      <c r="EZ27" s="416">
        <f t="shared" si="122"/>
        <v>0</v>
      </c>
      <c r="FA27" s="416">
        <f t="shared" si="123"/>
        <v>0</v>
      </c>
      <c r="FB27" s="416">
        <f t="shared" si="124"/>
        <v>0</v>
      </c>
      <c r="FC27" s="416">
        <f t="shared" si="125"/>
        <v>103.10602552819938</v>
      </c>
      <c r="FD27" s="416">
        <f t="shared" si="126"/>
        <v>105.16814603876334</v>
      </c>
      <c r="FE27" s="416">
        <f t="shared" si="127"/>
        <v>0</v>
      </c>
      <c r="FF27" s="416">
        <f t="shared" si="128"/>
        <v>0</v>
      </c>
      <c r="FG27" s="416">
        <f t="shared" si="129"/>
        <v>0</v>
      </c>
      <c r="FH27" s="416">
        <f t="shared" si="130"/>
        <v>0</v>
      </c>
      <c r="FI27" s="416">
        <f t="shared" si="131"/>
        <v>0</v>
      </c>
      <c r="FJ27" s="416">
        <f t="shared" si="132"/>
        <v>0</v>
      </c>
      <c r="FK27" s="416">
        <f t="shared" si="132"/>
        <v>0</v>
      </c>
      <c r="FL27" s="416">
        <f t="shared" si="133"/>
        <v>0</v>
      </c>
      <c r="FM27" s="416">
        <f t="shared" si="133"/>
        <v>0</v>
      </c>
      <c r="FP27" s="416">
        <f t="shared" si="134"/>
        <v>0</v>
      </c>
      <c r="FQ27" s="416">
        <f t="shared" si="135"/>
        <v>0</v>
      </c>
      <c r="FR27" s="416">
        <f t="shared" si="136"/>
        <v>0</v>
      </c>
      <c r="FS27" s="416">
        <f t="shared" si="137"/>
        <v>0</v>
      </c>
      <c r="FT27" s="416">
        <f t="shared" si="138"/>
        <v>0</v>
      </c>
      <c r="FU27" s="416">
        <f t="shared" si="139"/>
        <v>0</v>
      </c>
      <c r="FV27" s="416">
        <f t="shared" si="140"/>
        <v>0</v>
      </c>
      <c r="FW27" s="416">
        <f t="shared" si="141"/>
        <v>0</v>
      </c>
      <c r="FX27" s="416">
        <f t="shared" si="142"/>
        <v>25.776506382049845</v>
      </c>
      <c r="FY27" s="416">
        <f t="shared" si="143"/>
        <v>105.16814603876334</v>
      </c>
      <c r="FZ27" s="416">
        <f t="shared" si="144"/>
        <v>0</v>
      </c>
      <c r="GA27" s="416">
        <f t="shared" si="145"/>
        <v>0</v>
      </c>
      <c r="GB27" s="416">
        <f t="shared" si="146"/>
        <v>0</v>
      </c>
      <c r="GC27" s="416">
        <f t="shared" si="147"/>
        <v>0</v>
      </c>
      <c r="GD27" s="416">
        <f t="shared" si="148"/>
        <v>0</v>
      </c>
      <c r="GE27" s="416">
        <f t="shared" si="149"/>
        <v>0</v>
      </c>
      <c r="GF27" s="416">
        <f t="shared" si="149"/>
        <v>0</v>
      </c>
      <c r="GG27" s="416">
        <f t="shared" si="150"/>
        <v>0</v>
      </c>
      <c r="GH27" s="416">
        <f t="shared" si="150"/>
        <v>0</v>
      </c>
    </row>
    <row r="28" spans="1:190" s="138" customFormat="1" outlineLevel="1" x14ac:dyDescent="0.25">
      <c r="A28" s="368"/>
      <c r="B28" s="368" t="s">
        <v>455</v>
      </c>
      <c r="C28" s="368"/>
      <c r="D28" s="368"/>
      <c r="E28" s="386"/>
      <c r="F28" s="369"/>
      <c r="G28" s="369"/>
      <c r="H28" s="579"/>
      <c r="I28" s="357">
        <f t="shared" si="82"/>
        <v>0</v>
      </c>
      <c r="J28" s="386"/>
      <c r="K28" s="369"/>
      <c r="L28" s="369"/>
      <c r="M28" s="579"/>
      <c r="N28" s="357">
        <f t="shared" si="83"/>
        <v>0</v>
      </c>
      <c r="O28" s="386"/>
      <c r="P28" s="369"/>
      <c r="Q28" s="369"/>
      <c r="R28" s="579"/>
      <c r="S28" s="357">
        <f t="shared" si="84"/>
        <v>0</v>
      </c>
      <c r="T28" s="386"/>
      <c r="U28" s="369"/>
      <c r="V28" s="369"/>
      <c r="W28" s="369"/>
      <c r="X28" s="357">
        <f t="shared" si="85"/>
        <v>0</v>
      </c>
      <c r="Y28" s="386"/>
      <c r="Z28" s="369"/>
      <c r="AA28" s="369"/>
      <c r="AB28" s="369"/>
      <c r="AC28" s="357">
        <f t="shared" si="86"/>
        <v>0</v>
      </c>
      <c r="AD28" s="386"/>
      <c r="AE28" s="369"/>
      <c r="AF28" s="369"/>
      <c r="AG28" s="369"/>
      <c r="AH28" s="357">
        <f t="shared" si="87"/>
        <v>0</v>
      </c>
      <c r="AI28" s="386"/>
      <c r="AJ28" s="369"/>
      <c r="AK28" s="369"/>
      <c r="AL28" s="369"/>
      <c r="AM28" s="357">
        <f t="shared" si="88"/>
        <v>0</v>
      </c>
      <c r="AN28" s="386"/>
      <c r="AO28" s="369"/>
      <c r="AP28" s="369"/>
      <c r="AQ28" s="369"/>
      <c r="AR28" s="357">
        <f t="shared" si="89"/>
        <v>0</v>
      </c>
      <c r="AS28" s="386"/>
      <c r="AT28" s="369"/>
      <c r="AU28" s="369"/>
      <c r="AV28" s="369"/>
      <c r="AW28" s="357">
        <f t="shared" si="90"/>
        <v>0</v>
      </c>
      <c r="AX28" s="386"/>
      <c r="AY28" s="369"/>
      <c r="AZ28" s="369"/>
      <c r="BA28" s="369"/>
      <c r="BB28" s="357">
        <f t="shared" si="91"/>
        <v>0</v>
      </c>
      <c r="BC28" s="386"/>
      <c r="BD28" s="369"/>
      <c r="BE28" s="369"/>
      <c r="BF28" s="369"/>
      <c r="BG28" s="357">
        <f t="shared" si="92"/>
        <v>0</v>
      </c>
      <c r="BH28" s="386"/>
      <c r="BI28" s="369"/>
      <c r="BJ28" s="369"/>
      <c r="BK28" s="369"/>
      <c r="BL28" s="357">
        <f t="shared" si="93"/>
        <v>0</v>
      </c>
      <c r="BM28" s="386"/>
      <c r="BN28" s="369"/>
      <c r="BO28" s="369"/>
      <c r="BP28" s="369"/>
      <c r="BQ28" s="964">
        <f t="shared" si="94"/>
        <v>0</v>
      </c>
      <c r="BR28" s="386"/>
      <c r="BS28" s="369"/>
      <c r="BT28" s="369"/>
      <c r="BU28" s="369"/>
      <c r="BV28" s="964">
        <f t="shared" si="95"/>
        <v>0</v>
      </c>
      <c r="BW28" s="463"/>
      <c r="BX28" s="463"/>
      <c r="BY28" s="463"/>
      <c r="BZ28" s="463"/>
      <c r="CA28" s="463"/>
      <c r="CB28" s="370"/>
      <c r="CC28" s="395">
        <v>140</v>
      </c>
      <c r="CD28" s="371">
        <v>0.02</v>
      </c>
      <c r="CE28" s="395">
        <f t="shared" si="151"/>
        <v>145.65600000000001</v>
      </c>
      <c r="CF28" s="371">
        <v>0.02</v>
      </c>
      <c r="CG28" s="395">
        <f t="shared" si="152"/>
        <v>151.54050240000001</v>
      </c>
      <c r="CH28" s="371">
        <v>0.02</v>
      </c>
      <c r="CI28" s="405">
        <f t="shared" si="96"/>
        <v>0</v>
      </c>
      <c r="CJ28" s="372">
        <f t="shared" si="97"/>
        <v>0</v>
      </c>
      <c r="CK28" s="372">
        <f t="shared" si="98"/>
        <v>0</v>
      </c>
      <c r="CL28" s="406">
        <f t="shared" si="99"/>
        <v>0</v>
      </c>
      <c r="CM28" s="405">
        <f t="shared" si="100"/>
        <v>0</v>
      </c>
      <c r="CN28" s="372">
        <f t="shared" si="101"/>
        <v>0</v>
      </c>
      <c r="CO28" s="372">
        <f t="shared" si="102"/>
        <v>0</v>
      </c>
      <c r="CP28" s="406">
        <f t="shared" si="103"/>
        <v>0</v>
      </c>
      <c r="CQ28" s="405">
        <f t="shared" si="104"/>
        <v>0</v>
      </c>
      <c r="CR28" s="372">
        <f t="shared" si="104"/>
        <v>0</v>
      </c>
      <c r="CS28" s="372">
        <f t="shared" si="104"/>
        <v>0</v>
      </c>
      <c r="CT28" s="406">
        <f t="shared" si="104"/>
        <v>0</v>
      </c>
      <c r="CU28" s="405">
        <f t="shared" si="105"/>
        <v>0</v>
      </c>
      <c r="CV28" s="372">
        <f t="shared" si="105"/>
        <v>0</v>
      </c>
      <c r="CW28" s="372">
        <f t="shared" si="105"/>
        <v>0</v>
      </c>
      <c r="CX28" s="406">
        <f t="shared" si="105"/>
        <v>0</v>
      </c>
      <c r="CY28" s="405">
        <f t="shared" si="106"/>
        <v>0</v>
      </c>
      <c r="CZ28" s="372">
        <f t="shared" si="106"/>
        <v>0</v>
      </c>
      <c r="DA28" s="372">
        <f t="shared" si="106"/>
        <v>0</v>
      </c>
      <c r="DB28" s="406">
        <f t="shared" si="106"/>
        <v>0</v>
      </c>
      <c r="DC28" s="405">
        <f t="shared" si="107"/>
        <v>0</v>
      </c>
      <c r="DD28" s="372">
        <f t="shared" si="107"/>
        <v>0</v>
      </c>
      <c r="DE28" s="372">
        <f t="shared" si="107"/>
        <v>0</v>
      </c>
      <c r="DF28" s="668">
        <f t="shared" si="107"/>
        <v>0</v>
      </c>
      <c r="DG28" s="405">
        <f t="shared" si="108"/>
        <v>0</v>
      </c>
      <c r="DH28" s="372">
        <f t="shared" si="108"/>
        <v>0</v>
      </c>
      <c r="DI28" s="372">
        <f t="shared" si="108"/>
        <v>0</v>
      </c>
      <c r="DJ28" s="668">
        <f t="shared" si="108"/>
        <v>0</v>
      </c>
      <c r="DK28" s="673">
        <f t="shared" si="109"/>
        <v>0</v>
      </c>
      <c r="DL28" s="671">
        <f t="shared" si="109"/>
        <v>0</v>
      </c>
      <c r="DM28" s="671">
        <f t="shared" si="109"/>
        <v>0</v>
      </c>
      <c r="DN28" s="668">
        <f t="shared" si="109"/>
        <v>0</v>
      </c>
      <c r="DO28" s="673">
        <f t="shared" si="110"/>
        <v>0</v>
      </c>
      <c r="DP28" s="671">
        <f t="shared" si="110"/>
        <v>0</v>
      </c>
      <c r="DQ28" s="671">
        <f t="shared" si="110"/>
        <v>0</v>
      </c>
      <c r="DR28" s="668">
        <f t="shared" si="110"/>
        <v>0</v>
      </c>
      <c r="DS28" s="673">
        <f t="shared" si="111"/>
        <v>0</v>
      </c>
      <c r="DT28" s="671">
        <f t="shared" si="111"/>
        <v>0</v>
      </c>
      <c r="DU28" s="671">
        <f t="shared" si="111"/>
        <v>0</v>
      </c>
      <c r="DV28" s="668">
        <f t="shared" si="111"/>
        <v>0</v>
      </c>
      <c r="DW28" s="673">
        <f t="shared" si="112"/>
        <v>0</v>
      </c>
      <c r="DX28" s="671">
        <f t="shared" si="112"/>
        <v>0</v>
      </c>
      <c r="DY28" s="671">
        <f t="shared" si="112"/>
        <v>0</v>
      </c>
      <c r="DZ28" s="668">
        <f t="shared" si="112"/>
        <v>0</v>
      </c>
      <c r="EA28" s="673">
        <f t="shared" si="113"/>
        <v>0</v>
      </c>
      <c r="EB28" s="671">
        <f t="shared" si="113"/>
        <v>0</v>
      </c>
      <c r="EC28" s="671">
        <f t="shared" si="113"/>
        <v>0</v>
      </c>
      <c r="ED28" s="668">
        <f t="shared" si="113"/>
        <v>0</v>
      </c>
      <c r="EE28" s="673">
        <f t="shared" si="114"/>
        <v>0</v>
      </c>
      <c r="EF28" s="671">
        <f t="shared" si="114"/>
        <v>0</v>
      </c>
      <c r="EG28" s="671">
        <f t="shared" si="114"/>
        <v>0</v>
      </c>
      <c r="EH28" s="668">
        <f t="shared" si="114"/>
        <v>0</v>
      </c>
      <c r="EI28" s="673">
        <f t="shared" si="115"/>
        <v>0</v>
      </c>
      <c r="EJ28" s="671">
        <f t="shared" si="115"/>
        <v>0</v>
      </c>
      <c r="EK28" s="671">
        <f t="shared" si="115"/>
        <v>0</v>
      </c>
      <c r="EL28" s="668">
        <f t="shared" si="115"/>
        <v>0</v>
      </c>
      <c r="EM28" s="416">
        <f t="shared" si="116"/>
        <v>0</v>
      </c>
      <c r="EN28" s="416">
        <f t="shared" si="116"/>
        <v>0</v>
      </c>
      <c r="EO28" s="416">
        <f t="shared" si="116"/>
        <v>0</v>
      </c>
      <c r="EP28" s="416">
        <f t="shared" si="116"/>
        <v>0</v>
      </c>
      <c r="EQ28" s="416">
        <f t="shared" si="116"/>
        <v>0</v>
      </c>
      <c r="EU28" s="416">
        <f t="shared" si="117"/>
        <v>0</v>
      </c>
      <c r="EV28" s="416">
        <f t="shared" si="118"/>
        <v>0</v>
      </c>
      <c r="EW28" s="416">
        <f t="shared" si="119"/>
        <v>0</v>
      </c>
      <c r="EX28" s="416">
        <f t="shared" si="120"/>
        <v>0</v>
      </c>
      <c r="EY28" s="416">
        <f t="shared" si="121"/>
        <v>0</v>
      </c>
      <c r="EZ28" s="416">
        <f t="shared" si="122"/>
        <v>0</v>
      </c>
      <c r="FA28" s="416">
        <f t="shared" si="123"/>
        <v>0</v>
      </c>
      <c r="FB28" s="416">
        <f t="shared" si="124"/>
        <v>0</v>
      </c>
      <c r="FC28" s="416">
        <f t="shared" si="125"/>
        <v>0</v>
      </c>
      <c r="FD28" s="416">
        <f t="shared" si="126"/>
        <v>0</v>
      </c>
      <c r="FE28" s="416">
        <f t="shared" si="127"/>
        <v>0</v>
      </c>
      <c r="FF28" s="416">
        <f t="shared" si="128"/>
        <v>0</v>
      </c>
      <c r="FG28" s="416">
        <f t="shared" si="129"/>
        <v>0</v>
      </c>
      <c r="FH28" s="416">
        <f t="shared" si="130"/>
        <v>0</v>
      </c>
      <c r="FI28" s="416">
        <f t="shared" si="131"/>
        <v>0</v>
      </c>
      <c r="FJ28" s="416">
        <f t="shared" si="132"/>
        <v>0</v>
      </c>
      <c r="FK28" s="416">
        <f t="shared" si="132"/>
        <v>0</v>
      </c>
      <c r="FL28" s="416">
        <f t="shared" si="133"/>
        <v>0</v>
      </c>
      <c r="FM28" s="416">
        <f t="shared" si="133"/>
        <v>0</v>
      </c>
      <c r="FP28" s="416">
        <f t="shared" si="134"/>
        <v>0</v>
      </c>
      <c r="FQ28" s="416">
        <f t="shared" si="135"/>
        <v>0</v>
      </c>
      <c r="FR28" s="416">
        <f t="shared" si="136"/>
        <v>0</v>
      </c>
      <c r="FS28" s="416">
        <f t="shared" si="137"/>
        <v>0</v>
      </c>
      <c r="FT28" s="416">
        <f t="shared" si="138"/>
        <v>0</v>
      </c>
      <c r="FU28" s="416">
        <f t="shared" si="139"/>
        <v>0</v>
      </c>
      <c r="FV28" s="416">
        <f t="shared" si="140"/>
        <v>0</v>
      </c>
      <c r="FW28" s="416">
        <f t="shared" si="141"/>
        <v>0</v>
      </c>
      <c r="FX28" s="416">
        <f t="shared" si="142"/>
        <v>0</v>
      </c>
      <c r="FY28" s="416">
        <f t="shared" si="143"/>
        <v>0</v>
      </c>
      <c r="FZ28" s="416">
        <f t="shared" si="144"/>
        <v>0</v>
      </c>
      <c r="GA28" s="416">
        <f t="shared" si="145"/>
        <v>0</v>
      </c>
      <c r="GB28" s="416">
        <f t="shared" si="146"/>
        <v>0</v>
      </c>
      <c r="GC28" s="416">
        <f t="shared" si="147"/>
        <v>0</v>
      </c>
      <c r="GD28" s="416">
        <f t="shared" si="148"/>
        <v>0</v>
      </c>
      <c r="GE28" s="416">
        <f t="shared" si="149"/>
        <v>0</v>
      </c>
      <c r="GF28" s="416">
        <f t="shared" si="149"/>
        <v>0</v>
      </c>
      <c r="GG28" s="416">
        <f t="shared" si="150"/>
        <v>0</v>
      </c>
      <c r="GH28" s="416">
        <f t="shared" si="150"/>
        <v>0</v>
      </c>
    </row>
    <row r="29" spans="1:190" s="138" customFormat="1" outlineLevel="1" x14ac:dyDescent="0.25">
      <c r="A29" s="361"/>
      <c r="B29" s="426" t="s">
        <v>415</v>
      </c>
      <c r="C29" s="426"/>
      <c r="D29" s="426"/>
      <c r="E29" s="427"/>
      <c r="F29" s="428"/>
      <c r="G29" s="428"/>
      <c r="H29" s="580"/>
      <c r="I29" s="358">
        <f t="shared" si="82"/>
        <v>0</v>
      </c>
      <c r="J29" s="427"/>
      <c r="K29" s="428"/>
      <c r="L29" s="428"/>
      <c r="M29" s="580"/>
      <c r="N29" s="358">
        <f t="shared" si="83"/>
        <v>0</v>
      </c>
      <c r="O29" s="427"/>
      <c r="P29" s="428"/>
      <c r="Q29" s="428"/>
      <c r="R29" s="580"/>
      <c r="S29" s="358">
        <f t="shared" si="84"/>
        <v>0</v>
      </c>
      <c r="T29" s="427"/>
      <c r="U29" s="428"/>
      <c r="V29" s="428"/>
      <c r="W29" s="428"/>
      <c r="X29" s="358">
        <f t="shared" si="85"/>
        <v>0</v>
      </c>
      <c r="Y29" s="461"/>
      <c r="Z29" s="459"/>
      <c r="AA29" s="459"/>
      <c r="AB29" s="459"/>
      <c r="AC29" s="358">
        <f t="shared" si="86"/>
        <v>0</v>
      </c>
      <c r="AD29" s="461"/>
      <c r="AE29" s="459"/>
      <c r="AF29" s="459"/>
      <c r="AG29" s="459"/>
      <c r="AH29" s="358">
        <f t="shared" si="87"/>
        <v>0</v>
      </c>
      <c r="AI29" s="461"/>
      <c r="AJ29" s="459"/>
      <c r="AK29" s="459"/>
      <c r="AL29" s="459"/>
      <c r="AM29" s="358">
        <f t="shared" si="88"/>
        <v>0</v>
      </c>
      <c r="AN29" s="461"/>
      <c r="AO29" s="459"/>
      <c r="AP29" s="459"/>
      <c r="AQ29" s="459"/>
      <c r="AR29" s="358">
        <f t="shared" si="89"/>
        <v>0</v>
      </c>
      <c r="AS29" s="461"/>
      <c r="AT29" s="459"/>
      <c r="AU29" s="459"/>
      <c r="AV29" s="459"/>
      <c r="AW29" s="358">
        <f t="shared" si="90"/>
        <v>0</v>
      </c>
      <c r="AX29" s="461"/>
      <c r="AY29" s="459"/>
      <c r="AZ29" s="459"/>
      <c r="BA29" s="459"/>
      <c r="BB29" s="358">
        <f t="shared" si="91"/>
        <v>0</v>
      </c>
      <c r="BC29" s="461"/>
      <c r="BD29" s="459"/>
      <c r="BE29" s="459"/>
      <c r="BF29" s="459"/>
      <c r="BG29" s="358">
        <f t="shared" si="92"/>
        <v>0</v>
      </c>
      <c r="BH29" s="461"/>
      <c r="BI29" s="459"/>
      <c r="BJ29" s="459"/>
      <c r="BK29" s="459"/>
      <c r="BL29" s="358">
        <f t="shared" si="93"/>
        <v>0</v>
      </c>
      <c r="BM29" s="461"/>
      <c r="BN29" s="459"/>
      <c r="BO29" s="459"/>
      <c r="BP29" s="459"/>
      <c r="BQ29" s="968">
        <f t="shared" si="94"/>
        <v>0</v>
      </c>
      <c r="BR29" s="461"/>
      <c r="BS29" s="459"/>
      <c r="BT29" s="459"/>
      <c r="BU29" s="459"/>
      <c r="BV29" s="968">
        <f t="shared" si="95"/>
        <v>0</v>
      </c>
      <c r="BW29" s="464"/>
      <c r="BX29" s="464"/>
      <c r="BY29" s="464"/>
      <c r="BZ29" s="464"/>
      <c r="CA29" s="464"/>
      <c r="CB29" s="430"/>
      <c r="CC29" s="431">
        <v>135</v>
      </c>
      <c r="CD29" s="371">
        <v>0.02</v>
      </c>
      <c r="CE29" s="431">
        <f t="shared" si="151"/>
        <v>140.45400000000001</v>
      </c>
      <c r="CF29" s="371">
        <v>0.02</v>
      </c>
      <c r="CG29" s="431">
        <f t="shared" si="152"/>
        <v>146.1283416</v>
      </c>
      <c r="CH29" s="371">
        <v>0.02</v>
      </c>
      <c r="CI29" s="433">
        <f t="shared" si="96"/>
        <v>0</v>
      </c>
      <c r="CJ29" s="434">
        <f t="shared" si="97"/>
        <v>0</v>
      </c>
      <c r="CK29" s="434">
        <f t="shared" si="98"/>
        <v>0</v>
      </c>
      <c r="CL29" s="435">
        <f t="shared" si="99"/>
        <v>0</v>
      </c>
      <c r="CM29" s="433">
        <f t="shared" si="100"/>
        <v>0</v>
      </c>
      <c r="CN29" s="434">
        <f t="shared" si="101"/>
        <v>0</v>
      </c>
      <c r="CO29" s="434">
        <f t="shared" si="102"/>
        <v>0</v>
      </c>
      <c r="CP29" s="435">
        <f t="shared" si="103"/>
        <v>0</v>
      </c>
      <c r="CQ29" s="433">
        <f t="shared" si="104"/>
        <v>0</v>
      </c>
      <c r="CR29" s="434">
        <f t="shared" si="104"/>
        <v>0</v>
      </c>
      <c r="CS29" s="434">
        <f t="shared" si="104"/>
        <v>0</v>
      </c>
      <c r="CT29" s="435">
        <f t="shared" si="104"/>
        <v>0</v>
      </c>
      <c r="CU29" s="433">
        <f t="shared" si="105"/>
        <v>0</v>
      </c>
      <c r="CV29" s="434">
        <f t="shared" si="105"/>
        <v>0</v>
      </c>
      <c r="CW29" s="434">
        <f t="shared" si="105"/>
        <v>0</v>
      </c>
      <c r="CX29" s="435">
        <f t="shared" si="105"/>
        <v>0</v>
      </c>
      <c r="CY29" s="433">
        <f t="shared" si="106"/>
        <v>0</v>
      </c>
      <c r="CZ29" s="434">
        <f t="shared" si="106"/>
        <v>0</v>
      </c>
      <c r="DA29" s="434">
        <f t="shared" si="106"/>
        <v>0</v>
      </c>
      <c r="DB29" s="435">
        <f t="shared" si="106"/>
        <v>0</v>
      </c>
      <c r="DC29" s="433">
        <f t="shared" si="107"/>
        <v>0</v>
      </c>
      <c r="DD29" s="434">
        <f t="shared" si="107"/>
        <v>0</v>
      </c>
      <c r="DE29" s="434">
        <f t="shared" si="107"/>
        <v>0</v>
      </c>
      <c r="DF29" s="669">
        <f t="shared" si="107"/>
        <v>0</v>
      </c>
      <c r="DG29" s="433">
        <f t="shared" si="108"/>
        <v>0</v>
      </c>
      <c r="DH29" s="434">
        <f t="shared" si="108"/>
        <v>0</v>
      </c>
      <c r="DI29" s="434">
        <f t="shared" si="108"/>
        <v>0</v>
      </c>
      <c r="DJ29" s="669">
        <f t="shared" si="108"/>
        <v>0</v>
      </c>
      <c r="DK29" s="907">
        <f t="shared" si="109"/>
        <v>0</v>
      </c>
      <c r="DL29" s="672">
        <f t="shared" si="109"/>
        <v>0</v>
      </c>
      <c r="DM29" s="672">
        <f t="shared" si="109"/>
        <v>0</v>
      </c>
      <c r="DN29" s="669">
        <f t="shared" si="109"/>
        <v>0</v>
      </c>
      <c r="DO29" s="907">
        <f t="shared" si="110"/>
        <v>0</v>
      </c>
      <c r="DP29" s="672">
        <f t="shared" si="110"/>
        <v>0</v>
      </c>
      <c r="DQ29" s="672">
        <f t="shared" si="110"/>
        <v>0</v>
      </c>
      <c r="DR29" s="669">
        <f t="shared" si="110"/>
        <v>0</v>
      </c>
      <c r="DS29" s="907">
        <f t="shared" si="111"/>
        <v>0</v>
      </c>
      <c r="DT29" s="672">
        <f t="shared" si="111"/>
        <v>0</v>
      </c>
      <c r="DU29" s="672">
        <f t="shared" si="111"/>
        <v>0</v>
      </c>
      <c r="DV29" s="669">
        <f t="shared" si="111"/>
        <v>0</v>
      </c>
      <c r="DW29" s="907">
        <f t="shared" si="112"/>
        <v>0</v>
      </c>
      <c r="DX29" s="672">
        <f t="shared" si="112"/>
        <v>0</v>
      </c>
      <c r="DY29" s="672">
        <f t="shared" si="112"/>
        <v>0</v>
      </c>
      <c r="DZ29" s="669">
        <f t="shared" si="112"/>
        <v>0</v>
      </c>
      <c r="EA29" s="907">
        <f t="shared" si="113"/>
        <v>0</v>
      </c>
      <c r="EB29" s="672">
        <f t="shared" si="113"/>
        <v>0</v>
      </c>
      <c r="EC29" s="672">
        <f t="shared" si="113"/>
        <v>0</v>
      </c>
      <c r="ED29" s="669">
        <f t="shared" si="113"/>
        <v>0</v>
      </c>
      <c r="EE29" s="907">
        <f t="shared" si="114"/>
        <v>0</v>
      </c>
      <c r="EF29" s="672">
        <f t="shared" si="114"/>
        <v>0</v>
      </c>
      <c r="EG29" s="672">
        <f t="shared" si="114"/>
        <v>0</v>
      </c>
      <c r="EH29" s="669">
        <f t="shared" si="114"/>
        <v>0</v>
      </c>
      <c r="EI29" s="907">
        <f t="shared" si="115"/>
        <v>0</v>
      </c>
      <c r="EJ29" s="672">
        <f t="shared" si="115"/>
        <v>0</v>
      </c>
      <c r="EK29" s="672">
        <f t="shared" si="115"/>
        <v>0</v>
      </c>
      <c r="EL29" s="669">
        <f t="shared" si="115"/>
        <v>0</v>
      </c>
      <c r="EM29" s="436">
        <f t="shared" si="116"/>
        <v>0</v>
      </c>
      <c r="EN29" s="436">
        <f t="shared" si="116"/>
        <v>0</v>
      </c>
      <c r="EO29" s="436">
        <f t="shared" si="116"/>
        <v>0</v>
      </c>
      <c r="EP29" s="436">
        <f t="shared" si="116"/>
        <v>0</v>
      </c>
      <c r="EQ29" s="436">
        <f t="shared" si="116"/>
        <v>0</v>
      </c>
      <c r="ER29" s="437"/>
      <c r="ES29" s="437"/>
      <c r="ET29" s="437"/>
      <c r="EU29" s="436">
        <f t="shared" si="117"/>
        <v>0</v>
      </c>
      <c r="EV29" s="436">
        <f t="shared" si="118"/>
        <v>0</v>
      </c>
      <c r="EW29" s="436">
        <f t="shared" si="119"/>
        <v>0</v>
      </c>
      <c r="EX29" s="436">
        <f t="shared" si="120"/>
        <v>0</v>
      </c>
      <c r="EY29" s="436">
        <f t="shared" si="121"/>
        <v>0</v>
      </c>
      <c r="EZ29" s="436">
        <f t="shared" si="122"/>
        <v>0</v>
      </c>
      <c r="FA29" s="436">
        <f t="shared" si="123"/>
        <v>0</v>
      </c>
      <c r="FB29" s="436">
        <f t="shared" si="124"/>
        <v>0</v>
      </c>
      <c r="FC29" s="436">
        <f t="shared" si="125"/>
        <v>0</v>
      </c>
      <c r="FD29" s="436">
        <f t="shared" si="126"/>
        <v>0</v>
      </c>
      <c r="FE29" s="436">
        <f t="shared" si="127"/>
        <v>0</v>
      </c>
      <c r="FF29" s="436">
        <f t="shared" si="128"/>
        <v>0</v>
      </c>
      <c r="FG29" s="436">
        <f t="shared" si="129"/>
        <v>0</v>
      </c>
      <c r="FH29" s="436">
        <f t="shared" si="130"/>
        <v>0</v>
      </c>
      <c r="FI29" s="436">
        <f t="shared" si="131"/>
        <v>0</v>
      </c>
      <c r="FJ29" s="436">
        <f t="shared" si="132"/>
        <v>0</v>
      </c>
      <c r="FK29" s="436">
        <f t="shared" si="132"/>
        <v>0</v>
      </c>
      <c r="FL29" s="436">
        <f t="shared" si="133"/>
        <v>0</v>
      </c>
      <c r="FM29" s="436">
        <f t="shared" si="133"/>
        <v>0</v>
      </c>
      <c r="FN29" s="437"/>
      <c r="FO29" s="437"/>
      <c r="FP29" s="436">
        <f t="shared" si="134"/>
        <v>0</v>
      </c>
      <c r="FQ29" s="436">
        <f t="shared" si="135"/>
        <v>0</v>
      </c>
      <c r="FR29" s="436">
        <f t="shared" si="136"/>
        <v>0</v>
      </c>
      <c r="FS29" s="436">
        <f t="shared" si="137"/>
        <v>0</v>
      </c>
      <c r="FT29" s="436">
        <f t="shared" si="138"/>
        <v>0</v>
      </c>
      <c r="FU29" s="436">
        <f t="shared" si="139"/>
        <v>0</v>
      </c>
      <c r="FV29" s="436">
        <f t="shared" si="140"/>
        <v>0</v>
      </c>
      <c r="FW29" s="436">
        <f t="shared" si="141"/>
        <v>0</v>
      </c>
      <c r="FX29" s="436">
        <f t="shared" si="142"/>
        <v>0</v>
      </c>
      <c r="FY29" s="436">
        <f t="shared" si="143"/>
        <v>0</v>
      </c>
      <c r="FZ29" s="436">
        <f t="shared" si="144"/>
        <v>0</v>
      </c>
      <c r="GA29" s="436">
        <f t="shared" si="145"/>
        <v>0</v>
      </c>
      <c r="GB29" s="436">
        <f t="shared" si="146"/>
        <v>0</v>
      </c>
      <c r="GC29" s="436">
        <f t="shared" si="147"/>
        <v>0</v>
      </c>
      <c r="GD29" s="436">
        <f t="shared" si="148"/>
        <v>0</v>
      </c>
      <c r="GE29" s="436">
        <f t="shared" si="149"/>
        <v>0</v>
      </c>
      <c r="GF29" s="436">
        <f t="shared" si="149"/>
        <v>0</v>
      </c>
      <c r="GG29" s="436">
        <f t="shared" si="150"/>
        <v>0</v>
      </c>
      <c r="GH29" s="436">
        <f t="shared" si="150"/>
        <v>0</v>
      </c>
    </row>
    <row r="30" spans="1:190" s="86" customFormat="1" x14ac:dyDescent="0.25">
      <c r="A30" s="367"/>
      <c r="B30" s="345" t="s">
        <v>416</v>
      </c>
      <c r="C30" s="345"/>
      <c r="D30" s="345"/>
      <c r="E30" s="346">
        <f t="shared" ref="E30:AB30" si="153">SUM(E24:E29)</f>
        <v>0</v>
      </c>
      <c r="F30" s="348">
        <f t="shared" si="153"/>
        <v>0</v>
      </c>
      <c r="G30" s="348">
        <f t="shared" si="153"/>
        <v>0</v>
      </c>
      <c r="H30" s="348">
        <f t="shared" si="153"/>
        <v>0</v>
      </c>
      <c r="I30" s="357">
        <f t="shared" si="82"/>
        <v>0</v>
      </c>
      <c r="J30" s="346">
        <f t="shared" si="153"/>
        <v>0</v>
      </c>
      <c r="K30" s="348">
        <f t="shared" si="153"/>
        <v>0</v>
      </c>
      <c r="L30" s="348">
        <f t="shared" si="153"/>
        <v>0</v>
      </c>
      <c r="M30" s="348">
        <f t="shared" si="153"/>
        <v>0</v>
      </c>
      <c r="N30" s="357">
        <f t="shared" si="83"/>
        <v>0</v>
      </c>
      <c r="O30" s="346">
        <f t="shared" si="153"/>
        <v>0</v>
      </c>
      <c r="P30" s="348">
        <f t="shared" si="153"/>
        <v>0</v>
      </c>
      <c r="Q30" s="348">
        <f t="shared" si="153"/>
        <v>0</v>
      </c>
      <c r="R30" s="348">
        <f t="shared" si="153"/>
        <v>0</v>
      </c>
      <c r="S30" s="357">
        <f t="shared" si="84"/>
        <v>0</v>
      </c>
      <c r="T30" s="346">
        <f t="shared" si="153"/>
        <v>0</v>
      </c>
      <c r="U30" s="348">
        <f t="shared" si="153"/>
        <v>0</v>
      </c>
      <c r="V30" s="348">
        <f t="shared" si="153"/>
        <v>0</v>
      </c>
      <c r="W30" s="348">
        <f t="shared" si="153"/>
        <v>0</v>
      </c>
      <c r="X30" s="357">
        <f t="shared" si="85"/>
        <v>0</v>
      </c>
      <c r="Y30" s="346">
        <f t="shared" si="153"/>
        <v>0</v>
      </c>
      <c r="Z30" s="348">
        <f t="shared" si="153"/>
        <v>0</v>
      </c>
      <c r="AA30" s="348">
        <f t="shared" si="153"/>
        <v>0</v>
      </c>
      <c r="AB30" s="348">
        <f t="shared" si="153"/>
        <v>0</v>
      </c>
      <c r="AC30" s="357">
        <f t="shared" si="86"/>
        <v>0</v>
      </c>
      <c r="AD30" s="346">
        <f>SUM(AD24:AD29)</f>
        <v>0</v>
      </c>
      <c r="AE30" s="348">
        <f>SUM(AE24:AE29)</f>
        <v>0</v>
      </c>
      <c r="AF30" s="348">
        <f>SUM(AF24:AF29)</f>
        <v>0</v>
      </c>
      <c r="AG30" s="348">
        <f>SUM(AG24:AG29)</f>
        <v>0</v>
      </c>
      <c r="AH30" s="357">
        <f t="shared" si="87"/>
        <v>0</v>
      </c>
      <c r="AI30" s="346">
        <f>SUM(AI24:AI29)</f>
        <v>0</v>
      </c>
      <c r="AJ30" s="348">
        <f>SUM(AJ24:AJ29)</f>
        <v>0</v>
      </c>
      <c r="AK30" s="348">
        <f>SUM(AK24:AK29)</f>
        <v>0</v>
      </c>
      <c r="AL30" s="348">
        <f>SUM(AL24:AL29)</f>
        <v>0</v>
      </c>
      <c r="AM30" s="357">
        <f t="shared" si="88"/>
        <v>0</v>
      </c>
      <c r="AN30" s="346">
        <f t="shared" ref="AN30:BK30" si="154">SUM(AN24:AN29)</f>
        <v>0</v>
      </c>
      <c r="AO30" s="348">
        <f t="shared" si="154"/>
        <v>0</v>
      </c>
      <c r="AP30" s="348">
        <f t="shared" si="154"/>
        <v>0</v>
      </c>
      <c r="AQ30" s="348">
        <f t="shared" si="154"/>
        <v>0</v>
      </c>
      <c r="AR30" s="357">
        <f t="shared" si="89"/>
        <v>0</v>
      </c>
      <c r="AS30" s="346">
        <f t="shared" si="154"/>
        <v>1.5</v>
      </c>
      <c r="AT30" s="348">
        <f t="shared" si="154"/>
        <v>1.5</v>
      </c>
      <c r="AU30" s="348">
        <f t="shared" si="154"/>
        <v>1.5</v>
      </c>
      <c r="AV30" s="348">
        <f t="shared" si="154"/>
        <v>1.5</v>
      </c>
      <c r="AW30" s="357">
        <f t="shared" si="90"/>
        <v>1.5</v>
      </c>
      <c r="AX30" s="346">
        <f t="shared" si="154"/>
        <v>2.5</v>
      </c>
      <c r="AY30" s="348">
        <f t="shared" si="154"/>
        <v>2.5</v>
      </c>
      <c r="AZ30" s="348">
        <f t="shared" si="154"/>
        <v>2.5</v>
      </c>
      <c r="BA30" s="348">
        <f t="shared" si="154"/>
        <v>2.5</v>
      </c>
      <c r="BB30" s="357">
        <f t="shared" si="91"/>
        <v>2.5</v>
      </c>
      <c r="BC30" s="346">
        <f t="shared" si="154"/>
        <v>2</v>
      </c>
      <c r="BD30" s="348">
        <f t="shared" si="154"/>
        <v>2</v>
      </c>
      <c r="BE30" s="348">
        <f t="shared" si="154"/>
        <v>2</v>
      </c>
      <c r="BF30" s="348">
        <f t="shared" si="154"/>
        <v>2</v>
      </c>
      <c r="BG30" s="357">
        <f t="shared" si="92"/>
        <v>2</v>
      </c>
      <c r="BH30" s="346">
        <f t="shared" si="154"/>
        <v>2</v>
      </c>
      <c r="BI30" s="348">
        <f t="shared" si="154"/>
        <v>2</v>
      </c>
      <c r="BJ30" s="348">
        <f t="shared" si="154"/>
        <v>2</v>
      </c>
      <c r="BK30" s="348">
        <f t="shared" si="154"/>
        <v>2</v>
      </c>
      <c r="BL30" s="357">
        <f t="shared" si="93"/>
        <v>2</v>
      </c>
      <c r="BM30" s="346">
        <f t="shared" ref="BM30:BP30" si="155">SUM(BM24:BM29)</f>
        <v>2</v>
      </c>
      <c r="BN30" s="348">
        <f t="shared" si="155"/>
        <v>2</v>
      </c>
      <c r="BO30" s="348">
        <f t="shared" si="155"/>
        <v>0</v>
      </c>
      <c r="BP30" s="348">
        <f t="shared" si="155"/>
        <v>0</v>
      </c>
      <c r="BQ30" s="966">
        <f t="shared" si="94"/>
        <v>1</v>
      </c>
      <c r="BR30" s="346">
        <f t="shared" ref="BR30:BU30" si="156">SUM(BR24:BR29)</f>
        <v>0</v>
      </c>
      <c r="BS30" s="348">
        <f t="shared" si="156"/>
        <v>0</v>
      </c>
      <c r="BT30" s="348">
        <f t="shared" si="156"/>
        <v>0</v>
      </c>
      <c r="BU30" s="348">
        <f t="shared" si="156"/>
        <v>0</v>
      </c>
      <c r="BV30" s="966">
        <f t="shared" si="95"/>
        <v>0</v>
      </c>
      <c r="BW30" s="347">
        <f>SUM(BW24:BW29)</f>
        <v>0</v>
      </c>
      <c r="BX30" s="347">
        <f>SUM(BX24:BX29)</f>
        <v>0</v>
      </c>
      <c r="BY30" s="347">
        <f>SUM(BY24:BY29)</f>
        <v>0</v>
      </c>
      <c r="BZ30" s="347">
        <f t="shared" ref="BZ30:CA30" si="157">SUM(BZ24:BZ29)</f>
        <v>0</v>
      </c>
      <c r="CA30" s="347">
        <f t="shared" si="157"/>
        <v>0</v>
      </c>
      <c r="CB30" s="349"/>
      <c r="CC30" s="396"/>
      <c r="CD30" s="904"/>
      <c r="CE30" s="396"/>
      <c r="CF30" s="904"/>
      <c r="CG30" s="396"/>
      <c r="CH30" s="904"/>
      <c r="CI30" s="393">
        <f t="shared" ref="CI30:CX30" si="158">SUM(CI24:CI29)</f>
        <v>0</v>
      </c>
      <c r="CJ30" s="374">
        <f t="shared" si="158"/>
        <v>0</v>
      </c>
      <c r="CK30" s="374">
        <f t="shared" si="158"/>
        <v>0</v>
      </c>
      <c r="CL30" s="394">
        <f t="shared" si="158"/>
        <v>0</v>
      </c>
      <c r="CM30" s="393">
        <f t="shared" si="158"/>
        <v>0</v>
      </c>
      <c r="CN30" s="374">
        <f t="shared" si="158"/>
        <v>0</v>
      </c>
      <c r="CO30" s="374">
        <f t="shared" si="158"/>
        <v>0</v>
      </c>
      <c r="CP30" s="394">
        <f t="shared" si="158"/>
        <v>0</v>
      </c>
      <c r="CQ30" s="393">
        <f t="shared" si="158"/>
        <v>0</v>
      </c>
      <c r="CR30" s="374">
        <f t="shared" si="158"/>
        <v>0</v>
      </c>
      <c r="CS30" s="374">
        <f t="shared" si="158"/>
        <v>0</v>
      </c>
      <c r="CT30" s="394">
        <f t="shared" si="158"/>
        <v>0</v>
      </c>
      <c r="CU30" s="393">
        <f t="shared" si="158"/>
        <v>0</v>
      </c>
      <c r="CV30" s="374">
        <f t="shared" si="158"/>
        <v>0</v>
      </c>
      <c r="CW30" s="374">
        <f t="shared" si="158"/>
        <v>0</v>
      </c>
      <c r="CX30" s="394">
        <f t="shared" si="158"/>
        <v>0</v>
      </c>
      <c r="CY30" s="393">
        <f t="shared" ref="CY30:EQ30" si="159">SUM(CY24:CY29)</f>
        <v>0</v>
      </c>
      <c r="CZ30" s="374">
        <f t="shared" si="159"/>
        <v>0</v>
      </c>
      <c r="DA30" s="374">
        <f t="shared" si="159"/>
        <v>0</v>
      </c>
      <c r="DB30" s="394">
        <f t="shared" si="159"/>
        <v>0</v>
      </c>
      <c r="DC30" s="393">
        <f t="shared" si="159"/>
        <v>0</v>
      </c>
      <c r="DD30" s="374">
        <f t="shared" si="159"/>
        <v>0</v>
      </c>
      <c r="DE30" s="374">
        <f t="shared" si="159"/>
        <v>0</v>
      </c>
      <c r="DF30" s="394">
        <f t="shared" si="159"/>
        <v>0</v>
      </c>
      <c r="DG30" s="393">
        <f t="shared" si="159"/>
        <v>0</v>
      </c>
      <c r="DH30" s="374">
        <f t="shared" si="159"/>
        <v>0</v>
      </c>
      <c r="DI30" s="374">
        <f t="shared" si="159"/>
        <v>0</v>
      </c>
      <c r="DJ30" s="394">
        <f t="shared" si="159"/>
        <v>0</v>
      </c>
      <c r="DK30" s="393">
        <f t="shared" si="159"/>
        <v>0</v>
      </c>
      <c r="DL30" s="374">
        <f t="shared" si="159"/>
        <v>0</v>
      </c>
      <c r="DM30" s="374">
        <f t="shared" si="159"/>
        <v>0</v>
      </c>
      <c r="DN30" s="394">
        <f t="shared" si="159"/>
        <v>0</v>
      </c>
      <c r="DO30" s="393">
        <f t="shared" si="159"/>
        <v>60.340458121616685</v>
      </c>
      <c r="DP30" s="374">
        <f t="shared" si="159"/>
        <v>60.340458121616685</v>
      </c>
      <c r="DQ30" s="374">
        <f t="shared" si="159"/>
        <v>60.340458121616685</v>
      </c>
      <c r="DR30" s="394">
        <f t="shared" si="159"/>
        <v>60.340458121616685</v>
      </c>
      <c r="DS30" s="393">
        <f t="shared" si="159"/>
        <v>103.97305347014102</v>
      </c>
      <c r="DT30" s="374">
        <f t="shared" si="159"/>
        <v>103.97305347014102</v>
      </c>
      <c r="DU30" s="374">
        <f t="shared" si="159"/>
        <v>103.97305347014102</v>
      </c>
      <c r="DV30" s="394">
        <f t="shared" si="159"/>
        <v>103.97305347014102</v>
      </c>
      <c r="DW30" s="393">
        <f t="shared" si="159"/>
        <v>79.234637299659198</v>
      </c>
      <c r="DX30" s="374">
        <f t="shared" si="159"/>
        <v>79.234637299659198</v>
      </c>
      <c r="DY30" s="374">
        <f t="shared" si="159"/>
        <v>79.234637299659198</v>
      </c>
      <c r="DZ30" s="394">
        <f t="shared" si="159"/>
        <v>79.234637299659198</v>
      </c>
      <c r="EA30" s="393">
        <f t="shared" si="159"/>
        <v>80.819330045652393</v>
      </c>
      <c r="EB30" s="374">
        <f t="shared" si="159"/>
        <v>80.819330045652393</v>
      </c>
      <c r="EC30" s="374">
        <f t="shared" si="159"/>
        <v>80.819330045652393</v>
      </c>
      <c r="ED30" s="394">
        <f t="shared" si="159"/>
        <v>80.819330045652393</v>
      </c>
      <c r="EE30" s="393">
        <f t="shared" si="159"/>
        <v>82.435716646565439</v>
      </c>
      <c r="EF30" s="374">
        <f t="shared" si="159"/>
        <v>82.435716646565439</v>
      </c>
      <c r="EG30" s="374">
        <f t="shared" si="159"/>
        <v>0</v>
      </c>
      <c r="EH30" s="394">
        <f t="shared" si="159"/>
        <v>0</v>
      </c>
      <c r="EI30" s="393">
        <f t="shared" si="159"/>
        <v>0</v>
      </c>
      <c r="EJ30" s="374">
        <f t="shared" si="159"/>
        <v>0</v>
      </c>
      <c r="EK30" s="374">
        <f t="shared" si="159"/>
        <v>0</v>
      </c>
      <c r="EL30" s="394">
        <f t="shared" si="159"/>
        <v>0</v>
      </c>
      <c r="EM30" s="417">
        <f t="shared" si="159"/>
        <v>0</v>
      </c>
      <c r="EN30" s="417">
        <f t="shared" si="159"/>
        <v>0</v>
      </c>
      <c r="EO30" s="417">
        <f t="shared" si="159"/>
        <v>0</v>
      </c>
      <c r="EP30" s="417">
        <f t="shared" si="159"/>
        <v>0</v>
      </c>
      <c r="EQ30" s="417">
        <f t="shared" si="159"/>
        <v>0</v>
      </c>
      <c r="EU30" s="417">
        <f t="shared" ref="EU30:FC30" si="160">SUM(EU24:EU29)</f>
        <v>0</v>
      </c>
      <c r="EV30" s="417">
        <f t="shared" si="160"/>
        <v>0</v>
      </c>
      <c r="EW30" s="417">
        <f t="shared" si="160"/>
        <v>0</v>
      </c>
      <c r="EX30" s="417">
        <f t="shared" si="160"/>
        <v>0</v>
      </c>
      <c r="EY30" s="417">
        <f t="shared" si="160"/>
        <v>0</v>
      </c>
      <c r="EZ30" s="417">
        <f t="shared" si="160"/>
        <v>0</v>
      </c>
      <c r="FA30" s="417">
        <f t="shared" si="160"/>
        <v>0</v>
      </c>
      <c r="FB30" s="417">
        <f t="shared" si="160"/>
        <v>0</v>
      </c>
      <c r="FC30" s="417">
        <f t="shared" si="160"/>
        <v>241.36183248646674</v>
      </c>
      <c r="FD30" s="417">
        <f t="shared" ref="FD30:FK30" si="161">SUM(FD24:FD29)</f>
        <v>415.8922138805641</v>
      </c>
      <c r="FE30" s="417">
        <f t="shared" si="161"/>
        <v>316.93854919863679</v>
      </c>
      <c r="FF30" s="417">
        <f t="shared" si="161"/>
        <v>323.27732018260957</v>
      </c>
      <c r="FG30" s="417">
        <f t="shared" ref="FG30:FH30" si="162">SUM(FG24:FG29)</f>
        <v>164.87143329313088</v>
      </c>
      <c r="FH30" s="417">
        <f t="shared" si="162"/>
        <v>0</v>
      </c>
      <c r="FI30" s="417">
        <f t="shared" si="161"/>
        <v>0</v>
      </c>
      <c r="FJ30" s="417">
        <f t="shared" si="161"/>
        <v>0</v>
      </c>
      <c r="FK30" s="417">
        <f t="shared" si="161"/>
        <v>0</v>
      </c>
      <c r="FL30" s="417">
        <f t="shared" ref="FL30:FM30" si="163">SUM(FL24:FL29)</f>
        <v>0</v>
      </c>
      <c r="FM30" s="417">
        <f t="shared" si="163"/>
        <v>0</v>
      </c>
      <c r="FP30" s="417">
        <f t="shared" ref="FP30:FX30" si="164">SUM(FP24:FP29)</f>
        <v>0</v>
      </c>
      <c r="FQ30" s="417">
        <f t="shared" si="164"/>
        <v>0</v>
      </c>
      <c r="FR30" s="417">
        <f t="shared" si="164"/>
        <v>0</v>
      </c>
      <c r="FS30" s="417">
        <f t="shared" si="164"/>
        <v>0</v>
      </c>
      <c r="FT30" s="417">
        <f t="shared" si="164"/>
        <v>0</v>
      </c>
      <c r="FU30" s="417">
        <f t="shared" si="164"/>
        <v>0</v>
      </c>
      <c r="FV30" s="417">
        <f t="shared" si="164"/>
        <v>0</v>
      </c>
      <c r="FW30" s="417">
        <f t="shared" si="164"/>
        <v>0</v>
      </c>
      <c r="FX30" s="417">
        <f t="shared" si="164"/>
        <v>60.340458121616685</v>
      </c>
      <c r="FY30" s="417">
        <f t="shared" ref="FY30:GF30" si="165">SUM(FY24:FY29)</f>
        <v>415.8922138805641</v>
      </c>
      <c r="FZ30" s="417">
        <f t="shared" si="165"/>
        <v>316.93854919863679</v>
      </c>
      <c r="GA30" s="417">
        <f t="shared" si="165"/>
        <v>323.27732018260957</v>
      </c>
      <c r="GB30" s="417">
        <f t="shared" si="165"/>
        <v>164.87143329313088</v>
      </c>
      <c r="GC30" s="417">
        <f t="shared" si="165"/>
        <v>164.87143329313088</v>
      </c>
      <c r="GD30" s="417">
        <f t="shared" si="165"/>
        <v>0</v>
      </c>
      <c r="GE30" s="417">
        <f t="shared" si="165"/>
        <v>0</v>
      </c>
      <c r="GF30" s="417">
        <f t="shared" si="165"/>
        <v>0</v>
      </c>
      <c r="GG30" s="417">
        <f t="shared" ref="GG30:GH30" si="166">SUM(GG24:GG29)</f>
        <v>0</v>
      </c>
      <c r="GH30" s="417">
        <f t="shared" si="166"/>
        <v>0</v>
      </c>
    </row>
    <row r="31" spans="1:190" x14ac:dyDescent="0.25">
      <c r="B31" s="345"/>
      <c r="C31" s="345"/>
      <c r="D31" s="345"/>
      <c r="E31" s="388"/>
      <c r="F31" s="377"/>
      <c r="G31" s="377"/>
      <c r="H31" s="377"/>
      <c r="I31" s="357"/>
      <c r="J31" s="388"/>
      <c r="K31" s="377"/>
      <c r="L31" s="377"/>
      <c r="M31" s="377"/>
      <c r="N31" s="357"/>
      <c r="O31" s="388"/>
      <c r="P31" s="377"/>
      <c r="Q31" s="377"/>
      <c r="R31" s="377"/>
      <c r="S31" s="357"/>
      <c r="T31" s="388"/>
      <c r="U31" s="377"/>
      <c r="V31" s="377"/>
      <c r="W31" s="377"/>
      <c r="X31" s="357"/>
      <c r="Y31" s="388"/>
      <c r="Z31" s="377"/>
      <c r="AA31" s="377"/>
      <c r="AB31" s="377"/>
      <c r="AC31" s="357"/>
      <c r="AD31" s="663"/>
      <c r="AE31" s="663"/>
      <c r="AF31" s="663"/>
      <c r="AG31" s="663"/>
      <c r="AH31" s="357"/>
      <c r="AI31" s="388"/>
      <c r="AJ31" s="377"/>
      <c r="AK31" s="377"/>
      <c r="AL31" s="377"/>
      <c r="AM31" s="716"/>
      <c r="AN31" s="388"/>
      <c r="AO31" s="377"/>
      <c r="AP31" s="377"/>
      <c r="AQ31" s="377"/>
      <c r="AR31" s="716"/>
      <c r="AS31" s="388"/>
      <c r="AT31" s="377"/>
      <c r="AU31" s="377"/>
      <c r="AV31" s="377"/>
      <c r="AW31" s="716"/>
      <c r="AX31" s="388"/>
      <c r="AY31" s="377"/>
      <c r="AZ31" s="377"/>
      <c r="BA31" s="377"/>
      <c r="BB31" s="716"/>
      <c r="BC31" s="388"/>
      <c r="BD31" s="377"/>
      <c r="BE31" s="377"/>
      <c r="BF31" s="377"/>
      <c r="BG31" s="716"/>
      <c r="BH31" s="388"/>
      <c r="BI31" s="377"/>
      <c r="BJ31" s="377"/>
      <c r="BK31" s="377"/>
      <c r="BL31" s="716"/>
      <c r="BM31" s="388"/>
      <c r="BN31" s="377"/>
      <c r="BO31" s="377"/>
      <c r="BP31" s="377"/>
      <c r="BQ31" s="969"/>
      <c r="BR31" s="388"/>
      <c r="BS31" s="377"/>
      <c r="BT31" s="377"/>
      <c r="BU31" s="377"/>
      <c r="BV31" s="969"/>
      <c r="BW31" s="391"/>
      <c r="BX31" s="391"/>
      <c r="BY31" s="391"/>
      <c r="BZ31" s="391"/>
      <c r="CA31" s="391"/>
      <c r="CB31" s="378"/>
      <c r="CC31" s="398"/>
      <c r="CD31" s="379"/>
      <c r="CE31" s="398"/>
      <c r="CF31" s="379"/>
      <c r="CG31" s="398"/>
      <c r="CH31" s="379"/>
      <c r="CI31" s="407"/>
      <c r="CJ31" s="380"/>
      <c r="CK31" s="380"/>
      <c r="CL31" s="408"/>
      <c r="CM31" s="407"/>
      <c r="CN31" s="380"/>
      <c r="CO31" s="380"/>
      <c r="CP31" s="408"/>
      <c r="CQ31" s="407"/>
      <c r="CR31" s="380"/>
      <c r="CS31" s="380"/>
      <c r="CT31" s="408"/>
      <c r="CU31" s="407"/>
      <c r="CV31" s="380"/>
      <c r="CW31" s="380"/>
      <c r="CX31" s="408"/>
      <c r="CY31" s="407"/>
      <c r="CZ31" s="380"/>
      <c r="DA31" s="380"/>
      <c r="DB31" s="408"/>
      <c r="DC31" s="380"/>
      <c r="DD31" s="380"/>
      <c r="DE31" s="380"/>
      <c r="DF31" s="408"/>
      <c r="DG31" s="380"/>
      <c r="DH31" s="380"/>
      <c r="DI31" s="380"/>
      <c r="DJ31" s="408"/>
      <c r="DK31" s="380"/>
      <c r="DL31" s="380"/>
      <c r="DM31" s="380"/>
      <c r="DN31" s="408"/>
      <c r="DO31" s="380"/>
      <c r="DP31" s="380"/>
      <c r="DQ31" s="380"/>
      <c r="DR31" s="408"/>
      <c r="DS31" s="407"/>
      <c r="DT31" s="380"/>
      <c r="DU31" s="380"/>
      <c r="DV31" s="408"/>
      <c r="DW31" s="407"/>
      <c r="DX31" s="380"/>
      <c r="DY31" s="380"/>
      <c r="DZ31" s="408"/>
      <c r="EA31" s="407"/>
      <c r="EB31" s="380"/>
      <c r="EC31" s="380"/>
      <c r="ED31" s="408"/>
      <c r="EE31" s="407"/>
      <c r="EF31" s="380"/>
      <c r="EG31" s="380"/>
      <c r="EH31" s="408"/>
      <c r="EI31" s="407"/>
      <c r="EJ31" s="380"/>
      <c r="EK31" s="380"/>
      <c r="EL31" s="408"/>
      <c r="EM31" s="419"/>
      <c r="EN31" s="419"/>
      <c r="EO31" s="419"/>
      <c r="EP31" s="419"/>
      <c r="EQ31" s="419"/>
      <c r="EU31" s="419"/>
      <c r="EV31" s="419"/>
      <c r="EW31" s="419"/>
      <c r="EX31" s="419"/>
      <c r="EY31" s="419"/>
      <c r="EZ31" s="419"/>
      <c r="FA31" s="419"/>
      <c r="FB31" s="419"/>
      <c r="FC31" s="419"/>
      <c r="FD31" s="419"/>
      <c r="FE31" s="419"/>
      <c r="FF31" s="419"/>
      <c r="FG31" s="419"/>
      <c r="FH31" s="419"/>
      <c r="FI31" s="419"/>
      <c r="FJ31" s="419"/>
      <c r="FK31" s="419"/>
      <c r="FL31" s="419"/>
      <c r="FM31" s="419"/>
      <c r="FP31" s="419"/>
      <c r="FQ31" s="419"/>
      <c r="FR31" s="419"/>
      <c r="FS31" s="419"/>
      <c r="FT31" s="419"/>
      <c r="FU31" s="419"/>
      <c r="FV31" s="419"/>
      <c r="FW31" s="419"/>
      <c r="FX31" s="419"/>
      <c r="FY31" s="419"/>
      <c r="FZ31" s="419"/>
      <c r="GA31" s="419"/>
      <c r="GB31" s="419"/>
      <c r="GC31" s="419"/>
      <c r="GD31" s="419"/>
      <c r="GE31" s="419"/>
      <c r="GF31" s="419"/>
      <c r="GG31" s="419"/>
      <c r="GH31" s="419"/>
    </row>
    <row r="32" spans="1:190" x14ac:dyDescent="0.25">
      <c r="A32" s="367" t="str">
        <f>"R&amp;D Software / Firmware Resources (amortizable, if &gt; phase "&amp;C69-1&amp;")"</f>
        <v>R&amp;D Software / Firmware Resources (amortizable, if &gt; phase 4)</v>
      </c>
      <c r="B32" s="345"/>
      <c r="C32" s="345"/>
      <c r="D32" s="345"/>
      <c r="E32" s="388"/>
      <c r="F32" s="377"/>
      <c r="G32" s="377"/>
      <c r="H32" s="377"/>
      <c r="I32" s="357"/>
      <c r="J32" s="388"/>
      <c r="K32" s="377"/>
      <c r="L32" s="377"/>
      <c r="M32" s="377"/>
      <c r="N32" s="357"/>
      <c r="O32" s="388"/>
      <c r="P32" s="377"/>
      <c r="Q32" s="377"/>
      <c r="R32" s="377"/>
      <c r="S32" s="357"/>
      <c r="T32" s="388"/>
      <c r="U32" s="377"/>
      <c r="V32" s="377"/>
      <c r="W32" s="377"/>
      <c r="X32" s="357"/>
      <c r="Y32" s="388"/>
      <c r="Z32" s="377"/>
      <c r="AA32" s="377"/>
      <c r="AB32" s="377"/>
      <c r="AC32" s="357"/>
      <c r="AD32" s="663"/>
      <c r="AE32" s="663"/>
      <c r="AF32" s="663"/>
      <c r="AG32" s="663"/>
      <c r="AH32" s="357"/>
      <c r="AI32" s="388"/>
      <c r="AJ32" s="377"/>
      <c r="AK32" s="377"/>
      <c r="AL32" s="377"/>
      <c r="AM32" s="716"/>
      <c r="AN32" s="388"/>
      <c r="AO32" s="377"/>
      <c r="AP32" s="377"/>
      <c r="AQ32" s="377"/>
      <c r="AR32" s="716"/>
      <c r="AS32" s="388"/>
      <c r="AT32" s="377"/>
      <c r="AU32" s="377"/>
      <c r="AV32" s="377"/>
      <c r="AW32" s="716"/>
      <c r="AX32" s="388"/>
      <c r="AY32" s="377"/>
      <c r="AZ32" s="377"/>
      <c r="BA32" s="377"/>
      <c r="BB32" s="716"/>
      <c r="BC32" s="388"/>
      <c r="BD32" s="377"/>
      <c r="BE32" s="377"/>
      <c r="BF32" s="377"/>
      <c r="BG32" s="716"/>
      <c r="BH32" s="388"/>
      <c r="BI32" s="377"/>
      <c r="BJ32" s="377"/>
      <c r="BK32" s="377"/>
      <c r="BL32" s="716"/>
      <c r="BM32" s="388"/>
      <c r="BN32" s="377"/>
      <c r="BO32" s="377"/>
      <c r="BP32" s="377"/>
      <c r="BQ32" s="969"/>
      <c r="BR32" s="388"/>
      <c r="BS32" s="377"/>
      <c r="BT32" s="377"/>
      <c r="BU32" s="377"/>
      <c r="BV32" s="969"/>
      <c r="BW32" s="391"/>
      <c r="BX32" s="391"/>
      <c r="BY32" s="391"/>
      <c r="BZ32" s="391"/>
      <c r="CA32" s="391"/>
      <c r="CB32" s="378"/>
      <c r="CC32" s="398"/>
      <c r="CD32" s="379"/>
      <c r="CE32" s="398"/>
      <c r="CF32" s="379"/>
      <c r="CG32" s="398"/>
      <c r="CH32" s="379"/>
      <c r="CI32" s="407"/>
      <c r="CJ32" s="380"/>
      <c r="CK32" s="380"/>
      <c r="CL32" s="408"/>
      <c r="CM32" s="407"/>
      <c r="CN32" s="380"/>
      <c r="CO32" s="380"/>
      <c r="CP32" s="408"/>
      <c r="CQ32" s="407"/>
      <c r="CR32" s="380"/>
      <c r="CS32" s="380"/>
      <c r="CT32" s="408"/>
      <c r="CU32" s="407"/>
      <c r="CV32" s="380"/>
      <c r="CW32" s="380"/>
      <c r="CX32" s="408"/>
      <c r="CY32" s="407"/>
      <c r="CZ32" s="380"/>
      <c r="DA32" s="380"/>
      <c r="DB32" s="408"/>
      <c r="DC32" s="380"/>
      <c r="DD32" s="380"/>
      <c r="DE32" s="380"/>
      <c r="DF32" s="408"/>
      <c r="DG32" s="380"/>
      <c r="DH32" s="380"/>
      <c r="DI32" s="380"/>
      <c r="DJ32" s="408"/>
      <c r="DK32" s="380"/>
      <c r="DL32" s="380"/>
      <c r="DM32" s="380"/>
      <c r="DN32" s="408"/>
      <c r="DO32" s="380"/>
      <c r="DP32" s="380"/>
      <c r="DQ32" s="380"/>
      <c r="DR32" s="408"/>
      <c r="DS32" s="407"/>
      <c r="DT32" s="380"/>
      <c r="DU32" s="380"/>
      <c r="DV32" s="408"/>
      <c r="DW32" s="407"/>
      <c r="DX32" s="380"/>
      <c r="DY32" s="380"/>
      <c r="DZ32" s="408"/>
      <c r="EA32" s="407"/>
      <c r="EB32" s="380"/>
      <c r="EC32" s="380"/>
      <c r="ED32" s="408"/>
      <c r="EE32" s="407"/>
      <c r="EF32" s="380"/>
      <c r="EG32" s="380"/>
      <c r="EH32" s="408"/>
      <c r="EI32" s="407"/>
      <c r="EJ32" s="380"/>
      <c r="EK32" s="380"/>
      <c r="EL32" s="408"/>
      <c r="EM32" s="419"/>
      <c r="EN32" s="419"/>
      <c r="EO32" s="419"/>
      <c r="EP32" s="419"/>
      <c r="EQ32" s="419"/>
      <c r="EU32" s="419"/>
      <c r="EV32" s="419"/>
      <c r="EW32" s="419"/>
      <c r="EX32" s="419"/>
      <c r="EY32" s="419"/>
      <c r="EZ32" s="419"/>
      <c r="FA32" s="419"/>
      <c r="FB32" s="419"/>
      <c r="FC32" s="419"/>
      <c r="FD32" s="419"/>
      <c r="FE32" s="419"/>
      <c r="FF32" s="419"/>
      <c r="FG32" s="419"/>
      <c r="FH32" s="419"/>
      <c r="FI32" s="419"/>
      <c r="FJ32" s="419"/>
      <c r="FK32" s="419"/>
      <c r="FL32" s="419"/>
      <c r="FM32" s="419"/>
      <c r="FP32" s="419"/>
      <c r="FQ32" s="419"/>
      <c r="FR32" s="419"/>
      <c r="FS32" s="419"/>
      <c r="FT32" s="419"/>
      <c r="FU32" s="419"/>
      <c r="FV32" s="419"/>
      <c r="FW32" s="419"/>
      <c r="FX32" s="419"/>
      <c r="FY32" s="419"/>
      <c r="FZ32" s="419"/>
      <c r="GA32" s="419"/>
      <c r="GB32" s="419"/>
      <c r="GC32" s="419"/>
      <c r="GD32" s="419"/>
      <c r="GE32" s="419"/>
      <c r="GF32" s="419"/>
      <c r="GG32" s="419"/>
      <c r="GH32" s="419"/>
    </row>
    <row r="33" spans="1:190" s="138" customFormat="1" outlineLevel="1" x14ac:dyDescent="0.25">
      <c r="A33" s="361"/>
      <c r="B33" s="368" t="s">
        <v>418</v>
      </c>
      <c r="C33" s="368"/>
      <c r="D33" s="368"/>
      <c r="E33" s="460"/>
      <c r="F33" s="458"/>
      <c r="G33" s="458"/>
      <c r="H33" s="458"/>
      <c r="I33" s="357">
        <f>SUM(E33:H33)/4</f>
        <v>0</v>
      </c>
      <c r="J33" s="460"/>
      <c r="K33" s="458"/>
      <c r="L33" s="458"/>
      <c r="M33" s="458"/>
      <c r="N33" s="357">
        <f>SUM(J33:M33)/4</f>
        <v>0</v>
      </c>
      <c r="O33" s="460"/>
      <c r="P33" s="458"/>
      <c r="Q33" s="458"/>
      <c r="R33" s="458"/>
      <c r="S33" s="357">
        <f>SUM(O33:R33)/4</f>
        <v>0</v>
      </c>
      <c r="T33" s="460"/>
      <c r="U33" s="458"/>
      <c r="V33" s="458"/>
      <c r="W33" s="458"/>
      <c r="X33" s="357">
        <f>SUM(T33:W33)/4</f>
        <v>0</v>
      </c>
      <c r="Y33" s="460"/>
      <c r="Z33" s="458"/>
      <c r="AA33" s="458"/>
      <c r="AB33" s="458"/>
      <c r="AC33" s="357">
        <f>SUM(Y33:AB33)/4</f>
        <v>0</v>
      </c>
      <c r="AD33" s="460"/>
      <c r="AE33" s="458"/>
      <c r="AF33" s="458"/>
      <c r="AG33" s="458"/>
      <c r="AH33" s="357">
        <f>SUM(AD33:AG33)/4</f>
        <v>0</v>
      </c>
      <c r="AI33" s="460"/>
      <c r="AJ33" s="458"/>
      <c r="AK33" s="458"/>
      <c r="AL33" s="458"/>
      <c r="AM33" s="357">
        <f>SUM(AI33:AL33)/4</f>
        <v>0</v>
      </c>
      <c r="AN33" s="386"/>
      <c r="AO33" s="369"/>
      <c r="AP33" s="369"/>
      <c r="AQ33" s="369"/>
      <c r="AR33" s="357">
        <f>SUM(AN33:AQ33)/4</f>
        <v>0</v>
      </c>
      <c r="AS33" s="460"/>
      <c r="AT33" s="458"/>
      <c r="AU33" s="458"/>
      <c r="AV33" s="458"/>
      <c r="AW33" s="357">
        <f>SUM(AS33:AV33)/4</f>
        <v>0</v>
      </c>
      <c r="AX33" s="386"/>
      <c r="AY33" s="369"/>
      <c r="AZ33" s="369"/>
      <c r="BA33" s="369"/>
      <c r="BB33" s="357">
        <f>SUM(AX33:BA33)/4</f>
        <v>0</v>
      </c>
      <c r="BC33" s="460"/>
      <c r="BD33" s="458"/>
      <c r="BE33" s="458"/>
      <c r="BF33" s="458"/>
      <c r="BG33" s="357">
        <f>SUM(BC33:BF33)/4</f>
        <v>0</v>
      </c>
      <c r="BH33" s="460"/>
      <c r="BI33" s="458"/>
      <c r="BJ33" s="458"/>
      <c r="BK33" s="458"/>
      <c r="BL33" s="357">
        <f>SUM(BH33:BK33)/4</f>
        <v>0</v>
      </c>
      <c r="BM33" s="460"/>
      <c r="BN33" s="458"/>
      <c r="BO33" s="458"/>
      <c r="BP33" s="458"/>
      <c r="BQ33" s="964">
        <f>SUM(BM33:BP33)/4</f>
        <v>0</v>
      </c>
      <c r="BR33" s="460"/>
      <c r="BS33" s="458"/>
      <c r="BT33" s="458"/>
      <c r="BU33" s="458"/>
      <c r="BV33" s="964">
        <f>SUM(BR33:BU33)/4</f>
        <v>0</v>
      </c>
      <c r="BW33" s="463"/>
      <c r="BX33" s="463"/>
      <c r="BY33" s="463"/>
      <c r="BZ33" s="463"/>
      <c r="CA33" s="463"/>
      <c r="CB33" s="370"/>
      <c r="CC33" s="395">
        <v>173</v>
      </c>
      <c r="CD33" s="371">
        <v>0.02</v>
      </c>
      <c r="CE33" s="979">
        <v>183.6451851851852</v>
      </c>
      <c r="CF33" s="371">
        <v>0.02</v>
      </c>
      <c r="CG33" s="979">
        <v>183.6451851851852</v>
      </c>
      <c r="CH33" s="371">
        <v>0.02</v>
      </c>
      <c r="CI33" s="405">
        <f t="shared" ref="CI33:CI35" si="167">(E33*$CC33*(1+$CD33)^CI$6)/4</f>
        <v>0</v>
      </c>
      <c r="CJ33" s="372">
        <f t="shared" ref="CJ33:CJ35" si="168">(F33*$CC33*(1+$CD33)^CJ$6)/4</f>
        <v>0</v>
      </c>
      <c r="CK33" s="372">
        <f t="shared" ref="CK33:CK35" si="169">(G33*$CC33*(1+$CD33)^CK$6)/4</f>
        <v>0</v>
      </c>
      <c r="CL33" s="406">
        <f t="shared" ref="CL33:CL35" si="170">(H33*$CC33*(1+$CD33)^CL$6)/4</f>
        <v>0</v>
      </c>
      <c r="CM33" s="405">
        <f t="shared" ref="CM33:CM35" si="171">(J33*$CC33*(1+$CD33)^CM$6)/4</f>
        <v>0</v>
      </c>
      <c r="CN33" s="372">
        <f t="shared" ref="CN33:CN35" si="172">(K33*$CC33*(1+$CD33)^CN$6)/4</f>
        <v>0</v>
      </c>
      <c r="CO33" s="372">
        <f t="shared" ref="CO33:CO35" si="173">(L33*$CC33*(1+$CD33)^CO$6)/4</f>
        <v>0</v>
      </c>
      <c r="CP33" s="406">
        <f t="shared" ref="CP33:CP35" si="174">(M33*$CC33*(1+$CD33)^CP$6)/4</f>
        <v>0</v>
      </c>
      <c r="CQ33" s="405">
        <f t="shared" ref="CQ33:CT35" si="175">(O33*$CE33*(1+$CF33)^CQ$6)/4</f>
        <v>0</v>
      </c>
      <c r="CR33" s="372">
        <f t="shared" si="175"/>
        <v>0</v>
      </c>
      <c r="CS33" s="372">
        <f t="shared" si="175"/>
        <v>0</v>
      </c>
      <c r="CT33" s="406">
        <f t="shared" si="175"/>
        <v>0</v>
      </c>
      <c r="CU33" s="405">
        <f t="shared" ref="CU33:CX35" si="176">(T33*$CE33*(1+$CF33)^CU$6)/4</f>
        <v>0</v>
      </c>
      <c r="CV33" s="372">
        <f t="shared" si="176"/>
        <v>0</v>
      </c>
      <c r="CW33" s="372">
        <f t="shared" si="176"/>
        <v>0</v>
      </c>
      <c r="CX33" s="406">
        <f t="shared" si="176"/>
        <v>0</v>
      </c>
      <c r="CY33" s="405">
        <f t="shared" ref="CY33:DB35" si="177">(Y33*$CE33*(1+$CF33)^CY$6)/4</f>
        <v>0</v>
      </c>
      <c r="CZ33" s="372">
        <f t="shared" si="177"/>
        <v>0</v>
      </c>
      <c r="DA33" s="372">
        <f t="shared" si="177"/>
        <v>0</v>
      </c>
      <c r="DB33" s="406">
        <f t="shared" si="177"/>
        <v>0</v>
      </c>
      <c r="DC33" s="405">
        <f t="shared" ref="DC33:DF35" si="178">(AD33*$CE33*(1+$CF33)^DC$6)/4</f>
        <v>0</v>
      </c>
      <c r="DD33" s="372">
        <f t="shared" si="178"/>
        <v>0</v>
      </c>
      <c r="DE33" s="372">
        <f t="shared" si="178"/>
        <v>0</v>
      </c>
      <c r="DF33" s="668">
        <f t="shared" si="178"/>
        <v>0</v>
      </c>
      <c r="DG33" s="405">
        <f t="shared" ref="DG33:DJ35" si="179">(AI33*$CE33*(1+$CF33)^DG$6)/4</f>
        <v>0</v>
      </c>
      <c r="DH33" s="372">
        <f t="shared" si="179"/>
        <v>0</v>
      </c>
      <c r="DI33" s="372">
        <f t="shared" si="179"/>
        <v>0</v>
      </c>
      <c r="DJ33" s="668">
        <f t="shared" si="179"/>
        <v>0</v>
      </c>
      <c r="DK33" s="673">
        <f t="shared" ref="DK33:DN35" si="180">(AN33*$CE33*(1+$CF33)^DK$6)/4</f>
        <v>0</v>
      </c>
      <c r="DL33" s="671">
        <f t="shared" si="180"/>
        <v>0</v>
      </c>
      <c r="DM33" s="671">
        <f t="shared" si="180"/>
        <v>0</v>
      </c>
      <c r="DN33" s="668">
        <f t="shared" si="180"/>
        <v>0</v>
      </c>
      <c r="DO33" s="673">
        <f t="shared" ref="DO33:DR35" si="181">(AS33*$CE33*(1+$CF33)^DO$6)/4</f>
        <v>0</v>
      </c>
      <c r="DP33" s="671">
        <f t="shared" si="181"/>
        <v>0</v>
      </c>
      <c r="DQ33" s="671">
        <f t="shared" si="181"/>
        <v>0</v>
      </c>
      <c r="DR33" s="668">
        <f t="shared" si="181"/>
        <v>0</v>
      </c>
      <c r="DS33" s="673">
        <f t="shared" ref="DS33:DV35" si="182">(AX33*$CE33*(1+$CF33)^DS$6)/4</f>
        <v>0</v>
      </c>
      <c r="DT33" s="671">
        <f t="shared" si="182"/>
        <v>0</v>
      </c>
      <c r="DU33" s="671">
        <f t="shared" si="182"/>
        <v>0</v>
      </c>
      <c r="DV33" s="668">
        <f t="shared" si="182"/>
        <v>0</v>
      </c>
      <c r="DW33" s="673">
        <f t="shared" ref="DW33:DZ35" si="183">(BC33*$CE33*(1+$CF33)^DW$6)/4</f>
        <v>0</v>
      </c>
      <c r="DX33" s="671">
        <f t="shared" si="183"/>
        <v>0</v>
      </c>
      <c r="DY33" s="671">
        <f t="shared" si="183"/>
        <v>0</v>
      </c>
      <c r="DZ33" s="668">
        <f t="shared" si="183"/>
        <v>0</v>
      </c>
      <c r="EA33" s="673">
        <f t="shared" ref="EA33:ED35" si="184">(BH33*$CE33*(1+$CF33)^EA$6)/4</f>
        <v>0</v>
      </c>
      <c r="EB33" s="671">
        <f t="shared" si="184"/>
        <v>0</v>
      </c>
      <c r="EC33" s="671">
        <f t="shared" si="184"/>
        <v>0</v>
      </c>
      <c r="ED33" s="668">
        <f t="shared" si="184"/>
        <v>0</v>
      </c>
      <c r="EE33" s="673">
        <f t="shared" ref="EE33:EH35" si="185">(BM33*$CE33*(1+$CF33)^EE$6)/4</f>
        <v>0</v>
      </c>
      <c r="EF33" s="671">
        <f t="shared" si="185"/>
        <v>0</v>
      </c>
      <c r="EG33" s="671">
        <f t="shared" si="185"/>
        <v>0</v>
      </c>
      <c r="EH33" s="668">
        <f t="shared" si="185"/>
        <v>0</v>
      </c>
      <c r="EI33" s="673">
        <f t="shared" ref="EI33:EL35" si="186">(BR33*$CE33*(1+$CF33)^EI$6)/4</f>
        <v>0</v>
      </c>
      <c r="EJ33" s="671">
        <f t="shared" si="186"/>
        <v>0</v>
      </c>
      <c r="EK33" s="671">
        <f t="shared" si="186"/>
        <v>0</v>
      </c>
      <c r="EL33" s="668">
        <f t="shared" si="186"/>
        <v>0</v>
      </c>
      <c r="EM33" s="416">
        <f t="shared" ref="EM33:EQ35" si="187">(BW33*$CE33*(1+$CF33)^EM$6)</f>
        <v>0</v>
      </c>
      <c r="EN33" s="416">
        <f t="shared" si="187"/>
        <v>0</v>
      </c>
      <c r="EO33" s="416">
        <f t="shared" si="187"/>
        <v>0</v>
      </c>
      <c r="EP33" s="416">
        <f t="shared" si="187"/>
        <v>0</v>
      </c>
      <c r="EQ33" s="416">
        <f t="shared" si="187"/>
        <v>0</v>
      </c>
      <c r="EU33" s="416">
        <f>SUM(CI33:CL33)</f>
        <v>0</v>
      </c>
      <c r="EV33" s="416">
        <f>SUM(CM33:CP33)</f>
        <v>0</v>
      </c>
      <c r="EW33" s="416">
        <f>SUM(CQ33:CT33)</f>
        <v>0</v>
      </c>
      <c r="EX33" s="416">
        <f>SUM(CU33:CX33)</f>
        <v>0</v>
      </c>
      <c r="EY33" s="416">
        <f>SUM(CY33:DB33)</f>
        <v>0</v>
      </c>
      <c r="EZ33" s="416">
        <f>SUM(DC33:DF33)</f>
        <v>0</v>
      </c>
      <c r="FA33" s="416">
        <f>SUM(DG33:DJ33)</f>
        <v>0</v>
      </c>
      <c r="FB33" s="416">
        <f>SUM(DK33:DN33)</f>
        <v>0</v>
      </c>
      <c r="FC33" s="416">
        <f>SUM(DO33:DR33)</f>
        <v>0</v>
      </c>
      <c r="FD33" s="416">
        <f>SUM(DS33:DV33)</f>
        <v>0</v>
      </c>
      <c r="FE33" s="416">
        <f>SUM(DW33:DZ33)</f>
        <v>0</v>
      </c>
      <c r="FF33" s="416">
        <f>SUM(EA33:ED33)</f>
        <v>0</v>
      </c>
      <c r="FG33" s="416">
        <f t="shared" ref="FG33:FG35" si="188">SUM(EE33:EH33)</f>
        <v>0</v>
      </c>
      <c r="FH33" s="416">
        <f t="shared" ref="FH33:FH35" si="189">SUM(EI33:EL33)</f>
        <v>0</v>
      </c>
      <c r="FI33" s="416">
        <f t="shared" ref="FI33:FK35" si="190">EM33</f>
        <v>0</v>
      </c>
      <c r="FJ33" s="416">
        <f t="shared" si="190"/>
        <v>0</v>
      </c>
      <c r="FK33" s="416">
        <f t="shared" si="190"/>
        <v>0</v>
      </c>
      <c r="FL33" s="416">
        <f t="shared" ref="FL33:FM35" si="191">EP33</f>
        <v>0</v>
      </c>
      <c r="FM33" s="416">
        <f t="shared" si="191"/>
        <v>0</v>
      </c>
      <c r="FP33" s="416">
        <f>SUMIF(CI$5:CL$5,TRUE,CI33:CL33)</f>
        <v>0</v>
      </c>
      <c r="FQ33" s="416">
        <f>SUMIF(CM$5:CP$5,TRUE,CM33:CP33)</f>
        <v>0</v>
      </c>
      <c r="FR33" s="416">
        <f>SUMIF(CQ$5:CT$5,TRUE,CQ33:CT33)</f>
        <v>0</v>
      </c>
      <c r="FS33" s="416">
        <f>SUMIF(CU$5:CX$5,TRUE,CU33:CX33)</f>
        <v>0</v>
      </c>
      <c r="FT33" s="416">
        <f>SUMIF(CY$5:DB$5,TRUE,CY33:DB33)</f>
        <v>0</v>
      </c>
      <c r="FU33" s="416">
        <f>SUMIF(DC$5:DF$5,TRUE,DC33:DF33)</f>
        <v>0</v>
      </c>
      <c r="FV33" s="416">
        <f>SUMIF(DG$5:DJ$5,TRUE,DG33:DJ33)</f>
        <v>0</v>
      </c>
      <c r="FW33" s="416">
        <f>SUMIF(DK$5:DN$5,TRUE,DK33:DN33)</f>
        <v>0</v>
      </c>
      <c r="FX33" s="416">
        <f>SUMIF(DO$5:DR$5,TRUE,DO33:DR33)</f>
        <v>0</v>
      </c>
      <c r="FY33" s="416">
        <f>SUMIF(DS$5:DV$5,TRUE,DS33:DV33)</f>
        <v>0</v>
      </c>
      <c r="FZ33" s="416">
        <f>SUMIF(DW$5:DZ$5,TRUE,DW33:DZ33)</f>
        <v>0</v>
      </c>
      <c r="GA33" s="416">
        <f>SUMIF(EA$5:ED$5,TRUE,EA33:ED33)</f>
        <v>0</v>
      </c>
      <c r="GB33" s="416">
        <f t="shared" ref="GB33:GB35" si="192">SUMIF(EE$5:EH$5,TRUE,EE33:EH33)</f>
        <v>0</v>
      </c>
      <c r="GC33" s="416">
        <f t="shared" ref="GC33:GC35" si="193">SUMIF(EE$5:EH$5,TRUE,EE33:EH33)</f>
        <v>0</v>
      </c>
      <c r="GD33" s="416">
        <f t="shared" ref="GD33:GF35" si="194">IF(EM$5,EM33,0)</f>
        <v>0</v>
      </c>
      <c r="GE33" s="416">
        <f t="shared" si="194"/>
        <v>0</v>
      </c>
      <c r="GF33" s="416">
        <f t="shared" si="194"/>
        <v>0</v>
      </c>
      <c r="GG33" s="416">
        <f t="shared" ref="GG33:GH35" si="195">IF(EP$5,EP33,0)</f>
        <v>0</v>
      </c>
      <c r="GH33" s="416">
        <f t="shared" si="195"/>
        <v>0</v>
      </c>
    </row>
    <row r="34" spans="1:190" s="138" customFormat="1" outlineLevel="1" x14ac:dyDescent="0.25">
      <c r="A34" s="361"/>
      <c r="B34" s="368" t="s">
        <v>419</v>
      </c>
      <c r="C34" s="368"/>
      <c r="D34" s="368"/>
      <c r="E34" s="386"/>
      <c r="F34" s="369"/>
      <c r="G34" s="369"/>
      <c r="H34" s="369"/>
      <c r="I34" s="357">
        <f>SUM(E34:H34)/4</f>
        <v>0</v>
      </c>
      <c r="J34" s="386"/>
      <c r="K34" s="369"/>
      <c r="L34" s="369"/>
      <c r="M34" s="369"/>
      <c r="N34" s="357">
        <f>SUM(J34:M34)/4</f>
        <v>0</v>
      </c>
      <c r="O34" s="386"/>
      <c r="P34" s="369"/>
      <c r="Q34" s="369"/>
      <c r="R34" s="369"/>
      <c r="S34" s="357">
        <f>SUM(O34:R34)/4</f>
        <v>0</v>
      </c>
      <c r="T34" s="386"/>
      <c r="U34" s="369"/>
      <c r="V34" s="369"/>
      <c r="W34" s="369"/>
      <c r="X34" s="357">
        <f>SUM(T34:W34)/4</f>
        <v>0</v>
      </c>
      <c r="Y34" s="386"/>
      <c r="Z34" s="369"/>
      <c r="AA34" s="369"/>
      <c r="AB34" s="369"/>
      <c r="AC34" s="357">
        <f>SUM(Y34:AB34)/4</f>
        <v>0</v>
      </c>
      <c r="AD34" s="386"/>
      <c r="AE34" s="369"/>
      <c r="AF34" s="369"/>
      <c r="AG34" s="369"/>
      <c r="AH34" s="357">
        <f>SUM(AD34:AG34)/4</f>
        <v>0</v>
      </c>
      <c r="AI34" s="386"/>
      <c r="AJ34" s="369"/>
      <c r="AK34" s="369"/>
      <c r="AL34" s="369"/>
      <c r="AM34" s="357">
        <f>SUM(AI34:AL34)/4</f>
        <v>0</v>
      </c>
      <c r="AN34" s="386"/>
      <c r="AO34" s="369"/>
      <c r="AP34" s="369"/>
      <c r="AQ34" s="369"/>
      <c r="AR34" s="357">
        <f>SUM(AN34:AQ34)/4</f>
        <v>0</v>
      </c>
      <c r="AS34" s="386"/>
      <c r="AT34" s="369"/>
      <c r="AU34" s="369"/>
      <c r="AV34" s="369"/>
      <c r="AW34" s="357">
        <f>SUM(AS34:AV34)/4</f>
        <v>0</v>
      </c>
      <c r="AX34" s="386"/>
      <c r="AY34" s="369"/>
      <c r="AZ34" s="369"/>
      <c r="BA34" s="369"/>
      <c r="BB34" s="357">
        <f>SUM(AX34:BA34)/4</f>
        <v>0</v>
      </c>
      <c r="BC34" s="386"/>
      <c r="BD34" s="369"/>
      <c r="BE34" s="369"/>
      <c r="BF34" s="369"/>
      <c r="BG34" s="357">
        <f>SUM(BC34:BF34)/4</f>
        <v>0</v>
      </c>
      <c r="BH34" s="386"/>
      <c r="BI34" s="369"/>
      <c r="BJ34" s="369"/>
      <c r="BK34" s="369"/>
      <c r="BL34" s="357">
        <f>SUM(BH34:BK34)/4</f>
        <v>0</v>
      </c>
      <c r="BM34" s="386"/>
      <c r="BN34" s="369"/>
      <c r="BO34" s="369"/>
      <c r="BP34" s="369"/>
      <c r="BQ34" s="967">
        <f>SUM(BM34:BP34)/4</f>
        <v>0</v>
      </c>
      <c r="BR34" s="386"/>
      <c r="BS34" s="369"/>
      <c r="BT34" s="369"/>
      <c r="BU34" s="369"/>
      <c r="BV34" s="967">
        <f>SUM(BR34:BU34)/4</f>
        <v>0</v>
      </c>
      <c r="BW34" s="389"/>
      <c r="BX34" s="389"/>
      <c r="BY34" s="389"/>
      <c r="BZ34" s="389"/>
      <c r="CA34" s="389"/>
      <c r="CB34" s="370"/>
      <c r="CC34" s="395">
        <v>165</v>
      </c>
      <c r="CD34" s="371">
        <v>0.02</v>
      </c>
      <c r="CE34" s="979">
        <v>157.65330666666665</v>
      </c>
      <c r="CF34" s="371">
        <v>0.02</v>
      </c>
      <c r="CG34" s="979">
        <v>157.65330666666665</v>
      </c>
      <c r="CH34" s="371">
        <v>0.02</v>
      </c>
      <c r="CI34" s="405">
        <f t="shared" si="167"/>
        <v>0</v>
      </c>
      <c r="CJ34" s="372">
        <f t="shared" si="168"/>
        <v>0</v>
      </c>
      <c r="CK34" s="372">
        <f t="shared" si="169"/>
        <v>0</v>
      </c>
      <c r="CL34" s="406">
        <f t="shared" si="170"/>
        <v>0</v>
      </c>
      <c r="CM34" s="405">
        <f t="shared" si="171"/>
        <v>0</v>
      </c>
      <c r="CN34" s="372">
        <f t="shared" si="172"/>
        <v>0</v>
      </c>
      <c r="CO34" s="372">
        <f t="shared" si="173"/>
        <v>0</v>
      </c>
      <c r="CP34" s="406">
        <f t="shared" si="174"/>
        <v>0</v>
      </c>
      <c r="CQ34" s="405">
        <f t="shared" si="175"/>
        <v>0</v>
      </c>
      <c r="CR34" s="372">
        <f t="shared" si="175"/>
        <v>0</v>
      </c>
      <c r="CS34" s="372">
        <f t="shared" si="175"/>
        <v>0</v>
      </c>
      <c r="CT34" s="406">
        <f t="shared" si="175"/>
        <v>0</v>
      </c>
      <c r="CU34" s="405">
        <f t="shared" si="176"/>
        <v>0</v>
      </c>
      <c r="CV34" s="372">
        <f t="shared" si="176"/>
        <v>0</v>
      </c>
      <c r="CW34" s="372">
        <f t="shared" si="176"/>
        <v>0</v>
      </c>
      <c r="CX34" s="406">
        <f t="shared" si="176"/>
        <v>0</v>
      </c>
      <c r="CY34" s="405">
        <f t="shared" si="177"/>
        <v>0</v>
      </c>
      <c r="CZ34" s="372">
        <f t="shared" si="177"/>
        <v>0</v>
      </c>
      <c r="DA34" s="372">
        <f t="shared" si="177"/>
        <v>0</v>
      </c>
      <c r="DB34" s="406">
        <f t="shared" si="177"/>
        <v>0</v>
      </c>
      <c r="DC34" s="405">
        <f t="shared" si="178"/>
        <v>0</v>
      </c>
      <c r="DD34" s="372">
        <f t="shared" si="178"/>
        <v>0</v>
      </c>
      <c r="DE34" s="372">
        <f t="shared" si="178"/>
        <v>0</v>
      </c>
      <c r="DF34" s="668">
        <f t="shared" si="178"/>
        <v>0</v>
      </c>
      <c r="DG34" s="405">
        <f t="shared" si="179"/>
        <v>0</v>
      </c>
      <c r="DH34" s="372">
        <f t="shared" si="179"/>
        <v>0</v>
      </c>
      <c r="DI34" s="372">
        <f t="shared" si="179"/>
        <v>0</v>
      </c>
      <c r="DJ34" s="668">
        <f t="shared" si="179"/>
        <v>0</v>
      </c>
      <c r="DK34" s="673">
        <f t="shared" si="180"/>
        <v>0</v>
      </c>
      <c r="DL34" s="671">
        <f t="shared" si="180"/>
        <v>0</v>
      </c>
      <c r="DM34" s="671">
        <f t="shared" si="180"/>
        <v>0</v>
      </c>
      <c r="DN34" s="668">
        <f t="shared" si="180"/>
        <v>0</v>
      </c>
      <c r="DO34" s="673">
        <f t="shared" si="181"/>
        <v>0</v>
      </c>
      <c r="DP34" s="671">
        <f t="shared" si="181"/>
        <v>0</v>
      </c>
      <c r="DQ34" s="671">
        <f t="shared" si="181"/>
        <v>0</v>
      </c>
      <c r="DR34" s="668">
        <f t="shared" si="181"/>
        <v>0</v>
      </c>
      <c r="DS34" s="673">
        <f t="shared" si="182"/>
        <v>0</v>
      </c>
      <c r="DT34" s="671">
        <f t="shared" si="182"/>
        <v>0</v>
      </c>
      <c r="DU34" s="671">
        <f t="shared" si="182"/>
        <v>0</v>
      </c>
      <c r="DV34" s="668">
        <f t="shared" si="182"/>
        <v>0</v>
      </c>
      <c r="DW34" s="673">
        <f t="shared" si="183"/>
        <v>0</v>
      </c>
      <c r="DX34" s="671">
        <f t="shared" si="183"/>
        <v>0</v>
      </c>
      <c r="DY34" s="671">
        <f t="shared" si="183"/>
        <v>0</v>
      </c>
      <c r="DZ34" s="668">
        <f t="shared" si="183"/>
        <v>0</v>
      </c>
      <c r="EA34" s="673">
        <f t="shared" si="184"/>
        <v>0</v>
      </c>
      <c r="EB34" s="671">
        <f t="shared" si="184"/>
        <v>0</v>
      </c>
      <c r="EC34" s="671">
        <f t="shared" si="184"/>
        <v>0</v>
      </c>
      <c r="ED34" s="668">
        <f t="shared" si="184"/>
        <v>0</v>
      </c>
      <c r="EE34" s="673">
        <f t="shared" si="185"/>
        <v>0</v>
      </c>
      <c r="EF34" s="671">
        <f t="shared" si="185"/>
        <v>0</v>
      </c>
      <c r="EG34" s="671">
        <f t="shared" si="185"/>
        <v>0</v>
      </c>
      <c r="EH34" s="668">
        <f t="shared" si="185"/>
        <v>0</v>
      </c>
      <c r="EI34" s="673">
        <f t="shared" si="186"/>
        <v>0</v>
      </c>
      <c r="EJ34" s="671">
        <f t="shared" si="186"/>
        <v>0</v>
      </c>
      <c r="EK34" s="671">
        <f t="shared" si="186"/>
        <v>0</v>
      </c>
      <c r="EL34" s="668">
        <f t="shared" si="186"/>
        <v>0</v>
      </c>
      <c r="EM34" s="416">
        <f t="shared" si="187"/>
        <v>0</v>
      </c>
      <c r="EN34" s="416">
        <f t="shared" si="187"/>
        <v>0</v>
      </c>
      <c r="EO34" s="416">
        <f t="shared" si="187"/>
        <v>0</v>
      </c>
      <c r="EP34" s="416">
        <f t="shared" si="187"/>
        <v>0</v>
      </c>
      <c r="EQ34" s="416">
        <f t="shared" si="187"/>
        <v>0</v>
      </c>
      <c r="EU34" s="416">
        <f>SUM(CI34:CL34)</f>
        <v>0</v>
      </c>
      <c r="EV34" s="416">
        <f>SUM(CM34:CP34)</f>
        <v>0</v>
      </c>
      <c r="EW34" s="416">
        <f>SUM(CQ34:CT34)</f>
        <v>0</v>
      </c>
      <c r="EX34" s="416">
        <f>SUM(CU34:CX34)</f>
        <v>0</v>
      </c>
      <c r="EY34" s="416">
        <f>SUM(CY34:DB34)</f>
        <v>0</v>
      </c>
      <c r="EZ34" s="416">
        <f>SUM(DC34:DF34)</f>
        <v>0</v>
      </c>
      <c r="FA34" s="416">
        <f>SUM(DG34:DJ34)</f>
        <v>0</v>
      </c>
      <c r="FB34" s="416">
        <f>SUM(DK34:DN34)</f>
        <v>0</v>
      </c>
      <c r="FC34" s="416">
        <f>SUM(DO34:DR34)</f>
        <v>0</v>
      </c>
      <c r="FD34" s="416">
        <f>SUM(DS34:DV34)</f>
        <v>0</v>
      </c>
      <c r="FE34" s="416">
        <f>SUM(DW34:DZ34)</f>
        <v>0</v>
      </c>
      <c r="FF34" s="416">
        <f>SUM(EA34:ED34)</f>
        <v>0</v>
      </c>
      <c r="FG34" s="416">
        <f t="shared" si="188"/>
        <v>0</v>
      </c>
      <c r="FH34" s="416">
        <f t="shared" si="189"/>
        <v>0</v>
      </c>
      <c r="FI34" s="416">
        <f t="shared" si="190"/>
        <v>0</v>
      </c>
      <c r="FJ34" s="416">
        <f t="shared" si="190"/>
        <v>0</v>
      </c>
      <c r="FK34" s="416">
        <f t="shared" si="190"/>
        <v>0</v>
      </c>
      <c r="FL34" s="416">
        <f t="shared" si="191"/>
        <v>0</v>
      </c>
      <c r="FM34" s="416">
        <f t="shared" si="191"/>
        <v>0</v>
      </c>
      <c r="FP34" s="416">
        <f>SUMIF(CI$5:CL$5,TRUE,CI34:CL34)</f>
        <v>0</v>
      </c>
      <c r="FQ34" s="416">
        <f>SUMIF(CM$5:CP$5,TRUE,CM34:CP34)</f>
        <v>0</v>
      </c>
      <c r="FR34" s="416">
        <f>SUMIF(CQ$5:CT$5,TRUE,CQ34:CT34)</f>
        <v>0</v>
      </c>
      <c r="FS34" s="416">
        <f>SUMIF(CU$5:CX$5,TRUE,CU34:CX34)</f>
        <v>0</v>
      </c>
      <c r="FT34" s="416">
        <f>SUMIF(CY$5:DB$5,TRUE,CY34:DB34)</f>
        <v>0</v>
      </c>
      <c r="FU34" s="416">
        <f>SUMIF(DC$5:DF$5,TRUE,DC34:DF34)</f>
        <v>0</v>
      </c>
      <c r="FV34" s="416">
        <f>SUMIF(DG$5:DJ$5,TRUE,DG34:DJ34)</f>
        <v>0</v>
      </c>
      <c r="FW34" s="416">
        <f>SUMIF(DK$5:DN$5,TRUE,DK34:DN34)</f>
        <v>0</v>
      </c>
      <c r="FX34" s="416">
        <f>SUMIF(DO$5:DR$5,TRUE,DO34:DR34)</f>
        <v>0</v>
      </c>
      <c r="FY34" s="416">
        <f>SUMIF(DS$5:DV$5,TRUE,DS34:DV34)</f>
        <v>0</v>
      </c>
      <c r="FZ34" s="416">
        <f>SUMIF(DW$5:DZ$5,TRUE,DW34:DZ34)</f>
        <v>0</v>
      </c>
      <c r="GA34" s="416">
        <f>SUMIF(EA$5:ED$5,TRUE,EA34:ED34)</f>
        <v>0</v>
      </c>
      <c r="GB34" s="416">
        <f t="shared" si="192"/>
        <v>0</v>
      </c>
      <c r="GC34" s="416">
        <f t="shared" si="193"/>
        <v>0</v>
      </c>
      <c r="GD34" s="416">
        <f t="shared" si="194"/>
        <v>0</v>
      </c>
      <c r="GE34" s="416">
        <f t="shared" si="194"/>
        <v>0</v>
      </c>
      <c r="GF34" s="416">
        <f t="shared" si="194"/>
        <v>0</v>
      </c>
      <c r="GG34" s="416">
        <f t="shared" si="195"/>
        <v>0</v>
      </c>
      <c r="GH34" s="416">
        <f t="shared" si="195"/>
        <v>0</v>
      </c>
    </row>
    <row r="35" spans="1:190" s="138" customFormat="1" outlineLevel="1" x14ac:dyDescent="0.25">
      <c r="A35" s="361"/>
      <c r="B35" s="426" t="s">
        <v>415</v>
      </c>
      <c r="C35" s="426"/>
      <c r="D35" s="426"/>
      <c r="E35" s="427"/>
      <c r="F35" s="428"/>
      <c r="G35" s="428"/>
      <c r="H35" s="428"/>
      <c r="I35" s="358">
        <f>SUM(E35:H35)/4</f>
        <v>0</v>
      </c>
      <c r="J35" s="427"/>
      <c r="K35" s="428"/>
      <c r="L35" s="428"/>
      <c r="M35" s="428"/>
      <c r="N35" s="358">
        <f>SUM(J35:M35)/4</f>
        <v>0</v>
      </c>
      <c r="O35" s="427"/>
      <c r="P35" s="428"/>
      <c r="Q35" s="428"/>
      <c r="R35" s="428"/>
      <c r="S35" s="358">
        <f>SUM(O35:R35)/4</f>
        <v>0</v>
      </c>
      <c r="T35" s="427"/>
      <c r="U35" s="428"/>
      <c r="V35" s="428"/>
      <c r="W35" s="428"/>
      <c r="X35" s="358">
        <f>SUM(T35:W35)/4</f>
        <v>0</v>
      </c>
      <c r="Y35" s="427"/>
      <c r="Z35" s="428"/>
      <c r="AA35" s="428"/>
      <c r="AB35" s="428"/>
      <c r="AC35" s="358">
        <f>SUM(Y35:AB35)/4</f>
        <v>0</v>
      </c>
      <c r="AD35" s="427"/>
      <c r="AE35" s="428"/>
      <c r="AF35" s="428"/>
      <c r="AG35" s="428"/>
      <c r="AH35" s="358">
        <f>SUM(AD35:AG35)/4</f>
        <v>0</v>
      </c>
      <c r="AI35" s="427"/>
      <c r="AJ35" s="428"/>
      <c r="AK35" s="428"/>
      <c r="AL35" s="428"/>
      <c r="AM35" s="358">
        <f>SUM(AI35:AL35)/4</f>
        <v>0</v>
      </c>
      <c r="AN35" s="427"/>
      <c r="AO35" s="428"/>
      <c r="AP35" s="428"/>
      <c r="AQ35" s="428"/>
      <c r="AR35" s="358">
        <f>SUM(AN35:AQ35)/4</f>
        <v>0</v>
      </c>
      <c r="AS35" s="427"/>
      <c r="AT35" s="428"/>
      <c r="AU35" s="428"/>
      <c r="AV35" s="428"/>
      <c r="AW35" s="358">
        <f>SUM(AS35:AV35)/4</f>
        <v>0</v>
      </c>
      <c r="AX35" s="427"/>
      <c r="AY35" s="428"/>
      <c r="AZ35" s="428"/>
      <c r="BA35" s="428"/>
      <c r="BB35" s="358">
        <f>SUM(AX35:BA35)/4</f>
        <v>0</v>
      </c>
      <c r="BC35" s="427"/>
      <c r="BD35" s="428"/>
      <c r="BE35" s="428"/>
      <c r="BF35" s="428"/>
      <c r="BG35" s="358">
        <f>SUM(BC35:BF35)/4</f>
        <v>0</v>
      </c>
      <c r="BH35" s="427"/>
      <c r="BI35" s="428"/>
      <c r="BJ35" s="428"/>
      <c r="BK35" s="428"/>
      <c r="BL35" s="358">
        <f>SUM(BH35:BK35)/4</f>
        <v>0</v>
      </c>
      <c r="BM35" s="427"/>
      <c r="BN35" s="428"/>
      <c r="BO35" s="428"/>
      <c r="BP35" s="428"/>
      <c r="BQ35" s="965">
        <f>SUM(BM35:BP35)/4</f>
        <v>0</v>
      </c>
      <c r="BR35" s="427"/>
      <c r="BS35" s="428"/>
      <c r="BT35" s="428"/>
      <c r="BU35" s="428"/>
      <c r="BV35" s="965">
        <f>SUM(BR35:BU35)/4</f>
        <v>0</v>
      </c>
      <c r="BW35" s="429"/>
      <c r="BX35" s="429"/>
      <c r="BY35" s="429"/>
      <c r="BZ35" s="429"/>
      <c r="CA35" s="429"/>
      <c r="CB35" s="430"/>
      <c r="CC35" s="431">
        <v>170</v>
      </c>
      <c r="CD35" s="903">
        <v>0.02</v>
      </c>
      <c r="CE35" s="431">
        <f>CC35*(1+CD35)^2</f>
        <v>176.86799999999999</v>
      </c>
      <c r="CF35" s="903">
        <v>0.02</v>
      </c>
      <c r="CG35" s="431">
        <f>CE35*(1+CF35)^2</f>
        <v>184.01346719999998</v>
      </c>
      <c r="CH35" s="903">
        <v>0.02</v>
      </c>
      <c r="CI35" s="433">
        <f t="shared" si="167"/>
        <v>0</v>
      </c>
      <c r="CJ35" s="434">
        <f t="shared" si="168"/>
        <v>0</v>
      </c>
      <c r="CK35" s="434">
        <f t="shared" si="169"/>
        <v>0</v>
      </c>
      <c r="CL35" s="435">
        <f t="shared" si="170"/>
        <v>0</v>
      </c>
      <c r="CM35" s="433">
        <f t="shared" si="171"/>
        <v>0</v>
      </c>
      <c r="CN35" s="434">
        <f t="shared" si="172"/>
        <v>0</v>
      </c>
      <c r="CO35" s="434">
        <f t="shared" si="173"/>
        <v>0</v>
      </c>
      <c r="CP35" s="435">
        <f t="shared" si="174"/>
        <v>0</v>
      </c>
      <c r="CQ35" s="433">
        <f t="shared" si="175"/>
        <v>0</v>
      </c>
      <c r="CR35" s="434">
        <f t="shared" si="175"/>
        <v>0</v>
      </c>
      <c r="CS35" s="434">
        <f t="shared" si="175"/>
        <v>0</v>
      </c>
      <c r="CT35" s="435">
        <f t="shared" si="175"/>
        <v>0</v>
      </c>
      <c r="CU35" s="433">
        <f t="shared" si="176"/>
        <v>0</v>
      </c>
      <c r="CV35" s="434">
        <f t="shared" si="176"/>
        <v>0</v>
      </c>
      <c r="CW35" s="434">
        <f t="shared" si="176"/>
        <v>0</v>
      </c>
      <c r="CX35" s="435">
        <f t="shared" si="176"/>
        <v>0</v>
      </c>
      <c r="CY35" s="433">
        <f t="shared" si="177"/>
        <v>0</v>
      </c>
      <c r="CZ35" s="434">
        <f t="shared" si="177"/>
        <v>0</v>
      </c>
      <c r="DA35" s="434">
        <f t="shared" si="177"/>
        <v>0</v>
      </c>
      <c r="DB35" s="435">
        <f t="shared" si="177"/>
        <v>0</v>
      </c>
      <c r="DC35" s="433">
        <f t="shared" si="178"/>
        <v>0</v>
      </c>
      <c r="DD35" s="434">
        <f t="shared" si="178"/>
        <v>0</v>
      </c>
      <c r="DE35" s="434">
        <f t="shared" si="178"/>
        <v>0</v>
      </c>
      <c r="DF35" s="669">
        <f t="shared" si="178"/>
        <v>0</v>
      </c>
      <c r="DG35" s="433">
        <f t="shared" si="179"/>
        <v>0</v>
      </c>
      <c r="DH35" s="434">
        <f t="shared" si="179"/>
        <v>0</v>
      </c>
      <c r="DI35" s="434">
        <f t="shared" si="179"/>
        <v>0</v>
      </c>
      <c r="DJ35" s="669">
        <f t="shared" si="179"/>
        <v>0</v>
      </c>
      <c r="DK35" s="907">
        <f t="shared" si="180"/>
        <v>0</v>
      </c>
      <c r="DL35" s="672">
        <f t="shared" si="180"/>
        <v>0</v>
      </c>
      <c r="DM35" s="672">
        <f t="shared" si="180"/>
        <v>0</v>
      </c>
      <c r="DN35" s="669">
        <f t="shared" si="180"/>
        <v>0</v>
      </c>
      <c r="DO35" s="907">
        <f t="shared" si="181"/>
        <v>0</v>
      </c>
      <c r="DP35" s="672">
        <f t="shared" si="181"/>
        <v>0</v>
      </c>
      <c r="DQ35" s="672">
        <f t="shared" si="181"/>
        <v>0</v>
      </c>
      <c r="DR35" s="669">
        <f t="shared" si="181"/>
        <v>0</v>
      </c>
      <c r="DS35" s="907">
        <f t="shared" si="182"/>
        <v>0</v>
      </c>
      <c r="DT35" s="672">
        <f t="shared" si="182"/>
        <v>0</v>
      </c>
      <c r="DU35" s="672">
        <f t="shared" si="182"/>
        <v>0</v>
      </c>
      <c r="DV35" s="669">
        <f t="shared" si="182"/>
        <v>0</v>
      </c>
      <c r="DW35" s="907">
        <f t="shared" si="183"/>
        <v>0</v>
      </c>
      <c r="DX35" s="672">
        <f t="shared" si="183"/>
        <v>0</v>
      </c>
      <c r="DY35" s="672">
        <f t="shared" si="183"/>
        <v>0</v>
      </c>
      <c r="DZ35" s="669">
        <f t="shared" si="183"/>
        <v>0</v>
      </c>
      <c r="EA35" s="907">
        <f t="shared" si="184"/>
        <v>0</v>
      </c>
      <c r="EB35" s="672">
        <f t="shared" si="184"/>
        <v>0</v>
      </c>
      <c r="EC35" s="672">
        <f t="shared" si="184"/>
        <v>0</v>
      </c>
      <c r="ED35" s="669">
        <f t="shared" si="184"/>
        <v>0</v>
      </c>
      <c r="EE35" s="907">
        <f t="shared" si="185"/>
        <v>0</v>
      </c>
      <c r="EF35" s="672">
        <f t="shared" si="185"/>
        <v>0</v>
      </c>
      <c r="EG35" s="672">
        <f t="shared" si="185"/>
        <v>0</v>
      </c>
      <c r="EH35" s="669">
        <f t="shared" si="185"/>
        <v>0</v>
      </c>
      <c r="EI35" s="907">
        <f t="shared" si="186"/>
        <v>0</v>
      </c>
      <c r="EJ35" s="672">
        <f t="shared" si="186"/>
        <v>0</v>
      </c>
      <c r="EK35" s="672">
        <f t="shared" si="186"/>
        <v>0</v>
      </c>
      <c r="EL35" s="669">
        <f t="shared" si="186"/>
        <v>0</v>
      </c>
      <c r="EM35" s="436">
        <f t="shared" si="187"/>
        <v>0</v>
      </c>
      <c r="EN35" s="436">
        <f t="shared" si="187"/>
        <v>0</v>
      </c>
      <c r="EO35" s="436">
        <f t="shared" si="187"/>
        <v>0</v>
      </c>
      <c r="EP35" s="436">
        <f t="shared" si="187"/>
        <v>0</v>
      </c>
      <c r="EQ35" s="436">
        <f t="shared" si="187"/>
        <v>0</v>
      </c>
      <c r="ER35" s="437"/>
      <c r="ES35" s="437"/>
      <c r="ET35" s="437"/>
      <c r="EU35" s="436">
        <f>SUM(CI35:CL35)</f>
        <v>0</v>
      </c>
      <c r="EV35" s="436">
        <f>SUM(CM35:CP35)</f>
        <v>0</v>
      </c>
      <c r="EW35" s="436">
        <f>SUM(CQ35:CT35)</f>
        <v>0</v>
      </c>
      <c r="EX35" s="436">
        <f>SUM(CU35:CX35)</f>
        <v>0</v>
      </c>
      <c r="EY35" s="436">
        <f>SUM(CY35:DB35)</f>
        <v>0</v>
      </c>
      <c r="EZ35" s="436">
        <f>SUM(DC35:DF35)</f>
        <v>0</v>
      </c>
      <c r="FA35" s="436">
        <f>SUM(DG35:DJ35)</f>
        <v>0</v>
      </c>
      <c r="FB35" s="436">
        <f>SUM(DK35:DN35)</f>
        <v>0</v>
      </c>
      <c r="FC35" s="436">
        <f>SUM(DO35:DR35)</f>
        <v>0</v>
      </c>
      <c r="FD35" s="436">
        <f>SUM(DS35:DV35)</f>
        <v>0</v>
      </c>
      <c r="FE35" s="436">
        <f>SUM(DW35:DZ35)</f>
        <v>0</v>
      </c>
      <c r="FF35" s="436">
        <f>SUM(EA35:ED35)</f>
        <v>0</v>
      </c>
      <c r="FG35" s="436">
        <f t="shared" si="188"/>
        <v>0</v>
      </c>
      <c r="FH35" s="436">
        <f t="shared" si="189"/>
        <v>0</v>
      </c>
      <c r="FI35" s="436">
        <f t="shared" si="190"/>
        <v>0</v>
      </c>
      <c r="FJ35" s="436">
        <f t="shared" si="190"/>
        <v>0</v>
      </c>
      <c r="FK35" s="436">
        <f t="shared" si="190"/>
        <v>0</v>
      </c>
      <c r="FL35" s="436">
        <f t="shared" si="191"/>
        <v>0</v>
      </c>
      <c r="FM35" s="436">
        <f t="shared" si="191"/>
        <v>0</v>
      </c>
      <c r="FN35" s="437"/>
      <c r="FO35" s="437"/>
      <c r="FP35" s="436">
        <f>SUMIF(CI$5:CL$5,TRUE,CI35:CL35)</f>
        <v>0</v>
      </c>
      <c r="FQ35" s="436">
        <f>SUMIF(CM$5:CP$5,TRUE,CM35:CP35)</f>
        <v>0</v>
      </c>
      <c r="FR35" s="436">
        <f>SUMIF(CQ$5:CT$5,TRUE,CQ35:CT35)</f>
        <v>0</v>
      </c>
      <c r="FS35" s="436">
        <f>SUMIF(CU$5:CX$5,TRUE,CU35:CX35)</f>
        <v>0</v>
      </c>
      <c r="FT35" s="436">
        <f>SUMIF(CY$5:DB$5,TRUE,CY35:DB35)</f>
        <v>0</v>
      </c>
      <c r="FU35" s="436">
        <f>SUMIF(DC$5:DF$5,TRUE,DC35:DF35)</f>
        <v>0</v>
      </c>
      <c r="FV35" s="436">
        <f>SUMIF(DG$5:DJ$5,TRUE,DG35:DJ35)</f>
        <v>0</v>
      </c>
      <c r="FW35" s="436">
        <f>SUMIF(DK$5:DN$5,TRUE,DK35:DN35)</f>
        <v>0</v>
      </c>
      <c r="FX35" s="436">
        <f>SUMIF(DO$5:DR$5,TRUE,DO35:DR35)</f>
        <v>0</v>
      </c>
      <c r="FY35" s="436">
        <f>SUMIF(DS$5:DV$5,TRUE,DS35:DV35)</f>
        <v>0</v>
      </c>
      <c r="FZ35" s="436">
        <f>SUMIF(DW$5:DZ$5,TRUE,DW35:DZ35)</f>
        <v>0</v>
      </c>
      <c r="GA35" s="436">
        <f>SUMIF(EA$5:ED$5,TRUE,EA35:ED35)</f>
        <v>0</v>
      </c>
      <c r="GB35" s="436">
        <f t="shared" si="192"/>
        <v>0</v>
      </c>
      <c r="GC35" s="436">
        <f t="shared" si="193"/>
        <v>0</v>
      </c>
      <c r="GD35" s="436">
        <f t="shared" si="194"/>
        <v>0</v>
      </c>
      <c r="GE35" s="436">
        <f t="shared" si="194"/>
        <v>0</v>
      </c>
      <c r="GF35" s="436">
        <f t="shared" si="194"/>
        <v>0</v>
      </c>
      <c r="GG35" s="436">
        <f t="shared" si="195"/>
        <v>0</v>
      </c>
      <c r="GH35" s="436">
        <f t="shared" si="195"/>
        <v>0</v>
      </c>
    </row>
    <row r="36" spans="1:190" s="86" customFormat="1" x14ac:dyDescent="0.25">
      <c r="A36" s="367"/>
      <c r="B36" s="345" t="s">
        <v>420</v>
      </c>
      <c r="C36" s="345"/>
      <c r="D36" s="345"/>
      <c r="E36" s="346">
        <f>SUM(E33:E35)</f>
        <v>0</v>
      </c>
      <c r="F36" s="348">
        <f>SUM(F33:F35)</f>
        <v>0</v>
      </c>
      <c r="G36" s="348">
        <f>SUM(G33:G35)</f>
        <v>0</v>
      </c>
      <c r="H36" s="348">
        <f>SUM(H33:H35)</f>
        <v>0</v>
      </c>
      <c r="I36" s="357">
        <f>SUM(E36:H36)/4</f>
        <v>0</v>
      </c>
      <c r="J36" s="346">
        <f>SUM(J33:J35)</f>
        <v>0</v>
      </c>
      <c r="K36" s="348">
        <f>SUM(K33:K35)</f>
        <v>0</v>
      </c>
      <c r="L36" s="348">
        <f>SUM(L33:L35)</f>
        <v>0</v>
      </c>
      <c r="M36" s="348">
        <f>SUM(M33:M35)</f>
        <v>0</v>
      </c>
      <c r="N36" s="357">
        <f>SUM(J36:M36)/4</f>
        <v>0</v>
      </c>
      <c r="O36" s="346">
        <f>SUM(O33:O35)</f>
        <v>0</v>
      </c>
      <c r="P36" s="348">
        <f>SUM(P33:P35)</f>
        <v>0</v>
      </c>
      <c r="Q36" s="348">
        <f>SUM(Q33:Q35)</f>
        <v>0</v>
      </c>
      <c r="R36" s="348">
        <f>SUM(R33:R35)</f>
        <v>0</v>
      </c>
      <c r="S36" s="357">
        <f>SUM(O36:R36)/4</f>
        <v>0</v>
      </c>
      <c r="T36" s="346">
        <f>SUM(T33:T35)</f>
        <v>0</v>
      </c>
      <c r="U36" s="348">
        <f>SUM(U33:U35)</f>
        <v>0</v>
      </c>
      <c r="V36" s="348">
        <f>SUM(V33:V35)</f>
        <v>0</v>
      </c>
      <c r="W36" s="348">
        <f>SUM(W33:W35)</f>
        <v>0</v>
      </c>
      <c r="X36" s="357">
        <f>SUM(T36:W36)/4</f>
        <v>0</v>
      </c>
      <c r="Y36" s="346">
        <f>SUM(Y33:Y35)</f>
        <v>0</v>
      </c>
      <c r="Z36" s="348">
        <f>SUM(Z33:Z35)</f>
        <v>0</v>
      </c>
      <c r="AA36" s="348">
        <f>SUM(AA33:AA35)</f>
        <v>0</v>
      </c>
      <c r="AB36" s="348">
        <f>SUM(AB33:AB35)</f>
        <v>0</v>
      </c>
      <c r="AC36" s="357">
        <f>SUM(Y36:AB36)/4</f>
        <v>0</v>
      </c>
      <c r="AD36" s="346">
        <f>SUM(AD33:AD35)</f>
        <v>0</v>
      </c>
      <c r="AE36" s="348">
        <f>SUM(AE33:AE35)</f>
        <v>0</v>
      </c>
      <c r="AF36" s="348">
        <f>SUM(AF33:AF35)</f>
        <v>0</v>
      </c>
      <c r="AG36" s="348">
        <f>SUM(AG33:AG35)</f>
        <v>0</v>
      </c>
      <c r="AH36" s="357">
        <f>SUM(AD36:AG36)/4</f>
        <v>0</v>
      </c>
      <c r="AI36" s="346">
        <f>SUM(AI33:AI35)</f>
        <v>0</v>
      </c>
      <c r="AJ36" s="348">
        <f>SUM(AJ33:AJ35)</f>
        <v>0</v>
      </c>
      <c r="AK36" s="348">
        <f>SUM(AK33:AK35)</f>
        <v>0</v>
      </c>
      <c r="AL36" s="348">
        <f>SUM(AL33:AL35)</f>
        <v>0</v>
      </c>
      <c r="AM36" s="357">
        <f>SUM(AI36:AL36)/4</f>
        <v>0</v>
      </c>
      <c r="AN36" s="346">
        <f t="shared" ref="AN36:BK36" si="196">SUM(AN33:AN35)</f>
        <v>0</v>
      </c>
      <c r="AO36" s="348">
        <f t="shared" si="196"/>
        <v>0</v>
      </c>
      <c r="AP36" s="348">
        <f t="shared" si="196"/>
        <v>0</v>
      </c>
      <c r="AQ36" s="348">
        <f t="shared" si="196"/>
        <v>0</v>
      </c>
      <c r="AR36" s="357">
        <f>SUM(AN36:AQ36)/4</f>
        <v>0</v>
      </c>
      <c r="AS36" s="346">
        <f t="shared" si="196"/>
        <v>0</v>
      </c>
      <c r="AT36" s="348">
        <f t="shared" si="196"/>
        <v>0</v>
      </c>
      <c r="AU36" s="348">
        <f t="shared" si="196"/>
        <v>0</v>
      </c>
      <c r="AV36" s="348">
        <f t="shared" si="196"/>
        <v>0</v>
      </c>
      <c r="AW36" s="357">
        <f>SUM(AS36:AV36)/4</f>
        <v>0</v>
      </c>
      <c r="AX36" s="346">
        <f t="shared" si="196"/>
        <v>0</v>
      </c>
      <c r="AY36" s="348">
        <f t="shared" si="196"/>
        <v>0</v>
      </c>
      <c r="AZ36" s="348">
        <f t="shared" si="196"/>
        <v>0</v>
      </c>
      <c r="BA36" s="348">
        <f t="shared" si="196"/>
        <v>0</v>
      </c>
      <c r="BB36" s="357">
        <f>SUM(AX36:BA36)/4</f>
        <v>0</v>
      </c>
      <c r="BC36" s="346">
        <f t="shared" si="196"/>
        <v>0</v>
      </c>
      <c r="BD36" s="348">
        <f t="shared" si="196"/>
        <v>0</v>
      </c>
      <c r="BE36" s="348">
        <f t="shared" si="196"/>
        <v>0</v>
      </c>
      <c r="BF36" s="348">
        <f t="shared" si="196"/>
        <v>0</v>
      </c>
      <c r="BG36" s="357">
        <f>SUM(BC36:BF36)/4</f>
        <v>0</v>
      </c>
      <c r="BH36" s="346">
        <f t="shared" si="196"/>
        <v>0</v>
      </c>
      <c r="BI36" s="348">
        <f t="shared" si="196"/>
        <v>0</v>
      </c>
      <c r="BJ36" s="348">
        <f t="shared" si="196"/>
        <v>0</v>
      </c>
      <c r="BK36" s="348">
        <f t="shared" si="196"/>
        <v>0</v>
      </c>
      <c r="BL36" s="357">
        <f>SUM(BH36:BK36)/4</f>
        <v>0</v>
      </c>
      <c r="BM36" s="346">
        <f t="shared" ref="BM36:BP36" si="197">SUM(BM33:BM35)</f>
        <v>0</v>
      </c>
      <c r="BN36" s="348">
        <f t="shared" si="197"/>
        <v>0</v>
      </c>
      <c r="BO36" s="348">
        <f t="shared" si="197"/>
        <v>0</v>
      </c>
      <c r="BP36" s="348">
        <f t="shared" si="197"/>
        <v>0</v>
      </c>
      <c r="BQ36" s="966">
        <f>SUM(BM36:BP36)/4</f>
        <v>0</v>
      </c>
      <c r="BR36" s="346">
        <f t="shared" ref="BR36:BU36" si="198">SUM(BR33:BR35)</f>
        <v>0</v>
      </c>
      <c r="BS36" s="348">
        <f t="shared" si="198"/>
        <v>0</v>
      </c>
      <c r="BT36" s="348">
        <f t="shared" si="198"/>
        <v>0</v>
      </c>
      <c r="BU36" s="348">
        <f t="shared" si="198"/>
        <v>0</v>
      </c>
      <c r="BV36" s="966">
        <f>SUM(BR36:BU36)/4</f>
        <v>0</v>
      </c>
      <c r="BW36" s="347">
        <f>SUM(BW33:BW35)</f>
        <v>0</v>
      </c>
      <c r="BX36" s="347">
        <f>SUM(BX33:BX35)</f>
        <v>0</v>
      </c>
      <c r="BY36" s="347">
        <f>SUM(BY33:BY35)</f>
        <v>0</v>
      </c>
      <c r="BZ36" s="347">
        <f t="shared" ref="BZ36:CA36" si="199">SUM(BZ33:BZ35)</f>
        <v>0</v>
      </c>
      <c r="CA36" s="347">
        <f t="shared" si="199"/>
        <v>0</v>
      </c>
      <c r="CB36" s="349"/>
      <c r="CC36" s="396"/>
      <c r="CD36" s="373"/>
      <c r="CE36" s="396"/>
      <c r="CF36" s="373"/>
      <c r="CG36" s="396"/>
      <c r="CH36" s="373"/>
      <c r="CI36" s="393">
        <f t="shared" ref="CI36:EQ36" si="200">SUM(CI33:CI35)</f>
        <v>0</v>
      </c>
      <c r="CJ36" s="374">
        <f t="shared" si="200"/>
        <v>0</v>
      </c>
      <c r="CK36" s="374">
        <f t="shared" si="200"/>
        <v>0</v>
      </c>
      <c r="CL36" s="394">
        <f t="shared" si="200"/>
        <v>0</v>
      </c>
      <c r="CM36" s="393">
        <f t="shared" si="200"/>
        <v>0</v>
      </c>
      <c r="CN36" s="374">
        <f t="shared" si="200"/>
        <v>0</v>
      </c>
      <c r="CO36" s="374">
        <f t="shared" si="200"/>
        <v>0</v>
      </c>
      <c r="CP36" s="394">
        <f t="shared" si="200"/>
        <v>0</v>
      </c>
      <c r="CQ36" s="393">
        <f t="shared" si="200"/>
        <v>0</v>
      </c>
      <c r="CR36" s="374">
        <f t="shared" si="200"/>
        <v>0</v>
      </c>
      <c r="CS36" s="374">
        <f t="shared" si="200"/>
        <v>0</v>
      </c>
      <c r="CT36" s="394">
        <f t="shared" si="200"/>
        <v>0</v>
      </c>
      <c r="CU36" s="393">
        <f t="shared" si="200"/>
        <v>0</v>
      </c>
      <c r="CV36" s="374">
        <f t="shared" si="200"/>
        <v>0</v>
      </c>
      <c r="CW36" s="374">
        <f t="shared" si="200"/>
        <v>0</v>
      </c>
      <c r="CX36" s="394">
        <f t="shared" si="200"/>
        <v>0</v>
      </c>
      <c r="CY36" s="393">
        <f t="shared" si="200"/>
        <v>0</v>
      </c>
      <c r="CZ36" s="374">
        <f t="shared" si="200"/>
        <v>0</v>
      </c>
      <c r="DA36" s="374">
        <f t="shared" si="200"/>
        <v>0</v>
      </c>
      <c r="DB36" s="394">
        <f t="shared" si="200"/>
        <v>0</v>
      </c>
      <c r="DC36" s="393">
        <f t="shared" si="200"/>
        <v>0</v>
      </c>
      <c r="DD36" s="374">
        <f t="shared" si="200"/>
        <v>0</v>
      </c>
      <c r="DE36" s="374">
        <f t="shared" si="200"/>
        <v>0</v>
      </c>
      <c r="DF36" s="394">
        <f t="shared" si="200"/>
        <v>0</v>
      </c>
      <c r="DG36" s="393">
        <f t="shared" si="200"/>
        <v>0</v>
      </c>
      <c r="DH36" s="374">
        <f t="shared" si="200"/>
        <v>0</v>
      </c>
      <c r="DI36" s="374">
        <f t="shared" si="200"/>
        <v>0</v>
      </c>
      <c r="DJ36" s="394">
        <f t="shared" si="200"/>
        <v>0</v>
      </c>
      <c r="DK36" s="393">
        <f t="shared" si="200"/>
        <v>0</v>
      </c>
      <c r="DL36" s="374">
        <f t="shared" si="200"/>
        <v>0</v>
      </c>
      <c r="DM36" s="374">
        <f t="shared" si="200"/>
        <v>0</v>
      </c>
      <c r="DN36" s="394">
        <f t="shared" si="200"/>
        <v>0</v>
      </c>
      <c r="DO36" s="393">
        <f t="shared" si="200"/>
        <v>0</v>
      </c>
      <c r="DP36" s="374">
        <f t="shared" si="200"/>
        <v>0</v>
      </c>
      <c r="DQ36" s="374">
        <f t="shared" si="200"/>
        <v>0</v>
      </c>
      <c r="DR36" s="394">
        <f t="shared" si="200"/>
        <v>0</v>
      </c>
      <c r="DS36" s="393">
        <f t="shared" si="200"/>
        <v>0</v>
      </c>
      <c r="DT36" s="374">
        <f t="shared" si="200"/>
        <v>0</v>
      </c>
      <c r="DU36" s="374">
        <f t="shared" si="200"/>
        <v>0</v>
      </c>
      <c r="DV36" s="394">
        <f t="shared" si="200"/>
        <v>0</v>
      </c>
      <c r="DW36" s="393">
        <f t="shared" si="200"/>
        <v>0</v>
      </c>
      <c r="DX36" s="374">
        <f t="shared" si="200"/>
        <v>0</v>
      </c>
      <c r="DY36" s="374">
        <f t="shared" si="200"/>
        <v>0</v>
      </c>
      <c r="DZ36" s="394">
        <f t="shared" si="200"/>
        <v>0</v>
      </c>
      <c r="EA36" s="393">
        <f t="shared" si="200"/>
        <v>0</v>
      </c>
      <c r="EB36" s="374">
        <f t="shared" si="200"/>
        <v>0</v>
      </c>
      <c r="EC36" s="374">
        <f t="shared" si="200"/>
        <v>0</v>
      </c>
      <c r="ED36" s="394">
        <f t="shared" si="200"/>
        <v>0</v>
      </c>
      <c r="EE36" s="393">
        <f t="shared" si="200"/>
        <v>0</v>
      </c>
      <c r="EF36" s="374">
        <f t="shared" si="200"/>
        <v>0</v>
      </c>
      <c r="EG36" s="374">
        <f t="shared" si="200"/>
        <v>0</v>
      </c>
      <c r="EH36" s="394">
        <f t="shared" si="200"/>
        <v>0</v>
      </c>
      <c r="EI36" s="393">
        <f t="shared" si="200"/>
        <v>0</v>
      </c>
      <c r="EJ36" s="374">
        <f t="shared" si="200"/>
        <v>0</v>
      </c>
      <c r="EK36" s="374">
        <f t="shared" si="200"/>
        <v>0</v>
      </c>
      <c r="EL36" s="394">
        <f t="shared" si="200"/>
        <v>0</v>
      </c>
      <c r="EM36" s="417">
        <f t="shared" si="200"/>
        <v>0</v>
      </c>
      <c r="EN36" s="417">
        <f t="shared" si="200"/>
        <v>0</v>
      </c>
      <c r="EO36" s="417">
        <f t="shared" si="200"/>
        <v>0</v>
      </c>
      <c r="EP36" s="417">
        <f t="shared" si="200"/>
        <v>0</v>
      </c>
      <c r="EQ36" s="417">
        <f t="shared" si="200"/>
        <v>0</v>
      </c>
      <c r="EU36" s="417">
        <f t="shared" ref="EU36:FC36" si="201">SUM(EU33:EU35)</f>
        <v>0</v>
      </c>
      <c r="EV36" s="417">
        <f t="shared" si="201"/>
        <v>0</v>
      </c>
      <c r="EW36" s="417">
        <f t="shared" si="201"/>
        <v>0</v>
      </c>
      <c r="EX36" s="417">
        <f t="shared" si="201"/>
        <v>0</v>
      </c>
      <c r="EY36" s="417">
        <f t="shared" si="201"/>
        <v>0</v>
      </c>
      <c r="EZ36" s="417">
        <f t="shared" si="201"/>
        <v>0</v>
      </c>
      <c r="FA36" s="417">
        <f t="shared" si="201"/>
        <v>0</v>
      </c>
      <c r="FB36" s="417">
        <f t="shared" si="201"/>
        <v>0</v>
      </c>
      <c r="FC36" s="417">
        <f t="shared" si="201"/>
        <v>0</v>
      </c>
      <c r="FD36" s="417">
        <f t="shared" ref="FD36:FK36" si="202">SUM(FD33:FD35)</f>
        <v>0</v>
      </c>
      <c r="FE36" s="417">
        <f t="shared" si="202"/>
        <v>0</v>
      </c>
      <c r="FF36" s="417">
        <f t="shared" si="202"/>
        <v>0</v>
      </c>
      <c r="FG36" s="417">
        <f t="shared" ref="FG36:FH36" si="203">SUM(FG33:FG35)</f>
        <v>0</v>
      </c>
      <c r="FH36" s="417">
        <f t="shared" si="203"/>
        <v>0</v>
      </c>
      <c r="FI36" s="417">
        <f t="shared" si="202"/>
        <v>0</v>
      </c>
      <c r="FJ36" s="417">
        <f t="shared" si="202"/>
        <v>0</v>
      </c>
      <c r="FK36" s="417">
        <f t="shared" si="202"/>
        <v>0</v>
      </c>
      <c r="FL36" s="417">
        <f t="shared" ref="FL36:FM36" si="204">SUM(FL33:FL35)</f>
        <v>0</v>
      </c>
      <c r="FM36" s="417">
        <f t="shared" si="204"/>
        <v>0</v>
      </c>
      <c r="FP36" s="417">
        <f t="shared" ref="FP36:FX36" si="205">SUM(FP33:FP35)</f>
        <v>0</v>
      </c>
      <c r="FQ36" s="417">
        <f t="shared" si="205"/>
        <v>0</v>
      </c>
      <c r="FR36" s="417">
        <f t="shared" si="205"/>
        <v>0</v>
      </c>
      <c r="FS36" s="417">
        <f t="shared" si="205"/>
        <v>0</v>
      </c>
      <c r="FT36" s="417">
        <f t="shared" si="205"/>
        <v>0</v>
      </c>
      <c r="FU36" s="417">
        <f t="shared" si="205"/>
        <v>0</v>
      </c>
      <c r="FV36" s="417">
        <f t="shared" si="205"/>
        <v>0</v>
      </c>
      <c r="FW36" s="417">
        <f t="shared" si="205"/>
        <v>0</v>
      </c>
      <c r="FX36" s="417">
        <f t="shared" si="205"/>
        <v>0</v>
      </c>
      <c r="FY36" s="417">
        <f t="shared" ref="FY36:GF36" si="206">SUM(FY33:FY35)</f>
        <v>0</v>
      </c>
      <c r="FZ36" s="417">
        <f t="shared" si="206"/>
        <v>0</v>
      </c>
      <c r="GA36" s="417">
        <f t="shared" si="206"/>
        <v>0</v>
      </c>
      <c r="GB36" s="417">
        <f t="shared" si="206"/>
        <v>0</v>
      </c>
      <c r="GC36" s="417">
        <f t="shared" si="206"/>
        <v>0</v>
      </c>
      <c r="GD36" s="417">
        <f t="shared" si="206"/>
        <v>0</v>
      </c>
      <c r="GE36" s="417">
        <f t="shared" si="206"/>
        <v>0</v>
      </c>
      <c r="GF36" s="417">
        <f t="shared" si="206"/>
        <v>0</v>
      </c>
      <c r="GG36" s="417">
        <f t="shared" ref="GG36:GH36" si="207">SUM(GG33:GG35)</f>
        <v>0</v>
      </c>
      <c r="GH36" s="417">
        <f t="shared" si="207"/>
        <v>0</v>
      </c>
    </row>
    <row r="37" spans="1:190" s="86" customFormat="1" x14ac:dyDescent="0.25">
      <c r="A37" s="367"/>
      <c r="B37" s="345"/>
      <c r="C37" s="345"/>
      <c r="D37" s="345"/>
      <c r="E37" s="346"/>
      <c r="F37" s="348"/>
      <c r="G37" s="348"/>
      <c r="H37" s="348"/>
      <c r="I37" s="357"/>
      <c r="J37" s="346"/>
      <c r="K37" s="348"/>
      <c r="L37" s="348"/>
      <c r="M37" s="348"/>
      <c r="N37" s="357"/>
      <c r="O37" s="346"/>
      <c r="P37" s="348"/>
      <c r="Q37" s="348"/>
      <c r="R37" s="348"/>
      <c r="S37" s="357"/>
      <c r="T37" s="346"/>
      <c r="U37" s="348"/>
      <c r="V37" s="348"/>
      <c r="W37" s="348"/>
      <c r="X37" s="357"/>
      <c r="Y37" s="346"/>
      <c r="Z37" s="348"/>
      <c r="AA37" s="348"/>
      <c r="AB37" s="348"/>
      <c r="AC37" s="357"/>
      <c r="AD37" s="663"/>
      <c r="AE37" s="663"/>
      <c r="AF37" s="663"/>
      <c r="AG37" s="663"/>
      <c r="AH37" s="357"/>
      <c r="AI37" s="346"/>
      <c r="AJ37" s="348"/>
      <c r="AK37" s="348"/>
      <c r="AL37" s="348"/>
      <c r="AM37" s="717"/>
      <c r="AN37" s="346"/>
      <c r="AO37" s="348"/>
      <c r="AP37" s="348"/>
      <c r="AQ37" s="348"/>
      <c r="AR37" s="717"/>
      <c r="AS37" s="346"/>
      <c r="AT37" s="348"/>
      <c r="AU37" s="348"/>
      <c r="AV37" s="348"/>
      <c r="AW37" s="717"/>
      <c r="AX37" s="346"/>
      <c r="AY37" s="348"/>
      <c r="AZ37" s="348"/>
      <c r="BA37" s="348"/>
      <c r="BB37" s="717"/>
      <c r="BC37" s="346"/>
      <c r="BD37" s="348"/>
      <c r="BE37" s="348"/>
      <c r="BF37" s="348"/>
      <c r="BG37" s="717"/>
      <c r="BH37" s="346"/>
      <c r="BI37" s="348"/>
      <c r="BJ37" s="348"/>
      <c r="BK37" s="348"/>
      <c r="BL37" s="717"/>
      <c r="BM37" s="346"/>
      <c r="BN37" s="348"/>
      <c r="BO37" s="348"/>
      <c r="BP37" s="348"/>
      <c r="BQ37" s="966"/>
      <c r="BR37" s="346"/>
      <c r="BS37" s="348"/>
      <c r="BT37" s="348"/>
      <c r="BU37" s="348"/>
      <c r="BV37" s="966"/>
      <c r="BW37" s="347"/>
      <c r="BX37" s="347"/>
      <c r="BY37" s="347"/>
      <c r="BZ37" s="347"/>
      <c r="CA37" s="347"/>
      <c r="CB37" s="349"/>
      <c r="CC37" s="396"/>
      <c r="CD37" s="373"/>
      <c r="CE37" s="396"/>
      <c r="CF37" s="373"/>
      <c r="CG37" s="396"/>
      <c r="CH37" s="373"/>
      <c r="CI37" s="393"/>
      <c r="CJ37" s="374"/>
      <c r="CK37" s="374"/>
      <c r="CL37" s="394"/>
      <c r="CM37" s="393"/>
      <c r="CN37" s="374"/>
      <c r="CO37" s="374"/>
      <c r="CP37" s="394"/>
      <c r="CQ37" s="393"/>
      <c r="CR37" s="374"/>
      <c r="CS37" s="374"/>
      <c r="CT37" s="394"/>
      <c r="CU37" s="393"/>
      <c r="CV37" s="374"/>
      <c r="CW37" s="374"/>
      <c r="CX37" s="394"/>
      <c r="CY37" s="393"/>
      <c r="CZ37" s="374"/>
      <c r="DA37" s="374"/>
      <c r="DB37" s="394"/>
      <c r="DC37" s="374"/>
      <c r="DD37" s="374"/>
      <c r="DE37" s="374"/>
      <c r="DF37" s="394"/>
      <c r="DG37" s="374"/>
      <c r="DH37" s="374"/>
      <c r="DI37" s="374"/>
      <c r="DJ37" s="394"/>
      <c r="DK37" s="374"/>
      <c r="DL37" s="374"/>
      <c r="DM37" s="374"/>
      <c r="DN37" s="394"/>
      <c r="DO37" s="374"/>
      <c r="DP37" s="374"/>
      <c r="DQ37" s="374"/>
      <c r="DR37" s="394"/>
      <c r="DS37" s="393"/>
      <c r="DT37" s="374"/>
      <c r="DU37" s="374"/>
      <c r="DV37" s="394"/>
      <c r="DW37" s="393"/>
      <c r="DX37" s="374"/>
      <c r="DY37" s="374"/>
      <c r="DZ37" s="394"/>
      <c r="EA37" s="393"/>
      <c r="EB37" s="374"/>
      <c r="EC37" s="374"/>
      <c r="ED37" s="394"/>
      <c r="EE37" s="393"/>
      <c r="EF37" s="374"/>
      <c r="EG37" s="374"/>
      <c r="EH37" s="394"/>
      <c r="EI37" s="393"/>
      <c r="EJ37" s="374"/>
      <c r="EK37" s="374"/>
      <c r="EL37" s="394"/>
      <c r="EM37" s="417"/>
      <c r="EN37" s="417"/>
      <c r="EO37" s="417"/>
      <c r="EP37" s="417"/>
      <c r="EQ37" s="417"/>
      <c r="EU37" s="417"/>
      <c r="EV37" s="417"/>
      <c r="EW37" s="417"/>
      <c r="EX37" s="417"/>
      <c r="EY37" s="417"/>
      <c r="EZ37" s="417"/>
      <c r="FA37" s="417"/>
      <c r="FB37" s="417"/>
      <c r="FC37" s="417"/>
      <c r="FD37" s="417"/>
      <c r="FE37" s="417"/>
      <c r="FF37" s="417"/>
      <c r="FG37" s="417"/>
      <c r="FH37" s="417"/>
      <c r="FI37" s="417"/>
      <c r="FJ37" s="417"/>
      <c r="FK37" s="417"/>
      <c r="FL37" s="417"/>
      <c r="FM37" s="417"/>
      <c r="FP37" s="417"/>
      <c r="FQ37" s="417"/>
      <c r="FR37" s="417"/>
      <c r="FS37" s="417"/>
      <c r="FT37" s="417"/>
      <c r="FU37" s="417"/>
      <c r="FV37" s="417"/>
      <c r="FW37" s="417"/>
      <c r="FX37" s="417"/>
      <c r="FY37" s="417"/>
      <c r="FZ37" s="417"/>
      <c r="GA37" s="417"/>
      <c r="GB37" s="417"/>
      <c r="GC37" s="417"/>
      <c r="GD37" s="417"/>
      <c r="GE37" s="417"/>
      <c r="GF37" s="417"/>
      <c r="GG37" s="417"/>
      <c r="GH37" s="417"/>
    </row>
    <row r="38" spans="1:190" x14ac:dyDescent="0.25">
      <c r="A38" s="367" t="s">
        <v>690</v>
      </c>
      <c r="B38" s="345"/>
      <c r="C38" s="345"/>
      <c r="D38" s="345"/>
      <c r="E38" s="388"/>
      <c r="F38" s="377"/>
      <c r="G38" s="377"/>
      <c r="H38" s="377"/>
      <c r="I38" s="357"/>
      <c r="J38" s="388"/>
      <c r="K38" s="377"/>
      <c r="L38" s="377"/>
      <c r="M38" s="377"/>
      <c r="N38" s="357"/>
      <c r="O38" s="388"/>
      <c r="P38" s="377"/>
      <c r="Q38" s="377"/>
      <c r="R38" s="377"/>
      <c r="S38" s="357"/>
      <c r="T38" s="388"/>
      <c r="U38" s="377"/>
      <c r="V38" s="377"/>
      <c r="W38" s="377"/>
      <c r="X38" s="357"/>
      <c r="Y38" s="388"/>
      <c r="Z38" s="377"/>
      <c r="AA38" s="377"/>
      <c r="AB38" s="377"/>
      <c r="AC38" s="357"/>
      <c r="AD38" s="663"/>
      <c r="AE38" s="663"/>
      <c r="AF38" s="663"/>
      <c r="AG38" s="663"/>
      <c r="AH38" s="357"/>
      <c r="AI38" s="388"/>
      <c r="AJ38" s="377"/>
      <c r="AK38" s="377"/>
      <c r="AL38" s="377"/>
      <c r="AM38" s="716"/>
      <c r="AN38" s="388"/>
      <c r="AO38" s="377"/>
      <c r="AP38" s="377"/>
      <c r="AQ38" s="377"/>
      <c r="AR38" s="716"/>
      <c r="AS38" s="388"/>
      <c r="AT38" s="377"/>
      <c r="AU38" s="377"/>
      <c r="AV38" s="377"/>
      <c r="AW38" s="716"/>
      <c r="AX38" s="388"/>
      <c r="AY38" s="377"/>
      <c r="AZ38" s="377"/>
      <c r="BA38" s="377"/>
      <c r="BB38" s="716"/>
      <c r="BC38" s="388"/>
      <c r="BD38" s="377"/>
      <c r="BE38" s="377"/>
      <c r="BF38" s="377"/>
      <c r="BG38" s="716"/>
      <c r="BH38" s="388"/>
      <c r="BI38" s="377"/>
      <c r="BJ38" s="377"/>
      <c r="BK38" s="377"/>
      <c r="BL38" s="716"/>
      <c r="BM38" s="388"/>
      <c r="BN38" s="377"/>
      <c r="BO38" s="377"/>
      <c r="BP38" s="377"/>
      <c r="BQ38" s="969"/>
      <c r="BR38" s="388"/>
      <c r="BS38" s="377"/>
      <c r="BT38" s="377"/>
      <c r="BU38" s="377"/>
      <c r="BV38" s="969"/>
      <c r="BW38" s="391"/>
      <c r="BX38" s="391"/>
      <c r="BY38" s="391"/>
      <c r="BZ38" s="391"/>
      <c r="CA38" s="391"/>
      <c r="CB38" s="378"/>
      <c r="CC38" s="398"/>
      <c r="CD38" s="379"/>
      <c r="CE38" s="398"/>
      <c r="CF38" s="379"/>
      <c r="CG38" s="398"/>
      <c r="CH38" s="379"/>
      <c r="CI38" s="407"/>
      <c r="CJ38" s="380"/>
      <c r="CK38" s="380"/>
      <c r="CL38" s="408"/>
      <c r="CM38" s="407"/>
      <c r="CN38" s="380"/>
      <c r="CO38" s="380"/>
      <c r="CP38" s="408"/>
      <c r="CQ38" s="407"/>
      <c r="CR38" s="380"/>
      <c r="CS38" s="380"/>
      <c r="CT38" s="408"/>
      <c r="CU38" s="407"/>
      <c r="CV38" s="380"/>
      <c r="CW38" s="380"/>
      <c r="CX38" s="408"/>
      <c r="CY38" s="407"/>
      <c r="CZ38" s="380"/>
      <c r="DA38" s="380"/>
      <c r="DB38" s="408"/>
      <c r="DC38" s="380"/>
      <c r="DD38" s="380"/>
      <c r="DE38" s="380"/>
      <c r="DF38" s="408"/>
      <c r="DG38" s="380"/>
      <c r="DH38" s="380"/>
      <c r="DI38" s="380"/>
      <c r="DJ38" s="408"/>
      <c r="DK38" s="380"/>
      <c r="DL38" s="380"/>
      <c r="DM38" s="380"/>
      <c r="DN38" s="408"/>
      <c r="DO38" s="380"/>
      <c r="DP38" s="380"/>
      <c r="DQ38" s="380"/>
      <c r="DR38" s="408"/>
      <c r="DS38" s="407"/>
      <c r="DT38" s="380"/>
      <c r="DU38" s="380"/>
      <c r="DV38" s="408"/>
      <c r="DW38" s="407"/>
      <c r="DX38" s="380"/>
      <c r="DY38" s="380"/>
      <c r="DZ38" s="408"/>
      <c r="EA38" s="407"/>
      <c r="EB38" s="380"/>
      <c r="EC38" s="380"/>
      <c r="ED38" s="408"/>
      <c r="EE38" s="407"/>
      <c r="EF38" s="380"/>
      <c r="EG38" s="380"/>
      <c r="EH38" s="408"/>
      <c r="EI38" s="407"/>
      <c r="EJ38" s="380"/>
      <c r="EK38" s="380"/>
      <c r="EL38" s="408"/>
      <c r="EM38" s="419"/>
      <c r="EN38" s="419"/>
      <c r="EO38" s="419"/>
      <c r="EP38" s="419"/>
      <c r="EQ38" s="419"/>
      <c r="EU38" s="419"/>
      <c r="EV38" s="419"/>
      <c r="EW38" s="419"/>
      <c r="EX38" s="419"/>
      <c r="EY38" s="419"/>
      <c r="EZ38" s="419"/>
      <c r="FA38" s="419"/>
      <c r="FB38" s="419"/>
      <c r="FC38" s="419"/>
      <c r="FD38" s="419"/>
      <c r="FE38" s="419"/>
      <c r="FF38" s="419"/>
      <c r="FG38" s="419"/>
      <c r="FH38" s="419"/>
      <c r="FI38" s="419"/>
      <c r="FJ38" s="419"/>
      <c r="FK38" s="419"/>
      <c r="FL38" s="419"/>
      <c r="FM38" s="419"/>
      <c r="FP38" s="419"/>
      <c r="FQ38" s="419"/>
      <c r="FR38" s="419"/>
      <c r="FS38" s="419"/>
      <c r="FT38" s="419"/>
      <c r="FU38" s="419"/>
      <c r="FV38" s="419"/>
      <c r="FW38" s="419"/>
      <c r="FX38" s="419"/>
      <c r="FY38" s="419"/>
      <c r="FZ38" s="419"/>
      <c r="GA38" s="419"/>
      <c r="GB38" s="419"/>
      <c r="GC38" s="419"/>
      <c r="GD38" s="419"/>
      <c r="GE38" s="419"/>
      <c r="GF38" s="419"/>
      <c r="GG38" s="419"/>
      <c r="GH38" s="419"/>
    </row>
    <row r="39" spans="1:190" s="138" customFormat="1" outlineLevel="1" x14ac:dyDescent="0.25">
      <c r="A39" s="361"/>
      <c r="B39" s="368" t="s">
        <v>654</v>
      </c>
      <c r="C39" s="368"/>
      <c r="D39" s="368"/>
      <c r="E39" s="386"/>
      <c r="F39" s="369"/>
      <c r="G39" s="369"/>
      <c r="H39" s="579"/>
      <c r="I39" s="357">
        <f>SUM(E39:H39)/4</f>
        <v>0</v>
      </c>
      <c r="J39" s="386"/>
      <c r="K39" s="369"/>
      <c r="L39" s="369"/>
      <c r="M39" s="579"/>
      <c r="N39" s="357">
        <f>SUM(J39:M39)/4</f>
        <v>0</v>
      </c>
      <c r="O39" s="386"/>
      <c r="P39" s="369"/>
      <c r="Q39" s="369"/>
      <c r="R39" s="579"/>
      <c r="S39" s="357">
        <f>SUM(O39:R39)/4</f>
        <v>0</v>
      </c>
      <c r="T39" s="386"/>
      <c r="U39" s="369"/>
      <c r="V39" s="369"/>
      <c r="W39" s="579"/>
      <c r="X39" s="357">
        <f>SUM(T39:W39)/4</f>
        <v>0</v>
      </c>
      <c r="Y39" s="386"/>
      <c r="Z39" s="369"/>
      <c r="AA39" s="369"/>
      <c r="AB39" s="579"/>
      <c r="AC39" s="357">
        <f>SUM(Y39:AB39)/4</f>
        <v>0</v>
      </c>
      <c r="AD39" s="386"/>
      <c r="AE39" s="369"/>
      <c r="AF39" s="369"/>
      <c r="AG39" s="579"/>
      <c r="AH39" s="357">
        <f>SUM(AD39:AG39)/4</f>
        <v>0</v>
      </c>
      <c r="AI39" s="386"/>
      <c r="AJ39" s="369"/>
      <c r="AK39" s="369"/>
      <c r="AL39" s="369"/>
      <c r="AM39" s="357">
        <f>SUM(AI39:AL39)/4</f>
        <v>0</v>
      </c>
      <c r="AN39" s="386"/>
      <c r="AO39" s="369"/>
      <c r="AP39" s="369"/>
      <c r="AQ39" s="369"/>
      <c r="AR39" s="357">
        <f>SUM(AN39:AQ39)/4</f>
        <v>0</v>
      </c>
      <c r="AS39" s="386"/>
      <c r="AT39" s="369"/>
      <c r="AU39" s="369"/>
      <c r="AV39" s="369"/>
      <c r="AW39" s="357">
        <f>SUM(AS39:AV39)/4</f>
        <v>0</v>
      </c>
      <c r="AX39" s="386"/>
      <c r="AY39" s="369"/>
      <c r="AZ39" s="369"/>
      <c r="BA39" s="369"/>
      <c r="BB39" s="357">
        <f>SUM(AX39:BA39)/4</f>
        <v>0</v>
      </c>
      <c r="BC39" s="386"/>
      <c r="BD39" s="369"/>
      <c r="BE39" s="369"/>
      <c r="BF39" s="369"/>
      <c r="BG39" s="357">
        <f>SUM(BC39:BF39)/4</f>
        <v>0</v>
      </c>
      <c r="BH39" s="386"/>
      <c r="BI39" s="369"/>
      <c r="BJ39" s="369"/>
      <c r="BK39" s="369"/>
      <c r="BL39" s="357">
        <f>SUM(BH39:BK39)/4</f>
        <v>0</v>
      </c>
      <c r="BM39" s="386"/>
      <c r="BN39" s="369"/>
      <c r="BO39" s="369"/>
      <c r="BP39" s="369"/>
      <c r="BQ39" s="964">
        <f>SUM(BM39:BP39)/4</f>
        <v>0</v>
      </c>
      <c r="BR39" s="386"/>
      <c r="BS39" s="369"/>
      <c r="BT39" s="369"/>
      <c r="BU39" s="369"/>
      <c r="BV39" s="964">
        <f>SUM(BR39:BU39)/4</f>
        <v>0</v>
      </c>
      <c r="BW39" s="463"/>
      <c r="BX39" s="463"/>
      <c r="BY39" s="463"/>
      <c r="BZ39" s="463"/>
      <c r="CA39" s="463"/>
      <c r="CB39" s="370"/>
      <c r="CC39" s="395">
        <v>158</v>
      </c>
      <c r="CD39" s="371">
        <v>0.02</v>
      </c>
      <c r="CE39" s="395">
        <f>CC39*(1+CD39)^2</f>
        <v>164.38319999999999</v>
      </c>
      <c r="CF39" s="371">
        <v>0.02</v>
      </c>
      <c r="CG39" s="395">
        <f>CE39*(1+CF39)^2</f>
        <v>171.02428128</v>
      </c>
      <c r="CH39" s="371">
        <v>0.02</v>
      </c>
      <c r="CI39" s="405">
        <f t="shared" ref="CI39:CI42" si="208">(E39*$CC39*(1+$CD39)^CI$6)/4</f>
        <v>0</v>
      </c>
      <c r="CJ39" s="372">
        <f t="shared" ref="CJ39:CJ42" si="209">(F39*$CC39*(1+$CD39)^CJ$6)/4</f>
        <v>0</v>
      </c>
      <c r="CK39" s="372">
        <f t="shared" ref="CK39:CK42" si="210">(G39*$CC39*(1+$CD39)^CK$6)/4</f>
        <v>0</v>
      </c>
      <c r="CL39" s="406">
        <f t="shared" ref="CL39:CL42" si="211">(H39*$CC39*(1+$CD39)^CL$6)/4</f>
        <v>0</v>
      </c>
      <c r="CM39" s="405">
        <f t="shared" ref="CM39:CM42" si="212">(J39*$CC39*(1+$CD39)^CM$6)/4</f>
        <v>0</v>
      </c>
      <c r="CN39" s="372">
        <f t="shared" ref="CN39:CN42" si="213">(K39*$CC39*(1+$CD39)^CN$6)/4</f>
        <v>0</v>
      </c>
      <c r="CO39" s="372">
        <f t="shared" ref="CO39:CO42" si="214">(L39*$CC39*(1+$CD39)^CO$6)/4</f>
        <v>0</v>
      </c>
      <c r="CP39" s="406">
        <f t="shared" ref="CP39:CP42" si="215">(M39*$CC39*(1+$CD39)^CP$6)/4</f>
        <v>0</v>
      </c>
      <c r="CQ39" s="405">
        <f t="shared" ref="CQ39:CT42" si="216">(O39*$CE39*(1+$CF39)^CQ$6)/4</f>
        <v>0</v>
      </c>
      <c r="CR39" s="372">
        <f t="shared" si="216"/>
        <v>0</v>
      </c>
      <c r="CS39" s="372">
        <f t="shared" si="216"/>
        <v>0</v>
      </c>
      <c r="CT39" s="406">
        <f t="shared" si="216"/>
        <v>0</v>
      </c>
      <c r="CU39" s="405">
        <f t="shared" ref="CU39:CX42" si="217">(T39*$CE39*(1+$CF39)^CU$6)/4</f>
        <v>0</v>
      </c>
      <c r="CV39" s="372">
        <f t="shared" si="217"/>
        <v>0</v>
      </c>
      <c r="CW39" s="372">
        <f t="shared" si="217"/>
        <v>0</v>
      </c>
      <c r="CX39" s="406">
        <f t="shared" si="217"/>
        <v>0</v>
      </c>
      <c r="CY39" s="405">
        <f t="shared" ref="CY39:DB42" si="218">(Y39*$CE39*(1+$CF39)^CY$6)/4</f>
        <v>0</v>
      </c>
      <c r="CZ39" s="372">
        <f t="shared" si="218"/>
        <v>0</v>
      </c>
      <c r="DA39" s="372">
        <f t="shared" si="218"/>
        <v>0</v>
      </c>
      <c r="DB39" s="406">
        <f t="shared" si="218"/>
        <v>0</v>
      </c>
      <c r="DC39" s="405">
        <f t="shared" ref="DC39:DF42" si="219">(AD39*$CE39*(1+$CF39)^DC$6)/4</f>
        <v>0</v>
      </c>
      <c r="DD39" s="372">
        <f t="shared" si="219"/>
        <v>0</v>
      </c>
      <c r="DE39" s="372">
        <f t="shared" si="219"/>
        <v>0</v>
      </c>
      <c r="DF39" s="668">
        <f t="shared" si="219"/>
        <v>0</v>
      </c>
      <c r="DG39" s="405">
        <f t="shared" ref="DG39:DJ42" si="220">(AI39*$CE39*(1+$CF39)^DG$6)/4</f>
        <v>0</v>
      </c>
      <c r="DH39" s="372">
        <f t="shared" si="220"/>
        <v>0</v>
      </c>
      <c r="DI39" s="372">
        <f t="shared" si="220"/>
        <v>0</v>
      </c>
      <c r="DJ39" s="668">
        <f t="shared" si="220"/>
        <v>0</v>
      </c>
      <c r="DK39" s="673">
        <f t="shared" ref="DK39:DN42" si="221">(AN39*$CE39*(1+$CF39)^DK$6)/4</f>
        <v>0</v>
      </c>
      <c r="DL39" s="671">
        <f t="shared" si="221"/>
        <v>0</v>
      </c>
      <c r="DM39" s="671">
        <f t="shared" si="221"/>
        <v>0</v>
      </c>
      <c r="DN39" s="668">
        <f t="shared" si="221"/>
        <v>0</v>
      </c>
      <c r="DO39" s="673">
        <f t="shared" ref="DO39:DR42" si="222">(AS39*$CE39*(1+$CF39)^DO$6)/4</f>
        <v>0</v>
      </c>
      <c r="DP39" s="671">
        <f t="shared" si="222"/>
        <v>0</v>
      </c>
      <c r="DQ39" s="671">
        <f t="shared" si="222"/>
        <v>0</v>
      </c>
      <c r="DR39" s="668">
        <f t="shared" si="222"/>
        <v>0</v>
      </c>
      <c r="DS39" s="673">
        <f t="shared" ref="DS39:DV42" si="223">(AX39*$CE39*(1+$CF39)^DS$6)/4</f>
        <v>0</v>
      </c>
      <c r="DT39" s="671">
        <f t="shared" si="223"/>
        <v>0</v>
      </c>
      <c r="DU39" s="671">
        <f t="shared" si="223"/>
        <v>0</v>
      </c>
      <c r="DV39" s="668">
        <f t="shared" si="223"/>
        <v>0</v>
      </c>
      <c r="DW39" s="673">
        <f t="shared" ref="DW39:DZ42" si="224">(BC39*$CE39*(1+$CF39)^DW$6)/4</f>
        <v>0</v>
      </c>
      <c r="DX39" s="671">
        <f t="shared" si="224"/>
        <v>0</v>
      </c>
      <c r="DY39" s="671">
        <f t="shared" si="224"/>
        <v>0</v>
      </c>
      <c r="DZ39" s="668">
        <f t="shared" si="224"/>
        <v>0</v>
      </c>
      <c r="EA39" s="673">
        <f t="shared" ref="EA39:ED42" si="225">(BH39*$CE39*(1+$CF39)^EA$6)/4</f>
        <v>0</v>
      </c>
      <c r="EB39" s="671">
        <f t="shared" si="225"/>
        <v>0</v>
      </c>
      <c r="EC39" s="671">
        <f t="shared" si="225"/>
        <v>0</v>
      </c>
      <c r="ED39" s="668">
        <f t="shared" si="225"/>
        <v>0</v>
      </c>
      <c r="EE39" s="673">
        <f t="shared" ref="EE39:EH42" si="226">(BM39*$CE39*(1+$CF39)^EE$6)/4</f>
        <v>0</v>
      </c>
      <c r="EF39" s="671">
        <f t="shared" si="226"/>
        <v>0</v>
      </c>
      <c r="EG39" s="671">
        <f t="shared" si="226"/>
        <v>0</v>
      </c>
      <c r="EH39" s="668">
        <f t="shared" si="226"/>
        <v>0</v>
      </c>
      <c r="EI39" s="673">
        <f t="shared" ref="EI39:EL42" si="227">(BR39*$CE39*(1+$CF39)^EI$6)/4</f>
        <v>0</v>
      </c>
      <c r="EJ39" s="671">
        <f t="shared" si="227"/>
        <v>0</v>
      </c>
      <c r="EK39" s="671">
        <f t="shared" si="227"/>
        <v>0</v>
      </c>
      <c r="EL39" s="668">
        <f t="shared" si="227"/>
        <v>0</v>
      </c>
      <c r="EM39" s="416">
        <f t="shared" ref="EM39:EQ42" si="228">(BW39*$CE39*(1+$CF39)^EM$6)</f>
        <v>0</v>
      </c>
      <c r="EN39" s="416">
        <f t="shared" si="228"/>
        <v>0</v>
      </c>
      <c r="EO39" s="416">
        <f t="shared" si="228"/>
        <v>0</v>
      </c>
      <c r="EP39" s="416">
        <f t="shared" si="228"/>
        <v>0</v>
      </c>
      <c r="EQ39" s="416">
        <f t="shared" si="228"/>
        <v>0</v>
      </c>
      <c r="EU39" s="416">
        <f>SUM(CI39:CL39)</f>
        <v>0</v>
      </c>
      <c r="EV39" s="416">
        <f>SUM(CM39:CP39)</f>
        <v>0</v>
      </c>
      <c r="EW39" s="416">
        <f>SUM(CQ39:CT39)</f>
        <v>0</v>
      </c>
      <c r="EX39" s="416">
        <f>SUM(CU39:CX39)</f>
        <v>0</v>
      </c>
      <c r="EY39" s="416">
        <f>SUM(CY39:DB39)</f>
        <v>0</v>
      </c>
      <c r="EZ39" s="416">
        <f>SUM(DC39:DF39)</f>
        <v>0</v>
      </c>
      <c r="FA39" s="416">
        <f>SUM(DG39:DJ39)</f>
        <v>0</v>
      </c>
      <c r="FB39" s="416">
        <f>SUM(DK39:DN39)</f>
        <v>0</v>
      </c>
      <c r="FC39" s="416">
        <f>SUM(DO39:DR39)</f>
        <v>0</v>
      </c>
      <c r="FD39" s="416">
        <f>SUM(DS39:DV39)</f>
        <v>0</v>
      </c>
      <c r="FE39" s="416">
        <f>SUM(DW39:DZ39)</f>
        <v>0</v>
      </c>
      <c r="FF39" s="416">
        <f>SUM(EA39:ED39)</f>
        <v>0</v>
      </c>
      <c r="FG39" s="416">
        <f t="shared" ref="FG39:FG42" si="229">SUM(EE39:EH39)</f>
        <v>0</v>
      </c>
      <c r="FH39" s="416">
        <f t="shared" ref="FH39:FH42" si="230">SUM(EI39:EL39)</f>
        <v>0</v>
      </c>
      <c r="FI39" s="416">
        <f t="shared" ref="FI39:FK42" si="231">EM39</f>
        <v>0</v>
      </c>
      <c r="FJ39" s="416">
        <f t="shared" si="231"/>
        <v>0</v>
      </c>
      <c r="FK39" s="416">
        <f t="shared" si="231"/>
        <v>0</v>
      </c>
      <c r="FL39" s="416">
        <f t="shared" ref="FL39:FM42" si="232">EP39</f>
        <v>0</v>
      </c>
      <c r="FM39" s="416">
        <f t="shared" si="232"/>
        <v>0</v>
      </c>
      <c r="FP39" s="416">
        <f>SUMIF(CI$5:CL$5,TRUE,CI39:CL39)</f>
        <v>0</v>
      </c>
      <c r="FQ39" s="416">
        <f>SUMIF(CM$5:CP$5,TRUE,CM39:CP39)</f>
        <v>0</v>
      </c>
      <c r="FR39" s="416">
        <f>SUMIF(CQ$5:CT$5,TRUE,CQ39:CT39)</f>
        <v>0</v>
      </c>
      <c r="FS39" s="416">
        <f>SUMIF(CU$5:CX$5,TRUE,CU39:CX39)</f>
        <v>0</v>
      </c>
      <c r="FT39" s="416">
        <f>SUMIF(CY$5:DB$5,TRUE,CY39:DB39)</f>
        <v>0</v>
      </c>
      <c r="FU39" s="416">
        <f>SUMIF(DC$5:DF$5,TRUE,DC39:DF39)</f>
        <v>0</v>
      </c>
      <c r="FV39" s="416">
        <f>SUMIF(DG$5:DJ$5,TRUE,DG39:DJ39)</f>
        <v>0</v>
      </c>
      <c r="FW39" s="416">
        <f>SUMIF(DK$5:DN$5,TRUE,DK39:DN39)</f>
        <v>0</v>
      </c>
      <c r="FX39" s="416">
        <f>SUMIF(DO$5:DR$5,TRUE,DO39:DR39)</f>
        <v>0</v>
      </c>
      <c r="FY39" s="416">
        <f>SUMIF(DS$5:DV$5,TRUE,DS39:DV39)</f>
        <v>0</v>
      </c>
      <c r="FZ39" s="416">
        <f>SUMIF(DW$5:DZ$5,TRUE,DW39:DZ39)</f>
        <v>0</v>
      </c>
      <c r="GA39" s="416">
        <f>SUMIF(EA$5:ED$5,TRUE,EA39:ED39)</f>
        <v>0</v>
      </c>
      <c r="GB39" s="416">
        <f t="shared" ref="GB39:GB41" si="233">SUMIF(EE$5:EH$5,TRUE,EE39:EH39)</f>
        <v>0</v>
      </c>
      <c r="GC39" s="416">
        <f t="shared" ref="GC39:GC41" si="234">SUMIF(EE$5:EH$5,TRUE,EE39:EH39)</f>
        <v>0</v>
      </c>
      <c r="GD39" s="416">
        <f t="shared" ref="GD39:GF42" si="235">IF(EM$5,EM39,0)</f>
        <v>0</v>
      </c>
      <c r="GE39" s="416">
        <f t="shared" si="235"/>
        <v>0</v>
      </c>
      <c r="GF39" s="416">
        <f t="shared" si="235"/>
        <v>0</v>
      </c>
      <c r="GG39" s="416">
        <f t="shared" ref="GG39:GH42" si="236">IF(EP$5,EP39,0)</f>
        <v>0</v>
      </c>
      <c r="GH39" s="416">
        <f t="shared" si="236"/>
        <v>0</v>
      </c>
    </row>
    <row r="40" spans="1:190" s="138" customFormat="1" outlineLevel="1" x14ac:dyDescent="0.25">
      <c r="A40" s="361"/>
      <c r="B40" s="368" t="s">
        <v>730</v>
      </c>
      <c r="C40" s="368"/>
      <c r="D40" s="368"/>
      <c r="E40" s="386"/>
      <c r="F40" s="369"/>
      <c r="G40" s="369"/>
      <c r="H40" s="579"/>
      <c r="I40" s="357">
        <f>SUM(E40:H40)/4</f>
        <v>0</v>
      </c>
      <c r="J40" s="386"/>
      <c r="K40" s="369"/>
      <c r="L40" s="369"/>
      <c r="M40" s="579"/>
      <c r="N40" s="357">
        <f>SUM(J40:M40)/4</f>
        <v>0</v>
      </c>
      <c r="O40" s="386"/>
      <c r="P40" s="369"/>
      <c r="Q40" s="369"/>
      <c r="R40" s="579"/>
      <c r="S40" s="357">
        <f>SUM(O40:R40)/4</f>
        <v>0</v>
      </c>
      <c r="T40" s="386"/>
      <c r="U40" s="369"/>
      <c r="V40" s="369"/>
      <c r="W40" s="579"/>
      <c r="X40" s="357">
        <f>SUM(T40:W40)/4</f>
        <v>0</v>
      </c>
      <c r="Y40" s="386"/>
      <c r="Z40" s="369"/>
      <c r="AA40" s="369"/>
      <c r="AB40" s="579"/>
      <c r="AC40" s="357">
        <f>SUM(Y40:AB40)/4</f>
        <v>0</v>
      </c>
      <c r="AD40" s="386"/>
      <c r="AE40" s="369"/>
      <c r="AF40" s="369"/>
      <c r="AG40" s="579"/>
      <c r="AH40" s="357">
        <f>SUM(AD40:AG40)/4</f>
        <v>0</v>
      </c>
      <c r="AI40" s="386"/>
      <c r="AJ40" s="369"/>
      <c r="AK40" s="369"/>
      <c r="AL40" s="369"/>
      <c r="AM40" s="357">
        <f>SUM(AI40:AL40)/4</f>
        <v>0</v>
      </c>
      <c r="AN40" s="386"/>
      <c r="AO40" s="369"/>
      <c r="AP40" s="369"/>
      <c r="AQ40" s="369"/>
      <c r="AR40" s="357">
        <f>SUM(AN40:AQ40)/4</f>
        <v>0</v>
      </c>
      <c r="AS40" s="386">
        <v>1</v>
      </c>
      <c r="AT40" s="386">
        <v>1</v>
      </c>
      <c r="AU40" s="386">
        <v>1</v>
      </c>
      <c r="AV40" s="386">
        <v>1</v>
      </c>
      <c r="AW40" s="357">
        <f>SUM(AS40:AV40)/4</f>
        <v>1</v>
      </c>
      <c r="AX40" s="386">
        <v>1</v>
      </c>
      <c r="AY40" s="386">
        <v>1</v>
      </c>
      <c r="AZ40" s="386">
        <v>1</v>
      </c>
      <c r="BA40" s="386">
        <v>1</v>
      </c>
      <c r="BB40" s="357">
        <f>SUM(AX40:BA40)/4</f>
        <v>1</v>
      </c>
      <c r="BC40" s="386">
        <v>1</v>
      </c>
      <c r="BD40" s="386">
        <v>1</v>
      </c>
      <c r="BE40" s="386">
        <v>1</v>
      </c>
      <c r="BF40" s="386">
        <v>1</v>
      </c>
      <c r="BG40" s="357">
        <f>SUM(BC40:BF40)/4</f>
        <v>1</v>
      </c>
      <c r="BH40" s="386">
        <v>1</v>
      </c>
      <c r="BI40" s="386">
        <v>1</v>
      </c>
      <c r="BJ40" s="386">
        <v>1</v>
      </c>
      <c r="BK40" s="386">
        <v>1</v>
      </c>
      <c r="BL40" s="357">
        <f>SUM(BH40:BK40)/4</f>
        <v>1</v>
      </c>
      <c r="BM40" s="386">
        <v>1</v>
      </c>
      <c r="BN40" s="369">
        <v>1</v>
      </c>
      <c r="BO40" s="369">
        <v>1</v>
      </c>
      <c r="BP40" s="369">
        <v>1</v>
      </c>
      <c r="BQ40" s="964">
        <f>SUM(BM40:BP40)/4</f>
        <v>1</v>
      </c>
      <c r="BR40" s="386">
        <v>1</v>
      </c>
      <c r="BS40" s="369">
        <v>1</v>
      </c>
      <c r="BT40" s="369">
        <v>1</v>
      </c>
      <c r="BU40" s="369">
        <v>1</v>
      </c>
      <c r="BV40" s="964">
        <f>SUM(BR40:BU40)/4</f>
        <v>1</v>
      </c>
      <c r="BW40" s="463">
        <v>1</v>
      </c>
      <c r="BX40" s="463">
        <v>1</v>
      </c>
      <c r="BY40" s="463">
        <v>1</v>
      </c>
      <c r="BZ40" s="463">
        <v>1</v>
      </c>
      <c r="CA40" s="463">
        <v>1</v>
      </c>
      <c r="CB40" s="370"/>
      <c r="CC40" s="395">
        <v>156</v>
      </c>
      <c r="CD40" s="371">
        <v>0.02</v>
      </c>
      <c r="CE40" s="395">
        <f t="shared" ref="CE40:CE42" si="237">CC40*(1+CD40)^2</f>
        <v>162.30240000000001</v>
      </c>
      <c r="CF40" s="371">
        <v>0.02</v>
      </c>
      <c r="CG40" s="395">
        <f t="shared" ref="CG40:CG42" si="238">CE40*(1+CF40)^2</f>
        <v>168.85941696</v>
      </c>
      <c r="CH40" s="371">
        <v>0.02</v>
      </c>
      <c r="CI40" s="405">
        <f t="shared" si="208"/>
        <v>0</v>
      </c>
      <c r="CJ40" s="372">
        <f t="shared" si="209"/>
        <v>0</v>
      </c>
      <c r="CK40" s="372">
        <f t="shared" si="210"/>
        <v>0</v>
      </c>
      <c r="CL40" s="406">
        <f t="shared" si="211"/>
        <v>0</v>
      </c>
      <c r="CM40" s="405">
        <f t="shared" si="212"/>
        <v>0</v>
      </c>
      <c r="CN40" s="372">
        <f t="shared" si="213"/>
        <v>0</v>
      </c>
      <c r="CO40" s="372">
        <f t="shared" si="214"/>
        <v>0</v>
      </c>
      <c r="CP40" s="406">
        <f t="shared" si="215"/>
        <v>0</v>
      </c>
      <c r="CQ40" s="405">
        <f t="shared" si="216"/>
        <v>0</v>
      </c>
      <c r="CR40" s="372">
        <f t="shared" si="216"/>
        <v>0</v>
      </c>
      <c r="CS40" s="372">
        <f t="shared" si="216"/>
        <v>0</v>
      </c>
      <c r="CT40" s="406">
        <f t="shared" si="216"/>
        <v>0</v>
      </c>
      <c r="CU40" s="405">
        <f t="shared" si="217"/>
        <v>0</v>
      </c>
      <c r="CV40" s="372">
        <f t="shared" si="217"/>
        <v>0</v>
      </c>
      <c r="CW40" s="372">
        <f t="shared" si="217"/>
        <v>0</v>
      </c>
      <c r="CX40" s="406">
        <f t="shared" si="217"/>
        <v>0</v>
      </c>
      <c r="CY40" s="405">
        <f t="shared" si="218"/>
        <v>0</v>
      </c>
      <c r="CZ40" s="372">
        <f t="shared" si="218"/>
        <v>0</v>
      </c>
      <c r="DA40" s="372">
        <f t="shared" si="218"/>
        <v>0</v>
      </c>
      <c r="DB40" s="406">
        <f t="shared" si="218"/>
        <v>0</v>
      </c>
      <c r="DC40" s="405">
        <f t="shared" si="219"/>
        <v>0</v>
      </c>
      <c r="DD40" s="372">
        <f t="shared" si="219"/>
        <v>0</v>
      </c>
      <c r="DE40" s="372">
        <f t="shared" si="219"/>
        <v>0</v>
      </c>
      <c r="DF40" s="668">
        <f t="shared" si="219"/>
        <v>0</v>
      </c>
      <c r="DG40" s="405">
        <f t="shared" si="220"/>
        <v>0</v>
      </c>
      <c r="DH40" s="372">
        <f t="shared" si="220"/>
        <v>0</v>
      </c>
      <c r="DI40" s="372">
        <f t="shared" si="220"/>
        <v>0</v>
      </c>
      <c r="DJ40" s="668">
        <f t="shared" si="220"/>
        <v>0</v>
      </c>
      <c r="DK40" s="673">
        <f t="shared" si="221"/>
        <v>0</v>
      </c>
      <c r="DL40" s="671">
        <f t="shared" si="221"/>
        <v>0</v>
      </c>
      <c r="DM40" s="671">
        <f t="shared" si="221"/>
        <v>0</v>
      </c>
      <c r="DN40" s="668">
        <f t="shared" si="221"/>
        <v>0</v>
      </c>
      <c r="DO40" s="673">
        <f t="shared" si="222"/>
        <v>45.694715859088362</v>
      </c>
      <c r="DP40" s="671">
        <f t="shared" si="222"/>
        <v>45.694715859088362</v>
      </c>
      <c r="DQ40" s="671">
        <f t="shared" si="222"/>
        <v>45.694715859088362</v>
      </c>
      <c r="DR40" s="668">
        <f t="shared" si="222"/>
        <v>45.694715859088362</v>
      </c>
      <c r="DS40" s="673">
        <f t="shared" si="223"/>
        <v>46.608610176270119</v>
      </c>
      <c r="DT40" s="671">
        <f t="shared" si="223"/>
        <v>46.608610176270119</v>
      </c>
      <c r="DU40" s="671">
        <f t="shared" si="223"/>
        <v>46.608610176270119</v>
      </c>
      <c r="DV40" s="668">
        <f t="shared" si="223"/>
        <v>46.608610176270119</v>
      </c>
      <c r="DW40" s="673">
        <f t="shared" si="224"/>
        <v>47.540782379795523</v>
      </c>
      <c r="DX40" s="671">
        <f t="shared" si="224"/>
        <v>47.540782379795523</v>
      </c>
      <c r="DY40" s="671">
        <f t="shared" si="224"/>
        <v>47.540782379795523</v>
      </c>
      <c r="DZ40" s="668">
        <f t="shared" si="224"/>
        <v>47.540782379795523</v>
      </c>
      <c r="EA40" s="673">
        <f t="shared" si="225"/>
        <v>48.49159802739144</v>
      </c>
      <c r="EB40" s="671">
        <f t="shared" si="225"/>
        <v>48.49159802739144</v>
      </c>
      <c r="EC40" s="671">
        <f t="shared" si="225"/>
        <v>48.49159802739144</v>
      </c>
      <c r="ED40" s="668">
        <f t="shared" si="225"/>
        <v>48.49159802739144</v>
      </c>
      <c r="EE40" s="673">
        <f t="shared" si="226"/>
        <v>49.461429987939269</v>
      </c>
      <c r="EF40" s="671">
        <f t="shared" si="226"/>
        <v>49.461429987939269</v>
      </c>
      <c r="EG40" s="671">
        <f t="shared" si="226"/>
        <v>49.461429987939269</v>
      </c>
      <c r="EH40" s="668">
        <f t="shared" si="226"/>
        <v>49.461429987939269</v>
      </c>
      <c r="EI40" s="673">
        <f t="shared" si="227"/>
        <v>50.450658587698044</v>
      </c>
      <c r="EJ40" s="671">
        <f t="shared" si="227"/>
        <v>50.450658587698044</v>
      </c>
      <c r="EK40" s="671">
        <f t="shared" si="227"/>
        <v>50.450658587698044</v>
      </c>
      <c r="EL40" s="668">
        <f t="shared" si="227"/>
        <v>50.450658587698044</v>
      </c>
      <c r="EM40" s="416">
        <f t="shared" si="228"/>
        <v>205.83868703780806</v>
      </c>
      <c r="EN40" s="416">
        <f t="shared" si="228"/>
        <v>209.9554607785642</v>
      </c>
      <c r="EO40" s="416">
        <f t="shared" si="228"/>
        <v>214.1545699941355</v>
      </c>
      <c r="EP40" s="416">
        <f t="shared" si="228"/>
        <v>218.43766139401816</v>
      </c>
      <c r="EQ40" s="416">
        <f t="shared" si="228"/>
        <v>222.80641462189857</v>
      </c>
      <c r="EU40" s="416">
        <f>SUM(CI40:CL40)</f>
        <v>0</v>
      </c>
      <c r="EV40" s="416">
        <f>SUM(CM40:CP40)</f>
        <v>0</v>
      </c>
      <c r="EW40" s="416">
        <f>SUM(CQ40:CT40)</f>
        <v>0</v>
      </c>
      <c r="EX40" s="416">
        <f>SUM(CU40:CX40)</f>
        <v>0</v>
      </c>
      <c r="EY40" s="416">
        <f>SUM(CY40:DB40)</f>
        <v>0</v>
      </c>
      <c r="EZ40" s="416">
        <f>SUM(DC40:DF40)</f>
        <v>0</v>
      </c>
      <c r="FA40" s="416">
        <f>SUM(DG40:DJ40)</f>
        <v>0</v>
      </c>
      <c r="FB40" s="416">
        <f>SUM(DK40:DN40)</f>
        <v>0</v>
      </c>
      <c r="FC40" s="416">
        <f>SUM(DO40:DR40)</f>
        <v>182.77886343635345</v>
      </c>
      <c r="FD40" s="416">
        <f>SUM(DS40:DV40)</f>
        <v>186.43444070508048</v>
      </c>
      <c r="FE40" s="416">
        <f>SUM(DW40:DZ40)</f>
        <v>190.16312951918209</v>
      </c>
      <c r="FF40" s="416">
        <f>SUM(EA40:ED40)</f>
        <v>193.96639210956576</v>
      </c>
      <c r="FG40" s="416">
        <f t="shared" si="229"/>
        <v>197.84571995175708</v>
      </c>
      <c r="FH40" s="416">
        <f t="shared" si="230"/>
        <v>201.80263435079218</v>
      </c>
      <c r="FI40" s="416">
        <f t="shared" si="231"/>
        <v>205.83868703780806</v>
      </c>
      <c r="FJ40" s="416">
        <f t="shared" si="231"/>
        <v>209.9554607785642</v>
      </c>
      <c r="FK40" s="416">
        <f t="shared" si="231"/>
        <v>214.1545699941355</v>
      </c>
      <c r="FL40" s="416">
        <f t="shared" si="232"/>
        <v>218.43766139401816</v>
      </c>
      <c r="FM40" s="416">
        <f t="shared" si="232"/>
        <v>222.80641462189857</v>
      </c>
      <c r="FP40" s="416">
        <f>SUMIF(CI$5:CL$5,TRUE,CI40:CL40)</f>
        <v>0</v>
      </c>
      <c r="FQ40" s="416">
        <f>SUMIF(CM$5:CP$5,TRUE,CM40:CP40)</f>
        <v>0</v>
      </c>
      <c r="FR40" s="416">
        <f>SUMIF(CQ$5:CT$5,TRUE,CQ40:CT40)</f>
        <v>0</v>
      </c>
      <c r="FS40" s="416">
        <f>SUMIF(CU$5:CX$5,TRUE,CU40:CX40)</f>
        <v>0</v>
      </c>
      <c r="FT40" s="416">
        <f>SUMIF(CY$5:DB$5,TRUE,CY40:DB40)</f>
        <v>0</v>
      </c>
      <c r="FU40" s="416">
        <f>SUMIF(DC$5:DF$5,TRUE,DC40:DF40)</f>
        <v>0</v>
      </c>
      <c r="FV40" s="416">
        <f>SUMIF(DG$5:DJ$5,TRUE,DG40:DJ40)</f>
        <v>0</v>
      </c>
      <c r="FW40" s="416">
        <f>SUMIF(DK$5:DN$5,TRUE,DK40:DN40)</f>
        <v>0</v>
      </c>
      <c r="FX40" s="416">
        <f>SUMIF(DO$5:DR$5,TRUE,DO40:DR40)</f>
        <v>45.694715859088362</v>
      </c>
      <c r="FY40" s="416">
        <f>SUMIF(DS$5:DV$5,TRUE,DS40:DV40)</f>
        <v>186.43444070508048</v>
      </c>
      <c r="FZ40" s="416">
        <f>SUMIF(DW$5:DZ$5,TRUE,DW40:DZ40)</f>
        <v>190.16312951918209</v>
      </c>
      <c r="GA40" s="416">
        <f>SUMIF(EA$5:ED$5,TRUE,EA40:ED40)</f>
        <v>193.96639210956576</v>
      </c>
      <c r="GB40" s="416">
        <f t="shared" si="233"/>
        <v>197.84571995175708</v>
      </c>
      <c r="GC40" s="416">
        <f t="shared" si="234"/>
        <v>197.84571995175708</v>
      </c>
      <c r="GD40" s="416">
        <f t="shared" si="235"/>
        <v>205.83868703780806</v>
      </c>
      <c r="GE40" s="416">
        <f t="shared" si="235"/>
        <v>209.9554607785642</v>
      </c>
      <c r="GF40" s="416">
        <f t="shared" si="235"/>
        <v>214.1545699941355</v>
      </c>
      <c r="GG40" s="416">
        <f t="shared" si="236"/>
        <v>218.43766139401816</v>
      </c>
      <c r="GH40" s="416">
        <f t="shared" si="236"/>
        <v>222.80641462189857</v>
      </c>
    </row>
    <row r="41" spans="1:190" s="138" customFormat="1" outlineLevel="1" x14ac:dyDescent="0.25">
      <c r="A41" s="361"/>
      <c r="B41" s="368" t="s">
        <v>421</v>
      </c>
      <c r="C41" s="368"/>
      <c r="D41" s="368"/>
      <c r="E41" s="386"/>
      <c r="F41" s="369"/>
      <c r="G41" s="369"/>
      <c r="H41" s="579"/>
      <c r="I41" s="357">
        <f>SUM(E41:H41)/4</f>
        <v>0</v>
      </c>
      <c r="J41" s="386"/>
      <c r="K41" s="369"/>
      <c r="L41" s="369"/>
      <c r="M41" s="579"/>
      <c r="N41" s="357">
        <f>SUM(J41:M41)/4</f>
        <v>0</v>
      </c>
      <c r="O41" s="386"/>
      <c r="P41" s="369"/>
      <c r="Q41" s="369"/>
      <c r="R41" s="579"/>
      <c r="S41" s="357">
        <f>SUM(O41:R41)/4</f>
        <v>0</v>
      </c>
      <c r="T41" s="386"/>
      <c r="U41" s="369"/>
      <c r="V41" s="369"/>
      <c r="W41" s="579"/>
      <c r="X41" s="357">
        <f>SUM(T41:W41)/4</f>
        <v>0</v>
      </c>
      <c r="Y41" s="386"/>
      <c r="Z41" s="369"/>
      <c r="AA41" s="369"/>
      <c r="AB41" s="579"/>
      <c r="AC41" s="357">
        <f>SUM(Y41:AB41)/4</f>
        <v>0</v>
      </c>
      <c r="AD41" s="386"/>
      <c r="AE41" s="369"/>
      <c r="AF41" s="369"/>
      <c r="AG41" s="579"/>
      <c r="AH41" s="357">
        <f>SUM(AD41:AG41)/4</f>
        <v>0</v>
      </c>
      <c r="AI41" s="386"/>
      <c r="AJ41" s="369"/>
      <c r="AK41" s="369"/>
      <c r="AL41" s="369"/>
      <c r="AM41" s="357">
        <f>SUM(AI41:AL41)/4</f>
        <v>0</v>
      </c>
      <c r="AN41" s="386"/>
      <c r="AO41" s="369"/>
      <c r="AP41" s="369"/>
      <c r="AQ41" s="369"/>
      <c r="AR41" s="357">
        <f>SUM(AN41:AQ41)/4</f>
        <v>0</v>
      </c>
      <c r="AS41" s="386"/>
      <c r="AT41" s="369"/>
      <c r="AU41" s="369"/>
      <c r="AV41" s="369"/>
      <c r="AW41" s="357">
        <f>SUM(AS41:AV41)/4</f>
        <v>0</v>
      </c>
      <c r="AX41" s="386"/>
      <c r="AY41" s="369"/>
      <c r="AZ41" s="369"/>
      <c r="BA41" s="369"/>
      <c r="BB41" s="357">
        <f>SUM(AX41:BA41)/4</f>
        <v>0</v>
      </c>
      <c r="BC41" s="386"/>
      <c r="BD41" s="369"/>
      <c r="BE41" s="369"/>
      <c r="BF41" s="369"/>
      <c r="BG41" s="357">
        <f>SUM(BC41:BF41)/4</f>
        <v>0</v>
      </c>
      <c r="BH41" s="386"/>
      <c r="BI41" s="369"/>
      <c r="BJ41" s="369"/>
      <c r="BK41" s="369"/>
      <c r="BL41" s="357">
        <f>SUM(BH41:BK41)/4</f>
        <v>0</v>
      </c>
      <c r="BM41" s="386"/>
      <c r="BN41" s="369"/>
      <c r="BO41" s="369"/>
      <c r="BP41" s="369"/>
      <c r="BQ41" s="967">
        <f>SUM(BM41:BP41)/4</f>
        <v>0</v>
      </c>
      <c r="BR41" s="386"/>
      <c r="BS41" s="369"/>
      <c r="BT41" s="369"/>
      <c r="BU41" s="369"/>
      <c r="BV41" s="967">
        <f>SUM(BR41:BU41)/4</f>
        <v>0</v>
      </c>
      <c r="BW41" s="389"/>
      <c r="BX41" s="389"/>
      <c r="BY41" s="389"/>
      <c r="BZ41" s="389"/>
      <c r="CA41" s="389"/>
      <c r="CB41" s="370"/>
      <c r="CC41" s="395">
        <v>126</v>
      </c>
      <c r="CD41" s="371">
        <v>0.02</v>
      </c>
      <c r="CE41" s="395">
        <f t="shared" si="237"/>
        <v>131.09039999999999</v>
      </c>
      <c r="CF41" s="371">
        <v>0.02</v>
      </c>
      <c r="CG41" s="395">
        <f t="shared" si="238"/>
        <v>136.38645215999998</v>
      </c>
      <c r="CH41" s="371">
        <v>0.02</v>
      </c>
      <c r="CI41" s="405">
        <f t="shared" si="208"/>
        <v>0</v>
      </c>
      <c r="CJ41" s="372">
        <f t="shared" si="209"/>
        <v>0</v>
      </c>
      <c r="CK41" s="372">
        <f t="shared" si="210"/>
        <v>0</v>
      </c>
      <c r="CL41" s="406">
        <f t="shared" si="211"/>
        <v>0</v>
      </c>
      <c r="CM41" s="405">
        <f t="shared" si="212"/>
        <v>0</v>
      </c>
      <c r="CN41" s="372">
        <f t="shared" si="213"/>
        <v>0</v>
      </c>
      <c r="CO41" s="372">
        <f t="shared" si="214"/>
        <v>0</v>
      </c>
      <c r="CP41" s="406">
        <f t="shared" si="215"/>
        <v>0</v>
      </c>
      <c r="CQ41" s="405">
        <f t="shared" si="216"/>
        <v>0</v>
      </c>
      <c r="CR41" s="372">
        <f t="shared" si="216"/>
        <v>0</v>
      </c>
      <c r="CS41" s="372">
        <f t="shared" si="216"/>
        <v>0</v>
      </c>
      <c r="CT41" s="406">
        <f t="shared" si="216"/>
        <v>0</v>
      </c>
      <c r="CU41" s="405">
        <f t="shared" si="217"/>
        <v>0</v>
      </c>
      <c r="CV41" s="372">
        <f t="shared" si="217"/>
        <v>0</v>
      </c>
      <c r="CW41" s="372">
        <f t="shared" si="217"/>
        <v>0</v>
      </c>
      <c r="CX41" s="406">
        <f t="shared" si="217"/>
        <v>0</v>
      </c>
      <c r="CY41" s="405">
        <f t="shared" si="218"/>
        <v>0</v>
      </c>
      <c r="CZ41" s="372">
        <f t="shared" si="218"/>
        <v>0</v>
      </c>
      <c r="DA41" s="372">
        <f t="shared" si="218"/>
        <v>0</v>
      </c>
      <c r="DB41" s="406">
        <f t="shared" si="218"/>
        <v>0</v>
      </c>
      <c r="DC41" s="405">
        <f t="shared" si="219"/>
        <v>0</v>
      </c>
      <c r="DD41" s="372">
        <f t="shared" si="219"/>
        <v>0</v>
      </c>
      <c r="DE41" s="372">
        <f t="shared" si="219"/>
        <v>0</v>
      </c>
      <c r="DF41" s="668">
        <f t="shared" si="219"/>
        <v>0</v>
      </c>
      <c r="DG41" s="405">
        <f t="shared" si="220"/>
        <v>0</v>
      </c>
      <c r="DH41" s="372">
        <f t="shared" si="220"/>
        <v>0</v>
      </c>
      <c r="DI41" s="372">
        <f t="shared" si="220"/>
        <v>0</v>
      </c>
      <c r="DJ41" s="668">
        <f t="shared" si="220"/>
        <v>0</v>
      </c>
      <c r="DK41" s="673">
        <f t="shared" si="221"/>
        <v>0</v>
      </c>
      <c r="DL41" s="671">
        <f t="shared" si="221"/>
        <v>0</v>
      </c>
      <c r="DM41" s="671">
        <f t="shared" si="221"/>
        <v>0</v>
      </c>
      <c r="DN41" s="668">
        <f t="shared" si="221"/>
        <v>0</v>
      </c>
      <c r="DO41" s="673">
        <f t="shared" si="222"/>
        <v>0</v>
      </c>
      <c r="DP41" s="671">
        <f t="shared" si="222"/>
        <v>0</v>
      </c>
      <c r="DQ41" s="671">
        <f t="shared" si="222"/>
        <v>0</v>
      </c>
      <c r="DR41" s="668">
        <f t="shared" si="222"/>
        <v>0</v>
      </c>
      <c r="DS41" s="673">
        <f t="shared" si="223"/>
        <v>0</v>
      </c>
      <c r="DT41" s="671">
        <f t="shared" si="223"/>
        <v>0</v>
      </c>
      <c r="DU41" s="671">
        <f t="shared" si="223"/>
        <v>0</v>
      </c>
      <c r="DV41" s="668">
        <f t="shared" si="223"/>
        <v>0</v>
      </c>
      <c r="DW41" s="673">
        <f t="shared" si="224"/>
        <v>0</v>
      </c>
      <c r="DX41" s="671">
        <f t="shared" si="224"/>
        <v>0</v>
      </c>
      <c r="DY41" s="671">
        <f t="shared" si="224"/>
        <v>0</v>
      </c>
      <c r="DZ41" s="668">
        <f t="shared" si="224"/>
        <v>0</v>
      </c>
      <c r="EA41" s="673">
        <f t="shared" si="225"/>
        <v>0</v>
      </c>
      <c r="EB41" s="671">
        <f t="shared" si="225"/>
        <v>0</v>
      </c>
      <c r="EC41" s="671">
        <f t="shared" si="225"/>
        <v>0</v>
      </c>
      <c r="ED41" s="668">
        <f t="shared" si="225"/>
        <v>0</v>
      </c>
      <c r="EE41" s="673">
        <f t="shared" si="226"/>
        <v>0</v>
      </c>
      <c r="EF41" s="671">
        <f t="shared" si="226"/>
        <v>0</v>
      </c>
      <c r="EG41" s="671">
        <f t="shared" si="226"/>
        <v>0</v>
      </c>
      <c r="EH41" s="668">
        <f t="shared" si="226"/>
        <v>0</v>
      </c>
      <c r="EI41" s="673">
        <f t="shared" si="227"/>
        <v>0</v>
      </c>
      <c r="EJ41" s="671">
        <f t="shared" si="227"/>
        <v>0</v>
      </c>
      <c r="EK41" s="671">
        <f t="shared" si="227"/>
        <v>0</v>
      </c>
      <c r="EL41" s="668">
        <f t="shared" si="227"/>
        <v>0</v>
      </c>
      <c r="EM41" s="416">
        <f t="shared" si="228"/>
        <v>0</v>
      </c>
      <c r="EN41" s="416">
        <f t="shared" si="228"/>
        <v>0</v>
      </c>
      <c r="EO41" s="416">
        <f t="shared" si="228"/>
        <v>0</v>
      </c>
      <c r="EP41" s="416">
        <f t="shared" si="228"/>
        <v>0</v>
      </c>
      <c r="EQ41" s="416">
        <f t="shared" si="228"/>
        <v>0</v>
      </c>
      <c r="EU41" s="416">
        <f>SUM(CI41:CL41)</f>
        <v>0</v>
      </c>
      <c r="EV41" s="416">
        <f>SUM(CM41:CP41)</f>
        <v>0</v>
      </c>
      <c r="EW41" s="416">
        <f>SUM(CQ41:CT41)</f>
        <v>0</v>
      </c>
      <c r="EX41" s="416">
        <f>SUM(CU41:CX41)</f>
        <v>0</v>
      </c>
      <c r="EY41" s="416">
        <f>SUM(CY41:DB41)</f>
        <v>0</v>
      </c>
      <c r="EZ41" s="416">
        <f>SUM(DC41:DF41)</f>
        <v>0</v>
      </c>
      <c r="FA41" s="416">
        <f>SUM(DG41:DJ41)</f>
        <v>0</v>
      </c>
      <c r="FB41" s="416">
        <f>SUM(DK41:DN41)</f>
        <v>0</v>
      </c>
      <c r="FC41" s="416">
        <f>SUM(DO41:DR41)</f>
        <v>0</v>
      </c>
      <c r="FD41" s="416">
        <f>SUM(DS41:DV41)</f>
        <v>0</v>
      </c>
      <c r="FE41" s="416">
        <f>SUM(DW41:DZ41)</f>
        <v>0</v>
      </c>
      <c r="FF41" s="416">
        <f>SUM(EA41:ED41)</f>
        <v>0</v>
      </c>
      <c r="FG41" s="416">
        <f t="shared" si="229"/>
        <v>0</v>
      </c>
      <c r="FH41" s="416">
        <f t="shared" si="230"/>
        <v>0</v>
      </c>
      <c r="FI41" s="416">
        <f t="shared" si="231"/>
        <v>0</v>
      </c>
      <c r="FJ41" s="416">
        <f t="shared" si="231"/>
        <v>0</v>
      </c>
      <c r="FK41" s="416">
        <f t="shared" si="231"/>
        <v>0</v>
      </c>
      <c r="FL41" s="416">
        <f t="shared" si="232"/>
        <v>0</v>
      </c>
      <c r="FM41" s="416">
        <f t="shared" si="232"/>
        <v>0</v>
      </c>
      <c r="FP41" s="416">
        <f>SUMIF(CI$5:CL$5,TRUE,CI41:CL41)</f>
        <v>0</v>
      </c>
      <c r="FQ41" s="416">
        <f>SUMIF(CM$5:CP$5,TRUE,CM41:CP41)</f>
        <v>0</v>
      </c>
      <c r="FR41" s="416">
        <f>SUMIF(CQ$5:CT$5,TRUE,CQ41:CT41)</f>
        <v>0</v>
      </c>
      <c r="FS41" s="416">
        <f>SUMIF(CU$5:CX$5,TRUE,CU41:CX41)</f>
        <v>0</v>
      </c>
      <c r="FT41" s="416">
        <f>SUMIF(CY$5:DB$5,TRUE,CY41:DB41)</f>
        <v>0</v>
      </c>
      <c r="FU41" s="416">
        <f>SUMIF(DC$5:DF$5,TRUE,DC41:DF41)</f>
        <v>0</v>
      </c>
      <c r="FV41" s="416">
        <f>SUMIF(DG$5:DJ$5,TRUE,DG41:DJ41)</f>
        <v>0</v>
      </c>
      <c r="FW41" s="416">
        <f>SUMIF(DK$5:DN$5,TRUE,DK41:DN41)</f>
        <v>0</v>
      </c>
      <c r="FX41" s="416">
        <f>SUMIF(DO$5:DR$5,TRUE,DO41:DR41)</f>
        <v>0</v>
      </c>
      <c r="FY41" s="416">
        <f>SUMIF(DS$5:DV$5,TRUE,DS41:DV41)</f>
        <v>0</v>
      </c>
      <c r="FZ41" s="416">
        <f>SUMIF(DW$5:DZ$5,TRUE,DW41:DZ41)</f>
        <v>0</v>
      </c>
      <c r="GA41" s="416">
        <f>SUMIF(EA$5:ED$5,TRUE,EA41:ED41)</f>
        <v>0</v>
      </c>
      <c r="GB41" s="416">
        <f t="shared" si="233"/>
        <v>0</v>
      </c>
      <c r="GC41" s="416">
        <f t="shared" si="234"/>
        <v>0</v>
      </c>
      <c r="GD41" s="416">
        <f t="shared" si="235"/>
        <v>0</v>
      </c>
      <c r="GE41" s="416">
        <f t="shared" si="235"/>
        <v>0</v>
      </c>
      <c r="GF41" s="416">
        <f t="shared" si="235"/>
        <v>0</v>
      </c>
      <c r="GG41" s="416">
        <f t="shared" si="236"/>
        <v>0</v>
      </c>
      <c r="GH41" s="416">
        <f t="shared" si="236"/>
        <v>0</v>
      </c>
    </row>
    <row r="42" spans="1:190" s="138" customFormat="1" outlineLevel="1" x14ac:dyDescent="0.25">
      <c r="A42" s="361"/>
      <c r="B42" s="426" t="s">
        <v>721</v>
      </c>
      <c r="C42" s="426"/>
      <c r="D42" s="426"/>
      <c r="E42" s="427"/>
      <c r="F42" s="428"/>
      <c r="G42" s="428"/>
      <c r="H42" s="580"/>
      <c r="I42" s="358">
        <f>SUM(E42:H42)/4</f>
        <v>0</v>
      </c>
      <c r="J42" s="427"/>
      <c r="K42" s="428"/>
      <c r="L42" s="428"/>
      <c r="M42" s="580"/>
      <c r="N42" s="358">
        <f>SUM(J42:M42)/4</f>
        <v>0</v>
      </c>
      <c r="O42" s="427"/>
      <c r="P42" s="428"/>
      <c r="Q42" s="428"/>
      <c r="R42" s="580"/>
      <c r="S42" s="358">
        <f>SUM(O42:R42)/4</f>
        <v>0</v>
      </c>
      <c r="T42" s="427"/>
      <c r="U42" s="428"/>
      <c r="V42" s="428"/>
      <c r="W42" s="580"/>
      <c r="X42" s="358">
        <f>SUM(T42:W42)/4</f>
        <v>0</v>
      </c>
      <c r="Y42" s="427"/>
      <c r="Z42" s="428"/>
      <c r="AA42" s="428"/>
      <c r="AB42" s="580"/>
      <c r="AC42" s="358">
        <f>SUM(Y42:AB42)/4</f>
        <v>0</v>
      </c>
      <c r="AD42" s="427"/>
      <c r="AE42" s="428"/>
      <c r="AF42" s="428"/>
      <c r="AG42" s="580"/>
      <c r="AH42" s="358">
        <f>SUM(AD42:AG42)/4</f>
        <v>0</v>
      </c>
      <c r="AI42" s="427"/>
      <c r="AJ42" s="428"/>
      <c r="AK42" s="428"/>
      <c r="AL42" s="428"/>
      <c r="AM42" s="358">
        <f>SUM(AI42:AL42)/4</f>
        <v>0</v>
      </c>
      <c r="AN42" s="427"/>
      <c r="AO42" s="428"/>
      <c r="AP42" s="428"/>
      <c r="AQ42" s="428"/>
      <c r="AR42" s="358">
        <f>SUM(AN42:AQ42)/4</f>
        <v>0</v>
      </c>
      <c r="AS42" s="427"/>
      <c r="AT42" s="428"/>
      <c r="AU42" s="428"/>
      <c r="AV42" s="428"/>
      <c r="AW42" s="358">
        <f>SUM(AS42:AV42)/4</f>
        <v>0</v>
      </c>
      <c r="AX42" s="427"/>
      <c r="AY42" s="428"/>
      <c r="AZ42" s="428"/>
      <c r="BA42" s="428"/>
      <c r="BB42" s="358">
        <f>SUM(AX42:BA42)/4</f>
        <v>0</v>
      </c>
      <c r="BC42" s="427"/>
      <c r="BD42" s="428"/>
      <c r="BE42" s="428"/>
      <c r="BF42" s="428"/>
      <c r="BG42" s="358">
        <f>SUM(BC42:BF42)/4</f>
        <v>0</v>
      </c>
      <c r="BH42" s="427"/>
      <c r="BI42" s="428"/>
      <c r="BJ42" s="428"/>
      <c r="BK42" s="428"/>
      <c r="BL42" s="358">
        <f>SUM(BH42:BK42)/4</f>
        <v>0</v>
      </c>
      <c r="BM42" s="427"/>
      <c r="BN42" s="428"/>
      <c r="BO42" s="428"/>
      <c r="BP42" s="428"/>
      <c r="BQ42" s="965">
        <f>SUM(BM42:BP42)/4</f>
        <v>0</v>
      </c>
      <c r="BR42" s="427"/>
      <c r="BS42" s="428"/>
      <c r="BT42" s="428"/>
      <c r="BU42" s="428"/>
      <c r="BV42" s="965">
        <f>SUM(BR42:BU42)/4</f>
        <v>0</v>
      </c>
      <c r="BW42" s="429"/>
      <c r="BX42" s="429"/>
      <c r="BY42" s="429"/>
      <c r="BZ42" s="429"/>
      <c r="CA42" s="429"/>
      <c r="CB42" s="430"/>
      <c r="CC42" s="431">
        <v>135</v>
      </c>
      <c r="CD42" s="371">
        <v>0.02</v>
      </c>
      <c r="CE42" s="431">
        <f t="shared" si="237"/>
        <v>140.45400000000001</v>
      </c>
      <c r="CF42" s="371">
        <v>0.02</v>
      </c>
      <c r="CG42" s="431">
        <f t="shared" si="238"/>
        <v>146.1283416</v>
      </c>
      <c r="CH42" s="371">
        <v>0.02</v>
      </c>
      <c r="CI42" s="433">
        <f t="shared" si="208"/>
        <v>0</v>
      </c>
      <c r="CJ42" s="434">
        <f t="shared" si="209"/>
        <v>0</v>
      </c>
      <c r="CK42" s="434">
        <f t="shared" si="210"/>
        <v>0</v>
      </c>
      <c r="CL42" s="435">
        <f t="shared" si="211"/>
        <v>0</v>
      </c>
      <c r="CM42" s="433">
        <f t="shared" si="212"/>
        <v>0</v>
      </c>
      <c r="CN42" s="434">
        <f t="shared" si="213"/>
        <v>0</v>
      </c>
      <c r="CO42" s="434">
        <f t="shared" si="214"/>
        <v>0</v>
      </c>
      <c r="CP42" s="435">
        <f t="shared" si="215"/>
        <v>0</v>
      </c>
      <c r="CQ42" s="433">
        <f t="shared" si="216"/>
        <v>0</v>
      </c>
      <c r="CR42" s="434">
        <f t="shared" si="216"/>
        <v>0</v>
      </c>
      <c r="CS42" s="434">
        <f t="shared" si="216"/>
        <v>0</v>
      </c>
      <c r="CT42" s="435">
        <f t="shared" si="216"/>
        <v>0</v>
      </c>
      <c r="CU42" s="433">
        <f t="shared" si="217"/>
        <v>0</v>
      </c>
      <c r="CV42" s="434">
        <f t="shared" si="217"/>
        <v>0</v>
      </c>
      <c r="CW42" s="434">
        <f t="shared" si="217"/>
        <v>0</v>
      </c>
      <c r="CX42" s="435">
        <f t="shared" si="217"/>
        <v>0</v>
      </c>
      <c r="CY42" s="433">
        <f t="shared" si="218"/>
        <v>0</v>
      </c>
      <c r="CZ42" s="434">
        <f t="shared" si="218"/>
        <v>0</v>
      </c>
      <c r="DA42" s="434">
        <f t="shared" si="218"/>
        <v>0</v>
      </c>
      <c r="DB42" s="435">
        <f t="shared" si="218"/>
        <v>0</v>
      </c>
      <c r="DC42" s="433">
        <f t="shared" si="219"/>
        <v>0</v>
      </c>
      <c r="DD42" s="434">
        <f t="shared" si="219"/>
        <v>0</v>
      </c>
      <c r="DE42" s="434">
        <f t="shared" si="219"/>
        <v>0</v>
      </c>
      <c r="DF42" s="669">
        <f t="shared" si="219"/>
        <v>0</v>
      </c>
      <c r="DG42" s="433">
        <f t="shared" si="220"/>
        <v>0</v>
      </c>
      <c r="DH42" s="434">
        <f t="shared" si="220"/>
        <v>0</v>
      </c>
      <c r="DI42" s="434">
        <f t="shared" si="220"/>
        <v>0</v>
      </c>
      <c r="DJ42" s="669">
        <f t="shared" si="220"/>
        <v>0</v>
      </c>
      <c r="DK42" s="907">
        <f t="shared" si="221"/>
        <v>0</v>
      </c>
      <c r="DL42" s="672">
        <f t="shared" si="221"/>
        <v>0</v>
      </c>
      <c r="DM42" s="672">
        <f t="shared" si="221"/>
        <v>0</v>
      </c>
      <c r="DN42" s="669">
        <f t="shared" si="221"/>
        <v>0</v>
      </c>
      <c r="DO42" s="907">
        <f t="shared" si="222"/>
        <v>0</v>
      </c>
      <c r="DP42" s="672">
        <f t="shared" si="222"/>
        <v>0</v>
      </c>
      <c r="DQ42" s="672">
        <f t="shared" si="222"/>
        <v>0</v>
      </c>
      <c r="DR42" s="669">
        <f t="shared" si="222"/>
        <v>0</v>
      </c>
      <c r="DS42" s="907">
        <f t="shared" si="223"/>
        <v>0</v>
      </c>
      <c r="DT42" s="672">
        <f t="shared" si="223"/>
        <v>0</v>
      </c>
      <c r="DU42" s="672">
        <f t="shared" si="223"/>
        <v>0</v>
      </c>
      <c r="DV42" s="669">
        <f t="shared" si="223"/>
        <v>0</v>
      </c>
      <c r="DW42" s="907">
        <f t="shared" si="224"/>
        <v>0</v>
      </c>
      <c r="DX42" s="672">
        <f t="shared" si="224"/>
        <v>0</v>
      </c>
      <c r="DY42" s="672">
        <f t="shared" si="224"/>
        <v>0</v>
      </c>
      <c r="DZ42" s="669">
        <f t="shared" si="224"/>
        <v>0</v>
      </c>
      <c r="EA42" s="907">
        <f t="shared" si="225"/>
        <v>0</v>
      </c>
      <c r="EB42" s="672">
        <f t="shared" si="225"/>
        <v>0</v>
      </c>
      <c r="EC42" s="672">
        <f t="shared" si="225"/>
        <v>0</v>
      </c>
      <c r="ED42" s="669">
        <f t="shared" si="225"/>
        <v>0</v>
      </c>
      <c r="EE42" s="907">
        <f t="shared" si="226"/>
        <v>0</v>
      </c>
      <c r="EF42" s="672">
        <f t="shared" si="226"/>
        <v>0</v>
      </c>
      <c r="EG42" s="672">
        <f t="shared" si="226"/>
        <v>0</v>
      </c>
      <c r="EH42" s="669">
        <f t="shared" si="226"/>
        <v>0</v>
      </c>
      <c r="EI42" s="907">
        <f t="shared" si="227"/>
        <v>0</v>
      </c>
      <c r="EJ42" s="672">
        <f t="shared" si="227"/>
        <v>0</v>
      </c>
      <c r="EK42" s="672">
        <f t="shared" si="227"/>
        <v>0</v>
      </c>
      <c r="EL42" s="669">
        <f t="shared" si="227"/>
        <v>0</v>
      </c>
      <c r="EM42" s="436">
        <f t="shared" si="228"/>
        <v>0</v>
      </c>
      <c r="EN42" s="436">
        <f t="shared" si="228"/>
        <v>0</v>
      </c>
      <c r="EO42" s="436">
        <f t="shared" si="228"/>
        <v>0</v>
      </c>
      <c r="EP42" s="436">
        <f t="shared" si="228"/>
        <v>0</v>
      </c>
      <c r="EQ42" s="436">
        <f t="shared" si="228"/>
        <v>0</v>
      </c>
      <c r="ER42" s="437"/>
      <c r="ES42" s="437"/>
      <c r="ET42" s="437"/>
      <c r="EU42" s="436">
        <f>SUM(CI42:CL42)</f>
        <v>0</v>
      </c>
      <c r="EV42" s="436">
        <f>SUM(CM42:CP42)</f>
        <v>0</v>
      </c>
      <c r="EW42" s="436">
        <f>SUM(CQ42:CT42)</f>
        <v>0</v>
      </c>
      <c r="EX42" s="436">
        <f>SUM(CU42:CX42)</f>
        <v>0</v>
      </c>
      <c r="EY42" s="436">
        <f>SUM(CY42:DB42)</f>
        <v>0</v>
      </c>
      <c r="EZ42" s="436">
        <f>SUM(DC42:DF42)</f>
        <v>0</v>
      </c>
      <c r="FA42" s="436">
        <f>SUM(DG42:DJ42)</f>
        <v>0</v>
      </c>
      <c r="FB42" s="436">
        <f>SUM(DK42:DN42)</f>
        <v>0</v>
      </c>
      <c r="FC42" s="436">
        <f>SUM(DO42:DR42)</f>
        <v>0</v>
      </c>
      <c r="FD42" s="436">
        <f>SUM(DS42:DV42)</f>
        <v>0</v>
      </c>
      <c r="FE42" s="436">
        <f>SUM(DW42:DZ42)</f>
        <v>0</v>
      </c>
      <c r="FF42" s="436">
        <f>SUM(EA42:ED42)</f>
        <v>0</v>
      </c>
      <c r="FG42" s="436">
        <f t="shared" si="229"/>
        <v>0</v>
      </c>
      <c r="FH42" s="436">
        <f t="shared" si="230"/>
        <v>0</v>
      </c>
      <c r="FI42" s="436">
        <f t="shared" si="231"/>
        <v>0</v>
      </c>
      <c r="FJ42" s="436">
        <f t="shared" si="231"/>
        <v>0</v>
      </c>
      <c r="FK42" s="436">
        <f t="shared" si="231"/>
        <v>0</v>
      </c>
      <c r="FL42" s="436">
        <f t="shared" si="232"/>
        <v>0</v>
      </c>
      <c r="FM42" s="436">
        <f t="shared" si="232"/>
        <v>0</v>
      </c>
      <c r="FN42" s="437"/>
      <c r="FO42" s="437"/>
      <c r="FP42" s="436">
        <f>SUMIF(CI$5:CL$5,TRUE,CI42:CL42)</f>
        <v>0</v>
      </c>
      <c r="FQ42" s="436">
        <f>SUMIF(CM$5:CP$5,TRUE,CM42:CP42)</f>
        <v>0</v>
      </c>
      <c r="FR42" s="436">
        <f>SUMIF(CQ$5:CT$5,TRUE,CQ42:CT42)</f>
        <v>0</v>
      </c>
      <c r="FS42" s="436">
        <f>SUMIF(CU$5:CX$5,TRUE,CU42:CX42)</f>
        <v>0</v>
      </c>
      <c r="FT42" s="436">
        <f>SUMIF(CY$5:DB$5,TRUE,CY42:DB42)</f>
        <v>0</v>
      </c>
      <c r="FU42" s="436">
        <f>SUMIF(DC$5:DF$5,TRUE,DC42:DF42)</f>
        <v>0</v>
      </c>
      <c r="FV42" s="436">
        <f>SUMIF(DG$5:DJ$5,TRUE,DG42:DJ42)</f>
        <v>0</v>
      </c>
      <c r="FW42" s="436">
        <f>SUMIF(DK$5:DN$5,TRUE,DK42:DN42)</f>
        <v>0</v>
      </c>
      <c r="FX42" s="436">
        <f>SUMIF(DO$5:DR$5,TRUE,DO42:DR42)</f>
        <v>0</v>
      </c>
      <c r="FY42" s="436">
        <f>SUMIF(DS$5:DV$5,TRUE,DS42:DV42)</f>
        <v>0</v>
      </c>
      <c r="FZ42" s="436">
        <f>SUMIF(DW$5:DZ$5,TRUE,DW42:DZ42)</f>
        <v>0</v>
      </c>
      <c r="GA42" s="436">
        <f>SUMIF(EA$5:ED$5,TRUE,EA42:ED42)</f>
        <v>0</v>
      </c>
      <c r="GB42" s="436">
        <f>SUMIF(EE$5:EH$5,TRUE,EE42:EH42)</f>
        <v>0</v>
      </c>
      <c r="GC42" s="436">
        <f>SUMIF(EE$5:EH$5,TRUE,EE42:EH42)</f>
        <v>0</v>
      </c>
      <c r="GD42" s="436">
        <f t="shared" si="235"/>
        <v>0</v>
      </c>
      <c r="GE42" s="436">
        <f t="shared" si="235"/>
        <v>0</v>
      </c>
      <c r="GF42" s="436">
        <f t="shared" si="235"/>
        <v>0</v>
      </c>
      <c r="GG42" s="436">
        <f t="shared" si="236"/>
        <v>0</v>
      </c>
      <c r="GH42" s="436">
        <f t="shared" si="236"/>
        <v>0</v>
      </c>
    </row>
    <row r="43" spans="1:190" s="86" customFormat="1" x14ac:dyDescent="0.25">
      <c r="A43" s="367"/>
      <c r="B43" s="345" t="s">
        <v>416</v>
      </c>
      <c r="C43" s="345"/>
      <c r="D43" s="345"/>
      <c r="E43" s="346">
        <f>SUM(E39:E42)</f>
        <v>0</v>
      </c>
      <c r="F43" s="348">
        <f>SUM(F39:F42)</f>
        <v>0</v>
      </c>
      <c r="G43" s="348">
        <f>SUM(G39:G42)</f>
        <v>0</v>
      </c>
      <c r="H43" s="348">
        <f>SUM(H39:H42)</f>
        <v>0</v>
      </c>
      <c r="I43" s="357">
        <f>SUM(E43:H43)/4</f>
        <v>0</v>
      </c>
      <c r="J43" s="346">
        <f>SUM(J39:J42)</f>
        <v>0</v>
      </c>
      <c r="K43" s="348">
        <f>SUM(K39:K42)</f>
        <v>0</v>
      </c>
      <c r="L43" s="348">
        <f>SUM(L39:L42)</f>
        <v>0</v>
      </c>
      <c r="M43" s="348">
        <f>SUM(M39:M42)</f>
        <v>0</v>
      </c>
      <c r="N43" s="357">
        <f>SUM(J43:M43)/4</f>
        <v>0</v>
      </c>
      <c r="O43" s="346">
        <f>SUM(O39:O42)</f>
        <v>0</v>
      </c>
      <c r="P43" s="348">
        <f>SUM(P39:P42)</f>
        <v>0</v>
      </c>
      <c r="Q43" s="348">
        <f>SUM(Q39:Q42)</f>
        <v>0</v>
      </c>
      <c r="R43" s="348">
        <f>SUM(R39:R42)</f>
        <v>0</v>
      </c>
      <c r="S43" s="357">
        <f>SUM(O43:R43)/4</f>
        <v>0</v>
      </c>
      <c r="T43" s="346">
        <f>SUM(T39:T42)</f>
        <v>0</v>
      </c>
      <c r="U43" s="348">
        <f>SUM(U39:U42)</f>
        <v>0</v>
      </c>
      <c r="V43" s="348">
        <f>SUM(V39:V42)</f>
        <v>0</v>
      </c>
      <c r="W43" s="348">
        <f>SUM(W39:W42)</f>
        <v>0</v>
      </c>
      <c r="X43" s="357">
        <f>SUM(T43:W43)/4</f>
        <v>0</v>
      </c>
      <c r="Y43" s="346">
        <f>SUM(Y39:Y42)</f>
        <v>0</v>
      </c>
      <c r="Z43" s="348">
        <f>SUM(Z39:Z42)</f>
        <v>0</v>
      </c>
      <c r="AA43" s="348">
        <f>SUM(AA39:AA42)</f>
        <v>0</v>
      </c>
      <c r="AB43" s="348">
        <f>SUM(AB39:AB42)</f>
        <v>0</v>
      </c>
      <c r="AC43" s="357">
        <f>SUM(Y43:AB43)/4</f>
        <v>0</v>
      </c>
      <c r="AD43" s="346">
        <f>SUM(AD39:AD42)</f>
        <v>0</v>
      </c>
      <c r="AE43" s="348">
        <f>SUM(AE39:AE42)</f>
        <v>0</v>
      </c>
      <c r="AF43" s="348">
        <f>SUM(AF39:AF42)</f>
        <v>0</v>
      </c>
      <c r="AG43" s="348">
        <f>SUM(AG39:AG42)</f>
        <v>0</v>
      </c>
      <c r="AH43" s="357">
        <f>SUM(AD43:AG43)/4</f>
        <v>0</v>
      </c>
      <c r="AI43" s="346">
        <f>SUM(AI39:AI42)</f>
        <v>0</v>
      </c>
      <c r="AJ43" s="348">
        <f>SUM(AJ39:AJ42)</f>
        <v>0</v>
      </c>
      <c r="AK43" s="348">
        <f>SUM(AK39:AK42)</f>
        <v>0</v>
      </c>
      <c r="AL43" s="348">
        <f>SUM(AL39:AL42)</f>
        <v>0</v>
      </c>
      <c r="AM43" s="357">
        <f>SUM(AI43:AL43)/4</f>
        <v>0</v>
      </c>
      <c r="AN43" s="346">
        <f t="shared" ref="AN43:BK43" si="239">SUM(AN39:AN42)</f>
        <v>0</v>
      </c>
      <c r="AO43" s="348">
        <f t="shared" si="239"/>
        <v>0</v>
      </c>
      <c r="AP43" s="348">
        <f t="shared" si="239"/>
        <v>0</v>
      </c>
      <c r="AQ43" s="348">
        <f t="shared" si="239"/>
        <v>0</v>
      </c>
      <c r="AR43" s="357">
        <f>SUM(AN43:AQ43)/4</f>
        <v>0</v>
      </c>
      <c r="AS43" s="346">
        <f t="shared" si="239"/>
        <v>1</v>
      </c>
      <c r="AT43" s="348">
        <f t="shared" si="239"/>
        <v>1</v>
      </c>
      <c r="AU43" s="348">
        <f t="shared" si="239"/>
        <v>1</v>
      </c>
      <c r="AV43" s="348">
        <f t="shared" si="239"/>
        <v>1</v>
      </c>
      <c r="AW43" s="357">
        <f>SUM(AS43:AV43)/4</f>
        <v>1</v>
      </c>
      <c r="AX43" s="346">
        <f t="shared" si="239"/>
        <v>1</v>
      </c>
      <c r="AY43" s="348">
        <f t="shared" si="239"/>
        <v>1</v>
      </c>
      <c r="AZ43" s="348">
        <f t="shared" si="239"/>
        <v>1</v>
      </c>
      <c r="BA43" s="348">
        <f t="shared" si="239"/>
        <v>1</v>
      </c>
      <c r="BB43" s="357">
        <f>SUM(AX43:BA43)/4</f>
        <v>1</v>
      </c>
      <c r="BC43" s="346">
        <f t="shared" si="239"/>
        <v>1</v>
      </c>
      <c r="BD43" s="348">
        <f t="shared" si="239"/>
        <v>1</v>
      </c>
      <c r="BE43" s="348">
        <f t="shared" si="239"/>
        <v>1</v>
      </c>
      <c r="BF43" s="348">
        <f t="shared" si="239"/>
        <v>1</v>
      </c>
      <c r="BG43" s="357">
        <f>SUM(BC43:BF43)/4</f>
        <v>1</v>
      </c>
      <c r="BH43" s="346">
        <f t="shared" si="239"/>
        <v>1</v>
      </c>
      <c r="BI43" s="348">
        <f t="shared" si="239"/>
        <v>1</v>
      </c>
      <c r="BJ43" s="348">
        <f t="shared" si="239"/>
        <v>1</v>
      </c>
      <c r="BK43" s="348">
        <f t="shared" si="239"/>
        <v>1</v>
      </c>
      <c r="BL43" s="357">
        <f>SUM(BH43:BK43)/4</f>
        <v>1</v>
      </c>
      <c r="BM43" s="346">
        <f t="shared" ref="BM43:BP43" si="240">SUM(BM39:BM42)</f>
        <v>1</v>
      </c>
      <c r="BN43" s="348">
        <f t="shared" si="240"/>
        <v>1</v>
      </c>
      <c r="BO43" s="348">
        <f t="shared" si="240"/>
        <v>1</v>
      </c>
      <c r="BP43" s="348">
        <f t="shared" si="240"/>
        <v>1</v>
      </c>
      <c r="BQ43" s="966">
        <f>SUM(BM43:BP43)/4</f>
        <v>1</v>
      </c>
      <c r="BR43" s="346">
        <f t="shared" ref="BR43:BU43" si="241">SUM(BR39:BR42)</f>
        <v>1</v>
      </c>
      <c r="BS43" s="348">
        <f t="shared" si="241"/>
        <v>1</v>
      </c>
      <c r="BT43" s="348">
        <f t="shared" si="241"/>
        <v>1</v>
      </c>
      <c r="BU43" s="348">
        <f t="shared" si="241"/>
        <v>1</v>
      </c>
      <c r="BV43" s="966">
        <f>SUM(BR43:BU43)/4</f>
        <v>1</v>
      </c>
      <c r="BW43" s="347">
        <f>SUM(BW39:BW42)</f>
        <v>1</v>
      </c>
      <c r="BX43" s="347">
        <f>SUM(BX39:BX42)</f>
        <v>1</v>
      </c>
      <c r="BY43" s="347">
        <f>SUM(BY39:BY42)</f>
        <v>1</v>
      </c>
      <c r="BZ43" s="347">
        <f t="shared" ref="BZ43:CA43" si="242">SUM(BZ39:BZ42)</f>
        <v>1</v>
      </c>
      <c r="CA43" s="347">
        <f t="shared" si="242"/>
        <v>1</v>
      </c>
      <c r="CB43" s="349"/>
      <c r="CC43" s="350"/>
      <c r="CD43" s="411"/>
      <c r="CE43" s="350"/>
      <c r="CF43" s="411"/>
      <c r="CG43" s="350"/>
      <c r="CH43" s="411"/>
      <c r="CI43" s="393">
        <f t="shared" ref="CI43:EQ43" si="243">SUM(CI39:CI42)</f>
        <v>0</v>
      </c>
      <c r="CJ43" s="374">
        <f t="shared" si="243"/>
        <v>0</v>
      </c>
      <c r="CK43" s="374">
        <f t="shared" si="243"/>
        <v>0</v>
      </c>
      <c r="CL43" s="394">
        <f t="shared" si="243"/>
        <v>0</v>
      </c>
      <c r="CM43" s="393">
        <f t="shared" si="243"/>
        <v>0</v>
      </c>
      <c r="CN43" s="374">
        <f t="shared" si="243"/>
        <v>0</v>
      </c>
      <c r="CO43" s="374">
        <f t="shared" si="243"/>
        <v>0</v>
      </c>
      <c r="CP43" s="394">
        <f t="shared" si="243"/>
        <v>0</v>
      </c>
      <c r="CQ43" s="393">
        <f t="shared" si="243"/>
        <v>0</v>
      </c>
      <c r="CR43" s="374">
        <f t="shared" si="243"/>
        <v>0</v>
      </c>
      <c r="CS43" s="374">
        <f t="shared" si="243"/>
        <v>0</v>
      </c>
      <c r="CT43" s="394">
        <f t="shared" si="243"/>
        <v>0</v>
      </c>
      <c r="CU43" s="393">
        <f t="shared" si="243"/>
        <v>0</v>
      </c>
      <c r="CV43" s="374">
        <f t="shared" si="243"/>
        <v>0</v>
      </c>
      <c r="CW43" s="374">
        <f t="shared" si="243"/>
        <v>0</v>
      </c>
      <c r="CX43" s="394">
        <f t="shared" si="243"/>
        <v>0</v>
      </c>
      <c r="CY43" s="393">
        <f t="shared" si="243"/>
        <v>0</v>
      </c>
      <c r="CZ43" s="374">
        <f t="shared" si="243"/>
        <v>0</v>
      </c>
      <c r="DA43" s="374">
        <f t="shared" si="243"/>
        <v>0</v>
      </c>
      <c r="DB43" s="394">
        <f t="shared" si="243"/>
        <v>0</v>
      </c>
      <c r="DC43" s="393">
        <f t="shared" si="243"/>
        <v>0</v>
      </c>
      <c r="DD43" s="374">
        <f t="shared" si="243"/>
        <v>0</v>
      </c>
      <c r="DE43" s="374">
        <f t="shared" si="243"/>
        <v>0</v>
      </c>
      <c r="DF43" s="394">
        <f t="shared" si="243"/>
        <v>0</v>
      </c>
      <c r="DG43" s="393">
        <f t="shared" si="243"/>
        <v>0</v>
      </c>
      <c r="DH43" s="374">
        <f t="shared" si="243"/>
        <v>0</v>
      </c>
      <c r="DI43" s="374">
        <f t="shared" si="243"/>
        <v>0</v>
      </c>
      <c r="DJ43" s="394">
        <f t="shared" si="243"/>
        <v>0</v>
      </c>
      <c r="DK43" s="393">
        <f t="shared" si="243"/>
        <v>0</v>
      </c>
      <c r="DL43" s="374">
        <f t="shared" si="243"/>
        <v>0</v>
      </c>
      <c r="DM43" s="374">
        <f t="shared" si="243"/>
        <v>0</v>
      </c>
      <c r="DN43" s="394">
        <f t="shared" si="243"/>
        <v>0</v>
      </c>
      <c r="DO43" s="393">
        <f t="shared" si="243"/>
        <v>45.694715859088362</v>
      </c>
      <c r="DP43" s="374">
        <f t="shared" si="243"/>
        <v>45.694715859088362</v>
      </c>
      <c r="DQ43" s="374">
        <f t="shared" si="243"/>
        <v>45.694715859088362</v>
      </c>
      <c r="DR43" s="394">
        <f t="shared" si="243"/>
        <v>45.694715859088362</v>
      </c>
      <c r="DS43" s="393">
        <f t="shared" si="243"/>
        <v>46.608610176270119</v>
      </c>
      <c r="DT43" s="374">
        <f t="shared" si="243"/>
        <v>46.608610176270119</v>
      </c>
      <c r="DU43" s="374">
        <f t="shared" si="243"/>
        <v>46.608610176270119</v>
      </c>
      <c r="DV43" s="394">
        <f t="shared" si="243"/>
        <v>46.608610176270119</v>
      </c>
      <c r="DW43" s="393">
        <f t="shared" si="243"/>
        <v>47.540782379795523</v>
      </c>
      <c r="DX43" s="374">
        <f t="shared" si="243"/>
        <v>47.540782379795523</v>
      </c>
      <c r="DY43" s="374">
        <f t="shared" si="243"/>
        <v>47.540782379795523</v>
      </c>
      <c r="DZ43" s="394">
        <f t="shared" si="243"/>
        <v>47.540782379795523</v>
      </c>
      <c r="EA43" s="393">
        <f t="shared" si="243"/>
        <v>48.49159802739144</v>
      </c>
      <c r="EB43" s="374">
        <f t="shared" si="243"/>
        <v>48.49159802739144</v>
      </c>
      <c r="EC43" s="374">
        <f t="shared" si="243"/>
        <v>48.49159802739144</v>
      </c>
      <c r="ED43" s="394">
        <f t="shared" si="243"/>
        <v>48.49159802739144</v>
      </c>
      <c r="EE43" s="393">
        <f t="shared" si="243"/>
        <v>49.461429987939269</v>
      </c>
      <c r="EF43" s="374">
        <f t="shared" si="243"/>
        <v>49.461429987939269</v>
      </c>
      <c r="EG43" s="374">
        <f t="shared" si="243"/>
        <v>49.461429987939269</v>
      </c>
      <c r="EH43" s="394">
        <f t="shared" si="243"/>
        <v>49.461429987939269</v>
      </c>
      <c r="EI43" s="393">
        <f t="shared" si="243"/>
        <v>50.450658587698044</v>
      </c>
      <c r="EJ43" s="374">
        <f t="shared" si="243"/>
        <v>50.450658587698044</v>
      </c>
      <c r="EK43" s="374">
        <f t="shared" si="243"/>
        <v>50.450658587698044</v>
      </c>
      <c r="EL43" s="394">
        <f t="shared" si="243"/>
        <v>50.450658587698044</v>
      </c>
      <c r="EM43" s="417">
        <f t="shared" si="243"/>
        <v>205.83868703780806</v>
      </c>
      <c r="EN43" s="417">
        <f t="shared" si="243"/>
        <v>209.9554607785642</v>
      </c>
      <c r="EO43" s="417">
        <f t="shared" si="243"/>
        <v>214.1545699941355</v>
      </c>
      <c r="EP43" s="417">
        <f t="shared" si="243"/>
        <v>218.43766139401816</v>
      </c>
      <c r="EQ43" s="417">
        <f t="shared" si="243"/>
        <v>222.80641462189857</v>
      </c>
      <c r="EU43" s="417">
        <f t="shared" ref="EU43:FC43" si="244">SUM(EU39:EU42)</f>
        <v>0</v>
      </c>
      <c r="EV43" s="417">
        <f t="shared" si="244"/>
        <v>0</v>
      </c>
      <c r="EW43" s="417">
        <f t="shared" si="244"/>
        <v>0</v>
      </c>
      <c r="EX43" s="417">
        <f t="shared" si="244"/>
        <v>0</v>
      </c>
      <c r="EY43" s="417">
        <f t="shared" si="244"/>
        <v>0</v>
      </c>
      <c r="EZ43" s="417">
        <f t="shared" si="244"/>
        <v>0</v>
      </c>
      <c r="FA43" s="417">
        <f t="shared" si="244"/>
        <v>0</v>
      </c>
      <c r="FB43" s="417">
        <f t="shared" si="244"/>
        <v>0</v>
      </c>
      <c r="FC43" s="417">
        <f t="shared" si="244"/>
        <v>182.77886343635345</v>
      </c>
      <c r="FD43" s="417">
        <f t="shared" ref="FD43:FK43" si="245">SUM(FD39:FD42)</f>
        <v>186.43444070508048</v>
      </c>
      <c r="FE43" s="417">
        <f t="shared" si="245"/>
        <v>190.16312951918209</v>
      </c>
      <c r="FF43" s="417">
        <f t="shared" si="245"/>
        <v>193.96639210956576</v>
      </c>
      <c r="FG43" s="417">
        <f t="shared" ref="FG43:FH43" si="246">SUM(FG39:FG42)</f>
        <v>197.84571995175708</v>
      </c>
      <c r="FH43" s="417">
        <f t="shared" si="246"/>
        <v>201.80263435079218</v>
      </c>
      <c r="FI43" s="417">
        <f t="shared" si="245"/>
        <v>205.83868703780806</v>
      </c>
      <c r="FJ43" s="417">
        <f t="shared" si="245"/>
        <v>209.9554607785642</v>
      </c>
      <c r="FK43" s="417">
        <f t="shared" si="245"/>
        <v>214.1545699941355</v>
      </c>
      <c r="FL43" s="417">
        <f t="shared" ref="FL43:FM43" si="247">SUM(FL39:FL42)</f>
        <v>218.43766139401816</v>
      </c>
      <c r="FM43" s="417">
        <f t="shared" si="247"/>
        <v>222.80641462189857</v>
      </c>
      <c r="FP43" s="417">
        <f t="shared" ref="FP43:FX43" si="248">SUM(FP39:FP42)</f>
        <v>0</v>
      </c>
      <c r="FQ43" s="417">
        <f t="shared" si="248"/>
        <v>0</v>
      </c>
      <c r="FR43" s="417">
        <f t="shared" si="248"/>
        <v>0</v>
      </c>
      <c r="FS43" s="417">
        <f t="shared" si="248"/>
        <v>0</v>
      </c>
      <c r="FT43" s="417">
        <f t="shared" si="248"/>
        <v>0</v>
      </c>
      <c r="FU43" s="417">
        <f t="shared" si="248"/>
        <v>0</v>
      </c>
      <c r="FV43" s="417">
        <f t="shared" si="248"/>
        <v>0</v>
      </c>
      <c r="FW43" s="417">
        <f t="shared" si="248"/>
        <v>0</v>
      </c>
      <c r="FX43" s="417">
        <f t="shared" si="248"/>
        <v>45.694715859088362</v>
      </c>
      <c r="FY43" s="417">
        <f t="shared" ref="FY43:GF43" si="249">SUM(FY39:FY42)</f>
        <v>186.43444070508048</v>
      </c>
      <c r="FZ43" s="417">
        <f t="shared" si="249"/>
        <v>190.16312951918209</v>
      </c>
      <c r="GA43" s="417">
        <f t="shared" si="249"/>
        <v>193.96639210956576</v>
      </c>
      <c r="GB43" s="417">
        <f t="shared" si="249"/>
        <v>197.84571995175708</v>
      </c>
      <c r="GC43" s="417">
        <f t="shared" si="249"/>
        <v>197.84571995175708</v>
      </c>
      <c r="GD43" s="417">
        <f t="shared" si="249"/>
        <v>205.83868703780806</v>
      </c>
      <c r="GE43" s="417">
        <f t="shared" si="249"/>
        <v>209.9554607785642</v>
      </c>
      <c r="GF43" s="417">
        <f t="shared" si="249"/>
        <v>214.1545699941355</v>
      </c>
      <c r="GG43" s="417">
        <f t="shared" ref="GG43:GH43" si="250">SUM(GG39:GG42)</f>
        <v>218.43766139401816</v>
      </c>
      <c r="GH43" s="417">
        <f t="shared" si="250"/>
        <v>222.80641462189857</v>
      </c>
    </row>
    <row r="44" spans="1:190" s="86" customFormat="1" x14ac:dyDescent="0.25">
      <c r="A44" s="367"/>
      <c r="B44" s="345"/>
      <c r="C44" s="345"/>
      <c r="D44" s="345"/>
      <c r="E44" s="346"/>
      <c r="F44" s="348"/>
      <c r="G44" s="348"/>
      <c r="H44" s="348"/>
      <c r="I44" s="357"/>
      <c r="J44" s="346"/>
      <c r="K44" s="348"/>
      <c r="L44" s="348"/>
      <c r="M44" s="348"/>
      <c r="N44" s="357"/>
      <c r="O44" s="346"/>
      <c r="P44" s="348"/>
      <c r="Q44" s="348"/>
      <c r="R44" s="348"/>
      <c r="S44" s="357"/>
      <c r="T44" s="346"/>
      <c r="U44" s="348"/>
      <c r="V44" s="348"/>
      <c r="W44" s="348"/>
      <c r="X44" s="357"/>
      <c r="Y44" s="346"/>
      <c r="Z44" s="348"/>
      <c r="AA44" s="348"/>
      <c r="AB44" s="348"/>
      <c r="AC44" s="357"/>
      <c r="AD44" s="663"/>
      <c r="AE44" s="663"/>
      <c r="AF44" s="663"/>
      <c r="AG44" s="663"/>
      <c r="AH44" s="357"/>
      <c r="AI44" s="346"/>
      <c r="AJ44" s="348"/>
      <c r="AK44" s="348"/>
      <c r="AL44" s="348"/>
      <c r="AM44" s="717"/>
      <c r="AN44" s="346"/>
      <c r="AO44" s="348"/>
      <c r="AP44" s="348"/>
      <c r="AQ44" s="348"/>
      <c r="AR44" s="717"/>
      <c r="AS44" s="346"/>
      <c r="AT44" s="348"/>
      <c r="AU44" s="348"/>
      <c r="AV44" s="348"/>
      <c r="AW44" s="717"/>
      <c r="AX44" s="346"/>
      <c r="AY44" s="348"/>
      <c r="AZ44" s="348"/>
      <c r="BA44" s="348"/>
      <c r="BB44" s="717"/>
      <c r="BC44" s="346"/>
      <c r="BD44" s="348"/>
      <c r="BE44" s="348"/>
      <c r="BF44" s="348"/>
      <c r="BG44" s="717"/>
      <c r="BH44" s="346"/>
      <c r="BI44" s="348"/>
      <c r="BJ44" s="348"/>
      <c r="BK44" s="348"/>
      <c r="BL44" s="717"/>
      <c r="BM44" s="346"/>
      <c r="BN44" s="348"/>
      <c r="BO44" s="348"/>
      <c r="BP44" s="348"/>
      <c r="BQ44" s="966"/>
      <c r="BR44" s="346"/>
      <c r="BS44" s="348"/>
      <c r="BT44" s="348"/>
      <c r="BU44" s="348"/>
      <c r="BV44" s="966"/>
      <c r="BW44" s="347"/>
      <c r="BX44" s="347"/>
      <c r="BY44" s="347"/>
      <c r="BZ44" s="347"/>
      <c r="CA44" s="347"/>
      <c r="CB44" s="349"/>
      <c r="CC44" s="350"/>
      <c r="CD44" s="381"/>
      <c r="CE44" s="350"/>
      <c r="CF44" s="381"/>
      <c r="CG44" s="350"/>
      <c r="CH44" s="381"/>
      <c r="CI44" s="393"/>
      <c r="CJ44" s="374"/>
      <c r="CK44" s="374"/>
      <c r="CL44" s="394"/>
      <c r="CM44" s="393"/>
      <c r="CN44" s="374"/>
      <c r="CO44" s="374"/>
      <c r="CP44" s="394"/>
      <c r="CQ44" s="393"/>
      <c r="CR44" s="374"/>
      <c r="CS44" s="374"/>
      <c r="CT44" s="394"/>
      <c r="CU44" s="393"/>
      <c r="CV44" s="374"/>
      <c r="CW44" s="374"/>
      <c r="CX44" s="394"/>
      <c r="CY44" s="393"/>
      <c r="CZ44" s="374"/>
      <c r="DA44" s="374"/>
      <c r="DB44" s="394"/>
      <c r="DC44" s="374"/>
      <c r="DD44" s="374"/>
      <c r="DE44" s="374"/>
      <c r="DF44" s="394"/>
      <c r="DG44" s="374"/>
      <c r="DH44" s="374"/>
      <c r="DI44" s="374"/>
      <c r="DJ44" s="394"/>
      <c r="DK44" s="374"/>
      <c r="DL44" s="374"/>
      <c r="DM44" s="374"/>
      <c r="DN44" s="394"/>
      <c r="DO44" s="374"/>
      <c r="DP44" s="374"/>
      <c r="DQ44" s="374"/>
      <c r="DR44" s="394"/>
      <c r="DS44" s="393"/>
      <c r="DT44" s="374"/>
      <c r="DU44" s="374"/>
      <c r="DV44" s="394"/>
      <c r="DW44" s="393"/>
      <c r="DX44" s="374"/>
      <c r="DY44" s="374"/>
      <c r="DZ44" s="394"/>
      <c r="EA44" s="393"/>
      <c r="EB44" s="374"/>
      <c r="EC44" s="374"/>
      <c r="ED44" s="394"/>
      <c r="EE44" s="393"/>
      <c r="EF44" s="374"/>
      <c r="EG44" s="374"/>
      <c r="EH44" s="394"/>
      <c r="EI44" s="393"/>
      <c r="EJ44" s="374"/>
      <c r="EK44" s="374"/>
      <c r="EL44" s="394"/>
      <c r="EM44" s="417"/>
      <c r="EN44" s="417"/>
      <c r="EO44" s="417"/>
      <c r="EP44" s="417"/>
      <c r="EQ44" s="417"/>
      <c r="EU44" s="417"/>
      <c r="EV44" s="417"/>
      <c r="EW44" s="417"/>
      <c r="EX44" s="417"/>
      <c r="EY44" s="417"/>
      <c r="EZ44" s="417"/>
      <c r="FA44" s="417"/>
      <c r="FB44" s="417"/>
      <c r="FC44" s="417"/>
      <c r="FD44" s="417"/>
      <c r="FE44" s="417"/>
      <c r="FF44" s="417"/>
      <c r="FG44" s="417"/>
      <c r="FH44" s="417"/>
      <c r="FI44" s="417"/>
      <c r="FJ44" s="417"/>
      <c r="FK44" s="417"/>
      <c r="FL44" s="417"/>
      <c r="FM44" s="417"/>
      <c r="FP44" s="417"/>
      <c r="FQ44" s="417"/>
      <c r="FR44" s="417"/>
      <c r="FS44" s="417"/>
      <c r="FT44" s="417"/>
      <c r="FU44" s="417"/>
      <c r="FV44" s="417"/>
      <c r="FW44" s="417"/>
      <c r="FX44" s="417"/>
      <c r="FY44" s="417"/>
      <c r="FZ44" s="417"/>
      <c r="GA44" s="417"/>
      <c r="GB44" s="417"/>
      <c r="GC44" s="417"/>
      <c r="GD44" s="417"/>
      <c r="GE44" s="417"/>
      <c r="GF44" s="417"/>
      <c r="GG44" s="417"/>
      <c r="GH44" s="417"/>
    </row>
    <row r="45" spans="1:190" x14ac:dyDescent="0.25">
      <c r="A45" s="367" t="s">
        <v>442</v>
      </c>
      <c r="B45" s="345"/>
      <c r="C45" s="345"/>
      <c r="D45" s="345"/>
      <c r="E45" s="388"/>
      <c r="F45" s="377"/>
      <c r="G45" s="377"/>
      <c r="H45" s="377"/>
      <c r="I45" s="357"/>
      <c r="J45" s="388"/>
      <c r="K45" s="377"/>
      <c r="L45" s="377"/>
      <c r="M45" s="377"/>
      <c r="N45" s="357"/>
      <c r="O45" s="388"/>
      <c r="P45" s="377"/>
      <c r="Q45" s="377"/>
      <c r="R45" s="377"/>
      <c r="S45" s="357"/>
      <c r="T45" s="388"/>
      <c r="U45" s="377"/>
      <c r="V45" s="377"/>
      <c r="W45" s="377"/>
      <c r="X45" s="357"/>
      <c r="Y45" s="388"/>
      <c r="Z45" s="377"/>
      <c r="AA45" s="377"/>
      <c r="AB45" s="377"/>
      <c r="AC45" s="357"/>
      <c r="AD45" s="663"/>
      <c r="AE45" s="663"/>
      <c r="AF45" s="663"/>
      <c r="AG45" s="663"/>
      <c r="AH45" s="357"/>
      <c r="AI45" s="388"/>
      <c r="AJ45" s="377"/>
      <c r="AK45" s="377"/>
      <c r="AL45" s="377"/>
      <c r="AM45" s="716"/>
      <c r="AN45" s="388"/>
      <c r="AO45" s="377"/>
      <c r="AP45" s="377"/>
      <c r="AQ45" s="377"/>
      <c r="AR45" s="716"/>
      <c r="AS45" s="388"/>
      <c r="AT45" s="377"/>
      <c r="AU45" s="377"/>
      <c r="AV45" s="377"/>
      <c r="AW45" s="716"/>
      <c r="AX45" s="388"/>
      <c r="AY45" s="377"/>
      <c r="AZ45" s="377"/>
      <c r="BA45" s="377"/>
      <c r="BB45" s="716"/>
      <c r="BC45" s="388"/>
      <c r="BD45" s="377"/>
      <c r="BE45" s="377"/>
      <c r="BF45" s="377"/>
      <c r="BG45" s="716"/>
      <c r="BH45" s="388"/>
      <c r="BI45" s="377"/>
      <c r="BJ45" s="377"/>
      <c r="BK45" s="377"/>
      <c r="BL45" s="716"/>
      <c r="BM45" s="388"/>
      <c r="BN45" s="377"/>
      <c r="BO45" s="377"/>
      <c r="BP45" s="377"/>
      <c r="BQ45" s="969"/>
      <c r="BR45" s="388"/>
      <c r="BS45" s="377"/>
      <c r="BT45" s="377"/>
      <c r="BU45" s="377"/>
      <c r="BV45" s="969"/>
      <c r="BW45" s="391"/>
      <c r="BX45" s="391"/>
      <c r="BY45" s="391"/>
      <c r="BZ45" s="391"/>
      <c r="CA45" s="391"/>
      <c r="CB45" s="378"/>
      <c r="CC45" s="398"/>
      <c r="CD45" s="379"/>
      <c r="CE45" s="398"/>
      <c r="CF45" s="379"/>
      <c r="CG45" s="398"/>
      <c r="CH45" s="379"/>
      <c r="CI45" s="407"/>
      <c r="CJ45" s="380"/>
      <c r="CK45" s="380"/>
      <c r="CL45" s="408"/>
      <c r="CM45" s="407"/>
      <c r="CN45" s="380"/>
      <c r="CO45" s="380"/>
      <c r="CP45" s="408"/>
      <c r="CQ45" s="407"/>
      <c r="CR45" s="380"/>
      <c r="CS45" s="380"/>
      <c r="CT45" s="408"/>
      <c r="CU45" s="407"/>
      <c r="CV45" s="380"/>
      <c r="CW45" s="380"/>
      <c r="CX45" s="408"/>
      <c r="CY45" s="407"/>
      <c r="CZ45" s="380"/>
      <c r="DA45" s="380"/>
      <c r="DB45" s="408"/>
      <c r="DC45" s="380"/>
      <c r="DD45" s="380"/>
      <c r="DE45" s="380"/>
      <c r="DF45" s="408"/>
      <c r="DG45" s="380"/>
      <c r="DH45" s="380"/>
      <c r="DI45" s="380"/>
      <c r="DJ45" s="408"/>
      <c r="DK45" s="380"/>
      <c r="DL45" s="380"/>
      <c r="DM45" s="380"/>
      <c r="DN45" s="408"/>
      <c r="DO45" s="380"/>
      <c r="DP45" s="380"/>
      <c r="DQ45" s="380"/>
      <c r="DR45" s="408"/>
      <c r="DS45" s="407"/>
      <c r="DT45" s="380"/>
      <c r="DU45" s="380"/>
      <c r="DV45" s="408"/>
      <c r="DW45" s="407"/>
      <c r="DX45" s="380"/>
      <c r="DY45" s="380"/>
      <c r="DZ45" s="408"/>
      <c r="EA45" s="407"/>
      <c r="EB45" s="380"/>
      <c r="EC45" s="380"/>
      <c r="ED45" s="408"/>
      <c r="EE45" s="407"/>
      <c r="EF45" s="380"/>
      <c r="EG45" s="380"/>
      <c r="EH45" s="408"/>
      <c r="EI45" s="407"/>
      <c r="EJ45" s="380"/>
      <c r="EK45" s="380"/>
      <c r="EL45" s="408"/>
      <c r="EM45" s="419"/>
      <c r="EN45" s="419"/>
      <c r="EO45" s="419"/>
      <c r="EP45" s="419"/>
      <c r="EQ45" s="419"/>
      <c r="EU45" s="419"/>
      <c r="EV45" s="419"/>
      <c r="EW45" s="419"/>
      <c r="EX45" s="419"/>
      <c r="EY45" s="419"/>
      <c r="EZ45" s="419"/>
      <c r="FA45" s="419"/>
      <c r="FB45" s="419"/>
      <c r="FC45" s="419"/>
      <c r="FD45" s="419"/>
      <c r="FE45" s="419"/>
      <c r="FF45" s="419"/>
      <c r="FG45" s="419"/>
      <c r="FH45" s="419"/>
      <c r="FI45" s="419"/>
      <c r="FJ45" s="419"/>
      <c r="FK45" s="419"/>
      <c r="FL45" s="419"/>
      <c r="FM45" s="419"/>
      <c r="FP45" s="419"/>
      <c r="FQ45" s="419"/>
      <c r="FR45" s="419"/>
      <c r="FS45" s="419"/>
      <c r="FT45" s="419"/>
      <c r="FU45" s="419"/>
      <c r="FV45" s="419"/>
      <c r="FW45" s="419"/>
      <c r="FX45" s="419"/>
      <c r="FY45" s="419"/>
      <c r="FZ45" s="419"/>
      <c r="GA45" s="419"/>
      <c r="GB45" s="419"/>
      <c r="GC45" s="419"/>
      <c r="GD45" s="419"/>
      <c r="GE45" s="419"/>
      <c r="GF45" s="419"/>
      <c r="GG45" s="419"/>
      <c r="GH45" s="419"/>
    </row>
    <row r="46" spans="1:190" s="138" customFormat="1" outlineLevel="1" x14ac:dyDescent="0.25">
      <c r="A46" s="361"/>
      <c r="B46" s="368" t="s">
        <v>422</v>
      </c>
      <c r="C46" s="368"/>
      <c r="D46" s="368"/>
      <c r="E46" s="386"/>
      <c r="F46" s="369"/>
      <c r="G46" s="369"/>
      <c r="H46" s="579"/>
      <c r="I46" s="357">
        <f t="shared" ref="I46:I53" si="251">SUM(E46:H46)/4</f>
        <v>0</v>
      </c>
      <c r="J46" s="386"/>
      <c r="K46" s="369"/>
      <c r="L46" s="369"/>
      <c r="M46" s="579"/>
      <c r="N46" s="357">
        <f t="shared" ref="N46:N53" si="252">SUM(J46:M46)/4</f>
        <v>0</v>
      </c>
      <c r="O46" s="386"/>
      <c r="P46" s="369"/>
      <c r="Q46" s="369"/>
      <c r="R46" s="579"/>
      <c r="S46" s="357">
        <f t="shared" ref="S46:S53" si="253">SUM(O46:R46)/4</f>
        <v>0</v>
      </c>
      <c r="T46" s="386"/>
      <c r="U46" s="369"/>
      <c r="V46" s="369"/>
      <c r="W46" s="579"/>
      <c r="X46" s="357">
        <f t="shared" ref="X46:X53" si="254">SUM(T46:W46)/4</f>
        <v>0</v>
      </c>
      <c r="Y46" s="386"/>
      <c r="Z46" s="369"/>
      <c r="AA46" s="369"/>
      <c r="AB46" s="579"/>
      <c r="AC46" s="357">
        <f t="shared" ref="AC46:AC53" si="255">SUM(Y46:AB46)/4</f>
        <v>0</v>
      </c>
      <c r="AD46" s="386"/>
      <c r="AE46" s="369"/>
      <c r="AF46" s="369"/>
      <c r="AG46" s="579"/>
      <c r="AH46" s="357">
        <f t="shared" ref="AH46:AH53" si="256">SUM(AD46:AG46)/4</f>
        <v>0</v>
      </c>
      <c r="AI46" s="386"/>
      <c r="AJ46" s="369"/>
      <c r="AK46" s="369"/>
      <c r="AL46" s="369"/>
      <c r="AM46" s="357">
        <f t="shared" ref="AM46:AM53" si="257">SUM(AI46:AL46)/4</f>
        <v>0</v>
      </c>
      <c r="AN46" s="386"/>
      <c r="AO46" s="369"/>
      <c r="AP46" s="369"/>
      <c r="AQ46" s="369"/>
      <c r="AR46" s="357">
        <f t="shared" ref="AR46:AR53" si="258">SUM(AN46:AQ46)/4</f>
        <v>0</v>
      </c>
      <c r="AS46" s="386"/>
      <c r="AT46" s="369"/>
      <c r="AU46" s="369"/>
      <c r="AV46" s="369"/>
      <c r="AW46" s="357">
        <f t="shared" ref="AW46:AW53" si="259">SUM(AS46:AV46)/4</f>
        <v>0</v>
      </c>
      <c r="AX46" s="386">
        <v>1</v>
      </c>
      <c r="AY46" s="386">
        <v>1</v>
      </c>
      <c r="AZ46" s="386">
        <v>1</v>
      </c>
      <c r="BA46" s="386">
        <v>1</v>
      </c>
      <c r="BB46" s="357">
        <f t="shared" ref="BB46:BB53" si="260">SUM(AX46:BA46)/4</f>
        <v>1</v>
      </c>
      <c r="BC46" s="386">
        <v>1</v>
      </c>
      <c r="BD46" s="386">
        <v>1</v>
      </c>
      <c r="BE46" s="386">
        <v>1</v>
      </c>
      <c r="BF46" s="386">
        <v>1</v>
      </c>
      <c r="BG46" s="357">
        <f t="shared" ref="BG46:BG53" si="261">SUM(BC46:BF46)/4</f>
        <v>1</v>
      </c>
      <c r="BH46" s="386">
        <v>1</v>
      </c>
      <c r="BI46" s="386">
        <v>1</v>
      </c>
      <c r="BJ46" s="386">
        <v>1</v>
      </c>
      <c r="BK46" s="386">
        <v>1</v>
      </c>
      <c r="BL46" s="357">
        <f t="shared" ref="BL46:BL53" si="262">SUM(BH46:BK46)/4</f>
        <v>1</v>
      </c>
      <c r="BM46" s="386">
        <v>0.5</v>
      </c>
      <c r="BN46" s="369"/>
      <c r="BO46" s="369"/>
      <c r="BP46" s="369"/>
      <c r="BQ46" s="967">
        <f t="shared" ref="BQ46:BQ53" si="263">SUM(BM46:BP46)/4</f>
        <v>0.125</v>
      </c>
      <c r="BR46" s="386"/>
      <c r="BS46" s="369"/>
      <c r="BT46" s="369"/>
      <c r="BU46" s="369"/>
      <c r="BV46" s="967">
        <f t="shared" ref="BV46:BV53" si="264">SUM(BR46:BU46)/4</f>
        <v>0</v>
      </c>
      <c r="BW46" s="389"/>
      <c r="BX46" s="389"/>
      <c r="BY46" s="389"/>
      <c r="BZ46" s="389"/>
      <c r="CA46" s="389"/>
      <c r="CB46" s="370"/>
      <c r="CC46" s="395">
        <v>152</v>
      </c>
      <c r="CD46" s="371">
        <v>0.02</v>
      </c>
      <c r="CE46" s="395">
        <f t="shared" ref="CE46:CE52" si="265">CC46*(1+CD46)^2</f>
        <v>158.14080000000001</v>
      </c>
      <c r="CF46" s="371">
        <v>0.02</v>
      </c>
      <c r="CG46" s="395">
        <f t="shared" ref="CG46:CG52" si="266">CE46*(1+CF46)^2</f>
        <v>164.52968832000002</v>
      </c>
      <c r="CH46" s="371">
        <v>0.02</v>
      </c>
      <c r="CI46" s="405">
        <f t="shared" ref="CI46:CI52" si="267">(E46*$CC46*(1+$CD46)^CI$6)/4</f>
        <v>0</v>
      </c>
      <c r="CJ46" s="372">
        <f t="shared" ref="CJ46:CJ52" si="268">(F46*$CC46*(1+$CD46)^CJ$6)/4</f>
        <v>0</v>
      </c>
      <c r="CK46" s="372">
        <f t="shared" ref="CK46:CK52" si="269">(G46*$CC46*(1+$CD46)^CK$6)/4</f>
        <v>0</v>
      </c>
      <c r="CL46" s="406">
        <f t="shared" ref="CL46:CL52" si="270">(H46*$CC46*(1+$CD46)^CL$6)/4</f>
        <v>0</v>
      </c>
      <c r="CM46" s="405">
        <f t="shared" ref="CM46:CM52" si="271">(J46*$CC46*(1+$CD46)^CM$6)/4</f>
        <v>0</v>
      </c>
      <c r="CN46" s="372">
        <f t="shared" ref="CN46:CN52" si="272">(K46*$CC46*(1+$CD46)^CN$6)/4</f>
        <v>0</v>
      </c>
      <c r="CO46" s="372">
        <f t="shared" ref="CO46:CO52" si="273">(L46*$CC46*(1+$CD46)^CO$6)/4</f>
        <v>0</v>
      </c>
      <c r="CP46" s="406">
        <f t="shared" ref="CP46:CP52" si="274">(M46*$CC46*(1+$CD46)^CP$6)/4</f>
        <v>0</v>
      </c>
      <c r="CQ46" s="405">
        <f t="shared" ref="CQ46:CT52" si="275">(O46*$CE46*(1+$CF46)^CQ$6)/4</f>
        <v>0</v>
      </c>
      <c r="CR46" s="372">
        <f t="shared" si="275"/>
        <v>0</v>
      </c>
      <c r="CS46" s="372">
        <f t="shared" si="275"/>
        <v>0</v>
      </c>
      <c r="CT46" s="406">
        <f t="shared" si="275"/>
        <v>0</v>
      </c>
      <c r="CU46" s="405">
        <f t="shared" ref="CU46:CX52" si="276">(T46*$CE46*(1+$CF46)^CU$6)/4</f>
        <v>0</v>
      </c>
      <c r="CV46" s="372">
        <f t="shared" si="276"/>
        <v>0</v>
      </c>
      <c r="CW46" s="372">
        <f t="shared" si="276"/>
        <v>0</v>
      </c>
      <c r="CX46" s="406">
        <f t="shared" si="276"/>
        <v>0</v>
      </c>
      <c r="CY46" s="405">
        <f t="shared" ref="CY46:DB52" si="277">(Y46*$CE46*(1+$CF46)^CY$6)/4</f>
        <v>0</v>
      </c>
      <c r="CZ46" s="372">
        <f t="shared" si="277"/>
        <v>0</v>
      </c>
      <c r="DA46" s="372">
        <f t="shared" si="277"/>
        <v>0</v>
      </c>
      <c r="DB46" s="406">
        <f t="shared" si="277"/>
        <v>0</v>
      </c>
      <c r="DC46" s="405">
        <f t="shared" ref="DC46:DF52" si="278">(AD46*$CE46*(1+$CF46)^DC$6)/4</f>
        <v>0</v>
      </c>
      <c r="DD46" s="372">
        <f t="shared" si="278"/>
        <v>0</v>
      </c>
      <c r="DE46" s="372">
        <f t="shared" si="278"/>
        <v>0</v>
      </c>
      <c r="DF46" s="668">
        <f t="shared" si="278"/>
        <v>0</v>
      </c>
      <c r="DG46" s="405">
        <f t="shared" ref="DG46:DJ52" si="279">(AI46*$CE46*(1+$CF46)^DG$6)/4</f>
        <v>0</v>
      </c>
      <c r="DH46" s="372">
        <f t="shared" si="279"/>
        <v>0</v>
      </c>
      <c r="DI46" s="372">
        <f t="shared" si="279"/>
        <v>0</v>
      </c>
      <c r="DJ46" s="668">
        <f t="shared" si="279"/>
        <v>0</v>
      </c>
      <c r="DK46" s="673">
        <f t="shared" ref="DK46:DN52" si="280">(AN46*$CE46*(1+$CF46)^DK$6)/4</f>
        <v>0</v>
      </c>
      <c r="DL46" s="671">
        <f t="shared" si="280"/>
        <v>0</v>
      </c>
      <c r="DM46" s="671">
        <f t="shared" si="280"/>
        <v>0</v>
      </c>
      <c r="DN46" s="668">
        <f t="shared" si="280"/>
        <v>0</v>
      </c>
      <c r="DO46" s="673">
        <f t="shared" ref="DO46:DR52" si="281">(AS46*$CE46*(1+$CF46)^DO$6)/4</f>
        <v>0</v>
      </c>
      <c r="DP46" s="671">
        <f t="shared" si="281"/>
        <v>0</v>
      </c>
      <c r="DQ46" s="671">
        <f t="shared" si="281"/>
        <v>0</v>
      </c>
      <c r="DR46" s="668">
        <f t="shared" si="281"/>
        <v>0</v>
      </c>
      <c r="DS46" s="673">
        <f t="shared" ref="DS46:DV52" si="282">(AX46*$CE46*(1+$CF46)^DS$6)/4</f>
        <v>45.413517607647812</v>
      </c>
      <c r="DT46" s="671">
        <f t="shared" si="282"/>
        <v>45.413517607647812</v>
      </c>
      <c r="DU46" s="671">
        <f t="shared" si="282"/>
        <v>45.413517607647812</v>
      </c>
      <c r="DV46" s="668">
        <f t="shared" si="282"/>
        <v>45.413517607647812</v>
      </c>
      <c r="DW46" s="673">
        <f t="shared" ref="DW46:DZ52" si="283">(BC46*$CE46*(1+$CF46)^DW$6)/4</f>
        <v>46.321787959800773</v>
      </c>
      <c r="DX46" s="671">
        <f t="shared" si="283"/>
        <v>46.321787959800773</v>
      </c>
      <c r="DY46" s="671">
        <f t="shared" si="283"/>
        <v>46.321787959800773</v>
      </c>
      <c r="DZ46" s="668">
        <f t="shared" si="283"/>
        <v>46.321787959800773</v>
      </c>
      <c r="EA46" s="673">
        <f t="shared" ref="EA46:ED52" si="284">(BH46*$CE46*(1+$CF46)^EA$6)/4</f>
        <v>47.24822371899679</v>
      </c>
      <c r="EB46" s="671">
        <f t="shared" si="284"/>
        <v>47.24822371899679</v>
      </c>
      <c r="EC46" s="671">
        <f t="shared" si="284"/>
        <v>47.24822371899679</v>
      </c>
      <c r="ED46" s="668">
        <f t="shared" si="284"/>
        <v>47.24822371899679</v>
      </c>
      <c r="EE46" s="673">
        <f t="shared" ref="EE46:EH52" si="285">(BM46*$CE46*(1+$CF46)^EE$6)/4</f>
        <v>24.096594096688364</v>
      </c>
      <c r="EF46" s="671">
        <f t="shared" si="285"/>
        <v>0</v>
      </c>
      <c r="EG46" s="671">
        <f t="shared" si="285"/>
        <v>0</v>
      </c>
      <c r="EH46" s="668">
        <f t="shared" si="285"/>
        <v>0</v>
      </c>
      <c r="EI46" s="673">
        <f t="shared" ref="EI46:EL52" si="286">(BR46*$CE46*(1+$CF46)^EI$6)/4</f>
        <v>0</v>
      </c>
      <c r="EJ46" s="671">
        <f t="shared" si="286"/>
        <v>0</v>
      </c>
      <c r="EK46" s="671">
        <f t="shared" si="286"/>
        <v>0</v>
      </c>
      <c r="EL46" s="668">
        <f t="shared" si="286"/>
        <v>0</v>
      </c>
      <c r="EM46" s="416">
        <f t="shared" ref="EM46:EQ52" si="287">(BW46*$CE46*(1+$CF46)^EM$6)</f>
        <v>0</v>
      </c>
      <c r="EN46" s="416">
        <f t="shared" si="287"/>
        <v>0</v>
      </c>
      <c r="EO46" s="416">
        <f t="shared" si="287"/>
        <v>0</v>
      </c>
      <c r="EP46" s="416">
        <f t="shared" si="287"/>
        <v>0</v>
      </c>
      <c r="EQ46" s="416">
        <f t="shared" si="287"/>
        <v>0</v>
      </c>
      <c r="EU46" s="416">
        <f t="shared" ref="EU46:EU52" si="288">SUM(CI46:CL46)</f>
        <v>0</v>
      </c>
      <c r="EV46" s="416">
        <f t="shared" ref="EV46:EV52" si="289">SUM(CM46:CP46)</f>
        <v>0</v>
      </c>
      <c r="EW46" s="416">
        <f t="shared" ref="EW46:EW52" si="290">SUM(CQ46:CT46)</f>
        <v>0</v>
      </c>
      <c r="EX46" s="416">
        <f t="shared" ref="EX46:EX52" si="291">SUM(CU46:CX46)</f>
        <v>0</v>
      </c>
      <c r="EY46" s="416">
        <f t="shared" ref="EY46:EY52" si="292">SUM(CY46:DB46)</f>
        <v>0</v>
      </c>
      <c r="EZ46" s="416">
        <f t="shared" ref="EZ46:EZ52" si="293">SUM(DC46:DF46)</f>
        <v>0</v>
      </c>
      <c r="FA46" s="416">
        <f t="shared" ref="FA46:FA52" si="294">SUM(DG46:DJ46)</f>
        <v>0</v>
      </c>
      <c r="FB46" s="416">
        <f t="shared" ref="FB46:FB52" si="295">SUM(DK46:DN46)</f>
        <v>0</v>
      </c>
      <c r="FC46" s="416">
        <f t="shared" ref="FC46:FC52" si="296">SUM(DO46:DR46)</f>
        <v>0</v>
      </c>
      <c r="FD46" s="416">
        <f t="shared" ref="FD46:FD52" si="297">SUM(DS46:DV46)</f>
        <v>181.65407043059125</v>
      </c>
      <c r="FE46" s="416">
        <f t="shared" ref="FE46:FE52" si="298">SUM(DW46:DZ46)</f>
        <v>185.28715183920309</v>
      </c>
      <c r="FF46" s="416">
        <f t="shared" ref="FF46:FF52" si="299">SUM(EA46:ED46)</f>
        <v>188.99289487598716</v>
      </c>
      <c r="FG46" s="416">
        <f t="shared" ref="FG46:FG52" si="300">SUM(EE46:EH46)</f>
        <v>24.096594096688364</v>
      </c>
      <c r="FH46" s="416">
        <f t="shared" ref="FH46:FH52" si="301">SUM(EI46:EL46)</f>
        <v>0</v>
      </c>
      <c r="FI46" s="416">
        <f t="shared" ref="FI46:FI52" si="302">EM46</f>
        <v>0</v>
      </c>
      <c r="FJ46" s="416">
        <f t="shared" ref="FJ46:FK52" si="303">EN46</f>
        <v>0</v>
      </c>
      <c r="FK46" s="416">
        <f t="shared" si="303"/>
        <v>0</v>
      </c>
      <c r="FL46" s="416">
        <f t="shared" ref="FL46:FM52" si="304">EP46</f>
        <v>0</v>
      </c>
      <c r="FM46" s="416">
        <f t="shared" si="304"/>
        <v>0</v>
      </c>
      <c r="FP46" s="416">
        <f t="shared" ref="FP46:FP52" si="305">SUMIF(CI$5:CL$5,TRUE,CI46:CL46)</f>
        <v>0</v>
      </c>
      <c r="FQ46" s="416">
        <f t="shared" ref="FQ46:FQ52" si="306">SUMIF(CM$5:CP$5,TRUE,CM46:CP46)</f>
        <v>0</v>
      </c>
      <c r="FR46" s="416">
        <f t="shared" ref="FR46:FR52" si="307">SUMIF(CQ$5:CT$5,TRUE,CQ46:CT46)</f>
        <v>0</v>
      </c>
      <c r="FS46" s="416">
        <f t="shared" ref="FS46:FS52" si="308">SUMIF(CU$5:CX$5,TRUE,CU46:CX46)</f>
        <v>0</v>
      </c>
      <c r="FT46" s="416">
        <f t="shared" ref="FT46:FT52" si="309">SUMIF(CY$5:DB$5,TRUE,CY46:DB46)</f>
        <v>0</v>
      </c>
      <c r="FU46" s="416">
        <f t="shared" ref="FU46:FU52" si="310">SUMIF(DC$5:DF$5,TRUE,DC46:DF46)</f>
        <v>0</v>
      </c>
      <c r="FV46" s="416">
        <f t="shared" ref="FV46:FV52" si="311">SUMIF(DG$5:DJ$5,TRUE,DG46:DJ46)</f>
        <v>0</v>
      </c>
      <c r="FW46" s="416">
        <f t="shared" ref="FW46:FW52" si="312">SUMIF(DK$5:DN$5,TRUE,DK46:DN46)</f>
        <v>0</v>
      </c>
      <c r="FX46" s="416">
        <f t="shared" ref="FX46:FX52" si="313">SUMIF(DO$5:DR$5,TRUE,DO46:DR46)</f>
        <v>0</v>
      </c>
      <c r="FY46" s="416">
        <f t="shared" ref="FY46:FY52" si="314">SUMIF(DS$5:DV$5,TRUE,DS46:DV46)</f>
        <v>181.65407043059125</v>
      </c>
      <c r="FZ46" s="416">
        <f t="shared" ref="FZ46:FZ52" si="315">SUMIF(DW$5:DZ$5,TRUE,DW46:DZ46)</f>
        <v>185.28715183920309</v>
      </c>
      <c r="GA46" s="416">
        <f t="shared" ref="GA46:GA52" si="316">SUMIF(EA$5:ED$5,TRUE,EA46:ED46)</f>
        <v>188.99289487598716</v>
      </c>
      <c r="GB46" s="416">
        <f t="shared" ref="GB46:GB52" si="317">SUMIF(EE$5:EH$5,TRUE,EE46:EH46)</f>
        <v>24.096594096688364</v>
      </c>
      <c r="GC46" s="416">
        <f t="shared" ref="GC46:GC52" si="318">SUMIF(EE$5:EH$5,TRUE,EE46:EH46)</f>
        <v>24.096594096688364</v>
      </c>
      <c r="GD46" s="416">
        <f t="shared" ref="GD46:GD52" si="319">IF(EM$5,EM46,0)</f>
        <v>0</v>
      </c>
      <c r="GE46" s="416">
        <f t="shared" ref="GE46:GF52" si="320">IF(EN$5,EN46,0)</f>
        <v>0</v>
      </c>
      <c r="GF46" s="416">
        <f t="shared" si="320"/>
        <v>0</v>
      </c>
      <c r="GG46" s="416">
        <f t="shared" ref="GG46:GH52" si="321">IF(EP$5,EP46,0)</f>
        <v>0</v>
      </c>
      <c r="GH46" s="416">
        <f t="shared" si="321"/>
        <v>0</v>
      </c>
    </row>
    <row r="47" spans="1:190" s="138" customFormat="1" outlineLevel="1" x14ac:dyDescent="0.25">
      <c r="A47" s="361"/>
      <c r="B47" s="368" t="s">
        <v>423</v>
      </c>
      <c r="C47" s="368"/>
      <c r="D47" s="368"/>
      <c r="E47" s="386"/>
      <c r="F47" s="369"/>
      <c r="G47" s="369"/>
      <c r="H47" s="579"/>
      <c r="I47" s="357">
        <f t="shared" si="251"/>
        <v>0</v>
      </c>
      <c r="J47" s="386"/>
      <c r="K47" s="369"/>
      <c r="L47" s="369"/>
      <c r="M47" s="579"/>
      <c r="N47" s="357">
        <f t="shared" si="252"/>
        <v>0</v>
      </c>
      <c r="O47" s="386"/>
      <c r="P47" s="369"/>
      <c r="Q47" s="369"/>
      <c r="R47" s="579"/>
      <c r="S47" s="357">
        <f t="shared" si="253"/>
        <v>0</v>
      </c>
      <c r="T47" s="386"/>
      <c r="U47" s="369"/>
      <c r="V47" s="369"/>
      <c r="W47" s="579"/>
      <c r="X47" s="357">
        <f t="shared" si="254"/>
        <v>0</v>
      </c>
      <c r="Y47" s="386"/>
      <c r="Z47" s="369"/>
      <c r="AA47" s="369"/>
      <c r="AB47" s="579"/>
      <c r="AC47" s="357">
        <f t="shared" si="255"/>
        <v>0</v>
      </c>
      <c r="AD47" s="386"/>
      <c r="AE47" s="369"/>
      <c r="AF47" s="369"/>
      <c r="AG47" s="579"/>
      <c r="AH47" s="357">
        <f t="shared" si="256"/>
        <v>0</v>
      </c>
      <c r="AI47" s="386"/>
      <c r="AJ47" s="369"/>
      <c r="AK47" s="369"/>
      <c r="AL47" s="369"/>
      <c r="AM47" s="357">
        <f t="shared" si="257"/>
        <v>0</v>
      </c>
      <c r="AN47" s="386"/>
      <c r="AO47" s="369"/>
      <c r="AP47" s="369"/>
      <c r="AQ47" s="369"/>
      <c r="AR47" s="357">
        <f t="shared" si="258"/>
        <v>0</v>
      </c>
      <c r="AS47" s="386"/>
      <c r="AT47" s="369"/>
      <c r="AU47" s="369"/>
      <c r="AV47" s="369"/>
      <c r="AW47" s="357">
        <f t="shared" si="259"/>
        <v>0</v>
      </c>
      <c r="AX47" s="386"/>
      <c r="AY47" s="369"/>
      <c r="AZ47" s="369"/>
      <c r="BA47" s="369"/>
      <c r="BB47" s="357">
        <f t="shared" si="260"/>
        <v>0</v>
      </c>
      <c r="BC47" s="386"/>
      <c r="BD47" s="369"/>
      <c r="BE47" s="369"/>
      <c r="BF47" s="369"/>
      <c r="BG47" s="357">
        <f t="shared" si="261"/>
        <v>0</v>
      </c>
      <c r="BH47" s="386"/>
      <c r="BI47" s="369"/>
      <c r="BJ47" s="369"/>
      <c r="BK47" s="369"/>
      <c r="BL47" s="357">
        <f t="shared" si="262"/>
        <v>0</v>
      </c>
      <c r="BM47" s="386"/>
      <c r="BN47" s="369"/>
      <c r="BO47" s="369"/>
      <c r="BP47" s="369"/>
      <c r="BQ47" s="967">
        <f t="shared" si="263"/>
        <v>0</v>
      </c>
      <c r="BR47" s="386"/>
      <c r="BS47" s="369"/>
      <c r="BT47" s="369"/>
      <c r="BU47" s="369"/>
      <c r="BV47" s="967">
        <f t="shared" si="264"/>
        <v>0</v>
      </c>
      <c r="BW47" s="389"/>
      <c r="BX47" s="389"/>
      <c r="BY47" s="389"/>
      <c r="BZ47" s="389"/>
      <c r="CA47" s="389"/>
      <c r="CB47" s="370"/>
      <c r="CC47" s="395">
        <v>124</v>
      </c>
      <c r="CD47" s="371">
        <v>0.02</v>
      </c>
      <c r="CE47" s="395">
        <f t="shared" si="265"/>
        <v>129.00960000000001</v>
      </c>
      <c r="CF47" s="371">
        <v>0.02</v>
      </c>
      <c r="CG47" s="395">
        <f t="shared" si="266"/>
        <v>134.22158784000001</v>
      </c>
      <c r="CH47" s="371">
        <v>0.02</v>
      </c>
      <c r="CI47" s="405">
        <f t="shared" si="267"/>
        <v>0</v>
      </c>
      <c r="CJ47" s="372">
        <f t="shared" si="268"/>
        <v>0</v>
      </c>
      <c r="CK47" s="372">
        <f t="shared" si="269"/>
        <v>0</v>
      </c>
      <c r="CL47" s="406">
        <f t="shared" si="270"/>
        <v>0</v>
      </c>
      <c r="CM47" s="405">
        <f t="shared" si="271"/>
        <v>0</v>
      </c>
      <c r="CN47" s="372">
        <f t="shared" si="272"/>
        <v>0</v>
      </c>
      <c r="CO47" s="372">
        <f t="shared" si="273"/>
        <v>0</v>
      </c>
      <c r="CP47" s="406">
        <f t="shared" si="274"/>
        <v>0</v>
      </c>
      <c r="CQ47" s="405">
        <f t="shared" si="275"/>
        <v>0</v>
      </c>
      <c r="CR47" s="372">
        <f t="shared" si="275"/>
        <v>0</v>
      </c>
      <c r="CS47" s="372">
        <f t="shared" si="275"/>
        <v>0</v>
      </c>
      <c r="CT47" s="406">
        <f t="shared" si="275"/>
        <v>0</v>
      </c>
      <c r="CU47" s="405">
        <f t="shared" si="276"/>
        <v>0</v>
      </c>
      <c r="CV47" s="372">
        <f t="shared" si="276"/>
        <v>0</v>
      </c>
      <c r="CW47" s="372">
        <f t="shared" si="276"/>
        <v>0</v>
      </c>
      <c r="CX47" s="406">
        <f t="shared" si="276"/>
        <v>0</v>
      </c>
      <c r="CY47" s="405">
        <f t="shared" si="277"/>
        <v>0</v>
      </c>
      <c r="CZ47" s="372">
        <f t="shared" si="277"/>
        <v>0</v>
      </c>
      <c r="DA47" s="372">
        <f t="shared" si="277"/>
        <v>0</v>
      </c>
      <c r="DB47" s="406">
        <f t="shared" si="277"/>
        <v>0</v>
      </c>
      <c r="DC47" s="405">
        <f t="shared" si="278"/>
        <v>0</v>
      </c>
      <c r="DD47" s="372">
        <f t="shared" si="278"/>
        <v>0</v>
      </c>
      <c r="DE47" s="372">
        <f t="shared" si="278"/>
        <v>0</v>
      </c>
      <c r="DF47" s="668">
        <f t="shared" si="278"/>
        <v>0</v>
      </c>
      <c r="DG47" s="405">
        <f t="shared" si="279"/>
        <v>0</v>
      </c>
      <c r="DH47" s="372">
        <f t="shared" si="279"/>
        <v>0</v>
      </c>
      <c r="DI47" s="372">
        <f t="shared" si="279"/>
        <v>0</v>
      </c>
      <c r="DJ47" s="668">
        <f t="shared" si="279"/>
        <v>0</v>
      </c>
      <c r="DK47" s="673">
        <f t="shared" si="280"/>
        <v>0</v>
      </c>
      <c r="DL47" s="671">
        <f t="shared" si="280"/>
        <v>0</v>
      </c>
      <c r="DM47" s="671">
        <f t="shared" si="280"/>
        <v>0</v>
      </c>
      <c r="DN47" s="668">
        <f t="shared" si="280"/>
        <v>0</v>
      </c>
      <c r="DO47" s="673">
        <f t="shared" si="281"/>
        <v>0</v>
      </c>
      <c r="DP47" s="671">
        <f t="shared" si="281"/>
        <v>0</v>
      </c>
      <c r="DQ47" s="671">
        <f t="shared" si="281"/>
        <v>0</v>
      </c>
      <c r="DR47" s="668">
        <f t="shared" si="281"/>
        <v>0</v>
      </c>
      <c r="DS47" s="673">
        <f t="shared" si="282"/>
        <v>0</v>
      </c>
      <c r="DT47" s="671">
        <f t="shared" si="282"/>
        <v>0</v>
      </c>
      <c r="DU47" s="671">
        <f t="shared" si="282"/>
        <v>0</v>
      </c>
      <c r="DV47" s="668">
        <f t="shared" si="282"/>
        <v>0</v>
      </c>
      <c r="DW47" s="673">
        <f t="shared" si="283"/>
        <v>0</v>
      </c>
      <c r="DX47" s="671">
        <f t="shared" si="283"/>
        <v>0</v>
      </c>
      <c r="DY47" s="671">
        <f t="shared" si="283"/>
        <v>0</v>
      </c>
      <c r="DZ47" s="668">
        <f t="shared" si="283"/>
        <v>0</v>
      </c>
      <c r="EA47" s="673">
        <f t="shared" si="284"/>
        <v>0</v>
      </c>
      <c r="EB47" s="671">
        <f t="shared" si="284"/>
        <v>0</v>
      </c>
      <c r="EC47" s="671">
        <f t="shared" si="284"/>
        <v>0</v>
      </c>
      <c r="ED47" s="668">
        <f t="shared" si="284"/>
        <v>0</v>
      </c>
      <c r="EE47" s="673">
        <f t="shared" si="285"/>
        <v>0</v>
      </c>
      <c r="EF47" s="671">
        <f t="shared" si="285"/>
        <v>0</v>
      </c>
      <c r="EG47" s="671">
        <f t="shared" si="285"/>
        <v>0</v>
      </c>
      <c r="EH47" s="668">
        <f t="shared" si="285"/>
        <v>0</v>
      </c>
      <c r="EI47" s="673">
        <f t="shared" si="286"/>
        <v>0</v>
      </c>
      <c r="EJ47" s="671">
        <f t="shared" si="286"/>
        <v>0</v>
      </c>
      <c r="EK47" s="671">
        <f t="shared" si="286"/>
        <v>0</v>
      </c>
      <c r="EL47" s="668">
        <f t="shared" si="286"/>
        <v>0</v>
      </c>
      <c r="EM47" s="416">
        <f t="shared" si="287"/>
        <v>0</v>
      </c>
      <c r="EN47" s="416">
        <f t="shared" si="287"/>
        <v>0</v>
      </c>
      <c r="EO47" s="416">
        <f t="shared" si="287"/>
        <v>0</v>
      </c>
      <c r="EP47" s="416">
        <f t="shared" si="287"/>
        <v>0</v>
      </c>
      <c r="EQ47" s="416">
        <f t="shared" si="287"/>
        <v>0</v>
      </c>
      <c r="EU47" s="416">
        <f t="shared" si="288"/>
        <v>0</v>
      </c>
      <c r="EV47" s="416">
        <f t="shared" si="289"/>
        <v>0</v>
      </c>
      <c r="EW47" s="416">
        <f t="shared" si="290"/>
        <v>0</v>
      </c>
      <c r="EX47" s="416">
        <f t="shared" si="291"/>
        <v>0</v>
      </c>
      <c r="EY47" s="416">
        <f t="shared" si="292"/>
        <v>0</v>
      </c>
      <c r="EZ47" s="416">
        <f t="shared" si="293"/>
        <v>0</v>
      </c>
      <c r="FA47" s="416">
        <f t="shared" si="294"/>
        <v>0</v>
      </c>
      <c r="FB47" s="416">
        <f t="shared" si="295"/>
        <v>0</v>
      </c>
      <c r="FC47" s="416">
        <f t="shared" si="296"/>
        <v>0</v>
      </c>
      <c r="FD47" s="416">
        <f t="shared" si="297"/>
        <v>0</v>
      </c>
      <c r="FE47" s="416">
        <f t="shared" si="298"/>
        <v>0</v>
      </c>
      <c r="FF47" s="416">
        <f t="shared" si="299"/>
        <v>0</v>
      </c>
      <c r="FG47" s="416">
        <f t="shared" si="300"/>
        <v>0</v>
      </c>
      <c r="FH47" s="416">
        <f t="shared" si="301"/>
        <v>0</v>
      </c>
      <c r="FI47" s="416">
        <f t="shared" si="302"/>
        <v>0</v>
      </c>
      <c r="FJ47" s="416">
        <f t="shared" si="303"/>
        <v>0</v>
      </c>
      <c r="FK47" s="416">
        <f t="shared" si="303"/>
        <v>0</v>
      </c>
      <c r="FL47" s="416">
        <f t="shared" si="304"/>
        <v>0</v>
      </c>
      <c r="FM47" s="416">
        <f t="shared" si="304"/>
        <v>0</v>
      </c>
      <c r="FP47" s="416">
        <f t="shared" si="305"/>
        <v>0</v>
      </c>
      <c r="FQ47" s="416">
        <f t="shared" si="306"/>
        <v>0</v>
      </c>
      <c r="FR47" s="416">
        <f t="shared" si="307"/>
        <v>0</v>
      </c>
      <c r="FS47" s="416">
        <f t="shared" si="308"/>
        <v>0</v>
      </c>
      <c r="FT47" s="416">
        <f t="shared" si="309"/>
        <v>0</v>
      </c>
      <c r="FU47" s="416">
        <f t="shared" si="310"/>
        <v>0</v>
      </c>
      <c r="FV47" s="416">
        <f t="shared" si="311"/>
        <v>0</v>
      </c>
      <c r="FW47" s="416">
        <f t="shared" si="312"/>
        <v>0</v>
      </c>
      <c r="FX47" s="416">
        <f t="shared" si="313"/>
        <v>0</v>
      </c>
      <c r="FY47" s="416">
        <f t="shared" si="314"/>
        <v>0</v>
      </c>
      <c r="FZ47" s="416">
        <f t="shared" si="315"/>
        <v>0</v>
      </c>
      <c r="GA47" s="416">
        <f t="shared" si="316"/>
        <v>0</v>
      </c>
      <c r="GB47" s="416">
        <f t="shared" si="317"/>
        <v>0</v>
      </c>
      <c r="GC47" s="416">
        <f t="shared" si="318"/>
        <v>0</v>
      </c>
      <c r="GD47" s="416">
        <f t="shared" si="319"/>
        <v>0</v>
      </c>
      <c r="GE47" s="416">
        <f t="shared" si="320"/>
        <v>0</v>
      </c>
      <c r="GF47" s="416">
        <f t="shared" si="320"/>
        <v>0</v>
      </c>
      <c r="GG47" s="416">
        <f t="shared" si="321"/>
        <v>0</v>
      </c>
      <c r="GH47" s="416">
        <f t="shared" si="321"/>
        <v>0</v>
      </c>
    </row>
    <row r="48" spans="1:190" s="138" customFormat="1" outlineLevel="1" x14ac:dyDescent="0.25">
      <c r="A48" s="361"/>
      <c r="B48" s="368" t="s">
        <v>424</v>
      </c>
      <c r="C48" s="368"/>
      <c r="D48" s="368"/>
      <c r="E48" s="386"/>
      <c r="F48" s="369"/>
      <c r="G48" s="369"/>
      <c r="H48" s="579"/>
      <c r="I48" s="357">
        <f t="shared" si="251"/>
        <v>0</v>
      </c>
      <c r="J48" s="386"/>
      <c r="K48" s="369"/>
      <c r="L48" s="369"/>
      <c r="M48" s="579"/>
      <c r="N48" s="357">
        <f t="shared" si="252"/>
        <v>0</v>
      </c>
      <c r="O48" s="386"/>
      <c r="P48" s="369"/>
      <c r="Q48" s="369"/>
      <c r="R48" s="579"/>
      <c r="S48" s="357">
        <f t="shared" si="253"/>
        <v>0</v>
      </c>
      <c r="T48" s="386"/>
      <c r="U48" s="369"/>
      <c r="V48" s="369"/>
      <c r="W48" s="579"/>
      <c r="X48" s="357">
        <f t="shared" si="254"/>
        <v>0</v>
      </c>
      <c r="Y48" s="386"/>
      <c r="Z48" s="369"/>
      <c r="AA48" s="369"/>
      <c r="AB48" s="579"/>
      <c r="AC48" s="357">
        <f t="shared" si="255"/>
        <v>0</v>
      </c>
      <c r="AD48" s="386"/>
      <c r="AE48" s="369"/>
      <c r="AF48" s="369"/>
      <c r="AG48" s="579"/>
      <c r="AH48" s="357">
        <f t="shared" si="256"/>
        <v>0</v>
      </c>
      <c r="AI48" s="386"/>
      <c r="AJ48" s="369"/>
      <c r="AK48" s="369"/>
      <c r="AL48" s="369"/>
      <c r="AM48" s="357">
        <f t="shared" si="257"/>
        <v>0</v>
      </c>
      <c r="AN48" s="386"/>
      <c r="AO48" s="369"/>
      <c r="AP48" s="369"/>
      <c r="AQ48" s="369"/>
      <c r="AR48" s="357">
        <f t="shared" si="258"/>
        <v>0</v>
      </c>
      <c r="AS48" s="386"/>
      <c r="AT48" s="369"/>
      <c r="AU48" s="369"/>
      <c r="AV48" s="369"/>
      <c r="AW48" s="357">
        <f t="shared" si="259"/>
        <v>0</v>
      </c>
      <c r="AX48" s="386"/>
      <c r="AY48" s="369"/>
      <c r="AZ48" s="369"/>
      <c r="BA48" s="369"/>
      <c r="BB48" s="357">
        <f t="shared" si="260"/>
        <v>0</v>
      </c>
      <c r="BC48" s="386"/>
      <c r="BD48" s="369"/>
      <c r="BE48" s="369"/>
      <c r="BF48" s="369"/>
      <c r="BG48" s="357">
        <f t="shared" si="261"/>
        <v>0</v>
      </c>
      <c r="BH48" s="386"/>
      <c r="BI48" s="369"/>
      <c r="BJ48" s="369"/>
      <c r="BK48" s="369"/>
      <c r="BL48" s="357">
        <f t="shared" si="262"/>
        <v>0</v>
      </c>
      <c r="BM48" s="386"/>
      <c r="BN48" s="369"/>
      <c r="BO48" s="369"/>
      <c r="BP48" s="369"/>
      <c r="BQ48" s="967">
        <f t="shared" si="263"/>
        <v>0</v>
      </c>
      <c r="BR48" s="386"/>
      <c r="BS48" s="369"/>
      <c r="BT48" s="369"/>
      <c r="BU48" s="369"/>
      <c r="BV48" s="967">
        <f t="shared" si="264"/>
        <v>0</v>
      </c>
      <c r="BW48" s="389"/>
      <c r="BX48" s="389"/>
      <c r="BY48" s="389"/>
      <c r="BZ48" s="389"/>
      <c r="CA48" s="389"/>
      <c r="CB48" s="370"/>
      <c r="CC48" s="395">
        <v>134</v>
      </c>
      <c r="CD48" s="371">
        <v>0.02</v>
      </c>
      <c r="CE48" s="395">
        <f t="shared" si="265"/>
        <v>139.4136</v>
      </c>
      <c r="CF48" s="371">
        <v>0.02</v>
      </c>
      <c r="CG48" s="395">
        <f t="shared" si="266"/>
        <v>145.04590944</v>
      </c>
      <c r="CH48" s="371">
        <v>0.02</v>
      </c>
      <c r="CI48" s="405">
        <f t="shared" si="267"/>
        <v>0</v>
      </c>
      <c r="CJ48" s="372">
        <f t="shared" si="268"/>
        <v>0</v>
      </c>
      <c r="CK48" s="372">
        <f t="shared" si="269"/>
        <v>0</v>
      </c>
      <c r="CL48" s="406">
        <f t="shared" si="270"/>
        <v>0</v>
      </c>
      <c r="CM48" s="405">
        <f t="shared" si="271"/>
        <v>0</v>
      </c>
      <c r="CN48" s="372">
        <f t="shared" si="272"/>
        <v>0</v>
      </c>
      <c r="CO48" s="372">
        <f t="shared" si="273"/>
        <v>0</v>
      </c>
      <c r="CP48" s="406">
        <f t="shared" si="274"/>
        <v>0</v>
      </c>
      <c r="CQ48" s="405">
        <f t="shared" si="275"/>
        <v>0</v>
      </c>
      <c r="CR48" s="372">
        <f t="shared" si="275"/>
        <v>0</v>
      </c>
      <c r="CS48" s="372">
        <f t="shared" si="275"/>
        <v>0</v>
      </c>
      <c r="CT48" s="406">
        <f t="shared" si="275"/>
        <v>0</v>
      </c>
      <c r="CU48" s="405">
        <f t="shared" si="276"/>
        <v>0</v>
      </c>
      <c r="CV48" s="372">
        <f t="shared" si="276"/>
        <v>0</v>
      </c>
      <c r="CW48" s="372">
        <f t="shared" si="276"/>
        <v>0</v>
      </c>
      <c r="CX48" s="406">
        <f t="shared" si="276"/>
        <v>0</v>
      </c>
      <c r="CY48" s="405">
        <f t="shared" si="277"/>
        <v>0</v>
      </c>
      <c r="CZ48" s="372">
        <f t="shared" si="277"/>
        <v>0</v>
      </c>
      <c r="DA48" s="372">
        <f t="shared" si="277"/>
        <v>0</v>
      </c>
      <c r="DB48" s="406">
        <f t="shared" si="277"/>
        <v>0</v>
      </c>
      <c r="DC48" s="405">
        <f t="shared" si="278"/>
        <v>0</v>
      </c>
      <c r="DD48" s="372">
        <f t="shared" si="278"/>
        <v>0</v>
      </c>
      <c r="DE48" s="372">
        <f t="shared" si="278"/>
        <v>0</v>
      </c>
      <c r="DF48" s="668">
        <f t="shared" si="278"/>
        <v>0</v>
      </c>
      <c r="DG48" s="405">
        <f t="shared" si="279"/>
        <v>0</v>
      </c>
      <c r="DH48" s="372">
        <f t="shared" si="279"/>
        <v>0</v>
      </c>
      <c r="DI48" s="372">
        <f t="shared" si="279"/>
        <v>0</v>
      </c>
      <c r="DJ48" s="668">
        <f t="shared" si="279"/>
        <v>0</v>
      </c>
      <c r="DK48" s="673">
        <f t="shared" si="280"/>
        <v>0</v>
      </c>
      <c r="DL48" s="671">
        <f t="shared" si="280"/>
        <v>0</v>
      </c>
      <c r="DM48" s="671">
        <f t="shared" si="280"/>
        <v>0</v>
      </c>
      <c r="DN48" s="668">
        <f t="shared" si="280"/>
        <v>0</v>
      </c>
      <c r="DO48" s="673">
        <f t="shared" si="281"/>
        <v>0</v>
      </c>
      <c r="DP48" s="671">
        <f t="shared" si="281"/>
        <v>0</v>
      </c>
      <c r="DQ48" s="671">
        <f t="shared" si="281"/>
        <v>0</v>
      </c>
      <c r="DR48" s="668">
        <f t="shared" si="281"/>
        <v>0</v>
      </c>
      <c r="DS48" s="673">
        <f t="shared" si="282"/>
        <v>0</v>
      </c>
      <c r="DT48" s="671">
        <f t="shared" si="282"/>
        <v>0</v>
      </c>
      <c r="DU48" s="671">
        <f t="shared" si="282"/>
        <v>0</v>
      </c>
      <c r="DV48" s="668">
        <f t="shared" si="282"/>
        <v>0</v>
      </c>
      <c r="DW48" s="673">
        <f t="shared" si="283"/>
        <v>0</v>
      </c>
      <c r="DX48" s="671">
        <f t="shared" si="283"/>
        <v>0</v>
      </c>
      <c r="DY48" s="671">
        <f t="shared" si="283"/>
        <v>0</v>
      </c>
      <c r="DZ48" s="668">
        <f t="shared" si="283"/>
        <v>0</v>
      </c>
      <c r="EA48" s="673">
        <f t="shared" si="284"/>
        <v>0</v>
      </c>
      <c r="EB48" s="671">
        <f t="shared" si="284"/>
        <v>0</v>
      </c>
      <c r="EC48" s="671">
        <f t="shared" si="284"/>
        <v>0</v>
      </c>
      <c r="ED48" s="668">
        <f t="shared" si="284"/>
        <v>0</v>
      </c>
      <c r="EE48" s="673">
        <f t="shared" si="285"/>
        <v>0</v>
      </c>
      <c r="EF48" s="671">
        <f t="shared" si="285"/>
        <v>0</v>
      </c>
      <c r="EG48" s="671">
        <f t="shared" si="285"/>
        <v>0</v>
      </c>
      <c r="EH48" s="668">
        <f t="shared" si="285"/>
        <v>0</v>
      </c>
      <c r="EI48" s="673">
        <f t="shared" si="286"/>
        <v>0</v>
      </c>
      <c r="EJ48" s="671">
        <f t="shared" si="286"/>
        <v>0</v>
      </c>
      <c r="EK48" s="671">
        <f t="shared" si="286"/>
        <v>0</v>
      </c>
      <c r="EL48" s="668">
        <f t="shared" si="286"/>
        <v>0</v>
      </c>
      <c r="EM48" s="416">
        <f t="shared" si="287"/>
        <v>0</v>
      </c>
      <c r="EN48" s="416">
        <f t="shared" si="287"/>
        <v>0</v>
      </c>
      <c r="EO48" s="416">
        <f t="shared" si="287"/>
        <v>0</v>
      </c>
      <c r="EP48" s="416">
        <f t="shared" si="287"/>
        <v>0</v>
      </c>
      <c r="EQ48" s="416">
        <f t="shared" si="287"/>
        <v>0</v>
      </c>
      <c r="EU48" s="416">
        <f t="shared" si="288"/>
        <v>0</v>
      </c>
      <c r="EV48" s="416">
        <f t="shared" si="289"/>
        <v>0</v>
      </c>
      <c r="EW48" s="416">
        <f t="shared" si="290"/>
        <v>0</v>
      </c>
      <c r="EX48" s="416">
        <f t="shared" si="291"/>
        <v>0</v>
      </c>
      <c r="EY48" s="416">
        <f t="shared" si="292"/>
        <v>0</v>
      </c>
      <c r="EZ48" s="416">
        <f t="shared" si="293"/>
        <v>0</v>
      </c>
      <c r="FA48" s="416">
        <f t="shared" si="294"/>
        <v>0</v>
      </c>
      <c r="FB48" s="416">
        <f t="shared" si="295"/>
        <v>0</v>
      </c>
      <c r="FC48" s="416">
        <f t="shared" si="296"/>
        <v>0</v>
      </c>
      <c r="FD48" s="416">
        <f t="shared" si="297"/>
        <v>0</v>
      </c>
      <c r="FE48" s="416">
        <f t="shared" si="298"/>
        <v>0</v>
      </c>
      <c r="FF48" s="416">
        <f t="shared" si="299"/>
        <v>0</v>
      </c>
      <c r="FG48" s="416">
        <f t="shared" si="300"/>
        <v>0</v>
      </c>
      <c r="FH48" s="416">
        <f t="shared" si="301"/>
        <v>0</v>
      </c>
      <c r="FI48" s="416">
        <f t="shared" si="302"/>
        <v>0</v>
      </c>
      <c r="FJ48" s="416">
        <f t="shared" si="303"/>
        <v>0</v>
      </c>
      <c r="FK48" s="416">
        <f t="shared" si="303"/>
        <v>0</v>
      </c>
      <c r="FL48" s="416">
        <f t="shared" si="304"/>
        <v>0</v>
      </c>
      <c r="FM48" s="416">
        <f t="shared" si="304"/>
        <v>0</v>
      </c>
      <c r="FP48" s="416">
        <f t="shared" si="305"/>
        <v>0</v>
      </c>
      <c r="FQ48" s="416">
        <f t="shared" si="306"/>
        <v>0</v>
      </c>
      <c r="FR48" s="416">
        <f t="shared" si="307"/>
        <v>0</v>
      </c>
      <c r="FS48" s="416">
        <f t="shared" si="308"/>
        <v>0</v>
      </c>
      <c r="FT48" s="416">
        <f t="shared" si="309"/>
        <v>0</v>
      </c>
      <c r="FU48" s="416">
        <f t="shared" si="310"/>
        <v>0</v>
      </c>
      <c r="FV48" s="416">
        <f t="shared" si="311"/>
        <v>0</v>
      </c>
      <c r="FW48" s="416">
        <f t="shared" si="312"/>
        <v>0</v>
      </c>
      <c r="FX48" s="416">
        <f t="shared" si="313"/>
        <v>0</v>
      </c>
      <c r="FY48" s="416">
        <f t="shared" si="314"/>
        <v>0</v>
      </c>
      <c r="FZ48" s="416">
        <f t="shared" si="315"/>
        <v>0</v>
      </c>
      <c r="GA48" s="416">
        <f t="shared" si="316"/>
        <v>0</v>
      </c>
      <c r="GB48" s="416">
        <f t="shared" si="317"/>
        <v>0</v>
      </c>
      <c r="GC48" s="416">
        <f t="shared" si="318"/>
        <v>0</v>
      </c>
      <c r="GD48" s="416">
        <f t="shared" si="319"/>
        <v>0</v>
      </c>
      <c r="GE48" s="416">
        <f t="shared" si="320"/>
        <v>0</v>
      </c>
      <c r="GF48" s="416">
        <f t="shared" si="320"/>
        <v>0</v>
      </c>
      <c r="GG48" s="416">
        <f t="shared" si="321"/>
        <v>0</v>
      </c>
      <c r="GH48" s="416">
        <f t="shared" si="321"/>
        <v>0</v>
      </c>
    </row>
    <row r="49" spans="1:211" s="138" customFormat="1" outlineLevel="1" x14ac:dyDescent="0.25">
      <c r="A49" s="361"/>
      <c r="B49" s="368" t="s">
        <v>441</v>
      </c>
      <c r="C49" s="368"/>
      <c r="D49" s="368"/>
      <c r="E49" s="386"/>
      <c r="F49" s="369"/>
      <c r="G49" s="369"/>
      <c r="H49" s="579"/>
      <c r="I49" s="357">
        <f t="shared" si="251"/>
        <v>0</v>
      </c>
      <c r="J49" s="386"/>
      <c r="K49" s="369"/>
      <c r="L49" s="369"/>
      <c r="M49" s="579"/>
      <c r="N49" s="357">
        <f t="shared" si="252"/>
        <v>0</v>
      </c>
      <c r="O49" s="386"/>
      <c r="P49" s="369"/>
      <c r="Q49" s="369"/>
      <c r="R49" s="579"/>
      <c r="S49" s="357">
        <f t="shared" si="253"/>
        <v>0</v>
      </c>
      <c r="T49" s="386"/>
      <c r="U49" s="369"/>
      <c r="V49" s="369"/>
      <c r="W49" s="579"/>
      <c r="X49" s="357">
        <f t="shared" si="254"/>
        <v>0</v>
      </c>
      <c r="Y49" s="386"/>
      <c r="Z49" s="369"/>
      <c r="AA49" s="369"/>
      <c r="AB49" s="579"/>
      <c r="AC49" s="357">
        <f t="shared" si="255"/>
        <v>0</v>
      </c>
      <c r="AD49" s="386"/>
      <c r="AE49" s="369"/>
      <c r="AF49" s="369"/>
      <c r="AG49" s="579"/>
      <c r="AH49" s="357">
        <f t="shared" si="256"/>
        <v>0</v>
      </c>
      <c r="AI49" s="386"/>
      <c r="AJ49" s="369"/>
      <c r="AK49" s="369"/>
      <c r="AL49" s="369"/>
      <c r="AM49" s="357">
        <f t="shared" si="257"/>
        <v>0</v>
      </c>
      <c r="AN49" s="386"/>
      <c r="AO49" s="369"/>
      <c r="AP49" s="369"/>
      <c r="AQ49" s="369"/>
      <c r="AR49" s="357">
        <f t="shared" si="258"/>
        <v>0</v>
      </c>
      <c r="AS49" s="386"/>
      <c r="AT49" s="369"/>
      <c r="AU49" s="369"/>
      <c r="AV49" s="369"/>
      <c r="AW49" s="357">
        <f t="shared" si="259"/>
        <v>0</v>
      </c>
      <c r="AX49" s="386"/>
      <c r="AY49" s="369"/>
      <c r="AZ49" s="369"/>
      <c r="BA49" s="369"/>
      <c r="BB49" s="357">
        <f t="shared" si="260"/>
        <v>0</v>
      </c>
      <c r="BC49" s="386"/>
      <c r="BD49" s="369"/>
      <c r="BE49" s="369"/>
      <c r="BF49" s="369"/>
      <c r="BG49" s="357">
        <f t="shared" si="261"/>
        <v>0</v>
      </c>
      <c r="BH49" s="386"/>
      <c r="BI49" s="369"/>
      <c r="BJ49" s="369"/>
      <c r="BK49" s="369"/>
      <c r="BL49" s="357">
        <f t="shared" si="262"/>
        <v>0</v>
      </c>
      <c r="BM49" s="386"/>
      <c r="BN49" s="369"/>
      <c r="BO49" s="369"/>
      <c r="BP49" s="369"/>
      <c r="BQ49" s="967">
        <f t="shared" si="263"/>
        <v>0</v>
      </c>
      <c r="BR49" s="386"/>
      <c r="BS49" s="369"/>
      <c r="BT49" s="369"/>
      <c r="BU49" s="369"/>
      <c r="BV49" s="967">
        <f t="shared" si="264"/>
        <v>0</v>
      </c>
      <c r="BW49" s="389"/>
      <c r="BX49" s="389"/>
      <c r="BY49" s="389"/>
      <c r="BZ49" s="389"/>
      <c r="CA49" s="389"/>
      <c r="CB49" s="370"/>
      <c r="CC49" s="395">
        <v>124</v>
      </c>
      <c r="CD49" s="371">
        <v>0.02</v>
      </c>
      <c r="CE49" s="395">
        <f t="shared" si="265"/>
        <v>129.00960000000001</v>
      </c>
      <c r="CF49" s="371">
        <v>0.02</v>
      </c>
      <c r="CG49" s="395">
        <f t="shared" si="266"/>
        <v>134.22158784000001</v>
      </c>
      <c r="CH49" s="371">
        <v>0.02</v>
      </c>
      <c r="CI49" s="405">
        <f t="shared" si="267"/>
        <v>0</v>
      </c>
      <c r="CJ49" s="372">
        <f t="shared" si="268"/>
        <v>0</v>
      </c>
      <c r="CK49" s="372">
        <f t="shared" si="269"/>
        <v>0</v>
      </c>
      <c r="CL49" s="406">
        <f t="shared" si="270"/>
        <v>0</v>
      </c>
      <c r="CM49" s="405">
        <f t="shared" si="271"/>
        <v>0</v>
      </c>
      <c r="CN49" s="372">
        <f t="shared" si="272"/>
        <v>0</v>
      </c>
      <c r="CO49" s="372">
        <f t="shared" si="273"/>
        <v>0</v>
      </c>
      <c r="CP49" s="406">
        <f t="shared" si="274"/>
        <v>0</v>
      </c>
      <c r="CQ49" s="405">
        <f t="shared" si="275"/>
        <v>0</v>
      </c>
      <c r="CR49" s="372">
        <f t="shared" si="275"/>
        <v>0</v>
      </c>
      <c r="CS49" s="372">
        <f t="shared" si="275"/>
        <v>0</v>
      </c>
      <c r="CT49" s="406">
        <f t="shared" si="275"/>
        <v>0</v>
      </c>
      <c r="CU49" s="405">
        <f t="shared" si="276"/>
        <v>0</v>
      </c>
      <c r="CV49" s="372">
        <f t="shared" si="276"/>
        <v>0</v>
      </c>
      <c r="CW49" s="372">
        <f t="shared" si="276"/>
        <v>0</v>
      </c>
      <c r="CX49" s="406">
        <f t="shared" si="276"/>
        <v>0</v>
      </c>
      <c r="CY49" s="405">
        <f t="shared" si="277"/>
        <v>0</v>
      </c>
      <c r="CZ49" s="372">
        <f t="shared" si="277"/>
        <v>0</v>
      </c>
      <c r="DA49" s="372">
        <f t="shared" si="277"/>
        <v>0</v>
      </c>
      <c r="DB49" s="406">
        <f t="shared" si="277"/>
        <v>0</v>
      </c>
      <c r="DC49" s="405">
        <f t="shared" si="278"/>
        <v>0</v>
      </c>
      <c r="DD49" s="372">
        <f t="shared" si="278"/>
        <v>0</v>
      </c>
      <c r="DE49" s="372">
        <f t="shared" si="278"/>
        <v>0</v>
      </c>
      <c r="DF49" s="668">
        <f t="shared" si="278"/>
        <v>0</v>
      </c>
      <c r="DG49" s="405">
        <f t="shared" si="279"/>
        <v>0</v>
      </c>
      <c r="DH49" s="372">
        <f t="shared" si="279"/>
        <v>0</v>
      </c>
      <c r="DI49" s="372">
        <f t="shared" si="279"/>
        <v>0</v>
      </c>
      <c r="DJ49" s="668">
        <f t="shared" si="279"/>
        <v>0</v>
      </c>
      <c r="DK49" s="673">
        <f t="shared" si="280"/>
        <v>0</v>
      </c>
      <c r="DL49" s="671">
        <f t="shared" si="280"/>
        <v>0</v>
      </c>
      <c r="DM49" s="671">
        <f t="shared" si="280"/>
        <v>0</v>
      </c>
      <c r="DN49" s="668">
        <f t="shared" si="280"/>
        <v>0</v>
      </c>
      <c r="DO49" s="673">
        <f t="shared" si="281"/>
        <v>0</v>
      </c>
      <c r="DP49" s="671">
        <f t="shared" si="281"/>
        <v>0</v>
      </c>
      <c r="DQ49" s="671">
        <f t="shared" si="281"/>
        <v>0</v>
      </c>
      <c r="DR49" s="668">
        <f t="shared" si="281"/>
        <v>0</v>
      </c>
      <c r="DS49" s="673">
        <f t="shared" si="282"/>
        <v>0</v>
      </c>
      <c r="DT49" s="671">
        <f t="shared" si="282"/>
        <v>0</v>
      </c>
      <c r="DU49" s="671">
        <f t="shared" si="282"/>
        <v>0</v>
      </c>
      <c r="DV49" s="668">
        <f t="shared" si="282"/>
        <v>0</v>
      </c>
      <c r="DW49" s="673">
        <f t="shared" si="283"/>
        <v>0</v>
      </c>
      <c r="DX49" s="671">
        <f t="shared" si="283"/>
        <v>0</v>
      </c>
      <c r="DY49" s="671">
        <f t="shared" si="283"/>
        <v>0</v>
      </c>
      <c r="DZ49" s="668">
        <f t="shared" si="283"/>
        <v>0</v>
      </c>
      <c r="EA49" s="673">
        <f t="shared" si="284"/>
        <v>0</v>
      </c>
      <c r="EB49" s="671">
        <f t="shared" si="284"/>
        <v>0</v>
      </c>
      <c r="EC49" s="671">
        <f t="shared" si="284"/>
        <v>0</v>
      </c>
      <c r="ED49" s="668">
        <f t="shared" si="284"/>
        <v>0</v>
      </c>
      <c r="EE49" s="673">
        <f t="shared" si="285"/>
        <v>0</v>
      </c>
      <c r="EF49" s="671">
        <f t="shared" si="285"/>
        <v>0</v>
      </c>
      <c r="EG49" s="671">
        <f t="shared" si="285"/>
        <v>0</v>
      </c>
      <c r="EH49" s="668">
        <f t="shared" si="285"/>
        <v>0</v>
      </c>
      <c r="EI49" s="673">
        <f t="shared" si="286"/>
        <v>0</v>
      </c>
      <c r="EJ49" s="671">
        <f t="shared" si="286"/>
        <v>0</v>
      </c>
      <c r="EK49" s="671">
        <f t="shared" si="286"/>
        <v>0</v>
      </c>
      <c r="EL49" s="668">
        <f t="shared" si="286"/>
        <v>0</v>
      </c>
      <c r="EM49" s="416">
        <f t="shared" si="287"/>
        <v>0</v>
      </c>
      <c r="EN49" s="416">
        <f t="shared" si="287"/>
        <v>0</v>
      </c>
      <c r="EO49" s="416">
        <f t="shared" si="287"/>
        <v>0</v>
      </c>
      <c r="EP49" s="416">
        <f t="shared" si="287"/>
        <v>0</v>
      </c>
      <c r="EQ49" s="416">
        <f t="shared" si="287"/>
        <v>0</v>
      </c>
      <c r="EU49" s="416">
        <f t="shared" si="288"/>
        <v>0</v>
      </c>
      <c r="EV49" s="416">
        <f t="shared" si="289"/>
        <v>0</v>
      </c>
      <c r="EW49" s="416">
        <f t="shared" si="290"/>
        <v>0</v>
      </c>
      <c r="EX49" s="416">
        <f t="shared" si="291"/>
        <v>0</v>
      </c>
      <c r="EY49" s="416">
        <f t="shared" si="292"/>
        <v>0</v>
      </c>
      <c r="EZ49" s="416">
        <f t="shared" si="293"/>
        <v>0</v>
      </c>
      <c r="FA49" s="416">
        <f t="shared" si="294"/>
        <v>0</v>
      </c>
      <c r="FB49" s="416">
        <f t="shared" si="295"/>
        <v>0</v>
      </c>
      <c r="FC49" s="416">
        <f t="shared" si="296"/>
        <v>0</v>
      </c>
      <c r="FD49" s="416">
        <f t="shared" si="297"/>
        <v>0</v>
      </c>
      <c r="FE49" s="416">
        <f t="shared" si="298"/>
        <v>0</v>
      </c>
      <c r="FF49" s="416">
        <f t="shared" si="299"/>
        <v>0</v>
      </c>
      <c r="FG49" s="416">
        <f>SUM(EE49:EH49)</f>
        <v>0</v>
      </c>
      <c r="FH49" s="416">
        <f t="shared" si="301"/>
        <v>0</v>
      </c>
      <c r="FI49" s="416">
        <f t="shared" si="302"/>
        <v>0</v>
      </c>
      <c r="FJ49" s="416">
        <f t="shared" si="303"/>
        <v>0</v>
      </c>
      <c r="FK49" s="416">
        <f t="shared" si="303"/>
        <v>0</v>
      </c>
      <c r="FL49" s="416">
        <f t="shared" si="304"/>
        <v>0</v>
      </c>
      <c r="FM49" s="416">
        <f t="shared" si="304"/>
        <v>0</v>
      </c>
      <c r="FP49" s="416">
        <f t="shared" si="305"/>
        <v>0</v>
      </c>
      <c r="FQ49" s="416">
        <f t="shared" si="306"/>
        <v>0</v>
      </c>
      <c r="FR49" s="416">
        <f t="shared" si="307"/>
        <v>0</v>
      </c>
      <c r="FS49" s="416">
        <f t="shared" si="308"/>
        <v>0</v>
      </c>
      <c r="FT49" s="416">
        <f t="shared" si="309"/>
        <v>0</v>
      </c>
      <c r="FU49" s="416">
        <f t="shared" si="310"/>
        <v>0</v>
      </c>
      <c r="FV49" s="416">
        <f t="shared" si="311"/>
        <v>0</v>
      </c>
      <c r="FW49" s="416">
        <f t="shared" si="312"/>
        <v>0</v>
      </c>
      <c r="FX49" s="416">
        <f t="shared" si="313"/>
        <v>0</v>
      </c>
      <c r="FY49" s="416">
        <f t="shared" si="314"/>
        <v>0</v>
      </c>
      <c r="FZ49" s="416">
        <f t="shared" si="315"/>
        <v>0</v>
      </c>
      <c r="GA49" s="416">
        <f t="shared" si="316"/>
        <v>0</v>
      </c>
      <c r="GB49" s="416">
        <f t="shared" si="317"/>
        <v>0</v>
      </c>
      <c r="GC49" s="416">
        <f t="shared" si="318"/>
        <v>0</v>
      </c>
      <c r="GD49" s="416">
        <f t="shared" si="319"/>
        <v>0</v>
      </c>
      <c r="GE49" s="416">
        <f t="shared" si="320"/>
        <v>0</v>
      </c>
      <c r="GF49" s="416">
        <f t="shared" si="320"/>
        <v>0</v>
      </c>
      <c r="GG49" s="416">
        <f t="shared" si="321"/>
        <v>0</v>
      </c>
      <c r="GH49" s="416">
        <f t="shared" si="321"/>
        <v>0</v>
      </c>
    </row>
    <row r="50" spans="1:211" s="138" customFormat="1" outlineLevel="1" x14ac:dyDescent="0.25">
      <c r="A50" s="361"/>
      <c r="B50" s="368" t="s">
        <v>665</v>
      </c>
      <c r="C50" s="368"/>
      <c r="D50" s="368"/>
      <c r="E50" s="386"/>
      <c r="F50" s="369"/>
      <c r="G50" s="369"/>
      <c r="H50" s="579"/>
      <c r="I50" s="357">
        <f t="shared" si="251"/>
        <v>0</v>
      </c>
      <c r="J50" s="386"/>
      <c r="K50" s="369"/>
      <c r="L50" s="369"/>
      <c r="M50" s="579"/>
      <c r="N50" s="357">
        <f t="shared" si="252"/>
        <v>0</v>
      </c>
      <c r="O50" s="386"/>
      <c r="P50" s="369"/>
      <c r="Q50" s="369"/>
      <c r="R50" s="579"/>
      <c r="S50" s="357">
        <f t="shared" si="253"/>
        <v>0</v>
      </c>
      <c r="T50" s="386"/>
      <c r="U50" s="369"/>
      <c r="V50" s="369"/>
      <c r="W50" s="579"/>
      <c r="X50" s="357">
        <f t="shared" si="254"/>
        <v>0</v>
      </c>
      <c r="Y50" s="386"/>
      <c r="Z50" s="369"/>
      <c r="AA50" s="369"/>
      <c r="AB50" s="579"/>
      <c r="AC50" s="357">
        <f t="shared" si="255"/>
        <v>0</v>
      </c>
      <c r="AD50" s="386"/>
      <c r="AE50" s="369"/>
      <c r="AF50" s="369"/>
      <c r="AG50" s="579"/>
      <c r="AH50" s="357">
        <f t="shared" si="256"/>
        <v>0</v>
      </c>
      <c r="AI50" s="386"/>
      <c r="AJ50" s="369"/>
      <c r="AK50" s="369"/>
      <c r="AL50" s="369"/>
      <c r="AM50" s="357">
        <f t="shared" si="257"/>
        <v>0</v>
      </c>
      <c r="AN50" s="386"/>
      <c r="AO50" s="369"/>
      <c r="AP50" s="369"/>
      <c r="AQ50" s="369"/>
      <c r="AR50" s="357">
        <f t="shared" si="258"/>
        <v>0</v>
      </c>
      <c r="AS50" s="386"/>
      <c r="AT50" s="369"/>
      <c r="AU50" s="369"/>
      <c r="AV50" s="369"/>
      <c r="AW50" s="357">
        <f t="shared" si="259"/>
        <v>0</v>
      </c>
      <c r="AX50" s="386">
        <v>1</v>
      </c>
      <c r="AY50" s="386">
        <v>1</v>
      </c>
      <c r="AZ50" s="386">
        <v>1</v>
      </c>
      <c r="BA50" s="386">
        <v>1</v>
      </c>
      <c r="BB50" s="357">
        <f t="shared" si="260"/>
        <v>1</v>
      </c>
      <c r="BC50" s="386">
        <v>1</v>
      </c>
      <c r="BD50" s="386">
        <v>1</v>
      </c>
      <c r="BE50" s="386">
        <v>1</v>
      </c>
      <c r="BF50" s="386">
        <v>1</v>
      </c>
      <c r="BG50" s="357">
        <f t="shared" si="261"/>
        <v>1</v>
      </c>
      <c r="BH50" s="386">
        <v>1</v>
      </c>
      <c r="BI50" s="386">
        <v>1</v>
      </c>
      <c r="BJ50" s="386">
        <v>1</v>
      </c>
      <c r="BK50" s="386">
        <v>1</v>
      </c>
      <c r="BL50" s="357">
        <f t="shared" si="262"/>
        <v>1</v>
      </c>
      <c r="BM50" s="386">
        <v>0.5</v>
      </c>
      <c r="BN50" s="369"/>
      <c r="BO50" s="369"/>
      <c r="BP50" s="369"/>
      <c r="BQ50" s="967">
        <f t="shared" si="263"/>
        <v>0.125</v>
      </c>
      <c r="BR50" s="386"/>
      <c r="BS50" s="369"/>
      <c r="BT50" s="369"/>
      <c r="BU50" s="369"/>
      <c r="BV50" s="967">
        <f t="shared" si="264"/>
        <v>0</v>
      </c>
      <c r="BW50" s="389"/>
      <c r="BX50" s="389"/>
      <c r="BY50" s="389"/>
      <c r="BZ50" s="389"/>
      <c r="CA50" s="389"/>
      <c r="CB50" s="370"/>
      <c r="CC50" s="395">
        <v>134</v>
      </c>
      <c r="CD50" s="371">
        <v>0.02</v>
      </c>
      <c r="CE50" s="395">
        <f t="shared" si="265"/>
        <v>139.4136</v>
      </c>
      <c r="CF50" s="371">
        <v>0.02</v>
      </c>
      <c r="CG50" s="395">
        <f t="shared" si="266"/>
        <v>145.04590944</v>
      </c>
      <c r="CH50" s="371">
        <v>0.02</v>
      </c>
      <c r="CI50" s="405">
        <f t="shared" si="267"/>
        <v>0</v>
      </c>
      <c r="CJ50" s="372">
        <f t="shared" si="268"/>
        <v>0</v>
      </c>
      <c r="CK50" s="372">
        <f t="shared" si="269"/>
        <v>0</v>
      </c>
      <c r="CL50" s="406">
        <f t="shared" si="270"/>
        <v>0</v>
      </c>
      <c r="CM50" s="405">
        <f t="shared" si="271"/>
        <v>0</v>
      </c>
      <c r="CN50" s="372">
        <f t="shared" si="272"/>
        <v>0</v>
      </c>
      <c r="CO50" s="372">
        <f t="shared" si="273"/>
        <v>0</v>
      </c>
      <c r="CP50" s="406">
        <f t="shared" si="274"/>
        <v>0</v>
      </c>
      <c r="CQ50" s="405">
        <f t="shared" si="275"/>
        <v>0</v>
      </c>
      <c r="CR50" s="372">
        <f t="shared" si="275"/>
        <v>0</v>
      </c>
      <c r="CS50" s="372">
        <f t="shared" si="275"/>
        <v>0</v>
      </c>
      <c r="CT50" s="406">
        <f t="shared" si="275"/>
        <v>0</v>
      </c>
      <c r="CU50" s="405">
        <f t="shared" si="276"/>
        <v>0</v>
      </c>
      <c r="CV50" s="372">
        <f t="shared" si="276"/>
        <v>0</v>
      </c>
      <c r="CW50" s="372">
        <f t="shared" si="276"/>
        <v>0</v>
      </c>
      <c r="CX50" s="406">
        <f t="shared" si="276"/>
        <v>0</v>
      </c>
      <c r="CY50" s="405">
        <f t="shared" si="277"/>
        <v>0</v>
      </c>
      <c r="CZ50" s="372">
        <f t="shared" si="277"/>
        <v>0</v>
      </c>
      <c r="DA50" s="372">
        <f t="shared" si="277"/>
        <v>0</v>
      </c>
      <c r="DB50" s="406">
        <f t="shared" si="277"/>
        <v>0</v>
      </c>
      <c r="DC50" s="405">
        <f t="shared" si="278"/>
        <v>0</v>
      </c>
      <c r="DD50" s="372">
        <f t="shared" si="278"/>
        <v>0</v>
      </c>
      <c r="DE50" s="372">
        <f t="shared" si="278"/>
        <v>0</v>
      </c>
      <c r="DF50" s="668">
        <f t="shared" si="278"/>
        <v>0</v>
      </c>
      <c r="DG50" s="405">
        <f t="shared" si="279"/>
        <v>0</v>
      </c>
      <c r="DH50" s="372">
        <f t="shared" si="279"/>
        <v>0</v>
      </c>
      <c r="DI50" s="372">
        <f t="shared" si="279"/>
        <v>0</v>
      </c>
      <c r="DJ50" s="668">
        <f t="shared" si="279"/>
        <v>0</v>
      </c>
      <c r="DK50" s="673">
        <f t="shared" si="280"/>
        <v>0</v>
      </c>
      <c r="DL50" s="671">
        <f t="shared" si="280"/>
        <v>0</v>
      </c>
      <c r="DM50" s="671">
        <f t="shared" si="280"/>
        <v>0</v>
      </c>
      <c r="DN50" s="668">
        <f t="shared" si="280"/>
        <v>0</v>
      </c>
      <c r="DO50" s="673">
        <f t="shared" si="281"/>
        <v>0</v>
      </c>
      <c r="DP50" s="671">
        <f t="shared" si="281"/>
        <v>0</v>
      </c>
      <c r="DQ50" s="671">
        <f t="shared" si="281"/>
        <v>0</v>
      </c>
      <c r="DR50" s="668">
        <f t="shared" si="281"/>
        <v>0</v>
      </c>
      <c r="DS50" s="673">
        <f t="shared" si="282"/>
        <v>40.035601048847411</v>
      </c>
      <c r="DT50" s="671">
        <f t="shared" si="282"/>
        <v>40.035601048847411</v>
      </c>
      <c r="DU50" s="671">
        <f t="shared" si="282"/>
        <v>40.035601048847411</v>
      </c>
      <c r="DV50" s="668">
        <f t="shared" si="282"/>
        <v>40.035601048847411</v>
      </c>
      <c r="DW50" s="673">
        <f t="shared" si="283"/>
        <v>40.836313069824364</v>
      </c>
      <c r="DX50" s="671">
        <f t="shared" si="283"/>
        <v>40.836313069824364</v>
      </c>
      <c r="DY50" s="671">
        <f t="shared" si="283"/>
        <v>40.836313069824364</v>
      </c>
      <c r="DZ50" s="668">
        <f t="shared" si="283"/>
        <v>40.836313069824364</v>
      </c>
      <c r="EA50" s="673">
        <f t="shared" si="284"/>
        <v>41.653039331220846</v>
      </c>
      <c r="EB50" s="671">
        <f t="shared" si="284"/>
        <v>41.653039331220846</v>
      </c>
      <c r="EC50" s="671">
        <f t="shared" si="284"/>
        <v>41.653039331220846</v>
      </c>
      <c r="ED50" s="668">
        <f t="shared" si="284"/>
        <v>41.653039331220846</v>
      </c>
      <c r="EE50" s="673">
        <f t="shared" si="285"/>
        <v>21.243050058922634</v>
      </c>
      <c r="EF50" s="671">
        <f t="shared" si="285"/>
        <v>0</v>
      </c>
      <c r="EG50" s="671">
        <f t="shared" si="285"/>
        <v>0</v>
      </c>
      <c r="EH50" s="668">
        <f t="shared" si="285"/>
        <v>0</v>
      </c>
      <c r="EI50" s="673">
        <f t="shared" si="286"/>
        <v>0</v>
      </c>
      <c r="EJ50" s="671">
        <f t="shared" si="286"/>
        <v>0</v>
      </c>
      <c r="EK50" s="671">
        <f t="shared" si="286"/>
        <v>0</v>
      </c>
      <c r="EL50" s="668">
        <f t="shared" si="286"/>
        <v>0</v>
      </c>
      <c r="EM50" s="416">
        <f t="shared" si="287"/>
        <v>0</v>
      </c>
      <c r="EN50" s="416">
        <f t="shared" si="287"/>
        <v>0</v>
      </c>
      <c r="EO50" s="416">
        <f t="shared" si="287"/>
        <v>0</v>
      </c>
      <c r="EP50" s="416">
        <f t="shared" si="287"/>
        <v>0</v>
      </c>
      <c r="EQ50" s="416">
        <f t="shared" si="287"/>
        <v>0</v>
      </c>
      <c r="EU50" s="416">
        <f t="shared" si="288"/>
        <v>0</v>
      </c>
      <c r="EV50" s="416">
        <f t="shared" si="289"/>
        <v>0</v>
      </c>
      <c r="EW50" s="416">
        <f t="shared" si="290"/>
        <v>0</v>
      </c>
      <c r="EX50" s="416">
        <f t="shared" si="291"/>
        <v>0</v>
      </c>
      <c r="EY50" s="416">
        <f t="shared" si="292"/>
        <v>0</v>
      </c>
      <c r="EZ50" s="416">
        <f t="shared" si="293"/>
        <v>0</v>
      </c>
      <c r="FA50" s="416">
        <f t="shared" si="294"/>
        <v>0</v>
      </c>
      <c r="FB50" s="416">
        <f t="shared" si="295"/>
        <v>0</v>
      </c>
      <c r="FC50" s="416">
        <f t="shared" si="296"/>
        <v>0</v>
      </c>
      <c r="FD50" s="416">
        <f t="shared" si="297"/>
        <v>160.14240419538964</v>
      </c>
      <c r="FE50" s="416">
        <f t="shared" si="298"/>
        <v>163.34525227929745</v>
      </c>
      <c r="FF50" s="416">
        <f t="shared" si="299"/>
        <v>166.61215732488338</v>
      </c>
      <c r="FG50" s="416">
        <f t="shared" si="300"/>
        <v>21.243050058922634</v>
      </c>
      <c r="FH50" s="416">
        <f t="shared" si="301"/>
        <v>0</v>
      </c>
      <c r="FI50" s="416">
        <f t="shared" si="302"/>
        <v>0</v>
      </c>
      <c r="FJ50" s="416">
        <f t="shared" si="303"/>
        <v>0</v>
      </c>
      <c r="FK50" s="416">
        <f t="shared" si="303"/>
        <v>0</v>
      </c>
      <c r="FL50" s="416">
        <f t="shared" si="304"/>
        <v>0</v>
      </c>
      <c r="FM50" s="416">
        <f t="shared" si="304"/>
        <v>0</v>
      </c>
      <c r="FP50" s="416">
        <f t="shared" si="305"/>
        <v>0</v>
      </c>
      <c r="FQ50" s="416">
        <f t="shared" si="306"/>
        <v>0</v>
      </c>
      <c r="FR50" s="416">
        <f t="shared" si="307"/>
        <v>0</v>
      </c>
      <c r="FS50" s="416">
        <f t="shared" si="308"/>
        <v>0</v>
      </c>
      <c r="FT50" s="416">
        <f t="shared" si="309"/>
        <v>0</v>
      </c>
      <c r="FU50" s="416">
        <f t="shared" si="310"/>
        <v>0</v>
      </c>
      <c r="FV50" s="416">
        <f t="shared" si="311"/>
        <v>0</v>
      </c>
      <c r="FW50" s="416">
        <f t="shared" si="312"/>
        <v>0</v>
      </c>
      <c r="FX50" s="416">
        <f t="shared" si="313"/>
        <v>0</v>
      </c>
      <c r="FY50" s="416">
        <f t="shared" si="314"/>
        <v>160.14240419538964</v>
      </c>
      <c r="FZ50" s="416">
        <f t="shared" si="315"/>
        <v>163.34525227929745</v>
      </c>
      <c r="GA50" s="416">
        <f t="shared" si="316"/>
        <v>166.61215732488338</v>
      </c>
      <c r="GB50" s="416">
        <f t="shared" si="317"/>
        <v>21.243050058922634</v>
      </c>
      <c r="GC50" s="416">
        <f t="shared" si="318"/>
        <v>21.243050058922634</v>
      </c>
      <c r="GD50" s="416">
        <f t="shared" si="319"/>
        <v>0</v>
      </c>
      <c r="GE50" s="416">
        <f t="shared" si="320"/>
        <v>0</v>
      </c>
      <c r="GF50" s="416">
        <f t="shared" si="320"/>
        <v>0</v>
      </c>
      <c r="GG50" s="416">
        <f t="shared" si="321"/>
        <v>0</v>
      </c>
      <c r="GH50" s="416">
        <f t="shared" si="321"/>
        <v>0</v>
      </c>
    </row>
    <row r="51" spans="1:211" s="138" customFormat="1" outlineLevel="1" x14ac:dyDescent="0.25">
      <c r="A51" s="361"/>
      <c r="B51" s="368" t="s">
        <v>456</v>
      </c>
      <c r="C51" s="368"/>
      <c r="D51" s="368"/>
      <c r="E51" s="386"/>
      <c r="F51" s="369"/>
      <c r="G51" s="369"/>
      <c r="H51" s="579"/>
      <c r="I51" s="357">
        <f>SUM(E51:H51)/4</f>
        <v>0</v>
      </c>
      <c r="J51" s="386"/>
      <c r="K51" s="369"/>
      <c r="L51" s="369"/>
      <c r="M51" s="579"/>
      <c r="N51" s="357">
        <f t="shared" si="252"/>
        <v>0</v>
      </c>
      <c r="O51" s="386"/>
      <c r="P51" s="369"/>
      <c r="Q51" s="369"/>
      <c r="R51" s="579"/>
      <c r="S51" s="357">
        <f t="shared" si="253"/>
        <v>0</v>
      </c>
      <c r="T51" s="386"/>
      <c r="U51" s="369"/>
      <c r="V51" s="369"/>
      <c r="W51" s="579"/>
      <c r="X51" s="357">
        <f t="shared" si="254"/>
        <v>0</v>
      </c>
      <c r="Y51" s="386"/>
      <c r="Z51" s="369"/>
      <c r="AA51" s="369"/>
      <c r="AB51" s="579"/>
      <c r="AC51" s="357">
        <f t="shared" si="255"/>
        <v>0</v>
      </c>
      <c r="AD51" s="386"/>
      <c r="AE51" s="369"/>
      <c r="AF51" s="369"/>
      <c r="AG51" s="579"/>
      <c r="AH51" s="357">
        <f t="shared" si="256"/>
        <v>0</v>
      </c>
      <c r="AI51" s="386"/>
      <c r="AJ51" s="369"/>
      <c r="AK51" s="369"/>
      <c r="AL51" s="369"/>
      <c r="AM51" s="357">
        <f t="shared" si="257"/>
        <v>0</v>
      </c>
      <c r="AN51" s="386"/>
      <c r="AO51" s="369"/>
      <c r="AP51" s="369"/>
      <c r="AQ51" s="369"/>
      <c r="AR51" s="357">
        <f t="shared" si="258"/>
        <v>0</v>
      </c>
      <c r="AS51" s="386"/>
      <c r="AT51" s="369"/>
      <c r="AU51" s="369"/>
      <c r="AV51" s="369"/>
      <c r="AW51" s="357">
        <f t="shared" si="259"/>
        <v>0</v>
      </c>
      <c r="AX51" s="386"/>
      <c r="AY51" s="369"/>
      <c r="AZ51" s="369"/>
      <c r="BA51" s="369"/>
      <c r="BB51" s="357">
        <f t="shared" si="260"/>
        <v>0</v>
      </c>
      <c r="BC51" s="386"/>
      <c r="BD51" s="369"/>
      <c r="BE51" s="369"/>
      <c r="BF51" s="369"/>
      <c r="BG51" s="357">
        <f t="shared" si="261"/>
        <v>0</v>
      </c>
      <c r="BH51" s="386"/>
      <c r="BI51" s="369"/>
      <c r="BJ51" s="369"/>
      <c r="BK51" s="369"/>
      <c r="BL51" s="357">
        <f t="shared" si="262"/>
        <v>0</v>
      </c>
      <c r="BM51" s="386"/>
      <c r="BN51" s="369"/>
      <c r="BO51" s="369"/>
      <c r="BP51" s="369"/>
      <c r="BQ51" s="967">
        <f t="shared" si="263"/>
        <v>0</v>
      </c>
      <c r="BR51" s="386"/>
      <c r="BS51" s="369"/>
      <c r="BT51" s="369"/>
      <c r="BU51" s="369"/>
      <c r="BV51" s="967">
        <f t="shared" si="264"/>
        <v>0</v>
      </c>
      <c r="BW51" s="389"/>
      <c r="BX51" s="389"/>
      <c r="BY51" s="389"/>
      <c r="BZ51" s="389"/>
      <c r="CA51" s="389"/>
      <c r="CB51" s="370"/>
      <c r="CC51" s="395">
        <v>121</v>
      </c>
      <c r="CD51" s="371">
        <v>0.02</v>
      </c>
      <c r="CE51" s="395">
        <f t="shared" si="265"/>
        <v>125.8884</v>
      </c>
      <c r="CF51" s="371">
        <v>0.02</v>
      </c>
      <c r="CG51" s="395">
        <f t="shared" si="266"/>
        <v>130.97429136</v>
      </c>
      <c r="CH51" s="371">
        <v>0.02</v>
      </c>
      <c r="CI51" s="405">
        <f t="shared" si="267"/>
        <v>0</v>
      </c>
      <c r="CJ51" s="372">
        <f t="shared" si="268"/>
        <v>0</v>
      </c>
      <c r="CK51" s="372">
        <f t="shared" si="269"/>
        <v>0</v>
      </c>
      <c r="CL51" s="406">
        <f t="shared" si="270"/>
        <v>0</v>
      </c>
      <c r="CM51" s="405">
        <f t="shared" si="271"/>
        <v>0</v>
      </c>
      <c r="CN51" s="372">
        <f t="shared" si="272"/>
        <v>0</v>
      </c>
      <c r="CO51" s="372">
        <f t="shared" si="273"/>
        <v>0</v>
      </c>
      <c r="CP51" s="406">
        <f t="shared" si="274"/>
        <v>0</v>
      </c>
      <c r="CQ51" s="405">
        <f t="shared" si="275"/>
        <v>0</v>
      </c>
      <c r="CR51" s="372">
        <f t="shared" si="275"/>
        <v>0</v>
      </c>
      <c r="CS51" s="372">
        <f t="shared" si="275"/>
        <v>0</v>
      </c>
      <c r="CT51" s="406">
        <f t="shared" si="275"/>
        <v>0</v>
      </c>
      <c r="CU51" s="405">
        <f t="shared" si="276"/>
        <v>0</v>
      </c>
      <c r="CV51" s="372">
        <f t="shared" si="276"/>
        <v>0</v>
      </c>
      <c r="CW51" s="372">
        <f t="shared" si="276"/>
        <v>0</v>
      </c>
      <c r="CX51" s="406">
        <f t="shared" si="276"/>
        <v>0</v>
      </c>
      <c r="CY51" s="405">
        <f t="shared" si="277"/>
        <v>0</v>
      </c>
      <c r="CZ51" s="372">
        <f t="shared" si="277"/>
        <v>0</v>
      </c>
      <c r="DA51" s="372">
        <f t="shared" si="277"/>
        <v>0</v>
      </c>
      <c r="DB51" s="406">
        <f t="shared" si="277"/>
        <v>0</v>
      </c>
      <c r="DC51" s="405">
        <f t="shared" si="278"/>
        <v>0</v>
      </c>
      <c r="DD51" s="372">
        <f t="shared" si="278"/>
        <v>0</v>
      </c>
      <c r="DE51" s="372">
        <f t="shared" si="278"/>
        <v>0</v>
      </c>
      <c r="DF51" s="668">
        <f t="shared" si="278"/>
        <v>0</v>
      </c>
      <c r="DG51" s="405">
        <f t="shared" si="279"/>
        <v>0</v>
      </c>
      <c r="DH51" s="372">
        <f t="shared" si="279"/>
        <v>0</v>
      </c>
      <c r="DI51" s="372">
        <f t="shared" si="279"/>
        <v>0</v>
      </c>
      <c r="DJ51" s="668">
        <f t="shared" si="279"/>
        <v>0</v>
      </c>
      <c r="DK51" s="673">
        <f t="shared" si="280"/>
        <v>0</v>
      </c>
      <c r="DL51" s="671">
        <f t="shared" si="280"/>
        <v>0</v>
      </c>
      <c r="DM51" s="671">
        <f t="shared" si="280"/>
        <v>0</v>
      </c>
      <c r="DN51" s="668">
        <f t="shared" si="280"/>
        <v>0</v>
      </c>
      <c r="DO51" s="673">
        <f t="shared" si="281"/>
        <v>0</v>
      </c>
      <c r="DP51" s="671">
        <f t="shared" si="281"/>
        <v>0</v>
      </c>
      <c r="DQ51" s="671">
        <f t="shared" si="281"/>
        <v>0</v>
      </c>
      <c r="DR51" s="668">
        <f t="shared" si="281"/>
        <v>0</v>
      </c>
      <c r="DS51" s="673">
        <f t="shared" si="282"/>
        <v>0</v>
      </c>
      <c r="DT51" s="671">
        <f t="shared" si="282"/>
        <v>0</v>
      </c>
      <c r="DU51" s="671">
        <f t="shared" si="282"/>
        <v>0</v>
      </c>
      <c r="DV51" s="668">
        <f t="shared" si="282"/>
        <v>0</v>
      </c>
      <c r="DW51" s="673">
        <f t="shared" si="283"/>
        <v>0</v>
      </c>
      <c r="DX51" s="671">
        <f t="shared" si="283"/>
        <v>0</v>
      </c>
      <c r="DY51" s="671">
        <f t="shared" si="283"/>
        <v>0</v>
      </c>
      <c r="DZ51" s="668">
        <f t="shared" si="283"/>
        <v>0</v>
      </c>
      <c r="EA51" s="673">
        <f t="shared" si="284"/>
        <v>0</v>
      </c>
      <c r="EB51" s="671">
        <f t="shared" si="284"/>
        <v>0</v>
      </c>
      <c r="EC51" s="671">
        <f t="shared" si="284"/>
        <v>0</v>
      </c>
      <c r="ED51" s="668">
        <f t="shared" si="284"/>
        <v>0</v>
      </c>
      <c r="EE51" s="673">
        <f t="shared" si="285"/>
        <v>0</v>
      </c>
      <c r="EF51" s="671">
        <f t="shared" si="285"/>
        <v>0</v>
      </c>
      <c r="EG51" s="671">
        <f t="shared" si="285"/>
        <v>0</v>
      </c>
      <c r="EH51" s="668">
        <f t="shared" si="285"/>
        <v>0</v>
      </c>
      <c r="EI51" s="673">
        <f t="shared" si="286"/>
        <v>0</v>
      </c>
      <c r="EJ51" s="671">
        <f t="shared" si="286"/>
        <v>0</v>
      </c>
      <c r="EK51" s="671">
        <f t="shared" si="286"/>
        <v>0</v>
      </c>
      <c r="EL51" s="668">
        <f t="shared" si="286"/>
        <v>0</v>
      </c>
      <c r="EM51" s="416">
        <f t="shared" si="287"/>
        <v>0</v>
      </c>
      <c r="EN51" s="416">
        <f t="shared" si="287"/>
        <v>0</v>
      </c>
      <c r="EO51" s="416">
        <f t="shared" si="287"/>
        <v>0</v>
      </c>
      <c r="EP51" s="416">
        <f t="shared" si="287"/>
        <v>0</v>
      </c>
      <c r="EQ51" s="416">
        <f t="shared" si="287"/>
        <v>0</v>
      </c>
      <c r="EU51" s="416">
        <f t="shared" si="288"/>
        <v>0</v>
      </c>
      <c r="EV51" s="416">
        <f t="shared" si="289"/>
        <v>0</v>
      </c>
      <c r="EW51" s="416">
        <f t="shared" si="290"/>
        <v>0</v>
      </c>
      <c r="EX51" s="416">
        <f t="shared" si="291"/>
        <v>0</v>
      </c>
      <c r="EY51" s="416">
        <f t="shared" si="292"/>
        <v>0</v>
      </c>
      <c r="EZ51" s="416">
        <f t="shared" si="293"/>
        <v>0</v>
      </c>
      <c r="FA51" s="416">
        <f t="shared" si="294"/>
        <v>0</v>
      </c>
      <c r="FB51" s="416">
        <f t="shared" si="295"/>
        <v>0</v>
      </c>
      <c r="FC51" s="416">
        <f t="shared" si="296"/>
        <v>0</v>
      </c>
      <c r="FD51" s="416">
        <f t="shared" si="297"/>
        <v>0</v>
      </c>
      <c r="FE51" s="416">
        <f t="shared" si="298"/>
        <v>0</v>
      </c>
      <c r="FF51" s="416">
        <f t="shared" si="299"/>
        <v>0</v>
      </c>
      <c r="FG51" s="416">
        <f t="shared" si="300"/>
        <v>0</v>
      </c>
      <c r="FH51" s="416">
        <f t="shared" si="301"/>
        <v>0</v>
      </c>
      <c r="FI51" s="416">
        <f t="shared" si="302"/>
        <v>0</v>
      </c>
      <c r="FJ51" s="416">
        <f t="shared" si="303"/>
        <v>0</v>
      </c>
      <c r="FK51" s="416">
        <f t="shared" si="303"/>
        <v>0</v>
      </c>
      <c r="FL51" s="416">
        <f t="shared" si="304"/>
        <v>0</v>
      </c>
      <c r="FM51" s="416">
        <f t="shared" si="304"/>
        <v>0</v>
      </c>
      <c r="FP51" s="416">
        <f t="shared" si="305"/>
        <v>0</v>
      </c>
      <c r="FQ51" s="416">
        <f t="shared" si="306"/>
        <v>0</v>
      </c>
      <c r="FR51" s="416">
        <f t="shared" si="307"/>
        <v>0</v>
      </c>
      <c r="FS51" s="416">
        <f t="shared" si="308"/>
        <v>0</v>
      </c>
      <c r="FT51" s="416">
        <f t="shared" si="309"/>
        <v>0</v>
      </c>
      <c r="FU51" s="416">
        <f t="shared" si="310"/>
        <v>0</v>
      </c>
      <c r="FV51" s="416">
        <f t="shared" si="311"/>
        <v>0</v>
      </c>
      <c r="FW51" s="416">
        <f t="shared" si="312"/>
        <v>0</v>
      </c>
      <c r="FX51" s="416">
        <f t="shared" si="313"/>
        <v>0</v>
      </c>
      <c r="FY51" s="416">
        <f t="shared" si="314"/>
        <v>0</v>
      </c>
      <c r="FZ51" s="416">
        <f t="shared" si="315"/>
        <v>0</v>
      </c>
      <c r="GA51" s="416">
        <f t="shared" si="316"/>
        <v>0</v>
      </c>
      <c r="GB51" s="416">
        <f t="shared" si="317"/>
        <v>0</v>
      </c>
      <c r="GC51" s="416">
        <f t="shared" si="318"/>
        <v>0</v>
      </c>
      <c r="GD51" s="416">
        <f t="shared" si="319"/>
        <v>0</v>
      </c>
      <c r="GE51" s="416">
        <f t="shared" si="320"/>
        <v>0</v>
      </c>
      <c r="GF51" s="416">
        <f t="shared" si="320"/>
        <v>0</v>
      </c>
      <c r="GG51" s="416">
        <f t="shared" si="321"/>
        <v>0</v>
      </c>
      <c r="GH51" s="416">
        <f t="shared" si="321"/>
        <v>0</v>
      </c>
    </row>
    <row r="52" spans="1:211" s="138" customFormat="1" outlineLevel="1" x14ac:dyDescent="0.25">
      <c r="A52" s="361"/>
      <c r="B52" s="426" t="s">
        <v>415</v>
      </c>
      <c r="C52" s="426"/>
      <c r="D52" s="426"/>
      <c r="E52" s="427"/>
      <c r="F52" s="428"/>
      <c r="G52" s="428"/>
      <c r="H52" s="580"/>
      <c r="I52" s="358">
        <f t="shared" si="251"/>
        <v>0</v>
      </c>
      <c r="J52" s="427"/>
      <c r="K52" s="428"/>
      <c r="L52" s="428"/>
      <c r="M52" s="580"/>
      <c r="N52" s="358">
        <f t="shared" si="252"/>
        <v>0</v>
      </c>
      <c r="O52" s="427"/>
      <c r="P52" s="428"/>
      <c r="Q52" s="428"/>
      <c r="R52" s="580"/>
      <c r="S52" s="358">
        <f t="shared" si="253"/>
        <v>0</v>
      </c>
      <c r="T52" s="427"/>
      <c r="U52" s="428"/>
      <c r="V52" s="428"/>
      <c r="W52" s="580"/>
      <c r="X52" s="358">
        <f t="shared" si="254"/>
        <v>0</v>
      </c>
      <c r="Y52" s="427"/>
      <c r="Z52" s="428"/>
      <c r="AA52" s="428"/>
      <c r="AB52" s="580"/>
      <c r="AC52" s="358">
        <f t="shared" si="255"/>
        <v>0</v>
      </c>
      <c r="AD52" s="427"/>
      <c r="AE52" s="428"/>
      <c r="AF52" s="428"/>
      <c r="AG52" s="580"/>
      <c r="AH52" s="358">
        <f t="shared" si="256"/>
        <v>0</v>
      </c>
      <c r="AI52" s="427"/>
      <c r="AJ52" s="428"/>
      <c r="AK52" s="428"/>
      <c r="AL52" s="428"/>
      <c r="AM52" s="358">
        <f t="shared" si="257"/>
        <v>0</v>
      </c>
      <c r="AN52" s="427"/>
      <c r="AO52" s="428"/>
      <c r="AP52" s="428"/>
      <c r="AQ52" s="428"/>
      <c r="AR52" s="358">
        <f t="shared" si="258"/>
        <v>0</v>
      </c>
      <c r="AS52" s="427"/>
      <c r="AT52" s="428"/>
      <c r="AU52" s="428"/>
      <c r="AV52" s="428"/>
      <c r="AW52" s="358">
        <f t="shared" si="259"/>
        <v>0</v>
      </c>
      <c r="AX52" s="427"/>
      <c r="AY52" s="428"/>
      <c r="AZ52" s="428"/>
      <c r="BA52" s="428"/>
      <c r="BB52" s="358">
        <f t="shared" si="260"/>
        <v>0</v>
      </c>
      <c r="BC52" s="427"/>
      <c r="BD52" s="428"/>
      <c r="BE52" s="428"/>
      <c r="BF52" s="428"/>
      <c r="BG52" s="358">
        <f t="shared" si="261"/>
        <v>0</v>
      </c>
      <c r="BH52" s="427"/>
      <c r="BI52" s="428"/>
      <c r="BJ52" s="428"/>
      <c r="BK52" s="428"/>
      <c r="BL52" s="358">
        <f t="shared" si="262"/>
        <v>0</v>
      </c>
      <c r="BM52" s="427"/>
      <c r="BN52" s="428"/>
      <c r="BO52" s="428"/>
      <c r="BP52" s="428"/>
      <c r="BQ52" s="965">
        <f t="shared" si="263"/>
        <v>0</v>
      </c>
      <c r="BR52" s="427"/>
      <c r="BS52" s="428"/>
      <c r="BT52" s="428"/>
      <c r="BU52" s="428"/>
      <c r="BV52" s="965">
        <f t="shared" si="264"/>
        <v>0</v>
      </c>
      <c r="BW52" s="429"/>
      <c r="BX52" s="429"/>
      <c r="BY52" s="429"/>
      <c r="BZ52" s="429"/>
      <c r="CA52" s="429"/>
      <c r="CB52" s="430"/>
      <c r="CC52" s="431">
        <v>135</v>
      </c>
      <c r="CD52" s="371">
        <v>0.02</v>
      </c>
      <c r="CE52" s="431">
        <f t="shared" si="265"/>
        <v>140.45400000000001</v>
      </c>
      <c r="CF52" s="371">
        <v>0.02</v>
      </c>
      <c r="CG52" s="431">
        <f t="shared" si="266"/>
        <v>146.1283416</v>
      </c>
      <c r="CH52" s="371">
        <v>0.02</v>
      </c>
      <c r="CI52" s="433">
        <f t="shared" si="267"/>
        <v>0</v>
      </c>
      <c r="CJ52" s="434">
        <f t="shared" si="268"/>
        <v>0</v>
      </c>
      <c r="CK52" s="434">
        <f t="shared" si="269"/>
        <v>0</v>
      </c>
      <c r="CL52" s="435">
        <f t="shared" si="270"/>
        <v>0</v>
      </c>
      <c r="CM52" s="433">
        <f t="shared" si="271"/>
        <v>0</v>
      </c>
      <c r="CN52" s="434">
        <f t="shared" si="272"/>
        <v>0</v>
      </c>
      <c r="CO52" s="434">
        <f t="shared" si="273"/>
        <v>0</v>
      </c>
      <c r="CP52" s="435">
        <f t="shared" si="274"/>
        <v>0</v>
      </c>
      <c r="CQ52" s="433">
        <f t="shared" si="275"/>
        <v>0</v>
      </c>
      <c r="CR52" s="434">
        <f t="shared" si="275"/>
        <v>0</v>
      </c>
      <c r="CS52" s="434">
        <f t="shared" si="275"/>
        <v>0</v>
      </c>
      <c r="CT52" s="435">
        <f t="shared" si="275"/>
        <v>0</v>
      </c>
      <c r="CU52" s="433">
        <f t="shared" si="276"/>
        <v>0</v>
      </c>
      <c r="CV52" s="434">
        <f t="shared" si="276"/>
        <v>0</v>
      </c>
      <c r="CW52" s="434">
        <f t="shared" si="276"/>
        <v>0</v>
      </c>
      <c r="CX52" s="435">
        <f t="shared" si="276"/>
        <v>0</v>
      </c>
      <c r="CY52" s="433">
        <f t="shared" si="277"/>
        <v>0</v>
      </c>
      <c r="CZ52" s="434">
        <f t="shared" si="277"/>
        <v>0</v>
      </c>
      <c r="DA52" s="434">
        <f t="shared" si="277"/>
        <v>0</v>
      </c>
      <c r="DB52" s="435">
        <f t="shared" si="277"/>
        <v>0</v>
      </c>
      <c r="DC52" s="433">
        <f t="shared" si="278"/>
        <v>0</v>
      </c>
      <c r="DD52" s="434">
        <f t="shared" si="278"/>
        <v>0</v>
      </c>
      <c r="DE52" s="434">
        <f t="shared" si="278"/>
        <v>0</v>
      </c>
      <c r="DF52" s="669">
        <f t="shared" si="278"/>
        <v>0</v>
      </c>
      <c r="DG52" s="433">
        <f t="shared" si="279"/>
        <v>0</v>
      </c>
      <c r="DH52" s="434">
        <f t="shared" si="279"/>
        <v>0</v>
      </c>
      <c r="DI52" s="434">
        <f t="shared" si="279"/>
        <v>0</v>
      </c>
      <c r="DJ52" s="669">
        <f t="shared" si="279"/>
        <v>0</v>
      </c>
      <c r="DK52" s="907">
        <f t="shared" si="280"/>
        <v>0</v>
      </c>
      <c r="DL52" s="672">
        <f t="shared" si="280"/>
        <v>0</v>
      </c>
      <c r="DM52" s="672">
        <f t="shared" si="280"/>
        <v>0</v>
      </c>
      <c r="DN52" s="669">
        <f t="shared" si="280"/>
        <v>0</v>
      </c>
      <c r="DO52" s="907">
        <f t="shared" si="281"/>
        <v>0</v>
      </c>
      <c r="DP52" s="672">
        <f t="shared" si="281"/>
        <v>0</v>
      </c>
      <c r="DQ52" s="672">
        <f t="shared" si="281"/>
        <v>0</v>
      </c>
      <c r="DR52" s="669">
        <f t="shared" si="281"/>
        <v>0</v>
      </c>
      <c r="DS52" s="907">
        <f t="shared" si="282"/>
        <v>0</v>
      </c>
      <c r="DT52" s="672">
        <f t="shared" si="282"/>
        <v>0</v>
      </c>
      <c r="DU52" s="672">
        <f t="shared" si="282"/>
        <v>0</v>
      </c>
      <c r="DV52" s="669">
        <f t="shared" si="282"/>
        <v>0</v>
      </c>
      <c r="DW52" s="907">
        <f t="shared" si="283"/>
        <v>0</v>
      </c>
      <c r="DX52" s="672">
        <f t="shared" si="283"/>
        <v>0</v>
      </c>
      <c r="DY52" s="672">
        <f t="shared" si="283"/>
        <v>0</v>
      </c>
      <c r="DZ52" s="669">
        <f t="shared" si="283"/>
        <v>0</v>
      </c>
      <c r="EA52" s="907">
        <f t="shared" si="284"/>
        <v>0</v>
      </c>
      <c r="EB52" s="672">
        <f t="shared" si="284"/>
        <v>0</v>
      </c>
      <c r="EC52" s="672">
        <f t="shared" si="284"/>
        <v>0</v>
      </c>
      <c r="ED52" s="669">
        <f t="shared" si="284"/>
        <v>0</v>
      </c>
      <c r="EE52" s="907">
        <f t="shared" si="285"/>
        <v>0</v>
      </c>
      <c r="EF52" s="672">
        <f t="shared" si="285"/>
        <v>0</v>
      </c>
      <c r="EG52" s="672">
        <f t="shared" si="285"/>
        <v>0</v>
      </c>
      <c r="EH52" s="669">
        <f t="shared" si="285"/>
        <v>0</v>
      </c>
      <c r="EI52" s="907">
        <f t="shared" si="286"/>
        <v>0</v>
      </c>
      <c r="EJ52" s="672">
        <f t="shared" si="286"/>
        <v>0</v>
      </c>
      <c r="EK52" s="672">
        <f t="shared" si="286"/>
        <v>0</v>
      </c>
      <c r="EL52" s="669">
        <f t="shared" si="286"/>
        <v>0</v>
      </c>
      <c r="EM52" s="436">
        <f t="shared" si="287"/>
        <v>0</v>
      </c>
      <c r="EN52" s="436">
        <f t="shared" si="287"/>
        <v>0</v>
      </c>
      <c r="EO52" s="436">
        <f t="shared" si="287"/>
        <v>0</v>
      </c>
      <c r="EP52" s="436">
        <f t="shared" si="287"/>
        <v>0</v>
      </c>
      <c r="EQ52" s="436">
        <f t="shared" si="287"/>
        <v>0</v>
      </c>
      <c r="ER52" s="437"/>
      <c r="ES52" s="437"/>
      <c r="ET52" s="437"/>
      <c r="EU52" s="436">
        <f t="shared" si="288"/>
        <v>0</v>
      </c>
      <c r="EV52" s="436">
        <f t="shared" si="289"/>
        <v>0</v>
      </c>
      <c r="EW52" s="436">
        <f t="shared" si="290"/>
        <v>0</v>
      </c>
      <c r="EX52" s="436">
        <f t="shared" si="291"/>
        <v>0</v>
      </c>
      <c r="EY52" s="436">
        <f t="shared" si="292"/>
        <v>0</v>
      </c>
      <c r="EZ52" s="436">
        <f t="shared" si="293"/>
        <v>0</v>
      </c>
      <c r="FA52" s="436">
        <f t="shared" si="294"/>
        <v>0</v>
      </c>
      <c r="FB52" s="436">
        <f t="shared" si="295"/>
        <v>0</v>
      </c>
      <c r="FC52" s="436">
        <f t="shared" si="296"/>
        <v>0</v>
      </c>
      <c r="FD52" s="436">
        <f t="shared" si="297"/>
        <v>0</v>
      </c>
      <c r="FE52" s="436">
        <f t="shared" si="298"/>
        <v>0</v>
      </c>
      <c r="FF52" s="436">
        <f t="shared" si="299"/>
        <v>0</v>
      </c>
      <c r="FG52" s="436">
        <f t="shared" si="300"/>
        <v>0</v>
      </c>
      <c r="FH52" s="436">
        <f t="shared" si="301"/>
        <v>0</v>
      </c>
      <c r="FI52" s="436">
        <f t="shared" si="302"/>
        <v>0</v>
      </c>
      <c r="FJ52" s="436">
        <f t="shared" si="303"/>
        <v>0</v>
      </c>
      <c r="FK52" s="436">
        <f t="shared" si="303"/>
        <v>0</v>
      </c>
      <c r="FL52" s="436">
        <f t="shared" si="304"/>
        <v>0</v>
      </c>
      <c r="FM52" s="436">
        <f t="shared" si="304"/>
        <v>0</v>
      </c>
      <c r="FN52" s="437"/>
      <c r="FO52" s="437"/>
      <c r="FP52" s="436">
        <f t="shared" si="305"/>
        <v>0</v>
      </c>
      <c r="FQ52" s="436">
        <f t="shared" si="306"/>
        <v>0</v>
      </c>
      <c r="FR52" s="436">
        <f t="shared" si="307"/>
        <v>0</v>
      </c>
      <c r="FS52" s="436">
        <f t="shared" si="308"/>
        <v>0</v>
      </c>
      <c r="FT52" s="436">
        <f t="shared" si="309"/>
        <v>0</v>
      </c>
      <c r="FU52" s="436">
        <f t="shared" si="310"/>
        <v>0</v>
      </c>
      <c r="FV52" s="436">
        <f t="shared" si="311"/>
        <v>0</v>
      </c>
      <c r="FW52" s="436">
        <f t="shared" si="312"/>
        <v>0</v>
      </c>
      <c r="FX52" s="436">
        <f t="shared" si="313"/>
        <v>0</v>
      </c>
      <c r="FY52" s="436">
        <f t="shared" si="314"/>
        <v>0</v>
      </c>
      <c r="FZ52" s="436">
        <f t="shared" si="315"/>
        <v>0</v>
      </c>
      <c r="GA52" s="436">
        <f t="shared" si="316"/>
        <v>0</v>
      </c>
      <c r="GB52" s="436">
        <f t="shared" si="317"/>
        <v>0</v>
      </c>
      <c r="GC52" s="436">
        <f t="shared" si="318"/>
        <v>0</v>
      </c>
      <c r="GD52" s="436">
        <f t="shared" si="319"/>
        <v>0</v>
      </c>
      <c r="GE52" s="436">
        <f t="shared" si="320"/>
        <v>0</v>
      </c>
      <c r="GF52" s="436">
        <f t="shared" si="320"/>
        <v>0</v>
      </c>
      <c r="GG52" s="436">
        <f t="shared" si="321"/>
        <v>0</v>
      </c>
      <c r="GH52" s="436">
        <f t="shared" si="321"/>
        <v>0</v>
      </c>
    </row>
    <row r="53" spans="1:211" s="86" customFormat="1" ht="12.75" customHeight="1" x14ac:dyDescent="0.25">
      <c r="A53" s="367"/>
      <c r="B53" s="345" t="s">
        <v>416</v>
      </c>
      <c r="C53" s="345"/>
      <c r="D53" s="345"/>
      <c r="E53" s="346">
        <f>SUM(E46:E52)</f>
        <v>0</v>
      </c>
      <c r="F53" s="348">
        <f>SUM(F46:F52)</f>
        <v>0</v>
      </c>
      <c r="G53" s="348">
        <f>SUM(G46:G52)</f>
        <v>0</v>
      </c>
      <c r="H53" s="348">
        <f>SUM(H46:H52)</f>
        <v>0</v>
      </c>
      <c r="I53" s="357">
        <f t="shared" si="251"/>
        <v>0</v>
      </c>
      <c r="J53" s="346">
        <f>SUM(J46:J52)</f>
        <v>0</v>
      </c>
      <c r="K53" s="348">
        <f>SUM(K46:K52)</f>
        <v>0</v>
      </c>
      <c r="L53" s="348">
        <f>SUM(L46:L52)</f>
        <v>0</v>
      </c>
      <c r="M53" s="348">
        <f>SUM(M46:M52)</f>
        <v>0</v>
      </c>
      <c r="N53" s="357">
        <f t="shared" si="252"/>
        <v>0</v>
      </c>
      <c r="O53" s="346">
        <f>SUM(O46:O52)</f>
        <v>0</v>
      </c>
      <c r="P53" s="348">
        <f>SUM(P46:P52)</f>
        <v>0</v>
      </c>
      <c r="Q53" s="348">
        <f>SUM(Q46:Q52)</f>
        <v>0</v>
      </c>
      <c r="R53" s="348">
        <f>SUM(R46:R52)</f>
        <v>0</v>
      </c>
      <c r="S53" s="357">
        <f t="shared" si="253"/>
        <v>0</v>
      </c>
      <c r="T53" s="346">
        <f>SUM(T46:T52)</f>
        <v>0</v>
      </c>
      <c r="U53" s="348">
        <f>SUM(U46:U52)</f>
        <v>0</v>
      </c>
      <c r="V53" s="348">
        <f>SUM(V46:V52)</f>
        <v>0</v>
      </c>
      <c r="W53" s="348">
        <f>SUM(W46:W52)</f>
        <v>0</v>
      </c>
      <c r="X53" s="357">
        <f t="shared" si="254"/>
        <v>0</v>
      </c>
      <c r="Y53" s="346">
        <f>SUM(Y46:Y52)</f>
        <v>0</v>
      </c>
      <c r="Z53" s="348">
        <f>SUM(Z46:Z52)</f>
        <v>0</v>
      </c>
      <c r="AA53" s="348">
        <f>SUM(AA46:AA52)</f>
        <v>0</v>
      </c>
      <c r="AB53" s="348">
        <f>SUM(AB46:AB52)</f>
        <v>0</v>
      </c>
      <c r="AC53" s="357">
        <f t="shared" si="255"/>
        <v>0</v>
      </c>
      <c r="AD53" s="346">
        <f>SUM(AD46:AD52)</f>
        <v>0</v>
      </c>
      <c r="AE53" s="348">
        <f>SUM(AE46:AE52)</f>
        <v>0</v>
      </c>
      <c r="AF53" s="348">
        <f>SUM(AF46:AF52)</f>
        <v>0</v>
      </c>
      <c r="AG53" s="348">
        <f>SUM(AG46:AG52)</f>
        <v>0</v>
      </c>
      <c r="AH53" s="357">
        <f t="shared" si="256"/>
        <v>0</v>
      </c>
      <c r="AI53" s="346">
        <f>SUM(AI46:AI52)</f>
        <v>0</v>
      </c>
      <c r="AJ53" s="348">
        <f>SUM(AJ46:AJ52)</f>
        <v>0</v>
      </c>
      <c r="AK53" s="348">
        <f>SUM(AK46:AK52)</f>
        <v>0</v>
      </c>
      <c r="AL53" s="348">
        <f>SUM(AL46:AL52)</f>
        <v>0</v>
      </c>
      <c r="AM53" s="357">
        <f t="shared" si="257"/>
        <v>0</v>
      </c>
      <c r="AN53" s="346">
        <f t="shared" ref="AN53:BK53" si="322">SUM(AN46:AN52)</f>
        <v>0</v>
      </c>
      <c r="AO53" s="348">
        <f t="shared" si="322"/>
        <v>0</v>
      </c>
      <c r="AP53" s="348">
        <f t="shared" si="322"/>
        <v>0</v>
      </c>
      <c r="AQ53" s="348">
        <f t="shared" si="322"/>
        <v>0</v>
      </c>
      <c r="AR53" s="357">
        <f t="shared" si="258"/>
        <v>0</v>
      </c>
      <c r="AS53" s="346">
        <f t="shared" si="322"/>
        <v>0</v>
      </c>
      <c r="AT53" s="348">
        <f t="shared" si="322"/>
        <v>0</v>
      </c>
      <c r="AU53" s="348">
        <f t="shared" si="322"/>
        <v>0</v>
      </c>
      <c r="AV53" s="348">
        <f t="shared" si="322"/>
        <v>0</v>
      </c>
      <c r="AW53" s="357">
        <f t="shared" si="259"/>
        <v>0</v>
      </c>
      <c r="AX53" s="346">
        <f t="shared" si="322"/>
        <v>2</v>
      </c>
      <c r="AY53" s="348">
        <f t="shared" si="322"/>
        <v>2</v>
      </c>
      <c r="AZ53" s="348">
        <f t="shared" si="322"/>
        <v>2</v>
      </c>
      <c r="BA53" s="348">
        <f t="shared" si="322"/>
        <v>2</v>
      </c>
      <c r="BB53" s="357">
        <f t="shared" si="260"/>
        <v>2</v>
      </c>
      <c r="BC53" s="346">
        <f t="shared" si="322"/>
        <v>2</v>
      </c>
      <c r="BD53" s="348">
        <f t="shared" si="322"/>
        <v>2</v>
      </c>
      <c r="BE53" s="348">
        <f t="shared" si="322"/>
        <v>2</v>
      </c>
      <c r="BF53" s="348">
        <f t="shared" si="322"/>
        <v>2</v>
      </c>
      <c r="BG53" s="357">
        <f t="shared" si="261"/>
        <v>2</v>
      </c>
      <c r="BH53" s="346">
        <f t="shared" si="322"/>
        <v>2</v>
      </c>
      <c r="BI53" s="348">
        <f t="shared" si="322"/>
        <v>2</v>
      </c>
      <c r="BJ53" s="348">
        <f t="shared" si="322"/>
        <v>2</v>
      </c>
      <c r="BK53" s="348">
        <f t="shared" si="322"/>
        <v>2</v>
      </c>
      <c r="BL53" s="357">
        <f t="shared" si="262"/>
        <v>2</v>
      </c>
      <c r="BM53" s="346">
        <f t="shared" ref="BM53:BP53" si="323">SUM(BM46:BM52)</f>
        <v>1</v>
      </c>
      <c r="BN53" s="348">
        <f t="shared" si="323"/>
        <v>0</v>
      </c>
      <c r="BO53" s="348">
        <f t="shared" si="323"/>
        <v>0</v>
      </c>
      <c r="BP53" s="348">
        <f t="shared" si="323"/>
        <v>0</v>
      </c>
      <c r="BQ53" s="966">
        <f t="shared" si="263"/>
        <v>0.25</v>
      </c>
      <c r="BR53" s="346">
        <f t="shared" ref="BR53:BU53" si="324">SUM(BR46:BR52)</f>
        <v>0</v>
      </c>
      <c r="BS53" s="348">
        <f t="shared" si="324"/>
        <v>0</v>
      </c>
      <c r="BT53" s="348">
        <f t="shared" si="324"/>
        <v>0</v>
      </c>
      <c r="BU53" s="348">
        <f t="shared" si="324"/>
        <v>0</v>
      </c>
      <c r="BV53" s="966">
        <f t="shared" si="264"/>
        <v>0</v>
      </c>
      <c r="BW53" s="347">
        <f>SUM(BW46:BW52)</f>
        <v>0</v>
      </c>
      <c r="BX53" s="347">
        <f>SUM(BX46:BX52)</f>
        <v>0</v>
      </c>
      <c r="BY53" s="347">
        <f>SUM(BY46:BY52)</f>
        <v>0</v>
      </c>
      <c r="BZ53" s="347">
        <f t="shared" ref="BZ53:CA53" si="325">SUM(BZ46:BZ52)</f>
        <v>0</v>
      </c>
      <c r="CA53" s="347">
        <f t="shared" si="325"/>
        <v>0</v>
      </c>
      <c r="CB53" s="349"/>
      <c r="CC53" s="350"/>
      <c r="CD53" s="411"/>
      <c r="CE53" s="350"/>
      <c r="CF53" s="411"/>
      <c r="CG53" s="350"/>
      <c r="CH53" s="411"/>
      <c r="CI53" s="393">
        <f t="shared" ref="CI53:EQ53" si="326">SUM(CI46:CI52)</f>
        <v>0</v>
      </c>
      <c r="CJ53" s="374">
        <f t="shared" si="326"/>
        <v>0</v>
      </c>
      <c r="CK53" s="374">
        <f t="shared" si="326"/>
        <v>0</v>
      </c>
      <c r="CL53" s="394">
        <f t="shared" si="326"/>
        <v>0</v>
      </c>
      <c r="CM53" s="393">
        <f t="shared" si="326"/>
        <v>0</v>
      </c>
      <c r="CN53" s="374">
        <f t="shared" si="326"/>
        <v>0</v>
      </c>
      <c r="CO53" s="374">
        <f t="shared" si="326"/>
        <v>0</v>
      </c>
      <c r="CP53" s="394">
        <f t="shared" si="326"/>
        <v>0</v>
      </c>
      <c r="CQ53" s="393">
        <f t="shared" si="326"/>
        <v>0</v>
      </c>
      <c r="CR53" s="374">
        <f t="shared" si="326"/>
        <v>0</v>
      </c>
      <c r="CS53" s="374">
        <f t="shared" si="326"/>
        <v>0</v>
      </c>
      <c r="CT53" s="394">
        <f t="shared" si="326"/>
        <v>0</v>
      </c>
      <c r="CU53" s="393">
        <f t="shared" si="326"/>
        <v>0</v>
      </c>
      <c r="CV53" s="374">
        <f t="shared" si="326"/>
        <v>0</v>
      </c>
      <c r="CW53" s="374">
        <f t="shared" si="326"/>
        <v>0</v>
      </c>
      <c r="CX53" s="394">
        <f t="shared" si="326"/>
        <v>0</v>
      </c>
      <c r="CY53" s="393">
        <f t="shared" si="326"/>
        <v>0</v>
      </c>
      <c r="CZ53" s="374">
        <f t="shared" si="326"/>
        <v>0</v>
      </c>
      <c r="DA53" s="374">
        <f t="shared" si="326"/>
        <v>0</v>
      </c>
      <c r="DB53" s="394">
        <f t="shared" si="326"/>
        <v>0</v>
      </c>
      <c r="DC53" s="393">
        <f t="shared" si="326"/>
        <v>0</v>
      </c>
      <c r="DD53" s="374">
        <f t="shared" si="326"/>
        <v>0</v>
      </c>
      <c r="DE53" s="374">
        <f t="shared" si="326"/>
        <v>0</v>
      </c>
      <c r="DF53" s="394">
        <f t="shared" si="326"/>
        <v>0</v>
      </c>
      <c r="DG53" s="393">
        <f t="shared" si="326"/>
        <v>0</v>
      </c>
      <c r="DH53" s="374">
        <f t="shared" si="326"/>
        <v>0</v>
      </c>
      <c r="DI53" s="374">
        <f t="shared" si="326"/>
        <v>0</v>
      </c>
      <c r="DJ53" s="394">
        <f t="shared" si="326"/>
        <v>0</v>
      </c>
      <c r="DK53" s="393">
        <f t="shared" si="326"/>
        <v>0</v>
      </c>
      <c r="DL53" s="374">
        <f t="shared" si="326"/>
        <v>0</v>
      </c>
      <c r="DM53" s="374">
        <f t="shared" si="326"/>
        <v>0</v>
      </c>
      <c r="DN53" s="394">
        <f t="shared" si="326"/>
        <v>0</v>
      </c>
      <c r="DO53" s="393">
        <f t="shared" si="326"/>
        <v>0</v>
      </c>
      <c r="DP53" s="374">
        <f t="shared" si="326"/>
        <v>0</v>
      </c>
      <c r="DQ53" s="374">
        <f t="shared" si="326"/>
        <v>0</v>
      </c>
      <c r="DR53" s="394">
        <f t="shared" si="326"/>
        <v>0</v>
      </c>
      <c r="DS53" s="393">
        <f t="shared" si="326"/>
        <v>85.449118656495216</v>
      </c>
      <c r="DT53" s="374">
        <f t="shared" si="326"/>
        <v>85.449118656495216</v>
      </c>
      <c r="DU53" s="374">
        <f t="shared" si="326"/>
        <v>85.449118656495216</v>
      </c>
      <c r="DV53" s="394">
        <f t="shared" si="326"/>
        <v>85.449118656495216</v>
      </c>
      <c r="DW53" s="393">
        <f t="shared" si="326"/>
        <v>87.158101029625129</v>
      </c>
      <c r="DX53" s="374">
        <f t="shared" si="326"/>
        <v>87.158101029625129</v>
      </c>
      <c r="DY53" s="374">
        <f t="shared" si="326"/>
        <v>87.158101029625129</v>
      </c>
      <c r="DZ53" s="394">
        <f t="shared" si="326"/>
        <v>87.158101029625129</v>
      </c>
      <c r="EA53" s="393">
        <f t="shared" si="326"/>
        <v>88.901263050217636</v>
      </c>
      <c r="EB53" s="374">
        <f t="shared" si="326"/>
        <v>88.901263050217636</v>
      </c>
      <c r="EC53" s="374">
        <f t="shared" si="326"/>
        <v>88.901263050217636</v>
      </c>
      <c r="ED53" s="394">
        <f t="shared" si="326"/>
        <v>88.901263050217636</v>
      </c>
      <c r="EE53" s="393">
        <f t="shared" si="326"/>
        <v>45.339644155610998</v>
      </c>
      <c r="EF53" s="374">
        <f t="shared" si="326"/>
        <v>0</v>
      </c>
      <c r="EG53" s="374">
        <f t="shared" si="326"/>
        <v>0</v>
      </c>
      <c r="EH53" s="394">
        <f t="shared" si="326"/>
        <v>0</v>
      </c>
      <c r="EI53" s="393">
        <f t="shared" si="326"/>
        <v>0</v>
      </c>
      <c r="EJ53" s="374">
        <f t="shared" si="326"/>
        <v>0</v>
      </c>
      <c r="EK53" s="374">
        <f t="shared" si="326"/>
        <v>0</v>
      </c>
      <c r="EL53" s="394">
        <f t="shared" si="326"/>
        <v>0</v>
      </c>
      <c r="EM53" s="417">
        <f t="shared" si="326"/>
        <v>0</v>
      </c>
      <c r="EN53" s="417">
        <f t="shared" si="326"/>
        <v>0</v>
      </c>
      <c r="EO53" s="417">
        <f t="shared" si="326"/>
        <v>0</v>
      </c>
      <c r="EP53" s="417">
        <f t="shared" si="326"/>
        <v>0</v>
      </c>
      <c r="EQ53" s="417">
        <f t="shared" si="326"/>
        <v>0</v>
      </c>
      <c r="EU53" s="417">
        <f t="shared" ref="EU53:FC53" si="327">SUM(EU46:EU52)</f>
        <v>0</v>
      </c>
      <c r="EV53" s="417">
        <f t="shared" si="327"/>
        <v>0</v>
      </c>
      <c r="EW53" s="417">
        <f t="shared" si="327"/>
        <v>0</v>
      </c>
      <c r="EX53" s="417">
        <f t="shared" si="327"/>
        <v>0</v>
      </c>
      <c r="EY53" s="417">
        <f t="shared" si="327"/>
        <v>0</v>
      </c>
      <c r="EZ53" s="417">
        <f t="shared" si="327"/>
        <v>0</v>
      </c>
      <c r="FA53" s="417">
        <f t="shared" si="327"/>
        <v>0</v>
      </c>
      <c r="FB53" s="417">
        <f t="shared" si="327"/>
        <v>0</v>
      </c>
      <c r="FC53" s="417">
        <f t="shared" si="327"/>
        <v>0</v>
      </c>
      <c r="FD53" s="417">
        <f t="shared" ref="FD53:FK53" si="328">SUM(FD46:FD52)</f>
        <v>341.79647462598086</v>
      </c>
      <c r="FE53" s="417">
        <f t="shared" si="328"/>
        <v>348.63240411850052</v>
      </c>
      <c r="FF53" s="417">
        <f t="shared" si="328"/>
        <v>355.60505220087055</v>
      </c>
      <c r="FG53" s="417">
        <f t="shared" ref="FG53:FH53" si="329">SUM(FG46:FG52)</f>
        <v>45.339644155610998</v>
      </c>
      <c r="FH53" s="417">
        <f t="shared" si="329"/>
        <v>0</v>
      </c>
      <c r="FI53" s="417">
        <f t="shared" si="328"/>
        <v>0</v>
      </c>
      <c r="FJ53" s="417">
        <f t="shared" si="328"/>
        <v>0</v>
      </c>
      <c r="FK53" s="417">
        <f t="shared" si="328"/>
        <v>0</v>
      </c>
      <c r="FL53" s="417">
        <f t="shared" ref="FL53:FM53" si="330">SUM(FL46:FL52)</f>
        <v>0</v>
      </c>
      <c r="FM53" s="417">
        <f t="shared" si="330"/>
        <v>0</v>
      </c>
      <c r="FP53" s="417">
        <f t="shared" ref="FP53:FX53" si="331">SUM(FP46:FP52)</f>
        <v>0</v>
      </c>
      <c r="FQ53" s="417">
        <f t="shared" si="331"/>
        <v>0</v>
      </c>
      <c r="FR53" s="417">
        <f t="shared" si="331"/>
        <v>0</v>
      </c>
      <c r="FS53" s="417">
        <f t="shared" si="331"/>
        <v>0</v>
      </c>
      <c r="FT53" s="417">
        <f t="shared" si="331"/>
        <v>0</v>
      </c>
      <c r="FU53" s="417">
        <f t="shared" si="331"/>
        <v>0</v>
      </c>
      <c r="FV53" s="417">
        <f t="shared" si="331"/>
        <v>0</v>
      </c>
      <c r="FW53" s="417">
        <f t="shared" si="331"/>
        <v>0</v>
      </c>
      <c r="FX53" s="417">
        <f t="shared" si="331"/>
        <v>0</v>
      </c>
      <c r="FY53" s="417">
        <f t="shared" ref="FY53:GF53" si="332">SUM(FY46:FY52)</f>
        <v>341.79647462598086</v>
      </c>
      <c r="FZ53" s="417">
        <f t="shared" si="332"/>
        <v>348.63240411850052</v>
      </c>
      <c r="GA53" s="417">
        <f t="shared" si="332"/>
        <v>355.60505220087055</v>
      </c>
      <c r="GB53" s="417">
        <f t="shared" si="332"/>
        <v>45.339644155610998</v>
      </c>
      <c r="GC53" s="417">
        <f t="shared" si="332"/>
        <v>45.339644155610998</v>
      </c>
      <c r="GD53" s="417">
        <f t="shared" si="332"/>
        <v>0</v>
      </c>
      <c r="GE53" s="417">
        <f t="shared" si="332"/>
        <v>0</v>
      </c>
      <c r="GF53" s="417">
        <f t="shared" si="332"/>
        <v>0</v>
      </c>
      <c r="GG53" s="417">
        <f t="shared" ref="GG53:GH53" si="333">SUM(GG46:GG52)</f>
        <v>0</v>
      </c>
      <c r="GH53" s="417">
        <f t="shared" si="333"/>
        <v>0</v>
      </c>
      <c r="GK53" s="138"/>
      <c r="GL53" s="138"/>
      <c r="GM53" s="138"/>
      <c r="GN53" s="138"/>
      <c r="GO53" s="138"/>
      <c r="GP53" s="138"/>
      <c r="GQ53" s="138"/>
      <c r="GR53" s="138"/>
      <c r="GS53" s="138"/>
    </row>
    <row r="54" spans="1:211" s="86" customFormat="1" x14ac:dyDescent="0.25">
      <c r="A54" s="367"/>
      <c r="B54" s="345"/>
      <c r="C54" s="345"/>
      <c r="D54" s="345"/>
      <c r="E54" s="346"/>
      <c r="F54" s="348"/>
      <c r="G54" s="348"/>
      <c r="H54" s="348"/>
      <c r="I54" s="357"/>
      <c r="J54" s="346"/>
      <c r="K54" s="348"/>
      <c r="L54" s="348"/>
      <c r="M54" s="348"/>
      <c r="N54" s="357"/>
      <c r="O54" s="346"/>
      <c r="P54" s="348"/>
      <c r="Q54" s="348"/>
      <c r="R54" s="348"/>
      <c r="S54" s="357"/>
      <c r="T54" s="346"/>
      <c r="U54" s="348"/>
      <c r="V54" s="348"/>
      <c r="W54" s="348"/>
      <c r="X54" s="357"/>
      <c r="Y54" s="346"/>
      <c r="Z54" s="348"/>
      <c r="AA54" s="348"/>
      <c r="AB54" s="348"/>
      <c r="AC54" s="357"/>
      <c r="AD54" s="663"/>
      <c r="AE54" s="663"/>
      <c r="AF54" s="663"/>
      <c r="AG54" s="663"/>
      <c r="AH54" s="357"/>
      <c r="AI54" s="346"/>
      <c r="AJ54" s="348"/>
      <c r="AK54" s="348"/>
      <c r="AL54" s="348"/>
      <c r="AM54" s="717"/>
      <c r="AN54" s="346"/>
      <c r="AO54" s="348"/>
      <c r="AP54" s="348"/>
      <c r="AQ54" s="348"/>
      <c r="AR54" s="717"/>
      <c r="AS54" s="346"/>
      <c r="AT54" s="348"/>
      <c r="AU54" s="348"/>
      <c r="AV54" s="348"/>
      <c r="AW54" s="717"/>
      <c r="AX54" s="346"/>
      <c r="AY54" s="348"/>
      <c r="AZ54" s="348"/>
      <c r="BA54" s="348"/>
      <c r="BB54" s="717"/>
      <c r="BC54" s="346"/>
      <c r="BD54" s="348"/>
      <c r="BE54" s="348"/>
      <c r="BF54" s="348"/>
      <c r="BG54" s="717"/>
      <c r="BH54" s="346"/>
      <c r="BI54" s="348"/>
      <c r="BJ54" s="348"/>
      <c r="BK54" s="348"/>
      <c r="BL54" s="717"/>
      <c r="BM54" s="346"/>
      <c r="BN54" s="348"/>
      <c r="BO54" s="348"/>
      <c r="BP54" s="348"/>
      <c r="BQ54" s="966"/>
      <c r="BR54" s="346"/>
      <c r="BS54" s="348"/>
      <c r="BT54" s="348"/>
      <c r="BU54" s="348"/>
      <c r="BV54" s="966"/>
      <c r="BW54" s="347"/>
      <c r="BX54" s="347"/>
      <c r="BY54" s="347"/>
      <c r="BZ54" s="347"/>
      <c r="CA54" s="347"/>
      <c r="CB54" s="349"/>
      <c r="CC54" s="350"/>
      <c r="CD54" s="381"/>
      <c r="CE54" s="350"/>
      <c r="CF54" s="381"/>
      <c r="CG54" s="350"/>
      <c r="CH54" s="381"/>
      <c r="CI54" s="393"/>
      <c r="CJ54" s="374"/>
      <c r="CK54" s="374"/>
      <c r="CL54" s="394"/>
      <c r="CM54" s="393"/>
      <c r="CN54" s="374"/>
      <c r="CO54" s="374"/>
      <c r="CP54" s="394"/>
      <c r="CQ54" s="393"/>
      <c r="CR54" s="374"/>
      <c r="CS54" s="374"/>
      <c r="CT54" s="394"/>
      <c r="CU54" s="393"/>
      <c r="CV54" s="374"/>
      <c r="CW54" s="374"/>
      <c r="CX54" s="394"/>
      <c r="CY54" s="393"/>
      <c r="CZ54" s="374"/>
      <c r="DA54" s="374"/>
      <c r="DB54" s="394"/>
      <c r="DC54" s="374"/>
      <c r="DD54" s="374"/>
      <c r="DE54" s="374"/>
      <c r="DF54" s="394"/>
      <c r="DG54" s="374"/>
      <c r="DH54" s="374"/>
      <c r="DI54" s="374"/>
      <c r="DJ54" s="394"/>
      <c r="DK54" s="374"/>
      <c r="DL54" s="374"/>
      <c r="DM54" s="374"/>
      <c r="DN54" s="394"/>
      <c r="DO54" s="374"/>
      <c r="DP54" s="374"/>
      <c r="DQ54" s="374"/>
      <c r="DR54" s="394"/>
      <c r="DS54" s="393"/>
      <c r="DT54" s="374"/>
      <c r="DU54" s="374"/>
      <c r="DV54" s="394"/>
      <c r="DW54" s="393"/>
      <c r="DX54" s="374"/>
      <c r="DY54" s="374"/>
      <c r="DZ54" s="394"/>
      <c r="EA54" s="393"/>
      <c r="EB54" s="374"/>
      <c r="EC54" s="374"/>
      <c r="ED54" s="394"/>
      <c r="EE54" s="393"/>
      <c r="EF54" s="374"/>
      <c r="EG54" s="374"/>
      <c r="EH54" s="394"/>
      <c r="EI54" s="393"/>
      <c r="EJ54" s="374"/>
      <c r="EK54" s="374"/>
      <c r="EL54" s="394"/>
      <c r="EM54" s="417"/>
      <c r="EN54" s="417"/>
      <c r="EO54" s="417"/>
      <c r="EP54" s="417"/>
      <c r="EQ54" s="417"/>
      <c r="EU54" s="417"/>
      <c r="EV54" s="417"/>
      <c r="EW54" s="417"/>
      <c r="EX54" s="417"/>
      <c r="EY54" s="417"/>
      <c r="EZ54" s="417"/>
      <c r="FA54" s="417"/>
      <c r="FB54" s="417"/>
      <c r="FC54" s="417"/>
      <c r="FD54" s="417"/>
      <c r="FE54" s="417"/>
      <c r="FF54" s="417"/>
      <c r="FG54" s="417"/>
      <c r="FH54" s="417"/>
      <c r="FI54" s="417"/>
      <c r="FJ54" s="417"/>
      <c r="FK54" s="417"/>
      <c r="FL54" s="417"/>
      <c r="FM54" s="417"/>
      <c r="FP54" s="417"/>
      <c r="FQ54" s="417"/>
      <c r="FR54" s="417"/>
      <c r="FS54" s="417"/>
      <c r="FT54" s="417"/>
      <c r="FU54" s="417"/>
      <c r="FV54" s="417"/>
      <c r="FW54" s="417"/>
      <c r="FX54" s="417"/>
      <c r="FY54" s="417"/>
      <c r="FZ54" s="417"/>
      <c r="GA54" s="417"/>
      <c r="GB54" s="417"/>
      <c r="GC54" s="417"/>
      <c r="GD54" s="417"/>
      <c r="GE54" s="417"/>
      <c r="GF54" s="417"/>
      <c r="GG54" s="417"/>
      <c r="GH54" s="417"/>
      <c r="GK54" s="138"/>
      <c r="GL54" s="138"/>
      <c r="GM54" s="138"/>
      <c r="GN54" s="138"/>
      <c r="GO54" s="138"/>
      <c r="GP54" s="138"/>
      <c r="GQ54" s="138"/>
      <c r="GR54" s="138"/>
      <c r="GS54" s="138"/>
    </row>
    <row r="55" spans="1:211" x14ac:dyDescent="0.25">
      <c r="A55" s="367" t="s">
        <v>457</v>
      </c>
      <c r="B55" s="345"/>
      <c r="C55" s="345"/>
      <c r="D55" s="345"/>
      <c r="E55" s="388"/>
      <c r="F55" s="377"/>
      <c r="G55" s="377"/>
      <c r="H55" s="377"/>
      <c r="I55" s="357"/>
      <c r="J55" s="388"/>
      <c r="K55" s="377"/>
      <c r="L55" s="377"/>
      <c r="M55" s="377"/>
      <c r="N55" s="357"/>
      <c r="O55" s="388"/>
      <c r="P55" s="377"/>
      <c r="Q55" s="377"/>
      <c r="R55" s="377"/>
      <c r="S55" s="357"/>
      <c r="T55" s="388"/>
      <c r="U55" s="377"/>
      <c r="V55" s="377"/>
      <c r="W55" s="377"/>
      <c r="X55" s="357"/>
      <c r="Y55" s="388"/>
      <c r="Z55" s="377"/>
      <c r="AA55" s="377"/>
      <c r="AB55" s="377"/>
      <c r="AC55" s="357"/>
      <c r="AD55" s="663"/>
      <c r="AE55" s="663"/>
      <c r="AF55" s="663"/>
      <c r="AG55" s="663"/>
      <c r="AH55" s="357"/>
      <c r="AI55" s="388"/>
      <c r="AJ55" s="377"/>
      <c r="AK55" s="377"/>
      <c r="AL55" s="377"/>
      <c r="AM55" s="716"/>
      <c r="AN55" s="388"/>
      <c r="AO55" s="377"/>
      <c r="AP55" s="377"/>
      <c r="AQ55" s="377"/>
      <c r="AR55" s="716"/>
      <c r="AS55" s="388"/>
      <c r="AT55" s="377"/>
      <c r="AU55" s="377"/>
      <c r="AV55" s="377"/>
      <c r="AW55" s="716"/>
      <c r="AX55" s="388"/>
      <c r="AY55" s="377"/>
      <c r="AZ55" s="377"/>
      <c r="BA55" s="377"/>
      <c r="BB55" s="716"/>
      <c r="BC55" s="388"/>
      <c r="BD55" s="377"/>
      <c r="BE55" s="377"/>
      <c r="BF55" s="377"/>
      <c r="BG55" s="716"/>
      <c r="BH55" s="388"/>
      <c r="BI55" s="377"/>
      <c r="BJ55" s="377"/>
      <c r="BK55" s="377"/>
      <c r="BL55" s="716"/>
      <c r="BM55" s="388"/>
      <c r="BN55" s="377"/>
      <c r="BO55" s="377"/>
      <c r="BP55" s="377"/>
      <c r="BQ55" s="969"/>
      <c r="BR55" s="388"/>
      <c r="BS55" s="377"/>
      <c r="BT55" s="377"/>
      <c r="BU55" s="377"/>
      <c r="BV55" s="969"/>
      <c r="BW55" s="391"/>
      <c r="BX55" s="391"/>
      <c r="BY55" s="391"/>
      <c r="BZ55" s="391"/>
      <c r="CA55" s="391"/>
      <c r="CB55" s="378"/>
      <c r="CC55" s="398"/>
      <c r="CD55" s="379"/>
      <c r="CE55" s="398"/>
      <c r="CF55" s="379"/>
      <c r="CG55" s="398"/>
      <c r="CH55" s="379"/>
      <c r="CI55" s="407"/>
      <c r="CJ55" s="380"/>
      <c r="CK55" s="380"/>
      <c r="CL55" s="408"/>
      <c r="CM55" s="407"/>
      <c r="CN55" s="380"/>
      <c r="CO55" s="380"/>
      <c r="CP55" s="408"/>
      <c r="CQ55" s="407"/>
      <c r="CR55" s="380"/>
      <c r="CS55" s="380"/>
      <c r="CT55" s="408"/>
      <c r="CU55" s="407"/>
      <c r="CV55" s="380"/>
      <c r="CW55" s="380"/>
      <c r="CX55" s="408"/>
      <c r="CY55" s="407"/>
      <c r="CZ55" s="380"/>
      <c r="DA55" s="380"/>
      <c r="DB55" s="408"/>
      <c r="DC55" s="380"/>
      <c r="DD55" s="380"/>
      <c r="DE55" s="380"/>
      <c r="DF55" s="408"/>
      <c r="DG55" s="380"/>
      <c r="DH55" s="380"/>
      <c r="DI55" s="380"/>
      <c r="DJ55" s="408"/>
      <c r="DK55" s="380"/>
      <c r="DL55" s="380"/>
      <c r="DM55" s="380"/>
      <c r="DN55" s="408"/>
      <c r="DO55" s="380"/>
      <c r="DP55" s="380"/>
      <c r="DQ55" s="380"/>
      <c r="DR55" s="408"/>
      <c r="DS55" s="407"/>
      <c r="DT55" s="380"/>
      <c r="DU55" s="380"/>
      <c r="DV55" s="408"/>
      <c r="DW55" s="407"/>
      <c r="DX55" s="380"/>
      <c r="DY55" s="380"/>
      <c r="DZ55" s="408"/>
      <c r="EA55" s="407"/>
      <c r="EB55" s="380"/>
      <c r="EC55" s="380"/>
      <c r="ED55" s="408"/>
      <c r="EE55" s="407"/>
      <c r="EF55" s="380"/>
      <c r="EG55" s="380"/>
      <c r="EH55" s="408"/>
      <c r="EI55" s="407"/>
      <c r="EJ55" s="380"/>
      <c r="EK55" s="380"/>
      <c r="EL55" s="408"/>
      <c r="EM55" s="419"/>
      <c r="EN55" s="419"/>
      <c r="EO55" s="419"/>
      <c r="EP55" s="419"/>
      <c r="EQ55" s="419"/>
      <c r="EU55" s="419"/>
      <c r="EV55" s="419"/>
      <c r="EW55" s="419"/>
      <c r="EX55" s="419"/>
      <c r="EY55" s="419"/>
      <c r="EZ55" s="419"/>
      <c r="FA55" s="419"/>
      <c r="FB55" s="419"/>
      <c r="FC55" s="419"/>
      <c r="FD55" s="419"/>
      <c r="FE55" s="419"/>
      <c r="FF55" s="419"/>
      <c r="FG55" s="419"/>
      <c r="FH55" s="419"/>
      <c r="FI55" s="419"/>
      <c r="FJ55" s="419"/>
      <c r="FK55" s="419"/>
      <c r="FL55" s="419"/>
      <c r="FM55" s="419"/>
      <c r="FP55" s="419"/>
      <c r="FQ55" s="419"/>
      <c r="FR55" s="419"/>
      <c r="FS55" s="419"/>
      <c r="FT55" s="419"/>
      <c r="FU55" s="419"/>
      <c r="FV55" s="419"/>
      <c r="FW55" s="419"/>
      <c r="FX55" s="419"/>
      <c r="FY55" s="419"/>
      <c r="FZ55" s="419"/>
      <c r="GA55" s="419"/>
      <c r="GB55" s="419"/>
      <c r="GC55" s="419"/>
      <c r="GD55" s="419"/>
      <c r="GE55" s="419"/>
      <c r="GF55" s="419"/>
      <c r="GG55" s="419"/>
      <c r="GH55" s="419"/>
    </row>
    <row r="56" spans="1:211" s="138" customFormat="1" outlineLevel="1" x14ac:dyDescent="0.25">
      <c r="A56" s="361"/>
      <c r="B56" s="368" t="s">
        <v>720</v>
      </c>
      <c r="C56" s="462"/>
      <c r="D56" s="368"/>
      <c r="E56" s="386"/>
      <c r="F56" s="369"/>
      <c r="G56" s="369"/>
      <c r="H56" s="369"/>
      <c r="I56" s="357">
        <f>SUM(E56:H56)/4</f>
        <v>0</v>
      </c>
      <c r="J56" s="386"/>
      <c r="K56" s="369"/>
      <c r="L56" s="369"/>
      <c r="M56" s="369"/>
      <c r="N56" s="357">
        <f>SUM(J56:M56)/4</f>
        <v>0</v>
      </c>
      <c r="O56" s="386"/>
      <c r="P56" s="369"/>
      <c r="Q56" s="369"/>
      <c r="R56" s="369"/>
      <c r="S56" s="357">
        <f>SUM(O56:R56)/4</f>
        <v>0</v>
      </c>
      <c r="T56" s="386"/>
      <c r="U56" s="369"/>
      <c r="V56" s="369"/>
      <c r="W56" s="369"/>
      <c r="X56" s="357">
        <f>SUM(T56:W56)/4</f>
        <v>0</v>
      </c>
      <c r="Y56" s="386"/>
      <c r="Z56" s="369"/>
      <c r="AA56" s="369"/>
      <c r="AB56" s="369"/>
      <c r="AC56" s="357">
        <f>SUM(Y56:AB56)/4</f>
        <v>0</v>
      </c>
      <c r="AD56" s="386"/>
      <c r="AE56" s="369"/>
      <c r="AF56" s="369"/>
      <c r="AG56" s="369"/>
      <c r="AH56" s="357">
        <f>SUM(AD56:AG56)/4</f>
        <v>0</v>
      </c>
      <c r="AI56" s="386"/>
      <c r="AJ56" s="369"/>
      <c r="AK56" s="369"/>
      <c r="AL56" s="369"/>
      <c r="AM56" s="357">
        <f>SUM(AI56:AL56)/4</f>
        <v>0</v>
      </c>
      <c r="AN56" s="386"/>
      <c r="AO56" s="369"/>
      <c r="AP56" s="369"/>
      <c r="AQ56" s="369"/>
      <c r="AR56" s="357">
        <f>SUM(AN56:AQ56)/4</f>
        <v>0</v>
      </c>
      <c r="AS56" s="386"/>
      <c r="AT56" s="369"/>
      <c r="AU56" s="369"/>
      <c r="AV56" s="369"/>
      <c r="AW56" s="357">
        <f>SUM(AS56:AV56)/4</f>
        <v>0</v>
      </c>
      <c r="AX56" s="386"/>
      <c r="AY56" s="369"/>
      <c r="AZ56" s="369"/>
      <c r="BA56" s="369"/>
      <c r="BB56" s="357">
        <f>SUM(AX56:BA56)/4</f>
        <v>0</v>
      </c>
      <c r="BC56" s="386"/>
      <c r="BD56" s="369"/>
      <c r="BE56" s="369"/>
      <c r="BF56" s="369"/>
      <c r="BG56" s="357">
        <f>SUM(BC56:BF56)/4</f>
        <v>0</v>
      </c>
      <c r="BH56" s="386"/>
      <c r="BI56" s="369"/>
      <c r="BJ56" s="369"/>
      <c r="BK56" s="369"/>
      <c r="BL56" s="357">
        <f>SUM(BH56:BK56)/4</f>
        <v>0</v>
      </c>
      <c r="BM56" s="386"/>
      <c r="BN56" s="369"/>
      <c r="BO56" s="369"/>
      <c r="BP56" s="369"/>
      <c r="BQ56" s="967">
        <f>SUM(BM56:BP56)/4</f>
        <v>0</v>
      </c>
      <c r="BR56" s="386"/>
      <c r="BS56" s="369"/>
      <c r="BT56" s="369"/>
      <c r="BU56" s="369"/>
      <c r="BV56" s="967">
        <f>SUM(BR56:BU56)/4</f>
        <v>0</v>
      </c>
      <c r="BW56" s="389"/>
      <c r="BX56" s="389"/>
      <c r="BY56" s="389"/>
      <c r="BZ56" s="389"/>
      <c r="CA56" s="389"/>
      <c r="CB56" s="370"/>
      <c r="CC56" s="395">
        <v>135</v>
      </c>
      <c r="CD56" s="371">
        <v>0.02</v>
      </c>
      <c r="CE56" s="395">
        <f t="shared" ref="CE56:CE57" si="334">CC56*(1+CD56)^2</f>
        <v>140.45400000000001</v>
      </c>
      <c r="CF56" s="371">
        <v>0.02</v>
      </c>
      <c r="CG56" s="395">
        <f t="shared" ref="CG56:CG57" si="335">CE56*(1+CF56)^2</f>
        <v>146.1283416</v>
      </c>
      <c r="CH56" s="371">
        <v>0.02</v>
      </c>
      <c r="CI56" s="405">
        <f t="shared" ref="CI56:CI57" si="336">(E56*$CC56*(1+$CD56)^CI$6)/4</f>
        <v>0</v>
      </c>
      <c r="CJ56" s="372">
        <f t="shared" ref="CJ56:CJ57" si="337">(F56*$CC56*(1+$CD56)^CJ$6)/4</f>
        <v>0</v>
      </c>
      <c r="CK56" s="372">
        <f t="shared" ref="CK56:CK57" si="338">(G56*$CC56*(1+$CD56)^CK$6)/4</f>
        <v>0</v>
      </c>
      <c r="CL56" s="406">
        <f t="shared" ref="CL56:CL57" si="339">(H56*$CC56*(1+$CD56)^CL$6)/4</f>
        <v>0</v>
      </c>
      <c r="CM56" s="405">
        <f t="shared" ref="CM56:CM57" si="340">(J56*$CC56*(1+$CD56)^CM$6)/4</f>
        <v>0</v>
      </c>
      <c r="CN56" s="372">
        <f t="shared" ref="CN56:CN57" si="341">(K56*$CC56*(1+$CD56)^CN$6)/4</f>
        <v>0</v>
      </c>
      <c r="CO56" s="372">
        <f t="shared" ref="CO56:CO57" si="342">(L56*$CC56*(1+$CD56)^CO$6)/4</f>
        <v>0</v>
      </c>
      <c r="CP56" s="406">
        <f t="shared" ref="CP56:CP57" si="343">(M56*$CC56*(1+$CD56)^CP$6)/4</f>
        <v>0</v>
      </c>
      <c r="CQ56" s="405">
        <f t="shared" ref="CQ56:CT57" si="344">(O56*$CE56*(1+$CF56)^CQ$6)/4</f>
        <v>0</v>
      </c>
      <c r="CR56" s="372">
        <f t="shared" si="344"/>
        <v>0</v>
      </c>
      <c r="CS56" s="372">
        <f t="shared" si="344"/>
        <v>0</v>
      </c>
      <c r="CT56" s="406">
        <f t="shared" si="344"/>
        <v>0</v>
      </c>
      <c r="CU56" s="405">
        <f t="shared" ref="CU56:CX57" si="345">(T56*$CE56*(1+$CF56)^CU$6)/4</f>
        <v>0</v>
      </c>
      <c r="CV56" s="372">
        <f t="shared" si="345"/>
        <v>0</v>
      </c>
      <c r="CW56" s="372">
        <f t="shared" si="345"/>
        <v>0</v>
      </c>
      <c r="CX56" s="406">
        <f t="shared" si="345"/>
        <v>0</v>
      </c>
      <c r="CY56" s="405">
        <f t="shared" ref="CY56:DB57" si="346">(Y56*$CE56*(1+$CF56)^CY$6)/4</f>
        <v>0</v>
      </c>
      <c r="CZ56" s="372">
        <f t="shared" si="346"/>
        <v>0</v>
      </c>
      <c r="DA56" s="372">
        <f t="shared" si="346"/>
        <v>0</v>
      </c>
      <c r="DB56" s="406">
        <f t="shared" si="346"/>
        <v>0</v>
      </c>
      <c r="DC56" s="405">
        <f t="shared" ref="DC56:DF57" si="347">(AD56*$CE56*(1+$CF56)^DC$6)/4</f>
        <v>0</v>
      </c>
      <c r="DD56" s="372">
        <f t="shared" si="347"/>
        <v>0</v>
      </c>
      <c r="DE56" s="372">
        <f t="shared" si="347"/>
        <v>0</v>
      </c>
      <c r="DF56" s="668">
        <f t="shared" si="347"/>
        <v>0</v>
      </c>
      <c r="DG56" s="405">
        <f t="shared" ref="DG56:DJ57" si="348">(AI56*$CE56*(1+$CF56)^DG$6)/4</f>
        <v>0</v>
      </c>
      <c r="DH56" s="372">
        <f t="shared" si="348"/>
        <v>0</v>
      </c>
      <c r="DI56" s="372">
        <f t="shared" si="348"/>
        <v>0</v>
      </c>
      <c r="DJ56" s="668">
        <f t="shared" si="348"/>
        <v>0</v>
      </c>
      <c r="DK56" s="673">
        <f t="shared" ref="DK56:DN57" si="349">(AN56*$CE56*(1+$CF56)^DK$6)/4</f>
        <v>0</v>
      </c>
      <c r="DL56" s="671">
        <f t="shared" si="349"/>
        <v>0</v>
      </c>
      <c r="DM56" s="671">
        <f t="shared" si="349"/>
        <v>0</v>
      </c>
      <c r="DN56" s="668">
        <f t="shared" si="349"/>
        <v>0</v>
      </c>
      <c r="DO56" s="673">
        <f t="shared" ref="DO56:DR57" si="350">(AS56*$CE56*(1+$CF56)^DO$6)/4</f>
        <v>0</v>
      </c>
      <c r="DP56" s="671">
        <f t="shared" si="350"/>
        <v>0</v>
      </c>
      <c r="DQ56" s="671">
        <f t="shared" si="350"/>
        <v>0</v>
      </c>
      <c r="DR56" s="668">
        <f t="shared" si="350"/>
        <v>0</v>
      </c>
      <c r="DS56" s="673">
        <f t="shared" ref="DS56:DV57" si="351">(AX56*$CE56*(1+$CF56)^DS$6)/4</f>
        <v>0</v>
      </c>
      <c r="DT56" s="671">
        <f t="shared" si="351"/>
        <v>0</v>
      </c>
      <c r="DU56" s="671">
        <f t="shared" si="351"/>
        <v>0</v>
      </c>
      <c r="DV56" s="668">
        <f t="shared" si="351"/>
        <v>0</v>
      </c>
      <c r="DW56" s="673">
        <f t="shared" ref="DW56:DZ57" si="352">(BC56*$CE56*(1+$CF56)^DW$6)/4</f>
        <v>0</v>
      </c>
      <c r="DX56" s="671">
        <f t="shared" si="352"/>
        <v>0</v>
      </c>
      <c r="DY56" s="671">
        <f t="shared" si="352"/>
        <v>0</v>
      </c>
      <c r="DZ56" s="668">
        <f t="shared" si="352"/>
        <v>0</v>
      </c>
      <c r="EA56" s="673">
        <f t="shared" ref="EA56:ED57" si="353">(BH56*$CE56*(1+$CF56)^EA$6)/4</f>
        <v>0</v>
      </c>
      <c r="EB56" s="671">
        <f t="shared" si="353"/>
        <v>0</v>
      </c>
      <c r="EC56" s="671">
        <f t="shared" si="353"/>
        <v>0</v>
      </c>
      <c r="ED56" s="668">
        <f t="shared" si="353"/>
        <v>0</v>
      </c>
      <c r="EE56" s="673">
        <f t="shared" ref="EE56:EH57" si="354">(BM56*$CE56*(1+$CF56)^EE$6)/4</f>
        <v>0</v>
      </c>
      <c r="EF56" s="671">
        <f t="shared" si="354"/>
        <v>0</v>
      </c>
      <c r="EG56" s="671">
        <f t="shared" si="354"/>
        <v>0</v>
      </c>
      <c r="EH56" s="668">
        <f t="shared" si="354"/>
        <v>0</v>
      </c>
      <c r="EI56" s="673">
        <f t="shared" ref="EI56:EL57" si="355">(BR56*$CE56*(1+$CF56)^EI$6)/4</f>
        <v>0</v>
      </c>
      <c r="EJ56" s="671">
        <f t="shared" si="355"/>
        <v>0</v>
      </c>
      <c r="EK56" s="671">
        <f t="shared" si="355"/>
        <v>0</v>
      </c>
      <c r="EL56" s="668">
        <f t="shared" si="355"/>
        <v>0</v>
      </c>
      <c r="EM56" s="416">
        <f t="shared" ref="EM56:EQ57" si="356">(BW56*$CE56*(1+$CF56)^EM$6)</f>
        <v>0</v>
      </c>
      <c r="EN56" s="416">
        <f t="shared" si="356"/>
        <v>0</v>
      </c>
      <c r="EO56" s="416">
        <f t="shared" si="356"/>
        <v>0</v>
      </c>
      <c r="EP56" s="416">
        <f t="shared" si="356"/>
        <v>0</v>
      </c>
      <c r="EQ56" s="416">
        <f t="shared" si="356"/>
        <v>0</v>
      </c>
      <c r="EU56" s="416">
        <f>SUM(CI56:CL56)</f>
        <v>0</v>
      </c>
      <c r="EV56" s="416">
        <f>SUM(CM56:CP56)</f>
        <v>0</v>
      </c>
      <c r="EW56" s="416">
        <f>SUM(CQ56:CT56)</f>
        <v>0</v>
      </c>
      <c r="EX56" s="416">
        <f>SUM(CU56:CX56)</f>
        <v>0</v>
      </c>
      <c r="EY56" s="416">
        <f>SUM(CY56:DB56)</f>
        <v>0</v>
      </c>
      <c r="EZ56" s="416">
        <f>SUM(DC56:DF56)</f>
        <v>0</v>
      </c>
      <c r="FA56" s="416">
        <f>SUM(DG56:DJ56)</f>
        <v>0</v>
      </c>
      <c r="FB56" s="416">
        <f>SUM(DK56:DN56)</f>
        <v>0</v>
      </c>
      <c r="FC56" s="416">
        <f>SUM(DO56:DR56)</f>
        <v>0</v>
      </c>
      <c r="FD56" s="416">
        <f>SUM(DS56:DV56)</f>
        <v>0</v>
      </c>
      <c r="FE56" s="416">
        <f>SUM(DW56:DZ56)</f>
        <v>0</v>
      </c>
      <c r="FF56" s="416">
        <f>SUM(EA56:ED56)</f>
        <v>0</v>
      </c>
      <c r="FG56" s="416">
        <f t="shared" ref="FG56:FG57" si="357">SUM(EE56:EH56)</f>
        <v>0</v>
      </c>
      <c r="FH56" s="416">
        <f>SUM(EI56:EL56)</f>
        <v>0</v>
      </c>
      <c r="FI56" s="416">
        <f t="shared" ref="FI56:FK57" si="358">EM56</f>
        <v>0</v>
      </c>
      <c r="FJ56" s="416">
        <f t="shared" si="358"/>
        <v>0</v>
      </c>
      <c r="FK56" s="416">
        <f t="shared" si="358"/>
        <v>0</v>
      </c>
      <c r="FL56" s="416">
        <f t="shared" ref="FL56:FM57" si="359">EP56</f>
        <v>0</v>
      </c>
      <c r="FM56" s="416">
        <f t="shared" si="359"/>
        <v>0</v>
      </c>
      <c r="FP56" s="416">
        <f>SUMIF(CI$5:CL$5,TRUE,CI56:CL56)</f>
        <v>0</v>
      </c>
      <c r="FQ56" s="416">
        <f>SUMIF(CM$5:CP$5,TRUE,CM56:CP56)</f>
        <v>0</v>
      </c>
      <c r="FR56" s="416">
        <f>SUMIF(CQ$5:CT$5,TRUE,CQ56:CT56)</f>
        <v>0</v>
      </c>
      <c r="FS56" s="416">
        <f>SUMIF(CU$5:CX$5,TRUE,CU56:CX56)</f>
        <v>0</v>
      </c>
      <c r="FT56" s="416">
        <f>SUMIF(CY$5:DB$5,TRUE,CY56:DB56)</f>
        <v>0</v>
      </c>
      <c r="FU56" s="416">
        <f>SUMIF(DC$5:DF$5,TRUE,DC56:DF56)</f>
        <v>0</v>
      </c>
      <c r="FV56" s="416">
        <f>SUMIF(DG$5:DJ$5,TRUE,DG56:DJ56)</f>
        <v>0</v>
      </c>
      <c r="FW56" s="416">
        <f>SUMIF(DK$5:DN$5,TRUE,DK56:DN56)</f>
        <v>0</v>
      </c>
      <c r="FX56" s="416">
        <f>SUMIF(DO$5:DR$5,TRUE,DO56:DR56)</f>
        <v>0</v>
      </c>
      <c r="FY56" s="416">
        <f>SUMIF(DS$5:DV$5,TRUE,DS56:DV56)</f>
        <v>0</v>
      </c>
      <c r="FZ56" s="416">
        <f>SUMIF(DW$5:DZ$5,TRUE,DW56:DZ56)</f>
        <v>0</v>
      </c>
      <c r="GA56" s="416">
        <f>SUMIF(EA$5:ED$5,TRUE,EA56:ED56)</f>
        <v>0</v>
      </c>
      <c r="GB56" s="416">
        <f t="shared" ref="GB56:GB57" si="360">SUMIF(EE$5:EH$5,TRUE,EE56:EH56)</f>
        <v>0</v>
      </c>
      <c r="GC56" s="416">
        <f t="shared" ref="GC56:GC57" si="361">SUMIF(EE$5:EH$5,TRUE,EE56:EH56)</f>
        <v>0</v>
      </c>
      <c r="GD56" s="416">
        <f t="shared" ref="GD56:GF57" si="362">IF(EM$5,EM56,0)</f>
        <v>0</v>
      </c>
      <c r="GE56" s="416">
        <f t="shared" si="362"/>
        <v>0</v>
      </c>
      <c r="GF56" s="416">
        <f t="shared" si="362"/>
        <v>0</v>
      </c>
      <c r="GG56" s="416">
        <f t="shared" ref="GG56:GH57" si="363">IF(EP$5,EP56,0)</f>
        <v>0</v>
      </c>
      <c r="GH56" s="416">
        <f t="shared" si="363"/>
        <v>0</v>
      </c>
    </row>
    <row r="57" spans="1:211" s="138" customFormat="1" outlineLevel="1" x14ac:dyDescent="0.25">
      <c r="A57" s="361"/>
      <c r="B57" s="426" t="s">
        <v>458</v>
      </c>
      <c r="C57" s="426"/>
      <c r="D57" s="426"/>
      <c r="E57" s="427"/>
      <c r="F57" s="428"/>
      <c r="G57" s="428"/>
      <c r="H57" s="428"/>
      <c r="I57" s="358">
        <f>SUM(E57:H57)/4</f>
        <v>0</v>
      </c>
      <c r="J57" s="427"/>
      <c r="K57" s="428"/>
      <c r="L57" s="428"/>
      <c r="M57" s="428"/>
      <c r="N57" s="358">
        <f>SUM(J57:M57)/4</f>
        <v>0</v>
      </c>
      <c r="O57" s="427"/>
      <c r="P57" s="428"/>
      <c r="Q57" s="428"/>
      <c r="R57" s="428"/>
      <c r="S57" s="358">
        <f>SUM(O57:R57)/4</f>
        <v>0</v>
      </c>
      <c r="T57" s="427"/>
      <c r="U57" s="428"/>
      <c r="V57" s="428"/>
      <c r="W57" s="428"/>
      <c r="X57" s="358">
        <f>SUM(T57:W57)/4</f>
        <v>0</v>
      </c>
      <c r="Y57" s="427"/>
      <c r="Z57" s="428"/>
      <c r="AA57" s="428"/>
      <c r="AB57" s="428"/>
      <c r="AC57" s="358">
        <f>SUM(Y57:AB57)/4</f>
        <v>0</v>
      </c>
      <c r="AD57" s="427"/>
      <c r="AE57" s="428"/>
      <c r="AF57" s="428"/>
      <c r="AG57" s="428"/>
      <c r="AH57" s="358">
        <f>SUM(AD57:AG57)/4</f>
        <v>0</v>
      </c>
      <c r="AI57" s="427"/>
      <c r="AJ57" s="428"/>
      <c r="AK57" s="428"/>
      <c r="AL57" s="428"/>
      <c r="AM57" s="358">
        <f>SUM(AI57:AL57)/4</f>
        <v>0</v>
      </c>
      <c r="AN57" s="427"/>
      <c r="AO57" s="428"/>
      <c r="AP57" s="428"/>
      <c r="AQ57" s="428"/>
      <c r="AR57" s="358">
        <f>SUM(AN57:AQ57)/4</f>
        <v>0</v>
      </c>
      <c r="AS57" s="427"/>
      <c r="AT57" s="428"/>
      <c r="AU57" s="428"/>
      <c r="AV57" s="428"/>
      <c r="AW57" s="358">
        <f>SUM(AS57:AV57)/4</f>
        <v>0</v>
      </c>
      <c r="AX57" s="427"/>
      <c r="AY57" s="428"/>
      <c r="AZ57" s="428"/>
      <c r="BA57" s="428"/>
      <c r="BB57" s="358">
        <f>SUM(AX57:BA57)/4</f>
        <v>0</v>
      </c>
      <c r="BC57" s="427"/>
      <c r="BD57" s="428"/>
      <c r="BE57" s="428"/>
      <c r="BF57" s="428"/>
      <c r="BG57" s="358">
        <f>SUM(BC57:BF57)/4</f>
        <v>0</v>
      </c>
      <c r="BH57" s="427"/>
      <c r="BI57" s="428"/>
      <c r="BJ57" s="428"/>
      <c r="BK57" s="428"/>
      <c r="BL57" s="358">
        <f>SUM(BH57:BK57)/4</f>
        <v>0</v>
      </c>
      <c r="BM57" s="427"/>
      <c r="BN57" s="428"/>
      <c r="BO57" s="428"/>
      <c r="BP57" s="428"/>
      <c r="BQ57" s="965">
        <f>SUM(BM57:BP57)/4</f>
        <v>0</v>
      </c>
      <c r="BR57" s="427"/>
      <c r="BS57" s="428"/>
      <c r="BT57" s="428"/>
      <c r="BU57" s="428"/>
      <c r="BV57" s="965">
        <f>SUM(BR57:BU57)/4</f>
        <v>0</v>
      </c>
      <c r="BW57" s="429"/>
      <c r="BX57" s="429"/>
      <c r="BY57" s="429"/>
      <c r="BZ57" s="429"/>
      <c r="CA57" s="429"/>
      <c r="CB57" s="430"/>
      <c r="CC57" s="431">
        <v>135</v>
      </c>
      <c r="CD57" s="432">
        <v>0.02</v>
      </c>
      <c r="CE57" s="431">
        <f t="shared" si="334"/>
        <v>140.45400000000001</v>
      </c>
      <c r="CF57" s="432">
        <v>0.02</v>
      </c>
      <c r="CG57" s="431">
        <f t="shared" si="335"/>
        <v>146.1283416</v>
      </c>
      <c r="CH57" s="432">
        <v>0.02</v>
      </c>
      <c r="CI57" s="433">
        <f t="shared" si="336"/>
        <v>0</v>
      </c>
      <c r="CJ57" s="434">
        <f t="shared" si="337"/>
        <v>0</v>
      </c>
      <c r="CK57" s="434">
        <f t="shared" si="338"/>
        <v>0</v>
      </c>
      <c r="CL57" s="435">
        <f t="shared" si="339"/>
        <v>0</v>
      </c>
      <c r="CM57" s="433">
        <f t="shared" si="340"/>
        <v>0</v>
      </c>
      <c r="CN57" s="434">
        <f t="shared" si="341"/>
        <v>0</v>
      </c>
      <c r="CO57" s="434">
        <f t="shared" si="342"/>
        <v>0</v>
      </c>
      <c r="CP57" s="435">
        <f t="shared" si="343"/>
        <v>0</v>
      </c>
      <c r="CQ57" s="433">
        <f t="shared" si="344"/>
        <v>0</v>
      </c>
      <c r="CR57" s="434">
        <f t="shared" si="344"/>
        <v>0</v>
      </c>
      <c r="CS57" s="434">
        <f t="shared" si="344"/>
        <v>0</v>
      </c>
      <c r="CT57" s="435">
        <f t="shared" si="344"/>
        <v>0</v>
      </c>
      <c r="CU57" s="433">
        <f t="shared" si="345"/>
        <v>0</v>
      </c>
      <c r="CV57" s="434">
        <f t="shared" si="345"/>
        <v>0</v>
      </c>
      <c r="CW57" s="434">
        <f t="shared" si="345"/>
        <v>0</v>
      </c>
      <c r="CX57" s="435">
        <f t="shared" si="345"/>
        <v>0</v>
      </c>
      <c r="CY57" s="433">
        <f t="shared" si="346"/>
        <v>0</v>
      </c>
      <c r="CZ57" s="434">
        <f t="shared" si="346"/>
        <v>0</v>
      </c>
      <c r="DA57" s="434">
        <f t="shared" si="346"/>
        <v>0</v>
      </c>
      <c r="DB57" s="435">
        <f t="shared" si="346"/>
        <v>0</v>
      </c>
      <c r="DC57" s="433">
        <f t="shared" si="347"/>
        <v>0</v>
      </c>
      <c r="DD57" s="434">
        <f t="shared" si="347"/>
        <v>0</v>
      </c>
      <c r="DE57" s="434">
        <f t="shared" si="347"/>
        <v>0</v>
      </c>
      <c r="DF57" s="669">
        <f t="shared" si="347"/>
        <v>0</v>
      </c>
      <c r="DG57" s="433">
        <f t="shared" si="348"/>
        <v>0</v>
      </c>
      <c r="DH57" s="434">
        <f t="shared" si="348"/>
        <v>0</v>
      </c>
      <c r="DI57" s="434">
        <f t="shared" si="348"/>
        <v>0</v>
      </c>
      <c r="DJ57" s="669">
        <f t="shared" si="348"/>
        <v>0</v>
      </c>
      <c r="DK57" s="907">
        <f t="shared" si="349"/>
        <v>0</v>
      </c>
      <c r="DL57" s="672">
        <f t="shared" si="349"/>
        <v>0</v>
      </c>
      <c r="DM57" s="672">
        <f t="shared" si="349"/>
        <v>0</v>
      </c>
      <c r="DN57" s="669">
        <f t="shared" si="349"/>
        <v>0</v>
      </c>
      <c r="DO57" s="907">
        <f t="shared" si="350"/>
        <v>0</v>
      </c>
      <c r="DP57" s="672">
        <f t="shared" si="350"/>
        <v>0</v>
      </c>
      <c r="DQ57" s="672">
        <f t="shared" si="350"/>
        <v>0</v>
      </c>
      <c r="DR57" s="669">
        <f t="shared" si="350"/>
        <v>0</v>
      </c>
      <c r="DS57" s="907">
        <f t="shared" si="351"/>
        <v>0</v>
      </c>
      <c r="DT57" s="672">
        <f t="shared" si="351"/>
        <v>0</v>
      </c>
      <c r="DU57" s="672">
        <f t="shared" si="351"/>
        <v>0</v>
      </c>
      <c r="DV57" s="669">
        <f t="shared" si="351"/>
        <v>0</v>
      </c>
      <c r="DW57" s="907">
        <f t="shared" si="352"/>
        <v>0</v>
      </c>
      <c r="DX57" s="672">
        <f t="shared" si="352"/>
        <v>0</v>
      </c>
      <c r="DY57" s="672">
        <f t="shared" si="352"/>
        <v>0</v>
      </c>
      <c r="DZ57" s="669">
        <f t="shared" si="352"/>
        <v>0</v>
      </c>
      <c r="EA57" s="907">
        <f t="shared" si="353"/>
        <v>0</v>
      </c>
      <c r="EB57" s="672">
        <f t="shared" si="353"/>
        <v>0</v>
      </c>
      <c r="EC57" s="672">
        <f t="shared" si="353"/>
        <v>0</v>
      </c>
      <c r="ED57" s="669">
        <f t="shared" si="353"/>
        <v>0</v>
      </c>
      <c r="EE57" s="907">
        <f t="shared" si="354"/>
        <v>0</v>
      </c>
      <c r="EF57" s="672">
        <f t="shared" si="354"/>
        <v>0</v>
      </c>
      <c r="EG57" s="672">
        <f t="shared" si="354"/>
        <v>0</v>
      </c>
      <c r="EH57" s="669">
        <f t="shared" si="354"/>
        <v>0</v>
      </c>
      <c r="EI57" s="907">
        <f t="shared" si="355"/>
        <v>0</v>
      </c>
      <c r="EJ57" s="672">
        <f t="shared" si="355"/>
        <v>0</v>
      </c>
      <c r="EK57" s="672">
        <f t="shared" si="355"/>
        <v>0</v>
      </c>
      <c r="EL57" s="669">
        <f t="shared" si="355"/>
        <v>0</v>
      </c>
      <c r="EM57" s="436">
        <f t="shared" si="356"/>
        <v>0</v>
      </c>
      <c r="EN57" s="436">
        <f t="shared" si="356"/>
        <v>0</v>
      </c>
      <c r="EO57" s="436">
        <f t="shared" si="356"/>
        <v>0</v>
      </c>
      <c r="EP57" s="436">
        <f t="shared" si="356"/>
        <v>0</v>
      </c>
      <c r="EQ57" s="436">
        <f t="shared" si="356"/>
        <v>0</v>
      </c>
      <c r="ER57" s="437"/>
      <c r="ES57" s="437"/>
      <c r="ET57" s="437"/>
      <c r="EU57" s="436">
        <f>SUM(CI57:CL57)</f>
        <v>0</v>
      </c>
      <c r="EV57" s="436">
        <f>SUM(CM57:CP57)</f>
        <v>0</v>
      </c>
      <c r="EW57" s="436">
        <f>SUM(CQ57:CT57)</f>
        <v>0</v>
      </c>
      <c r="EX57" s="436">
        <f>SUM(CU57:CX57)</f>
        <v>0</v>
      </c>
      <c r="EY57" s="436">
        <f>SUM(CY57:DB57)</f>
        <v>0</v>
      </c>
      <c r="EZ57" s="436">
        <f>SUM(DC57:DF57)</f>
        <v>0</v>
      </c>
      <c r="FA57" s="436">
        <f>SUM(DG57:DJ57)</f>
        <v>0</v>
      </c>
      <c r="FB57" s="436">
        <f>SUM(DK57:DN57)</f>
        <v>0</v>
      </c>
      <c r="FC57" s="436">
        <f>SUM(DO57:DR57)</f>
        <v>0</v>
      </c>
      <c r="FD57" s="436">
        <f>SUM(DS57:DV57)</f>
        <v>0</v>
      </c>
      <c r="FE57" s="436">
        <f>SUM(DW57:DZ57)</f>
        <v>0</v>
      </c>
      <c r="FF57" s="436">
        <f>SUM(EA57:ED57)</f>
        <v>0</v>
      </c>
      <c r="FG57" s="436">
        <f t="shared" si="357"/>
        <v>0</v>
      </c>
      <c r="FH57" s="436">
        <f>SUM(EI57:EL57)</f>
        <v>0</v>
      </c>
      <c r="FI57" s="436">
        <f t="shared" si="358"/>
        <v>0</v>
      </c>
      <c r="FJ57" s="436">
        <f t="shared" si="358"/>
        <v>0</v>
      </c>
      <c r="FK57" s="436">
        <f t="shared" si="358"/>
        <v>0</v>
      </c>
      <c r="FL57" s="436">
        <f t="shared" si="359"/>
        <v>0</v>
      </c>
      <c r="FM57" s="436">
        <f t="shared" si="359"/>
        <v>0</v>
      </c>
      <c r="FN57" s="437"/>
      <c r="FO57" s="437"/>
      <c r="FP57" s="436">
        <f>SUMIF(CI$5:CL$5,TRUE,CI57:CL57)</f>
        <v>0</v>
      </c>
      <c r="FQ57" s="436">
        <f>SUMIF(CM$5:CP$5,TRUE,CM57:CP57)</f>
        <v>0</v>
      </c>
      <c r="FR57" s="436">
        <f>SUMIF(CQ$5:CT$5,TRUE,CQ57:CT57)</f>
        <v>0</v>
      </c>
      <c r="FS57" s="436">
        <f>SUMIF(CU$5:CX$5,TRUE,CU57:CX57)</f>
        <v>0</v>
      </c>
      <c r="FT57" s="436">
        <f>SUMIF(CY$5:DB$5,TRUE,CY57:DB57)</f>
        <v>0</v>
      </c>
      <c r="FU57" s="436">
        <f>SUMIF(DC$5:DF$5,TRUE,DC57:DF57)</f>
        <v>0</v>
      </c>
      <c r="FV57" s="436">
        <f>SUMIF(DG$5:DJ$5,TRUE,DG57:DJ57)</f>
        <v>0</v>
      </c>
      <c r="FW57" s="436">
        <f>SUMIF(DK$5:DN$5,TRUE,DK57:DN57)</f>
        <v>0</v>
      </c>
      <c r="FX57" s="436">
        <f>SUMIF(DO$5:DR$5,TRUE,DO57:DR57)</f>
        <v>0</v>
      </c>
      <c r="FY57" s="436">
        <f>SUMIF(DS$5:DV$5,TRUE,DS57:DV57)</f>
        <v>0</v>
      </c>
      <c r="FZ57" s="436">
        <f>SUMIF(DW$5:DZ$5,TRUE,DW57:DZ57)</f>
        <v>0</v>
      </c>
      <c r="GA57" s="436">
        <f>SUMIF(EA$5:ED$5,TRUE,EA57:ED57)</f>
        <v>0</v>
      </c>
      <c r="GB57" s="436">
        <f t="shared" si="360"/>
        <v>0</v>
      </c>
      <c r="GC57" s="436">
        <f t="shared" si="361"/>
        <v>0</v>
      </c>
      <c r="GD57" s="436">
        <f t="shared" si="362"/>
        <v>0</v>
      </c>
      <c r="GE57" s="436">
        <f t="shared" si="362"/>
        <v>0</v>
      </c>
      <c r="GF57" s="436">
        <f t="shared" si="362"/>
        <v>0</v>
      </c>
      <c r="GG57" s="436">
        <f t="shared" si="363"/>
        <v>0</v>
      </c>
      <c r="GH57" s="436">
        <f t="shared" si="363"/>
        <v>0</v>
      </c>
      <c r="GK57" s="437" t="s">
        <v>685</v>
      </c>
      <c r="GL57" s="437" t="s">
        <v>686</v>
      </c>
      <c r="GM57" s="437" t="s">
        <v>687</v>
      </c>
      <c r="GN57" s="437" t="s">
        <v>711</v>
      </c>
      <c r="GO57" s="437" t="s">
        <v>719</v>
      </c>
      <c r="GP57" s="437" t="s">
        <v>444</v>
      </c>
      <c r="GQ57" s="437" t="s">
        <v>445</v>
      </c>
      <c r="GR57" s="437" t="s">
        <v>722</v>
      </c>
      <c r="GS57" s="437" t="s">
        <v>770</v>
      </c>
      <c r="GT57" s="437" t="s">
        <v>790</v>
      </c>
      <c r="GU57" s="437" t="s">
        <v>803</v>
      </c>
      <c r="GV57" s="437" t="s">
        <v>804</v>
      </c>
      <c r="GW57" s="437" t="s">
        <v>946</v>
      </c>
      <c r="GX57" s="437" t="s">
        <v>948</v>
      </c>
      <c r="GY57" s="437" t="s">
        <v>949</v>
      </c>
      <c r="GZ57" s="437" t="s">
        <v>965</v>
      </c>
      <c r="HA57" s="945" t="s">
        <v>966</v>
      </c>
      <c r="HB57" s="945" t="s">
        <v>967</v>
      </c>
      <c r="HC57" s="945" t="s">
        <v>968</v>
      </c>
    </row>
    <row r="58" spans="1:211" s="86" customFormat="1" ht="17.25" customHeight="1" x14ac:dyDescent="0.3">
      <c r="A58" s="367"/>
      <c r="B58" s="345" t="s">
        <v>416</v>
      </c>
      <c r="C58" s="345"/>
      <c r="D58" s="345"/>
      <c r="E58" s="346">
        <f>SUM(E56:E57)</f>
        <v>0</v>
      </c>
      <c r="F58" s="348">
        <f>SUM(F56:F57)</f>
        <v>0</v>
      </c>
      <c r="G58" s="348">
        <f>SUM(G56:G57)</f>
        <v>0</v>
      </c>
      <c r="H58" s="348">
        <f>SUM(H56:H57)</f>
        <v>0</v>
      </c>
      <c r="I58" s="357">
        <f>SUM(E58:H58)/4</f>
        <v>0</v>
      </c>
      <c r="J58" s="346">
        <f>SUM(J56:J57)</f>
        <v>0</v>
      </c>
      <c r="K58" s="348">
        <f>SUM(K56:K57)</f>
        <v>0</v>
      </c>
      <c r="L58" s="348">
        <f>SUM(L56:L57)</f>
        <v>0</v>
      </c>
      <c r="M58" s="348">
        <f>SUM(M56:M57)</f>
        <v>0</v>
      </c>
      <c r="N58" s="357">
        <f>SUM(J58:M58)/4</f>
        <v>0</v>
      </c>
      <c r="O58" s="346">
        <f>SUM(O56:O57)</f>
        <v>0</v>
      </c>
      <c r="P58" s="348">
        <f>SUM(P56:P57)</f>
        <v>0</v>
      </c>
      <c r="Q58" s="348">
        <f>SUM(Q56:Q57)</f>
        <v>0</v>
      </c>
      <c r="R58" s="348">
        <f>SUM(R56:R57)</f>
        <v>0</v>
      </c>
      <c r="S58" s="357">
        <f>SUM(O58:R58)/4</f>
        <v>0</v>
      </c>
      <c r="T58" s="346">
        <f>SUM(T56:T57)</f>
        <v>0</v>
      </c>
      <c r="U58" s="348">
        <f>SUM(U56:U57)</f>
        <v>0</v>
      </c>
      <c r="V58" s="348">
        <f>SUM(V56:V57)</f>
        <v>0</v>
      </c>
      <c r="W58" s="348">
        <f>SUM(W56:W57)</f>
        <v>0</v>
      </c>
      <c r="X58" s="357">
        <f>SUM(T58:W58)/4</f>
        <v>0</v>
      </c>
      <c r="Y58" s="346">
        <f>SUM(Y56:Y57)</f>
        <v>0</v>
      </c>
      <c r="Z58" s="348">
        <f>SUM(Z56:Z57)</f>
        <v>0</v>
      </c>
      <c r="AA58" s="348">
        <f>SUM(AA56:AA57)</f>
        <v>0</v>
      </c>
      <c r="AB58" s="348">
        <f>SUM(AB56:AB57)</f>
        <v>0</v>
      </c>
      <c r="AC58" s="357">
        <f>SUM(Y58:AB58)/4</f>
        <v>0</v>
      </c>
      <c r="AD58" s="346">
        <f>SUM(AD56:AD57)</f>
        <v>0</v>
      </c>
      <c r="AE58" s="348">
        <f>SUM(AE56:AE57)</f>
        <v>0</v>
      </c>
      <c r="AF58" s="348">
        <f>SUM(AF56:AF57)</f>
        <v>0</v>
      </c>
      <c r="AG58" s="348">
        <f>SUM(AG56:AG57)</f>
        <v>0</v>
      </c>
      <c r="AH58" s="357">
        <f>SUM(AD58:AG58)/4</f>
        <v>0</v>
      </c>
      <c r="AI58" s="346">
        <f>SUM(AI56:AI57)</f>
        <v>0</v>
      </c>
      <c r="AJ58" s="348">
        <f>SUM(AJ56:AJ57)</f>
        <v>0</v>
      </c>
      <c r="AK58" s="348">
        <f>SUM(AK56:AK57)</f>
        <v>0</v>
      </c>
      <c r="AL58" s="348">
        <f>SUM(AL56:AL57)</f>
        <v>0</v>
      </c>
      <c r="AM58" s="357">
        <f>SUM(AI58:AL58)/4</f>
        <v>0</v>
      </c>
      <c r="AN58" s="346">
        <f t="shared" ref="AN58:BK58" si="364">SUM(AN56:AN57)</f>
        <v>0</v>
      </c>
      <c r="AO58" s="348">
        <f t="shared" si="364"/>
        <v>0</v>
      </c>
      <c r="AP58" s="348">
        <f t="shared" si="364"/>
        <v>0</v>
      </c>
      <c r="AQ58" s="348">
        <f t="shared" si="364"/>
        <v>0</v>
      </c>
      <c r="AR58" s="357">
        <f>SUM(AN58:AQ58)/4</f>
        <v>0</v>
      </c>
      <c r="AS58" s="346">
        <f t="shared" si="364"/>
        <v>0</v>
      </c>
      <c r="AT58" s="348">
        <f t="shared" si="364"/>
        <v>0</v>
      </c>
      <c r="AU58" s="348">
        <f t="shared" si="364"/>
        <v>0</v>
      </c>
      <c r="AV58" s="348">
        <f t="shared" si="364"/>
        <v>0</v>
      </c>
      <c r="AW58" s="357">
        <f>SUM(AS58:AV58)/4</f>
        <v>0</v>
      </c>
      <c r="AX58" s="346">
        <f t="shared" si="364"/>
        <v>0</v>
      </c>
      <c r="AY58" s="348">
        <f t="shared" si="364"/>
        <v>0</v>
      </c>
      <c r="AZ58" s="348">
        <f t="shared" si="364"/>
        <v>0</v>
      </c>
      <c r="BA58" s="348">
        <f t="shared" si="364"/>
        <v>0</v>
      </c>
      <c r="BB58" s="357">
        <f>SUM(AX58:BA58)/4</f>
        <v>0</v>
      </c>
      <c r="BC58" s="346">
        <f t="shared" si="364"/>
        <v>0</v>
      </c>
      <c r="BD58" s="348">
        <f t="shared" si="364"/>
        <v>0</v>
      </c>
      <c r="BE58" s="348">
        <f t="shared" si="364"/>
        <v>0</v>
      </c>
      <c r="BF58" s="348">
        <f t="shared" si="364"/>
        <v>0</v>
      </c>
      <c r="BG58" s="357">
        <f>SUM(BC58:BF58)/4</f>
        <v>0</v>
      </c>
      <c r="BH58" s="346">
        <f t="shared" si="364"/>
        <v>0</v>
      </c>
      <c r="BI58" s="348">
        <f t="shared" si="364"/>
        <v>0</v>
      </c>
      <c r="BJ58" s="348">
        <f t="shared" si="364"/>
        <v>0</v>
      </c>
      <c r="BK58" s="348">
        <f t="shared" si="364"/>
        <v>0</v>
      </c>
      <c r="BL58" s="357">
        <f>SUM(BH58:BK58)/4</f>
        <v>0</v>
      </c>
      <c r="BM58" s="346">
        <f t="shared" ref="BM58:BP58" si="365">SUM(BM56:BM57)</f>
        <v>0</v>
      </c>
      <c r="BN58" s="348">
        <f t="shared" si="365"/>
        <v>0</v>
      </c>
      <c r="BO58" s="348">
        <f t="shared" si="365"/>
        <v>0</v>
      </c>
      <c r="BP58" s="348">
        <f t="shared" si="365"/>
        <v>0</v>
      </c>
      <c r="BQ58" s="970">
        <f>SUM(BM58:BP58)/4</f>
        <v>0</v>
      </c>
      <c r="BR58" s="346">
        <f t="shared" ref="BR58:BU58" si="366">SUM(BR56:BR57)</f>
        <v>0</v>
      </c>
      <c r="BS58" s="348">
        <f t="shared" si="366"/>
        <v>0</v>
      </c>
      <c r="BT58" s="348">
        <f t="shared" si="366"/>
        <v>0</v>
      </c>
      <c r="BU58" s="348">
        <f t="shared" si="366"/>
        <v>0</v>
      </c>
      <c r="BV58" s="971">
        <f>SUM(BR58:BU58)/4</f>
        <v>0</v>
      </c>
      <c r="BW58" s="353">
        <f>SUM(BW56:BW57)</f>
        <v>0</v>
      </c>
      <c r="BX58" s="353">
        <f>SUM(BX56:BX57)</f>
        <v>0</v>
      </c>
      <c r="BY58" s="353">
        <f>SUM(BY56:BY57)</f>
        <v>0</v>
      </c>
      <c r="BZ58" s="353">
        <f t="shared" ref="BZ58:CA58" si="367">SUM(BZ56:BZ57)</f>
        <v>0</v>
      </c>
      <c r="CA58" s="353">
        <f t="shared" si="367"/>
        <v>0</v>
      </c>
      <c r="CB58" s="349"/>
      <c r="CC58" s="350"/>
      <c r="CD58" s="381"/>
      <c r="CE58" s="350"/>
      <c r="CF58" s="381"/>
      <c r="CG58" s="350"/>
      <c r="CH58" s="381"/>
      <c r="CI58" s="346">
        <f t="shared" ref="CI58:EQ58" si="368">SUM(CI56:CI57)</f>
        <v>0</v>
      </c>
      <c r="CJ58" s="348">
        <f t="shared" si="368"/>
        <v>0</v>
      </c>
      <c r="CK58" s="348">
        <f t="shared" si="368"/>
        <v>0</v>
      </c>
      <c r="CL58" s="348">
        <f t="shared" si="368"/>
        <v>0</v>
      </c>
      <c r="CM58" s="346">
        <f t="shared" si="368"/>
        <v>0</v>
      </c>
      <c r="CN58" s="348">
        <f t="shared" si="368"/>
        <v>0</v>
      </c>
      <c r="CO58" s="348">
        <f t="shared" si="368"/>
        <v>0</v>
      </c>
      <c r="CP58" s="348">
        <f t="shared" si="368"/>
        <v>0</v>
      </c>
      <c r="CQ58" s="346">
        <f t="shared" si="368"/>
        <v>0</v>
      </c>
      <c r="CR58" s="348">
        <f t="shared" si="368"/>
        <v>0</v>
      </c>
      <c r="CS58" s="348">
        <f t="shared" si="368"/>
        <v>0</v>
      </c>
      <c r="CT58" s="348">
        <f t="shared" si="368"/>
        <v>0</v>
      </c>
      <c r="CU58" s="346">
        <f t="shared" si="368"/>
        <v>0</v>
      </c>
      <c r="CV58" s="348">
        <f t="shared" si="368"/>
        <v>0</v>
      </c>
      <c r="CW58" s="348">
        <f t="shared" si="368"/>
        <v>0</v>
      </c>
      <c r="CX58" s="348">
        <f t="shared" si="368"/>
        <v>0</v>
      </c>
      <c r="CY58" s="346">
        <f t="shared" si="368"/>
        <v>0</v>
      </c>
      <c r="CZ58" s="348">
        <f t="shared" si="368"/>
        <v>0</v>
      </c>
      <c r="DA58" s="348">
        <f t="shared" si="368"/>
        <v>0</v>
      </c>
      <c r="DB58" s="348">
        <f t="shared" si="368"/>
        <v>0</v>
      </c>
      <c r="DC58" s="346">
        <f t="shared" si="368"/>
        <v>0</v>
      </c>
      <c r="DD58" s="348">
        <f t="shared" si="368"/>
        <v>0</v>
      </c>
      <c r="DE58" s="348">
        <f t="shared" si="368"/>
        <v>0</v>
      </c>
      <c r="DF58" s="348">
        <f t="shared" si="368"/>
        <v>0</v>
      </c>
      <c r="DG58" s="346">
        <f t="shared" si="368"/>
        <v>0</v>
      </c>
      <c r="DH58" s="348">
        <f t="shared" si="368"/>
        <v>0</v>
      </c>
      <c r="DI58" s="348">
        <f t="shared" si="368"/>
        <v>0</v>
      </c>
      <c r="DJ58" s="348">
        <f t="shared" si="368"/>
        <v>0</v>
      </c>
      <c r="DK58" s="346">
        <f t="shared" si="368"/>
        <v>0</v>
      </c>
      <c r="DL58" s="348">
        <f t="shared" si="368"/>
        <v>0</v>
      </c>
      <c r="DM58" s="348">
        <f t="shared" si="368"/>
        <v>0</v>
      </c>
      <c r="DN58" s="348">
        <f t="shared" si="368"/>
        <v>0</v>
      </c>
      <c r="DO58" s="346">
        <f t="shared" si="368"/>
        <v>0</v>
      </c>
      <c r="DP58" s="348">
        <f t="shared" si="368"/>
        <v>0</v>
      </c>
      <c r="DQ58" s="348">
        <f t="shared" si="368"/>
        <v>0</v>
      </c>
      <c r="DR58" s="348">
        <f t="shared" si="368"/>
        <v>0</v>
      </c>
      <c r="DS58" s="346">
        <f t="shared" si="368"/>
        <v>0</v>
      </c>
      <c r="DT58" s="348">
        <f t="shared" si="368"/>
        <v>0</v>
      </c>
      <c r="DU58" s="348">
        <f t="shared" si="368"/>
        <v>0</v>
      </c>
      <c r="DV58" s="573">
        <f t="shared" si="368"/>
        <v>0</v>
      </c>
      <c r="DW58" s="346">
        <f t="shared" si="368"/>
        <v>0</v>
      </c>
      <c r="DX58" s="348">
        <f t="shared" si="368"/>
        <v>0</v>
      </c>
      <c r="DY58" s="348">
        <f t="shared" si="368"/>
        <v>0</v>
      </c>
      <c r="DZ58" s="573">
        <f t="shared" si="368"/>
        <v>0</v>
      </c>
      <c r="EA58" s="346">
        <f t="shared" si="368"/>
        <v>0</v>
      </c>
      <c r="EB58" s="348">
        <f t="shared" si="368"/>
        <v>0</v>
      </c>
      <c r="EC58" s="348">
        <f t="shared" si="368"/>
        <v>0</v>
      </c>
      <c r="ED58" s="573">
        <f t="shared" si="368"/>
        <v>0</v>
      </c>
      <c r="EE58" s="346">
        <f t="shared" si="368"/>
        <v>0</v>
      </c>
      <c r="EF58" s="348">
        <f t="shared" si="368"/>
        <v>0</v>
      </c>
      <c r="EG58" s="348">
        <f t="shared" si="368"/>
        <v>0</v>
      </c>
      <c r="EH58" s="573">
        <f t="shared" si="368"/>
        <v>0</v>
      </c>
      <c r="EI58" s="346">
        <f t="shared" si="368"/>
        <v>0</v>
      </c>
      <c r="EJ58" s="348">
        <f t="shared" si="368"/>
        <v>0</v>
      </c>
      <c r="EK58" s="348">
        <f t="shared" si="368"/>
        <v>0</v>
      </c>
      <c r="EL58" s="573">
        <f t="shared" si="368"/>
        <v>0</v>
      </c>
      <c r="EM58" s="353">
        <f t="shared" si="368"/>
        <v>0</v>
      </c>
      <c r="EN58" s="353">
        <f t="shared" si="368"/>
        <v>0</v>
      </c>
      <c r="EO58" s="353">
        <f t="shared" si="368"/>
        <v>0</v>
      </c>
      <c r="EP58" s="353">
        <f t="shared" si="368"/>
        <v>0</v>
      </c>
      <c r="EQ58" s="353">
        <f t="shared" si="368"/>
        <v>0</v>
      </c>
      <c r="EU58" s="346">
        <f t="shared" ref="EU58:FC58" si="369">SUM(EU56:EU57)</f>
        <v>0</v>
      </c>
      <c r="EV58" s="346">
        <f t="shared" si="369"/>
        <v>0</v>
      </c>
      <c r="EW58" s="346">
        <f t="shared" si="369"/>
        <v>0</v>
      </c>
      <c r="EX58" s="346">
        <f t="shared" si="369"/>
        <v>0</v>
      </c>
      <c r="EY58" s="346">
        <f t="shared" si="369"/>
        <v>0</v>
      </c>
      <c r="EZ58" s="346">
        <f t="shared" si="369"/>
        <v>0</v>
      </c>
      <c r="FA58" s="346">
        <f t="shared" si="369"/>
        <v>0</v>
      </c>
      <c r="FB58" s="346">
        <f t="shared" si="369"/>
        <v>0</v>
      </c>
      <c r="FC58" s="346">
        <f t="shared" si="369"/>
        <v>0</v>
      </c>
      <c r="FD58" s="346">
        <f t="shared" ref="FD58:FK58" si="370">SUM(FD56:FD57)</f>
        <v>0</v>
      </c>
      <c r="FE58" s="346">
        <f t="shared" si="370"/>
        <v>0</v>
      </c>
      <c r="FF58" s="346">
        <f t="shared" si="370"/>
        <v>0</v>
      </c>
      <c r="FG58" s="346">
        <f>SUM(FG56:FG57)</f>
        <v>0</v>
      </c>
      <c r="FH58" s="346">
        <f t="shared" ref="FH58" si="371">SUM(FH56:FH57)</f>
        <v>0</v>
      </c>
      <c r="FI58" s="353">
        <f t="shared" si="370"/>
        <v>0</v>
      </c>
      <c r="FJ58" s="353">
        <f t="shared" si="370"/>
        <v>0</v>
      </c>
      <c r="FK58" s="353">
        <f t="shared" si="370"/>
        <v>0</v>
      </c>
      <c r="FL58" s="353">
        <f t="shared" ref="FL58:FM58" si="372">SUM(FL56:FL57)</f>
        <v>0</v>
      </c>
      <c r="FM58" s="353">
        <f t="shared" si="372"/>
        <v>0</v>
      </c>
      <c r="FP58" s="346">
        <f t="shared" ref="FP58:FX58" si="373">SUM(FP56:FP57)</f>
        <v>0</v>
      </c>
      <c r="FQ58" s="346">
        <f t="shared" si="373"/>
        <v>0</v>
      </c>
      <c r="FR58" s="346">
        <f t="shared" si="373"/>
        <v>0</v>
      </c>
      <c r="FS58" s="346">
        <f t="shared" si="373"/>
        <v>0</v>
      </c>
      <c r="FT58" s="346">
        <f t="shared" si="373"/>
        <v>0</v>
      </c>
      <c r="FU58" s="346">
        <f t="shared" si="373"/>
        <v>0</v>
      </c>
      <c r="FV58" s="346">
        <f t="shared" si="373"/>
        <v>0</v>
      </c>
      <c r="FW58" s="346">
        <f t="shared" si="373"/>
        <v>0</v>
      </c>
      <c r="FX58" s="353">
        <f t="shared" si="373"/>
        <v>0</v>
      </c>
      <c r="FY58" s="353">
        <f t="shared" ref="FY58:GF58" si="374">SUM(FY56:FY57)</f>
        <v>0</v>
      </c>
      <c r="FZ58" s="353">
        <f t="shared" si="374"/>
        <v>0</v>
      </c>
      <c r="GA58" s="353">
        <f t="shared" si="374"/>
        <v>0</v>
      </c>
      <c r="GB58" s="353">
        <f t="shared" si="374"/>
        <v>0</v>
      </c>
      <c r="GC58" s="353">
        <f t="shared" si="374"/>
        <v>0</v>
      </c>
      <c r="GD58" s="353">
        <f t="shared" si="374"/>
        <v>0</v>
      </c>
      <c r="GE58" s="353">
        <f t="shared" si="374"/>
        <v>0</v>
      </c>
      <c r="GF58" s="353">
        <f t="shared" si="374"/>
        <v>0</v>
      </c>
      <c r="GG58" s="353">
        <f t="shared" ref="GG58:GH58" si="375">SUM(GG56:GG57)</f>
        <v>0</v>
      </c>
      <c r="GH58" s="353">
        <f t="shared" si="375"/>
        <v>0</v>
      </c>
      <c r="GK58" s="3407" t="s">
        <v>434</v>
      </c>
      <c r="GL58" s="3408"/>
      <c r="GM58" s="3408"/>
      <c r="GN58" s="3408"/>
      <c r="GO58" s="3408"/>
      <c r="GP58" s="3408"/>
      <c r="GQ58" s="3408"/>
      <c r="GR58" s="3408"/>
      <c r="GS58" s="3408"/>
      <c r="GT58" s="3408"/>
      <c r="GU58" s="3408"/>
      <c r="GV58" s="3408"/>
      <c r="GW58" s="3408"/>
      <c r="GX58" s="3408"/>
      <c r="GY58" s="3408"/>
      <c r="GZ58" s="3408"/>
      <c r="HA58" s="975"/>
      <c r="HB58" s="975"/>
      <c r="HC58" s="946"/>
    </row>
    <row r="59" spans="1:211" ht="11.25" customHeight="1" x14ac:dyDescent="0.25">
      <c r="B59" s="345"/>
      <c r="C59" s="345"/>
      <c r="D59" s="345"/>
      <c r="E59" s="388"/>
      <c r="F59" s="377"/>
      <c r="G59" s="377"/>
      <c r="H59" s="377"/>
      <c r="I59" s="357"/>
      <c r="J59" s="388"/>
      <c r="K59" s="377"/>
      <c r="L59" s="377"/>
      <c r="M59" s="377"/>
      <c r="N59" s="357"/>
      <c r="O59" s="388"/>
      <c r="P59" s="377"/>
      <c r="Q59" s="377"/>
      <c r="R59" s="377"/>
      <c r="S59" s="357"/>
      <c r="T59" s="388"/>
      <c r="U59" s="377"/>
      <c r="V59" s="377"/>
      <c r="W59" s="377"/>
      <c r="X59" s="357"/>
      <c r="Y59" s="388"/>
      <c r="Z59" s="377"/>
      <c r="AA59" s="377"/>
      <c r="AB59" s="377"/>
      <c r="AC59" s="357"/>
      <c r="AD59" s="663"/>
      <c r="AE59" s="663"/>
      <c r="AF59" s="663"/>
      <c r="AG59" s="663"/>
      <c r="AH59" s="357"/>
      <c r="AI59" s="388"/>
      <c r="AJ59" s="377"/>
      <c r="AK59" s="377"/>
      <c r="AL59" s="377"/>
      <c r="AM59" s="716"/>
      <c r="AN59" s="388"/>
      <c r="AO59" s="377"/>
      <c r="AP59" s="377"/>
      <c r="AQ59" s="377"/>
      <c r="AR59" s="716"/>
      <c r="AS59" s="388"/>
      <c r="AT59" s="377"/>
      <c r="AU59" s="377"/>
      <c r="AV59" s="377"/>
      <c r="AW59" s="716"/>
      <c r="AX59" s="388"/>
      <c r="AY59" s="377"/>
      <c r="AZ59" s="377"/>
      <c r="BA59" s="377"/>
      <c r="BB59" s="716"/>
      <c r="BC59" s="388"/>
      <c r="BD59" s="377"/>
      <c r="BE59" s="377"/>
      <c r="BF59" s="377"/>
      <c r="BG59" s="716"/>
      <c r="BH59" s="388"/>
      <c r="BI59" s="377"/>
      <c r="BJ59" s="377"/>
      <c r="BK59" s="377"/>
      <c r="BL59" s="716"/>
      <c r="BM59" s="388"/>
      <c r="BN59" s="377"/>
      <c r="BO59" s="377"/>
      <c r="BP59" s="377"/>
      <c r="BQ59" s="972"/>
      <c r="BR59" s="388"/>
      <c r="BS59" s="377"/>
      <c r="BT59" s="377"/>
      <c r="BU59" s="377"/>
      <c r="BV59" s="969"/>
      <c r="BW59" s="391"/>
      <c r="BX59" s="391"/>
      <c r="BY59" s="391"/>
      <c r="BZ59" s="391"/>
      <c r="CA59" s="391"/>
      <c r="CB59" s="378"/>
      <c r="CC59" s="399"/>
      <c r="CD59" s="399"/>
      <c r="CE59" s="399"/>
      <c r="CF59" s="399"/>
      <c r="CG59" s="399"/>
      <c r="CH59" s="399"/>
      <c r="CI59" s="377"/>
      <c r="CJ59" s="377"/>
      <c r="CK59" s="377"/>
      <c r="CL59" s="377"/>
      <c r="CM59" s="388"/>
      <c r="CN59" s="377"/>
      <c r="CO59" s="377"/>
      <c r="CP59" s="377"/>
      <c r="CQ59" s="388"/>
      <c r="CR59" s="377"/>
      <c r="CS59" s="377"/>
      <c r="CT59" s="377"/>
      <c r="CU59" s="388"/>
      <c r="CV59" s="377"/>
      <c r="CW59" s="377"/>
      <c r="CX59" s="377"/>
      <c r="CY59" s="388"/>
      <c r="CZ59" s="377"/>
      <c r="DA59" s="377"/>
      <c r="DB59" s="377"/>
      <c r="DC59" s="388"/>
      <c r="DD59" s="377"/>
      <c r="DE59" s="377"/>
      <c r="DF59" s="665"/>
      <c r="DG59" s="377"/>
      <c r="DH59" s="377"/>
      <c r="DI59" s="377"/>
      <c r="DJ59" s="665"/>
      <c r="DK59" s="377"/>
      <c r="DL59" s="377"/>
      <c r="DM59" s="377"/>
      <c r="DN59" s="665"/>
      <c r="DO59" s="377"/>
      <c r="DP59" s="377"/>
      <c r="DQ59" s="377"/>
      <c r="DR59" s="665"/>
      <c r="DS59" s="388"/>
      <c r="DT59" s="377"/>
      <c r="DU59" s="377"/>
      <c r="DV59" s="665"/>
      <c r="DW59" s="388"/>
      <c r="DX59" s="377"/>
      <c r="DY59" s="377"/>
      <c r="DZ59" s="665"/>
      <c r="EA59" s="388"/>
      <c r="EB59" s="377"/>
      <c r="EC59" s="377"/>
      <c r="ED59" s="665"/>
      <c r="EE59" s="388"/>
      <c r="EF59" s="377"/>
      <c r="EG59" s="377"/>
      <c r="EH59" s="665"/>
      <c r="EI59" s="388"/>
      <c r="EJ59" s="377"/>
      <c r="EK59" s="377"/>
      <c r="EL59" s="665"/>
      <c r="EM59" s="391"/>
      <c r="EN59" s="391"/>
      <c r="EO59" s="391"/>
      <c r="EP59" s="391"/>
      <c r="EQ59" s="391"/>
      <c r="EU59" s="388"/>
      <c r="EV59" s="388"/>
      <c r="EW59" s="388"/>
      <c r="EX59" s="388"/>
      <c r="EY59" s="388"/>
      <c r="EZ59" s="388"/>
      <c r="FA59" s="388"/>
      <c r="FB59" s="388"/>
      <c r="FC59" s="388"/>
      <c r="FD59" s="388"/>
      <c r="FE59" s="388"/>
      <c r="FF59" s="388"/>
      <c r="FG59" s="388"/>
      <c r="FH59" s="388"/>
      <c r="FI59" s="391"/>
      <c r="FJ59" s="391"/>
      <c r="FK59" s="391"/>
      <c r="FL59" s="391"/>
      <c r="FM59" s="391"/>
      <c r="FP59" s="388"/>
      <c r="FQ59" s="388"/>
      <c r="FR59" s="388"/>
      <c r="FS59" s="388"/>
      <c r="FT59" s="388"/>
      <c r="FU59" s="388"/>
      <c r="FV59" s="388"/>
      <c r="FW59" s="388"/>
      <c r="FX59" s="391"/>
      <c r="FY59" s="391"/>
      <c r="FZ59" s="391"/>
      <c r="GA59" s="391"/>
      <c r="GB59" s="391"/>
      <c r="GC59" s="391"/>
      <c r="GD59" s="391"/>
      <c r="GE59" s="391"/>
      <c r="GF59" s="391"/>
      <c r="GG59" s="391"/>
      <c r="GH59" s="391"/>
      <c r="GK59" s="421" t="s">
        <v>264</v>
      </c>
      <c r="GL59" s="422" t="s">
        <v>264</v>
      </c>
      <c r="GM59" s="422" t="s">
        <v>264</v>
      </c>
      <c r="GN59" s="422" t="s">
        <v>264</v>
      </c>
      <c r="GO59" s="422" t="s">
        <v>264</v>
      </c>
      <c r="GP59" s="422" t="s">
        <v>264</v>
      </c>
      <c r="GQ59" s="422" t="s">
        <v>264</v>
      </c>
      <c r="GR59" s="422" t="s">
        <v>264</v>
      </c>
      <c r="GS59" s="422" t="s">
        <v>264</v>
      </c>
      <c r="GT59" s="674" t="s">
        <v>264</v>
      </c>
      <c r="GU59" s="674" t="s">
        <v>264</v>
      </c>
      <c r="GV59" s="674" t="s">
        <v>264</v>
      </c>
      <c r="GW59" s="674" t="s">
        <v>264</v>
      </c>
      <c r="GX59" s="674" t="s">
        <v>264</v>
      </c>
      <c r="GY59" s="674" t="s">
        <v>264</v>
      </c>
      <c r="GZ59" s="674" t="s">
        <v>264</v>
      </c>
      <c r="HA59" s="674" t="s">
        <v>264</v>
      </c>
      <c r="HB59" s="674" t="s">
        <v>264</v>
      </c>
      <c r="HC59" s="675" t="s">
        <v>264</v>
      </c>
    </row>
    <row r="60" spans="1:211" x14ac:dyDescent="0.25">
      <c r="B60" s="345"/>
      <c r="C60" s="345"/>
      <c r="D60" s="345"/>
      <c r="E60" s="388"/>
      <c r="F60" s="377"/>
      <c r="G60" s="377"/>
      <c r="H60" s="377"/>
      <c r="I60" s="357"/>
      <c r="J60" s="388"/>
      <c r="K60" s="377"/>
      <c r="L60" s="377"/>
      <c r="M60" s="377"/>
      <c r="N60" s="357"/>
      <c r="O60" s="388"/>
      <c r="P60" s="377"/>
      <c r="Q60" s="377"/>
      <c r="R60" s="377"/>
      <c r="S60" s="357"/>
      <c r="T60" s="388"/>
      <c r="U60" s="377"/>
      <c r="V60" s="377"/>
      <c r="W60" s="377"/>
      <c r="X60" s="357"/>
      <c r="Y60" s="388"/>
      <c r="Z60" s="377"/>
      <c r="AA60" s="377"/>
      <c r="AB60" s="377"/>
      <c r="AC60" s="357"/>
      <c r="AD60" s="663"/>
      <c r="AE60" s="663"/>
      <c r="AF60" s="663"/>
      <c r="AG60" s="663"/>
      <c r="AH60" s="357"/>
      <c r="AI60" s="388"/>
      <c r="AJ60" s="377"/>
      <c r="AK60" s="377"/>
      <c r="AL60" s="377"/>
      <c r="AM60" s="716"/>
      <c r="AN60" s="388"/>
      <c r="AO60" s="377"/>
      <c r="AP60" s="377"/>
      <c r="AQ60" s="377"/>
      <c r="AR60" s="716"/>
      <c r="AS60" s="388"/>
      <c r="AT60" s="377"/>
      <c r="AU60" s="377"/>
      <c r="AV60" s="377"/>
      <c r="AW60" s="716"/>
      <c r="AX60" s="388"/>
      <c r="AY60" s="377"/>
      <c r="AZ60" s="377"/>
      <c r="BA60" s="377"/>
      <c r="BB60" s="716"/>
      <c r="BC60" s="388"/>
      <c r="BD60" s="377"/>
      <c r="BE60" s="377"/>
      <c r="BF60" s="377"/>
      <c r="BG60" s="716"/>
      <c r="BH60" s="388"/>
      <c r="BI60" s="377"/>
      <c r="BJ60" s="377"/>
      <c r="BK60" s="377"/>
      <c r="BL60" s="716"/>
      <c r="BM60" s="388"/>
      <c r="BN60" s="377"/>
      <c r="BO60" s="377"/>
      <c r="BP60" s="377"/>
      <c r="BQ60" s="972"/>
      <c r="BR60" s="388"/>
      <c r="BS60" s="377"/>
      <c r="BT60" s="377"/>
      <c r="BU60" s="377"/>
      <c r="BV60" s="973"/>
      <c r="BW60" s="664"/>
      <c r="BX60" s="664"/>
      <c r="BY60" s="664"/>
      <c r="BZ60" s="664"/>
      <c r="CA60" s="664"/>
      <c r="CB60" s="378"/>
      <c r="CC60" s="399"/>
      <c r="CD60" s="399"/>
      <c r="CE60" s="399"/>
      <c r="CF60" s="399"/>
      <c r="CG60" s="399"/>
      <c r="CH60" s="399"/>
      <c r="CI60" s="377"/>
      <c r="CJ60" s="377"/>
      <c r="CK60" s="377"/>
      <c r="CL60" s="377"/>
      <c r="CM60" s="388"/>
      <c r="CN60" s="377"/>
      <c r="CO60" s="377"/>
      <c r="CP60" s="377"/>
      <c r="CQ60" s="388"/>
      <c r="CR60" s="377"/>
      <c r="CS60" s="377"/>
      <c r="CT60" s="377"/>
      <c r="CU60" s="388"/>
      <c r="CV60" s="377"/>
      <c r="CW60" s="377"/>
      <c r="CX60" s="377"/>
      <c r="CY60" s="388"/>
      <c r="CZ60" s="377"/>
      <c r="DA60" s="377"/>
      <c r="DB60" s="377"/>
      <c r="DC60" s="670"/>
      <c r="DD60" s="377"/>
      <c r="DE60" s="377"/>
      <c r="DF60" s="665"/>
      <c r="DG60" s="377"/>
      <c r="DH60" s="377"/>
      <c r="DI60" s="377"/>
      <c r="DJ60" s="665"/>
      <c r="DK60" s="377"/>
      <c r="DL60" s="377"/>
      <c r="DM60" s="377"/>
      <c r="DN60" s="665"/>
      <c r="DO60" s="377"/>
      <c r="DP60" s="377"/>
      <c r="DQ60" s="377"/>
      <c r="DR60" s="665"/>
      <c r="DS60" s="388"/>
      <c r="DT60" s="377"/>
      <c r="DU60" s="377"/>
      <c r="DV60" s="665"/>
      <c r="DW60" s="388"/>
      <c r="DX60" s="377"/>
      <c r="DY60" s="377"/>
      <c r="DZ60" s="665"/>
      <c r="EA60" s="388"/>
      <c r="EB60" s="377"/>
      <c r="EC60" s="377"/>
      <c r="ED60" s="665"/>
      <c r="EE60" s="388"/>
      <c r="EF60" s="377"/>
      <c r="EG60" s="377"/>
      <c r="EH60" s="665"/>
      <c r="EI60" s="388"/>
      <c r="EJ60" s="377"/>
      <c r="EK60" s="377"/>
      <c r="EL60" s="665"/>
      <c r="EM60" s="391"/>
      <c r="EN60" s="391"/>
      <c r="EO60" s="391"/>
      <c r="EP60" s="391"/>
      <c r="EQ60" s="391"/>
      <c r="EU60" s="388"/>
      <c r="EV60" s="388"/>
      <c r="EW60" s="388"/>
      <c r="EX60" s="388"/>
      <c r="EY60" s="388"/>
      <c r="EZ60" s="388"/>
      <c r="FA60" s="388"/>
      <c r="FB60" s="388"/>
      <c r="FC60" s="388"/>
      <c r="FD60" s="388"/>
      <c r="FE60" s="388"/>
      <c r="FF60" s="388"/>
      <c r="FG60" s="388"/>
      <c r="FH60" s="388"/>
      <c r="FI60" s="391"/>
      <c r="FJ60" s="391"/>
      <c r="FK60" s="391"/>
      <c r="FL60" s="391"/>
      <c r="FM60" s="391"/>
      <c r="FP60" s="388"/>
      <c r="FQ60" s="388"/>
      <c r="FR60" s="388"/>
      <c r="FS60" s="388"/>
      <c r="FT60" s="388"/>
      <c r="FU60" s="388"/>
      <c r="FV60" s="388"/>
      <c r="FW60" s="388"/>
      <c r="FX60" s="391"/>
      <c r="FY60" s="391"/>
      <c r="FZ60" s="391"/>
      <c r="GA60" s="391"/>
      <c r="GB60" s="391"/>
      <c r="GC60" s="391"/>
      <c r="GD60" s="391"/>
      <c r="GE60" s="391"/>
      <c r="GF60" s="391"/>
      <c r="GG60" s="391"/>
      <c r="GH60" s="391"/>
      <c r="GK60" s="403"/>
      <c r="GL60" s="98"/>
      <c r="GM60" s="98"/>
      <c r="GN60" s="98"/>
      <c r="GO60" s="98"/>
      <c r="GP60" s="98"/>
      <c r="GQ60" s="98"/>
      <c r="GR60" s="98"/>
      <c r="GS60" s="98"/>
      <c r="GT60" s="98"/>
      <c r="GU60" s="98"/>
      <c r="GV60" s="98"/>
      <c r="GW60" s="98"/>
      <c r="GX60" s="98"/>
      <c r="GY60" s="98"/>
      <c r="GZ60" s="98"/>
      <c r="HA60" s="98"/>
      <c r="HB60" s="98"/>
      <c r="HC60" s="404"/>
    </row>
    <row r="61" spans="1:211" x14ac:dyDescent="0.25">
      <c r="B61" s="438" t="s">
        <v>425</v>
      </c>
      <c r="C61" s="438"/>
      <c r="D61" s="439"/>
      <c r="E61" s="351">
        <f>E21+E30+E43+E58+IF(E10&lt;$C$69, E36, 0)</f>
        <v>0</v>
      </c>
      <c r="F61" s="352">
        <f>F21+F30+F43+F58+IF(F10&lt;$C$69, F36, 0)</f>
        <v>0</v>
      </c>
      <c r="G61" s="352">
        <f>G21+G30+G43+G58+IF(G10&lt;$C$69, G36, 0)</f>
        <v>0</v>
      </c>
      <c r="H61" s="908">
        <f>H21+H30+H43+H58+IF(H10&lt;$C$69, H36, 0)</f>
        <v>0</v>
      </c>
      <c r="I61" s="718">
        <f>SUM(E61:H61)/4</f>
        <v>0</v>
      </c>
      <c r="J61" s="351">
        <f>J21+J30+J43+J58+IF(J10&lt;$C$69, J36, 0)</f>
        <v>0</v>
      </c>
      <c r="K61" s="352">
        <f>K21+K30+K43+K58+IF(K10&lt;$C$69, K36, 0)</f>
        <v>0</v>
      </c>
      <c r="L61" s="352">
        <f>L21+L30+L43+L58+IF(L10&lt;$C$69, L36, 0)</f>
        <v>0</v>
      </c>
      <c r="M61" s="908">
        <f>M21+M30+M43+M58+IF(M10&lt;$C$69, M36, 0)</f>
        <v>0</v>
      </c>
      <c r="N61" s="718">
        <f>SUM(J61:M61)/4</f>
        <v>0</v>
      </c>
      <c r="O61" s="351">
        <f>O21+O30+O43+O58+IF(O10&lt;$C$69, O36, 0)</f>
        <v>0</v>
      </c>
      <c r="P61" s="352">
        <f>P21+P30+P43+P58+IF(P10&lt;$C$69, P36, 0)</f>
        <v>0</v>
      </c>
      <c r="Q61" s="352">
        <f>Q21+Q30+Q43+Q58+IF(Q10&lt;$C$69, Q36, 0)</f>
        <v>0</v>
      </c>
      <c r="R61" s="908">
        <f>R21+R30+R43+R58+IF(R10&lt;$C$69, R36, 0)</f>
        <v>0</v>
      </c>
      <c r="S61" s="718">
        <f>SUM(O61:R61)/4</f>
        <v>0</v>
      </c>
      <c r="T61" s="351">
        <f>T21+T30+T43+T58+IF(T10&lt;$C$69, T36, 0)</f>
        <v>0</v>
      </c>
      <c r="U61" s="352">
        <f>U21+U30+U43+U58+IF(U10&lt;$C$69, U36, 0)</f>
        <v>0</v>
      </c>
      <c r="V61" s="352">
        <f>V21+V30+V43+V58+IF(V10&lt;$C$69, V36, 0)</f>
        <v>0</v>
      </c>
      <c r="W61" s="908">
        <f>W21+W30+W43+W58+IF(W10&lt;$C$69, W36, 0)</f>
        <v>0</v>
      </c>
      <c r="X61" s="718">
        <f>SUM(T61:W61)/4</f>
        <v>0</v>
      </c>
      <c r="Y61" s="351">
        <f>Y21+Y30+Y43+Y58+IF(Y10&lt;$C$69, Y36, 0)</f>
        <v>0</v>
      </c>
      <c r="Z61" s="352">
        <f>Z21+Z30+Z43+Z58+IF(Z10&lt;$C$69, Z36, 0)</f>
        <v>0</v>
      </c>
      <c r="AA61" s="352">
        <f>AA21+AA30+AA43+AA58+IF(AA10&lt;$C$69, AA36, 0)</f>
        <v>0</v>
      </c>
      <c r="AB61" s="908">
        <f>AB21+AB30+AB43+AB58+IF(AB10&lt;$C$69, AB36, 0)</f>
        <v>0</v>
      </c>
      <c r="AC61" s="718">
        <f>SUM(Y61:AB61)/4</f>
        <v>0</v>
      </c>
      <c r="AD61" s="351">
        <f>AD21+AD30+AD43+AD58+IF(AD10&lt;$C$69, AD36, 0)</f>
        <v>0</v>
      </c>
      <c r="AE61" s="352">
        <f>AE21+AE30+AE43+AE58+IF(AE10&lt;$C$69, AE36, 0)</f>
        <v>0</v>
      </c>
      <c r="AF61" s="352">
        <f>AF21+AF30+AF43+AF58+IF(AF10&lt;$C$69, AF36, 0)</f>
        <v>0</v>
      </c>
      <c r="AG61" s="908">
        <f>AG21+AG30+AG43+AG58+IF(AG10&lt;$C$69, AG36, 0)</f>
        <v>0</v>
      </c>
      <c r="AH61" s="718">
        <f>SUM(AD61:AG61)/4</f>
        <v>0</v>
      </c>
      <c r="AI61" s="351">
        <f>AI21+AI30+AI43+AI58+IF(AI10&lt;$C$69, AI36, 0)</f>
        <v>0</v>
      </c>
      <c r="AJ61" s="352">
        <f>AJ21+AJ30+AJ43+AJ58+IF(AJ10&lt;$C$69, AJ36, 0)</f>
        <v>0</v>
      </c>
      <c r="AK61" s="352">
        <f>AK21+AK30+AK43+AK58+IF(AK10&lt;$C$69, AK36, 0)</f>
        <v>0</v>
      </c>
      <c r="AL61" s="908">
        <f>AL21+AL30+AL43+AL58+IF(AL10&lt;$C$69, AL36, 0)</f>
        <v>0</v>
      </c>
      <c r="AM61" s="718">
        <f>SUM(AI61:AL61)/4</f>
        <v>0</v>
      </c>
      <c r="AN61" s="351">
        <f t="shared" ref="AN61:BK61" si="376">AN21+AN30+AN43+AN58+IF(AN10&lt;$C$69, AN36, 0)</f>
        <v>0</v>
      </c>
      <c r="AO61" s="352">
        <f t="shared" si="376"/>
        <v>0</v>
      </c>
      <c r="AP61" s="352">
        <f t="shared" si="376"/>
        <v>0</v>
      </c>
      <c r="AQ61" s="908">
        <f t="shared" si="376"/>
        <v>0</v>
      </c>
      <c r="AR61" s="718">
        <f>SUM(AN61:AQ61)/4</f>
        <v>0</v>
      </c>
      <c r="AS61" s="351">
        <f t="shared" si="376"/>
        <v>5</v>
      </c>
      <c r="AT61" s="352">
        <f t="shared" si="376"/>
        <v>5.5</v>
      </c>
      <c r="AU61" s="352">
        <f t="shared" si="376"/>
        <v>6.5</v>
      </c>
      <c r="AV61" s="908">
        <f t="shared" si="376"/>
        <v>6.5</v>
      </c>
      <c r="AW61" s="718">
        <f>SUM(AS61:AV61)/4</f>
        <v>5.875</v>
      </c>
      <c r="AX61" s="351">
        <f t="shared" si="376"/>
        <v>15</v>
      </c>
      <c r="AY61" s="352">
        <f t="shared" si="376"/>
        <v>15</v>
      </c>
      <c r="AZ61" s="352">
        <f t="shared" si="376"/>
        <v>15</v>
      </c>
      <c r="BA61" s="908">
        <f t="shared" si="376"/>
        <v>15</v>
      </c>
      <c r="BB61" s="718">
        <f>SUM(AX61:BA61)/4</f>
        <v>15</v>
      </c>
      <c r="BC61" s="351">
        <f t="shared" si="376"/>
        <v>14</v>
      </c>
      <c r="BD61" s="352">
        <f t="shared" si="376"/>
        <v>14</v>
      </c>
      <c r="BE61" s="352">
        <f t="shared" si="376"/>
        <v>14</v>
      </c>
      <c r="BF61" s="908">
        <f t="shared" si="376"/>
        <v>14</v>
      </c>
      <c r="BG61" s="718">
        <f>SUM(BC61:BF61)/4</f>
        <v>14</v>
      </c>
      <c r="BH61" s="351">
        <f t="shared" si="376"/>
        <v>13</v>
      </c>
      <c r="BI61" s="352">
        <f t="shared" si="376"/>
        <v>13</v>
      </c>
      <c r="BJ61" s="352">
        <f t="shared" si="376"/>
        <v>13</v>
      </c>
      <c r="BK61" s="908">
        <f t="shared" si="376"/>
        <v>13</v>
      </c>
      <c r="BL61" s="718">
        <f>SUM(BH61:BK61)/4</f>
        <v>13</v>
      </c>
      <c r="BM61" s="351">
        <f t="shared" ref="BM61:BP61" si="377">BM21+BM30+BM43+BM58+IF(BM10&lt;$C$69, BM36, 0)</f>
        <v>5</v>
      </c>
      <c r="BN61" s="352">
        <f t="shared" si="377"/>
        <v>5</v>
      </c>
      <c r="BO61" s="352">
        <f t="shared" si="377"/>
        <v>3</v>
      </c>
      <c r="BP61" s="908">
        <f t="shared" si="377"/>
        <v>3</v>
      </c>
      <c r="BQ61" s="971">
        <f>SUM(BM61:BP61)/4</f>
        <v>4</v>
      </c>
      <c r="BR61" s="351">
        <f t="shared" ref="BR61:BU61" si="378">BR21+BR30+BR43+BR58+IF(BR10&lt;$C$69, BR36, 0)</f>
        <v>1</v>
      </c>
      <c r="BS61" s="352">
        <f t="shared" si="378"/>
        <v>1</v>
      </c>
      <c r="BT61" s="352">
        <f t="shared" si="378"/>
        <v>1</v>
      </c>
      <c r="BU61" s="908">
        <f t="shared" si="378"/>
        <v>1</v>
      </c>
      <c r="BV61" s="971">
        <f>SUM(BR61:BU61)/4</f>
        <v>1</v>
      </c>
      <c r="BW61" s="353">
        <f>BW21+BW30+BW43+BW58+IF(BW10&lt;$C$69, BW36, 0)</f>
        <v>1</v>
      </c>
      <c r="BX61" s="353">
        <f>BX21+BX30+BX43+BX58+IF(BX10&lt;$C$69, BX36, 0)</f>
        <v>1</v>
      </c>
      <c r="BY61" s="353">
        <f>BY21+BY30+BY43+BY58+IF(BY10&lt;$C$69, BY36, 0)</f>
        <v>1</v>
      </c>
      <c r="BZ61" s="353">
        <f t="shared" ref="BZ61:CA61" si="379">BZ21+BZ30+BZ43+BZ58+IF(BZ10&lt;$C$69, BZ36, 0)</f>
        <v>1</v>
      </c>
      <c r="CA61" s="353">
        <f t="shared" si="379"/>
        <v>1</v>
      </c>
      <c r="CB61" s="349"/>
      <c r="CC61" s="411"/>
      <c r="CD61" s="411"/>
      <c r="CE61" s="411"/>
      <c r="CF61" s="411"/>
      <c r="CG61" s="411"/>
      <c r="CH61" s="411"/>
      <c r="CI61" s="352">
        <f>CI21+CI30+CI43+CI58+IF(CI10&lt;$C$69, CI36, 0)</f>
        <v>0</v>
      </c>
      <c r="CJ61" s="352">
        <f>CJ21+CJ30+CJ43+CJ58+IF(CJ10&lt;$C$69, CJ36, 0)</f>
        <v>0</v>
      </c>
      <c r="CK61" s="352">
        <f>CK21+CK30+CK43+CK58+IF(CK10&lt;$C$69, CK36, 0)</f>
        <v>0</v>
      </c>
      <c r="CL61" s="573">
        <f>CL21+CL30+CL43+CL58+IF(CL10&lt;$C$69, CL36, 0)</f>
        <v>0</v>
      </c>
      <c r="CM61" s="352">
        <f t="shared" ref="CM61:EQ61" si="380">CM21+CM30+CM43+CM58+IF(CM10&lt;$C$69, CM36, 0)</f>
        <v>0</v>
      </c>
      <c r="CN61" s="352">
        <f t="shared" si="380"/>
        <v>0</v>
      </c>
      <c r="CO61" s="352">
        <f t="shared" si="380"/>
        <v>0</v>
      </c>
      <c r="CP61" s="573">
        <f t="shared" si="380"/>
        <v>0</v>
      </c>
      <c r="CQ61" s="352">
        <f t="shared" si="380"/>
        <v>0</v>
      </c>
      <c r="CR61" s="352">
        <f t="shared" si="380"/>
        <v>0</v>
      </c>
      <c r="CS61" s="352">
        <f t="shared" si="380"/>
        <v>0</v>
      </c>
      <c r="CT61" s="573">
        <f t="shared" si="380"/>
        <v>0</v>
      </c>
      <c r="CU61" s="352">
        <f t="shared" si="380"/>
        <v>0</v>
      </c>
      <c r="CV61" s="352">
        <f t="shared" si="380"/>
        <v>0</v>
      </c>
      <c r="CW61" s="352">
        <f t="shared" si="380"/>
        <v>0</v>
      </c>
      <c r="CX61" s="573">
        <f t="shared" si="380"/>
        <v>0</v>
      </c>
      <c r="CY61" s="352">
        <f t="shared" si="380"/>
        <v>0</v>
      </c>
      <c r="CZ61" s="352">
        <f t="shared" si="380"/>
        <v>0</v>
      </c>
      <c r="DA61" s="352">
        <f t="shared" si="380"/>
        <v>0</v>
      </c>
      <c r="DB61" s="573">
        <f t="shared" si="380"/>
        <v>0</v>
      </c>
      <c r="DC61" s="352">
        <f t="shared" si="380"/>
        <v>0</v>
      </c>
      <c r="DD61" s="352">
        <f t="shared" si="380"/>
        <v>0</v>
      </c>
      <c r="DE61" s="352">
        <f t="shared" si="380"/>
        <v>0</v>
      </c>
      <c r="DF61" s="573">
        <f t="shared" si="380"/>
        <v>0</v>
      </c>
      <c r="DG61" s="352">
        <f t="shared" si="380"/>
        <v>0</v>
      </c>
      <c r="DH61" s="352">
        <f t="shared" si="380"/>
        <v>0</v>
      </c>
      <c r="DI61" s="352">
        <f t="shared" si="380"/>
        <v>0</v>
      </c>
      <c r="DJ61" s="573">
        <f t="shared" si="380"/>
        <v>0</v>
      </c>
      <c r="DK61" s="352">
        <f t="shared" si="380"/>
        <v>0</v>
      </c>
      <c r="DL61" s="352">
        <f t="shared" si="380"/>
        <v>0</v>
      </c>
      <c r="DM61" s="352">
        <f t="shared" si="380"/>
        <v>0</v>
      </c>
      <c r="DN61" s="573">
        <f t="shared" si="380"/>
        <v>0</v>
      </c>
      <c r="DO61" s="352">
        <f t="shared" si="380"/>
        <v>202.19813680746051</v>
      </c>
      <c r="DP61" s="352">
        <f t="shared" si="380"/>
        <v>221.43072937281158</v>
      </c>
      <c r="DQ61" s="352">
        <f t="shared" si="380"/>
        <v>259.89591450351378</v>
      </c>
      <c r="DR61" s="573">
        <f t="shared" si="380"/>
        <v>259.89591450351378</v>
      </c>
      <c r="DS61" s="351">
        <f t="shared" si="380"/>
        <v>633.45896560985625</v>
      </c>
      <c r="DT61" s="352">
        <f t="shared" si="380"/>
        <v>633.45896560985625</v>
      </c>
      <c r="DU61" s="352">
        <f t="shared" si="380"/>
        <v>633.45896560985625</v>
      </c>
      <c r="DV61" s="573">
        <f t="shared" si="380"/>
        <v>633.45896560985625</v>
      </c>
      <c r="DW61" s="351">
        <f t="shared" si="380"/>
        <v>603.72716310118903</v>
      </c>
      <c r="DX61" s="352">
        <f t="shared" si="380"/>
        <v>603.72716310118903</v>
      </c>
      <c r="DY61" s="352">
        <f t="shared" si="380"/>
        <v>603.72716310118903</v>
      </c>
      <c r="DZ61" s="573">
        <f t="shared" si="380"/>
        <v>603.72716310118903</v>
      </c>
      <c r="EA61" s="351">
        <f t="shared" si="380"/>
        <v>576.35565278860497</v>
      </c>
      <c r="EB61" s="352">
        <f t="shared" si="380"/>
        <v>576.35565278860497</v>
      </c>
      <c r="EC61" s="352">
        <f t="shared" si="380"/>
        <v>576.35565278860497</v>
      </c>
      <c r="ED61" s="573">
        <f t="shared" si="380"/>
        <v>576.35565278860497</v>
      </c>
      <c r="EE61" s="351">
        <f t="shared" si="380"/>
        <v>233.03541756062714</v>
      </c>
      <c r="EF61" s="352">
        <f t="shared" si="380"/>
        <v>233.03541756062714</v>
      </c>
      <c r="EG61" s="352">
        <f t="shared" si="380"/>
        <v>150.59970091406169</v>
      </c>
      <c r="EH61" s="573">
        <f t="shared" si="380"/>
        <v>150.59970091406169</v>
      </c>
      <c r="EI61" s="351">
        <f t="shared" si="380"/>
        <v>50.450658587698044</v>
      </c>
      <c r="EJ61" s="352">
        <f t="shared" si="380"/>
        <v>50.450658587698044</v>
      </c>
      <c r="EK61" s="352">
        <f t="shared" si="380"/>
        <v>50.450658587698044</v>
      </c>
      <c r="EL61" s="573">
        <f t="shared" si="380"/>
        <v>50.450658587698044</v>
      </c>
      <c r="EM61" s="573">
        <f t="shared" si="380"/>
        <v>205.83868703780806</v>
      </c>
      <c r="EN61" s="573">
        <f t="shared" si="380"/>
        <v>209.9554607785642</v>
      </c>
      <c r="EO61" s="573">
        <f t="shared" si="380"/>
        <v>214.1545699941355</v>
      </c>
      <c r="EP61" s="573">
        <f t="shared" si="380"/>
        <v>218.43766139401816</v>
      </c>
      <c r="EQ61" s="573">
        <f t="shared" si="380"/>
        <v>222.80641462189857</v>
      </c>
      <c r="EU61" s="465">
        <f>SUM(CI61:CL61)</f>
        <v>0</v>
      </c>
      <c r="EV61" s="465">
        <f>SUM(CM61:CP61)</f>
        <v>0</v>
      </c>
      <c r="EW61" s="465">
        <f>SUM(CQ61:CT61)</f>
        <v>0</v>
      </c>
      <c r="EX61" s="465">
        <f>SUM(CU61:CX61)</f>
        <v>0</v>
      </c>
      <c r="EY61" s="465">
        <f>SUM(CY61:DB61)</f>
        <v>0</v>
      </c>
      <c r="EZ61" s="465">
        <f>SUM(DC61:DF61)</f>
        <v>0</v>
      </c>
      <c r="FA61" s="465">
        <f>SUM(DG61:DJ61)</f>
        <v>0</v>
      </c>
      <c r="FB61" s="465">
        <f>SUM(DK61:DN61)</f>
        <v>0</v>
      </c>
      <c r="FC61" s="465">
        <f>SUM(DO61:DR61)</f>
        <v>943.42069518729954</v>
      </c>
      <c r="FD61" s="465">
        <f>SUM(DS61:DV61)</f>
        <v>2533.835862439425</v>
      </c>
      <c r="FE61" s="465">
        <f>SUM(DW61:DZ61)</f>
        <v>2414.9086524047561</v>
      </c>
      <c r="FF61" s="465">
        <f>SUM(EA61:ED61)</f>
        <v>2305.4226111544199</v>
      </c>
      <c r="FG61" s="465">
        <f t="shared" ref="FG61:FG63" si="381">SUM(EE61:EH61)</f>
        <v>767.2702369493777</v>
      </c>
      <c r="FH61" s="465">
        <f t="shared" ref="FH61:FH63" si="382">SUM(EI61:EL61)</f>
        <v>201.80263435079218</v>
      </c>
      <c r="FI61" s="465">
        <f t="shared" ref="FI61:FK62" si="383">EM61</f>
        <v>205.83868703780806</v>
      </c>
      <c r="FJ61" s="465">
        <f t="shared" si="383"/>
        <v>209.9554607785642</v>
      </c>
      <c r="FK61" s="465">
        <f t="shared" si="383"/>
        <v>214.1545699941355</v>
      </c>
      <c r="FL61" s="465">
        <f t="shared" ref="FL61:FM62" si="384">EP61</f>
        <v>218.43766139401816</v>
      </c>
      <c r="FM61" s="465">
        <f t="shared" si="384"/>
        <v>222.80641462189857</v>
      </c>
      <c r="FP61" s="465">
        <f>SUMIF(CI$5:CL$5,TRUE,CI61:CL61)</f>
        <v>0</v>
      </c>
      <c r="FQ61" s="465">
        <f>SUMIF(CM$5:CP$5,TRUE,CM61:CP61)</f>
        <v>0</v>
      </c>
      <c r="FR61" s="465">
        <f>SUMIF(CQ$5:CT$5,TRUE,CQ61:CT61)</f>
        <v>0</v>
      </c>
      <c r="FS61" s="465">
        <f>SUMIF(CU$5:CX$5,TRUE,CU61:CX61)</f>
        <v>0</v>
      </c>
      <c r="FT61" s="465">
        <f>SUMIF(CY$5:DB$5,TRUE,CY61:DB61)</f>
        <v>0</v>
      </c>
      <c r="FU61" s="465">
        <f>SUMIF(DC$5:DF$5,TRUE,DC61:DF61)</f>
        <v>0</v>
      </c>
      <c r="FV61" s="465">
        <f>SUMIF(DG$5:DJ$5,TRUE,DG61:DJ61)</f>
        <v>0</v>
      </c>
      <c r="FW61" s="465">
        <f>SUMIF(DK$5:DN$5,TRUE,DK61:DN61)</f>
        <v>0</v>
      </c>
      <c r="FX61" s="465">
        <f>SUMIF(DO$5:DR$5,TRUE,DO61:DR61)</f>
        <v>259.89591450351378</v>
      </c>
      <c r="FY61" s="465">
        <f>SUMIF(DS$5:DV$5,TRUE,DS61:DV61)</f>
        <v>2533.835862439425</v>
      </c>
      <c r="FZ61" s="465">
        <f>SUMIF(DW$5:DZ$5,TRUE,DW61:DZ61)</f>
        <v>2414.9086524047561</v>
      </c>
      <c r="GA61" s="465">
        <f>SUMIF(EA$5:ED$5,TRUE,EA61:ED61)</f>
        <v>2305.4226111544199</v>
      </c>
      <c r="GB61" s="465">
        <f t="shared" ref="GB61:GB63" si="385">SUMIF(EE$5:EH$5,TRUE,EE61:EH61)</f>
        <v>767.2702369493777</v>
      </c>
      <c r="GC61" s="465">
        <f t="shared" ref="GC61:GC63" si="386">SUMIF(EE$5:EH$5,TRUE,EE61:EH61)</f>
        <v>767.2702369493777</v>
      </c>
      <c r="GD61" s="465">
        <f>SUMIF(EM5,TRUE,EM61)</f>
        <v>205.83868703780806</v>
      </c>
      <c r="GE61" s="465">
        <f>SUMIF(EN5,TRUE,EN61)</f>
        <v>209.9554607785642</v>
      </c>
      <c r="GF61" s="465">
        <f>SUMIF(EO5,TRUE,EO61)</f>
        <v>214.1545699941355</v>
      </c>
      <c r="GG61" s="465">
        <f t="shared" ref="GG61:GH61" si="387">SUMIF(EP5,TRUE,EP61)</f>
        <v>218.43766139401816</v>
      </c>
      <c r="GH61" s="465">
        <f t="shared" si="387"/>
        <v>222.80641462189857</v>
      </c>
      <c r="GK61" s="412">
        <f>IF($C$68="YES",EU61,FP61)</f>
        <v>0</v>
      </c>
      <c r="GL61" s="413">
        <f t="shared" ref="GL61:HC61" si="388">IF($C$68="YES",EV61,FQ61)</f>
        <v>0</v>
      </c>
      <c r="GM61" s="413">
        <f t="shared" si="388"/>
        <v>0</v>
      </c>
      <c r="GN61" s="413">
        <f t="shared" si="388"/>
        <v>0</v>
      </c>
      <c r="GO61" s="413">
        <f t="shared" si="388"/>
        <v>0</v>
      </c>
      <c r="GP61" s="413">
        <f t="shared" si="388"/>
        <v>0</v>
      </c>
      <c r="GQ61" s="413">
        <f t="shared" si="388"/>
        <v>0</v>
      </c>
      <c r="GR61" s="413">
        <f t="shared" si="388"/>
        <v>0</v>
      </c>
      <c r="GS61" s="413">
        <f t="shared" si="388"/>
        <v>943.42069518729954</v>
      </c>
      <c r="GT61" s="413">
        <f t="shared" si="388"/>
        <v>2533.835862439425</v>
      </c>
      <c r="GU61" s="413">
        <f t="shared" si="388"/>
        <v>2414.9086524047561</v>
      </c>
      <c r="GV61" s="413">
        <f t="shared" si="388"/>
        <v>2305.4226111544199</v>
      </c>
      <c r="GW61" s="413">
        <f t="shared" si="388"/>
        <v>767.2702369493777</v>
      </c>
      <c r="GX61" s="413">
        <f t="shared" si="388"/>
        <v>201.80263435079218</v>
      </c>
      <c r="GY61" s="413">
        <f t="shared" si="388"/>
        <v>205.83868703780806</v>
      </c>
      <c r="GZ61" s="413">
        <f t="shared" si="388"/>
        <v>209.9554607785642</v>
      </c>
      <c r="HA61" s="413">
        <f t="shared" si="388"/>
        <v>214.1545699941355</v>
      </c>
      <c r="HB61" s="413">
        <f t="shared" si="388"/>
        <v>218.43766139401816</v>
      </c>
      <c r="HC61" s="414">
        <f t="shared" si="388"/>
        <v>222.80641462189857</v>
      </c>
    </row>
    <row r="62" spans="1:211" x14ac:dyDescent="0.25">
      <c r="B62" s="345" t="s">
        <v>426</v>
      </c>
      <c r="C62" s="345"/>
      <c r="D62" s="547"/>
      <c r="E62" s="346">
        <f>IF(E10&lt;$C$69,0, E36)</f>
        <v>0</v>
      </c>
      <c r="F62" s="348">
        <f>IF(F10&lt;$C$69,0, F36)</f>
        <v>0</v>
      </c>
      <c r="G62" s="348">
        <f>IF(G10&lt;$C$69,0, G36)</f>
        <v>0</v>
      </c>
      <c r="H62" s="909">
        <f>IF(H10&lt;$C$69,0, H36)</f>
        <v>0</v>
      </c>
      <c r="I62" s="357">
        <f>SUM(E62:H62)/4</f>
        <v>0</v>
      </c>
      <c r="J62" s="346">
        <f>IF(J10&lt;$C$69,0, J36)</f>
        <v>0</v>
      </c>
      <c r="K62" s="348">
        <f>IF(K10&lt;$C$69,0, K36)</f>
        <v>0</v>
      </c>
      <c r="L62" s="348">
        <f>IF(L10&lt;$C$69,0, L36)</f>
        <v>0</v>
      </c>
      <c r="M62" s="909">
        <f>IF(M10&lt;$C$69,0, M36)</f>
        <v>0</v>
      </c>
      <c r="N62" s="357">
        <f>SUM(J62:M62)/4</f>
        <v>0</v>
      </c>
      <c r="O62" s="346">
        <f>IF(O10&lt;$C$69,0, O36)</f>
        <v>0</v>
      </c>
      <c r="P62" s="348">
        <f>IF(P10&lt;$C$69,0, P36)</f>
        <v>0</v>
      </c>
      <c r="Q62" s="348">
        <f>IF(Q10&lt;$C$69,0, Q36)</f>
        <v>0</v>
      </c>
      <c r="R62" s="909">
        <f>IF(R10&lt;$C$69,0, R36)</f>
        <v>0</v>
      </c>
      <c r="S62" s="357">
        <f>SUM(O62:R62)/4</f>
        <v>0</v>
      </c>
      <c r="T62" s="346">
        <f>IF(T10&lt;$C$69,0, T36)</f>
        <v>0</v>
      </c>
      <c r="U62" s="348">
        <f>IF(U10&lt;$C$69,0, U36)</f>
        <v>0</v>
      </c>
      <c r="V62" s="348">
        <f>IF(V10&lt;$C$69,0, V36)</f>
        <v>0</v>
      </c>
      <c r="W62" s="909">
        <f>IF(W10&lt;$C$69,0, W36)</f>
        <v>0</v>
      </c>
      <c r="X62" s="357">
        <f>SUM(T62:W62)/4</f>
        <v>0</v>
      </c>
      <c r="Y62" s="346">
        <f>IF(Y10&lt;$C$69,0, Y36)</f>
        <v>0</v>
      </c>
      <c r="Z62" s="348">
        <f>IF(Z10&lt;$C$69,0, Z36)</f>
        <v>0</v>
      </c>
      <c r="AA62" s="348">
        <f>IF(AA10&lt;$C$69,0, AA36)</f>
        <v>0</v>
      </c>
      <c r="AB62" s="909">
        <f>IF(AB10&lt;$C$69,0, AB36)</f>
        <v>0</v>
      </c>
      <c r="AC62" s="357">
        <f>SUM(Y62:AB62)/4</f>
        <v>0</v>
      </c>
      <c r="AD62" s="346">
        <f>IF(AD10&lt;$C$69,0, AD36)</f>
        <v>0</v>
      </c>
      <c r="AE62" s="348">
        <f>IF(AE10&lt;$C$69,0, AE36)</f>
        <v>0</v>
      </c>
      <c r="AF62" s="348">
        <f>IF(AF10&lt;$C$69,0, AF36)</f>
        <v>0</v>
      </c>
      <c r="AG62" s="909">
        <f>IF(AG10&lt;$C$69,0, AG36)</f>
        <v>0</v>
      </c>
      <c r="AH62" s="357">
        <f>SUM(AD62:AG62)/4</f>
        <v>0</v>
      </c>
      <c r="AI62" s="346">
        <f>IF(AI10&lt;$C$69,0, AI36)</f>
        <v>0</v>
      </c>
      <c r="AJ62" s="348">
        <f>IF(AJ10&lt;$C$69,0, AJ36)</f>
        <v>0</v>
      </c>
      <c r="AK62" s="348">
        <f>IF(AK10&lt;$C$69,0, AK36)</f>
        <v>0</v>
      </c>
      <c r="AL62" s="909">
        <f>IF(AL10&lt;$C$69,0, AL36)</f>
        <v>0</v>
      </c>
      <c r="AM62" s="357">
        <f>SUM(AI62:AL62)/4</f>
        <v>0</v>
      </c>
      <c r="AN62" s="346">
        <f t="shared" ref="AN62:BK62" si="389">IF(AN10&lt;$C$69,0, AN36)</f>
        <v>0</v>
      </c>
      <c r="AO62" s="348">
        <f t="shared" si="389"/>
        <v>0</v>
      </c>
      <c r="AP62" s="348">
        <f t="shared" si="389"/>
        <v>0</v>
      </c>
      <c r="AQ62" s="909">
        <f t="shared" si="389"/>
        <v>0</v>
      </c>
      <c r="AR62" s="357">
        <f>SUM(AN62:AQ62)/4</f>
        <v>0</v>
      </c>
      <c r="AS62" s="346">
        <f t="shared" si="389"/>
        <v>0</v>
      </c>
      <c r="AT62" s="348">
        <f t="shared" si="389"/>
        <v>0</v>
      </c>
      <c r="AU62" s="348">
        <f t="shared" si="389"/>
        <v>0</v>
      </c>
      <c r="AV62" s="909">
        <f t="shared" si="389"/>
        <v>0</v>
      </c>
      <c r="AW62" s="357">
        <f>SUM(AS62:AV62)/4</f>
        <v>0</v>
      </c>
      <c r="AX62" s="346">
        <f t="shared" si="389"/>
        <v>0</v>
      </c>
      <c r="AY62" s="348">
        <f t="shared" si="389"/>
        <v>0</v>
      </c>
      <c r="AZ62" s="348">
        <f t="shared" si="389"/>
        <v>0</v>
      </c>
      <c r="BA62" s="909">
        <f t="shared" si="389"/>
        <v>0</v>
      </c>
      <c r="BB62" s="357">
        <f>SUM(AX62:BA62)/4</f>
        <v>0</v>
      </c>
      <c r="BC62" s="346">
        <f t="shared" si="389"/>
        <v>0</v>
      </c>
      <c r="BD62" s="348">
        <f t="shared" si="389"/>
        <v>0</v>
      </c>
      <c r="BE62" s="348">
        <f t="shared" si="389"/>
        <v>0</v>
      </c>
      <c r="BF62" s="909">
        <f t="shared" si="389"/>
        <v>0</v>
      </c>
      <c r="BG62" s="357">
        <f>SUM(BC62:BF62)/4</f>
        <v>0</v>
      </c>
      <c r="BH62" s="346">
        <f t="shared" si="389"/>
        <v>0</v>
      </c>
      <c r="BI62" s="348">
        <f t="shared" si="389"/>
        <v>0</v>
      </c>
      <c r="BJ62" s="348">
        <f t="shared" si="389"/>
        <v>0</v>
      </c>
      <c r="BK62" s="909">
        <f t="shared" si="389"/>
        <v>0</v>
      </c>
      <c r="BL62" s="357">
        <f>SUM(BH62:BK62)/4</f>
        <v>0</v>
      </c>
      <c r="BM62" s="346">
        <f t="shared" ref="BM62:BP62" si="390">IF(BM10&lt;$C$69,0, BM36)</f>
        <v>0</v>
      </c>
      <c r="BN62" s="348">
        <f t="shared" si="390"/>
        <v>0</v>
      </c>
      <c r="BO62" s="348">
        <f t="shared" si="390"/>
        <v>0</v>
      </c>
      <c r="BP62" s="909">
        <f t="shared" si="390"/>
        <v>0</v>
      </c>
      <c r="BQ62" s="966">
        <f>SUM(BM62:BP62)/4</f>
        <v>0</v>
      </c>
      <c r="BR62" s="346">
        <f t="shared" ref="BR62:BU62" si="391">IF(BR10&lt;$C$69,0, BR36)</f>
        <v>0</v>
      </c>
      <c r="BS62" s="348">
        <f t="shared" si="391"/>
        <v>0</v>
      </c>
      <c r="BT62" s="348">
        <f t="shared" si="391"/>
        <v>0</v>
      </c>
      <c r="BU62" s="909">
        <f t="shared" si="391"/>
        <v>0</v>
      </c>
      <c r="BV62" s="966">
        <f>SUM(BR62:BU62)/4</f>
        <v>0</v>
      </c>
      <c r="BW62" s="347">
        <f>IF(BW10&lt;$C$69,0, BW36)</f>
        <v>0</v>
      </c>
      <c r="BX62" s="347">
        <f>IF(BX10&lt;$C$69,0, BX36)</f>
        <v>0</v>
      </c>
      <c r="BY62" s="347">
        <f>IF(BY10&lt;$C$69,0, BY36)</f>
        <v>0</v>
      </c>
      <c r="BZ62" s="347">
        <f t="shared" ref="BZ62:CA62" si="392">IF(BZ10&lt;$C$69,0, BZ36)</f>
        <v>0</v>
      </c>
      <c r="CA62" s="347">
        <f t="shared" si="392"/>
        <v>0</v>
      </c>
      <c r="CB62" s="349"/>
      <c r="CC62" s="350"/>
      <c r="CD62" s="350"/>
      <c r="CE62" s="350"/>
      <c r="CF62" s="350"/>
      <c r="CG62" s="350"/>
      <c r="CH62" s="350"/>
      <c r="CI62" s="374">
        <f>IF(CI10&lt;$C$69,0, CI36)</f>
        <v>0</v>
      </c>
      <c r="CJ62" s="374">
        <f>IF(CJ10&lt;$C$69,0, CJ36)</f>
        <v>0</v>
      </c>
      <c r="CK62" s="374">
        <f>IF(CK10&lt;$C$69,0, CK36)</f>
        <v>0</v>
      </c>
      <c r="CL62" s="394">
        <f>IF(CL10&lt;$C$69,0, CL36)</f>
        <v>0</v>
      </c>
      <c r="CM62" s="374">
        <f t="shared" ref="CM62:EQ62" si="393">IF(CM10&lt;$C$69,0, CM36)</f>
        <v>0</v>
      </c>
      <c r="CN62" s="374">
        <f t="shared" si="393"/>
        <v>0</v>
      </c>
      <c r="CO62" s="374">
        <f t="shared" si="393"/>
        <v>0</v>
      </c>
      <c r="CP62" s="394">
        <f t="shared" si="393"/>
        <v>0</v>
      </c>
      <c r="CQ62" s="374">
        <f t="shared" si="393"/>
        <v>0</v>
      </c>
      <c r="CR62" s="374">
        <f t="shared" si="393"/>
        <v>0</v>
      </c>
      <c r="CS62" s="374">
        <f t="shared" si="393"/>
        <v>0</v>
      </c>
      <c r="CT62" s="394">
        <f t="shared" si="393"/>
        <v>0</v>
      </c>
      <c r="CU62" s="374">
        <f t="shared" si="393"/>
        <v>0</v>
      </c>
      <c r="CV62" s="374">
        <f t="shared" si="393"/>
        <v>0</v>
      </c>
      <c r="CW62" s="374">
        <f t="shared" si="393"/>
        <v>0</v>
      </c>
      <c r="CX62" s="394">
        <f t="shared" si="393"/>
        <v>0</v>
      </c>
      <c r="CY62" s="374">
        <f t="shared" si="393"/>
        <v>0</v>
      </c>
      <c r="CZ62" s="374">
        <f t="shared" si="393"/>
        <v>0</v>
      </c>
      <c r="DA62" s="374">
        <f t="shared" si="393"/>
        <v>0</v>
      </c>
      <c r="DB62" s="394">
        <f t="shared" si="393"/>
        <v>0</v>
      </c>
      <c r="DC62" s="374">
        <f t="shared" si="393"/>
        <v>0</v>
      </c>
      <c r="DD62" s="374">
        <f t="shared" si="393"/>
        <v>0</v>
      </c>
      <c r="DE62" s="374">
        <f t="shared" si="393"/>
        <v>0</v>
      </c>
      <c r="DF62" s="394">
        <f t="shared" si="393"/>
        <v>0</v>
      </c>
      <c r="DG62" s="374">
        <f t="shared" si="393"/>
        <v>0</v>
      </c>
      <c r="DH62" s="374">
        <f t="shared" si="393"/>
        <v>0</v>
      </c>
      <c r="DI62" s="374">
        <f t="shared" si="393"/>
        <v>0</v>
      </c>
      <c r="DJ62" s="394">
        <f t="shared" si="393"/>
        <v>0</v>
      </c>
      <c r="DK62" s="374">
        <f t="shared" si="393"/>
        <v>0</v>
      </c>
      <c r="DL62" s="374">
        <f t="shared" si="393"/>
        <v>0</v>
      </c>
      <c r="DM62" s="374">
        <f t="shared" si="393"/>
        <v>0</v>
      </c>
      <c r="DN62" s="394">
        <f t="shared" si="393"/>
        <v>0</v>
      </c>
      <c r="DO62" s="374">
        <f t="shared" si="393"/>
        <v>0</v>
      </c>
      <c r="DP62" s="374">
        <f t="shared" si="393"/>
        <v>0</v>
      </c>
      <c r="DQ62" s="374">
        <f t="shared" si="393"/>
        <v>0</v>
      </c>
      <c r="DR62" s="394">
        <f t="shared" si="393"/>
        <v>0</v>
      </c>
      <c r="DS62" s="393">
        <f t="shared" si="393"/>
        <v>0</v>
      </c>
      <c r="DT62" s="374">
        <f t="shared" si="393"/>
        <v>0</v>
      </c>
      <c r="DU62" s="374">
        <f t="shared" si="393"/>
        <v>0</v>
      </c>
      <c r="DV62" s="394">
        <f t="shared" si="393"/>
        <v>0</v>
      </c>
      <c r="DW62" s="393">
        <f t="shared" si="393"/>
        <v>0</v>
      </c>
      <c r="DX62" s="374">
        <f t="shared" si="393"/>
        <v>0</v>
      </c>
      <c r="DY62" s="374">
        <f t="shared" si="393"/>
        <v>0</v>
      </c>
      <c r="DZ62" s="394">
        <f t="shared" si="393"/>
        <v>0</v>
      </c>
      <c r="EA62" s="393">
        <f t="shared" si="393"/>
        <v>0</v>
      </c>
      <c r="EB62" s="374">
        <f t="shared" si="393"/>
        <v>0</v>
      </c>
      <c r="EC62" s="374">
        <f t="shared" si="393"/>
        <v>0</v>
      </c>
      <c r="ED62" s="394">
        <f t="shared" si="393"/>
        <v>0</v>
      </c>
      <c r="EE62" s="393">
        <f t="shared" si="393"/>
        <v>0</v>
      </c>
      <c r="EF62" s="374">
        <f t="shared" si="393"/>
        <v>0</v>
      </c>
      <c r="EG62" s="374">
        <f t="shared" si="393"/>
        <v>0</v>
      </c>
      <c r="EH62" s="394">
        <f t="shared" si="393"/>
        <v>0</v>
      </c>
      <c r="EI62" s="393">
        <f t="shared" si="393"/>
        <v>0</v>
      </c>
      <c r="EJ62" s="374">
        <f t="shared" si="393"/>
        <v>0</v>
      </c>
      <c r="EK62" s="374">
        <f t="shared" si="393"/>
        <v>0</v>
      </c>
      <c r="EL62" s="394">
        <f t="shared" si="393"/>
        <v>0</v>
      </c>
      <c r="EM62" s="394">
        <f t="shared" si="393"/>
        <v>0</v>
      </c>
      <c r="EN62" s="394">
        <f t="shared" si="393"/>
        <v>0</v>
      </c>
      <c r="EO62" s="394">
        <f t="shared" si="393"/>
        <v>0</v>
      </c>
      <c r="EP62" s="394">
        <f t="shared" si="393"/>
        <v>0</v>
      </c>
      <c r="EQ62" s="394">
        <f t="shared" si="393"/>
        <v>0</v>
      </c>
      <c r="EU62" s="914">
        <f>SUM(CI62:CL62)</f>
        <v>0</v>
      </c>
      <c r="EV62" s="914">
        <f>SUM(CM62:CP62)</f>
        <v>0</v>
      </c>
      <c r="EW62" s="914">
        <f>SUM(CQ62:CT62)</f>
        <v>0</v>
      </c>
      <c r="EX62" s="914">
        <f>SUM(CU62:CX62)</f>
        <v>0</v>
      </c>
      <c r="EY62" s="914">
        <f>SUM(CY62:DB62)</f>
        <v>0</v>
      </c>
      <c r="EZ62" s="914">
        <f>SUM(DC62:DF62)</f>
        <v>0</v>
      </c>
      <c r="FA62" s="914">
        <f>SUM(DG62:DJ62)</f>
        <v>0</v>
      </c>
      <c r="FB62" s="914">
        <f>SUM(DK62:DN62)</f>
        <v>0</v>
      </c>
      <c r="FC62" s="914">
        <f>SUM(DO62:DR62)</f>
        <v>0</v>
      </c>
      <c r="FD62" s="914">
        <f>SUM(DS62:DV62)</f>
        <v>0</v>
      </c>
      <c r="FE62" s="914">
        <f>SUM(DW62:DZ62)</f>
        <v>0</v>
      </c>
      <c r="FF62" s="914">
        <f>SUM(EA62:ED62)</f>
        <v>0</v>
      </c>
      <c r="FG62" s="914">
        <f t="shared" si="381"/>
        <v>0</v>
      </c>
      <c r="FH62" s="914">
        <f t="shared" si="382"/>
        <v>0</v>
      </c>
      <c r="FI62" s="914">
        <f t="shared" si="383"/>
        <v>0</v>
      </c>
      <c r="FJ62" s="914">
        <f t="shared" si="383"/>
        <v>0</v>
      </c>
      <c r="FK62" s="914">
        <f t="shared" si="383"/>
        <v>0</v>
      </c>
      <c r="FL62" s="914">
        <f t="shared" si="384"/>
        <v>0</v>
      </c>
      <c r="FM62" s="914">
        <f t="shared" si="384"/>
        <v>0</v>
      </c>
      <c r="FP62" s="914">
        <f>SUMIF(CI$5:CL$5,TRUE,CI62:CL62)</f>
        <v>0</v>
      </c>
      <c r="FQ62" s="914">
        <f>SUMIF(CM$5:CP$5,TRUE,CM62:CP62)</f>
        <v>0</v>
      </c>
      <c r="FR62" s="914">
        <f>SUMIF(CQ$5:CT$5,TRUE,CQ62:CT62)</f>
        <v>0</v>
      </c>
      <c r="FS62" s="914">
        <f>SUMIF(CU$5:CX$5,TRUE,CU62:CX62)</f>
        <v>0</v>
      </c>
      <c r="FT62" s="914">
        <f>SUMIF(CY$5:DB$5,TRUE,CY62:DB62)</f>
        <v>0</v>
      </c>
      <c r="FU62" s="914">
        <f>SUMIF(DC$5:DF$5,TRUE,DC62:DF62)</f>
        <v>0</v>
      </c>
      <c r="FV62" s="914">
        <f>SUMIF(DG$5:DJ$5,TRUE,DG62:DJ62)</f>
        <v>0</v>
      </c>
      <c r="FW62" s="914">
        <f>SUMIF(DK$5:DN$5,TRUE,DK62:DN62)</f>
        <v>0</v>
      </c>
      <c r="FX62" s="914">
        <f>SUMIF(DO$5:DR$5,TRUE,DO62:DR62)</f>
        <v>0</v>
      </c>
      <c r="FY62" s="914">
        <f>SUMIF(DS$5:DV$5,TRUE,DS62:DV62)</f>
        <v>0</v>
      </c>
      <c r="FZ62" s="914">
        <f>SUMIF(DW$5:DZ$5,TRUE,DW62:DZ62)</f>
        <v>0</v>
      </c>
      <c r="GA62" s="914">
        <f>SUMIF(EA$5:ED$5,TRUE,EA62:ED62)</f>
        <v>0</v>
      </c>
      <c r="GB62" s="914">
        <f t="shared" si="385"/>
        <v>0</v>
      </c>
      <c r="GC62" s="914">
        <f t="shared" si="386"/>
        <v>0</v>
      </c>
      <c r="GD62" s="914">
        <f>SUMIF(EM5,TRUE,EM62)</f>
        <v>0</v>
      </c>
      <c r="GE62" s="914">
        <f>SUMIF(EN5,TRUE,EN62)</f>
        <v>0</v>
      </c>
      <c r="GF62" s="914">
        <f>SUMIF(EO5,TRUE,EO62)</f>
        <v>0</v>
      </c>
      <c r="GG62" s="914">
        <f t="shared" ref="GG62:GH62" si="394">SUMIF(EP5,TRUE,EP62)</f>
        <v>0</v>
      </c>
      <c r="GH62" s="914">
        <f t="shared" si="394"/>
        <v>0</v>
      </c>
      <c r="GK62" s="393">
        <f t="shared" ref="GK62:GT63" si="395">IF($C$68="YES",EU62,FP62)</f>
        <v>0</v>
      </c>
      <c r="GL62" s="374">
        <f t="shared" si="395"/>
        <v>0</v>
      </c>
      <c r="GM62" s="374">
        <f t="shared" si="395"/>
        <v>0</v>
      </c>
      <c r="GN62" s="374">
        <f t="shared" si="395"/>
        <v>0</v>
      </c>
      <c r="GO62" s="374">
        <f t="shared" si="395"/>
        <v>0</v>
      </c>
      <c r="GP62" s="374">
        <f t="shared" si="395"/>
        <v>0</v>
      </c>
      <c r="GQ62" s="374">
        <f t="shared" si="395"/>
        <v>0</v>
      </c>
      <c r="GR62" s="374">
        <f t="shared" si="395"/>
        <v>0</v>
      </c>
      <c r="GS62" s="374">
        <f t="shared" si="395"/>
        <v>0</v>
      </c>
      <c r="GT62" s="374">
        <f t="shared" si="395"/>
        <v>0</v>
      </c>
      <c r="GU62" s="374">
        <f t="shared" ref="GU62:HA63" si="396">IF($C$68="YES",FE62,FZ62)</f>
        <v>0</v>
      </c>
      <c r="GV62" s="374">
        <f t="shared" si="396"/>
        <v>0</v>
      </c>
      <c r="GW62" s="374">
        <f t="shared" si="396"/>
        <v>0</v>
      </c>
      <c r="GX62" s="374">
        <f t="shared" si="396"/>
        <v>0</v>
      </c>
      <c r="GY62" s="374">
        <f t="shared" si="396"/>
        <v>0</v>
      </c>
      <c r="GZ62" s="374">
        <f t="shared" si="396"/>
        <v>0</v>
      </c>
      <c r="HA62" s="374">
        <f t="shared" si="396"/>
        <v>0</v>
      </c>
      <c r="HB62" s="374">
        <f t="shared" ref="HB62:HC63" si="397">IF($C$68="YES",FL62,GG62)</f>
        <v>0</v>
      </c>
      <c r="HC62" s="394">
        <f t="shared" si="397"/>
        <v>0</v>
      </c>
    </row>
    <row r="63" spans="1:211" x14ac:dyDescent="0.25">
      <c r="B63" s="345" t="s">
        <v>740</v>
      </c>
      <c r="C63" s="6"/>
      <c r="D63" s="6"/>
      <c r="E63" s="572">
        <f>+E53</f>
        <v>0</v>
      </c>
      <c r="F63" s="572">
        <f>+F53</f>
        <v>0</v>
      </c>
      <c r="G63" s="572">
        <f>+G53</f>
        <v>0</v>
      </c>
      <c r="H63" s="572">
        <f>+H53</f>
        <v>0</v>
      </c>
      <c r="I63" s="358">
        <f>SUM(E63:H63)/4</f>
        <v>0</v>
      </c>
      <c r="J63" s="572">
        <f>+J53</f>
        <v>0</v>
      </c>
      <c r="K63" s="572">
        <f>+K53</f>
        <v>0</v>
      </c>
      <c r="L63" s="572">
        <f>+L53</f>
        <v>0</v>
      </c>
      <c r="M63" s="572">
        <f>+M53</f>
        <v>0</v>
      </c>
      <c r="N63" s="358">
        <f>SUM(J63:M63)/4</f>
        <v>0</v>
      </c>
      <c r="O63" s="572">
        <f>+O53</f>
        <v>0</v>
      </c>
      <c r="P63" s="572">
        <f>+P53</f>
        <v>0</v>
      </c>
      <c r="Q63" s="572">
        <f>+Q53</f>
        <v>0</v>
      </c>
      <c r="R63" s="572">
        <f>+R53</f>
        <v>0</v>
      </c>
      <c r="S63" s="358">
        <f>SUM(O63:R63)/4</f>
        <v>0</v>
      </c>
      <c r="T63" s="572">
        <f>+T53</f>
        <v>0</v>
      </c>
      <c r="U63" s="572">
        <f>+U53</f>
        <v>0</v>
      </c>
      <c r="V63" s="572">
        <f>+V53</f>
        <v>0</v>
      </c>
      <c r="W63" s="572">
        <f>+W53</f>
        <v>0</v>
      </c>
      <c r="X63" s="358">
        <f>SUM(T63:W63)/4</f>
        <v>0</v>
      </c>
      <c r="Y63" s="572">
        <f>+Y53</f>
        <v>0</v>
      </c>
      <c r="Z63" s="572">
        <f>+Z53</f>
        <v>0</v>
      </c>
      <c r="AA63" s="572">
        <f>+AA53</f>
        <v>0</v>
      </c>
      <c r="AB63" s="572">
        <f>+AB53</f>
        <v>0</v>
      </c>
      <c r="AC63" s="358">
        <f>SUM(Y63:AB63)/4</f>
        <v>0</v>
      </c>
      <c r="AD63" s="572">
        <f>+AD53</f>
        <v>0</v>
      </c>
      <c r="AE63" s="572">
        <f>+AE53</f>
        <v>0</v>
      </c>
      <c r="AF63" s="572">
        <f>+AF53</f>
        <v>0</v>
      </c>
      <c r="AG63" s="572">
        <f>+AG53</f>
        <v>0</v>
      </c>
      <c r="AH63" s="358">
        <f>SUM(AD63:AG63)/4</f>
        <v>0</v>
      </c>
      <c r="AI63" s="572">
        <f>+AI53</f>
        <v>0</v>
      </c>
      <c r="AJ63" s="572">
        <f>+AJ53</f>
        <v>0</v>
      </c>
      <c r="AK63" s="572">
        <f>+AK53</f>
        <v>0</v>
      </c>
      <c r="AL63" s="572">
        <f>+AL53</f>
        <v>0</v>
      </c>
      <c r="AM63" s="358">
        <f>SUM(AI63:AL63)/4</f>
        <v>0</v>
      </c>
      <c r="AN63" s="572">
        <f t="shared" ref="AN63:BK63" si="398">+AN53</f>
        <v>0</v>
      </c>
      <c r="AO63" s="572">
        <f t="shared" si="398"/>
        <v>0</v>
      </c>
      <c r="AP63" s="572">
        <f t="shared" si="398"/>
        <v>0</v>
      </c>
      <c r="AQ63" s="572">
        <f t="shared" si="398"/>
        <v>0</v>
      </c>
      <c r="AR63" s="358">
        <f>SUM(AN63:AQ63)/4</f>
        <v>0</v>
      </c>
      <c r="AS63" s="572">
        <f t="shared" si="398"/>
        <v>0</v>
      </c>
      <c r="AT63" s="572">
        <f t="shared" si="398"/>
        <v>0</v>
      </c>
      <c r="AU63" s="572">
        <f t="shared" si="398"/>
        <v>0</v>
      </c>
      <c r="AV63" s="572">
        <f t="shared" si="398"/>
        <v>0</v>
      </c>
      <c r="AW63" s="358">
        <f>SUM(AS63:AV63)/4</f>
        <v>0</v>
      </c>
      <c r="AX63" s="572">
        <f t="shared" si="398"/>
        <v>2</v>
      </c>
      <c r="AY63" s="572">
        <f t="shared" si="398"/>
        <v>2</v>
      </c>
      <c r="AZ63" s="572">
        <f t="shared" si="398"/>
        <v>2</v>
      </c>
      <c r="BA63" s="572">
        <f t="shared" si="398"/>
        <v>2</v>
      </c>
      <c r="BB63" s="358">
        <f>SUM(AX63:BA63)/4</f>
        <v>2</v>
      </c>
      <c r="BC63" s="572">
        <f t="shared" si="398"/>
        <v>2</v>
      </c>
      <c r="BD63" s="572">
        <f t="shared" si="398"/>
        <v>2</v>
      </c>
      <c r="BE63" s="572">
        <f t="shared" si="398"/>
        <v>2</v>
      </c>
      <c r="BF63" s="572">
        <f t="shared" si="398"/>
        <v>2</v>
      </c>
      <c r="BG63" s="358">
        <f>SUM(BC63:BF63)/4</f>
        <v>2</v>
      </c>
      <c r="BH63" s="572">
        <f t="shared" si="398"/>
        <v>2</v>
      </c>
      <c r="BI63" s="572">
        <f t="shared" si="398"/>
        <v>2</v>
      </c>
      <c r="BJ63" s="572">
        <f t="shared" si="398"/>
        <v>2</v>
      </c>
      <c r="BK63" s="572">
        <f t="shared" si="398"/>
        <v>2</v>
      </c>
      <c r="BL63" s="358">
        <f>SUM(BH63:BK63)/4</f>
        <v>2</v>
      </c>
      <c r="BM63" s="572">
        <f t="shared" ref="BM63:BP63" si="399">+BM53</f>
        <v>1</v>
      </c>
      <c r="BN63" s="572">
        <f t="shared" si="399"/>
        <v>0</v>
      </c>
      <c r="BO63" s="572">
        <f t="shared" si="399"/>
        <v>0</v>
      </c>
      <c r="BP63" s="572">
        <f t="shared" si="399"/>
        <v>0</v>
      </c>
      <c r="BQ63" s="574">
        <f>SUM(BM63:BP63)/4</f>
        <v>0.25</v>
      </c>
      <c r="BR63" s="572">
        <f t="shared" ref="BR63:BU63" si="400">+BR53</f>
        <v>0</v>
      </c>
      <c r="BS63" s="572">
        <f t="shared" si="400"/>
        <v>0</v>
      </c>
      <c r="BT63" s="572">
        <f t="shared" si="400"/>
        <v>0</v>
      </c>
      <c r="BU63" s="572">
        <f t="shared" si="400"/>
        <v>0</v>
      </c>
      <c r="BV63" s="574">
        <f>SUM(BR63:BU63)/4</f>
        <v>0</v>
      </c>
      <c r="BW63" s="574">
        <f>+BW53</f>
        <v>0</v>
      </c>
      <c r="BX63" s="574">
        <f>+BX53</f>
        <v>0</v>
      </c>
      <c r="BY63" s="574">
        <f>+BY53</f>
        <v>0</v>
      </c>
      <c r="BZ63" s="574">
        <f t="shared" ref="BZ63:CA63" si="401">+BZ53</f>
        <v>0</v>
      </c>
      <c r="CA63" s="574">
        <f t="shared" si="401"/>
        <v>0</v>
      </c>
      <c r="CB63" s="572"/>
      <c r="CC63" s="574"/>
      <c r="CD63" s="574"/>
      <c r="CE63" s="574"/>
      <c r="CF63" s="574"/>
      <c r="CG63" s="574"/>
      <c r="CH63" s="574"/>
      <c r="CI63" s="572">
        <f>+CI53</f>
        <v>0</v>
      </c>
      <c r="CJ63" s="572">
        <f>+CJ53</f>
        <v>0</v>
      </c>
      <c r="CK63" s="572">
        <f>+CK53</f>
        <v>0</v>
      </c>
      <c r="CL63" s="409">
        <f>+CL53</f>
        <v>0</v>
      </c>
      <c r="CM63" s="572">
        <f>+CM53</f>
        <v>0</v>
      </c>
      <c r="CN63" s="572">
        <f t="shared" ref="CN63:EQ63" si="402">+CN53</f>
        <v>0</v>
      </c>
      <c r="CO63" s="572">
        <f t="shared" si="402"/>
        <v>0</v>
      </c>
      <c r="CP63" s="409">
        <f t="shared" si="402"/>
        <v>0</v>
      </c>
      <c r="CQ63" s="572">
        <f t="shared" si="402"/>
        <v>0</v>
      </c>
      <c r="CR63" s="572">
        <f t="shared" si="402"/>
        <v>0</v>
      </c>
      <c r="CS63" s="572">
        <f t="shared" si="402"/>
        <v>0</v>
      </c>
      <c r="CT63" s="409">
        <f t="shared" si="402"/>
        <v>0</v>
      </c>
      <c r="CU63" s="572">
        <f t="shared" si="402"/>
        <v>0</v>
      </c>
      <c r="CV63" s="572">
        <f t="shared" si="402"/>
        <v>0</v>
      </c>
      <c r="CW63" s="572">
        <f t="shared" si="402"/>
        <v>0</v>
      </c>
      <c r="CX63" s="409">
        <f t="shared" si="402"/>
        <v>0</v>
      </c>
      <c r="CY63" s="572">
        <f t="shared" si="402"/>
        <v>0</v>
      </c>
      <c r="CZ63" s="572">
        <f t="shared" si="402"/>
        <v>0</v>
      </c>
      <c r="DA63" s="572">
        <f t="shared" si="402"/>
        <v>0</v>
      </c>
      <c r="DB63" s="409">
        <f t="shared" si="402"/>
        <v>0</v>
      </c>
      <c r="DC63" s="572">
        <f t="shared" si="402"/>
        <v>0</v>
      </c>
      <c r="DD63" s="572">
        <f t="shared" si="402"/>
        <v>0</v>
      </c>
      <c r="DE63" s="572">
        <f t="shared" si="402"/>
        <v>0</v>
      </c>
      <c r="DF63" s="409">
        <f t="shared" si="402"/>
        <v>0</v>
      </c>
      <c r="DG63" s="572">
        <f t="shared" si="402"/>
        <v>0</v>
      </c>
      <c r="DH63" s="572">
        <f t="shared" si="402"/>
        <v>0</v>
      </c>
      <c r="DI63" s="572">
        <f t="shared" si="402"/>
        <v>0</v>
      </c>
      <c r="DJ63" s="409">
        <f t="shared" si="402"/>
        <v>0</v>
      </c>
      <c r="DK63" s="572">
        <f t="shared" si="402"/>
        <v>0</v>
      </c>
      <c r="DL63" s="572">
        <f t="shared" si="402"/>
        <v>0</v>
      </c>
      <c r="DM63" s="572">
        <f t="shared" si="402"/>
        <v>0</v>
      </c>
      <c r="DN63" s="409">
        <f t="shared" si="402"/>
        <v>0</v>
      </c>
      <c r="DO63" s="572">
        <f t="shared" si="402"/>
        <v>0</v>
      </c>
      <c r="DP63" s="572">
        <f t="shared" si="402"/>
        <v>0</v>
      </c>
      <c r="DQ63" s="572">
        <f t="shared" si="402"/>
        <v>0</v>
      </c>
      <c r="DR63" s="409">
        <f t="shared" si="402"/>
        <v>0</v>
      </c>
      <c r="DS63" s="575">
        <f t="shared" si="402"/>
        <v>85.449118656495216</v>
      </c>
      <c r="DT63" s="572">
        <f t="shared" si="402"/>
        <v>85.449118656495216</v>
      </c>
      <c r="DU63" s="572">
        <f t="shared" si="402"/>
        <v>85.449118656495216</v>
      </c>
      <c r="DV63" s="409">
        <f t="shared" si="402"/>
        <v>85.449118656495216</v>
      </c>
      <c r="DW63" s="575">
        <f t="shared" si="402"/>
        <v>87.158101029625129</v>
      </c>
      <c r="DX63" s="572">
        <f t="shared" si="402"/>
        <v>87.158101029625129</v>
      </c>
      <c r="DY63" s="572">
        <f t="shared" si="402"/>
        <v>87.158101029625129</v>
      </c>
      <c r="DZ63" s="409">
        <f t="shared" si="402"/>
        <v>87.158101029625129</v>
      </c>
      <c r="EA63" s="575">
        <f t="shared" si="402"/>
        <v>88.901263050217636</v>
      </c>
      <c r="EB63" s="572">
        <f t="shared" si="402"/>
        <v>88.901263050217636</v>
      </c>
      <c r="EC63" s="572">
        <f t="shared" si="402"/>
        <v>88.901263050217636</v>
      </c>
      <c r="ED63" s="409">
        <f t="shared" si="402"/>
        <v>88.901263050217636</v>
      </c>
      <c r="EE63" s="575">
        <f t="shared" si="402"/>
        <v>45.339644155610998</v>
      </c>
      <c r="EF63" s="572">
        <f t="shared" si="402"/>
        <v>0</v>
      </c>
      <c r="EG63" s="572">
        <f t="shared" si="402"/>
        <v>0</v>
      </c>
      <c r="EH63" s="409">
        <f t="shared" si="402"/>
        <v>0</v>
      </c>
      <c r="EI63" s="575">
        <f t="shared" si="402"/>
        <v>0</v>
      </c>
      <c r="EJ63" s="572">
        <f t="shared" si="402"/>
        <v>0</v>
      </c>
      <c r="EK63" s="572">
        <f t="shared" si="402"/>
        <v>0</v>
      </c>
      <c r="EL63" s="409">
        <f t="shared" si="402"/>
        <v>0</v>
      </c>
      <c r="EM63" s="420">
        <f t="shared" si="402"/>
        <v>0</v>
      </c>
      <c r="EN63" s="420">
        <f t="shared" si="402"/>
        <v>0</v>
      </c>
      <c r="EO63" s="420">
        <f t="shared" si="402"/>
        <v>0</v>
      </c>
      <c r="EP63" s="420">
        <f t="shared" si="402"/>
        <v>0</v>
      </c>
      <c r="EQ63" s="420">
        <f t="shared" si="402"/>
        <v>0</v>
      </c>
      <c r="ER63" s="572"/>
      <c r="ES63" s="572"/>
      <c r="ET63" s="572"/>
      <c r="EU63" s="420">
        <f t="shared" ref="EU63:FB63" si="403">+EU53</f>
        <v>0</v>
      </c>
      <c r="EV63" s="420">
        <f t="shared" si="403"/>
        <v>0</v>
      </c>
      <c r="EW63" s="420">
        <f t="shared" si="403"/>
        <v>0</v>
      </c>
      <c r="EX63" s="420">
        <f t="shared" si="403"/>
        <v>0</v>
      </c>
      <c r="EY63" s="420">
        <f t="shared" si="403"/>
        <v>0</v>
      </c>
      <c r="EZ63" s="420">
        <f t="shared" si="403"/>
        <v>0</v>
      </c>
      <c r="FA63" s="420">
        <f t="shared" si="403"/>
        <v>0</v>
      </c>
      <c r="FB63" s="420">
        <f t="shared" si="403"/>
        <v>0</v>
      </c>
      <c r="FC63" s="420">
        <f>+FC53</f>
        <v>0</v>
      </c>
      <c r="FD63" s="420">
        <f>+FD53</f>
        <v>341.79647462598086</v>
      </c>
      <c r="FE63" s="420">
        <f>+FE53</f>
        <v>348.63240411850052</v>
      </c>
      <c r="FF63" s="420">
        <f>+FF53</f>
        <v>355.60505220087055</v>
      </c>
      <c r="FG63" s="420">
        <f t="shared" si="381"/>
        <v>45.339644155610998</v>
      </c>
      <c r="FH63" s="420">
        <f t="shared" si="382"/>
        <v>0</v>
      </c>
      <c r="FI63" s="420">
        <f>+FI53</f>
        <v>0</v>
      </c>
      <c r="FJ63" s="420">
        <f>+FJ53</f>
        <v>0</v>
      </c>
      <c r="FK63" s="420">
        <f>+FK53</f>
        <v>0</v>
      </c>
      <c r="FL63" s="420">
        <f t="shared" ref="FL63:FM63" si="404">+FL53</f>
        <v>0</v>
      </c>
      <c r="FM63" s="420">
        <f t="shared" si="404"/>
        <v>0</v>
      </c>
      <c r="FN63" s="572"/>
      <c r="FO63" s="572"/>
      <c r="FP63" s="420">
        <f t="shared" ref="FP63:FV63" si="405">+FP53</f>
        <v>0</v>
      </c>
      <c r="FQ63" s="420">
        <f t="shared" si="405"/>
        <v>0</v>
      </c>
      <c r="FR63" s="420">
        <f t="shared" si="405"/>
        <v>0</v>
      </c>
      <c r="FS63" s="420">
        <f t="shared" si="405"/>
        <v>0</v>
      </c>
      <c r="FT63" s="420">
        <f t="shared" si="405"/>
        <v>0</v>
      </c>
      <c r="FU63" s="420">
        <f t="shared" si="405"/>
        <v>0</v>
      </c>
      <c r="FV63" s="420">
        <f t="shared" si="405"/>
        <v>0</v>
      </c>
      <c r="FW63" s="420">
        <f>+FW53</f>
        <v>0</v>
      </c>
      <c r="FX63" s="420">
        <f>+FX53</f>
        <v>0</v>
      </c>
      <c r="FY63" s="420">
        <f>+FY53</f>
        <v>341.79647462598086</v>
      </c>
      <c r="FZ63" s="420">
        <f>+FZ53</f>
        <v>348.63240411850052</v>
      </c>
      <c r="GA63" s="420">
        <f>+GA53</f>
        <v>355.60505220087055</v>
      </c>
      <c r="GB63" s="420">
        <f t="shared" si="385"/>
        <v>45.339644155610998</v>
      </c>
      <c r="GC63" s="420">
        <f t="shared" si="386"/>
        <v>45.339644155610998</v>
      </c>
      <c r="GD63" s="420">
        <f>+GD53</f>
        <v>0</v>
      </c>
      <c r="GE63" s="420">
        <f>+GE53</f>
        <v>0</v>
      </c>
      <c r="GF63" s="420">
        <f>+GF53</f>
        <v>0</v>
      </c>
      <c r="GG63" s="420">
        <f t="shared" ref="GG63:GH63" si="406">+GG53</f>
        <v>0</v>
      </c>
      <c r="GH63" s="420">
        <f t="shared" si="406"/>
        <v>0</v>
      </c>
      <c r="GK63" s="393">
        <f t="shared" si="395"/>
        <v>0</v>
      </c>
      <c r="GL63" s="374">
        <f t="shared" si="395"/>
        <v>0</v>
      </c>
      <c r="GM63" s="374">
        <f t="shared" si="395"/>
        <v>0</v>
      </c>
      <c r="GN63" s="374">
        <f t="shared" si="395"/>
        <v>0</v>
      </c>
      <c r="GO63" s="374">
        <f t="shared" si="395"/>
        <v>0</v>
      </c>
      <c r="GP63" s="374">
        <f t="shared" si="395"/>
        <v>0</v>
      </c>
      <c r="GQ63" s="374">
        <f t="shared" si="395"/>
        <v>0</v>
      </c>
      <c r="GR63" s="374">
        <f t="shared" si="395"/>
        <v>0</v>
      </c>
      <c r="GS63" s="374">
        <f t="shared" si="395"/>
        <v>0</v>
      </c>
      <c r="GT63" s="374">
        <f t="shared" si="395"/>
        <v>341.79647462598086</v>
      </c>
      <c r="GU63" s="374">
        <f t="shared" si="396"/>
        <v>348.63240411850052</v>
      </c>
      <c r="GV63" s="374">
        <f t="shared" si="396"/>
        <v>355.60505220087055</v>
      </c>
      <c r="GW63" s="374">
        <f t="shared" si="396"/>
        <v>45.339644155610998</v>
      </c>
      <c r="GX63" s="738">
        <f t="shared" si="396"/>
        <v>0</v>
      </c>
      <c r="GY63" s="374">
        <f t="shared" si="396"/>
        <v>0</v>
      </c>
      <c r="GZ63" s="374">
        <f t="shared" si="396"/>
        <v>0</v>
      </c>
      <c r="HA63" s="374">
        <f t="shared" si="396"/>
        <v>0</v>
      </c>
      <c r="HB63" s="374">
        <f t="shared" si="397"/>
        <v>0</v>
      </c>
      <c r="HC63" s="394">
        <f t="shared" si="397"/>
        <v>0</v>
      </c>
    </row>
    <row r="64" spans="1:211" x14ac:dyDescent="0.25">
      <c r="B64" s="438" t="s">
        <v>427</v>
      </c>
      <c r="C64" s="438"/>
      <c r="D64" s="439"/>
      <c r="E64" s="548">
        <f>SUM(E61:E63)</f>
        <v>0</v>
      </c>
      <c r="F64" s="568">
        <f>SUM(F61:F63)</f>
        <v>0</v>
      </c>
      <c r="G64" s="568">
        <f>SUM(G61:G63)</f>
        <v>0</v>
      </c>
      <c r="H64" s="568">
        <f>SUM(H61:H63)</f>
        <v>0</v>
      </c>
      <c r="I64" s="719">
        <f>SUM(E64:H64)/4</f>
        <v>0</v>
      </c>
      <c r="J64" s="548">
        <f>SUM(J61:J63)</f>
        <v>0</v>
      </c>
      <c r="K64" s="568">
        <f>SUM(K61:K63)</f>
        <v>0</v>
      </c>
      <c r="L64" s="568">
        <f>SUM(L61:L63)</f>
        <v>0</v>
      </c>
      <c r="M64" s="568">
        <f>SUM(M61:M63)</f>
        <v>0</v>
      </c>
      <c r="N64" s="719">
        <f>SUM(J64:M64)/4</f>
        <v>0</v>
      </c>
      <c r="O64" s="548">
        <f>SUM(O61:O63)</f>
        <v>0</v>
      </c>
      <c r="P64" s="568">
        <f>SUM(P61:P63)</f>
        <v>0</v>
      </c>
      <c r="Q64" s="568">
        <f>SUM(Q61:Q63)</f>
        <v>0</v>
      </c>
      <c r="R64" s="568">
        <f>SUM(R61:R63)</f>
        <v>0</v>
      </c>
      <c r="S64" s="719">
        <f>SUM(O64:R64)/4</f>
        <v>0</v>
      </c>
      <c r="T64" s="548">
        <f>SUM(T61:T63)</f>
        <v>0</v>
      </c>
      <c r="U64" s="568">
        <f>SUM(U61:U63)</f>
        <v>0</v>
      </c>
      <c r="V64" s="568">
        <f>SUM(V61:V63)</f>
        <v>0</v>
      </c>
      <c r="W64" s="568">
        <f>SUM(W61:W63)</f>
        <v>0</v>
      </c>
      <c r="X64" s="719">
        <f>SUM(T64:W64)/4</f>
        <v>0</v>
      </c>
      <c r="Y64" s="548">
        <f>SUM(Y61:Y63)</f>
        <v>0</v>
      </c>
      <c r="Z64" s="568">
        <f>SUM(Z61:Z63)</f>
        <v>0</v>
      </c>
      <c r="AA64" s="568">
        <f>SUM(AA61:AA63)</f>
        <v>0</v>
      </c>
      <c r="AB64" s="568">
        <f>SUM(AB61:AB63)</f>
        <v>0</v>
      </c>
      <c r="AC64" s="719">
        <f>SUM(Y64:AB64)/4</f>
        <v>0</v>
      </c>
      <c r="AD64" s="548">
        <f>SUM(AD61:AD63)</f>
        <v>0</v>
      </c>
      <c r="AE64" s="568">
        <f>SUM(AE61:AE63)</f>
        <v>0</v>
      </c>
      <c r="AF64" s="568">
        <f>SUM(AF61:AF63)</f>
        <v>0</v>
      </c>
      <c r="AG64" s="568">
        <f>SUM(AG61:AG63)</f>
        <v>0</v>
      </c>
      <c r="AH64" s="719">
        <f>SUM(AD64:AG64)/4</f>
        <v>0</v>
      </c>
      <c r="AI64" s="548">
        <f>SUM(AI61:AI63)</f>
        <v>0</v>
      </c>
      <c r="AJ64" s="568">
        <f>SUM(AJ61:AJ63)</f>
        <v>0</v>
      </c>
      <c r="AK64" s="568">
        <f>SUM(AK61:AK63)</f>
        <v>0</v>
      </c>
      <c r="AL64" s="568">
        <f>SUM(AL61:AL63)</f>
        <v>0</v>
      </c>
      <c r="AM64" s="719">
        <f>SUM(AI64:AL64)/4</f>
        <v>0</v>
      </c>
      <c r="AN64" s="548">
        <f t="shared" ref="AN64:BK64" si="407">SUM(AN61:AN63)</f>
        <v>0</v>
      </c>
      <c r="AO64" s="568">
        <f t="shared" si="407"/>
        <v>0</v>
      </c>
      <c r="AP64" s="568">
        <f t="shared" si="407"/>
        <v>0</v>
      </c>
      <c r="AQ64" s="568">
        <f t="shared" si="407"/>
        <v>0</v>
      </c>
      <c r="AR64" s="719">
        <f>SUM(AN64:AQ64)/4</f>
        <v>0</v>
      </c>
      <c r="AS64" s="548">
        <f t="shared" si="407"/>
        <v>5</v>
      </c>
      <c r="AT64" s="568">
        <f t="shared" si="407"/>
        <v>5.5</v>
      </c>
      <c r="AU64" s="568">
        <f t="shared" si="407"/>
        <v>6.5</v>
      </c>
      <c r="AV64" s="568">
        <f t="shared" si="407"/>
        <v>6.5</v>
      </c>
      <c r="AW64" s="719">
        <f>SUM(AS64:AV64)/4</f>
        <v>5.875</v>
      </c>
      <c r="AX64" s="548">
        <f t="shared" si="407"/>
        <v>17</v>
      </c>
      <c r="AY64" s="568">
        <f t="shared" si="407"/>
        <v>17</v>
      </c>
      <c r="AZ64" s="568">
        <f t="shared" si="407"/>
        <v>17</v>
      </c>
      <c r="BA64" s="568">
        <f t="shared" si="407"/>
        <v>17</v>
      </c>
      <c r="BB64" s="719">
        <f>SUM(AX64:BA64)/4</f>
        <v>17</v>
      </c>
      <c r="BC64" s="548">
        <f t="shared" si="407"/>
        <v>16</v>
      </c>
      <c r="BD64" s="568">
        <f t="shared" si="407"/>
        <v>16</v>
      </c>
      <c r="BE64" s="568">
        <f t="shared" si="407"/>
        <v>16</v>
      </c>
      <c r="BF64" s="568">
        <f t="shared" si="407"/>
        <v>16</v>
      </c>
      <c r="BG64" s="719">
        <f>SUM(BC64:BF64)/4</f>
        <v>16</v>
      </c>
      <c r="BH64" s="548">
        <f t="shared" si="407"/>
        <v>15</v>
      </c>
      <c r="BI64" s="568">
        <f t="shared" si="407"/>
        <v>15</v>
      </c>
      <c r="BJ64" s="568">
        <f t="shared" si="407"/>
        <v>15</v>
      </c>
      <c r="BK64" s="568">
        <f t="shared" si="407"/>
        <v>15</v>
      </c>
      <c r="BL64" s="719">
        <f>SUM(BH64:BK64)/4</f>
        <v>15</v>
      </c>
      <c r="BM64" s="548">
        <f t="shared" ref="BM64:BP64" si="408">SUM(BM61:BM63)</f>
        <v>6</v>
      </c>
      <c r="BN64" s="568">
        <f t="shared" si="408"/>
        <v>5</v>
      </c>
      <c r="BO64" s="568">
        <f t="shared" si="408"/>
        <v>3</v>
      </c>
      <c r="BP64" s="568">
        <f t="shared" si="408"/>
        <v>3</v>
      </c>
      <c r="BQ64" s="974">
        <f>SUM(BM64:BP64)/4</f>
        <v>4.25</v>
      </c>
      <c r="BR64" s="548">
        <f t="shared" ref="BR64:BU64" si="409">SUM(BR61:BR63)</f>
        <v>1</v>
      </c>
      <c r="BS64" s="568">
        <f t="shared" si="409"/>
        <v>1</v>
      </c>
      <c r="BT64" s="568">
        <f t="shared" si="409"/>
        <v>1</v>
      </c>
      <c r="BU64" s="568">
        <f t="shared" si="409"/>
        <v>1</v>
      </c>
      <c r="BV64" s="974">
        <f>SUM(BR64:BU64)/4</f>
        <v>1</v>
      </c>
      <c r="BW64" s="569">
        <f>SUM(BW61:BW63)</f>
        <v>1</v>
      </c>
      <c r="BX64" s="569">
        <f>SUM(BX61:BX63)</f>
        <v>1</v>
      </c>
      <c r="BY64" s="569">
        <f>SUM(BY61:BY63)</f>
        <v>1</v>
      </c>
      <c r="BZ64" s="569">
        <f t="shared" ref="BZ64:CA64" si="410">SUM(BZ61:BZ63)</f>
        <v>1</v>
      </c>
      <c r="CA64" s="569">
        <f t="shared" si="410"/>
        <v>1</v>
      </c>
      <c r="CC64" s="570"/>
      <c r="CD64" s="570"/>
      <c r="CE64" s="570"/>
      <c r="CF64" s="570"/>
      <c r="CG64" s="570"/>
      <c r="CH64" s="570"/>
      <c r="CI64" s="424">
        <f t="shared" ref="CI64:EL64" si="411">SUM(CI61:CI63)</f>
        <v>0</v>
      </c>
      <c r="CJ64" s="424">
        <f t="shared" si="411"/>
        <v>0</v>
      </c>
      <c r="CK64" s="424">
        <f t="shared" si="411"/>
        <v>0</v>
      </c>
      <c r="CL64" s="425">
        <f t="shared" si="411"/>
        <v>0</v>
      </c>
      <c r="CM64" s="424">
        <f t="shared" si="411"/>
        <v>0</v>
      </c>
      <c r="CN64" s="424">
        <f t="shared" si="411"/>
        <v>0</v>
      </c>
      <c r="CO64" s="424">
        <f t="shared" si="411"/>
        <v>0</v>
      </c>
      <c r="CP64" s="425">
        <f t="shared" si="411"/>
        <v>0</v>
      </c>
      <c r="CQ64" s="424">
        <f t="shared" si="411"/>
        <v>0</v>
      </c>
      <c r="CR64" s="424">
        <f t="shared" si="411"/>
        <v>0</v>
      </c>
      <c r="CS64" s="424">
        <f t="shared" si="411"/>
        <v>0</v>
      </c>
      <c r="CT64" s="425">
        <f t="shared" si="411"/>
        <v>0</v>
      </c>
      <c r="CU64" s="424">
        <f t="shared" si="411"/>
        <v>0</v>
      </c>
      <c r="CV64" s="424">
        <f t="shared" si="411"/>
        <v>0</v>
      </c>
      <c r="CW64" s="424">
        <f t="shared" si="411"/>
        <v>0</v>
      </c>
      <c r="CX64" s="425">
        <f t="shared" si="411"/>
        <v>0</v>
      </c>
      <c r="CY64" s="424">
        <f t="shared" si="411"/>
        <v>0</v>
      </c>
      <c r="CZ64" s="424">
        <f t="shared" si="411"/>
        <v>0</v>
      </c>
      <c r="DA64" s="424">
        <f t="shared" si="411"/>
        <v>0</v>
      </c>
      <c r="DB64" s="425">
        <f t="shared" si="411"/>
        <v>0</v>
      </c>
      <c r="DC64" s="424">
        <f t="shared" si="411"/>
        <v>0</v>
      </c>
      <c r="DD64" s="424">
        <f t="shared" si="411"/>
        <v>0</v>
      </c>
      <c r="DE64" s="424">
        <f t="shared" si="411"/>
        <v>0</v>
      </c>
      <c r="DF64" s="425">
        <f t="shared" si="411"/>
        <v>0</v>
      </c>
      <c r="DG64" s="424">
        <f t="shared" si="411"/>
        <v>0</v>
      </c>
      <c r="DH64" s="424">
        <f t="shared" si="411"/>
        <v>0</v>
      </c>
      <c r="DI64" s="424">
        <f t="shared" si="411"/>
        <v>0</v>
      </c>
      <c r="DJ64" s="425">
        <f t="shared" si="411"/>
        <v>0</v>
      </c>
      <c r="DK64" s="424">
        <f t="shared" si="411"/>
        <v>0</v>
      </c>
      <c r="DL64" s="424">
        <f t="shared" si="411"/>
        <v>0</v>
      </c>
      <c r="DM64" s="424">
        <f t="shared" si="411"/>
        <v>0</v>
      </c>
      <c r="DN64" s="425">
        <f t="shared" si="411"/>
        <v>0</v>
      </c>
      <c r="DO64" s="424">
        <f t="shared" si="411"/>
        <v>202.19813680746051</v>
      </c>
      <c r="DP64" s="424">
        <f t="shared" si="411"/>
        <v>221.43072937281158</v>
      </c>
      <c r="DQ64" s="424">
        <f t="shared" si="411"/>
        <v>259.89591450351378</v>
      </c>
      <c r="DR64" s="425">
        <f t="shared" si="411"/>
        <v>259.89591450351378</v>
      </c>
      <c r="DS64" s="423">
        <f t="shared" si="411"/>
        <v>718.90808426635147</v>
      </c>
      <c r="DT64" s="424">
        <f t="shared" si="411"/>
        <v>718.90808426635147</v>
      </c>
      <c r="DU64" s="424">
        <f t="shared" si="411"/>
        <v>718.90808426635147</v>
      </c>
      <c r="DV64" s="425">
        <f t="shared" si="411"/>
        <v>718.90808426635147</v>
      </c>
      <c r="DW64" s="423">
        <f t="shared" si="411"/>
        <v>690.88526413081422</v>
      </c>
      <c r="DX64" s="424">
        <f t="shared" si="411"/>
        <v>690.88526413081422</v>
      </c>
      <c r="DY64" s="424">
        <f t="shared" si="411"/>
        <v>690.88526413081422</v>
      </c>
      <c r="DZ64" s="425">
        <f t="shared" si="411"/>
        <v>690.88526413081422</v>
      </c>
      <c r="EA64" s="423">
        <f t="shared" si="411"/>
        <v>665.25691583882258</v>
      </c>
      <c r="EB64" s="424">
        <f t="shared" si="411"/>
        <v>665.25691583882258</v>
      </c>
      <c r="EC64" s="424">
        <f t="shared" si="411"/>
        <v>665.25691583882258</v>
      </c>
      <c r="ED64" s="425">
        <f t="shared" si="411"/>
        <v>665.25691583882258</v>
      </c>
      <c r="EE64" s="423">
        <f t="shared" si="411"/>
        <v>278.37506171623812</v>
      </c>
      <c r="EF64" s="424">
        <f t="shared" si="411"/>
        <v>233.03541756062714</v>
      </c>
      <c r="EG64" s="424">
        <f t="shared" si="411"/>
        <v>150.59970091406169</v>
      </c>
      <c r="EH64" s="425">
        <f t="shared" si="411"/>
        <v>150.59970091406169</v>
      </c>
      <c r="EI64" s="423">
        <f t="shared" si="411"/>
        <v>50.450658587698044</v>
      </c>
      <c r="EJ64" s="424">
        <f t="shared" si="411"/>
        <v>50.450658587698044</v>
      </c>
      <c r="EK64" s="424">
        <f t="shared" si="411"/>
        <v>50.450658587698044</v>
      </c>
      <c r="EL64" s="425">
        <f t="shared" si="411"/>
        <v>50.450658587698044</v>
      </c>
      <c r="EM64" s="571">
        <f>SUM(EM61:EM63)</f>
        <v>205.83868703780806</v>
      </c>
      <c r="EN64" s="571">
        <f>SUM(EN61:EN63)</f>
        <v>209.9554607785642</v>
      </c>
      <c r="EO64" s="571">
        <f>SUM(EO61:EO63)</f>
        <v>214.1545699941355</v>
      </c>
      <c r="EP64" s="571">
        <f t="shared" ref="EP64:EQ64" si="412">SUM(EP61:EP63)</f>
        <v>218.43766139401816</v>
      </c>
      <c r="EQ64" s="571">
        <f t="shared" si="412"/>
        <v>222.80641462189857</v>
      </c>
      <c r="EU64" s="571">
        <f t="shared" ref="EU64:FC64" si="413">SUM(EU61:EU63)</f>
        <v>0</v>
      </c>
      <c r="EV64" s="571">
        <f t="shared" si="413"/>
        <v>0</v>
      </c>
      <c r="EW64" s="571">
        <f t="shared" si="413"/>
        <v>0</v>
      </c>
      <c r="EX64" s="571">
        <f t="shared" si="413"/>
        <v>0</v>
      </c>
      <c r="EY64" s="571">
        <f t="shared" si="413"/>
        <v>0</v>
      </c>
      <c r="EZ64" s="571">
        <f t="shared" si="413"/>
        <v>0</v>
      </c>
      <c r="FA64" s="571">
        <f t="shared" si="413"/>
        <v>0</v>
      </c>
      <c r="FB64" s="571">
        <f t="shared" si="413"/>
        <v>0</v>
      </c>
      <c r="FC64" s="571">
        <f t="shared" si="413"/>
        <v>943.42069518729954</v>
      </c>
      <c r="FD64" s="571">
        <f>SUM(FD61:FD63)</f>
        <v>2875.6323370654059</v>
      </c>
      <c r="FE64" s="571">
        <f>SUM(FE61:FE63)</f>
        <v>2763.5410565232569</v>
      </c>
      <c r="FF64" s="571">
        <f>SUM(FF61:FF63)</f>
        <v>2661.0276633552903</v>
      </c>
      <c r="FG64" s="571">
        <f t="shared" ref="FG64:FH64" si="414">SUM(FG61:FG63)</f>
        <v>812.60988110498874</v>
      </c>
      <c r="FH64" s="571">
        <f t="shared" si="414"/>
        <v>201.80263435079218</v>
      </c>
      <c r="FI64" s="571">
        <f>SUM(FI61:FI63)</f>
        <v>205.83868703780806</v>
      </c>
      <c r="FJ64" s="571">
        <f>SUM(FJ61:FJ63)</f>
        <v>209.9554607785642</v>
      </c>
      <c r="FK64" s="571">
        <f>SUM(FK61:FK63)</f>
        <v>214.1545699941355</v>
      </c>
      <c r="FL64" s="571">
        <f t="shared" ref="FL64:FM64" si="415">SUM(FL61:FL63)</f>
        <v>218.43766139401816</v>
      </c>
      <c r="FM64" s="571">
        <f t="shared" si="415"/>
        <v>222.80641462189857</v>
      </c>
      <c r="FP64" s="571">
        <f t="shared" ref="FP64:GC64" si="416">SUM(FP61:FP63)</f>
        <v>0</v>
      </c>
      <c r="FQ64" s="571">
        <f t="shared" si="416"/>
        <v>0</v>
      </c>
      <c r="FR64" s="571">
        <f t="shared" si="416"/>
        <v>0</v>
      </c>
      <c r="FS64" s="571">
        <f t="shared" si="416"/>
        <v>0</v>
      </c>
      <c r="FT64" s="571">
        <f t="shared" si="416"/>
        <v>0</v>
      </c>
      <c r="FU64" s="571">
        <f t="shared" si="416"/>
        <v>0</v>
      </c>
      <c r="FV64" s="571">
        <f t="shared" si="416"/>
        <v>0</v>
      </c>
      <c r="FW64" s="571">
        <f t="shared" si="416"/>
        <v>0</v>
      </c>
      <c r="FX64" s="571">
        <f t="shared" si="416"/>
        <v>259.89591450351378</v>
      </c>
      <c r="FY64" s="571">
        <f>SUM(FY61:FY63)</f>
        <v>2875.6323370654059</v>
      </c>
      <c r="FZ64" s="571">
        <f>SUM(FZ61:FZ63)</f>
        <v>2763.5410565232569</v>
      </c>
      <c r="GA64" s="571">
        <f>SUM(GA61:GA63)</f>
        <v>2661.0276633552903</v>
      </c>
      <c r="GB64" s="571">
        <f t="shared" si="416"/>
        <v>812.60988110498874</v>
      </c>
      <c r="GC64" s="571">
        <f t="shared" si="416"/>
        <v>812.60988110498874</v>
      </c>
      <c r="GD64" s="571">
        <f>SUM(GD61:GD63)</f>
        <v>205.83868703780806</v>
      </c>
      <c r="GE64" s="571">
        <f>SUM(GE61:GE63)</f>
        <v>209.9554607785642</v>
      </c>
      <c r="GF64" s="571">
        <f>SUM(GF61:GF63)</f>
        <v>214.1545699941355</v>
      </c>
      <c r="GG64" s="571">
        <f t="shared" ref="GG64:GH64" si="417">SUM(GG61:GG63)</f>
        <v>218.43766139401816</v>
      </c>
      <c r="GH64" s="571">
        <f t="shared" si="417"/>
        <v>222.80641462189857</v>
      </c>
      <c r="GK64" s="423">
        <f>SUM(GK61:GK63)</f>
        <v>0</v>
      </c>
      <c r="GL64" s="424">
        <f t="shared" ref="GL64:GX64" si="418">SUM(GL61:GL63)</f>
        <v>0</v>
      </c>
      <c r="GM64" s="424">
        <f t="shared" si="418"/>
        <v>0</v>
      </c>
      <c r="GN64" s="424">
        <f t="shared" si="418"/>
        <v>0</v>
      </c>
      <c r="GO64" s="424">
        <f t="shared" si="418"/>
        <v>0</v>
      </c>
      <c r="GP64" s="424">
        <f t="shared" si="418"/>
        <v>0</v>
      </c>
      <c r="GQ64" s="424">
        <f t="shared" si="418"/>
        <v>0</v>
      </c>
      <c r="GR64" s="424">
        <f t="shared" si="418"/>
        <v>0</v>
      </c>
      <c r="GS64" s="424">
        <f t="shared" si="418"/>
        <v>943.42069518729954</v>
      </c>
      <c r="GT64" s="424">
        <f t="shared" si="418"/>
        <v>2875.6323370654059</v>
      </c>
      <c r="GU64" s="424">
        <f t="shared" si="418"/>
        <v>2763.5410565232569</v>
      </c>
      <c r="GV64" s="424">
        <f t="shared" si="418"/>
        <v>2661.0276633552903</v>
      </c>
      <c r="GW64" s="424">
        <f t="shared" si="418"/>
        <v>812.60988110498874</v>
      </c>
      <c r="GX64" s="424">
        <f t="shared" si="418"/>
        <v>201.80263435079218</v>
      </c>
      <c r="GY64" s="424">
        <f>SUM(GY61:GY63)</f>
        <v>205.83868703780806</v>
      </c>
      <c r="GZ64" s="424">
        <f>SUM(GZ61:GZ63)</f>
        <v>209.9554607785642</v>
      </c>
      <c r="HA64" s="424">
        <f>SUM(HA61:HA63)</f>
        <v>214.1545699941355</v>
      </c>
      <c r="HB64" s="424">
        <f t="shared" ref="HB64:HC64" si="419">SUM(HB61:HB63)</f>
        <v>218.43766139401816</v>
      </c>
      <c r="HC64" s="425">
        <f t="shared" si="419"/>
        <v>222.80641462189857</v>
      </c>
    </row>
    <row r="66" spans="1:4" ht="15.6" x14ac:dyDescent="0.25">
      <c r="A66" s="254" t="s">
        <v>438</v>
      </c>
      <c r="C66" s="920" t="s">
        <v>770</v>
      </c>
    </row>
    <row r="67" spans="1:4" ht="15.6" x14ac:dyDescent="0.25">
      <c r="A67" s="254" t="s">
        <v>432</v>
      </c>
      <c r="C67" s="920" t="s">
        <v>650</v>
      </c>
    </row>
    <row r="68" spans="1:4" x14ac:dyDescent="0.25">
      <c r="A68" s="254" t="s">
        <v>433</v>
      </c>
      <c r="C68" s="920" t="s">
        <v>436</v>
      </c>
    </row>
    <row r="69" spans="1:4" ht="25.5" customHeight="1" x14ac:dyDescent="0.25">
      <c r="A69" s="3406" t="s">
        <v>936</v>
      </c>
      <c r="B69" s="3406"/>
      <c r="C69" s="920">
        <v>5</v>
      </c>
    </row>
    <row r="71" spans="1:4" x14ac:dyDescent="0.25">
      <c r="A71" s="360" t="s">
        <v>34</v>
      </c>
      <c r="B71" s="382"/>
      <c r="C71" s="382"/>
      <c r="D71" s="382"/>
    </row>
    <row r="72" spans="1:4" x14ac:dyDescent="0.25">
      <c r="A72" s="383" t="s">
        <v>428</v>
      </c>
      <c r="B72" s="382"/>
      <c r="C72" s="382"/>
      <c r="D72" s="382"/>
    </row>
    <row r="73" spans="1:4" x14ac:dyDescent="0.25">
      <c r="A73" s="254" t="s">
        <v>439</v>
      </c>
      <c r="B73" s="382"/>
      <c r="C73" s="382"/>
      <c r="D73" s="382"/>
    </row>
    <row r="74" spans="1:4" x14ac:dyDescent="0.25">
      <c r="A74" s="383" t="s">
        <v>440</v>
      </c>
      <c r="B74" s="382"/>
      <c r="C74" s="382"/>
      <c r="D74" s="382"/>
    </row>
    <row r="75" spans="1:4" x14ac:dyDescent="0.25">
      <c r="A75" s="383" t="s">
        <v>935</v>
      </c>
      <c r="B75" s="382"/>
      <c r="C75" s="382"/>
      <c r="D75" s="382"/>
    </row>
    <row r="76" spans="1:4" x14ac:dyDescent="0.25">
      <c r="B76" s="382"/>
      <c r="C76" s="382"/>
      <c r="D76" s="382"/>
    </row>
    <row r="77" spans="1:4" ht="13.8" thickBot="1" x14ac:dyDescent="0.3">
      <c r="B77" s="382"/>
      <c r="C77" s="382"/>
      <c r="D77" s="382"/>
    </row>
    <row r="78" spans="1:4" x14ac:dyDescent="0.25">
      <c r="B78" s="916" t="s">
        <v>938</v>
      </c>
      <c r="C78" s="917"/>
      <c r="D78" s="382"/>
    </row>
    <row r="79" spans="1:4" x14ac:dyDescent="0.25">
      <c r="B79" s="918" t="s">
        <v>756</v>
      </c>
      <c r="C79" s="919">
        <v>0</v>
      </c>
      <c r="D79" s="382"/>
    </row>
    <row r="80" spans="1:4" x14ac:dyDescent="0.25">
      <c r="B80" s="918" t="s">
        <v>757</v>
      </c>
      <c r="C80" s="919">
        <v>1</v>
      </c>
      <c r="D80" s="382"/>
    </row>
    <row r="81" spans="2:9" x14ac:dyDescent="0.25">
      <c r="B81" s="918" t="s">
        <v>758</v>
      </c>
      <c r="C81" s="919">
        <v>2</v>
      </c>
      <c r="D81" s="382"/>
    </row>
    <row r="82" spans="2:9" x14ac:dyDescent="0.25">
      <c r="B82" s="918" t="s">
        <v>759</v>
      </c>
      <c r="C82" s="919">
        <v>3</v>
      </c>
      <c r="D82" s="382"/>
    </row>
    <row r="83" spans="2:9" x14ac:dyDescent="0.25">
      <c r="B83" s="941" t="s">
        <v>939</v>
      </c>
      <c r="C83" s="942">
        <v>4</v>
      </c>
      <c r="D83" s="382"/>
    </row>
    <row r="84" spans="2:9" ht="13.8" thickBot="1" x14ac:dyDescent="0.3">
      <c r="B84" s="943" t="s">
        <v>945</v>
      </c>
      <c r="C84" s="944">
        <v>5</v>
      </c>
      <c r="D84" s="382"/>
    </row>
    <row r="85" spans="2:9" x14ac:dyDescent="0.25">
      <c r="I85" s="254"/>
    </row>
    <row r="86" spans="2:9" x14ac:dyDescent="0.25">
      <c r="B86" s="382"/>
      <c r="C86" s="382"/>
      <c r="D86" s="382"/>
    </row>
  </sheetData>
  <mergeCells count="16">
    <mergeCell ref="A69:B69"/>
    <mergeCell ref="GK58:GZ58"/>
    <mergeCell ref="AN8:AR8"/>
    <mergeCell ref="E8:I8"/>
    <mergeCell ref="J8:N8"/>
    <mergeCell ref="O8:S8"/>
    <mergeCell ref="T8:X8"/>
    <mergeCell ref="Y8:AC8"/>
    <mergeCell ref="AD8:AH8"/>
    <mergeCell ref="AI8:AM8"/>
    <mergeCell ref="AS8:AW8"/>
    <mergeCell ref="AX8:BB8"/>
    <mergeCell ref="BC8:BG8"/>
    <mergeCell ref="BH8:BL8"/>
    <mergeCell ref="BM8:BQ8"/>
    <mergeCell ref="BR8:BV8"/>
  </mergeCells>
  <phoneticPr fontId="0" type="noConversion"/>
  <dataValidations count="4">
    <dataValidation type="list" allowBlank="1" showInputMessage="1" showErrorMessage="1" sqref="C68" xr:uid="{00000000-0002-0000-1000-000000000000}">
      <formula1>"YES,NO"</formula1>
    </dataValidation>
    <dataValidation type="list" allowBlank="1" showInputMessage="1" showErrorMessage="1" sqref="C66" xr:uid="{00000000-0002-0000-1000-000001000000}">
      <formula1>$EU$8:$FM$8</formula1>
    </dataValidation>
    <dataValidation type="list" allowBlank="1" showInputMessage="1" showErrorMessage="1" sqref="C67" xr:uid="{00000000-0002-0000-1000-000002000000}">
      <formula1>"Q1,Q2,Q3,Q4"</formula1>
    </dataValidation>
    <dataValidation type="list" showInputMessage="1" showErrorMessage="1" sqref="C69" xr:uid="{00000000-0002-0000-1000-000003000000}">
      <formula1>$C$79:$C$84</formula1>
    </dataValidation>
  </dataValidations>
  <pageMargins left="0.25" right="0.25" top="0.45" bottom="0.36" header="0.5" footer="0.5"/>
  <pageSetup scale="48" fitToWidth="4" orientation="landscape" r:id="rId1"/>
  <headerFooter alignWithMargins="0"/>
  <colBreaks count="3" manualBreakCount="3">
    <brk id="80" max="1048575" man="1"/>
    <brk id="150" max="1048575" man="1"/>
    <brk id="191" max="1048575" man="1"/>
  </colBreak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indexed="12"/>
    <pageSetUpPr fitToPage="1"/>
  </sheetPr>
  <dimension ref="A1:AN47"/>
  <sheetViews>
    <sheetView showGridLines="0" zoomScale="60" zoomScaleNormal="60" workbookViewId="0">
      <pane xSplit="4" ySplit="7" topLeftCell="M8" activePane="bottomRight" state="frozen"/>
      <selection pane="topRight" activeCell="E1" sqref="E1"/>
      <selection pane="bottomLeft" activeCell="A8" sqref="A8"/>
      <selection pane="bottomRight" activeCell="T61" sqref="T61"/>
    </sheetView>
  </sheetViews>
  <sheetFormatPr defaultRowHeight="13.2" x14ac:dyDescent="0.25"/>
  <cols>
    <col min="1" max="1" width="0.33203125" customWidth="1"/>
    <col min="2" max="2" width="16.88671875" customWidth="1"/>
    <col min="3" max="3" width="29.5546875" customWidth="1"/>
    <col min="4" max="4" width="9.6640625" customWidth="1"/>
    <col min="5" max="5" width="8.44140625" style="72" hidden="1" customWidth="1"/>
    <col min="6" max="6" width="9.44140625" style="72" hidden="1" customWidth="1"/>
    <col min="7" max="7" width="8.6640625" style="72" hidden="1" customWidth="1"/>
    <col min="8" max="9" width="9.88671875" hidden="1" customWidth="1"/>
    <col min="10" max="10" width="10.44140625" hidden="1" customWidth="1"/>
    <col min="11" max="12" width="10.33203125" hidden="1" customWidth="1"/>
    <col min="13" max="14" width="10.33203125" bestFit="1" customWidth="1"/>
    <col min="15" max="15" width="14.44140625" customWidth="1"/>
    <col min="16" max="16" width="11.44140625" bestFit="1" customWidth="1"/>
    <col min="17" max="19" width="13.88671875" bestFit="1" customWidth="1"/>
    <col min="20" max="23" width="15.109375" bestFit="1" customWidth="1"/>
    <col min="24" max="32" width="15.109375" customWidth="1"/>
  </cols>
  <sheetData>
    <row r="1" spans="1:40" ht="15.6" x14ac:dyDescent="0.3">
      <c r="A1" s="2" t="s">
        <v>692</v>
      </c>
      <c r="D1" s="72"/>
    </row>
    <row r="3" spans="1:40" x14ac:dyDescent="0.25">
      <c r="A3" s="87" t="s">
        <v>662</v>
      </c>
      <c r="B3" s="84" t="s">
        <v>662</v>
      </c>
      <c r="C3" s="136">
        <f>'Basic Project Info'!B8</f>
        <v>0</v>
      </c>
    </row>
    <row r="4" spans="1:40" x14ac:dyDescent="0.25">
      <c r="A4" s="88" t="s">
        <v>718</v>
      </c>
      <c r="B4" s="84" t="s">
        <v>110</v>
      </c>
      <c r="C4" s="136">
        <f>'Basic Project Info'!B4</f>
        <v>0</v>
      </c>
    </row>
    <row r="5" spans="1:40" x14ac:dyDescent="0.25">
      <c r="A5" s="16"/>
      <c r="B5" s="4"/>
      <c r="C5" s="51"/>
      <c r="D5" s="3"/>
    </row>
    <row r="6" spans="1:40" ht="15.6" x14ac:dyDescent="0.3">
      <c r="B6" s="25" t="s">
        <v>700</v>
      </c>
      <c r="C6" s="25"/>
      <c r="F6" s="79" t="s">
        <v>701</v>
      </c>
    </row>
    <row r="7" spans="1:40" ht="13.8" thickBot="1" x14ac:dyDescent="0.3">
      <c r="E7" s="259" t="s">
        <v>685</v>
      </c>
      <c r="F7" s="259" t="s">
        <v>686</v>
      </c>
      <c r="G7" s="259" t="s">
        <v>687</v>
      </c>
      <c r="H7" s="259" t="s">
        <v>711</v>
      </c>
      <c r="I7" s="259" t="s">
        <v>719</v>
      </c>
      <c r="J7" s="259" t="s">
        <v>444</v>
      </c>
      <c r="K7" s="259" t="s">
        <v>445</v>
      </c>
      <c r="L7" s="259" t="s">
        <v>722</v>
      </c>
      <c r="M7" s="259" t="s">
        <v>770</v>
      </c>
      <c r="N7" s="259" t="s">
        <v>790</v>
      </c>
      <c r="O7" s="259" t="s">
        <v>803</v>
      </c>
      <c r="P7" s="259" t="s">
        <v>804</v>
      </c>
      <c r="Q7" s="259" t="s">
        <v>946</v>
      </c>
      <c r="R7" s="259" t="s">
        <v>948</v>
      </c>
      <c r="S7" s="259" t="s">
        <v>949</v>
      </c>
      <c r="T7" s="259" t="s">
        <v>965</v>
      </c>
      <c r="U7" s="259" t="s">
        <v>966</v>
      </c>
      <c r="V7" s="259" t="s">
        <v>967</v>
      </c>
      <c r="W7" s="259" t="s">
        <v>968</v>
      </c>
      <c r="X7" s="259" t="s">
        <v>979</v>
      </c>
      <c r="Y7" s="259" t="s">
        <v>980</v>
      </c>
      <c r="Z7" s="259" t="s">
        <v>981</v>
      </c>
      <c r="AA7" s="259" t="s">
        <v>982</v>
      </c>
      <c r="AB7" s="259" t="s">
        <v>983</v>
      </c>
      <c r="AC7" s="259" t="s">
        <v>984</v>
      </c>
      <c r="AD7" s="259" t="s">
        <v>2511</v>
      </c>
      <c r="AE7" s="259" t="s">
        <v>2512</v>
      </c>
      <c r="AF7" s="259" t="s">
        <v>2513</v>
      </c>
    </row>
    <row r="8" spans="1:40" ht="13.8" thickTop="1" x14ac:dyDescent="0.25">
      <c r="B8" s="36" t="s">
        <v>688</v>
      </c>
      <c r="C8" s="36"/>
      <c r="D8" s="3"/>
      <c r="E8" s="475">
        <f>'REV Worksheet'!H46</f>
        <v>0</v>
      </c>
      <c r="F8" s="475">
        <f>'REV Worksheet'!I46</f>
        <v>0</v>
      </c>
      <c r="G8" s="475">
        <f>'REV Worksheet'!J46</f>
        <v>0</v>
      </c>
      <c r="H8" s="475">
        <f>'REV Worksheet'!K46</f>
        <v>0</v>
      </c>
      <c r="I8" s="475">
        <f>'REV Worksheet'!L46</f>
        <v>0</v>
      </c>
      <c r="J8" s="475">
        <f>'REV Worksheet'!M46</f>
        <v>0</v>
      </c>
      <c r="K8" s="475">
        <f>'REV Worksheet'!N46</f>
        <v>0</v>
      </c>
      <c r="L8" s="475">
        <f>'REV Worksheet'!O46</f>
        <v>0</v>
      </c>
      <c r="M8" s="475">
        <f>'REV Worksheet'!P46</f>
        <v>0</v>
      </c>
      <c r="N8" s="475">
        <f>'REV Worksheet'!Q46</f>
        <v>0</v>
      </c>
      <c r="O8" s="475">
        <f>'REV Worksheet'!R46</f>
        <v>0</v>
      </c>
      <c r="P8" s="475">
        <f>'REV Worksheet'!S46</f>
        <v>0</v>
      </c>
      <c r="Q8" s="475">
        <f>'REV Worksheet'!T46</f>
        <v>0</v>
      </c>
      <c r="R8" s="475">
        <f>'REV Worksheet'!U46</f>
        <v>16667.203805107201</v>
      </c>
      <c r="S8" s="475">
        <f>'REV Worksheet'!V46</f>
        <v>38568.729451259293</v>
      </c>
      <c r="T8" s="475">
        <f>'REV Worksheet'!W46</f>
        <v>73523.96947665418</v>
      </c>
      <c r="U8" s="475">
        <f>'REV Worksheet'!X46</f>
        <v>110318.99500952553</v>
      </c>
      <c r="V8" s="475">
        <f>'REV Worksheet'!Y46</f>
        <v>137341.0538147593</v>
      </c>
      <c r="W8" s="475">
        <f>'REV Worksheet'!Z46</f>
        <v>152865.10012769504</v>
      </c>
      <c r="X8" s="475">
        <f>'REV Worksheet'!AA46</f>
        <v>165744.56703901544</v>
      </c>
      <c r="Y8" s="475">
        <f>'REV Worksheet'!AB46</f>
        <v>190189.87253450209</v>
      </c>
      <c r="Z8" s="475">
        <f>'REV Worksheet'!AC46</f>
        <v>198826.88370596603</v>
      </c>
      <c r="AA8" s="475">
        <f>'REV Worksheet'!AD46</f>
        <v>239308.0372285007</v>
      </c>
      <c r="AB8" s="475">
        <f>'REV Worksheet'!AE46</f>
        <v>268535.02227712964</v>
      </c>
      <c r="AC8" s="475">
        <f>'REV Worksheet'!AF46</f>
        <v>308703.14307628642</v>
      </c>
      <c r="AD8" s="475">
        <f>'REV Worksheet'!AG46</f>
        <v>269220.0110768294</v>
      </c>
      <c r="AE8" s="475">
        <f>'REV Worksheet'!AH46</f>
        <v>260874.19073344767</v>
      </c>
      <c r="AF8" s="475">
        <f>'REV Worksheet'!AI46</f>
        <v>252787.09082071082</v>
      </c>
      <c r="AG8" s="295" t="s">
        <v>330</v>
      </c>
      <c r="AH8" s="18"/>
      <c r="AI8" s="18"/>
      <c r="AJ8" s="18"/>
      <c r="AK8" s="18"/>
      <c r="AL8" s="18"/>
      <c r="AM8" s="18"/>
      <c r="AN8" s="18"/>
    </row>
    <row r="9" spans="1:40" ht="15" customHeight="1" x14ac:dyDescent="0.25">
      <c r="B9" s="89" t="s">
        <v>2</v>
      </c>
      <c r="C9" s="89"/>
      <c r="D9" s="83"/>
      <c r="E9" s="476">
        <f>SUM('COGS Worksheet'!F41:F43)</f>
        <v>0</v>
      </c>
      <c r="F9" s="476">
        <f>SUM('COGS Worksheet'!G41:G43)</f>
        <v>0</v>
      </c>
      <c r="G9" s="476">
        <f>SUM('COGS Worksheet'!H41:H43)</f>
        <v>0</v>
      </c>
      <c r="H9" s="476">
        <f>SUM('COGS Worksheet'!I41:I43)</f>
        <v>0</v>
      </c>
      <c r="I9" s="476">
        <f>SUM('COGS Worksheet'!J41:J43)</f>
        <v>0</v>
      </c>
      <c r="J9" s="476">
        <f>SUM('COGS Worksheet'!K41:K43)</f>
        <v>0</v>
      </c>
      <c r="K9" s="476">
        <f>SUM('COGS Worksheet'!L41:L43)</f>
        <v>0</v>
      </c>
      <c r="L9" s="476">
        <f>SUM('COGS Worksheet'!M41:M43)</f>
        <v>0</v>
      </c>
      <c r="M9" s="476">
        <f>SUM('COGS Worksheet'!N41:N43)</f>
        <v>0</v>
      </c>
      <c r="N9" s="476">
        <f>SUM('COGS Worksheet'!O41:O43)</f>
        <v>0</v>
      </c>
      <c r="O9" s="476">
        <f>SUM('COGS Worksheet'!P41:P43)</f>
        <v>0</v>
      </c>
      <c r="P9" s="476">
        <f>SUM('COGS Worksheet'!Q41:Q43)</f>
        <v>0</v>
      </c>
      <c r="Q9" s="476">
        <f>SUM('COGS Worksheet'!R41:R43)</f>
        <v>0</v>
      </c>
      <c r="R9" s="476">
        <f>SUM('COGS Worksheet'!S41:S43)</f>
        <v>4910.06814799104</v>
      </c>
      <c r="S9" s="476">
        <f>SUM('COGS Worksheet'!T41:T43)</f>
        <v>11698.892563884183</v>
      </c>
      <c r="T9" s="476">
        <f>SUM('COGS Worksheet'!U41:U43)</f>
        <v>22368.383574590458</v>
      </c>
      <c r="U9" s="476">
        <f>SUM('COGS Worksheet'!V41:V43)</f>
        <v>33659.483422105237</v>
      </c>
      <c r="V9" s="476">
        <f>SUM('COGS Worksheet'!W41:W43)</f>
        <v>42194.943300629529</v>
      </c>
      <c r="W9" s="476">
        <f>SUM('COGS Worksheet'!X41:X43)</f>
        <v>47128.704363602359</v>
      </c>
      <c r="X9" s="476">
        <f>SUM('COGS Worksheet'!Y41:Y43)</f>
        <v>53019.586338411646</v>
      </c>
      <c r="Y9" s="476">
        <f>SUM('COGS Worksheet'!Z41:Z43)</f>
        <v>59927.682727453765</v>
      </c>
      <c r="Z9" s="476">
        <f>SUM('COGS Worksheet'!AA41:AA43)</f>
        <v>64900.019454034948</v>
      </c>
      <c r="AA9" s="476">
        <f>SUM('COGS Worksheet'!AB41:AB43)</f>
        <v>73945.751130874429</v>
      </c>
      <c r="AB9" s="476">
        <f>SUM('COGS Worksheet'!AC41:AC43)</f>
        <v>86050.724936225597</v>
      </c>
      <c r="AC9" s="476">
        <f>SUM('COGS Worksheet'!AD41:AD43)</f>
        <v>99177.233202950098</v>
      </c>
      <c r="AD9" s="476">
        <f>SUM('COGS Worksheet'!AE41:AE43)</f>
        <v>89627.752653588046</v>
      </c>
      <c r="AE9" s="476">
        <f>SUM('COGS Worksheet'!AF41:AF43)</f>
        <v>90047.285650167963</v>
      </c>
      <c r="AF9" s="476">
        <f>SUM('COGS Worksheet'!AG41:AG43)</f>
        <v>90517.772990430763</v>
      </c>
      <c r="AG9" s="295" t="s">
        <v>329</v>
      </c>
      <c r="AH9" s="18"/>
      <c r="AI9" s="18"/>
      <c r="AJ9" s="18"/>
      <c r="AK9" s="18"/>
      <c r="AL9" s="18"/>
      <c r="AM9" s="18"/>
      <c r="AN9" s="18"/>
    </row>
    <row r="10" spans="1:40" x14ac:dyDescent="0.25">
      <c r="B10" s="86" t="s">
        <v>659</v>
      </c>
      <c r="C10" s="86"/>
      <c r="D10" s="91"/>
      <c r="E10" s="92">
        <f>E8-E9</f>
        <v>0</v>
      </c>
      <c r="F10" s="92">
        <f t="shared" ref="F10:R10" si="0">F8-F9</f>
        <v>0</v>
      </c>
      <c r="G10" s="92">
        <f t="shared" si="0"/>
        <v>0</v>
      </c>
      <c r="H10" s="92">
        <f t="shared" si="0"/>
        <v>0</v>
      </c>
      <c r="I10" s="92">
        <f t="shared" si="0"/>
        <v>0</v>
      </c>
      <c r="J10" s="92">
        <f t="shared" si="0"/>
        <v>0</v>
      </c>
      <c r="K10" s="92">
        <f t="shared" si="0"/>
        <v>0</v>
      </c>
      <c r="L10" s="92">
        <f t="shared" si="0"/>
        <v>0</v>
      </c>
      <c r="M10" s="92">
        <f t="shared" si="0"/>
        <v>0</v>
      </c>
      <c r="N10" s="92">
        <f t="shared" si="0"/>
        <v>0</v>
      </c>
      <c r="O10" s="92">
        <f t="shared" si="0"/>
        <v>0</v>
      </c>
      <c r="P10" s="92">
        <f t="shared" si="0"/>
        <v>0</v>
      </c>
      <c r="Q10" s="92">
        <f t="shared" si="0"/>
        <v>0</v>
      </c>
      <c r="R10" s="92">
        <f t="shared" si="0"/>
        <v>11757.135657116161</v>
      </c>
      <c r="S10" s="92">
        <f>S8-S9</f>
        <v>26869.83688737511</v>
      </c>
      <c r="T10" s="92">
        <f>T8-T9</f>
        <v>51155.585902063722</v>
      </c>
      <c r="U10" s="92">
        <f>U8-U9</f>
        <v>76659.511587420304</v>
      </c>
      <c r="V10" s="92">
        <f t="shared" ref="V10:AC10" si="1">V8-V9</f>
        <v>95146.110514129774</v>
      </c>
      <c r="W10" s="92">
        <f t="shared" si="1"/>
        <v>105736.39576409268</v>
      </c>
      <c r="X10" s="92">
        <f t="shared" si="1"/>
        <v>112724.9807006038</v>
      </c>
      <c r="Y10" s="92">
        <f t="shared" si="1"/>
        <v>130262.18980704833</v>
      </c>
      <c r="Z10" s="92">
        <f t="shared" si="1"/>
        <v>133926.86425193108</v>
      </c>
      <c r="AA10" s="92">
        <f t="shared" si="1"/>
        <v>165362.28609762626</v>
      </c>
      <c r="AB10" s="92">
        <f t="shared" si="1"/>
        <v>182484.29734090404</v>
      </c>
      <c r="AC10" s="92">
        <f t="shared" si="1"/>
        <v>209525.90987333632</v>
      </c>
      <c r="AD10" s="92">
        <f t="shared" ref="AD10:AE10" si="2">AD8-AD9</f>
        <v>179592.25842324135</v>
      </c>
      <c r="AE10" s="92">
        <f t="shared" si="2"/>
        <v>170826.90508327971</v>
      </c>
      <c r="AF10" s="92">
        <f t="shared" ref="AF10" si="3">AF8-AF9</f>
        <v>162269.31783028005</v>
      </c>
      <c r="AG10" s="18"/>
      <c r="AH10" s="18"/>
      <c r="AI10" s="18"/>
      <c r="AJ10" s="18"/>
      <c r="AK10" s="18"/>
      <c r="AL10" s="18"/>
      <c r="AM10" s="18"/>
      <c r="AN10" s="18"/>
    </row>
    <row r="11" spans="1:40" x14ac:dyDescent="0.25">
      <c r="B11" s="16"/>
      <c r="C11" s="16"/>
      <c r="D11" s="40" t="s">
        <v>689</v>
      </c>
      <c r="E11" s="23" t="str">
        <f>IF(E8=0, "n/a", E10/E8)</f>
        <v>n/a</v>
      </c>
      <c r="F11" s="23" t="str">
        <f t="shared" ref="F11:R11" si="4">IF(F8=0, "n/a", F10/F8)</f>
        <v>n/a</v>
      </c>
      <c r="G11" s="23" t="str">
        <f t="shared" si="4"/>
        <v>n/a</v>
      </c>
      <c r="H11" s="23" t="str">
        <f t="shared" si="4"/>
        <v>n/a</v>
      </c>
      <c r="I11" s="23" t="str">
        <f t="shared" si="4"/>
        <v>n/a</v>
      </c>
      <c r="J11" s="23" t="str">
        <f t="shared" si="4"/>
        <v>n/a</v>
      </c>
      <c r="K11" s="23" t="str">
        <f t="shared" si="4"/>
        <v>n/a</v>
      </c>
      <c r="L11" s="23" t="str">
        <f t="shared" si="4"/>
        <v>n/a</v>
      </c>
      <c r="M11" s="23" t="str">
        <f t="shared" si="4"/>
        <v>n/a</v>
      </c>
      <c r="N11" s="23" t="str">
        <f t="shared" si="4"/>
        <v>n/a</v>
      </c>
      <c r="O11" s="23" t="str">
        <f t="shared" si="4"/>
        <v>n/a</v>
      </c>
      <c r="P11" s="23" t="str">
        <f t="shared" si="4"/>
        <v>n/a</v>
      </c>
      <c r="Q11" s="23" t="str">
        <f t="shared" si="4"/>
        <v>n/a</v>
      </c>
      <c r="R11" s="23">
        <f t="shared" si="4"/>
        <v>0.70540540540540542</v>
      </c>
      <c r="S11" s="23">
        <f>IF(S8=0, "n/a", S10/S8)</f>
        <v>0.69667415208301064</v>
      </c>
      <c r="T11" s="23">
        <f>IF(T8=0, "n/a", T10/T8)</f>
        <v>0.69576746557878633</v>
      </c>
      <c r="U11" s="23">
        <f>IF(U8=0, "n/a", U10/U8)</f>
        <v>0.694889502762431</v>
      </c>
      <c r="V11" s="23">
        <f t="shared" ref="V11:AC11" si="5">IF(V8=0, "n/a", V10/V8)</f>
        <v>0.69277253866465482</v>
      </c>
      <c r="W11" s="23">
        <f t="shared" si="5"/>
        <v>0.69169742260179956</v>
      </c>
      <c r="X11" s="23">
        <f t="shared" si="5"/>
        <v>0.68011267406471854</v>
      </c>
      <c r="Y11" s="23">
        <f t="shared" si="5"/>
        <v>0.68490602612616835</v>
      </c>
      <c r="Z11" s="23">
        <f t="shared" si="5"/>
        <v>0.67358529065912454</v>
      </c>
      <c r="AA11" s="23">
        <f t="shared" si="5"/>
        <v>0.69100180676226874</v>
      </c>
      <c r="AB11" s="23">
        <f t="shared" si="5"/>
        <v>0.67955492655471672</v>
      </c>
      <c r="AC11" s="23">
        <f t="shared" si="5"/>
        <v>0.67872943496904559</v>
      </c>
      <c r="AD11" s="23">
        <f t="shared" ref="AD11:AE11" si="6">IF(AD8=0, "n/a", AD10/AD8)</f>
        <v>0.66708361575689012</v>
      </c>
      <c r="AE11" s="23">
        <f t="shared" si="6"/>
        <v>0.65482485869146323</v>
      </c>
      <c r="AF11" s="23">
        <f t="shared" ref="AF11" si="7">IF(AF8=0, "n/a", AF10/AF8)</f>
        <v>0.64192090388575074</v>
      </c>
      <c r="AG11" s="26"/>
      <c r="AH11" s="18"/>
      <c r="AI11" s="18"/>
      <c r="AJ11" s="18"/>
      <c r="AK11" s="18"/>
      <c r="AL11" s="18"/>
      <c r="AM11" s="18"/>
      <c r="AN11" s="18"/>
    </row>
    <row r="12" spans="1:40" ht="15.6" x14ac:dyDescent="0.3">
      <c r="B12" s="25" t="s">
        <v>699</v>
      </c>
      <c r="C12" s="25"/>
      <c r="D12" s="22"/>
      <c r="E12" s="73"/>
      <c r="F12" s="73"/>
      <c r="G12" s="7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6"/>
      <c r="AH12" s="18"/>
      <c r="AI12" s="18"/>
      <c r="AJ12" s="18"/>
      <c r="AK12" s="18"/>
      <c r="AL12" s="18"/>
      <c r="AM12" s="18"/>
      <c r="AN12" s="18"/>
    </row>
    <row r="13" spans="1:40" ht="22.65" customHeight="1" x14ac:dyDescent="0.25">
      <c r="B13" s="1" t="s">
        <v>435</v>
      </c>
      <c r="C13" s="1"/>
      <c r="D13" s="22"/>
      <c r="E13" s="78"/>
      <c r="F13" s="78"/>
      <c r="G13" s="78"/>
      <c r="H13" s="98"/>
      <c r="I13" s="98"/>
      <c r="J13" s="98"/>
      <c r="K13" s="98"/>
      <c r="L13" s="98"/>
      <c r="M13" s="98"/>
      <c r="N13" s="98"/>
      <c r="O13" s="98"/>
      <c r="P13" s="98"/>
      <c r="Q13" s="98"/>
      <c r="R13" s="98"/>
      <c r="S13" s="98"/>
      <c r="T13" s="98"/>
      <c r="U13" s="98"/>
      <c r="V13" s="98"/>
      <c r="W13" s="98"/>
      <c r="X13" s="98"/>
      <c r="Y13" s="98"/>
      <c r="Z13" s="98"/>
      <c r="AA13" s="98"/>
      <c r="AB13" s="98"/>
      <c r="AC13" s="98"/>
      <c r="AD13" s="98"/>
      <c r="AE13" s="98"/>
      <c r="AF13" s="98"/>
      <c r="AG13" s="18"/>
      <c r="AH13" s="18"/>
      <c r="AI13" s="18"/>
      <c r="AJ13" s="18"/>
      <c r="AK13" s="18"/>
      <c r="AL13" s="18"/>
      <c r="AM13" s="18"/>
      <c r="AN13" s="18"/>
    </row>
    <row r="14" spans="1:40" x14ac:dyDescent="0.25">
      <c r="B14" s="14" t="s">
        <v>646</v>
      </c>
      <c r="C14" s="46"/>
      <c r="D14" s="22"/>
      <c r="E14" s="333">
        <f>FTEs!GK61+FTEs!GK63</f>
        <v>0</v>
      </c>
      <c r="F14" s="333">
        <f>FTEs!GL61+FTEs!GL63</f>
        <v>0</v>
      </c>
      <c r="G14" s="333">
        <f>FTEs!GM61+FTEs!GM63</f>
        <v>0</v>
      </c>
      <c r="H14" s="333">
        <f>FTEs!GN61+FTEs!GN63</f>
        <v>0</v>
      </c>
      <c r="I14" s="333">
        <f>FTEs!GO61+FTEs!GO63</f>
        <v>0</v>
      </c>
      <c r="J14" s="333">
        <f>FTEs!GP61+FTEs!GP63</f>
        <v>0</v>
      </c>
      <c r="K14" s="333">
        <f>FTEs!GQ61+FTEs!GQ63</f>
        <v>0</v>
      </c>
      <c r="L14" s="333">
        <f>FTEs!GR61+FTEs!GR63</f>
        <v>0</v>
      </c>
      <c r="M14" s="333">
        <f>FTEs!GS61+FTEs!GS63</f>
        <v>943.42069518729954</v>
      </c>
      <c r="N14" s="333">
        <f>FTEs!GT61+FTEs!GT63</f>
        <v>2875.6323370654059</v>
      </c>
      <c r="O14" s="333">
        <f>FTEs!GU61+FTEs!GU63</f>
        <v>2763.5410565232569</v>
      </c>
      <c r="P14" s="333">
        <f>FTEs!GV61+FTEs!GV63</f>
        <v>2661.0276633552903</v>
      </c>
      <c r="Q14" s="333">
        <f>FTEs!GW61+FTEs!GW63</f>
        <v>812.60988110498874</v>
      </c>
      <c r="R14" s="333">
        <f>FTEs!GX61+FTEs!GX63</f>
        <v>201.80263435079218</v>
      </c>
      <c r="S14" s="333">
        <f>FTEs!GY61+FTEs!GY63</f>
        <v>205.83868703780806</v>
      </c>
      <c r="T14" s="333">
        <f>FTEs!GZ61+FTEs!GZ63</f>
        <v>209.9554607785642</v>
      </c>
      <c r="U14" s="333">
        <f>FTEs!HA61+FTEs!HA63</f>
        <v>214.1545699941355</v>
      </c>
      <c r="V14" s="333">
        <f>FTEs!HB61+FTEs!HB63</f>
        <v>218.43766139401816</v>
      </c>
      <c r="W14" s="333">
        <f>FTEs!HC61+FTEs!HC63</f>
        <v>222.80641462189857</v>
      </c>
      <c r="X14" s="333">
        <f>FTEs!HD61+FTEs!HD63</f>
        <v>0</v>
      </c>
      <c r="Y14" s="333">
        <f>FTEs!HE61+FTEs!HE63</f>
        <v>0</v>
      </c>
      <c r="Z14" s="333">
        <f>FTEs!HF61+FTEs!HF63</f>
        <v>0</v>
      </c>
      <c r="AA14" s="333">
        <f>FTEs!HG61+FTEs!HG63</f>
        <v>0</v>
      </c>
      <c r="AB14" s="333">
        <f>FTEs!HH61+FTEs!HH63</f>
        <v>0</v>
      </c>
      <c r="AC14" s="333">
        <f>FTEs!HI61+FTEs!HI63</f>
        <v>0</v>
      </c>
      <c r="AD14" s="333">
        <f>FTEs!HJ61+FTEs!HJ63</f>
        <v>0</v>
      </c>
      <c r="AE14" s="333">
        <f>FTEs!HK61+FTEs!HK63</f>
        <v>0</v>
      </c>
      <c r="AF14" s="333">
        <f>FTEs!HL61+FTEs!HL63</f>
        <v>0</v>
      </c>
      <c r="AG14" s="295" t="s">
        <v>282</v>
      </c>
      <c r="AH14" s="18"/>
      <c r="AI14" s="18"/>
      <c r="AJ14" s="18"/>
      <c r="AK14" s="18"/>
      <c r="AL14" s="18"/>
      <c r="AM14" s="18"/>
      <c r="AN14" s="18"/>
    </row>
    <row r="15" spans="1:40" x14ac:dyDescent="0.25">
      <c r="B15" s="19" t="s">
        <v>714</v>
      </c>
      <c r="C15" s="47"/>
      <c r="D15" s="22"/>
      <c r="E15" s="334"/>
      <c r="F15" s="94"/>
      <c r="G15" s="334"/>
      <c r="H15" s="334"/>
      <c r="I15" s="334"/>
      <c r="J15" s="334"/>
      <c r="K15" s="334"/>
      <c r="L15" s="334"/>
      <c r="M15" s="334"/>
      <c r="N15" s="1020">
        <v>500</v>
      </c>
      <c r="O15" s="1020">
        <v>500</v>
      </c>
      <c r="P15" s="1020">
        <v>500</v>
      </c>
      <c r="Q15" s="1020">
        <v>500</v>
      </c>
      <c r="R15" s="1020">
        <v>500</v>
      </c>
      <c r="S15" s="334"/>
      <c r="T15" s="334"/>
      <c r="U15" s="334"/>
      <c r="V15" s="334"/>
      <c r="W15" s="334"/>
      <c r="X15" s="335"/>
      <c r="Y15" s="335"/>
      <c r="Z15" s="335"/>
      <c r="AA15" s="335"/>
      <c r="AB15" s="335"/>
      <c r="AC15" s="335"/>
      <c r="AD15" s="335"/>
      <c r="AE15" s="335"/>
      <c r="AF15" s="335"/>
      <c r="AG15" s="18"/>
      <c r="AH15" s="18"/>
      <c r="AI15" s="18"/>
      <c r="AJ15" s="18"/>
      <c r="AK15" s="18"/>
      <c r="AL15" s="18"/>
      <c r="AM15" s="18"/>
      <c r="AN15" s="18"/>
    </row>
    <row r="16" spans="1:40" x14ac:dyDescent="0.25">
      <c r="B16" s="8" t="s">
        <v>1019</v>
      </c>
      <c r="C16" s="12"/>
      <c r="D16" s="22"/>
      <c r="E16" s="335"/>
      <c r="F16" s="90"/>
      <c r="G16" s="335"/>
      <c r="H16" s="335"/>
      <c r="I16" s="335"/>
      <c r="J16" s="335"/>
      <c r="K16" s="335"/>
      <c r="L16" s="335"/>
      <c r="M16" s="1027">
        <v>1250</v>
      </c>
      <c r="N16" s="1027">
        <v>0</v>
      </c>
      <c r="O16" s="1027">
        <v>1000</v>
      </c>
      <c r="P16" s="1027">
        <v>1000</v>
      </c>
      <c r="Q16" s="1027">
        <v>1000</v>
      </c>
      <c r="R16" s="1027">
        <v>750</v>
      </c>
      <c r="S16" s="335"/>
      <c r="T16" s="335"/>
      <c r="U16" s="335"/>
      <c r="V16" s="335"/>
      <c r="W16" s="335"/>
      <c r="X16" s="335"/>
      <c r="Y16" s="335"/>
      <c r="Z16" s="335"/>
      <c r="AA16" s="335"/>
      <c r="AB16" s="335"/>
      <c r="AC16" s="335"/>
      <c r="AD16" s="335"/>
      <c r="AE16" s="335"/>
      <c r="AF16" s="335"/>
      <c r="AG16" s="18"/>
      <c r="AH16" s="18"/>
      <c r="AI16" s="18"/>
      <c r="AJ16" s="18"/>
      <c r="AK16" s="18"/>
      <c r="AL16" s="18"/>
      <c r="AM16" s="18"/>
      <c r="AN16" s="18"/>
    </row>
    <row r="17" spans="2:40" x14ac:dyDescent="0.25">
      <c r="B17" s="8" t="s">
        <v>4</v>
      </c>
      <c r="C17" s="8"/>
      <c r="D17" s="22"/>
      <c r="E17" s="335"/>
      <c r="F17" s="90"/>
      <c r="G17" s="335"/>
      <c r="H17" s="335"/>
      <c r="I17" s="335"/>
      <c r="J17" s="335"/>
      <c r="K17" s="335"/>
      <c r="L17" s="335"/>
      <c r="M17" s="1011">
        <v>75</v>
      </c>
      <c r="N17" s="1011">
        <v>75</v>
      </c>
      <c r="O17" s="1011">
        <v>75</v>
      </c>
      <c r="P17" s="1011">
        <v>75</v>
      </c>
      <c r="Q17" s="1011">
        <v>50</v>
      </c>
      <c r="R17" s="335"/>
      <c r="S17" s="335"/>
      <c r="T17" s="335"/>
      <c r="U17" s="335"/>
      <c r="V17" s="335"/>
      <c r="W17" s="335"/>
      <c r="X17" s="335"/>
      <c r="Y17" s="335"/>
      <c r="Z17" s="335"/>
      <c r="AA17" s="335"/>
      <c r="AB17" s="335"/>
      <c r="AC17" s="335"/>
      <c r="AD17" s="335"/>
      <c r="AE17" s="335"/>
      <c r="AF17" s="335"/>
      <c r="AG17" s="18"/>
      <c r="AH17" s="18"/>
      <c r="AI17" s="18"/>
      <c r="AJ17" s="18"/>
      <c r="AK17" s="18"/>
      <c r="AL17" s="18"/>
      <c r="AM17" s="18"/>
      <c r="AN17" s="18"/>
    </row>
    <row r="18" spans="2:40" x14ac:dyDescent="0.25">
      <c r="B18" s="24" t="s">
        <v>21</v>
      </c>
      <c r="D18" s="22"/>
      <c r="E18" s="335"/>
      <c r="F18" s="90"/>
      <c r="G18" s="335"/>
      <c r="H18" s="335"/>
      <c r="I18" s="335"/>
      <c r="J18" s="335"/>
      <c r="K18" s="335"/>
      <c r="L18" s="335"/>
      <c r="M18" s="3078">
        <f>2500+60</f>
        <v>2560</v>
      </c>
      <c r="N18" s="3078">
        <v>0</v>
      </c>
      <c r="O18" s="3078">
        <v>4000</v>
      </c>
      <c r="P18" s="3078">
        <v>1000</v>
      </c>
      <c r="Q18" s="335"/>
      <c r="R18" s="335"/>
      <c r="S18" s="335"/>
      <c r="T18" s="335"/>
      <c r="U18" s="335"/>
      <c r="V18" s="335"/>
      <c r="W18" s="335"/>
      <c r="X18" s="335"/>
      <c r="Y18" s="335"/>
      <c r="Z18" s="335"/>
      <c r="AA18" s="335"/>
      <c r="AB18" s="335"/>
      <c r="AC18" s="335"/>
      <c r="AD18" s="335"/>
      <c r="AE18" s="335"/>
      <c r="AF18" s="335"/>
      <c r="AG18" s="18"/>
      <c r="AH18" s="18"/>
      <c r="AI18" s="18"/>
      <c r="AJ18" s="18"/>
      <c r="AK18" s="18"/>
      <c r="AL18" s="18"/>
      <c r="AM18" s="18"/>
      <c r="AN18" s="18"/>
    </row>
    <row r="19" spans="2:40" x14ac:dyDescent="0.25">
      <c r="B19" s="8" t="s">
        <v>950</v>
      </c>
      <c r="C19" s="8"/>
      <c r="D19" s="22"/>
      <c r="E19" s="335"/>
      <c r="F19" s="335"/>
      <c r="G19" s="335"/>
      <c r="H19" s="335"/>
      <c r="I19" s="335"/>
      <c r="J19" s="335"/>
      <c r="K19" s="335"/>
      <c r="L19" s="335"/>
      <c r="M19" s="335"/>
      <c r="N19" s="335"/>
      <c r="O19" s="335"/>
      <c r="P19" s="335"/>
      <c r="Q19" s="335"/>
      <c r="R19" s="335"/>
      <c r="S19" s="335"/>
      <c r="T19" s="335"/>
      <c r="U19" s="335"/>
      <c r="V19" s="335"/>
      <c r="W19" s="335"/>
      <c r="X19" s="335"/>
      <c r="Y19" s="335"/>
      <c r="Z19" s="335"/>
      <c r="AA19" s="335"/>
      <c r="AB19" s="335"/>
      <c r="AC19" s="335"/>
      <c r="AD19" s="335"/>
      <c r="AE19" s="335"/>
      <c r="AF19" s="335"/>
      <c r="AG19" s="18" t="s">
        <v>978</v>
      </c>
      <c r="AH19" s="18"/>
      <c r="AI19" s="18"/>
      <c r="AJ19" s="18"/>
      <c r="AK19" s="18"/>
      <c r="AL19" s="18"/>
      <c r="AM19" s="18"/>
      <c r="AN19" s="18"/>
    </row>
    <row r="20" spans="2:40" x14ac:dyDescent="0.25">
      <c r="B20" s="8" t="s">
        <v>977</v>
      </c>
      <c r="C20" s="8"/>
      <c r="D20" s="22"/>
      <c r="E20" s="335"/>
      <c r="F20" s="335"/>
      <c r="G20" s="335"/>
      <c r="H20" s="335"/>
      <c r="I20" s="335"/>
      <c r="J20" s="335"/>
      <c r="K20" s="335"/>
      <c r="L20" s="335"/>
      <c r="M20" s="335"/>
      <c r="N20" s="335"/>
      <c r="O20" s="335"/>
      <c r="P20" s="3088">
        <v>2500</v>
      </c>
      <c r="Q20" s="3088">
        <v>0</v>
      </c>
      <c r="R20" s="3088">
        <v>0</v>
      </c>
      <c r="S20" s="335"/>
      <c r="T20" s="335"/>
      <c r="U20" s="335"/>
      <c r="V20" s="335"/>
      <c r="W20" s="335"/>
      <c r="X20" s="335"/>
      <c r="Y20" s="335"/>
      <c r="Z20" s="335"/>
      <c r="AA20" s="335"/>
      <c r="AB20" s="335"/>
      <c r="AC20" s="335"/>
      <c r="AD20" s="335"/>
      <c r="AE20" s="335"/>
      <c r="AF20" s="335"/>
      <c r="AH20" s="18"/>
      <c r="AI20" s="18"/>
      <c r="AJ20" s="18"/>
      <c r="AK20" s="18"/>
      <c r="AL20" s="18"/>
      <c r="AM20" s="18"/>
      <c r="AN20" s="18"/>
    </row>
    <row r="21" spans="2:40" x14ac:dyDescent="0.25">
      <c r="B21" s="8" t="s">
        <v>951</v>
      </c>
      <c r="C21" s="8"/>
      <c r="D21" s="22"/>
      <c r="E21" s="335"/>
      <c r="F21" s="335"/>
      <c r="G21" s="335"/>
      <c r="H21" s="335"/>
      <c r="I21" s="335"/>
      <c r="J21" s="335"/>
      <c r="K21" s="335"/>
      <c r="L21" s="335"/>
      <c r="M21" s="335"/>
      <c r="N21" s="335"/>
      <c r="O21" s="335"/>
      <c r="P21" s="335"/>
      <c r="Q21" s="335"/>
      <c r="R21" s="335"/>
      <c r="S21" s="335"/>
      <c r="T21" s="335"/>
      <c r="U21" s="335"/>
      <c r="V21" s="335"/>
      <c r="W21" s="335"/>
      <c r="X21" s="335"/>
      <c r="Y21" s="335"/>
      <c r="Z21" s="335"/>
      <c r="AA21" s="335"/>
      <c r="AB21" s="335"/>
      <c r="AC21" s="335"/>
      <c r="AD21" s="335"/>
      <c r="AE21" s="335"/>
      <c r="AF21" s="335"/>
      <c r="AG21" s="18"/>
      <c r="AH21" s="18"/>
      <c r="AI21" s="18"/>
      <c r="AJ21" s="18"/>
      <c r="AK21" s="18"/>
      <c r="AL21" s="18"/>
      <c r="AM21" s="18"/>
      <c r="AN21" s="18"/>
    </row>
    <row r="22" spans="2:40" ht="13.8" thickBot="1" x14ac:dyDescent="0.3">
      <c r="B22" s="961" t="s">
        <v>947</v>
      </c>
      <c r="C22" s="995"/>
      <c r="D22" s="22"/>
      <c r="E22" s="335"/>
      <c r="F22" s="335"/>
      <c r="G22" s="335"/>
      <c r="H22" s="335"/>
      <c r="I22" s="335"/>
      <c r="J22" s="336">
        <f>'Amortz &amp; Depr'!I99</f>
        <v>0</v>
      </c>
      <c r="K22" s="336">
        <f>'Amortz &amp; Depr'!J99</f>
        <v>0</v>
      </c>
      <c r="L22" s="336">
        <f>'Amortz &amp; Depr'!K99</f>
        <v>0</v>
      </c>
      <c r="M22" s="336">
        <f>'Amortz &amp; Depr'!L99</f>
        <v>0</v>
      </c>
      <c r="N22" s="336">
        <f>'Amortz &amp; Depr'!M99</f>
        <v>0</v>
      </c>
      <c r="O22" s="336">
        <f>'Amortz &amp; Depr'!N99</f>
        <v>0</v>
      </c>
      <c r="P22" s="336">
        <f>'Amortz &amp; Depr'!O99</f>
        <v>0</v>
      </c>
      <c r="Q22" s="336">
        <f>'Amortz &amp; Depr'!P99</f>
        <v>0</v>
      </c>
      <c r="R22" s="336">
        <f>'Amortz &amp; Depr'!Q99</f>
        <v>0</v>
      </c>
      <c r="S22" s="336">
        <f>'Amortz &amp; Depr'!R99</f>
        <v>0</v>
      </c>
      <c r="T22" s="336">
        <f>'Amortz &amp; Depr'!S99</f>
        <v>0</v>
      </c>
      <c r="U22" s="336">
        <f>'Amortz &amp; Depr'!T99</f>
        <v>0</v>
      </c>
      <c r="V22" s="336">
        <f>'Amortz &amp; Depr'!U99</f>
        <v>0</v>
      </c>
      <c r="W22" s="336">
        <f>'Amortz &amp; Depr'!V99</f>
        <v>0</v>
      </c>
      <c r="X22" s="335"/>
      <c r="Y22" s="335"/>
      <c r="Z22" s="335"/>
      <c r="AA22" s="335"/>
      <c r="AB22" s="335"/>
      <c r="AC22" s="335"/>
      <c r="AD22" s="335"/>
      <c r="AE22" s="335"/>
      <c r="AF22" s="335"/>
      <c r="AG22" s="18"/>
      <c r="AH22" s="18"/>
      <c r="AI22" s="18"/>
      <c r="AJ22" s="18"/>
      <c r="AK22" s="18"/>
      <c r="AL22" s="18"/>
      <c r="AM22" s="18"/>
      <c r="AN22" s="18"/>
    </row>
    <row r="23" spans="2:40" ht="13.8" thickTop="1" x14ac:dyDescent="0.25">
      <c r="B23" s="37" t="s">
        <v>802</v>
      </c>
      <c r="C23" s="37"/>
      <c r="D23" s="37"/>
      <c r="E23" s="55">
        <f>SUM(E14:E22)</f>
        <v>0</v>
      </c>
      <c r="F23" s="55">
        <f t="shared" ref="F23:AC23" si="8">SUM(F14:F22)</f>
        <v>0</v>
      </c>
      <c r="G23" s="55">
        <f t="shared" si="8"/>
        <v>0</v>
      </c>
      <c r="H23" s="55">
        <f t="shared" si="8"/>
        <v>0</v>
      </c>
      <c r="I23" s="55">
        <f t="shared" si="8"/>
        <v>0</v>
      </c>
      <c r="J23" s="55">
        <f t="shared" si="8"/>
        <v>0</v>
      </c>
      <c r="K23" s="55">
        <f t="shared" si="8"/>
        <v>0</v>
      </c>
      <c r="L23" s="55">
        <f t="shared" si="8"/>
        <v>0</v>
      </c>
      <c r="M23" s="55">
        <f t="shared" si="8"/>
        <v>4828.4206951872993</v>
      </c>
      <c r="N23" s="55">
        <f t="shared" si="8"/>
        <v>3450.6323370654059</v>
      </c>
      <c r="O23" s="55">
        <f>SUM(O14:O22)</f>
        <v>8338.541056523256</v>
      </c>
      <c r="P23" s="55">
        <f t="shared" si="8"/>
        <v>7736.0276633552903</v>
      </c>
      <c r="Q23" s="55">
        <f t="shared" si="8"/>
        <v>2362.6098811049887</v>
      </c>
      <c r="R23" s="55">
        <f t="shared" si="8"/>
        <v>1451.8026343507922</v>
      </c>
      <c r="S23" s="55">
        <f t="shared" si="8"/>
        <v>205.83868703780806</v>
      </c>
      <c r="T23" s="55">
        <f t="shared" si="8"/>
        <v>209.9554607785642</v>
      </c>
      <c r="U23" s="55">
        <f t="shared" si="8"/>
        <v>214.1545699941355</v>
      </c>
      <c r="V23" s="55">
        <f t="shared" si="8"/>
        <v>218.43766139401816</v>
      </c>
      <c r="W23" s="55">
        <f t="shared" si="8"/>
        <v>222.80641462189857</v>
      </c>
      <c r="X23" s="55">
        <f t="shared" si="8"/>
        <v>0</v>
      </c>
      <c r="Y23" s="55">
        <f t="shared" si="8"/>
        <v>0</v>
      </c>
      <c r="Z23" s="55">
        <f t="shared" si="8"/>
        <v>0</v>
      </c>
      <c r="AA23" s="55">
        <f t="shared" si="8"/>
        <v>0</v>
      </c>
      <c r="AB23" s="55">
        <f t="shared" si="8"/>
        <v>0</v>
      </c>
      <c r="AC23" s="55">
        <f t="shared" si="8"/>
        <v>0</v>
      </c>
      <c r="AD23" s="55">
        <f t="shared" ref="AD23:AE23" si="9">SUM(AD14:AD22)</f>
        <v>0</v>
      </c>
      <c r="AE23" s="55">
        <f t="shared" si="9"/>
        <v>0</v>
      </c>
      <c r="AF23" s="55">
        <f t="shared" ref="AF23" si="10">SUM(AF14:AF22)</f>
        <v>0</v>
      </c>
      <c r="AG23" s="18"/>
      <c r="AH23" s="18"/>
      <c r="AI23" s="18"/>
      <c r="AJ23" s="18"/>
      <c r="AK23" s="18"/>
      <c r="AL23" s="18"/>
      <c r="AM23" s="18"/>
      <c r="AN23" s="18"/>
    </row>
    <row r="24" spans="2:40" x14ac:dyDescent="0.25">
      <c r="B24" s="16"/>
      <c r="C24" s="16"/>
      <c r="D24" s="40" t="s">
        <v>689</v>
      </c>
      <c r="E24" s="23" t="str">
        <f t="shared" ref="E24:AC24" si="11">IF(E8=0, "n/a", E23/E8)</f>
        <v>n/a</v>
      </c>
      <c r="F24" s="23" t="str">
        <f t="shared" si="11"/>
        <v>n/a</v>
      </c>
      <c r="G24" s="23" t="str">
        <f t="shared" si="11"/>
        <v>n/a</v>
      </c>
      <c r="H24" s="23" t="str">
        <f t="shared" si="11"/>
        <v>n/a</v>
      </c>
      <c r="I24" s="23" t="str">
        <f t="shared" si="11"/>
        <v>n/a</v>
      </c>
      <c r="J24" s="23" t="str">
        <f t="shared" si="11"/>
        <v>n/a</v>
      </c>
      <c r="K24" s="23" t="str">
        <f t="shared" si="11"/>
        <v>n/a</v>
      </c>
      <c r="L24" s="23" t="str">
        <f t="shared" si="11"/>
        <v>n/a</v>
      </c>
      <c r="M24" s="23" t="str">
        <f t="shared" si="11"/>
        <v>n/a</v>
      </c>
      <c r="N24" s="23" t="str">
        <f t="shared" si="11"/>
        <v>n/a</v>
      </c>
      <c r="O24" s="23" t="str">
        <f t="shared" si="11"/>
        <v>n/a</v>
      </c>
      <c r="P24" s="23" t="str">
        <f t="shared" si="11"/>
        <v>n/a</v>
      </c>
      <c r="Q24" s="23" t="str">
        <f t="shared" si="11"/>
        <v>n/a</v>
      </c>
      <c r="R24" s="23">
        <f t="shared" si="11"/>
        <v>8.7105350803109979E-2</v>
      </c>
      <c r="S24" s="23">
        <f t="shared" si="11"/>
        <v>5.336932016335511E-3</v>
      </c>
      <c r="T24" s="23">
        <f t="shared" si="11"/>
        <v>2.8556056245743187E-3</v>
      </c>
      <c r="U24" s="23">
        <f t="shared" si="11"/>
        <v>1.9412302475710938E-3</v>
      </c>
      <c r="V24" s="23">
        <f t="shared" si="11"/>
        <v>1.590476083638029E-3</v>
      </c>
      <c r="W24" s="23">
        <f t="shared" si="11"/>
        <v>1.4575361834439544E-3</v>
      </c>
      <c r="X24" s="23">
        <f t="shared" si="11"/>
        <v>0</v>
      </c>
      <c r="Y24" s="23">
        <f t="shared" si="11"/>
        <v>0</v>
      </c>
      <c r="Z24" s="23">
        <f t="shared" si="11"/>
        <v>0</v>
      </c>
      <c r="AA24" s="23">
        <f t="shared" si="11"/>
        <v>0</v>
      </c>
      <c r="AB24" s="23">
        <f t="shared" si="11"/>
        <v>0</v>
      </c>
      <c r="AC24" s="23">
        <f t="shared" si="11"/>
        <v>0</v>
      </c>
      <c r="AD24" s="23">
        <f t="shared" ref="AD24:AE24" si="12">IF(AD8=0, "n/a", AD23/AD8)</f>
        <v>0</v>
      </c>
      <c r="AE24" s="23">
        <f t="shared" si="12"/>
        <v>0</v>
      </c>
      <c r="AF24" s="23">
        <f t="shared" ref="AF24" si="13">IF(AF8=0, "n/a", AF23/AF8)</f>
        <v>0</v>
      </c>
      <c r="AG24" s="18"/>
      <c r="AH24" s="18"/>
      <c r="AI24" s="18"/>
      <c r="AJ24" s="18"/>
      <c r="AK24" s="18"/>
      <c r="AL24" s="18"/>
      <c r="AM24" s="18"/>
      <c r="AN24" s="18"/>
    </row>
    <row r="25" spans="2:40" ht="13.8" thickBot="1" x14ac:dyDescent="0.3">
      <c r="B25" s="38" t="s">
        <v>690</v>
      </c>
      <c r="C25" s="38"/>
      <c r="D25" s="8"/>
      <c r="E25" s="74"/>
      <c r="F25" s="74"/>
      <c r="G25" s="74"/>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18"/>
      <c r="AH25" s="18"/>
      <c r="AI25" s="18"/>
      <c r="AJ25" s="18"/>
      <c r="AK25" s="18"/>
      <c r="AL25" s="18"/>
      <c r="AM25" s="18"/>
      <c r="AN25" s="18"/>
    </row>
    <row r="26" spans="2:40" ht="13.8" thickBot="1" x14ac:dyDescent="0.3">
      <c r="B26" s="24" t="s">
        <v>331</v>
      </c>
      <c r="C26" s="93"/>
      <c r="D26" s="109">
        <v>1.7999999999999999E-2</v>
      </c>
      <c r="E26" s="95">
        <f t="shared" ref="E26:AC26" si="14">+E8*$D$26</f>
        <v>0</v>
      </c>
      <c r="F26" s="95">
        <f t="shared" si="14"/>
        <v>0</v>
      </c>
      <c r="G26" s="95">
        <f t="shared" si="14"/>
        <v>0</v>
      </c>
      <c r="H26" s="95">
        <f t="shared" si="14"/>
        <v>0</v>
      </c>
      <c r="I26" s="95">
        <f t="shared" si="14"/>
        <v>0</v>
      </c>
      <c r="J26" s="95">
        <f t="shared" si="14"/>
        <v>0</v>
      </c>
      <c r="K26" s="95">
        <f t="shared" si="14"/>
        <v>0</v>
      </c>
      <c r="L26" s="95">
        <f t="shared" si="14"/>
        <v>0</v>
      </c>
      <c r="M26" s="95">
        <f t="shared" si="14"/>
        <v>0</v>
      </c>
      <c r="N26" s="95">
        <f t="shared" si="14"/>
        <v>0</v>
      </c>
      <c r="O26" s="95">
        <f t="shared" si="14"/>
        <v>0</v>
      </c>
      <c r="P26" s="95">
        <f t="shared" si="14"/>
        <v>0</v>
      </c>
      <c r="Q26" s="95">
        <f t="shared" si="14"/>
        <v>0</v>
      </c>
      <c r="R26" s="95">
        <f t="shared" si="14"/>
        <v>300.00966849192957</v>
      </c>
      <c r="S26" s="95">
        <f t="shared" si="14"/>
        <v>694.23713012266717</v>
      </c>
      <c r="T26" s="95">
        <f t="shared" si="14"/>
        <v>1323.4314505797752</v>
      </c>
      <c r="U26" s="95">
        <f t="shared" si="14"/>
        <v>1985.7419101714595</v>
      </c>
      <c r="V26" s="95">
        <f t="shared" si="14"/>
        <v>2472.1389686656671</v>
      </c>
      <c r="W26" s="95">
        <f t="shared" si="14"/>
        <v>2751.5718022985106</v>
      </c>
      <c r="X26" s="95">
        <f t="shared" si="14"/>
        <v>2983.4022067022779</v>
      </c>
      <c r="Y26" s="95">
        <f t="shared" si="14"/>
        <v>3423.4177056210374</v>
      </c>
      <c r="Z26" s="95">
        <f t="shared" si="14"/>
        <v>3578.8839067073882</v>
      </c>
      <c r="AA26" s="95">
        <f t="shared" si="14"/>
        <v>4307.5446701130122</v>
      </c>
      <c r="AB26" s="95">
        <f t="shared" si="14"/>
        <v>4833.6304009883333</v>
      </c>
      <c r="AC26" s="95">
        <f t="shared" si="14"/>
        <v>5556.6565753731547</v>
      </c>
      <c r="AD26" s="95">
        <f t="shared" ref="AD26:AE26" si="15">+AD8*$D$26</f>
        <v>4845.9601993829292</v>
      </c>
      <c r="AE26" s="95">
        <f t="shared" si="15"/>
        <v>4695.7354332020577</v>
      </c>
      <c r="AF26" s="95">
        <f t="shared" ref="AF26" si="16">+AF8*$D$26</f>
        <v>4550.1676347727944</v>
      </c>
      <c r="AG26" s="18" t="s">
        <v>973</v>
      </c>
      <c r="AH26" s="18"/>
      <c r="AI26" s="18"/>
      <c r="AJ26" s="18"/>
      <c r="AK26" s="18"/>
      <c r="AL26" s="18"/>
      <c r="AM26" s="18"/>
      <c r="AN26" s="18"/>
    </row>
    <row r="27" spans="2:40" x14ac:dyDescent="0.25">
      <c r="B27" s="24" t="s">
        <v>437</v>
      </c>
      <c r="C27" s="24"/>
      <c r="D27" s="24"/>
      <c r="E27" s="90"/>
      <c r="F27" s="90"/>
      <c r="G27" s="90"/>
      <c r="H27" s="90"/>
      <c r="I27" s="90"/>
      <c r="J27" s="90"/>
      <c r="K27" s="90"/>
      <c r="L27" s="90"/>
      <c r="M27" s="3079"/>
      <c r="N27" s="3079"/>
      <c r="O27" s="3079">
        <v>500</v>
      </c>
      <c r="P27" s="3079">
        <v>1500</v>
      </c>
      <c r="Q27" s="3079">
        <v>1500</v>
      </c>
      <c r="R27" s="90"/>
      <c r="S27" s="90"/>
      <c r="T27" s="90"/>
      <c r="U27" s="90"/>
      <c r="V27" s="90"/>
      <c r="W27" s="90"/>
      <c r="X27" s="52"/>
      <c r="Y27" s="52"/>
      <c r="Z27" s="52"/>
      <c r="AA27" s="52"/>
      <c r="AB27" s="52"/>
      <c r="AC27" s="52"/>
      <c r="AD27" s="52"/>
      <c r="AE27" s="52"/>
      <c r="AF27" s="52"/>
      <c r="AG27" s="18"/>
      <c r="AH27" s="18"/>
      <c r="AI27" s="18"/>
      <c r="AJ27" s="18"/>
      <c r="AK27" s="18"/>
      <c r="AL27" s="18"/>
      <c r="AM27" s="18"/>
      <c r="AN27" s="18"/>
    </row>
    <row r="28" spans="2:40" x14ac:dyDescent="0.25">
      <c r="B28" t="s">
        <v>415</v>
      </c>
      <c r="D28" s="24"/>
      <c r="E28" s="94"/>
      <c r="F28" s="94"/>
      <c r="G28" s="94"/>
      <c r="H28" s="94"/>
      <c r="I28" s="94"/>
      <c r="J28" s="94"/>
      <c r="K28" s="94"/>
      <c r="L28" s="94"/>
      <c r="M28" s="3080">
        <v>200</v>
      </c>
      <c r="N28" s="3080">
        <v>1000</v>
      </c>
      <c r="O28" s="3080">
        <v>2000</v>
      </c>
      <c r="P28" s="3080">
        <v>2000</v>
      </c>
      <c r="Q28" s="3089">
        <v>3000</v>
      </c>
      <c r="R28" s="3089">
        <v>3000</v>
      </c>
      <c r="S28" s="3089">
        <v>3000</v>
      </c>
      <c r="T28" s="3080">
        <v>2000</v>
      </c>
      <c r="U28" s="3080">
        <v>1500</v>
      </c>
      <c r="V28" s="3080">
        <v>1500</v>
      </c>
      <c r="W28" s="3080">
        <v>1500</v>
      </c>
      <c r="X28" s="52">
        <v>1000</v>
      </c>
      <c r="Y28" s="52">
        <v>1000</v>
      </c>
      <c r="Z28" s="52">
        <v>1000</v>
      </c>
      <c r="AA28" s="52">
        <v>1000</v>
      </c>
      <c r="AB28" s="52">
        <v>1000</v>
      </c>
      <c r="AC28" s="52">
        <v>1000</v>
      </c>
      <c r="AD28" s="52">
        <v>1000</v>
      </c>
      <c r="AE28" s="52">
        <v>1000</v>
      </c>
      <c r="AF28" s="52">
        <v>1000</v>
      </c>
      <c r="AG28" s="18"/>
      <c r="AH28" s="18"/>
      <c r="AI28" s="18"/>
      <c r="AJ28" s="18"/>
      <c r="AK28" s="18"/>
      <c r="AL28" s="18"/>
      <c r="AM28" s="18"/>
      <c r="AN28" s="18"/>
    </row>
    <row r="29" spans="2:40" x14ac:dyDescent="0.25">
      <c r="B29" t="s">
        <v>415</v>
      </c>
      <c r="D29" s="24"/>
      <c r="E29" s="75"/>
      <c r="F29" s="75"/>
      <c r="G29" s="75"/>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18"/>
      <c r="AH29" s="18"/>
      <c r="AI29" s="18"/>
      <c r="AJ29" s="18"/>
      <c r="AK29" s="18"/>
      <c r="AL29" s="18"/>
      <c r="AM29" s="18"/>
      <c r="AN29" s="18"/>
    </row>
    <row r="30" spans="2:40" x14ac:dyDescent="0.25">
      <c r="B30" t="s">
        <v>415</v>
      </c>
      <c r="D30" s="24"/>
      <c r="E30" s="75"/>
      <c r="F30" s="75"/>
      <c r="G30" s="75"/>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18"/>
      <c r="AH30" s="18"/>
      <c r="AI30" s="18"/>
      <c r="AJ30" s="18"/>
      <c r="AK30" s="18"/>
      <c r="AL30" s="18"/>
      <c r="AM30" s="18"/>
      <c r="AN30" s="18"/>
    </row>
    <row r="31" spans="2:40" x14ac:dyDescent="0.25">
      <c r="D31" s="24"/>
      <c r="E31" s="75"/>
      <c r="F31" s="75"/>
      <c r="G31" s="75"/>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18"/>
      <c r="AH31" s="18"/>
      <c r="AI31" s="18"/>
      <c r="AJ31" s="18"/>
      <c r="AK31" s="18"/>
      <c r="AL31" s="18"/>
      <c r="AM31" s="18"/>
      <c r="AN31" s="18"/>
    </row>
    <row r="32" spans="2:40" ht="13.8" thickBot="1" x14ac:dyDescent="0.3">
      <c r="B32" t="s">
        <v>671</v>
      </c>
      <c r="E32" s="54"/>
      <c r="F32" s="54"/>
      <c r="G32" s="54"/>
      <c r="H32" s="53"/>
      <c r="I32" s="53"/>
      <c r="J32" s="53"/>
      <c r="K32" s="53"/>
      <c r="L32" s="53"/>
      <c r="M32" s="53"/>
      <c r="N32" s="53"/>
      <c r="O32" s="53"/>
      <c r="P32" s="53"/>
      <c r="Q32" s="53"/>
      <c r="R32" s="53"/>
      <c r="S32" s="53"/>
      <c r="T32" s="53"/>
      <c r="U32" s="53"/>
      <c r="V32" s="53"/>
      <c r="W32" s="53"/>
      <c r="X32" s="1019"/>
      <c r="Y32" s="1019"/>
      <c r="Z32" s="1019"/>
      <c r="AA32" s="1019"/>
      <c r="AB32" s="1019"/>
      <c r="AC32" s="1019"/>
      <c r="AD32" s="1019"/>
      <c r="AE32" s="1019"/>
      <c r="AF32" s="1019"/>
      <c r="AG32" s="18"/>
      <c r="AH32" s="18"/>
      <c r="AI32" s="18"/>
      <c r="AJ32" s="18"/>
      <c r="AK32" s="18"/>
      <c r="AL32" s="18"/>
      <c r="AM32" s="18"/>
      <c r="AN32" s="18"/>
    </row>
    <row r="33" spans="1:40" ht="13.8" thickTop="1" x14ac:dyDescent="0.25">
      <c r="A33" s="1"/>
      <c r="B33" s="37" t="s">
        <v>691</v>
      </c>
      <c r="C33" s="37"/>
      <c r="D33" s="37"/>
      <c r="E33" s="76">
        <f>SUM(E26:E32)</f>
        <v>0</v>
      </c>
      <c r="F33" s="76">
        <f t="shared" ref="F33:M33" si="17">SUM(F26:F32)</f>
        <v>0</v>
      </c>
      <c r="G33" s="76">
        <f t="shared" si="17"/>
        <v>0</v>
      </c>
      <c r="H33" s="76">
        <f t="shared" si="17"/>
        <v>0</v>
      </c>
      <c r="I33" s="76">
        <f t="shared" si="17"/>
        <v>0</v>
      </c>
      <c r="J33" s="76">
        <f t="shared" si="17"/>
        <v>0</v>
      </c>
      <c r="K33" s="76">
        <f t="shared" si="17"/>
        <v>0</v>
      </c>
      <c r="L33" s="76">
        <f t="shared" si="17"/>
        <v>0</v>
      </c>
      <c r="M33" s="76">
        <f t="shared" si="17"/>
        <v>200</v>
      </c>
      <c r="N33" s="76">
        <f t="shared" ref="N33:T33" si="18">SUM(N26:N32)</f>
        <v>1000</v>
      </c>
      <c r="O33" s="76">
        <f t="shared" si="18"/>
        <v>2500</v>
      </c>
      <c r="P33" s="76">
        <f t="shared" si="18"/>
        <v>3500</v>
      </c>
      <c r="Q33" s="76">
        <f t="shared" si="18"/>
        <v>4500</v>
      </c>
      <c r="R33" s="76">
        <f t="shared" si="18"/>
        <v>3300.0096684919295</v>
      </c>
      <c r="S33" s="76">
        <f t="shared" si="18"/>
        <v>3694.2371301226672</v>
      </c>
      <c r="T33" s="76">
        <f t="shared" si="18"/>
        <v>3323.4314505797752</v>
      </c>
      <c r="U33" s="76">
        <f>SUM(U26:U32)</f>
        <v>3485.7419101714595</v>
      </c>
      <c r="V33" s="76">
        <f t="shared" ref="V33:AC33" si="19">SUM(V26:V32)</f>
        <v>3972.1389686656671</v>
      </c>
      <c r="W33" s="76">
        <f t="shared" si="19"/>
        <v>4251.5718022985111</v>
      </c>
      <c r="X33" s="76">
        <f t="shared" si="19"/>
        <v>3983.4022067022779</v>
      </c>
      <c r="Y33" s="76">
        <f t="shared" si="19"/>
        <v>4423.4177056210374</v>
      </c>
      <c r="Z33" s="76">
        <f t="shared" si="19"/>
        <v>4578.8839067073877</v>
      </c>
      <c r="AA33" s="76">
        <f t="shared" si="19"/>
        <v>5307.5446701130122</v>
      </c>
      <c r="AB33" s="76">
        <f t="shared" si="19"/>
        <v>5833.6304009883333</v>
      </c>
      <c r="AC33" s="76">
        <f t="shared" si="19"/>
        <v>6556.6565753731547</v>
      </c>
      <c r="AD33" s="76">
        <f t="shared" ref="AD33:AE33" si="20">SUM(AD26:AD32)</f>
        <v>5845.9601993829292</v>
      </c>
      <c r="AE33" s="76">
        <f t="shared" si="20"/>
        <v>5695.7354332020577</v>
      </c>
      <c r="AF33" s="76">
        <f t="shared" ref="AF33" si="21">SUM(AF26:AF32)</f>
        <v>5550.1676347727944</v>
      </c>
      <c r="AG33" s="18"/>
      <c r="AH33" s="18"/>
      <c r="AI33" s="18"/>
      <c r="AJ33" s="18"/>
      <c r="AK33" s="18"/>
      <c r="AL33" s="18"/>
      <c r="AM33" s="18"/>
      <c r="AN33" s="18"/>
    </row>
    <row r="34" spans="1:40" x14ac:dyDescent="0.25">
      <c r="A34" s="1"/>
      <c r="B34" s="16"/>
      <c r="C34" s="16"/>
      <c r="D34" s="40" t="s">
        <v>689</v>
      </c>
      <c r="E34" s="23" t="str">
        <f t="shared" ref="E34:W34" si="22">IF(E8=0,"n/a",E33/E8)</f>
        <v>n/a</v>
      </c>
      <c r="F34" s="23" t="str">
        <f t="shared" si="22"/>
        <v>n/a</v>
      </c>
      <c r="G34" s="23" t="str">
        <f t="shared" si="22"/>
        <v>n/a</v>
      </c>
      <c r="H34" s="23" t="str">
        <f t="shared" si="22"/>
        <v>n/a</v>
      </c>
      <c r="I34" s="23" t="str">
        <f t="shared" si="22"/>
        <v>n/a</v>
      </c>
      <c r="J34" s="23" t="str">
        <f t="shared" si="22"/>
        <v>n/a</v>
      </c>
      <c r="K34" s="23" t="str">
        <f t="shared" si="22"/>
        <v>n/a</v>
      </c>
      <c r="L34" s="23" t="str">
        <f t="shared" si="22"/>
        <v>n/a</v>
      </c>
      <c r="M34" s="23" t="str">
        <f t="shared" si="22"/>
        <v>n/a</v>
      </c>
      <c r="N34" s="23" t="str">
        <f t="shared" si="22"/>
        <v>n/a</v>
      </c>
      <c r="O34" s="23" t="str">
        <f t="shared" si="22"/>
        <v>n/a</v>
      </c>
      <c r="P34" s="23" t="str">
        <f t="shared" si="22"/>
        <v>n/a</v>
      </c>
      <c r="Q34" s="23" t="str">
        <f t="shared" si="22"/>
        <v>n/a</v>
      </c>
      <c r="R34" s="23">
        <f t="shared" si="22"/>
        <v>0.19799419909179566</v>
      </c>
      <c r="S34" s="23">
        <f t="shared" si="22"/>
        <v>9.5783220828967397E-2</v>
      </c>
      <c r="T34" s="23">
        <f t="shared" si="22"/>
        <v>4.5202013360215176E-2</v>
      </c>
      <c r="U34" s="23">
        <f t="shared" si="22"/>
        <v>3.1596933147102019E-2</v>
      </c>
      <c r="V34" s="23">
        <f t="shared" si="22"/>
        <v>2.8921716109905099E-2</v>
      </c>
      <c r="W34" s="23">
        <f t="shared" si="22"/>
        <v>2.7812573299902877E-2</v>
      </c>
      <c r="X34" s="23"/>
      <c r="Y34" s="23"/>
      <c r="Z34" s="23"/>
      <c r="AA34" s="23"/>
      <c r="AB34" s="23"/>
      <c r="AC34" s="23"/>
      <c r="AD34" s="23"/>
      <c r="AE34" s="23"/>
      <c r="AF34" s="23"/>
      <c r="AG34" s="18"/>
      <c r="AH34" s="18"/>
      <c r="AI34" s="18"/>
      <c r="AJ34" s="18"/>
      <c r="AK34" s="18"/>
      <c r="AL34" s="18"/>
      <c r="AM34" s="18"/>
      <c r="AN34" s="18"/>
    </row>
    <row r="35" spans="1:40" x14ac:dyDescent="0.25">
      <c r="A35" s="1"/>
      <c r="B35" s="16"/>
      <c r="C35" s="16"/>
      <c r="D35" s="22"/>
      <c r="E35" s="77"/>
      <c r="F35" s="77"/>
      <c r="G35" s="77"/>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18"/>
      <c r="AH35" s="18"/>
      <c r="AI35" s="18"/>
      <c r="AJ35" s="18"/>
      <c r="AK35" s="18"/>
      <c r="AL35" s="18"/>
      <c r="AM35" s="18"/>
      <c r="AN35" s="18"/>
    </row>
    <row r="36" spans="1:40" x14ac:dyDescent="0.25">
      <c r="A36" s="1"/>
      <c r="E36" s="74"/>
      <c r="F36" s="74"/>
      <c r="G36" s="74"/>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18"/>
      <c r="AH36" s="18"/>
      <c r="AI36" s="18"/>
      <c r="AJ36" s="18"/>
      <c r="AK36" s="18"/>
      <c r="AL36" s="18"/>
      <c r="AM36" s="18"/>
      <c r="AN36" s="18"/>
    </row>
    <row r="37" spans="1:40" x14ac:dyDescent="0.25">
      <c r="B37" s="1" t="s">
        <v>660</v>
      </c>
      <c r="C37" s="1"/>
      <c r="E37" s="56">
        <f t="shared" ref="E37:AC37" si="23">+E10-E23-E33</f>
        <v>0</v>
      </c>
      <c r="F37" s="56">
        <f t="shared" si="23"/>
        <v>0</v>
      </c>
      <c r="G37" s="56">
        <f t="shared" si="23"/>
        <v>0</v>
      </c>
      <c r="H37" s="56">
        <f t="shared" si="23"/>
        <v>0</v>
      </c>
      <c r="I37" s="56">
        <f t="shared" si="23"/>
        <v>0</v>
      </c>
      <c r="J37" s="56">
        <f t="shared" si="23"/>
        <v>0</v>
      </c>
      <c r="K37" s="56">
        <f t="shared" si="23"/>
        <v>0</v>
      </c>
      <c r="L37" s="56">
        <f t="shared" si="23"/>
        <v>0</v>
      </c>
      <c r="M37" s="56">
        <f t="shared" si="23"/>
        <v>-5028.4206951872993</v>
      </c>
      <c r="N37" s="56">
        <f t="shared" si="23"/>
        <v>-4450.6323370654063</v>
      </c>
      <c r="O37" s="56">
        <f t="shared" si="23"/>
        <v>-10838.541056523256</v>
      </c>
      <c r="P37" s="56">
        <f t="shared" si="23"/>
        <v>-11236.027663355289</v>
      </c>
      <c r="Q37" s="56">
        <f t="shared" si="23"/>
        <v>-6862.6098811049887</v>
      </c>
      <c r="R37" s="56">
        <f t="shared" si="23"/>
        <v>7005.3233542734397</v>
      </c>
      <c r="S37" s="56">
        <f t="shared" si="23"/>
        <v>22969.761070214634</v>
      </c>
      <c r="T37" s="56">
        <f t="shared" si="23"/>
        <v>47622.198990705387</v>
      </c>
      <c r="U37" s="56">
        <f t="shared" si="23"/>
        <v>72959.615107254707</v>
      </c>
      <c r="V37" s="56">
        <f t="shared" si="23"/>
        <v>90955.533884070101</v>
      </c>
      <c r="W37" s="56">
        <f t="shared" si="23"/>
        <v>101262.01754717228</v>
      </c>
      <c r="X37" s="56">
        <f t="shared" si="23"/>
        <v>108741.57849390153</v>
      </c>
      <c r="Y37" s="56">
        <f t="shared" si="23"/>
        <v>125838.7721014273</v>
      </c>
      <c r="Z37" s="56">
        <f t="shared" si="23"/>
        <v>129347.9803452237</v>
      </c>
      <c r="AA37" s="56">
        <f t="shared" si="23"/>
        <v>160054.74142751325</v>
      </c>
      <c r="AB37" s="56">
        <f t="shared" si="23"/>
        <v>176650.66693991571</v>
      </c>
      <c r="AC37" s="56">
        <f t="shared" si="23"/>
        <v>202969.25329796318</v>
      </c>
      <c r="AD37" s="56">
        <f t="shared" ref="AD37:AE37" si="24">+AD10-AD23-AD33</f>
        <v>173746.29822385841</v>
      </c>
      <c r="AE37" s="56">
        <f t="shared" si="24"/>
        <v>165131.16965007765</v>
      </c>
      <c r="AF37" s="56">
        <f t="shared" ref="AF37" si="25">+AF10-AF23-AF33</f>
        <v>156719.15019550725</v>
      </c>
      <c r="AG37" s="18"/>
      <c r="AH37" s="18"/>
      <c r="AI37" s="18"/>
      <c r="AJ37" s="18"/>
      <c r="AK37" s="18"/>
      <c r="AL37" s="18"/>
      <c r="AM37" s="18"/>
      <c r="AN37" s="18"/>
    </row>
    <row r="38" spans="1:40" x14ac:dyDescent="0.25">
      <c r="B38" t="s">
        <v>2508</v>
      </c>
      <c r="D38" s="24"/>
      <c r="E38" s="75"/>
      <c r="F38" s="75"/>
      <c r="G38" s="75"/>
      <c r="H38" s="52"/>
      <c r="I38" s="52"/>
      <c r="J38" s="52"/>
      <c r="K38" s="52"/>
      <c r="L38" s="52"/>
      <c r="M38" s="52"/>
      <c r="N38" s="52"/>
      <c r="O38" s="52"/>
      <c r="P38" s="52"/>
      <c r="Q38" s="52"/>
      <c r="R38" s="52">
        <f>-'CashFlow &amp; NPV'!P10/15</f>
        <v>933.33333333333337</v>
      </c>
      <c r="S38" s="52">
        <f t="shared" ref="S38:AC38" si="26">R38</f>
        <v>933.33333333333337</v>
      </c>
      <c r="T38" s="52">
        <f t="shared" si="26"/>
        <v>933.33333333333337</v>
      </c>
      <c r="U38" s="52">
        <f t="shared" si="26"/>
        <v>933.33333333333337</v>
      </c>
      <c r="V38" s="52">
        <f t="shared" si="26"/>
        <v>933.33333333333337</v>
      </c>
      <c r="W38" s="52">
        <f t="shared" si="26"/>
        <v>933.33333333333337</v>
      </c>
      <c r="X38" s="52">
        <f t="shared" si="26"/>
        <v>933.33333333333337</v>
      </c>
      <c r="Y38" s="52">
        <f t="shared" si="26"/>
        <v>933.33333333333337</v>
      </c>
      <c r="Z38" s="52">
        <f t="shared" si="26"/>
        <v>933.33333333333337</v>
      </c>
      <c r="AA38" s="52">
        <f t="shared" si="26"/>
        <v>933.33333333333337</v>
      </c>
      <c r="AB38" s="52">
        <f t="shared" si="26"/>
        <v>933.33333333333337</v>
      </c>
      <c r="AC38" s="52">
        <f t="shared" si="26"/>
        <v>933.33333333333337</v>
      </c>
      <c r="AD38" s="52">
        <f t="shared" ref="AD38:AD40" si="27">AC38</f>
        <v>933.33333333333337</v>
      </c>
      <c r="AE38" s="52">
        <f t="shared" ref="AE38:AF40" si="28">AD38</f>
        <v>933.33333333333337</v>
      </c>
      <c r="AF38" s="52">
        <f t="shared" si="28"/>
        <v>933.33333333333337</v>
      </c>
      <c r="AG38" s="18"/>
      <c r="AH38" s="18"/>
      <c r="AI38" s="18"/>
      <c r="AJ38" s="18"/>
      <c r="AK38" s="18"/>
      <c r="AL38" s="18"/>
      <c r="AM38" s="18"/>
      <c r="AN38" s="18"/>
    </row>
    <row r="39" spans="1:40" x14ac:dyDescent="0.25">
      <c r="B39" t="s">
        <v>2508</v>
      </c>
      <c r="D39" s="24"/>
      <c r="E39" s="75"/>
      <c r="F39" s="75"/>
      <c r="G39" s="75"/>
      <c r="H39" s="52"/>
      <c r="I39" s="52"/>
      <c r="J39" s="52"/>
      <c r="K39" s="52"/>
      <c r="L39" s="52"/>
      <c r="M39" s="52"/>
      <c r="N39" s="52"/>
      <c r="O39" s="52"/>
      <c r="P39" s="52"/>
      <c r="Q39" s="52"/>
      <c r="R39" s="52"/>
      <c r="S39" s="52">
        <f>-'CashFlow &amp; NPV'!Q10/14</f>
        <v>0</v>
      </c>
      <c r="T39" s="52">
        <f t="shared" ref="T39:AC39" si="29">S39</f>
        <v>0</v>
      </c>
      <c r="U39" s="52">
        <f t="shared" si="29"/>
        <v>0</v>
      </c>
      <c r="V39" s="52">
        <f t="shared" si="29"/>
        <v>0</v>
      </c>
      <c r="W39" s="52">
        <f t="shared" si="29"/>
        <v>0</v>
      </c>
      <c r="X39" s="52">
        <f t="shared" si="29"/>
        <v>0</v>
      </c>
      <c r="Y39" s="52">
        <f t="shared" si="29"/>
        <v>0</v>
      </c>
      <c r="Z39" s="52">
        <f t="shared" si="29"/>
        <v>0</v>
      </c>
      <c r="AA39" s="52">
        <f t="shared" si="29"/>
        <v>0</v>
      </c>
      <c r="AB39" s="52">
        <f t="shared" si="29"/>
        <v>0</v>
      </c>
      <c r="AC39" s="52">
        <f t="shared" si="29"/>
        <v>0</v>
      </c>
      <c r="AD39" s="52">
        <f t="shared" si="27"/>
        <v>0</v>
      </c>
      <c r="AE39" s="52">
        <f t="shared" si="28"/>
        <v>0</v>
      </c>
      <c r="AF39" s="52">
        <f t="shared" si="28"/>
        <v>0</v>
      </c>
      <c r="AG39" s="18"/>
      <c r="AH39" s="18"/>
      <c r="AI39" s="18"/>
      <c r="AJ39" s="18"/>
      <c r="AK39" s="18"/>
      <c r="AL39" s="18"/>
      <c r="AM39" s="18"/>
      <c r="AN39" s="18"/>
    </row>
    <row r="40" spans="1:40" x14ac:dyDescent="0.25">
      <c r="B40" t="s">
        <v>2508</v>
      </c>
      <c r="D40" s="24"/>
      <c r="E40" s="75"/>
      <c r="F40" s="75"/>
      <c r="G40" s="75"/>
      <c r="H40" s="52"/>
      <c r="I40" s="52"/>
      <c r="J40" s="52"/>
      <c r="K40" s="52"/>
      <c r="L40" s="52"/>
      <c r="M40" s="52"/>
      <c r="N40" s="52"/>
      <c r="O40" s="52"/>
      <c r="P40" s="52"/>
      <c r="Q40" s="52"/>
      <c r="R40" s="52"/>
      <c r="S40" s="52"/>
      <c r="T40" s="52">
        <f>-'CashFlow &amp; NPV'!R10/13</f>
        <v>0</v>
      </c>
      <c r="U40" s="52">
        <f t="shared" ref="U40:AC40" si="30">T40</f>
        <v>0</v>
      </c>
      <c r="V40" s="52">
        <f t="shared" si="30"/>
        <v>0</v>
      </c>
      <c r="W40" s="52">
        <f t="shared" si="30"/>
        <v>0</v>
      </c>
      <c r="X40" s="52">
        <f t="shared" si="30"/>
        <v>0</v>
      </c>
      <c r="Y40" s="52">
        <f t="shared" si="30"/>
        <v>0</v>
      </c>
      <c r="Z40" s="52">
        <f t="shared" si="30"/>
        <v>0</v>
      </c>
      <c r="AA40" s="52">
        <f t="shared" si="30"/>
        <v>0</v>
      </c>
      <c r="AB40" s="52">
        <f t="shared" si="30"/>
        <v>0</v>
      </c>
      <c r="AC40" s="52">
        <f t="shared" si="30"/>
        <v>0</v>
      </c>
      <c r="AD40" s="52">
        <f t="shared" si="27"/>
        <v>0</v>
      </c>
      <c r="AE40" s="52">
        <f t="shared" si="28"/>
        <v>0</v>
      </c>
      <c r="AF40" s="52">
        <f t="shared" si="28"/>
        <v>0</v>
      </c>
      <c r="AG40" s="18"/>
      <c r="AH40" s="18"/>
      <c r="AI40" s="18"/>
      <c r="AJ40" s="18"/>
      <c r="AK40" s="18"/>
      <c r="AL40" s="18"/>
      <c r="AM40" s="18"/>
      <c r="AN40" s="18"/>
    </row>
    <row r="41" spans="1:40" s="85" customFormat="1" ht="12" thickBot="1" x14ac:dyDescent="0.25">
      <c r="D41" s="105" t="s">
        <v>693</v>
      </c>
      <c r="E41" s="106" t="str">
        <f t="shared" ref="E41:AC41" si="31">IF(E8=0, "n/a",E37/E8)</f>
        <v>n/a</v>
      </c>
      <c r="F41" s="106" t="str">
        <f t="shared" si="31"/>
        <v>n/a</v>
      </c>
      <c r="G41" s="106" t="str">
        <f t="shared" si="31"/>
        <v>n/a</v>
      </c>
      <c r="H41" s="106" t="str">
        <f t="shared" si="31"/>
        <v>n/a</v>
      </c>
      <c r="I41" s="106" t="str">
        <f t="shared" si="31"/>
        <v>n/a</v>
      </c>
      <c r="J41" s="106" t="str">
        <f t="shared" si="31"/>
        <v>n/a</v>
      </c>
      <c r="K41" s="106" t="str">
        <f t="shared" si="31"/>
        <v>n/a</v>
      </c>
      <c r="L41" s="106" t="str">
        <f t="shared" si="31"/>
        <v>n/a</v>
      </c>
      <c r="M41" s="106" t="str">
        <f t="shared" si="31"/>
        <v>n/a</v>
      </c>
      <c r="N41" s="106" t="str">
        <f t="shared" si="31"/>
        <v>n/a</v>
      </c>
      <c r="O41" s="106" t="str">
        <f t="shared" si="31"/>
        <v>n/a</v>
      </c>
      <c r="P41" s="106" t="str">
        <f t="shared" si="31"/>
        <v>n/a</v>
      </c>
      <c r="Q41" s="106" t="str">
        <f t="shared" si="31"/>
        <v>n/a</v>
      </c>
      <c r="R41" s="106">
        <f t="shared" si="31"/>
        <v>0.42030585551049982</v>
      </c>
      <c r="S41" s="106">
        <f t="shared" si="31"/>
        <v>0.5955539992377078</v>
      </c>
      <c r="T41" s="106">
        <f t="shared" si="31"/>
        <v>0.64770984659399689</v>
      </c>
      <c r="U41" s="106">
        <f t="shared" si="31"/>
        <v>0.66135133936775792</v>
      </c>
      <c r="V41" s="106">
        <f t="shared" si="31"/>
        <v>0.66226034647111176</v>
      </c>
      <c r="W41" s="106">
        <f t="shared" si="31"/>
        <v>0.66242731311845271</v>
      </c>
      <c r="X41" s="106">
        <f t="shared" si="31"/>
        <v>0.65607929379853702</v>
      </c>
      <c r="Y41" s="106">
        <f t="shared" si="31"/>
        <v>0.661648122607575</v>
      </c>
      <c r="Z41" s="106">
        <f t="shared" si="31"/>
        <v>0.65055578971156236</v>
      </c>
      <c r="AA41" s="106">
        <f t="shared" si="31"/>
        <v>0.66882309211657065</v>
      </c>
      <c r="AB41" s="106">
        <f t="shared" si="31"/>
        <v>0.65783101750359863</v>
      </c>
      <c r="AC41" s="106">
        <f t="shared" si="31"/>
        <v>0.65749007695657191</v>
      </c>
      <c r="AD41" s="106">
        <f t="shared" ref="AD41:AE41" si="32">IF(AD8=0, "n/a",AD37/AD8)</f>
        <v>0.6453691816180599</v>
      </c>
      <c r="AE41" s="106">
        <f t="shared" si="32"/>
        <v>0.6329915933263135</v>
      </c>
      <c r="AF41" s="106">
        <f t="shared" ref="AF41" si="33">IF(AF8=0, "n/a",AF37/AF8)</f>
        <v>0.6199650056761018</v>
      </c>
      <c r="AG41" s="104"/>
      <c r="AH41" s="104"/>
      <c r="AI41" s="104"/>
      <c r="AJ41" s="104"/>
      <c r="AK41" s="104"/>
      <c r="AL41" s="104"/>
      <c r="AM41" s="104"/>
      <c r="AN41" s="104"/>
    </row>
    <row r="42" spans="1:40" s="85" customFormat="1" ht="12.6" thickBot="1" x14ac:dyDescent="0.3">
      <c r="B42" s="85" t="s">
        <v>3</v>
      </c>
      <c r="C42" s="111" t="s">
        <v>33</v>
      </c>
      <c r="D42" s="110">
        <v>0.28000000000000003</v>
      </c>
      <c r="E42" s="106">
        <f>$D$42</f>
        <v>0.28000000000000003</v>
      </c>
      <c r="F42" s="106">
        <f t="shared" ref="F42:M42" si="34">$D$42</f>
        <v>0.28000000000000003</v>
      </c>
      <c r="G42" s="106">
        <f t="shared" si="34"/>
        <v>0.28000000000000003</v>
      </c>
      <c r="H42" s="106">
        <f t="shared" si="34"/>
        <v>0.28000000000000003</v>
      </c>
      <c r="I42" s="106">
        <f t="shared" si="34"/>
        <v>0.28000000000000003</v>
      </c>
      <c r="J42" s="106">
        <f t="shared" si="34"/>
        <v>0.28000000000000003</v>
      </c>
      <c r="K42" s="106">
        <f t="shared" si="34"/>
        <v>0.28000000000000003</v>
      </c>
      <c r="L42" s="106">
        <f t="shared" si="34"/>
        <v>0.28000000000000003</v>
      </c>
      <c r="M42" s="106">
        <f t="shared" si="34"/>
        <v>0.28000000000000003</v>
      </c>
      <c r="N42" s="106">
        <v>0.246</v>
      </c>
      <c r="O42" s="106">
        <f>N42</f>
        <v>0.246</v>
      </c>
      <c r="P42" s="106">
        <f t="shared" ref="P42:AF42" si="35">O42</f>
        <v>0.246</v>
      </c>
      <c r="Q42" s="106">
        <f t="shared" si="35"/>
        <v>0.246</v>
      </c>
      <c r="R42" s="106">
        <f t="shared" si="35"/>
        <v>0.246</v>
      </c>
      <c r="S42" s="106">
        <f t="shared" si="35"/>
        <v>0.246</v>
      </c>
      <c r="T42" s="106">
        <f t="shared" si="35"/>
        <v>0.246</v>
      </c>
      <c r="U42" s="106">
        <f t="shared" si="35"/>
        <v>0.246</v>
      </c>
      <c r="V42" s="106">
        <f t="shared" si="35"/>
        <v>0.246</v>
      </c>
      <c r="W42" s="106">
        <f t="shared" si="35"/>
        <v>0.246</v>
      </c>
      <c r="X42" s="106">
        <f t="shared" si="35"/>
        <v>0.246</v>
      </c>
      <c r="Y42" s="106">
        <f t="shared" si="35"/>
        <v>0.246</v>
      </c>
      <c r="Z42" s="106">
        <f t="shared" si="35"/>
        <v>0.246</v>
      </c>
      <c r="AA42" s="106">
        <f t="shared" si="35"/>
        <v>0.246</v>
      </c>
      <c r="AB42" s="106">
        <f t="shared" si="35"/>
        <v>0.246</v>
      </c>
      <c r="AC42" s="106">
        <f t="shared" si="35"/>
        <v>0.246</v>
      </c>
      <c r="AD42" s="106">
        <f t="shared" si="35"/>
        <v>0.246</v>
      </c>
      <c r="AE42" s="106">
        <f t="shared" si="35"/>
        <v>0.246</v>
      </c>
      <c r="AF42" s="106">
        <f t="shared" si="35"/>
        <v>0.246</v>
      </c>
      <c r="AG42" s="104"/>
      <c r="AH42" s="104"/>
      <c r="AI42" s="104"/>
      <c r="AJ42" s="104"/>
      <c r="AK42" s="104"/>
      <c r="AL42" s="104"/>
      <c r="AM42" s="104"/>
      <c r="AN42" s="104"/>
    </row>
    <row r="43" spans="1:40" ht="13.8" thickBot="1" x14ac:dyDescent="0.3">
      <c r="B43" t="s">
        <v>18</v>
      </c>
      <c r="E43" s="54">
        <f t="shared" ref="E43:L43" si="36">E37*E42</f>
        <v>0</v>
      </c>
      <c r="F43" s="54">
        <f t="shared" si="36"/>
        <v>0</v>
      </c>
      <c r="G43" s="54">
        <f t="shared" si="36"/>
        <v>0</v>
      </c>
      <c r="H43" s="54">
        <f t="shared" si="36"/>
        <v>0</v>
      </c>
      <c r="I43" s="54">
        <f t="shared" si="36"/>
        <v>0</v>
      </c>
      <c r="J43" s="54">
        <f t="shared" si="36"/>
        <v>0</v>
      </c>
      <c r="K43" s="54">
        <f t="shared" si="36"/>
        <v>0</v>
      </c>
      <c r="L43" s="54">
        <f t="shared" si="36"/>
        <v>0</v>
      </c>
      <c r="M43" s="54">
        <f t="shared" ref="M43:AC43" si="37">(M37-SUM(M38:M40))*M42</f>
        <v>-1407.9577946524439</v>
      </c>
      <c r="N43" s="54">
        <f t="shared" si="37"/>
        <v>-1094.8555549180899</v>
      </c>
      <c r="O43" s="54">
        <f t="shared" si="37"/>
        <v>-2666.281099904721</v>
      </c>
      <c r="P43" s="54">
        <f t="shared" si="37"/>
        <v>-2764.062805185401</v>
      </c>
      <c r="Q43" s="54">
        <f t="shared" si="37"/>
        <v>-1688.2020307518271</v>
      </c>
      <c r="R43" s="54">
        <f t="shared" si="37"/>
        <v>1493.7095451512662</v>
      </c>
      <c r="S43" s="54">
        <f t="shared" si="37"/>
        <v>5420.9612232728005</v>
      </c>
      <c r="T43" s="54">
        <f t="shared" si="37"/>
        <v>11485.460951713525</v>
      </c>
      <c r="U43" s="54">
        <f t="shared" si="37"/>
        <v>17718.46531638466</v>
      </c>
      <c r="V43" s="54">
        <f t="shared" si="37"/>
        <v>22145.461335481246</v>
      </c>
      <c r="W43" s="54">
        <f t="shared" si="37"/>
        <v>24680.856316604382</v>
      </c>
      <c r="X43" s="54">
        <f t="shared" si="37"/>
        <v>26520.828309499775</v>
      </c>
      <c r="Y43" s="54">
        <f t="shared" si="37"/>
        <v>30726.737936951115</v>
      </c>
      <c r="Z43" s="54">
        <f t="shared" si="37"/>
        <v>31590.00316492503</v>
      </c>
      <c r="AA43" s="54">
        <f t="shared" si="37"/>
        <v>39143.866391168252</v>
      </c>
      <c r="AB43" s="54">
        <f t="shared" si="37"/>
        <v>43226.464067219262</v>
      </c>
      <c r="AC43" s="54">
        <f t="shared" si="37"/>
        <v>49700.836311298939</v>
      </c>
      <c r="AD43" s="54">
        <f t="shared" ref="AD43:AE43" si="38">(AD37-SUM(AD38:AD40))*AD42</f>
        <v>42511.989363069166</v>
      </c>
      <c r="AE43" s="54">
        <f t="shared" si="38"/>
        <v>40392.667733919101</v>
      </c>
      <c r="AF43" s="54">
        <f t="shared" ref="AF43" si="39">(AF37-SUM(AF38:AF40))*AF42</f>
        <v>38323.310948094782</v>
      </c>
      <c r="AG43" s="57"/>
      <c r="AH43" s="18"/>
      <c r="AI43" s="18"/>
      <c r="AJ43" s="18"/>
      <c r="AK43" s="18"/>
      <c r="AL43" s="18"/>
      <c r="AM43" s="18"/>
      <c r="AN43" s="18"/>
    </row>
    <row r="44" spans="1:40" ht="13.8" thickTop="1" x14ac:dyDescent="0.25">
      <c r="A44" s="1"/>
      <c r="B44" s="11" t="s">
        <v>661</v>
      </c>
      <c r="C44" s="11"/>
      <c r="D44" s="13"/>
      <c r="E44" s="720">
        <f t="shared" ref="E44:L44" si="40">E37-E43</f>
        <v>0</v>
      </c>
      <c r="F44" s="720">
        <f t="shared" si="40"/>
        <v>0</v>
      </c>
      <c r="G44" s="720">
        <f t="shared" si="40"/>
        <v>0</v>
      </c>
      <c r="H44" s="720">
        <f t="shared" si="40"/>
        <v>0</v>
      </c>
      <c r="I44" s="720">
        <f t="shared" si="40"/>
        <v>0</v>
      </c>
      <c r="J44" s="720">
        <f t="shared" si="40"/>
        <v>0</v>
      </c>
      <c r="K44" s="720">
        <f t="shared" si="40"/>
        <v>0</v>
      </c>
      <c r="L44" s="720">
        <f t="shared" si="40"/>
        <v>0</v>
      </c>
      <c r="M44" s="720">
        <f>M37-M43-SUM(M38:M40)</f>
        <v>-3620.4629005348552</v>
      </c>
      <c r="N44" s="720">
        <f t="shared" ref="N44:AC44" si="41">N37-N43-SUM(N38:N40)</f>
        <v>-3355.7767821473162</v>
      </c>
      <c r="O44" s="720">
        <f t="shared" si="41"/>
        <v>-8172.2599566185345</v>
      </c>
      <c r="P44" s="720">
        <f t="shared" si="41"/>
        <v>-8471.9648581698893</v>
      </c>
      <c r="Q44" s="720">
        <f t="shared" si="41"/>
        <v>-5174.4078503531618</v>
      </c>
      <c r="R44" s="720">
        <f t="shared" si="41"/>
        <v>4578.2804757888407</v>
      </c>
      <c r="S44" s="720">
        <f t="shared" si="41"/>
        <v>16615.466513608502</v>
      </c>
      <c r="T44" s="720">
        <f t="shared" si="41"/>
        <v>35203.404705658526</v>
      </c>
      <c r="U44" s="720">
        <f t="shared" si="41"/>
        <v>54307.816457536712</v>
      </c>
      <c r="V44" s="720">
        <f t="shared" si="41"/>
        <v>67876.739215255526</v>
      </c>
      <c r="W44" s="720">
        <f t="shared" si="41"/>
        <v>75647.827897234572</v>
      </c>
      <c r="X44" s="720">
        <f t="shared" si="41"/>
        <v>81287.416851068425</v>
      </c>
      <c r="Y44" s="720">
        <f t="shared" si="41"/>
        <v>94178.700831142851</v>
      </c>
      <c r="Z44" s="720">
        <f t="shared" si="41"/>
        <v>96824.643846965337</v>
      </c>
      <c r="AA44" s="720">
        <f t="shared" si="41"/>
        <v>119977.54170301167</v>
      </c>
      <c r="AB44" s="720">
        <f t="shared" si="41"/>
        <v>132490.86953936311</v>
      </c>
      <c r="AC44" s="720">
        <f t="shared" si="41"/>
        <v>152335.08365333089</v>
      </c>
      <c r="AD44" s="720">
        <f t="shared" ref="AD44:AE44" si="42">AD37-AD43-SUM(AD38:AD40)</f>
        <v>130300.9755274559</v>
      </c>
      <c r="AE44" s="720">
        <f t="shared" si="42"/>
        <v>123805.16858282521</v>
      </c>
      <c r="AF44" s="720">
        <f t="shared" ref="AF44" si="43">AF37-AF43-SUM(AF38:AF40)</f>
        <v>117462.50591407913</v>
      </c>
      <c r="AG44" s="57"/>
      <c r="AH44" s="18"/>
      <c r="AI44" s="18"/>
      <c r="AJ44" s="18"/>
      <c r="AK44" s="18"/>
      <c r="AL44" s="18"/>
      <c r="AM44" s="18"/>
      <c r="AN44" s="18"/>
    </row>
    <row r="45" spans="1:40" x14ac:dyDescent="0.25">
      <c r="A45" s="1"/>
      <c r="B45" s="16"/>
      <c r="C45" s="16"/>
      <c r="D45" s="3"/>
      <c r="E45" s="78"/>
      <c r="F45" s="78"/>
      <c r="G45" s="78"/>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18"/>
      <c r="AH45" s="18"/>
      <c r="AI45" s="18"/>
      <c r="AJ45" s="18"/>
      <c r="AK45" s="18"/>
      <c r="AL45" s="18"/>
      <c r="AM45" s="18"/>
      <c r="AN45" s="18"/>
    </row>
    <row r="46" spans="1:40" x14ac:dyDescent="0.25">
      <c r="A46" s="1"/>
      <c r="B46" s="16"/>
      <c r="C46" s="16"/>
      <c r="D46" s="3"/>
      <c r="E46" s="78"/>
      <c r="F46" s="78"/>
      <c r="G46" s="78"/>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18"/>
      <c r="AH46" s="18"/>
      <c r="AI46" s="18"/>
      <c r="AJ46" s="18"/>
      <c r="AK46" s="18"/>
      <c r="AL46" s="18"/>
      <c r="AM46" s="18"/>
      <c r="AN46" s="18"/>
    </row>
    <row r="47" spans="1:40" x14ac:dyDescent="0.25">
      <c r="A47" s="1"/>
      <c r="B47" s="16"/>
      <c r="C47" s="16"/>
      <c r="D47" s="3"/>
      <c r="E47" s="78"/>
      <c r="F47" s="78"/>
      <c r="G47" s="78"/>
      <c r="H47" s="29"/>
      <c r="I47" s="29"/>
      <c r="J47" s="27"/>
      <c r="K47" s="27"/>
      <c r="L47" s="27"/>
      <c r="M47" s="27"/>
      <c r="N47" s="27"/>
      <c r="O47" s="27"/>
      <c r="P47" s="27"/>
      <c r="Q47" s="27"/>
      <c r="R47" s="27"/>
      <c r="S47" s="27"/>
      <c r="T47" s="27"/>
      <c r="U47" s="27"/>
      <c r="V47" s="27"/>
      <c r="W47" s="27"/>
      <c r="X47" s="27"/>
      <c r="Y47" s="27"/>
      <c r="Z47" s="27"/>
      <c r="AA47" s="27"/>
      <c r="AB47" s="27"/>
      <c r="AC47" s="27"/>
      <c r="AD47" s="27"/>
      <c r="AE47" s="27"/>
      <c r="AF47" s="27"/>
      <c r="AG47" s="18"/>
      <c r="AH47" s="18"/>
      <c r="AI47" s="18"/>
      <c r="AJ47" s="18"/>
      <c r="AK47" s="18"/>
      <c r="AL47" s="18"/>
      <c r="AM47" s="18"/>
      <c r="AN47" s="18"/>
    </row>
  </sheetData>
  <phoneticPr fontId="0" type="noConversion"/>
  <printOptions horizontalCentered="1"/>
  <pageMargins left="0.1" right="0.1" top="0.5" bottom="0.4" header="0.5" footer="0.25"/>
  <pageSetup scale="76"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tabColor indexed="12"/>
    <pageSetUpPr fitToPage="1"/>
  </sheetPr>
  <dimension ref="A1:AI216"/>
  <sheetViews>
    <sheetView showGridLines="0" topLeftCell="A37" zoomScale="60" zoomScaleNormal="60" workbookViewId="0">
      <selection activeCell="P79" sqref="P79"/>
    </sheetView>
  </sheetViews>
  <sheetFormatPr defaultRowHeight="13.2" x14ac:dyDescent="0.25"/>
  <cols>
    <col min="1" max="1" width="4" customWidth="1"/>
    <col min="2" max="2" width="17.6640625" customWidth="1"/>
    <col min="3" max="3" width="28.109375" customWidth="1"/>
    <col min="4" max="4" width="15.5546875" customWidth="1"/>
    <col min="5" max="13" width="14.6640625" customWidth="1"/>
    <col min="14" max="14" width="8" customWidth="1"/>
    <col min="15" max="17" width="10" customWidth="1"/>
    <col min="18" max="18" width="12" customWidth="1"/>
  </cols>
  <sheetData>
    <row r="1" spans="1:32" ht="15.6" x14ac:dyDescent="0.3">
      <c r="A1" s="2" t="s">
        <v>694</v>
      </c>
      <c r="B1" s="2"/>
      <c r="D1" s="1" t="s">
        <v>651</v>
      </c>
      <c r="E1" s="1"/>
    </row>
    <row r="2" spans="1:32" ht="13.8" thickBot="1" x14ac:dyDescent="0.3">
      <c r="B2" s="84" t="s">
        <v>662</v>
      </c>
      <c r="C2" s="137">
        <f>'Basic Project Info'!B8</f>
        <v>0</v>
      </c>
      <c r="D2" s="48"/>
      <c r="E2" s="49"/>
    </row>
    <row r="3" spans="1:32" ht="13.8" thickTop="1" x14ac:dyDescent="0.25">
      <c r="B3" s="84" t="s">
        <v>110</v>
      </c>
      <c r="C3" s="137">
        <f>'Basic Project Info'!B4</f>
        <v>0</v>
      </c>
      <c r="D3" s="1" t="s">
        <v>707</v>
      </c>
      <c r="E3" s="1"/>
    </row>
    <row r="4" spans="1:32" ht="13.8" thickBot="1" x14ac:dyDescent="0.3">
      <c r="D4" s="48"/>
      <c r="E4" s="49"/>
    </row>
    <row r="5" spans="1:32" ht="13.8" thickTop="1" x14ac:dyDescent="0.25">
      <c r="I5" s="69"/>
    </row>
    <row r="6" spans="1:32" x14ac:dyDescent="0.25">
      <c r="B6" s="7"/>
      <c r="C6" s="7"/>
      <c r="D6" s="4"/>
      <c r="F6" s="27"/>
      <c r="G6" s="29"/>
      <c r="H6" s="29"/>
      <c r="I6" s="29"/>
      <c r="J6" s="27"/>
      <c r="K6" s="27"/>
      <c r="L6" s="27"/>
      <c r="M6" s="27"/>
      <c r="N6" s="27"/>
      <c r="O6" s="27"/>
      <c r="P6" s="27"/>
      <c r="Q6" s="27"/>
      <c r="R6" s="18"/>
      <c r="S6" s="18"/>
      <c r="T6" s="18"/>
      <c r="U6" s="18"/>
      <c r="V6" s="18"/>
      <c r="W6" s="18"/>
      <c r="X6" s="18"/>
      <c r="Y6" s="18"/>
      <c r="Z6" s="18"/>
      <c r="AA6" s="18"/>
      <c r="AB6" s="18"/>
      <c r="AC6" s="18"/>
      <c r="AD6" s="18"/>
      <c r="AE6" s="18"/>
      <c r="AF6" s="18"/>
    </row>
    <row r="7" spans="1:32" x14ac:dyDescent="0.25">
      <c r="C7" s="60" t="s">
        <v>291</v>
      </c>
      <c r="D7" s="315"/>
      <c r="E7" s="315"/>
      <c r="F7" s="316"/>
      <c r="G7" s="315"/>
      <c r="H7" s="317"/>
      <c r="I7" s="60" t="s">
        <v>340</v>
      </c>
      <c r="J7" s="60"/>
      <c r="K7" s="60"/>
      <c r="L7" s="60"/>
      <c r="M7" s="316"/>
      <c r="N7" s="316"/>
      <c r="O7" s="316"/>
      <c r="P7" s="316"/>
      <c r="Q7" s="316"/>
      <c r="R7" s="18"/>
      <c r="S7" s="18"/>
      <c r="T7" s="18"/>
      <c r="U7" s="18"/>
      <c r="V7" s="18"/>
      <c r="W7" s="18"/>
      <c r="X7" s="18"/>
      <c r="Y7" s="18"/>
      <c r="Z7" s="18"/>
      <c r="AA7" s="18"/>
      <c r="AB7" s="18"/>
      <c r="AC7" s="18"/>
      <c r="AD7" s="18"/>
      <c r="AE7" s="18"/>
      <c r="AF7" s="18"/>
    </row>
    <row r="8" spans="1:32" ht="12" customHeight="1" x14ac:dyDescent="0.25">
      <c r="G8" s="68" t="s">
        <v>277</v>
      </c>
      <c r="H8" s="27"/>
      <c r="I8" s="39"/>
      <c r="J8" s="27"/>
      <c r="K8" s="27"/>
      <c r="L8" s="30"/>
      <c r="M8" s="27"/>
      <c r="N8" s="27"/>
      <c r="O8" s="27"/>
      <c r="P8" s="27"/>
      <c r="Q8" s="27"/>
      <c r="R8" s="18"/>
      <c r="S8" s="18"/>
      <c r="T8" s="18"/>
      <c r="U8" s="18"/>
      <c r="V8" s="18"/>
      <c r="W8" s="18"/>
      <c r="X8" s="18"/>
      <c r="Y8" s="18"/>
      <c r="Z8" s="18"/>
      <c r="AA8" s="18"/>
      <c r="AB8" s="18"/>
      <c r="AC8" s="18"/>
      <c r="AD8" s="18"/>
      <c r="AE8" s="18"/>
      <c r="AF8" s="18"/>
    </row>
    <row r="9" spans="1:32" ht="12" customHeight="1" x14ac:dyDescent="0.25">
      <c r="C9" s="27" t="s">
        <v>683</v>
      </c>
      <c r="D9" s="27" t="s">
        <v>668</v>
      </c>
      <c r="E9" s="31" t="s">
        <v>669</v>
      </c>
      <c r="F9" s="29"/>
      <c r="G9" s="27" t="s">
        <v>708</v>
      </c>
      <c r="H9" s="27"/>
      <c r="I9" s="31" t="s">
        <v>682</v>
      </c>
      <c r="J9" s="31" t="s">
        <v>345</v>
      </c>
      <c r="K9" s="96" t="s">
        <v>347</v>
      </c>
      <c r="L9" s="27" t="s">
        <v>346</v>
      </c>
      <c r="M9" s="96"/>
      <c r="N9" s="96"/>
      <c r="O9" s="96"/>
      <c r="P9" s="96"/>
      <c r="Q9" s="96"/>
      <c r="R9" s="18"/>
      <c r="S9" s="18"/>
      <c r="T9" s="18"/>
      <c r="U9" s="18"/>
      <c r="V9" s="18"/>
      <c r="W9" s="18"/>
      <c r="X9" s="18"/>
      <c r="Y9" s="18"/>
      <c r="Z9" s="18"/>
      <c r="AA9" s="18"/>
      <c r="AB9" s="18"/>
      <c r="AC9" s="18"/>
      <c r="AD9" s="18"/>
    </row>
    <row r="10" spans="1:32" ht="12" customHeight="1" x14ac:dyDescent="0.25">
      <c r="C10" s="32" t="s">
        <v>685</v>
      </c>
      <c r="D10" s="677">
        <v>0</v>
      </c>
      <c r="E10" s="3414"/>
      <c r="F10" s="3415"/>
      <c r="G10" s="59"/>
      <c r="H10" s="97">
        <v>1</v>
      </c>
      <c r="I10" s="32" t="s">
        <v>685</v>
      </c>
      <c r="J10" s="679">
        <f>FTEs!GK62</f>
        <v>0</v>
      </c>
      <c r="K10" s="50">
        <v>0</v>
      </c>
      <c r="L10" s="679">
        <f>J10+K10</f>
        <v>0</v>
      </c>
      <c r="M10" s="318"/>
      <c r="N10" s="318"/>
      <c r="O10" s="318"/>
      <c r="P10" s="318"/>
      <c r="Q10" s="318"/>
      <c r="R10" s="18"/>
      <c r="S10" s="18"/>
      <c r="T10" s="18"/>
      <c r="U10" s="18"/>
      <c r="V10" s="18"/>
      <c r="W10" s="18"/>
      <c r="X10" s="18"/>
      <c r="Y10" s="18"/>
      <c r="Z10" s="18"/>
      <c r="AA10" s="18"/>
      <c r="AB10" s="18"/>
      <c r="AC10" s="18"/>
      <c r="AD10" s="18"/>
    </row>
    <row r="11" spans="1:32" ht="12" customHeight="1" x14ac:dyDescent="0.25">
      <c r="C11" s="34" t="s">
        <v>686</v>
      </c>
      <c r="D11" s="677">
        <v>0</v>
      </c>
      <c r="E11" s="3412"/>
      <c r="F11" s="3413"/>
      <c r="G11" s="59"/>
      <c r="H11" s="97">
        <v>2</v>
      </c>
      <c r="I11" s="34" t="s">
        <v>686</v>
      </c>
      <c r="J11" s="679">
        <f>FTEs!GL62</f>
        <v>0</v>
      </c>
      <c r="K11" s="50">
        <v>0</v>
      </c>
      <c r="L11" s="679">
        <f t="shared" ref="L11:L23" si="0">J11+K11</f>
        <v>0</v>
      </c>
      <c r="M11" s="318"/>
      <c r="N11" s="318"/>
      <c r="O11" s="318"/>
      <c r="P11" s="318"/>
      <c r="Q11" s="318"/>
      <c r="R11" s="18"/>
      <c r="S11" s="18"/>
      <c r="T11" s="18"/>
      <c r="U11" s="18"/>
      <c r="V11" s="18"/>
      <c r="W11" s="18"/>
      <c r="X11" s="18"/>
      <c r="Y11" s="18"/>
      <c r="Z11" s="18"/>
      <c r="AA11" s="18"/>
      <c r="AB11" s="18"/>
      <c r="AC11" s="18"/>
      <c r="AD11" s="18"/>
    </row>
    <row r="12" spans="1:32" ht="12" customHeight="1" x14ac:dyDescent="0.25">
      <c r="C12" s="34" t="s">
        <v>687</v>
      </c>
      <c r="D12" s="677">
        <v>0</v>
      </c>
      <c r="E12" s="3412"/>
      <c r="F12" s="3413"/>
      <c r="G12" s="59"/>
      <c r="H12" s="97">
        <v>3</v>
      </c>
      <c r="I12" s="34" t="s">
        <v>687</v>
      </c>
      <c r="J12" s="679">
        <f>FTEs!GM62</f>
        <v>0</v>
      </c>
      <c r="K12" s="50">
        <v>0</v>
      </c>
      <c r="L12" s="679">
        <f t="shared" si="0"/>
        <v>0</v>
      </c>
      <c r="M12" s="318"/>
      <c r="N12" s="318"/>
      <c r="O12" s="318"/>
      <c r="P12" s="318"/>
      <c r="Q12" s="318"/>
      <c r="R12" s="18"/>
      <c r="S12" s="18"/>
      <c r="T12" s="18"/>
      <c r="U12" s="18"/>
      <c r="V12" s="18"/>
      <c r="W12" s="18"/>
      <c r="X12" s="18"/>
      <c r="Y12" s="18"/>
      <c r="Z12" s="18"/>
      <c r="AA12" s="18"/>
      <c r="AB12" s="18"/>
      <c r="AC12" s="18"/>
      <c r="AD12" s="18"/>
    </row>
    <row r="13" spans="1:32" ht="12" customHeight="1" x14ac:dyDescent="0.25">
      <c r="C13" s="34" t="s">
        <v>711</v>
      </c>
      <c r="D13" s="677">
        <v>0</v>
      </c>
      <c r="E13" s="3412"/>
      <c r="F13" s="3413"/>
      <c r="G13" s="59"/>
      <c r="H13" s="97">
        <v>4</v>
      </c>
      <c r="I13" s="34" t="s">
        <v>711</v>
      </c>
      <c r="J13" s="679">
        <f>FTEs!GN62</f>
        <v>0</v>
      </c>
      <c r="K13" s="50">
        <v>0</v>
      </c>
      <c r="L13" s="679">
        <f t="shared" si="0"/>
        <v>0</v>
      </c>
      <c r="M13" s="318"/>
      <c r="N13" s="318"/>
      <c r="O13" s="318"/>
      <c r="P13" s="318"/>
      <c r="Q13" s="318"/>
      <c r="R13" s="18"/>
      <c r="S13" s="18"/>
      <c r="T13" s="18"/>
      <c r="U13" s="18"/>
      <c r="V13" s="18"/>
      <c r="W13" s="18"/>
      <c r="X13" s="18"/>
      <c r="Y13" s="18"/>
      <c r="Z13" s="18"/>
      <c r="AA13" s="18"/>
      <c r="AB13" s="18"/>
      <c r="AC13" s="18"/>
      <c r="AD13" s="18"/>
    </row>
    <row r="14" spans="1:32" ht="12" customHeight="1" x14ac:dyDescent="0.25">
      <c r="C14" s="35" t="s">
        <v>719</v>
      </c>
      <c r="D14" s="677">
        <v>0</v>
      </c>
      <c r="E14" s="3412"/>
      <c r="F14" s="3413"/>
      <c r="G14" s="59"/>
      <c r="H14" s="97">
        <v>5</v>
      </c>
      <c r="I14" s="35" t="s">
        <v>719</v>
      </c>
      <c r="J14" s="679">
        <f>FTEs!GO62</f>
        <v>0</v>
      </c>
      <c r="K14" s="50">
        <v>0</v>
      </c>
      <c r="L14" s="679">
        <f t="shared" si="0"/>
        <v>0</v>
      </c>
      <c r="M14" s="318"/>
      <c r="N14" s="318"/>
      <c r="O14" s="318"/>
      <c r="P14" s="318"/>
      <c r="Q14" s="318"/>
      <c r="R14" s="18"/>
      <c r="S14" s="18"/>
      <c r="T14" s="18"/>
      <c r="U14" s="18"/>
      <c r="V14" s="18"/>
      <c r="W14" s="18"/>
      <c r="X14" s="18"/>
      <c r="Y14" s="18"/>
      <c r="Z14" s="18"/>
      <c r="AA14" s="18"/>
      <c r="AB14" s="18"/>
      <c r="AC14" s="18"/>
      <c r="AD14" s="18"/>
    </row>
    <row r="15" spans="1:32" ht="12" customHeight="1" x14ac:dyDescent="0.25">
      <c r="C15" s="35" t="s">
        <v>444</v>
      </c>
      <c r="D15" s="677">
        <v>0</v>
      </c>
      <c r="E15" s="3412"/>
      <c r="F15" s="3413"/>
      <c r="G15" s="59"/>
      <c r="H15" s="97">
        <v>6</v>
      </c>
      <c r="I15" s="35" t="s">
        <v>444</v>
      </c>
      <c r="J15" s="679">
        <f>FTEs!GP62</f>
        <v>0</v>
      </c>
      <c r="K15" s="50">
        <v>0</v>
      </c>
      <c r="L15" s="679">
        <f t="shared" si="0"/>
        <v>0</v>
      </c>
      <c r="M15" s="318"/>
      <c r="N15" s="318"/>
      <c r="O15" s="318"/>
      <c r="P15" s="318"/>
      <c r="Q15" s="318"/>
      <c r="R15" s="18"/>
      <c r="S15" s="18"/>
      <c r="T15" s="18"/>
      <c r="U15" s="18"/>
      <c r="V15" s="18"/>
      <c r="W15" s="18"/>
      <c r="X15" s="18"/>
      <c r="Y15" s="18"/>
      <c r="Z15" s="18"/>
      <c r="AA15" s="18"/>
      <c r="AB15" s="18"/>
      <c r="AC15" s="18"/>
      <c r="AD15" s="18"/>
    </row>
    <row r="16" spans="1:32" ht="12" customHeight="1" x14ac:dyDescent="0.25">
      <c r="C16" s="35" t="s">
        <v>445</v>
      </c>
      <c r="D16" s="677">
        <v>0</v>
      </c>
      <c r="E16" s="3412"/>
      <c r="F16" s="3413"/>
      <c r="G16" s="59"/>
      <c r="H16" s="97">
        <v>7</v>
      </c>
      <c r="I16" s="35" t="s">
        <v>445</v>
      </c>
      <c r="J16" s="679">
        <f>FTEs!GQ62</f>
        <v>0</v>
      </c>
      <c r="K16" s="50">
        <v>0</v>
      </c>
      <c r="L16" s="679">
        <f t="shared" si="0"/>
        <v>0</v>
      </c>
      <c r="M16" s="318"/>
      <c r="N16" s="318"/>
      <c r="O16" s="318"/>
      <c r="P16" s="318"/>
      <c r="Q16" s="318"/>
      <c r="R16" s="18"/>
      <c r="S16" s="18"/>
      <c r="T16" s="18"/>
      <c r="U16" s="18"/>
      <c r="V16" s="18"/>
      <c r="W16" s="18"/>
      <c r="X16" s="18"/>
      <c r="Y16" s="18"/>
      <c r="Z16" s="18"/>
      <c r="AA16" s="18"/>
      <c r="AB16" s="18"/>
      <c r="AC16" s="18"/>
      <c r="AD16" s="18"/>
    </row>
    <row r="17" spans="3:32" ht="12" customHeight="1" x14ac:dyDescent="0.25">
      <c r="C17" s="35" t="s">
        <v>722</v>
      </c>
      <c r="D17" s="677">
        <v>0</v>
      </c>
      <c r="E17" s="3412"/>
      <c r="F17" s="3413"/>
      <c r="G17" s="59"/>
      <c r="H17" s="97">
        <v>8</v>
      </c>
      <c r="I17" s="35" t="s">
        <v>722</v>
      </c>
      <c r="J17" s="679">
        <f>FTEs!GR62</f>
        <v>0</v>
      </c>
      <c r="K17" s="50">
        <v>0</v>
      </c>
      <c r="L17" s="679">
        <f t="shared" si="0"/>
        <v>0</v>
      </c>
      <c r="M17" s="318"/>
      <c r="N17" s="318"/>
      <c r="O17" s="318"/>
      <c r="P17" s="318"/>
      <c r="Q17" s="318"/>
      <c r="R17" s="18"/>
      <c r="S17" s="18"/>
      <c r="T17" s="18"/>
      <c r="U17" s="18"/>
      <c r="V17" s="18"/>
      <c r="W17" s="18"/>
      <c r="X17" s="18"/>
      <c r="Y17" s="18"/>
      <c r="Z17" s="18"/>
      <c r="AA17" s="18"/>
      <c r="AB17" s="18"/>
      <c r="AC17" s="18"/>
      <c r="AD17" s="18"/>
    </row>
    <row r="18" spans="3:32" ht="12" customHeight="1" x14ac:dyDescent="0.25">
      <c r="C18" s="35" t="s">
        <v>770</v>
      </c>
      <c r="D18" s="678">
        <v>0</v>
      </c>
      <c r="E18" s="3416"/>
      <c r="F18" s="3417"/>
      <c r="G18" s="466">
        <v>0</v>
      </c>
      <c r="H18" s="97">
        <v>9</v>
      </c>
      <c r="I18" s="35" t="s">
        <v>770</v>
      </c>
      <c r="J18" s="680">
        <f>FTEs!GS62</f>
        <v>0</v>
      </c>
      <c r="K18" s="50">
        <v>0</v>
      </c>
      <c r="L18" s="680">
        <f t="shared" si="0"/>
        <v>0</v>
      </c>
      <c r="M18" s="318"/>
      <c r="N18" s="318"/>
      <c r="O18" s="318"/>
      <c r="P18" s="318"/>
      <c r="Q18" s="318"/>
      <c r="R18" s="18"/>
      <c r="S18" s="18"/>
      <c r="T18" s="18"/>
      <c r="U18" s="18"/>
      <c r="V18" s="18"/>
      <c r="W18" s="18"/>
      <c r="X18" s="18"/>
      <c r="Y18" s="18"/>
      <c r="Z18" s="18"/>
      <c r="AA18" s="18"/>
      <c r="AB18" s="18"/>
      <c r="AC18" s="18"/>
      <c r="AD18" s="18"/>
    </row>
    <row r="19" spans="3:32" ht="12" customHeight="1" x14ac:dyDescent="0.25">
      <c r="C19" s="35" t="s">
        <v>790</v>
      </c>
      <c r="D19" s="677">
        <v>0</v>
      </c>
      <c r="E19" s="3412"/>
      <c r="F19" s="3413"/>
      <c r="G19" s="59"/>
      <c r="H19" s="97"/>
      <c r="I19" s="35" t="s">
        <v>790</v>
      </c>
      <c r="J19" s="680">
        <f>FTEs!GT62</f>
        <v>0</v>
      </c>
      <c r="K19" s="50">
        <v>0</v>
      </c>
      <c r="L19" s="680">
        <f t="shared" si="0"/>
        <v>0</v>
      </c>
      <c r="M19" s="318"/>
      <c r="N19" s="318"/>
      <c r="O19" s="318"/>
      <c r="P19" s="318"/>
      <c r="Q19" s="318"/>
      <c r="R19" s="18"/>
      <c r="S19" s="18"/>
      <c r="T19" s="18"/>
      <c r="U19" s="18"/>
      <c r="V19" s="18"/>
      <c r="W19" s="18"/>
      <c r="X19" s="18"/>
      <c r="Y19" s="18"/>
      <c r="Z19" s="18"/>
      <c r="AA19" s="18"/>
      <c r="AB19" s="18"/>
      <c r="AC19" s="18"/>
      <c r="AD19" s="18"/>
    </row>
    <row r="20" spans="3:32" ht="12" customHeight="1" x14ac:dyDescent="0.25">
      <c r="C20" s="34" t="s">
        <v>803</v>
      </c>
      <c r="D20" s="677">
        <v>0</v>
      </c>
      <c r="E20" s="3412"/>
      <c r="F20" s="3413"/>
      <c r="G20" s="59"/>
      <c r="H20" s="97"/>
      <c r="I20" s="34" t="s">
        <v>803</v>
      </c>
      <c r="J20" s="679">
        <f>FTEs!GU62</f>
        <v>0</v>
      </c>
      <c r="K20" s="50">
        <v>0</v>
      </c>
      <c r="L20" s="679">
        <f t="shared" si="0"/>
        <v>0</v>
      </c>
      <c r="M20" s="318"/>
      <c r="N20" s="318"/>
      <c r="O20" s="318"/>
      <c r="P20" s="318"/>
      <c r="Q20" s="318"/>
      <c r="R20" s="18"/>
      <c r="S20" s="18"/>
      <c r="T20" s="18"/>
      <c r="U20" s="18"/>
      <c r="V20" s="18"/>
      <c r="W20" s="18"/>
      <c r="X20" s="18"/>
      <c r="Y20" s="18"/>
      <c r="Z20" s="18"/>
      <c r="AA20" s="18"/>
      <c r="AB20" s="18"/>
      <c r="AC20" s="18"/>
      <c r="AD20" s="18"/>
    </row>
    <row r="21" spans="3:32" ht="12" customHeight="1" x14ac:dyDescent="0.25">
      <c r="C21" s="34" t="s">
        <v>804</v>
      </c>
      <c r="D21" s="677">
        <v>0</v>
      </c>
      <c r="E21" s="3412"/>
      <c r="F21" s="3413"/>
      <c r="G21" s="59"/>
      <c r="H21" s="97"/>
      <c r="I21" s="34" t="s">
        <v>804</v>
      </c>
      <c r="J21" s="679">
        <f>FTEs!GV62</f>
        <v>0</v>
      </c>
      <c r="K21" s="50">
        <v>0</v>
      </c>
      <c r="L21" s="679">
        <f t="shared" si="0"/>
        <v>0</v>
      </c>
      <c r="M21" s="318"/>
      <c r="N21" s="318"/>
      <c r="O21" s="318"/>
      <c r="P21" s="318"/>
      <c r="Q21" s="318"/>
      <c r="R21" s="18"/>
      <c r="S21" s="18"/>
      <c r="T21" s="18"/>
      <c r="U21" s="18"/>
      <c r="V21" s="18"/>
      <c r="W21" s="18"/>
      <c r="X21" s="18"/>
      <c r="Y21" s="18"/>
      <c r="Z21" s="18"/>
      <c r="AA21" s="18"/>
      <c r="AB21" s="18"/>
      <c r="AC21" s="18"/>
      <c r="AD21" s="18"/>
    </row>
    <row r="22" spans="3:32" ht="12" customHeight="1" x14ac:dyDescent="0.25">
      <c r="C22" s="34" t="s">
        <v>946</v>
      </c>
      <c r="D22" s="677">
        <v>0</v>
      </c>
      <c r="E22" s="3412"/>
      <c r="F22" s="3413"/>
      <c r="G22" s="59"/>
      <c r="H22" s="97"/>
      <c r="I22" s="34" t="s">
        <v>946</v>
      </c>
      <c r="J22" s="679">
        <f>+FTEs!GW62</f>
        <v>0</v>
      </c>
      <c r="K22" s="50">
        <v>0</v>
      </c>
      <c r="L22" s="679">
        <f t="shared" si="0"/>
        <v>0</v>
      </c>
      <c r="M22" s="318"/>
      <c r="N22" s="318"/>
      <c r="O22" s="318"/>
      <c r="P22" s="318"/>
      <c r="Q22" s="318"/>
      <c r="R22" s="18"/>
      <c r="S22" s="18"/>
      <c r="T22" s="18"/>
      <c r="U22" s="18"/>
      <c r="V22" s="18"/>
      <c r="W22" s="18"/>
      <c r="X22" s="18"/>
      <c r="Y22" s="18"/>
      <c r="Z22" s="18"/>
      <c r="AA22" s="18"/>
      <c r="AB22" s="18"/>
      <c r="AC22" s="18"/>
      <c r="AD22" s="18"/>
    </row>
    <row r="23" spans="3:32" ht="12" customHeight="1" x14ac:dyDescent="0.25">
      <c r="C23" s="34" t="s">
        <v>948</v>
      </c>
      <c r="D23" s="677">
        <v>0</v>
      </c>
      <c r="E23" s="3412"/>
      <c r="F23" s="3413"/>
      <c r="G23" s="59"/>
      <c r="H23" s="97"/>
      <c r="I23" s="34" t="s">
        <v>948</v>
      </c>
      <c r="J23" s="679">
        <f>+FTEs!GX62</f>
        <v>0</v>
      </c>
      <c r="K23" s="50">
        <v>0</v>
      </c>
      <c r="L23" s="679">
        <f t="shared" si="0"/>
        <v>0</v>
      </c>
      <c r="M23" s="318"/>
      <c r="N23" s="318"/>
      <c r="O23" s="318"/>
      <c r="P23" s="318"/>
      <c r="Q23" s="318"/>
      <c r="R23" s="18"/>
      <c r="S23" s="18"/>
      <c r="T23" s="18"/>
      <c r="U23" s="18"/>
      <c r="V23" s="18"/>
      <c r="W23" s="18"/>
      <c r="X23" s="18"/>
      <c r="Y23" s="18"/>
      <c r="Z23" s="18"/>
      <c r="AA23" s="18"/>
      <c r="AB23" s="18"/>
      <c r="AC23" s="18"/>
      <c r="AD23" s="18"/>
    </row>
    <row r="24" spans="3:32" ht="12" customHeight="1" x14ac:dyDescent="0.25">
      <c r="C24" s="34" t="s">
        <v>949</v>
      </c>
      <c r="D24" s="677">
        <v>0</v>
      </c>
      <c r="E24" s="3412"/>
      <c r="F24" s="3413"/>
      <c r="G24" s="59"/>
      <c r="H24" s="97"/>
      <c r="I24" s="34" t="s">
        <v>949</v>
      </c>
      <c r="J24" s="679">
        <f>+FTEs!GY62</f>
        <v>0</v>
      </c>
      <c r="K24" s="50">
        <v>0</v>
      </c>
      <c r="L24" s="679">
        <f>J24+K24</f>
        <v>0</v>
      </c>
      <c r="M24" s="318"/>
      <c r="N24" s="318"/>
      <c r="O24" s="318"/>
      <c r="P24" s="318"/>
      <c r="Q24" s="318"/>
      <c r="R24" s="18"/>
      <c r="S24" s="18"/>
      <c r="T24" s="18"/>
      <c r="U24" s="18"/>
      <c r="V24" s="18"/>
      <c r="W24" s="18"/>
      <c r="X24" s="18"/>
      <c r="Y24" s="18"/>
      <c r="Z24" s="18"/>
      <c r="AA24" s="18"/>
      <c r="AB24" s="18"/>
      <c r="AC24" s="18"/>
      <c r="AD24" s="18"/>
    </row>
    <row r="25" spans="3:32" ht="12" customHeight="1" x14ac:dyDescent="0.25">
      <c r="C25" s="34" t="s">
        <v>965</v>
      </c>
      <c r="D25" s="677">
        <v>0</v>
      </c>
      <c r="E25" s="3412"/>
      <c r="F25" s="3413"/>
      <c r="G25" s="59"/>
      <c r="H25" s="97"/>
      <c r="I25" s="34" t="s">
        <v>965</v>
      </c>
      <c r="J25" s="679">
        <f>+FTEs!GZ62</f>
        <v>0</v>
      </c>
      <c r="K25" s="50">
        <v>0</v>
      </c>
      <c r="L25" s="679">
        <f>J25+K25</f>
        <v>0</v>
      </c>
      <c r="M25" s="318"/>
      <c r="N25" s="318"/>
      <c r="O25" s="318"/>
      <c r="P25" s="318"/>
      <c r="Q25" s="318"/>
      <c r="R25" s="18"/>
      <c r="S25" s="18"/>
      <c r="T25" s="18"/>
      <c r="U25" s="18"/>
      <c r="V25" s="18"/>
      <c r="W25" s="18"/>
      <c r="X25" s="18"/>
      <c r="Y25" s="18"/>
      <c r="Z25" s="18"/>
      <c r="AA25" s="18"/>
      <c r="AB25" s="18"/>
      <c r="AC25" s="18"/>
      <c r="AD25" s="18"/>
    </row>
    <row r="26" spans="3:32" ht="12" customHeight="1" x14ac:dyDescent="0.25">
      <c r="C26" s="34" t="s">
        <v>966</v>
      </c>
      <c r="D26" s="677">
        <v>0</v>
      </c>
      <c r="E26" s="3412"/>
      <c r="F26" s="3413"/>
      <c r="G26" s="59"/>
      <c r="H26" s="97"/>
      <c r="I26" s="34" t="s">
        <v>966</v>
      </c>
      <c r="J26" s="679">
        <f>+FTEs!HA62</f>
        <v>0</v>
      </c>
      <c r="K26" s="50">
        <v>0</v>
      </c>
      <c r="L26" s="679">
        <f>J26+K26</f>
        <v>0</v>
      </c>
      <c r="M26" s="318"/>
      <c r="N26" s="318"/>
      <c r="O26" s="318"/>
      <c r="P26" s="318"/>
      <c r="Q26" s="318"/>
      <c r="R26" s="18"/>
      <c r="S26" s="18"/>
      <c r="T26" s="18"/>
      <c r="U26" s="18"/>
      <c r="V26" s="18"/>
      <c r="W26" s="18"/>
      <c r="X26" s="18"/>
      <c r="Y26" s="18"/>
      <c r="Z26" s="18"/>
      <c r="AA26" s="18"/>
      <c r="AB26" s="18"/>
      <c r="AC26" s="18"/>
      <c r="AD26" s="18"/>
    </row>
    <row r="27" spans="3:32" ht="12" customHeight="1" x14ac:dyDescent="0.25">
      <c r="C27" s="962" t="s">
        <v>967</v>
      </c>
      <c r="D27" s="677">
        <v>0</v>
      </c>
      <c r="E27" s="3412"/>
      <c r="F27" s="3413"/>
      <c r="G27" s="59"/>
      <c r="H27" s="97"/>
      <c r="I27" s="962" t="s">
        <v>967</v>
      </c>
      <c r="J27" s="679">
        <f>+FTEs!HA62</f>
        <v>0</v>
      </c>
      <c r="K27" s="50">
        <v>0</v>
      </c>
      <c r="L27" s="679">
        <f t="shared" ref="L27:L28" si="1">J27+K27</f>
        <v>0</v>
      </c>
      <c r="M27" s="318"/>
      <c r="N27" s="318"/>
      <c r="O27" s="318"/>
      <c r="P27" s="318"/>
      <c r="Q27" s="318"/>
      <c r="R27" s="18"/>
      <c r="S27" s="18"/>
      <c r="T27" s="18"/>
      <c r="U27" s="18"/>
      <c r="V27" s="18"/>
      <c r="W27" s="18"/>
      <c r="X27" s="18"/>
      <c r="Y27" s="18"/>
      <c r="Z27" s="18"/>
      <c r="AA27" s="18"/>
      <c r="AB27" s="18"/>
      <c r="AC27" s="18"/>
      <c r="AD27" s="18"/>
    </row>
    <row r="28" spans="3:32" ht="12" customHeight="1" x14ac:dyDescent="0.25">
      <c r="C28" s="962" t="s">
        <v>968</v>
      </c>
      <c r="D28" s="677">
        <v>0</v>
      </c>
      <c r="E28" s="3412"/>
      <c r="F28" s="3413"/>
      <c r="G28" s="59"/>
      <c r="H28" s="97"/>
      <c r="I28" s="962" t="s">
        <v>968</v>
      </c>
      <c r="J28" s="679">
        <f>+FTEs!HA62</f>
        <v>0</v>
      </c>
      <c r="K28" s="50">
        <v>0</v>
      </c>
      <c r="L28" s="679">
        <f t="shared" si="1"/>
        <v>0</v>
      </c>
      <c r="M28" s="318"/>
      <c r="N28" s="318"/>
      <c r="O28" s="318"/>
      <c r="P28" s="318"/>
      <c r="Q28" s="318"/>
      <c r="R28" s="18"/>
      <c r="S28" s="18"/>
      <c r="T28" s="18"/>
      <c r="U28" s="18"/>
      <c r="V28" s="18"/>
      <c r="W28" s="18"/>
      <c r="X28" s="18"/>
      <c r="Y28" s="18"/>
      <c r="Z28" s="18"/>
      <c r="AA28" s="18"/>
      <c r="AB28" s="18"/>
      <c r="AC28" s="18"/>
      <c r="AD28" s="18"/>
    </row>
    <row r="29" spans="3:32" ht="12" customHeight="1" x14ac:dyDescent="0.25">
      <c r="E29" s="27"/>
      <c r="F29" s="27"/>
      <c r="G29" s="27"/>
      <c r="H29" s="27"/>
      <c r="I29" s="27"/>
      <c r="J29" s="27"/>
      <c r="K29" s="27"/>
      <c r="L29" s="27"/>
      <c r="M29" s="27"/>
      <c r="N29" s="27"/>
      <c r="O29" s="27"/>
      <c r="P29" s="27"/>
      <c r="Q29" s="27"/>
      <c r="R29" s="18"/>
      <c r="S29" s="18"/>
      <c r="T29" s="18"/>
      <c r="U29" s="18"/>
      <c r="V29" s="18"/>
      <c r="W29" s="18"/>
      <c r="X29" s="18"/>
      <c r="Y29" s="18"/>
      <c r="Z29" s="18"/>
      <c r="AA29" s="18"/>
      <c r="AB29" s="18"/>
      <c r="AC29" s="18"/>
      <c r="AD29" s="18"/>
      <c r="AE29" s="18"/>
      <c r="AF29" s="18"/>
    </row>
    <row r="30" spans="3:32" ht="12" customHeight="1" x14ac:dyDescent="0.25">
      <c r="C30" s="60" t="s">
        <v>703</v>
      </c>
      <c r="D30" s="60"/>
      <c r="E30" s="60"/>
      <c r="F30" s="60"/>
      <c r="G30" s="60"/>
      <c r="H30" s="60"/>
      <c r="I30" s="60" t="s">
        <v>280</v>
      </c>
      <c r="J30" s="60"/>
      <c r="K30" s="60"/>
      <c r="L30" s="60"/>
      <c r="M30" s="60"/>
      <c r="N30" s="60"/>
      <c r="O30" s="60"/>
      <c r="P30" s="60"/>
      <c r="Q30" s="60"/>
      <c r="R30" s="18"/>
      <c r="S30" s="18"/>
      <c r="T30" s="18"/>
      <c r="U30" s="18"/>
      <c r="V30" s="18"/>
      <c r="W30" s="18"/>
      <c r="X30" s="18"/>
      <c r="Y30" s="18"/>
      <c r="Z30" s="18"/>
      <c r="AA30" s="18"/>
      <c r="AB30" s="18"/>
      <c r="AC30" s="18"/>
      <c r="AD30" s="18"/>
      <c r="AE30" s="18"/>
      <c r="AF30" s="18"/>
    </row>
    <row r="31" spans="3:32" ht="14.25" customHeight="1" x14ac:dyDescent="0.25">
      <c r="C31" s="39" t="s">
        <v>19</v>
      </c>
      <c r="D31" s="27"/>
      <c r="E31" s="27"/>
      <c r="F31" s="30"/>
      <c r="G31" s="68" t="s">
        <v>277</v>
      </c>
      <c r="I31" s="39"/>
      <c r="J31" s="27"/>
      <c r="K31" s="27"/>
      <c r="L31" s="30"/>
      <c r="M31" s="68"/>
      <c r="N31" s="68"/>
      <c r="O31" s="68"/>
      <c r="P31" s="68"/>
      <c r="Q31" s="68"/>
      <c r="R31" s="18"/>
      <c r="S31" s="18"/>
      <c r="T31" s="18"/>
      <c r="U31" s="18"/>
      <c r="V31" s="18"/>
      <c r="W31" s="18"/>
      <c r="X31" s="18"/>
      <c r="Y31" s="18"/>
      <c r="Z31" s="18"/>
      <c r="AA31" s="18"/>
      <c r="AB31" s="18"/>
      <c r="AC31" s="18"/>
      <c r="AD31" s="18"/>
      <c r="AE31" s="18"/>
      <c r="AF31" s="18"/>
    </row>
    <row r="32" spans="3:32" ht="12.75" customHeight="1" x14ac:dyDescent="0.25">
      <c r="C32" s="31" t="s">
        <v>682</v>
      </c>
      <c r="D32" s="27" t="s">
        <v>668</v>
      </c>
      <c r="E32" s="31" t="s">
        <v>669</v>
      </c>
      <c r="F32" s="29"/>
      <c r="G32" s="27" t="s">
        <v>708</v>
      </c>
      <c r="I32" s="31" t="s">
        <v>682</v>
      </c>
      <c r="J32" s="27" t="s">
        <v>278</v>
      </c>
      <c r="K32" s="27" t="s">
        <v>279</v>
      </c>
      <c r="L32" s="27" t="s">
        <v>346</v>
      </c>
      <c r="M32" s="18"/>
      <c r="N32" s="18"/>
      <c r="O32" s="18"/>
      <c r="P32" s="18"/>
      <c r="Q32" s="18"/>
      <c r="R32" s="18"/>
      <c r="S32" s="18"/>
      <c r="T32" s="18"/>
      <c r="U32" s="18"/>
      <c r="V32" s="18"/>
      <c r="W32" s="18"/>
      <c r="X32" s="18"/>
      <c r="Y32" s="18"/>
      <c r="Z32" s="18"/>
      <c r="AA32" s="18"/>
      <c r="AB32" s="18"/>
      <c r="AC32" s="18"/>
      <c r="AD32" s="18"/>
      <c r="AE32" s="18"/>
      <c r="AF32" s="18"/>
    </row>
    <row r="33" spans="2:32" ht="12" customHeight="1" x14ac:dyDescent="0.25">
      <c r="B33" s="33"/>
      <c r="C33" s="32" t="s">
        <v>685</v>
      </c>
      <c r="D33" s="50">
        <v>0</v>
      </c>
      <c r="E33" s="3418"/>
      <c r="F33" s="3419"/>
      <c r="G33" s="59"/>
      <c r="I33" s="32" t="s">
        <v>685</v>
      </c>
      <c r="J33" s="296"/>
      <c r="K33" s="50">
        <v>0</v>
      </c>
      <c r="L33" s="297">
        <f t="shared" ref="L33:L46" si="2">K33*J33</f>
        <v>0</v>
      </c>
      <c r="M33" s="18"/>
      <c r="N33" s="18"/>
      <c r="O33" s="18"/>
      <c r="P33" s="18"/>
      <c r="Q33" s="18"/>
      <c r="R33" s="18"/>
      <c r="S33" s="18"/>
      <c r="T33" s="18"/>
      <c r="U33" s="18"/>
      <c r="V33" s="18"/>
      <c r="W33" s="18"/>
      <c r="X33" s="18"/>
      <c r="Y33" s="18"/>
      <c r="Z33" s="18"/>
      <c r="AA33" s="18"/>
      <c r="AB33" s="18"/>
      <c r="AC33" s="18"/>
      <c r="AD33" s="18"/>
      <c r="AE33" s="18"/>
      <c r="AF33" s="18"/>
    </row>
    <row r="34" spans="2:32" ht="12" customHeight="1" x14ac:dyDescent="0.25">
      <c r="B34" s="33"/>
      <c r="C34" s="34" t="s">
        <v>686</v>
      </c>
      <c r="D34" s="50">
        <v>0</v>
      </c>
      <c r="E34" s="3418"/>
      <c r="F34" s="3419"/>
      <c r="G34" s="59"/>
      <c r="I34" s="34" t="s">
        <v>686</v>
      </c>
      <c r="J34" s="296"/>
      <c r="K34" s="50">
        <v>0</v>
      </c>
      <c r="L34" s="297">
        <f t="shared" si="2"/>
        <v>0</v>
      </c>
      <c r="M34" s="18"/>
      <c r="N34" s="18"/>
      <c r="O34" s="18"/>
      <c r="P34" s="18"/>
      <c r="Q34" s="18"/>
      <c r="R34" s="18"/>
      <c r="S34" s="18"/>
      <c r="T34" s="18"/>
      <c r="U34" s="18"/>
      <c r="V34" s="18"/>
      <c r="W34" s="18"/>
      <c r="X34" s="18"/>
      <c r="Y34" s="18"/>
      <c r="Z34" s="18"/>
      <c r="AA34" s="18"/>
      <c r="AB34" s="18"/>
      <c r="AC34" s="18"/>
      <c r="AD34" s="18"/>
      <c r="AE34" s="18"/>
      <c r="AF34" s="18"/>
    </row>
    <row r="35" spans="2:32" ht="12" customHeight="1" x14ac:dyDescent="0.25">
      <c r="B35" s="33"/>
      <c r="C35" s="34" t="s">
        <v>687</v>
      </c>
      <c r="D35" s="50">
        <v>0</v>
      </c>
      <c r="E35" s="3412"/>
      <c r="F35" s="3413"/>
      <c r="G35" s="59"/>
      <c r="I35" s="34" t="s">
        <v>687</v>
      </c>
      <c r="J35" s="296"/>
      <c r="K35" s="50">
        <v>0</v>
      </c>
      <c r="L35" s="297">
        <f t="shared" si="2"/>
        <v>0</v>
      </c>
      <c r="M35" s="18"/>
      <c r="N35" s="18"/>
      <c r="O35" s="18"/>
      <c r="P35" s="18"/>
      <c r="Q35" s="18"/>
      <c r="R35" s="18"/>
      <c r="S35" s="18"/>
      <c r="T35" s="18"/>
      <c r="U35" s="18"/>
      <c r="V35" s="18"/>
      <c r="W35" s="18"/>
      <c r="X35" s="18"/>
      <c r="Y35" s="18"/>
      <c r="Z35" s="18"/>
      <c r="AA35" s="18"/>
      <c r="AB35" s="18"/>
      <c r="AC35" s="18"/>
      <c r="AD35" s="18"/>
      <c r="AE35" s="18"/>
      <c r="AF35" s="18"/>
    </row>
    <row r="36" spans="2:32" ht="12" customHeight="1" x14ac:dyDescent="0.25">
      <c r="B36" s="33"/>
      <c r="C36" s="34" t="s">
        <v>711</v>
      </c>
      <c r="D36" s="50">
        <v>0</v>
      </c>
      <c r="E36" s="3412"/>
      <c r="F36" s="3413"/>
      <c r="G36" s="59"/>
      <c r="I36" s="34" t="s">
        <v>711</v>
      </c>
      <c r="J36" s="296"/>
      <c r="K36" s="50">
        <v>0</v>
      </c>
      <c r="L36" s="297">
        <f t="shared" si="2"/>
        <v>0</v>
      </c>
      <c r="M36" s="18"/>
      <c r="N36" s="18"/>
      <c r="O36" s="18"/>
      <c r="P36" s="18"/>
      <c r="Q36" s="18"/>
      <c r="R36" s="18"/>
      <c r="S36" s="18"/>
      <c r="T36" s="18"/>
      <c r="U36" s="18"/>
      <c r="V36" s="18"/>
      <c r="W36" s="18"/>
      <c r="X36" s="18"/>
      <c r="Y36" s="18"/>
      <c r="Z36" s="18"/>
      <c r="AA36" s="18"/>
      <c r="AB36" s="18"/>
      <c r="AC36" s="18"/>
      <c r="AD36" s="18"/>
      <c r="AE36" s="18"/>
      <c r="AF36" s="18"/>
    </row>
    <row r="37" spans="2:32" ht="12" customHeight="1" x14ac:dyDescent="0.25">
      <c r="B37" s="21"/>
      <c r="C37" s="35" t="s">
        <v>719</v>
      </c>
      <c r="D37" s="50">
        <v>0</v>
      </c>
      <c r="E37" s="3412"/>
      <c r="F37" s="3413"/>
      <c r="G37" s="59"/>
      <c r="I37" s="35" t="s">
        <v>719</v>
      </c>
      <c r="J37" s="296"/>
      <c r="K37" s="50">
        <v>0</v>
      </c>
      <c r="L37" s="297">
        <f t="shared" si="2"/>
        <v>0</v>
      </c>
    </row>
    <row r="38" spans="2:32" ht="12" customHeight="1" x14ac:dyDescent="0.25">
      <c r="B38" s="21"/>
      <c r="C38" s="35" t="s">
        <v>444</v>
      </c>
      <c r="D38" s="50">
        <v>0</v>
      </c>
      <c r="E38" s="3412"/>
      <c r="F38" s="3413"/>
      <c r="G38" s="59"/>
      <c r="I38" s="35" t="s">
        <v>444</v>
      </c>
      <c r="J38" s="296"/>
      <c r="K38" s="50">
        <v>0</v>
      </c>
      <c r="L38" s="297">
        <f t="shared" si="2"/>
        <v>0</v>
      </c>
    </row>
    <row r="39" spans="2:32" ht="12" customHeight="1" x14ac:dyDescent="0.25">
      <c r="B39" s="21"/>
      <c r="C39" s="35" t="s">
        <v>445</v>
      </c>
      <c r="D39" s="50">
        <v>0</v>
      </c>
      <c r="E39" s="3412"/>
      <c r="F39" s="3413"/>
      <c r="G39" s="59"/>
      <c r="I39" s="35" t="s">
        <v>445</v>
      </c>
      <c r="J39" s="296"/>
      <c r="K39" s="50">
        <v>0</v>
      </c>
      <c r="L39" s="297">
        <f t="shared" si="2"/>
        <v>0</v>
      </c>
    </row>
    <row r="40" spans="2:32" ht="12" customHeight="1" x14ac:dyDescent="0.25">
      <c r="B40" s="21"/>
      <c r="C40" s="35" t="s">
        <v>722</v>
      </c>
      <c r="D40" s="50">
        <v>0</v>
      </c>
      <c r="E40" s="3412"/>
      <c r="F40" s="3413"/>
      <c r="G40" s="59"/>
      <c r="I40" s="35" t="s">
        <v>722</v>
      </c>
      <c r="J40" s="296"/>
      <c r="K40" s="50">
        <v>0</v>
      </c>
      <c r="L40" s="297">
        <f t="shared" si="2"/>
        <v>0</v>
      </c>
    </row>
    <row r="41" spans="2:32" ht="12" customHeight="1" x14ac:dyDescent="0.25">
      <c r="B41" s="21"/>
      <c r="C41" s="35" t="s">
        <v>770</v>
      </c>
      <c r="D41" s="50">
        <v>0</v>
      </c>
      <c r="E41" s="3416"/>
      <c r="F41" s="3417"/>
      <c r="G41" s="466"/>
      <c r="I41" s="35" t="s">
        <v>770</v>
      </c>
      <c r="J41" s="467"/>
      <c r="K41" s="50">
        <v>0</v>
      </c>
      <c r="L41" s="468">
        <f t="shared" si="2"/>
        <v>0</v>
      </c>
    </row>
    <row r="42" spans="2:32" ht="12" customHeight="1" x14ac:dyDescent="0.25">
      <c r="B42" s="21"/>
      <c r="C42" s="35" t="s">
        <v>790</v>
      </c>
      <c r="D42" s="50">
        <v>0</v>
      </c>
      <c r="E42" s="3412"/>
      <c r="F42" s="3413"/>
      <c r="G42" s="59"/>
      <c r="I42" s="35" t="s">
        <v>790</v>
      </c>
      <c r="J42" s="467"/>
      <c r="K42" s="50">
        <v>0</v>
      </c>
      <c r="L42" s="297">
        <f t="shared" si="2"/>
        <v>0</v>
      </c>
    </row>
    <row r="43" spans="2:32" ht="12" customHeight="1" x14ac:dyDescent="0.25">
      <c r="B43" s="21"/>
      <c r="C43" s="34" t="s">
        <v>803</v>
      </c>
      <c r="D43" s="50">
        <v>0</v>
      </c>
      <c r="E43" s="3412"/>
      <c r="F43" s="3413"/>
      <c r="G43" s="59"/>
      <c r="I43" s="34" t="s">
        <v>803</v>
      </c>
      <c r="J43" s="467"/>
      <c r="K43" s="50">
        <v>0</v>
      </c>
      <c r="L43" s="297">
        <f t="shared" si="2"/>
        <v>0</v>
      </c>
    </row>
    <row r="44" spans="2:32" ht="12" customHeight="1" x14ac:dyDescent="0.25">
      <c r="B44" s="21"/>
      <c r="C44" s="34" t="s">
        <v>804</v>
      </c>
      <c r="D44" s="50">
        <v>0</v>
      </c>
      <c r="E44" s="3412"/>
      <c r="F44" s="3413"/>
      <c r="G44" s="59"/>
      <c r="I44" s="34" t="s">
        <v>804</v>
      </c>
      <c r="J44" s="467"/>
      <c r="K44" s="50">
        <v>0</v>
      </c>
      <c r="L44" s="297">
        <f>K44*J44</f>
        <v>0</v>
      </c>
    </row>
    <row r="45" spans="2:32" ht="12" customHeight="1" x14ac:dyDescent="0.25">
      <c r="B45" s="21"/>
      <c r="C45" s="34" t="s">
        <v>946</v>
      </c>
      <c r="D45" s="50">
        <v>0</v>
      </c>
      <c r="E45" s="3412"/>
      <c r="F45" s="3413"/>
      <c r="G45" s="59"/>
      <c r="I45" s="34" t="s">
        <v>946</v>
      </c>
      <c r="J45" s="467"/>
      <c r="K45" s="50">
        <v>0</v>
      </c>
      <c r="L45" s="297">
        <f t="shared" si="2"/>
        <v>0</v>
      </c>
    </row>
    <row r="46" spans="2:32" ht="12" customHeight="1" x14ac:dyDescent="0.25">
      <c r="B46" s="21"/>
      <c r="C46" s="34" t="s">
        <v>948</v>
      </c>
      <c r="D46" s="50">
        <v>0</v>
      </c>
      <c r="E46" s="3412"/>
      <c r="F46" s="3413"/>
      <c r="G46" s="59"/>
      <c r="I46" s="34" t="s">
        <v>948</v>
      </c>
      <c r="J46" s="467"/>
      <c r="K46" s="50">
        <v>0</v>
      </c>
      <c r="L46" s="297">
        <f t="shared" si="2"/>
        <v>0</v>
      </c>
    </row>
    <row r="47" spans="2:32" ht="11.85" customHeight="1" x14ac:dyDescent="0.25">
      <c r="B47" s="21"/>
      <c r="C47" s="34" t="s">
        <v>949</v>
      </c>
      <c r="D47" s="50">
        <v>0</v>
      </c>
      <c r="E47" s="3412"/>
      <c r="F47" s="3413"/>
      <c r="G47" s="59"/>
      <c r="I47" s="34" t="s">
        <v>949</v>
      </c>
      <c r="J47" s="467"/>
      <c r="K47" s="50">
        <v>0</v>
      </c>
      <c r="L47" s="297">
        <f>K47*J47</f>
        <v>0</v>
      </c>
    </row>
    <row r="48" spans="2:32" ht="12" customHeight="1" x14ac:dyDescent="0.25">
      <c r="B48" s="21"/>
      <c r="C48" s="34" t="s">
        <v>965</v>
      </c>
      <c r="D48" s="50">
        <v>0</v>
      </c>
      <c r="E48" s="3412"/>
      <c r="F48" s="3413"/>
      <c r="G48" s="59"/>
      <c r="I48" s="34" t="s">
        <v>965</v>
      </c>
      <c r="J48" s="467"/>
      <c r="K48" s="50">
        <v>0</v>
      </c>
      <c r="L48" s="297">
        <f>K48*J48</f>
        <v>0</v>
      </c>
    </row>
    <row r="49" spans="1:23" ht="12" customHeight="1" x14ac:dyDescent="0.25">
      <c r="B49" s="21"/>
      <c r="C49" s="34" t="s">
        <v>966</v>
      </c>
      <c r="D49" s="50">
        <v>0</v>
      </c>
      <c r="E49" s="3412"/>
      <c r="F49" s="3413"/>
      <c r="G49" s="59"/>
      <c r="I49" s="34" t="s">
        <v>966</v>
      </c>
      <c r="J49" s="467"/>
      <c r="K49" s="50">
        <v>0</v>
      </c>
      <c r="L49" s="297">
        <f>K49*J49</f>
        <v>0</v>
      </c>
    </row>
    <row r="50" spans="1:23" ht="12" customHeight="1" x14ac:dyDescent="0.25">
      <c r="B50" s="21"/>
      <c r="C50" s="962" t="s">
        <v>967</v>
      </c>
      <c r="D50" s="50">
        <v>0</v>
      </c>
      <c r="E50" s="3412"/>
      <c r="F50" s="3413"/>
      <c r="G50" s="59"/>
      <c r="I50" s="962" t="s">
        <v>967</v>
      </c>
      <c r="J50" s="467"/>
      <c r="K50" s="50">
        <v>0</v>
      </c>
      <c r="L50" s="297">
        <f t="shared" ref="L50:L51" si="3">K50*J50</f>
        <v>0</v>
      </c>
    </row>
    <row r="51" spans="1:23" ht="12" customHeight="1" x14ac:dyDescent="0.25">
      <c r="B51" s="21"/>
      <c r="C51" s="962" t="s">
        <v>968</v>
      </c>
      <c r="D51" s="50">
        <v>0</v>
      </c>
      <c r="E51" s="3412"/>
      <c r="F51" s="3413"/>
      <c r="G51" s="59"/>
      <c r="I51" s="962" t="s">
        <v>968</v>
      </c>
      <c r="J51" s="467"/>
      <c r="K51" s="50">
        <v>0</v>
      </c>
      <c r="L51" s="297">
        <f t="shared" si="3"/>
        <v>0</v>
      </c>
    </row>
    <row r="52" spans="1:23" x14ac:dyDescent="0.25">
      <c r="E52" s="20"/>
      <c r="F52" s="20"/>
      <c r="G52" s="27"/>
      <c r="I52" s="96"/>
      <c r="J52" s="96"/>
      <c r="K52" s="96"/>
      <c r="L52" s="20"/>
      <c r="M52" s="20"/>
      <c r="N52" s="20"/>
      <c r="O52" s="20"/>
      <c r="P52" s="20"/>
      <c r="Q52" s="20"/>
    </row>
    <row r="53" spans="1:23" x14ac:dyDescent="0.25">
      <c r="B53" s="43" t="s">
        <v>290</v>
      </c>
      <c r="C53" s="43"/>
    </row>
    <row r="54" spans="1:23" x14ac:dyDescent="0.25">
      <c r="B54" s="43"/>
      <c r="C54" s="43"/>
      <c r="W54" t="s">
        <v>713</v>
      </c>
    </row>
    <row r="55" spans="1:23" x14ac:dyDescent="0.25">
      <c r="B55" s="15"/>
      <c r="C55" s="42" t="s">
        <v>695</v>
      </c>
      <c r="D55" s="44" t="s">
        <v>685</v>
      </c>
      <c r="E55" s="44" t="s">
        <v>686</v>
      </c>
      <c r="F55" s="44" t="s">
        <v>687</v>
      </c>
      <c r="G55" s="44" t="s">
        <v>711</v>
      </c>
      <c r="H55" s="44" t="s">
        <v>719</v>
      </c>
      <c r="I55" s="44" t="s">
        <v>444</v>
      </c>
      <c r="J55" s="44" t="s">
        <v>445</v>
      </c>
      <c r="K55" s="44" t="s">
        <v>722</v>
      </c>
      <c r="L55" s="44" t="s">
        <v>770</v>
      </c>
      <c r="M55" s="44" t="s">
        <v>790</v>
      </c>
      <c r="N55" s="44" t="s">
        <v>803</v>
      </c>
      <c r="O55" s="44" t="s">
        <v>804</v>
      </c>
      <c r="P55" s="44" t="s">
        <v>946</v>
      </c>
      <c r="Q55" s="44" t="s">
        <v>948</v>
      </c>
      <c r="R55" s="44" t="s">
        <v>949</v>
      </c>
      <c r="S55" s="44" t="s">
        <v>965</v>
      </c>
      <c r="T55" s="44" t="s">
        <v>966</v>
      </c>
      <c r="U55" s="44" t="s">
        <v>967</v>
      </c>
      <c r="V55" s="44" t="s">
        <v>968</v>
      </c>
      <c r="W55" s="403" t="s">
        <v>712</v>
      </c>
    </row>
    <row r="56" spans="1:23" x14ac:dyDescent="0.25">
      <c r="A56" s="70">
        <f t="shared" ref="A56:A72" si="4">+G10</f>
        <v>0</v>
      </c>
      <c r="B56" s="80" t="s">
        <v>685</v>
      </c>
      <c r="C56" s="62">
        <f t="shared" ref="C56:C72" si="5">+D10</f>
        <v>0</v>
      </c>
      <c r="D56" s="100">
        <f>IF($G10=10,$C56/10,IF($G10=9,$C56/9,IF($G10=8,$C56/8,IF($G10=7,$C56/7,IF($G10=6,$C56/6,IF($G10=5,$C56/5,IF($G10=4,$C56/4,IF($G10=3,$C56/3,0))))))))</f>
        <v>0</v>
      </c>
      <c r="E56" s="100">
        <f>IF($G10=10,$C56/10,IF($G10=9,$C56/9,IF($G10=8,$C56/8,IF($G10=7,$C56/7,IF($G10=6,$C56/6,IF($G10=5,$C56/5,IF($G10=4,$C56/4,IF($G10=3,$C56/3,0))))))))</f>
        <v>0</v>
      </c>
      <c r="F56" s="100">
        <f>IF($G10=10,$C56/10,IF($G10=9,$C56/9,IF($G10=8,$C56/8,IF($G10=7,$C56/7,IF($G10=6,$C56/6,IF($G10=5,$C56/5,IF($G10=4,$C56/4,IF($G10=3,$C56/3,0))))))))</f>
        <v>0</v>
      </c>
      <c r="G56" s="100">
        <f>IF($G10=10,$C56/10,IF($G10=9,$C56/9,IF($G10=8,$C56/8,IF($G10=7,$C56/7,IF($G10=6,$C56/6,IF($G10=5,$C56/5,IF($G10=4,$C56/4,IF($G10=3,0,0))))))))</f>
        <v>0</v>
      </c>
      <c r="H56" s="100">
        <f>IF($G10=10,$C56/10,IF($G10=9,$C56/9,IF($G10=8,$C56/8,IF($G10=7,$C56/7,IF($G10=6,$C56/6,IF($G10=5,$C56/5,IF($G10=4,0,IF($G10=3,0,0))))))))</f>
        <v>0</v>
      </c>
      <c r="I56" s="100">
        <f>IF($G10=10,$C56/10,IF($G10=9,$C56/9,IF($G10=8,$C56/8,IF($G10=7,$C56/7,IF($G10=6,$C56/6,IF($G10=5,0,IF($G10=4,0,IF($G10=3,0,0))))))))</f>
        <v>0</v>
      </c>
      <c r="J56" s="100">
        <f>IF($G10=10,$C56/10,IF($G10=9,$C56/9,IF($G10=8,$C56/8,IF($G10=7,$C56/7,IF($G10=6,0,IF($G10=5,0,IF($G10=4,0,IF($G10=3,0,0))))))))</f>
        <v>0</v>
      </c>
      <c r="K56" s="100">
        <f>IF($G10=10,$C56/10,IF($G10=9,$C56/9,IF($G10=8,$C56/8,IF($G10=7,0,IF($G10=6,0,IF($G10=5,0,IF($G10=4,0,IF($G10=3,0,0))))))))</f>
        <v>0</v>
      </c>
      <c r="L56" s="100">
        <f>IF($G10=10,$C56/10,IF($G10=9,$C56/9,IF($G10=8,0,IF($G10=7,0,IF($G10=6,0,IF($G10=5,0,IF($G10=4,0,IF($G10=3,0,0))))))))</f>
        <v>0</v>
      </c>
      <c r="M56" s="100">
        <f>IF($G10=10,$C56/10,IF($G10=9,0,IF($G10=8,0,IF($G10=7,0,IF($G10=6,0,IF($G10=5,0,IF($G10=4,0,IF($G10=3,0,0))))))))</f>
        <v>0</v>
      </c>
      <c r="N56" s="100">
        <f t="shared" ref="N56:T56" si="6">IF($G10=10,0,IF($G10=9,0,IF($G10=8,0,IF($G10=7,0,IF($G10=6,0,IF($G10=5,0,IF($G10=4,0,IF($G10=3,0,0))))))))</f>
        <v>0</v>
      </c>
      <c r="O56" s="100">
        <f t="shared" si="6"/>
        <v>0</v>
      </c>
      <c r="P56" s="100">
        <f t="shared" si="6"/>
        <v>0</v>
      </c>
      <c r="Q56" s="100">
        <f t="shared" si="6"/>
        <v>0</v>
      </c>
      <c r="R56" s="100">
        <f t="shared" si="6"/>
        <v>0</v>
      </c>
      <c r="S56" s="100">
        <f t="shared" si="6"/>
        <v>0</v>
      </c>
      <c r="T56" s="100">
        <f t="shared" si="6"/>
        <v>0</v>
      </c>
      <c r="U56" s="100">
        <f t="shared" ref="U56:V56" si="7">IF($G10=10,0,IF($G10=9,0,IF($G10=8,0,IF($G10=7,0,IF($G10=6,0,IF($G10=5,0,IF($G10=4,0,IF($G10=3,0,0))))))))</f>
        <v>0</v>
      </c>
      <c r="V56" s="100">
        <f t="shared" si="7"/>
        <v>0</v>
      </c>
      <c r="W56" s="45">
        <f>C56-SUM(D56:T56)</f>
        <v>0</v>
      </c>
    </row>
    <row r="57" spans="1:23" x14ac:dyDescent="0.25">
      <c r="A57" s="70">
        <f t="shared" si="4"/>
        <v>0</v>
      </c>
      <c r="B57" s="81" t="s">
        <v>686</v>
      </c>
      <c r="C57" s="62">
        <f t="shared" si="5"/>
        <v>0</v>
      </c>
      <c r="D57" s="100"/>
      <c r="E57" s="100">
        <f>IF($G11=10,$C57/10,IF($G11=9,$C57/9,IF($G11=8,$C57/8,IF($G11=7,$C57/7,IF($G11=6,$C57/6,IF($G11=5,$C57/5,IF($G11=4,$C57/4,IF($G11=3,$C57/3,0))))))))</f>
        <v>0</v>
      </c>
      <c r="F57" s="100">
        <f>IF($G11=10,$C57/10,IF($G11=9,$C57/9,IF($G11=8,$C57/8,IF($G11=7,$C57/7,IF($G11=6,$C57/6,IF($G11=5,$C57/5,IF($G11=4,$C57/4,IF($G11=3,$C57/3,0))))))))</f>
        <v>0</v>
      </c>
      <c r="G57" s="100">
        <f>IF($G11=10,$C57/10,IF($G11=9,$C57/9,IF($G11=8,$C57/8,IF($G11=7,$C57/7,IF($G11=6,$C57/6,IF($G11=5,$C57/5,IF($G11=4,$C57/4,IF($G11=3,$C57/3,0))))))))</f>
        <v>0</v>
      </c>
      <c r="H57" s="100">
        <f>IF($G11=10,$C57/10,IF($G11=9,$C57/9,IF($G11=8,$C57/8,IF($G11=7,$C57/7,IF($G11=6,$C57/6,IF($G11=5,$C57/5,IF($G11=4,$C57/4,IF($G11=3,0,0))))))))</f>
        <v>0</v>
      </c>
      <c r="I57" s="100">
        <f>IF($G11=10,$C57/10,IF($G11=9,$C57/9,IF($G11=8,$C57/8,IF($G11=7,$C57/7,IF($G11=6,$C57/6,IF($G11=5,$C57/5,IF($G11=4,0,IF($G11=3,0,0))))))))</f>
        <v>0</v>
      </c>
      <c r="J57" s="100">
        <f>IF($G11=10,$C57/10,IF($G11=9,$C57/9,IF($G11=8,$C57/8,IF($G11=7,$C57/7,IF($G11=6,$C57/6,IF($G11=5,0,IF($G11=4,0,IF($G11=3,0,0))))))))</f>
        <v>0</v>
      </c>
      <c r="K57" s="100">
        <f>IF($G11=10,$C57/10,IF($G11=9,$C57/9,IF($G11=8,$C57/8,IF($G11=7,$C57/7,IF($G11=6,0,IF($G11=5,0,IF($G11=4,0,IF($G11=3,0,0))))))))</f>
        <v>0</v>
      </c>
      <c r="L57" s="100">
        <f>IF($G11=10,$C57/10,IF($G11=9,$C57/9,IF($G11=8,$C57/8,IF($G11=7,0,IF($G11=6,0,IF($G11=5,0,IF($G11=4,0,IF($G11=3,0,0))))))))</f>
        <v>0</v>
      </c>
      <c r="M57" s="100">
        <f>IF($G11=10,$C57/10,IF($G11=9,$C57/9,IF($G11=8,0,IF($G11=7,0,IF($G11=6,0,IF($G11=5,0,IF($G11=4,0,IF($G11=3,0,0))))))))</f>
        <v>0</v>
      </c>
      <c r="N57" s="100">
        <f>IF($G11=10,$C57/10,IF($G11=9,0,IF($G11=8,0,IF($G11=7,0,IF($G11=6,0,IF($G11=5,0,IF($G11=4,0,IF($G11=3,0,0))))))))</f>
        <v>0</v>
      </c>
      <c r="O57" s="100">
        <f t="shared" ref="O57:T57" si="8">IF($G11=10,0,IF($G11=9,0,IF($G11=8,0,IF($G11=7,0,IF($G11=6,0,IF($G11=5,0,IF($G11=4,0,IF($G11=3,0,0))))))))</f>
        <v>0</v>
      </c>
      <c r="P57" s="100">
        <f t="shared" si="8"/>
        <v>0</v>
      </c>
      <c r="Q57" s="100">
        <f t="shared" si="8"/>
        <v>0</v>
      </c>
      <c r="R57" s="100">
        <f t="shared" si="8"/>
        <v>0</v>
      </c>
      <c r="S57" s="100">
        <f t="shared" si="8"/>
        <v>0</v>
      </c>
      <c r="T57" s="100">
        <f t="shared" si="8"/>
        <v>0</v>
      </c>
      <c r="U57" s="100">
        <f t="shared" ref="U57:V57" si="9">IF($G11=10,0,IF($G11=9,0,IF($G11=8,0,IF($G11=7,0,IF($G11=6,0,IF($G11=5,0,IF($G11=4,0,IF($G11=3,0,0))))))))</f>
        <v>0</v>
      </c>
      <c r="V57" s="100">
        <f t="shared" si="9"/>
        <v>0</v>
      </c>
      <c r="W57" s="45">
        <f t="shared" ref="W57:W74" si="10">C57-SUM(D57:T57)</f>
        <v>0</v>
      </c>
    </row>
    <row r="58" spans="1:23" x14ac:dyDescent="0.25">
      <c r="A58" s="70">
        <f t="shared" si="4"/>
        <v>0</v>
      </c>
      <c r="B58" s="81" t="s">
        <v>687</v>
      </c>
      <c r="C58" s="62">
        <f t="shared" si="5"/>
        <v>0</v>
      </c>
      <c r="D58" s="100"/>
      <c r="E58" s="100"/>
      <c r="F58" s="100">
        <f>IF($G12=10,$C58/10,IF($G12=9,$C58/9,IF($G12=8,$C58/8,IF($G12=7,$C58/7,IF($G12=6,$C58/6,IF($G12=5,$C58/5,IF($G12=4,$C58/4,IF($G12=3,$C58/3,0))))))))</f>
        <v>0</v>
      </c>
      <c r="G58" s="100">
        <f>IF($G12=10,$C58/10,IF($G12=9,$C58/9,IF($G12=8,$C58/8,IF($G12=7,$C58/7,IF($G12=6,$C58/6,IF($G12=5,$C58/5,IF($G12=4,$C58/4,IF($G12=3,$C58/3,0))))))))</f>
        <v>0</v>
      </c>
      <c r="H58" s="100">
        <f>IF($G12=10,$C58/10,IF($G12=9,$C58/9,IF($G12=8,$C58/8,IF($G12=7,$C58/7,IF($G12=6,$C58/6,IF($G12=5,$C58/5,IF($G12=4,$C58/4,IF($G12=3,$C58/3,0))))))))</f>
        <v>0</v>
      </c>
      <c r="I58" s="100">
        <f>IF($G12=10,$C58/10,IF($G12=9,$C58/9,IF($G12=8,$C58/8,IF($G12=7,$C58/7,IF($G12=6,$C58/6,IF($G12=5,$C58/5,IF($G12=4,$C58/4,IF($G12=3,0,0))))))))</f>
        <v>0</v>
      </c>
      <c r="J58" s="100">
        <f>IF($G12=10,$C58/10,IF($G12=9,$C58/9,IF($G12=8,$C58/8,IF($G12=7,$C58/7,IF($G12=6,$C58/6,IF($G12=5,$C58/5,IF($G12=4,0,IF($G12=3,0,0))))))))</f>
        <v>0</v>
      </c>
      <c r="K58" s="100">
        <f>IF($G12=10,$C58/10,IF($G12=9,$C58/9,IF($G12=8,$C58/8,IF($G12=7,$C58/7,IF($G12=6,$C58/6,IF($G12=5,0,IF($G12=4,0,IF($G12=3,0,0))))))))</f>
        <v>0</v>
      </c>
      <c r="L58" s="100">
        <f>IF($G12=10,$C58/10,IF($G12=9,$C58/9,IF($G12=8,$C58/8,IF($G12=7,$C58/7,IF($G12=6,0,IF($G12=5,0,IF($G12=4,0,IF($G12=3,0,0))))))))</f>
        <v>0</v>
      </c>
      <c r="M58" s="100">
        <f>IF($G12=10,$C58/10,IF($G12=9,$C58/9,IF($G12=8,$C58/8,IF($G12=7,0,IF($G12=6,0,IF($G12=5,0,IF($G12=4,0,IF($G12=3,0,0))))))))</f>
        <v>0</v>
      </c>
      <c r="N58" s="100">
        <f>IF($G12=10,$C58/10,IF($G12=9,$C58/9,IF($G12=8,0,IF($G12=7,0,IF($G12=6,0,IF($G12=5,0,IF($G12=4,0,IF($G12=3,0,0))))))))</f>
        <v>0</v>
      </c>
      <c r="O58" s="100">
        <f>IF($G12=10,$C58/10,IF($G12=9,0,IF($G12=8,0,IF($G12=7,0,IF($G12=6,0,IF($G12=5,0,IF($G12=4,0,IF($G12=3,0,0))))))))</f>
        <v>0</v>
      </c>
      <c r="P58" s="100">
        <f>IF($G12=10,0,IF($G12=9,0,IF($G12=8,0,IF($G12=7,0,IF($G12=6,0,IF($G12=5,0,IF($G12=4,0,IF($G12=3,0,0))))))))</f>
        <v>0</v>
      </c>
      <c r="Q58" s="100">
        <f>IF($G12=10,0,IF($G12=9,0,IF($G12=8,0,IF($G12=7,0,IF($G12=6,0,IF($G12=5,0,IF($G12=4,0,IF($G12=3,0,0))))))))</f>
        <v>0</v>
      </c>
      <c r="R58" s="100">
        <f>IF($G12=10,0,IF($G12=9,0,IF($G12=8,0,IF($G12=7,0,IF($G12=6,0,IF($G12=5,0,IF($G12=4,0,IF($G12=3,0,0))))))))</f>
        <v>0</v>
      </c>
      <c r="S58" s="100">
        <f>IF($G12=10,0,IF($G12=9,0,IF($G12=8,0,IF($G12=7,0,IF($G12=6,0,IF($G12=5,0,IF($G12=4,0,IF($G12=3,0,0))))))))</f>
        <v>0</v>
      </c>
      <c r="T58" s="100">
        <f>IF($G12=10,0,IF($G12=9,0,IF($G12=8,0,IF($G12=7,0,IF($G12=6,0,IF($G12=5,0,IF($G12=4,0,IF($G12=3,0,0))))))))</f>
        <v>0</v>
      </c>
      <c r="U58" s="100">
        <f t="shared" ref="U58:V58" si="11">IF($G12=10,0,IF($G12=9,0,IF($G12=8,0,IF($G12=7,0,IF($G12=6,0,IF($G12=5,0,IF($G12=4,0,IF($G12=3,0,0))))))))</f>
        <v>0</v>
      </c>
      <c r="V58" s="100">
        <f t="shared" si="11"/>
        <v>0</v>
      </c>
      <c r="W58" s="45">
        <f t="shared" si="10"/>
        <v>0</v>
      </c>
    </row>
    <row r="59" spans="1:23" x14ac:dyDescent="0.25">
      <c r="A59" s="70">
        <f t="shared" si="4"/>
        <v>0</v>
      </c>
      <c r="B59" s="81" t="s">
        <v>711</v>
      </c>
      <c r="C59" s="62">
        <f t="shared" si="5"/>
        <v>0</v>
      </c>
      <c r="D59" s="100"/>
      <c r="E59" s="100"/>
      <c r="F59" s="100"/>
      <c r="G59" s="100">
        <f>IF($G13=10,$C59/10,IF($G13=9,$C59/9,IF($G13=8,$C59/8,IF($G13=7,$C59/7,IF($G13=6,$C59/6,IF($G13=5,$C59/5,IF($G13=4,$C59/4,IF($G13=3,$C59/3,0))))))))</f>
        <v>0</v>
      </c>
      <c r="H59" s="100">
        <f>IF($G13=10,$C59/10,IF($G13=9,$C59/9,IF($G13=8,$C59/8,IF($G13=7,$C59/7,IF($G13=6,$C59/6,IF($G13=5,$C59/5,IF($G13=4,$C59/4,IF($G13=3,$C59/3,0))))))))</f>
        <v>0</v>
      </c>
      <c r="I59" s="100">
        <f>IF($G13=10,$C59/10,IF($G13=9,$C59/9,IF($G13=8,$C59/8,IF($G13=7,$C59/7,IF($G13=6,$C59/6,IF($G13=5,$C59/5,IF($G13=4,$C59/4,IF($G13=3,$C59/3,0))))))))</f>
        <v>0</v>
      </c>
      <c r="J59" s="100">
        <f>IF($G13=10,$C59/10,IF($G13=9,$C59/9,IF($G13=8,$C59/8,IF($G13=7,$C59/7,IF($G13=6,$C59/6,IF($G13=5,$C59/5,IF($G13=4,$C59/4,IF($G13=3,0,0))))))))</f>
        <v>0</v>
      </c>
      <c r="K59" s="100">
        <f>IF($G13=10,$C59/10,IF($G13=9,$C59/9,IF($G13=8,$C59/8,IF($G13=7,$C59/7,IF($G13=6,$C59/6,IF($G13=5,$C59/5,IF($G13=4,0,IF($G13=3,0,0))))))))</f>
        <v>0</v>
      </c>
      <c r="L59" s="100">
        <f>IF($G13=10,$C59/10,IF($G13=9,$C59/9,IF($G13=8,$C59/8,IF($G13=7,$C59/7,IF($G13=6,$C59/6,IF($G13=5,0,IF($G13=4,0,IF($G13=3,0,0))))))))</f>
        <v>0</v>
      </c>
      <c r="M59" s="100">
        <f>IF($G13=10,$C59/10,IF($G13=9,$C59/9,IF($G13=8,$C59/8,IF($G13=7,$C59/7,IF($G13=6,0,IF($G13=5,0,IF($G13=4,0,IF($G13=3,0,0))))))))</f>
        <v>0</v>
      </c>
      <c r="N59" s="100">
        <f>IF($G13=10,$C59/10,IF($G13=9,$C59/9,IF($G13=8,$C59/8,IF($G13=7,0,IF($G13=6,0,IF($G13=5,0,IF($G13=4,0,IF($G13=3,0,0))))))))</f>
        <v>0</v>
      </c>
      <c r="O59" s="100">
        <f>IF($G13=10,$C59/10,IF($G13=9,$C59/9,IF($G13=8,0,IF($G13=7,0,IF($G13=6,0,IF($G13=5,0,IF($G13=4,0,IF($G13=3,0,0))))))))</f>
        <v>0</v>
      </c>
      <c r="P59" s="100">
        <f>IF($G13=10,$C59/10,IF($G13=9,0,IF($G13=8,0,IF($G13=7,0,IF($G13=6,0,IF($G13=5,0,IF($G13=4,0,IF($G13=3,0,0))))))))</f>
        <v>0</v>
      </c>
      <c r="Q59" s="100">
        <f>IF($G13=10,0,IF($G13=9,0,IF($G13=8,0,IF($G13=7,0,IF($G13=6,0,IF($G13=5,0,IF($G13=4,0,IF($G13=3,0,0))))))))</f>
        <v>0</v>
      </c>
      <c r="R59" s="100">
        <f>IF($G13=10,0,IF($G13=9,0,IF($G13=8,0,IF($G13=7,0,IF($G13=6,0,IF($G13=5,0,IF($G13=4,0,IF($G13=3,0,0))))))))</f>
        <v>0</v>
      </c>
      <c r="S59" s="100">
        <f>IF($G13=10,0,IF($G13=9,0,IF($G13=8,0,IF($G13=7,0,IF($G13=6,0,IF($G13=5,0,IF($G13=4,0,IF($G13=3,0,0))))))))</f>
        <v>0</v>
      </c>
      <c r="T59" s="100">
        <f>IF($G13=10,0,IF($G13=9,0,IF($G13=8,0,IF($G13=7,0,IF($G13=6,0,IF($G13=5,0,IF($G13=4,0,IF($G13=3,0,0))))))))</f>
        <v>0</v>
      </c>
      <c r="U59" s="100">
        <f t="shared" ref="U59:V59" si="12">IF($G13=10,0,IF($G13=9,0,IF($G13=8,0,IF($G13=7,0,IF($G13=6,0,IF($G13=5,0,IF($G13=4,0,IF($G13=3,0,0))))))))</f>
        <v>0</v>
      </c>
      <c r="V59" s="100">
        <f t="shared" si="12"/>
        <v>0</v>
      </c>
      <c r="W59" s="45">
        <f t="shared" si="10"/>
        <v>0</v>
      </c>
    </row>
    <row r="60" spans="1:23" x14ac:dyDescent="0.25">
      <c r="A60" s="70">
        <f t="shared" si="4"/>
        <v>0</v>
      </c>
      <c r="B60" s="82" t="s">
        <v>719</v>
      </c>
      <c r="C60" s="62">
        <f t="shared" si="5"/>
        <v>0</v>
      </c>
      <c r="D60" s="100"/>
      <c r="E60" s="100"/>
      <c r="F60" s="100"/>
      <c r="G60" s="100"/>
      <c r="H60" s="100">
        <f>IF($G14=10,$C60/10,IF($G14=9,$C60/9,IF($G14=8,$C60/8,IF($G14=7,$C60/7,IF($G14=6,$C60/6,IF($G14=5,$C60/5,IF($G14=4,$C60/4,IF($G14=3,$C60/3,0))))))))</f>
        <v>0</v>
      </c>
      <c r="I60" s="100">
        <f>IF($G14=10,$C60/10,IF($G14=9,$C60/9,IF($G14=8,$C60/8,IF($G14=7,$C60/7,IF($G14=6,$C60/6,IF($G14=5,$C60/5,IF($G14=4,$C60/4,IF($G14=3,$C60/3,0))))))))</f>
        <v>0</v>
      </c>
      <c r="J60" s="100">
        <f>IF($G14=10,$C60/10,IF($G14=9,$C60/9,IF($G14=8,$C60/8,IF($G14=7,$C60/7,IF($G14=6,$C60/6,IF($G14=5,$C60/5,IF($G14=4,$C60/4,IF($G14=3,$C60/3,0))))))))</f>
        <v>0</v>
      </c>
      <c r="K60" s="100">
        <f>IF($G14=10,$C60/10,IF($G14=9,$C60/9,IF($G14=8,$C60/8,IF($G14=7,$C60/7,IF($G14=6,$C60/6,IF($G14=5,$C60/5,IF($G14=4,$C60/4,IF($G14=3,0,0))))))))</f>
        <v>0</v>
      </c>
      <c r="L60" s="100">
        <f>IF($G14=10,$C60/10,IF($G14=9,$C60/9,IF($G14=8,$C60/8,IF($G14=7,$C60/7,IF($G14=6,$C60/6,IF($G14=5,$C60/5,IF($G14=4,0,IF($G14=3,0,0))))))))</f>
        <v>0</v>
      </c>
      <c r="M60" s="100">
        <f>IF($G14=10,$C60/10,IF($G14=9,$C60/9,IF($G14=8,$C60/8,IF($G14=7,$C60/7,IF($G14=6,$C60/6,IF($G14=5,0,IF($G14=4,0,IF($G14=3,0,0))))))))</f>
        <v>0</v>
      </c>
      <c r="N60" s="100">
        <f>IF($G14=10,$C60/10,IF($G14=9,$C60/9,IF($G14=8,$C60/8,IF($G14=7,$C60/7,IF($G14=6,0,IF($G14=5,0,IF($G14=4,0,IF($G14=3,0,0))))))))</f>
        <v>0</v>
      </c>
      <c r="O60" s="100">
        <f>IF($G14=10,$C60/10,IF($G14=9,$C60/9,IF($G14=8,$C60/8,IF($G14=7,0,IF($G14=6,0,IF($G14=5,0,IF($G14=4,0,IF($G14=3,0,0))))))))</f>
        <v>0</v>
      </c>
      <c r="P60" s="100">
        <f>IF($G14=10,$C60/10,IF($G14=9,$C60/9,IF($G14=8,0,IF($G14=7,0,IF($G14=6,0,IF($G14=5,0,IF($G14=4,0,IF($G14=3,0,0))))))))</f>
        <v>0</v>
      </c>
      <c r="Q60" s="100">
        <f>IF($G14=10,$C60/10,IF($G14=9,0,IF($G14=8,0,IF($G14=7,0,IF($G14=6,0,IF($G14=5,0,IF($G14=4,0,IF($G14=3,0,0))))))))</f>
        <v>0</v>
      </c>
      <c r="R60" s="100">
        <f>IF($G14=10,0,IF($G14=9,0,IF($G14=8,0,IF($G14=7,0,IF($G14=6,0,IF($G14=5,0,IF($G14=4,0,IF($G14=3,0,0))))))))</f>
        <v>0</v>
      </c>
      <c r="S60" s="100">
        <f>IF($G14=10,0,IF($G14=9,0,IF($G14=8,0,IF($G14=7,0,IF($G14=6,0,IF($G14=5,0,IF($G14=4,0,IF($G14=3,0,0))))))))</f>
        <v>0</v>
      </c>
      <c r="T60" s="100">
        <f>IF($G14=10,0,IF($G14=9,0,IF($G14=8,0,IF($G14=7,0,IF($G14=6,0,IF($G14=5,0,IF($G14=4,0,IF($G14=3,0,0))))))))</f>
        <v>0</v>
      </c>
      <c r="U60" s="100">
        <f t="shared" ref="U60:V60" si="13">IF($G14=10,0,IF($G14=9,0,IF($G14=8,0,IF($G14=7,0,IF($G14=6,0,IF($G14=5,0,IF($G14=4,0,IF($G14=3,0,0))))))))</f>
        <v>0</v>
      </c>
      <c r="V60" s="100">
        <f t="shared" si="13"/>
        <v>0</v>
      </c>
      <c r="W60" s="45">
        <f t="shared" si="10"/>
        <v>0</v>
      </c>
    </row>
    <row r="61" spans="1:23" x14ac:dyDescent="0.25">
      <c r="A61" s="70">
        <f t="shared" si="4"/>
        <v>0</v>
      </c>
      <c r="B61" s="82" t="s">
        <v>444</v>
      </c>
      <c r="C61" s="62">
        <f t="shared" si="5"/>
        <v>0</v>
      </c>
      <c r="D61" s="100"/>
      <c r="E61" s="100"/>
      <c r="F61" s="100"/>
      <c r="G61" s="100"/>
      <c r="H61" s="100"/>
      <c r="I61" s="100">
        <f>IF($G15=10,$C61/10,IF($G15=9,$C61/9,IF($G15=8,$C61/8,IF($G15=7,$C61/7,IF($G15=6,$C61/6,IF($G15=5,$C61/5,IF($G15=4,$C61/4,IF($G15=3,$C61/3,0))))))))</f>
        <v>0</v>
      </c>
      <c r="J61" s="100">
        <f>IF($G15=10,$C61/10,IF($G15=9,$C61/9,IF($G15=8,$C61/8,IF($G15=7,$C61/7,IF($G15=6,$C61/6,IF($G15=5,$C61/5,IF($G15=4,$C61/4,IF($G15=3,$C61/3,0))))))))</f>
        <v>0</v>
      </c>
      <c r="K61" s="100">
        <f>IF($G15=10,$C61/10,IF($G15=9,$C61/9,IF($G15=8,$C61/8,IF($G15=7,$C61/7,IF($G15=6,$C61/6,IF($G15=5,$C61/5,IF($G15=4,$C61/4,IF($G15=3,$C61/3,0))))))))</f>
        <v>0</v>
      </c>
      <c r="L61" s="100">
        <f>IF($G15=10,$C61/10,IF($G15=9,$C61/9,IF($G15=8,$C61/8,IF($G15=7,$C61/7,IF($G15=6,$C61/6,IF($G15=5,$C61/5,IF($G15=4,$C61/4,IF($G15=3,0,0))))))))</f>
        <v>0</v>
      </c>
      <c r="M61" s="100">
        <f>IF($G15=10,$C61/10,IF($G15=9,$C61/9,IF($G15=8,$C61/8,IF($G15=7,$C61/7,IF($G15=6,$C61/6,IF($G15=5,$C61/5,IF($G15=4,0,IF($G15=3,0,0))))))))</f>
        <v>0</v>
      </c>
      <c r="N61" s="100">
        <f>IF($G15=10,$C61/10,IF($G15=9,$C61/9,IF($G15=8,$C61/8,IF($G15=7,$C61/7,IF($G15=6,$C61/6,IF($G15=5,0,IF($G15=4,0,IF($G15=3,0,0))))))))</f>
        <v>0</v>
      </c>
      <c r="O61" s="100">
        <f>IF($G15=10,$C61/10,IF($G15=9,$C61/9,IF($G15=8,$C61/8,IF($G15=7,$C61/7,IF($G15=6,0,IF($G15=5,0,IF($G15=4,0,IF($G15=3,0,0))))))))</f>
        <v>0</v>
      </c>
      <c r="P61" s="100">
        <f>IF($G15=10,$C61/10,IF($G15=9,$C61/9,IF($G15=8,$C61/8,IF($G15=7,0,IF($G15=6,0,IF($G15=5,0,IF($G15=4,0,IF($G15=3,0,0))))))))</f>
        <v>0</v>
      </c>
      <c r="Q61" s="100">
        <f>IF($G15=10,$C61/10,IF($G15=9,$C61/9,IF($G15=8,0,IF($G15=7,0,IF($G15=6,0,IF($G15=5,0,IF($G15=4,0,IF($G15=3,0,0))))))))</f>
        <v>0</v>
      </c>
      <c r="R61" s="100">
        <f>IF($G15=10,$C61/10,IF($G15=9,0,IF($G15=8,0,IF($G15=7,0,IF($G15=6,0,IF($G15=5,0,IF($G15=4,0,IF($G15=3,0,0))))))))</f>
        <v>0</v>
      </c>
      <c r="S61" s="100">
        <f>IF($G15=10,0,IF($G15=9,0,IF($G15=8,0,IF($G15=7,0,IF($G15=6,0,IF($G15=5,0,IF($G15=4,0,IF($G15=3,0,0))))))))</f>
        <v>0</v>
      </c>
      <c r="T61" s="100">
        <f>IF($G15=10,0,IF($G15=9,0,IF($G15=8,0,IF($G15=7,0,IF($G15=6,0,IF($G15=5,0,IF($G15=4,0,IF($G15=3,0,0))))))))</f>
        <v>0</v>
      </c>
      <c r="U61" s="100">
        <f t="shared" ref="U61:V61" si="14">IF($G15=10,0,IF($G15=9,0,IF($G15=8,0,IF($G15=7,0,IF($G15=6,0,IF($G15=5,0,IF($G15=4,0,IF($G15=3,0,0))))))))</f>
        <v>0</v>
      </c>
      <c r="V61" s="100">
        <f t="shared" si="14"/>
        <v>0</v>
      </c>
      <c r="W61" s="45">
        <f t="shared" si="10"/>
        <v>0</v>
      </c>
    </row>
    <row r="62" spans="1:23" x14ac:dyDescent="0.25">
      <c r="A62" s="70">
        <f t="shared" si="4"/>
        <v>0</v>
      </c>
      <c r="B62" s="82" t="s">
        <v>445</v>
      </c>
      <c r="C62" s="62">
        <f t="shared" si="5"/>
        <v>0</v>
      </c>
      <c r="D62" s="100"/>
      <c r="E62" s="100"/>
      <c r="F62" s="100"/>
      <c r="G62" s="100"/>
      <c r="H62" s="100"/>
      <c r="I62" s="100"/>
      <c r="J62" s="100">
        <f>IF($G16=10,$C62/10,IF($G16=9,$C62/9,IF($G16=8,$C62/8,IF($G16=7,$C62/7,IF($G16=6,$C62/6,IF($G16=5,$C62/5,IF($G16=4,$C62/4,IF($G16=3,$C62/3,0))))))))</f>
        <v>0</v>
      </c>
      <c r="K62" s="100">
        <f>IF($G16=10,$C62/10,IF($G16=9,$C62/9,IF($G16=8,$C62/8,IF($G16=7,$C62/7,IF($G16=6,$C62/6,IF($G16=5,$C62/5,IF($G16=4,$C62/4,IF($G16=3,$C62/3,0))))))))</f>
        <v>0</v>
      </c>
      <c r="L62" s="100">
        <f>IF($G16=10,$C62/10,IF($G16=9,$C62/9,IF($G16=8,$C62/8,IF($G16=7,$C62/7,IF($G16=6,$C62/6,IF($G16=5,$C62/5,IF($G16=4,$C62/4,IF($G16=3,$C62/3,0))))))))</f>
        <v>0</v>
      </c>
      <c r="M62" s="100">
        <f>IF($G16=10,$C62/10,IF($G16=9,$C62/9,IF($G16=8,$C62/8,IF($G16=7,$C62/7,IF($G16=6,$C62/6,IF($G16=5,$C62/5,IF($G16=4,$C62/4,IF($G16=3,0,0))))))))</f>
        <v>0</v>
      </c>
      <c r="N62" s="100">
        <f>IF($G16=10,$C62/10,IF($G16=9,$C62/9,IF($G16=8,$C62/8,IF($G16=7,$C62/7,IF($G16=6,$C62/6,IF($G16=5,$C62/5,IF($G16=4,0,IF($G16=3,0,0))))))))</f>
        <v>0</v>
      </c>
      <c r="O62" s="100">
        <f>IF($G16=10,$C62/10,IF($G16=9,$C62/9,IF($G16=8,$C62/8,IF($G16=7,$C62/7,IF($G16=6,$C62/6,IF($G16=5,0,IF($G16=4,0,IF($G16=3,0,0))))))))</f>
        <v>0</v>
      </c>
      <c r="P62" s="100">
        <f>IF($G16=10,$C62/10,IF($G16=9,$C62/9,IF($G16=8,$C62/8,IF($G16=7,$C62/7,IF($G16=6,0,IF($G16=5,0,IF($G16=4,0,IF($G16=3,0,0))))))))</f>
        <v>0</v>
      </c>
      <c r="Q62" s="100">
        <f>IF($G16=10,$C62/10,IF($G16=9,$C62/9,IF($G16=8,$C62/8,IF($G16=7,0,IF($G16=6,0,IF($G16=5,0,IF($G16=4,0,IF($G16=3,0,0))))))))</f>
        <v>0</v>
      </c>
      <c r="R62" s="100">
        <f>IF($G16=10,$C62/10,IF($G16=9,$C62/9,IF($G16=8,0,IF($G16=7,0,IF($G16=6,0,IF($G16=5,0,IF($G16=4,0,IF($G16=3,0,0))))))))</f>
        <v>0</v>
      </c>
      <c r="S62" s="100">
        <f>IF($G16=10,$C62/10,IF($G16=9,0,IF($G16=8,0,IF($G16=7,0,IF($G16=6,0,IF($G16=5,0,IF($G16=4,0,IF($G16=3,0,0))))))))</f>
        <v>0</v>
      </c>
      <c r="T62" s="100">
        <f>IF($G16=10,0,IF($G16=9,0,IF($G16=8,0,IF($G16=7,0,IF($G16=6,0,IF($G16=5,0,IF($G16=4,0,IF($G16=3,0,0))))))))</f>
        <v>0</v>
      </c>
      <c r="U62" s="100">
        <f t="shared" ref="U62:V62" si="15">IF($G16=10,0,IF($G16=9,0,IF($G16=8,0,IF($G16=7,0,IF($G16=6,0,IF($G16=5,0,IF($G16=4,0,IF($G16=3,0,0))))))))</f>
        <v>0</v>
      </c>
      <c r="V62" s="100">
        <f t="shared" si="15"/>
        <v>0</v>
      </c>
      <c r="W62" s="45">
        <f t="shared" si="10"/>
        <v>0</v>
      </c>
    </row>
    <row r="63" spans="1:23" x14ac:dyDescent="0.25">
      <c r="A63" s="70">
        <f t="shared" si="4"/>
        <v>0</v>
      </c>
      <c r="B63" s="82" t="s">
        <v>722</v>
      </c>
      <c r="C63" s="62">
        <f t="shared" si="5"/>
        <v>0</v>
      </c>
      <c r="D63" s="100"/>
      <c r="E63" s="100"/>
      <c r="F63" s="100"/>
      <c r="G63" s="100"/>
      <c r="H63" s="100"/>
      <c r="I63" s="100"/>
      <c r="J63" s="100"/>
      <c r="K63" s="100">
        <f>IF($G17=10,$C63/10,IF($G17=9,$C63/9,IF($G17=8,$C63/8,IF($G17=7,$C63/7,IF($G17=6,$C63/6,IF($G17=5,$C63/5,IF($G17=4,$C63/4,IF($G17=3,$C63/3,0))))))))</f>
        <v>0</v>
      </c>
      <c r="L63" s="100">
        <f>IF($G17=10,$C63/10,IF($G17=9,$C63/9,IF($G17=8,$C63/8,IF($G17=7,$C63/7,IF($G17=6,$C63/6,IF($G17=5,$C63/5,IF($G17=4,$C63/4,IF($G17=3,$C63/3,0))))))))</f>
        <v>0</v>
      </c>
      <c r="M63" s="100">
        <f>IF($G17=10,$C63/10,IF($G17=9,$C63/9,IF($G17=8,$C63/8,IF($G17=7,$C63/7,IF($G17=6,$C63/6,IF($G17=5,$C63/5,IF($G17=4,$C63/4,IF($G17=3,$C63/3,0))))))))</f>
        <v>0</v>
      </c>
      <c r="N63" s="100">
        <f>IF($G17=10,$C63/10,IF($G17=9,$C63/9,IF($G17=8,$C63/8,IF($G17=7,$C63/7,IF($G17=6,$C63/6,IF($G17=5,$C63/5,IF($G17=4,$C63/4,IF($G17=3,0,0))))))))</f>
        <v>0</v>
      </c>
      <c r="O63" s="100">
        <f>IF($G17=10,$C63/10,IF($G17=9,$C63/9,IF($G17=8,$C63/8,IF($G17=7,$C63/7,IF($G17=6,$C63/6,IF($G17=5,$C63/5,IF($G17=4,0,IF($G17=3,0,0))))))))</f>
        <v>0</v>
      </c>
      <c r="P63" s="100">
        <f>IF($G17=10,$C63/10,IF($G17=9,$C63/9,IF($G17=8,$C63/8,IF($G17=7,$C63/7,IF($G17=6,$C63/6,IF($G17=5,0,IF($G17=4,0,IF($G17=3,0,0))))))))</f>
        <v>0</v>
      </c>
      <c r="Q63" s="100">
        <f>IF($G17=10,$C63/10,IF($G17=9,$C63/9,IF($G17=8,$C63/8,IF($G17=7,$C63/7,IF($G17=6,0,IF($G17=5,0,IF($G17=4,0,IF($G17=3,0,0))))))))</f>
        <v>0</v>
      </c>
      <c r="R63" s="100">
        <f t="shared" ref="R63" si="16">IF($G17=10,$C63/10,IF($G17=9,$C63/9,IF($G17=8,$C63/8,IF($G17=7,0,IF($G17=6,0,IF($G17=5,0,IF($G17=4,0,IF($G17=3,0,0))))))))</f>
        <v>0</v>
      </c>
      <c r="S63" s="100">
        <f>IF($G17=10,$C63/10,IF($G17=9,$C63/9,IF($G17=8,0,IF($G17=7,0,IF($G17=6,0,IF($G17=5,0,IF($G17=4,0,IF($G17=3,0,0))))))))</f>
        <v>0</v>
      </c>
      <c r="T63" s="100">
        <f>IF($G17=10,$C63/10,IF($G17=9,0,IF($G17=8,0,IF($G17=7,0,IF($G17=6,0,IF($G17=5,0,IF($G17=4,0,IF($G17=3,0,0))))))))</f>
        <v>0</v>
      </c>
      <c r="U63" s="100">
        <f>IF($G17=10,0,IF($G17=9,0,IF($G17=8,0,IF($G17=7,0,IF($G17=6,0,IF($G17=5,0,IF($G17=4,0,IF($G17=3,0,0))))))))</f>
        <v>0</v>
      </c>
      <c r="V63" s="100">
        <f>IF($G17=10,0,IF($G17=9,0,IF($G17=8,0,IF($G17=7,0,IF($G17=6,0,IF($G17=5,0,IF($G17=4,0,IF($G17=3,0,0))))))))</f>
        <v>0</v>
      </c>
      <c r="W63" s="45">
        <f t="shared" si="10"/>
        <v>0</v>
      </c>
    </row>
    <row r="64" spans="1:23" x14ac:dyDescent="0.25">
      <c r="A64" s="70">
        <f t="shared" si="4"/>
        <v>0</v>
      </c>
      <c r="B64" s="82" t="s">
        <v>770</v>
      </c>
      <c r="C64" s="62">
        <f t="shared" si="5"/>
        <v>0</v>
      </c>
      <c r="D64" s="470"/>
      <c r="E64" s="470"/>
      <c r="F64" s="470"/>
      <c r="G64" s="470"/>
      <c r="H64" s="470"/>
      <c r="I64" s="470"/>
      <c r="J64" s="470"/>
      <c r="K64" s="470"/>
      <c r="L64" s="100">
        <f>IF($G18=10,$C64/10,IF($G18=9,$C64/9,IF($G18=8,$C64/8,IF($G18=7,$C64/7,IF($G18=6,$C64/6,IF($G18=5,$C64/5,IF($G18=4,$C64/4,IF($G18=3,$C64/3,0))))))))</f>
        <v>0</v>
      </c>
      <c r="M64" s="100">
        <f>IF($G18=10,$C64/10,IF($G18=9,$C64/9,IF($G18=8,$C64/8,IF($G18=7,$C64/7,IF($G18=6,$C64/6,IF($G18=5,$C64/5,IF($G18=4,$C64/4,IF($G18=3,$C64/3,0))))))))</f>
        <v>0</v>
      </c>
      <c r="N64" s="100">
        <f>IF($G18=10,$C64/10,IF($G18=9,$C64/9,IF($G18=8,$C64/8,IF($G18=7,$C64/7,IF($G18=6,$C64/6,IF($G18=5,$C64/5,IF($G18=4,$C64/4,IF($G18=3,$C64/3,0))))))))</f>
        <v>0</v>
      </c>
      <c r="O64" s="100">
        <f>IF($G18=10,$C64/10,IF($G18=9,$C64/9,IF($G18=8,$C64/8,IF($G18=7,$C64/7,IF($G18=6,$C64/6,IF($G18=5,$C64/5,IF($G18=4,$C64/4,IF($G18=3,0,0))))))))</f>
        <v>0</v>
      </c>
      <c r="P64" s="100">
        <f>IF($G18=10,$C64/10,IF($G18=9,$C64/9,IF($G18=8,$C64/8,IF($G18=7,$C64/7,IF($G18=6,$C64/6,IF($G18=5,$C64/5,IF($G18=4,0,IF($G18=3,0,0))))))))</f>
        <v>0</v>
      </c>
      <c r="Q64" s="100">
        <f>IF($G18=10,$C64/10,IF($G18=9,$C64/9,IF($G18=8,$C64/8,IF($G18=7,$C64/7,IF($G18=6,$C64/6,IF($G18=5,0,IF($G18=4,0,IF($G18=3,0,0))))))))</f>
        <v>0</v>
      </c>
      <c r="R64" s="100">
        <f>IF($G18=10,$C64/10,IF($G18=9,$C64/9,IF($G18=8,$C64/8,IF($G18=7,$C64/7,IF($G18=6,0,IF($G18=5,0,IF($G18=4,0,IF($G18=3,0,0))))))))</f>
        <v>0</v>
      </c>
      <c r="S64" s="100">
        <f>IF($G18=10,$C64/10,IF($G18=9,$C64/9,IF($G18=8,$C64/8,IF($G18=7,0,IF($G18=6,0,IF($G18=5,0,IF($G18=4,0,IF($G18=3,0,0))))))))</f>
        <v>0</v>
      </c>
      <c r="T64" s="100">
        <f>IF($G18=10,$C64/10,IF($G18=9,$C64/9,IF($G18=8,0,IF($G18=7,0,IF($G18=6,$C64/6,IF($G18=5,0,IF($G18=4,0,IF($G18=3,0,0))))))))</f>
        <v>0</v>
      </c>
      <c r="U64" s="100">
        <f>IF($G18=10,$C64/10,IF($G18=9,0,IF($G18=8,0,IF($G18=7,0,IF($G18=6,$C64/6,IF($G18=5,0,IF($G18=4,0,IF($G18=3,0,0))))))))</f>
        <v>0</v>
      </c>
      <c r="V64" s="100">
        <f>IF($G18=10,0,IF($G18=9,0,IF($G18=8,0,IF($G18=7,0,IF($G18=6,$C64/6,IF($G18=5,0,IF($G18=4,0,IF($G18=3,0,0))))))))</f>
        <v>0</v>
      </c>
      <c r="W64" s="45">
        <f>C64-SUM(D64:V64)</f>
        <v>0</v>
      </c>
    </row>
    <row r="65" spans="1:35" x14ac:dyDescent="0.25">
      <c r="A65" s="70">
        <f t="shared" si="4"/>
        <v>0</v>
      </c>
      <c r="B65" s="81" t="s">
        <v>790</v>
      </c>
      <c r="C65" s="62">
        <f t="shared" si="5"/>
        <v>0</v>
      </c>
      <c r="D65" s="100"/>
      <c r="E65" s="100"/>
      <c r="F65" s="100"/>
      <c r="G65" s="100"/>
      <c r="H65" s="100"/>
      <c r="I65" s="100"/>
      <c r="J65" s="100"/>
      <c r="K65" s="100"/>
      <c r="L65" s="100"/>
      <c r="M65" s="100">
        <f>IF($G19=10,$C65/10,IF($G19=9,$C65/9,IF($G19=8,$C65/8,IF($G19=7,$C65/7,IF($G19=6,$C65/6,IF($G19=5,$C65/5,IF($G19=4,$C65/4,IF($G19=3,$C65/3,0))))))))</f>
        <v>0</v>
      </c>
      <c r="N65" s="100">
        <f>IF($G19=10,$C65/10,IF($G19=9,$C65/9,IF($G19=8,$C65/8,IF($G19=7,$C65/7,IF($G19=6,$C65/6,IF($G19=5,$C65/5,IF($G19=4,$C65/4,IF($G19=3,$C65/3,0))))))))</f>
        <v>0</v>
      </c>
      <c r="O65" s="100">
        <f>IF($G19=10,$C65/10,IF($G19=9,$C65/9,IF($G19=8,$C65/8,IF($G19=7,$C65/7,IF($G19=6,$C65/6,IF($G19=5,$C65/5,IF($G19=4,$C65/4,IF($G19=3,$C65/3,0))))))))</f>
        <v>0</v>
      </c>
      <c r="P65" s="100">
        <f>IF($G19=10,$C65/10,IF($G19=9,$C65/9,IF($G19=8,$C65/8,IF($G19=7,$C65/7,IF($G19=6,$C65/6,IF($G19=5,$C65/5,IF($G19=4,$C65/4,IF($G19=3,0,0))))))))</f>
        <v>0</v>
      </c>
      <c r="Q65" s="100">
        <f>IF($G19=10,$C65/10,IF($G19=9,$C65/9,IF($G19=8,$C65/8,IF($G19=7,$C65/7,IF($G19=6,$C65/6,IF($G19=5,$C65/5,IF($G19=4,0,IF($G19=3,0,0))))))))</f>
        <v>0</v>
      </c>
      <c r="R65" s="100">
        <f>IF($G19=10,$C65/10,IF($G19=9,$C65/9,IF($G19=8,$C65/8,IF($G19=7,$C65/7,IF($G19=6,$C65/6,IF($G19=5,0,IF($G19=4,0,IF($G19=3,0,0))))))))</f>
        <v>0</v>
      </c>
      <c r="S65" s="100">
        <f>IF($G19=10,$C65/10,IF($G19=9,$C65/9,IF($G19=8,$C65/8,IF($G19=7,$C65/7,IF($G19=6,0,IF($G19=5,0,IF($G19=4,0,IF($G19=3,0,0))))))))</f>
        <v>0</v>
      </c>
      <c r="T65" s="100">
        <f>IF($G19=10,$C65/10,IF($G19=9,$C65/9,IF($G19=8,$C65/8,IF($G19=7,0,IF($G19=6,0,IF($G19=5,0,IF($G19=4,0,IF($G19=3,0,0))))))))</f>
        <v>0</v>
      </c>
      <c r="U65" s="100">
        <f>IF($G19=10,$C65/10,IF($G19=9,$C65/9,IF($G19=8,0,IF($G19=7,0,IF($G19=6,0,IF($G19=5,0,IF($G19=4,0,IF($G19=3,0,0))))))))</f>
        <v>0</v>
      </c>
      <c r="V65" s="100">
        <f>IF($G19=10,$C65/10,IF($G19=9,0,IF($G19=8,0,IF($G19=7,0,IF($G19=6,0,IF($G19=5,0,IF($G19=4,0,IF($G19=3,0,0))))))))</f>
        <v>0</v>
      </c>
      <c r="W65" s="45">
        <f t="shared" ref="W65:W69" si="17">C65-SUM(D65:V65)</f>
        <v>0</v>
      </c>
    </row>
    <row r="66" spans="1:35" x14ac:dyDescent="0.25">
      <c r="A66" s="70">
        <f t="shared" si="4"/>
        <v>0</v>
      </c>
      <c r="B66" s="81" t="s">
        <v>803</v>
      </c>
      <c r="C66" s="62">
        <f t="shared" si="5"/>
        <v>0</v>
      </c>
      <c r="D66" s="100"/>
      <c r="E66" s="100"/>
      <c r="F66" s="100"/>
      <c r="G66" s="100"/>
      <c r="H66" s="100"/>
      <c r="I66" s="100"/>
      <c r="J66" s="100"/>
      <c r="K66" s="100"/>
      <c r="L66" s="100"/>
      <c r="M66" s="100"/>
      <c r="N66" s="100">
        <f>IF($G20=10,$C66/10,IF($G20=9,$C66/9,IF($G20=8,$C66/8,IF($G20=7,$C66/7,IF($G20=6,$C66/6,IF($G20=5,$C66/5,IF($G20=4,$C66/4,IF($G20=3,$C66/3,0))))))))</f>
        <v>0</v>
      </c>
      <c r="O66" s="100">
        <f>IF($G20=10,$C66/10,IF($G20=9,$C66/9,IF($G20=8,$C66/8,IF($G20=7,$C66/7,IF($G20=6,$C66/6,IF($G20=5,$C66/5,IF($G20=4,$C66/4,IF($G20=3,$C66/3,0))))))))</f>
        <v>0</v>
      </c>
      <c r="P66" s="100">
        <f>IF($G20=10,$C66/10,IF($G20=9,$C66/9,IF($G20=8,$C66/8,IF($G20=7,$C66/7,IF($G20=6,$C66/6,IF($G20=5,$C66/5,IF($G20=4,$C66/4,IF($G20=3,$C66/3,0))))))))</f>
        <v>0</v>
      </c>
      <c r="Q66" s="100">
        <f>IF($G20=10,$C66/10,IF($G20=9,$C66/9,IF($G20=8,$C66/8,IF($G20=7,$C66/7,IF($G20=6,$C66/6,IF($G20=5,$C66/5,IF($G20=4,$C66/4,IF($G20=3,0,0))))))))</f>
        <v>0</v>
      </c>
      <c r="R66" s="100">
        <f>IF($G20=10,$C66/10,IF($G20=9,$C66/9,IF($G20=8,$C66/8,IF($G20=7,$C66/7,IF($G20=6,$C66/6,IF($G20=5,$C66/5,IF($G20=4,0,IF($G20=3,0,0))))))))</f>
        <v>0</v>
      </c>
      <c r="S66" s="100">
        <f>IF($G20=10,$C66/10,IF($G20=9,$C66/9,IF($G20=8,$C66/8,IF($G20=7,$C66/7,IF($G20=6,$C66/6,IF($G20=5,0,IF($G20=4,0,IF($G20=3,0,0))))))))</f>
        <v>0</v>
      </c>
      <c r="T66" s="100">
        <f>IF($G20=10,$C66/10,IF($G20=9,$C66/9,IF($G20=8,$C66/8,IF($G20=7,$C66/7,IF($G20=6,0,IF($G20=5,0,IF($G20=4,0,IF($G20=3,0,0))))))))</f>
        <v>0</v>
      </c>
      <c r="U66" s="100">
        <f>IF($G20=10,$C66/10,IF($G20=9,$C66/9,IF($G20=8,$C66/8,IF($G20=7,0,IF($G20=6,0,IF($G20=5,0,IF($G20=4,0,IF($G20=3,0,0))))))))</f>
        <v>0</v>
      </c>
      <c r="V66" s="100">
        <f>IF($G20=10,$C66/10,IF($G20=9,$C66/9,IF($G20=8,0,IF($G20=7,0,IF($G20=6,0,IF($G20=5,0,IF($G20=4,0,IF($G20=3,0,0))))))))</f>
        <v>0</v>
      </c>
      <c r="W66" s="45">
        <f t="shared" si="17"/>
        <v>0</v>
      </c>
    </row>
    <row r="67" spans="1:35" x14ac:dyDescent="0.25">
      <c r="A67" s="70">
        <f t="shared" si="4"/>
        <v>0</v>
      </c>
      <c r="B67" s="81" t="s">
        <v>804</v>
      </c>
      <c r="C67" s="62">
        <f t="shared" si="5"/>
        <v>0</v>
      </c>
      <c r="D67" s="100"/>
      <c r="E67" s="100"/>
      <c r="F67" s="100"/>
      <c r="G67" s="100"/>
      <c r="H67" s="100"/>
      <c r="I67" s="100"/>
      <c r="J67" s="100"/>
      <c r="K67" s="100"/>
      <c r="L67" s="100"/>
      <c r="M67" s="100"/>
      <c r="N67" s="100"/>
      <c r="O67" s="100">
        <f>IF($G21=10,$C67/10,IF($G21=9,$C67/9,IF($G21=8,$C67/8,IF($G21=7,$C67/7,IF($G21=6,$C67/6,IF($G21=5,$C67/5,IF($G21=4,$C67/4,IF($G21=3,$C67/3,0))))))))</f>
        <v>0</v>
      </c>
      <c r="P67" s="100">
        <f t="shared" ref="P67:Q67" si="18">IF($G21=10,$C67/10,IF($G21=9,$C67/9,IF($G21=8,$C67/8,IF($G21=7,$C67/7,IF($G21=6,$C67/6,IF($G21=5,$C67/5,IF($G21=4,$C67/4,IF($G21=3,$C67/3,0))))))))</f>
        <v>0</v>
      </c>
      <c r="Q67" s="100">
        <f t="shared" si="18"/>
        <v>0</v>
      </c>
      <c r="R67" s="100">
        <f>IF($G21=10,$C67/10,IF($G21=9,$C67/9,IF($G21=8,$C67/8,IF($G21=7,$C67/7,IF($G21=6,$C67/6,IF($G21=5,$C67/5,IF($G21=4,$C67/4,IF($G21=3,0,0))))))))</f>
        <v>0</v>
      </c>
      <c r="S67" s="100">
        <f>IF($G21=10,$C67/10,IF($G21=9,$C67/9,IF($G21=8,$C67/8,IF($G21=7,$C67/7,IF($G21=6,$C67/6,IF($G21=5,$C67/5,IF($G21=4,0,IF($G21=3,0,0))))))))</f>
        <v>0</v>
      </c>
      <c r="T67" s="100">
        <f>IF($G21=10,$C67/10,IF($G21=9,$C67/9,IF($G21=8,$C67/8,IF($G21=7,$C67/7,IF($G21=6,$C67/6,IF($G21=5,0,IF($G21=4,0,IF($G21=3,0,0))))))))</f>
        <v>0</v>
      </c>
      <c r="U67" s="100">
        <f>IF($G21=10,$C67/10,IF($G21=9,$C67/9,IF($G21=8,$C67/8,IF($G21=7,$C67/7,IF($G21=6,0,IF($G21=5,0,IF($G21=4,0,IF($G21=3,0,0))))))))</f>
        <v>0</v>
      </c>
      <c r="V67" s="100">
        <f>IF($G21=10,$C67/10,IF($G21=9,$C67/9,IF($G21=8,$C67/8,IF($G21=7,0,IF($G21=6,0,IF($G21=5,0,IF($G21=4,0,IF($G21=3,0,0))))))))</f>
        <v>0</v>
      </c>
      <c r="W67" s="45">
        <f t="shared" si="17"/>
        <v>0</v>
      </c>
    </row>
    <row r="68" spans="1:35" x14ac:dyDescent="0.25">
      <c r="A68" s="70">
        <f t="shared" si="4"/>
        <v>0</v>
      </c>
      <c r="B68" s="81" t="s">
        <v>946</v>
      </c>
      <c r="C68" s="62">
        <f t="shared" si="5"/>
        <v>0</v>
      </c>
      <c r="D68" s="100"/>
      <c r="E68" s="100"/>
      <c r="F68" s="100"/>
      <c r="G68" s="100"/>
      <c r="H68" s="100"/>
      <c r="I68" s="100"/>
      <c r="J68" s="100"/>
      <c r="K68" s="100"/>
      <c r="L68" s="100"/>
      <c r="M68" s="100"/>
      <c r="N68" s="100"/>
      <c r="O68" s="100"/>
      <c r="P68" s="100">
        <f>IF($G22=10,$C68/10,IF($G22=9,$C68/9,IF($G22=8,$C68/8,IF($G22=7,$C68/7,IF($G22=6,$C68/6,IF($G22=5,$C68/5,IF($G22=4,$C68/4,IF($G22=3,$C68/3,0))))))))</f>
        <v>0</v>
      </c>
      <c r="Q68" s="100">
        <f t="shared" ref="Q68:R68" si="19">IF($G22=10,$C68/10,IF($G22=9,$C68/9,IF($G22=8,$C68/8,IF($G22=7,$C68/7,IF($G22=6,$C68/6,IF($G22=5,$C68/5,IF($G22=4,$C68/4,IF($G22=3,$C68/3,0))))))))</f>
        <v>0</v>
      </c>
      <c r="R68" s="100">
        <f t="shared" si="19"/>
        <v>0</v>
      </c>
      <c r="S68" s="100">
        <f>IF($G22=10,$C68/10,IF($G22=9,$C68/9,IF($G22=8,$C68/8,IF($G22=7,$C68/7,IF($G22=6,$C68/6,IF($G22=5,$C68/5,IF($G22=4,$C68/4,IF($G22=3,0,0))))))))</f>
        <v>0</v>
      </c>
      <c r="T68" s="100">
        <f>IF($G22=10,$C68/10,IF($G22=9,$C68/9,IF($G22=8,$C68/8,IF($G22=7,$C68/7,IF($G22=6,$C68/6,IF($G22=5,$C68/5,IF($G22=4,0,IF($G22=3,0,0))))))))</f>
        <v>0</v>
      </c>
      <c r="U68" s="100">
        <f>IF($G22=10,$C68/10,IF($G22=9,$C68/9,IF($G22=8,$C68/8,IF($G22=7,$C68/7,IF($G22=6,$C68/6,IF($G22=5,0,IF($G22=4,0,IF($G22=3,0,0))))))))</f>
        <v>0</v>
      </c>
      <c r="V68" s="100">
        <f>IF($G22=10,$C68/10,IF($G22=9,$C68/9,IF($G22=8,$C68/8,IF($G22=7,$C68/7,IF($G22=6,0,IF($G22=5,0,IF($G22=4,0,IF($G22=3,0,0))))))))</f>
        <v>0</v>
      </c>
      <c r="W68" s="45">
        <f t="shared" si="17"/>
        <v>0</v>
      </c>
    </row>
    <row r="69" spans="1:35" x14ac:dyDescent="0.25">
      <c r="A69" s="70">
        <f t="shared" si="4"/>
        <v>0</v>
      </c>
      <c r="B69" s="81" t="s">
        <v>948</v>
      </c>
      <c r="C69" s="62">
        <f t="shared" si="5"/>
        <v>0</v>
      </c>
      <c r="D69" s="681"/>
      <c r="E69" s="681"/>
      <c r="F69" s="681"/>
      <c r="G69" s="681"/>
      <c r="H69" s="681"/>
      <c r="I69" s="681"/>
      <c r="J69" s="681"/>
      <c r="K69" s="681"/>
      <c r="L69" s="681"/>
      <c r="M69" s="681"/>
      <c r="N69" s="681"/>
      <c r="O69" s="681"/>
      <c r="P69" s="681"/>
      <c r="Q69" s="100">
        <f>IF($G23=10,$C69/10,IF($G23=9,$C69/9,IF($G23=8,$C69/8,IF($G23=7,$C69/7,IF($G23=6,$C69/6,IF($G23=5,$C69/5,IF($G23=4,$C69/4,IF($G23=3,$C69/3,0))))))))</f>
        <v>0</v>
      </c>
      <c r="R69" s="100">
        <f t="shared" ref="R69:S69" si="20">IF($G23=10,$C69/10,IF($G23=9,$C69/9,IF($G23=8,$C69/8,IF($G23=7,$C69/7,IF($G23=6,$C69/6,IF($G23=5,$C69/5,IF($G23=4,$C69/4,IF($G23=3,$C69/3,0))))))))</f>
        <v>0</v>
      </c>
      <c r="S69" s="100">
        <f t="shared" si="20"/>
        <v>0</v>
      </c>
      <c r="T69" s="100">
        <f>IF($G23=10,$C69/10,IF($G23=9,$C69/9,IF($G23=8,$C69/8,IF($G23=7,$C69/7,IF($G23=6,$C69/6,IF($G23=5,$C69/5,IF($G23=4,$C69/4,IF($G23=3,0,0))))))))</f>
        <v>0</v>
      </c>
      <c r="U69" s="100">
        <f>IF($G23=10,$C69/10,IF($G23=9,$C69/9,IF($G23=8,$C69/8,IF($G23=7,$C69/7,IF($G23=6,$C69/6,IF($G23=5,$C69/5,IF($G23=4,0,IF($G23=3,0,0))))))))</f>
        <v>0</v>
      </c>
      <c r="V69" s="100">
        <f>IF($G23=10,$C69/10,IF($G23=9,$C69/9,IF($G23=8,$C69/8,IF($G23=7,$C69/7,IF($G23=6,$C69/6,IF($G23=5,0,IF($G23=4,0,IF($G23=3,0,0))))))))</f>
        <v>0</v>
      </c>
      <c r="W69" s="45">
        <f t="shared" si="17"/>
        <v>0</v>
      </c>
    </row>
    <row r="70" spans="1:35" x14ac:dyDescent="0.25">
      <c r="A70" s="70">
        <f t="shared" si="4"/>
        <v>0</v>
      </c>
      <c r="B70" s="81" t="s">
        <v>949</v>
      </c>
      <c r="C70" s="62">
        <f t="shared" si="5"/>
        <v>0</v>
      </c>
      <c r="D70" s="681"/>
      <c r="E70" s="681"/>
      <c r="F70" s="681"/>
      <c r="G70" s="681"/>
      <c r="H70" s="681"/>
      <c r="I70" s="681"/>
      <c r="J70" s="681"/>
      <c r="K70" s="681"/>
      <c r="L70" s="681"/>
      <c r="M70" s="681"/>
      <c r="N70" s="681"/>
      <c r="O70" s="681"/>
      <c r="P70" s="681"/>
      <c r="Q70" s="100"/>
      <c r="R70" s="100">
        <f t="shared" ref="R70:U71" si="21">IF($G24=10,$C70/10,IF($G24=9,$C70/9,IF($G24=8,$C70/8,IF($G24=7,$C70/7,IF($G24=6,$C70/6,IF($G24=5,$C70/5,IF($G24=4,$C70/4,IF($G24=3,$C70/3,0))))))))</f>
        <v>0</v>
      </c>
      <c r="S70" s="100">
        <f t="shared" si="21"/>
        <v>0</v>
      </c>
      <c r="T70" s="100">
        <f t="shared" si="21"/>
        <v>0</v>
      </c>
      <c r="U70" s="100">
        <f>IF($G24=10,$C70/10,IF($G24=9,$C70/9,IF($G24=8,$C70/8,IF($G24=7,$C70/7,IF($G24=6,$C70/6,IF($G24=5,$C70/5,IF($G24=4,$C70/4,IF($G24=3,0,0))))))))</f>
        <v>0</v>
      </c>
      <c r="V70" s="100">
        <f>IF($G24=10,$C70/10,IF($G24=9,$C70/9,IF($G24=8,$C70/8,IF($G24=7,$C70/7,IF($G24=6,$C70/6,IF($G24=5,$C70/5,IF($G24=4,0,IF($G24=3,0,0))))))))</f>
        <v>0</v>
      </c>
      <c r="W70" s="45">
        <f t="shared" si="10"/>
        <v>0</v>
      </c>
    </row>
    <row r="71" spans="1:35" x14ac:dyDescent="0.25">
      <c r="A71" s="70">
        <f t="shared" si="4"/>
        <v>0</v>
      </c>
      <c r="B71" s="81" t="s">
        <v>965</v>
      </c>
      <c r="C71" s="62">
        <f t="shared" si="5"/>
        <v>0</v>
      </c>
      <c r="D71" s="681"/>
      <c r="E71" s="681"/>
      <c r="F71" s="681"/>
      <c r="G71" s="681"/>
      <c r="H71" s="681"/>
      <c r="I71" s="681"/>
      <c r="J71" s="681"/>
      <c r="K71" s="681"/>
      <c r="L71" s="681"/>
      <c r="M71" s="681"/>
      <c r="N71" s="681"/>
      <c r="O71" s="681"/>
      <c r="P71" s="681"/>
      <c r="Q71" s="100"/>
      <c r="R71" s="681"/>
      <c r="S71" s="100">
        <f t="shared" si="21"/>
        <v>0</v>
      </c>
      <c r="T71" s="100">
        <f t="shared" si="21"/>
        <v>0</v>
      </c>
      <c r="U71" s="100">
        <f t="shared" si="21"/>
        <v>0</v>
      </c>
      <c r="V71" s="100">
        <f>IF($G25=10,$C71/10,IF($G25=9,$C71/9,IF($G25=8,$C71/8,IF($G25=7,$C71/7,IF($G25=6,$C71/6,IF($G25=5,$C71/5,IF($G25=4,$C71/4,IF($G25=3,0,0))))))))</f>
        <v>0</v>
      </c>
      <c r="W71" s="45">
        <f t="shared" si="10"/>
        <v>0</v>
      </c>
    </row>
    <row r="72" spans="1:35" x14ac:dyDescent="0.25">
      <c r="A72" s="70">
        <f t="shared" si="4"/>
        <v>0</v>
      </c>
      <c r="B72" s="82" t="s">
        <v>966</v>
      </c>
      <c r="C72" s="62">
        <f t="shared" si="5"/>
        <v>0</v>
      </c>
      <c r="D72" s="681"/>
      <c r="E72" s="681"/>
      <c r="F72" s="681"/>
      <c r="G72" s="681"/>
      <c r="H72" s="681"/>
      <c r="I72" s="681"/>
      <c r="J72" s="681"/>
      <c r="K72" s="681"/>
      <c r="L72" s="681"/>
      <c r="M72" s="681"/>
      <c r="N72" s="681"/>
      <c r="O72" s="681"/>
      <c r="P72" s="681"/>
      <c r="Q72" s="100"/>
      <c r="R72" s="681"/>
      <c r="S72" s="100"/>
      <c r="T72" s="100">
        <f>IF($G26=10,$C72/10,IF($G26=9,$C72/9,IF($G26=8,$C72/8,IF($G26=7,$C72/7,IF($G26=6,$C72/6,IF($G26=5,$C72/5,IF($G26=4,$C72/4,IF($G26=3,$C72/3,0))))))))</f>
        <v>0</v>
      </c>
      <c r="U72" s="100">
        <f t="shared" ref="U72:V72" si="22">IF($G26=10,$C72/10,IF($G26=9,$C72/9,IF($G26=8,$C72/8,IF($G26=7,$C72/7,IF($G26=6,$C72/6,IF($G26=5,$C72/5,IF($G26=4,$C72/4,IF($G26=3,$C72/3,0))))))))</f>
        <v>0</v>
      </c>
      <c r="V72" s="100">
        <f t="shared" si="22"/>
        <v>0</v>
      </c>
      <c r="W72" s="45">
        <f t="shared" si="10"/>
        <v>0</v>
      </c>
    </row>
    <row r="73" spans="1:35" x14ac:dyDescent="0.25">
      <c r="A73" s="70">
        <f t="shared" ref="A73:A74" si="23">+G27</f>
        <v>0</v>
      </c>
      <c r="B73" s="82" t="s">
        <v>967</v>
      </c>
      <c r="C73" s="62">
        <f t="shared" ref="C73:C74" si="24">+D27</f>
        <v>0</v>
      </c>
      <c r="D73" s="681"/>
      <c r="E73" s="681"/>
      <c r="F73" s="681"/>
      <c r="G73" s="681"/>
      <c r="H73" s="681"/>
      <c r="I73" s="681"/>
      <c r="J73" s="681"/>
      <c r="K73" s="681"/>
      <c r="L73" s="681"/>
      <c r="M73" s="681"/>
      <c r="N73" s="681"/>
      <c r="O73" s="681"/>
      <c r="P73" s="681"/>
      <c r="Q73" s="100"/>
      <c r="R73" s="681"/>
      <c r="S73" s="100"/>
      <c r="T73" s="100"/>
      <c r="U73" s="100">
        <f t="shared" ref="U73:V74" si="25">IF($G27=10,$C73/10,IF($G27=9,$C73/9,IF($G27=8,$C73/8,IF($G27=7,$C73/7,IF($G27=6,$C73/6,IF($G27=5,$C73/5,IF($G27=4,$C73/4,IF($G27=3,$C73/3,0))))))))</f>
        <v>0</v>
      </c>
      <c r="V73" s="100">
        <f t="shared" si="25"/>
        <v>0</v>
      </c>
      <c r="W73" s="45">
        <f t="shared" si="10"/>
        <v>0</v>
      </c>
    </row>
    <row r="74" spans="1:35" x14ac:dyDescent="0.25">
      <c r="A74" s="70">
        <f t="shared" si="23"/>
        <v>0</v>
      </c>
      <c r="B74" s="81" t="s">
        <v>968</v>
      </c>
      <c r="C74" s="62">
        <f t="shared" si="24"/>
        <v>0</v>
      </c>
      <c r="D74" s="681"/>
      <c r="E74" s="681"/>
      <c r="F74" s="681"/>
      <c r="G74" s="681"/>
      <c r="H74" s="681"/>
      <c r="I74" s="681"/>
      <c r="J74" s="681"/>
      <c r="K74" s="681"/>
      <c r="L74" s="681"/>
      <c r="M74" s="681"/>
      <c r="N74" s="681"/>
      <c r="O74" s="681"/>
      <c r="P74" s="681"/>
      <c r="Q74" s="100"/>
      <c r="R74" s="681"/>
      <c r="S74" s="100"/>
      <c r="T74" s="100"/>
      <c r="U74" s="100"/>
      <c r="V74" s="100">
        <f t="shared" si="25"/>
        <v>0</v>
      </c>
      <c r="W74" s="45">
        <f t="shared" si="10"/>
        <v>0</v>
      </c>
    </row>
    <row r="75" spans="1:35" x14ac:dyDescent="0.25">
      <c r="B75" s="9" t="s">
        <v>655</v>
      </c>
      <c r="C75" s="63">
        <f t="shared" ref="C75:V75" si="26">SUM(C56:C74)</f>
        <v>0</v>
      </c>
      <c r="D75" s="99">
        <f t="shared" si="26"/>
        <v>0</v>
      </c>
      <c r="E75" s="99">
        <f t="shared" si="26"/>
        <v>0</v>
      </c>
      <c r="F75" s="99">
        <f t="shared" si="26"/>
        <v>0</v>
      </c>
      <c r="G75" s="99">
        <f t="shared" si="26"/>
        <v>0</v>
      </c>
      <c r="H75" s="99">
        <f t="shared" si="26"/>
        <v>0</v>
      </c>
      <c r="I75" s="99">
        <f t="shared" si="26"/>
        <v>0</v>
      </c>
      <c r="J75" s="99">
        <f t="shared" si="26"/>
        <v>0</v>
      </c>
      <c r="K75" s="99">
        <f t="shared" si="26"/>
        <v>0</v>
      </c>
      <c r="L75" s="99">
        <f t="shared" si="26"/>
        <v>0</v>
      </c>
      <c r="M75" s="99">
        <f t="shared" si="26"/>
        <v>0</v>
      </c>
      <c r="N75" s="99">
        <f t="shared" si="26"/>
        <v>0</v>
      </c>
      <c r="O75" s="99">
        <f t="shared" si="26"/>
        <v>0</v>
      </c>
      <c r="P75" s="99">
        <f t="shared" si="26"/>
        <v>0</v>
      </c>
      <c r="Q75" s="99">
        <f t="shared" si="26"/>
        <v>0</v>
      </c>
      <c r="R75" s="99">
        <f t="shared" si="26"/>
        <v>0</v>
      </c>
      <c r="S75" s="99">
        <f t="shared" si="26"/>
        <v>0</v>
      </c>
      <c r="T75" s="99">
        <f t="shared" si="26"/>
        <v>0</v>
      </c>
      <c r="U75" s="99">
        <f t="shared" si="26"/>
        <v>0</v>
      </c>
      <c r="V75" s="99">
        <f t="shared" si="26"/>
        <v>0</v>
      </c>
      <c r="W75" s="45">
        <f t="shared" ref="W75" si="27">C75-SUM(D75:U75)</f>
        <v>0</v>
      </c>
    </row>
    <row r="76" spans="1:35" x14ac:dyDescent="0.25">
      <c r="C76" s="64"/>
      <c r="S76" s="3"/>
      <c r="T76" s="3"/>
    </row>
    <row r="77" spans="1:35" x14ac:dyDescent="0.25">
      <c r="B77" s="43" t="s">
        <v>22</v>
      </c>
      <c r="C77" s="65"/>
      <c r="S77" s="3"/>
      <c r="T77" s="3"/>
    </row>
    <row r="78" spans="1:35" x14ac:dyDescent="0.25">
      <c r="C78" s="61" t="s">
        <v>709</v>
      </c>
      <c r="D78" s="44" t="s">
        <v>685</v>
      </c>
      <c r="E78" s="44" t="s">
        <v>686</v>
      </c>
      <c r="F78" s="44" t="s">
        <v>687</v>
      </c>
      <c r="G78" s="44" t="s">
        <v>711</v>
      </c>
      <c r="H78" s="44" t="s">
        <v>719</v>
      </c>
      <c r="I78" s="44" t="s">
        <v>444</v>
      </c>
      <c r="J78" s="44" t="s">
        <v>445</v>
      </c>
      <c r="K78" s="44" t="s">
        <v>722</v>
      </c>
      <c r="L78" s="44" t="s">
        <v>770</v>
      </c>
      <c r="M78" s="44" t="s">
        <v>790</v>
      </c>
      <c r="N78" s="44" t="s">
        <v>803</v>
      </c>
      <c r="O78" s="44" t="s">
        <v>804</v>
      </c>
      <c r="P78" s="44" t="s">
        <v>946</v>
      </c>
      <c r="Q78" s="44" t="s">
        <v>948</v>
      </c>
      <c r="R78" s="44" t="s">
        <v>949</v>
      </c>
      <c r="S78" s="44" t="s">
        <v>965</v>
      </c>
      <c r="T78" s="44" t="s">
        <v>966</v>
      </c>
      <c r="U78" s="44" t="s">
        <v>967</v>
      </c>
      <c r="V78" s="44" t="s">
        <v>968</v>
      </c>
      <c r="W78" s="403" t="s">
        <v>712</v>
      </c>
    </row>
    <row r="79" spans="1:35" x14ac:dyDescent="0.25">
      <c r="B79" s="80" t="s">
        <v>685</v>
      </c>
      <c r="C79" s="66">
        <f t="shared" ref="C79:C97" si="28">D33</f>
        <v>0</v>
      </c>
      <c r="D79" s="100">
        <f>IF($G33=10,$C79/10,IF($G33=9,$C79/9,IF($G33=8,$C79/8,IF($G33=7,$C79/7,IF($G33=6,$C79/6,IF($G33=5,$C79/5,IF($G33=4,$C79/4,IF($G33=3,$C79/3,0))))))))</f>
        <v>0</v>
      </c>
      <c r="E79" s="100">
        <f>IF($G33=10,$C79/10,IF($G33=9,$C79/9,IF($G33=8,$C79/8,IF($G33=7,$C79/7,IF($G33=6,$C79/6,IF($G33=5,$C79/5,IF($G33=4,$C79/4,IF($G33=3,$C79/3,0))))))))</f>
        <v>0</v>
      </c>
      <c r="F79" s="100">
        <f>IF($G33=10,$C79/10,IF($G33=9,$C79/9,IF($G33=8,$C79/8,IF($G33=7,$C79/7,IF($G33=6,$C79/6,IF($G33=5,$C79/5,IF($G33=4,$C79/4,IF($G33=3,$C79/3,0))))))))</f>
        <v>0</v>
      </c>
      <c r="G79" s="100">
        <f>IF($G33=10,$C79/10,IF($G33=9,$C79/9,IF($G33=8,$C79/8,IF($G33=7,$C79/7,IF($G33=6,$C79/6,IF($G33=5,$C79/5,IF($G33=4,$C79/4,IF($G33=3,0,0))))))))</f>
        <v>0</v>
      </c>
      <c r="H79" s="100">
        <f>IF($G33=10,$C79/10,IF($G33=9,$C79/9,IF($G33=8,$C79/8,IF($G33=7,$C79/7,IF($G33=6,$C79/6,IF($G33=5,$C79/5,IF($G33=4,0,IF($G33=3,0,0))))))))</f>
        <v>0</v>
      </c>
      <c r="I79" s="100">
        <f>IF($G33=10,$C79/10,IF($G33=9,$C79/9,IF($G33=8,$C79/8,IF($G33=7,$C79/7,IF($G33=6,$C79/6,IF($G33=5,0,IF($G33=4,0,IF($G33=3,0,0))))))))</f>
        <v>0</v>
      </c>
      <c r="J79" s="100">
        <f>IF($G33=10,$C79/10,IF($G33=9,$C79/9,IF($G33=8,$C79/8,IF($G33=7,$C79/7,IF($G33=6,0,IF($G33=5,0,IF($G33=4,0,IF($G33=3,0,0))))))))</f>
        <v>0</v>
      </c>
      <c r="K79" s="100">
        <f>IF($G33=10,$C79/10,IF($G33=9,$C79/9,IF($G33=8,$C79/8,IF($G33=7,0,IF($G33=6,0,IF($G33=5,0,IF($G33=4,0,IF($G33=3,0,0))))))))</f>
        <v>0</v>
      </c>
      <c r="L79" s="100">
        <f>IF($G33=10,$C79/10,IF($G33=9,$C79/9,IF($G33=8,0,IF($G33=7,0,IF($G33=6,0,IF($G33=5,0,IF($G33=4,0,IF($G33=3,0,0))))))))</f>
        <v>0</v>
      </c>
      <c r="M79" s="100">
        <f>IF($G33=10,$C79/10,IF($G33=9,0,IF($G33=8,0,IF($G33=7,0,IF($G33=6,0,IF($G33=5,0,IF($G33=4,0,IF($G33=3,0,0))))))))</f>
        <v>0</v>
      </c>
      <c r="N79" s="100">
        <f t="shared" ref="N79:V79" si="29">IF($G33=10,0,IF($G33=9,0,IF($G33=8,0,IF($G33=7,0,IF($G33=6,0,IF($G33=5,0,IF($G33=4,0,IF($G33=3,0,0))))))))</f>
        <v>0</v>
      </c>
      <c r="O79" s="100">
        <f t="shared" si="29"/>
        <v>0</v>
      </c>
      <c r="P79" s="100">
        <f t="shared" si="29"/>
        <v>0</v>
      </c>
      <c r="Q79" s="100">
        <f t="shared" si="29"/>
        <v>0</v>
      </c>
      <c r="R79" s="100">
        <f t="shared" si="29"/>
        <v>0</v>
      </c>
      <c r="S79" s="100">
        <f t="shared" si="29"/>
        <v>0</v>
      </c>
      <c r="T79" s="100">
        <f t="shared" si="29"/>
        <v>0</v>
      </c>
      <c r="U79" s="100">
        <f t="shared" si="29"/>
        <v>0</v>
      </c>
      <c r="V79" s="100">
        <f t="shared" si="29"/>
        <v>0</v>
      </c>
      <c r="W79" s="45">
        <f>C79-SUM(D79:T79)</f>
        <v>0</v>
      </c>
      <c r="Y79" s="45"/>
      <c r="Z79" s="45"/>
      <c r="AA79" s="45"/>
      <c r="AB79" s="45"/>
      <c r="AC79" s="45"/>
      <c r="AD79" s="45"/>
      <c r="AE79" s="45"/>
      <c r="AF79" s="45"/>
      <c r="AG79" s="45"/>
      <c r="AH79" s="45"/>
      <c r="AI79" s="45"/>
    </row>
    <row r="80" spans="1:35" x14ac:dyDescent="0.25">
      <c r="B80" s="81" t="s">
        <v>686</v>
      </c>
      <c r="C80" s="66">
        <f t="shared" si="28"/>
        <v>0</v>
      </c>
      <c r="D80" s="100"/>
      <c r="E80" s="100">
        <f>IF($G34=10,$C80/10,IF($G34=9,$C80/9,IF($G34=8,$C80/8,IF($G34=7,$C80/7,IF($G34=6,$C80/6,IF($G34=5,$C80/5,IF($G34=4,$C80/4,IF($G34=3,$C80/3,0))))))))</f>
        <v>0</v>
      </c>
      <c r="F80" s="100">
        <f>IF($G34=10,$C80/10,IF($G34=9,$C80/9,IF($G34=8,$C80/8,IF($G34=7,$C80/7,IF($G34=6,$C80/6,IF($G34=5,$C80/5,IF($G34=4,$C80/4,IF($G34=3,$C80/3,0))))))))</f>
        <v>0</v>
      </c>
      <c r="G80" s="100">
        <f>IF($G34=10,$C80/10,IF($G34=9,$C80/9,IF($G34=8,$C80/8,IF($G34=7,$C80/7,IF($G34=6,$C80/6,IF($G34=5,$C80/5,IF($G34=4,$C80/4,IF($G34=3,$C80/3,0))))))))</f>
        <v>0</v>
      </c>
      <c r="H80" s="100">
        <f>IF($G34=10,$C80/10,IF($G34=9,$C80/9,IF($G34=8,$C80/8,IF($G34=7,$C80/7,IF($G34=6,$C80/6,IF($G34=5,$C80/5,IF($G34=4,$C80/4,IF($G34=3,0,0))))))))</f>
        <v>0</v>
      </c>
      <c r="I80" s="100">
        <f>IF($G34=10,$C80/10,IF($G34=9,$C80/9,IF($G34=8,$C80/8,IF($G34=7,$C80/7,IF($G34=6,$C80/6,IF($G34=5,$C80/5,IF($G34=4,0,IF($G34=3,0,0))))))))</f>
        <v>0</v>
      </c>
      <c r="J80" s="100">
        <f>IF($G34=10,$C80/10,IF($G34=9,$C80/9,IF($G34=8,$C80/8,IF($G34=7,$C80/7,IF($G34=6,$C80/6,IF($G34=5,0,IF($G34=4,0,IF($G34=3,0,0))))))))</f>
        <v>0</v>
      </c>
      <c r="K80" s="100">
        <f>IF($G34=10,$C80/10,IF($G34=9,$C80/9,IF($G34=8,$C80/8,IF($G34=7,$C80/7,IF($G34=6,0,IF($G34=5,0,IF($G34=4,0,IF($G34=3,0,0))))))))</f>
        <v>0</v>
      </c>
      <c r="L80" s="100">
        <f>IF($G34=10,$C80/10,IF($G34=9,$C80/9,IF($G34=8,$C80/8,IF($G34=7,0,IF($G34=6,0,IF($G34=5,0,IF($G34=4,0,IF($G34=3,0,0))))))))</f>
        <v>0</v>
      </c>
      <c r="M80" s="100">
        <f>IF($G34=10,$C80/10,IF($G34=9,$C80/9,IF($G34=8,0,IF($G34=7,0,IF($G34=6,0,IF($G34=5,0,IF($G34=4,0,IF($G34=3,0,0))))))))</f>
        <v>0</v>
      </c>
      <c r="N80" s="100">
        <f>IF($G34=10,$C80/10,IF($G34=9,0,IF($G34=8,0,IF($G34=7,0,IF($G34=6,0,IF($G34=5,0,IF($G34=4,0,IF($G34=3,0,0))))))))</f>
        <v>0</v>
      </c>
      <c r="O80" s="100">
        <f t="shared" ref="O80:V80" si="30">IF($G34=10,0,IF($G34=9,0,IF($G34=8,0,IF($G34=7,0,IF($G34=6,0,IF($G34=5,0,IF($G34=4,0,IF($G34=3,0,0))))))))</f>
        <v>0</v>
      </c>
      <c r="P80" s="100">
        <f t="shared" si="30"/>
        <v>0</v>
      </c>
      <c r="Q80" s="100">
        <f t="shared" si="30"/>
        <v>0</v>
      </c>
      <c r="R80" s="100">
        <f t="shared" si="30"/>
        <v>0</v>
      </c>
      <c r="S80" s="100">
        <f t="shared" si="30"/>
        <v>0</v>
      </c>
      <c r="T80" s="100">
        <f t="shared" si="30"/>
        <v>0</v>
      </c>
      <c r="U80" s="100">
        <f t="shared" si="30"/>
        <v>0</v>
      </c>
      <c r="V80" s="100">
        <f t="shared" si="30"/>
        <v>0</v>
      </c>
      <c r="W80" s="45">
        <f t="shared" ref="W80:W97" si="31">C80-SUM(D80:T80)</f>
        <v>0</v>
      </c>
      <c r="Y80" s="45"/>
      <c r="Z80" s="45"/>
      <c r="AA80" s="45"/>
      <c r="AB80" s="45"/>
      <c r="AC80" s="45"/>
      <c r="AD80" s="45"/>
      <c r="AE80" s="45"/>
      <c r="AF80" s="45"/>
      <c r="AG80" s="45"/>
      <c r="AH80" s="45"/>
      <c r="AI80" s="45"/>
    </row>
    <row r="81" spans="2:35" x14ac:dyDescent="0.25">
      <c r="B81" s="81" t="s">
        <v>687</v>
      </c>
      <c r="C81" s="66">
        <f t="shared" si="28"/>
        <v>0</v>
      </c>
      <c r="D81" s="100"/>
      <c r="E81" s="100"/>
      <c r="F81" s="100">
        <f>IF($G35=10,$C81/10,IF($G35=9,$C81/9,IF($G35=8,$C81/8,IF($G35=7,$C81/7,IF($G35=6,$C81/6,IF($G35=5,$C81/5,IF($G35=4,$C81/4,IF($G35=3,$C81/3,0))))))))</f>
        <v>0</v>
      </c>
      <c r="G81" s="100">
        <f>IF($G35=10,$C81/10,IF($G35=9,$C81/9,IF($G35=8,$C81/8,IF($G35=7,$C81/7,IF($G35=6,$C81/6,IF($G35=5,$C81/5,IF($G35=4,$C81/4,IF($G35=3,$C81/3,0))))))))</f>
        <v>0</v>
      </c>
      <c r="H81" s="100">
        <f>IF($G35=10,$C81/10,IF($G35=9,$C81/9,IF($G35=8,$C81/8,IF($G35=7,$C81/7,IF($G35=6,$C81/6,IF($G35=5,$C81/5,IF($G35=4,$C81/4,IF($G35=3,$C81/3,0))))))))</f>
        <v>0</v>
      </c>
      <c r="I81" s="100">
        <f>IF($G35=10,$C81/10,IF($G35=9,$C81/9,IF($G35=8,$C81/8,IF($G35=7,$C81/7,IF($G35=6,$C81/6,IF($G35=5,$C81/5,IF($G35=4,$C81/4,IF($G35=3,0,0))))))))</f>
        <v>0</v>
      </c>
      <c r="J81" s="100">
        <f>IF($G35=10,$C81/10,IF($G35=9,$C81/9,IF($G35=8,$C81/8,IF($G35=7,$C81/7,IF($G35=6,$C81/6,IF($G35=5,$C81/5,IF($G35=4,0,IF($G35=3,0,0))))))))</f>
        <v>0</v>
      </c>
      <c r="K81" s="100">
        <f>IF($G35=10,$C81/10,IF($G35=9,$C81/9,IF($G35=8,$C81/8,IF($G35=7,$C81/7,IF($G35=6,$C81/6,IF($G35=5,0,IF($G35=4,0,IF($G35=3,0,0))))))))</f>
        <v>0</v>
      </c>
      <c r="L81" s="100">
        <f>IF($G35=10,$C81/10,IF($G35=9,$C81/9,IF($G35=8,$C81/8,IF($G35=7,$C81/7,IF($G35=6,0,IF($G35=5,0,IF($G35=4,0,IF($G35=3,0,0))))))))</f>
        <v>0</v>
      </c>
      <c r="M81" s="100">
        <f>IF($G35=10,$C81/10,IF($G35=9,$C81/9,IF($G35=8,$C81/8,IF($G35=7,0,IF($G35=6,0,IF($G35=5,0,IF($G35=4,0,IF($G35=3,0,0))))))))</f>
        <v>0</v>
      </c>
      <c r="N81" s="100">
        <f>IF($G35=10,$C81/10,IF($G35=9,$C81/9,IF($G35=8,0,IF($G35=7,0,IF($G35=6,0,IF($G35=5,0,IF($G35=4,0,IF($G35=3,0,0))))))))</f>
        <v>0</v>
      </c>
      <c r="O81" s="100">
        <f>IF($G35=10,$C81/10,IF($G35=9,0,IF($G35=8,0,IF($G35=7,0,IF($G35=6,0,IF($G35=5,0,IF($G35=4,0,IF($G35=3,0,0))))))))</f>
        <v>0</v>
      </c>
      <c r="P81" s="100">
        <f>IF($G35=10,0,IF($G35=9,0,IF($G35=8,0,IF($G35=7,0,IF($G35=6,0,IF($G35=5,0,IF($G35=4,0,IF($G35=3,0,0))))))))</f>
        <v>0</v>
      </c>
      <c r="Q81" s="100">
        <f>IF($G35=10,0,IF($G35=9,0,IF($G35=8,0,IF($G35=7,0,IF($G35=6,0,IF($G35=5,0,IF($G35=4,0,IF($G35=3,0,0))))))))</f>
        <v>0</v>
      </c>
      <c r="R81" s="100">
        <f>IF($G35=10,0,IF($G35=9,0,IF($G35=8,0,IF($G35=7,0,IF($G35=6,0,IF($G35=5,0,IF($G35=4,0,IF($G35=3,0,0))))))))</f>
        <v>0</v>
      </c>
      <c r="S81" s="100">
        <f>IF($G35=10,0,IF($G35=9,0,IF($G35=8,0,IF($G35=7,0,IF($G35=6,0,IF($G35=5,0,IF($G35=4,0,IF($G35=3,0,0))))))))</f>
        <v>0</v>
      </c>
      <c r="T81" s="100">
        <f>IF($G35=10,0,IF($G35=9,0,IF($G35=8,0,IF($G35=7,0,IF($G35=6,0,IF($G35=5,0,IF($G35=4,0,IF($G35=3,0,0))))))))</f>
        <v>0</v>
      </c>
      <c r="U81" s="100">
        <f t="shared" ref="U81:V81" si="32">IF($G35=10,0,IF($G35=9,0,IF($G35=8,0,IF($G35=7,0,IF($G35=6,0,IF($G35=5,0,IF($G35=4,0,IF($G35=3,0,0))))))))</f>
        <v>0</v>
      </c>
      <c r="V81" s="100">
        <f t="shared" si="32"/>
        <v>0</v>
      </c>
      <c r="W81" s="45">
        <f t="shared" si="31"/>
        <v>0</v>
      </c>
      <c r="Y81" s="45"/>
      <c r="Z81" s="45"/>
      <c r="AA81" s="45"/>
      <c r="AB81" s="45"/>
      <c r="AC81" s="45"/>
      <c r="AD81" s="45"/>
      <c r="AE81" s="45"/>
      <c r="AF81" s="45"/>
      <c r="AG81" s="45"/>
      <c r="AH81" s="45"/>
      <c r="AI81" s="45"/>
    </row>
    <row r="82" spans="2:35" x14ac:dyDescent="0.25">
      <c r="B82" s="81" t="s">
        <v>711</v>
      </c>
      <c r="C82" s="66">
        <f t="shared" si="28"/>
        <v>0</v>
      </c>
      <c r="D82" s="100"/>
      <c r="E82" s="100"/>
      <c r="F82" s="100"/>
      <c r="G82" s="100">
        <f>IF($G36=10,$C82/10,IF($G36=9,$C82/9,IF($G36=8,$C82/8,IF($G36=7,$C82/7,IF($G36=6,$C82/6,IF($G36=5,$C82/5,IF($G36=4,$C82/4,IF($G36=3,$C82/3,0))))))))</f>
        <v>0</v>
      </c>
      <c r="H82" s="100">
        <f>IF($G36=10,$C82/10,IF($G36=9,$C82/9,IF($G36=8,$C82/8,IF($G36=7,$C82/7,IF($G36=6,$C82/6,IF($G36=5,$C82/5,IF($G36=4,$C82/4,IF($G36=3,$C82/3,0))))))))</f>
        <v>0</v>
      </c>
      <c r="I82" s="100">
        <f>IF($G36=10,$C82/10,IF($G36=9,$C82/9,IF($G36=8,$C82/8,IF($G36=7,$C82/7,IF($G36=6,$C82/6,IF($G36=5,$C82/5,IF($G36=4,$C82/4,IF($G36=3,$C82/3,0))))))))</f>
        <v>0</v>
      </c>
      <c r="J82" s="100">
        <f>IF($G36=10,$C82/10,IF($G36=9,$C82/9,IF($G36=8,$C82/8,IF($G36=7,$C82/7,IF($G36=6,$C82/6,IF($G36=5,$C82/5,IF($G36=4,$C82/4,IF($G36=3,0,0))))))))</f>
        <v>0</v>
      </c>
      <c r="K82" s="100">
        <f>IF($G36=10,$C82/10,IF($G36=9,$C82/9,IF($G36=8,$C82/8,IF($G36=7,$C82/7,IF($G36=6,$C82/6,IF($G36=5,$C82/5,IF($G36=4,0,IF($G36=3,0,0))))))))</f>
        <v>0</v>
      </c>
      <c r="L82" s="100">
        <f>IF($G36=10,$C82/10,IF($G36=9,$C82/9,IF($G36=8,$C82/8,IF($G36=7,$C82/7,IF($G36=6,$C82/6,IF($G36=5,0,IF($G36=4,0,IF($G36=3,0,0))))))))</f>
        <v>0</v>
      </c>
      <c r="M82" s="100">
        <f>IF($G36=10,$C82/10,IF($G36=9,$C82/9,IF($G36=8,$C82/8,IF($G36=7,$C82/7,IF($G36=6,0,IF($G36=5,0,IF($G36=4,0,IF($G36=3,0,0))))))))</f>
        <v>0</v>
      </c>
      <c r="N82" s="100">
        <f>IF($G36=10,$C82/10,IF($G36=9,$C82/9,IF($G36=8,$C82/8,IF($G36=7,0,IF($G36=6,0,IF($G36=5,0,IF($G36=4,0,IF($G36=3,0,0))))))))</f>
        <v>0</v>
      </c>
      <c r="O82" s="100">
        <f>IF($G36=10,$C82/10,IF($G36=9,$C82/9,IF($G36=8,0,IF($G36=7,0,IF($G36=6,0,IF($G36=5,0,IF($G36=4,0,IF($G36=3,0,0))))))))</f>
        <v>0</v>
      </c>
      <c r="P82" s="100">
        <f>IF($G36=10,$C82/10,IF($G36=9,0,IF($G36=8,0,IF($G36=7,0,IF($G36=6,0,IF($G36=5,0,IF($G36=4,0,IF($G36=3,0,0))))))))</f>
        <v>0</v>
      </c>
      <c r="Q82" s="100">
        <f>IF($G36=10,0,IF($G36=9,0,IF($G36=8,0,IF($G36=7,0,IF($G36=6,0,IF($G36=5,0,IF($G36=4,0,IF($G36=3,0,0))))))))</f>
        <v>0</v>
      </c>
      <c r="R82" s="100">
        <f>IF($G36=10,0,IF($G36=9,0,IF($G36=8,0,IF($G36=7,0,IF($G36=6,0,IF($G36=5,0,IF($G36=4,0,IF($G36=3,0,0))))))))</f>
        <v>0</v>
      </c>
      <c r="S82" s="100">
        <f>IF($G36=10,0,IF($G36=9,0,IF($G36=8,0,IF($G36=7,0,IF($G36=6,0,IF($G36=5,0,IF($G36=4,0,IF($G36=3,0,0))))))))</f>
        <v>0</v>
      </c>
      <c r="T82" s="100">
        <f>IF($G36=10,0,IF($G36=9,0,IF($G36=8,0,IF($G36=7,0,IF($G36=6,0,IF($G36=5,0,IF($G36=4,0,IF($G36=3,0,0))))))))</f>
        <v>0</v>
      </c>
      <c r="U82" s="100">
        <f t="shared" ref="U82:V82" si="33">IF($G36=10,0,IF($G36=9,0,IF($G36=8,0,IF($G36=7,0,IF($G36=6,0,IF($G36=5,0,IF($G36=4,0,IF($G36=3,0,0))))))))</f>
        <v>0</v>
      </c>
      <c r="V82" s="100">
        <f t="shared" si="33"/>
        <v>0</v>
      </c>
      <c r="W82" s="45">
        <f t="shared" si="31"/>
        <v>0</v>
      </c>
      <c r="Y82" s="45"/>
      <c r="Z82" s="45"/>
      <c r="AA82" s="45"/>
      <c r="AB82" s="45"/>
      <c r="AC82" s="45"/>
      <c r="AD82" s="45"/>
      <c r="AE82" s="45"/>
      <c r="AF82" s="45"/>
      <c r="AG82" s="45"/>
      <c r="AH82" s="45"/>
      <c r="AI82" s="45"/>
    </row>
    <row r="83" spans="2:35" x14ac:dyDescent="0.25">
      <c r="B83" s="82" t="s">
        <v>719</v>
      </c>
      <c r="C83" s="66">
        <f t="shared" si="28"/>
        <v>0</v>
      </c>
      <c r="D83" s="100"/>
      <c r="E83" s="100"/>
      <c r="F83" s="100"/>
      <c r="G83" s="100"/>
      <c r="H83" s="100">
        <f>IF($G37=10,$C83/10,IF($G37=9,$C83/9,IF($G37=8,$C83/8,IF($G37=7,$C83/7,IF($G37=6,$C83/6,IF($G37=5,$C83/5,IF($G37=4,$C83/4,IF($G37=3,$C83/3,0))))))))</f>
        <v>0</v>
      </c>
      <c r="I83" s="100">
        <f>IF($G37=10,$C83/10,IF($G37=9,$C83/9,IF($G37=8,$C83/8,IF($G37=7,$C83/7,IF($G37=6,$C83/6,IF($G37=5,$C83/5,IF($G37=4,$C83/4,IF($G37=3,$C83/3,0))))))))</f>
        <v>0</v>
      </c>
      <c r="J83" s="100">
        <f>IF($G37=10,$C83/10,IF($G37=9,$C83/9,IF($G37=8,$C83/8,IF($G37=7,$C83/7,IF($G37=6,$C83/6,IF($G37=5,$C83/5,IF($G37=4,$C83/4,IF($G37=3,$C83/3,0))))))))</f>
        <v>0</v>
      </c>
      <c r="K83" s="100">
        <f>IF($G37=10,$C83/10,IF($G37=9,$C83/9,IF($G37=8,$C83/8,IF($G37=7,$C83/7,IF($G37=6,$C83/6,IF($G37=5,$C83/5,IF($G37=4,$C83/4,IF($G37=3,0,0))))))))</f>
        <v>0</v>
      </c>
      <c r="L83" s="100">
        <f>IF($G37=10,$C83/10,IF($G37=9,$C83/9,IF($G37=8,$C83/8,IF($G37=7,$C83/7,IF($G37=6,$C83/6,IF($G37=5,$C83/5,IF($G37=4,0,IF($G37=3,0,0))))))))</f>
        <v>0</v>
      </c>
      <c r="M83" s="100">
        <f>IF($G37=10,$C83/10,IF($G37=9,$C83/9,IF($G37=8,$C83/8,IF($G37=7,$C83/7,IF($G37=6,$C83/6,IF($G37=5,0,IF($G37=4,0,IF($G37=3,0,0))))))))</f>
        <v>0</v>
      </c>
      <c r="N83" s="100">
        <f>IF($G37=10,$C83/10,IF($G37=9,$C83/9,IF($G37=8,$C83/8,IF($G37=7,$C83/7,IF($G37=6,0,IF($G37=5,0,IF($G37=4,0,IF($G37=3,0,0))))))))</f>
        <v>0</v>
      </c>
      <c r="O83" s="100">
        <f>IF($G37=10,$C83/10,IF($G37=9,$C83/9,IF($G37=8,$C83/8,IF($G37=7,0,IF($G37=6,0,IF($G37=5,0,IF($G37=4,0,IF($G37=3,0,0))))))))</f>
        <v>0</v>
      </c>
      <c r="P83" s="100">
        <f>IF($G37=10,$C83/10,IF($G37=9,$C83/9,IF($G37=8,0,IF($G37=7,0,IF($G37=6,0,IF($G37=5,0,IF($G37=4,0,IF($G37=3,0,0))))))))</f>
        <v>0</v>
      </c>
      <c r="Q83" s="100">
        <f>IF($G37=10,$C83/10,IF($G37=9,$C83/9,IF($G37=8,0,IF($G37=7,0,IF($G37=6,0,IF($G37=5,0,IF($G37=4,0,IF($G37=3,0,0))))))))</f>
        <v>0</v>
      </c>
      <c r="R83" s="100">
        <f>IF($G37=10,0,IF($G37=9,0,IF($G37=8,0,IF($G37=7,0,IF($G37=6,0,IF($G37=5,0,IF($G37=4,0,IF($G37=3,0,0))))))))</f>
        <v>0</v>
      </c>
      <c r="S83" s="100">
        <f>IF($G37=10,0,IF($G37=9,0,IF($G37=8,0,IF($G37=7,0,IF($G37=6,0,IF($G37=5,0,IF($G37=4,0,IF($G37=3,0,0))))))))</f>
        <v>0</v>
      </c>
      <c r="T83" s="100">
        <f>IF($G37=10,0,IF($G37=9,0,IF($G37=8,0,IF($G37=7,0,IF($G37=6,0,IF($G37=5,0,IF($G37=4,0,IF($G37=3,0,0))))))))</f>
        <v>0</v>
      </c>
      <c r="U83" s="100">
        <f t="shared" ref="U83:V83" si="34">IF($G37=10,0,IF($G37=9,0,IF($G37=8,0,IF($G37=7,0,IF($G37=6,0,IF($G37=5,0,IF($G37=4,0,IF($G37=3,0,0))))))))</f>
        <v>0</v>
      </c>
      <c r="V83" s="100">
        <f t="shared" si="34"/>
        <v>0</v>
      </c>
      <c r="W83" s="45">
        <f t="shared" si="31"/>
        <v>0</v>
      </c>
      <c r="Y83" s="45"/>
      <c r="Z83" s="45"/>
      <c r="AA83" s="45"/>
      <c r="AB83" s="45"/>
      <c r="AC83" s="45"/>
      <c r="AD83" s="45"/>
      <c r="AE83" s="45"/>
      <c r="AF83" s="45"/>
      <c r="AG83" s="45"/>
      <c r="AH83" s="45"/>
      <c r="AI83" s="45"/>
    </row>
    <row r="84" spans="2:35" x14ac:dyDescent="0.25">
      <c r="B84" s="82" t="s">
        <v>444</v>
      </c>
      <c r="C84" s="66">
        <f t="shared" si="28"/>
        <v>0</v>
      </c>
      <c r="D84" s="100"/>
      <c r="E84" s="100"/>
      <c r="F84" s="100"/>
      <c r="G84" s="100"/>
      <c r="H84" s="100"/>
      <c r="I84" s="100">
        <f>IF($G38=10,$C84/10,IF($G38=9,$C84/9,IF($G38=8,$C84/8,IF($G38=7,$C84/7,IF($G38=6,$C84/6,IF($G38=5,$C84/5,IF($G38=4,$C84/4,IF($G38=3,$C84/3,0))))))))</f>
        <v>0</v>
      </c>
      <c r="J84" s="100">
        <f>IF($G38=10,$C84/10,IF($G38=9,$C84/9,IF($G38=8,$C84/8,IF($G38=7,$C84/7,IF($G38=6,$C84/6,IF($G38=5,$C84/5,IF($G38=4,$C84/4,IF($G38=3,$C84/3,0))))))))</f>
        <v>0</v>
      </c>
      <c r="K84" s="100">
        <f>IF($G38=10,$C84/10,IF($G38=9,$C84/9,IF($G38=8,$C84/8,IF($G38=7,$C84/7,IF($G38=6,$C84/6,IF($G38=5,$C84/5,IF($G38=4,$C84/4,IF($G38=3,$C84/3,0))))))))</f>
        <v>0</v>
      </c>
      <c r="L84" s="100">
        <f>IF($G38=10,$C84/10,IF($G38=9,$C84/9,IF($G38=8,$C84/8,IF($G38=7,$C84/7,IF($G38=6,$C84/6,IF($G38=5,$C84/5,IF($G38=4,$C84/4,IF($G38=3,0,0))))))))</f>
        <v>0</v>
      </c>
      <c r="M84" s="100">
        <f>IF($G38=10,$C84/10,IF($G38=9,$C84/9,IF($G38=8,$C84/8,IF($G38=7,$C84/7,IF($G38=6,$C84/6,IF($G38=5,$C84/5,IF($G38=4,0,IF($G38=3,0,0))))))))</f>
        <v>0</v>
      </c>
      <c r="N84" s="100">
        <f>IF($G38=10,$C84/10,IF($G38=9,$C84/9,IF($G38=8,$C84/8,IF($G38=7,$C84/7,IF($G38=6,$C84/6,IF($G38=5,0,IF($G38=4,0,IF($G38=3,0,0))))))))</f>
        <v>0</v>
      </c>
      <c r="O84" s="100">
        <f>IF($G38=10,$C84/10,IF($G38=9,$C84/9,IF($G38=8,$C84/8,IF($G38=7,$C84/7,IF($G38=6,0,IF($G38=5,0,IF($G38=4,0,IF($G38=3,0,0))))))))</f>
        <v>0</v>
      </c>
      <c r="P84" s="100">
        <f>IF($G38=10,$C84/10,IF($G38=9,$C84/9,IF($G38=8,$C84/8,IF($G38=7,0,IF($G38=6,0,IF($G38=5,0,IF($G38=4,0,IF($G38=3,0,0))))))))</f>
        <v>0</v>
      </c>
      <c r="Q84" s="100">
        <f>IF($G38=10,$C84/10,IF($G38=9,$C84/9,IF($G38=8,$C84/8,IF($G38=7,0,IF($G38=6,0,IF($G38=5,0,IF($G38=4,0,IF($G38=3,0,0))))))))</f>
        <v>0</v>
      </c>
      <c r="R84" s="100">
        <f>IF($G38=10,$C84/10,IF($G38=9,$C84/9,IF($G38=8,$C84/8,IF($G38=7,0,IF($G38=6,0,IF($G38=5,0,IF($G38=4,0,IF($G38=3,0,0))))))))</f>
        <v>0</v>
      </c>
      <c r="S84" s="100">
        <f>IF($G38=10,0,IF($G38=9,0,IF($G38=8,0,IF($G38=7,0,IF($G38=6,0,IF($G38=5,0,IF($G38=4,0,IF($G38=3,0,0))))))))</f>
        <v>0</v>
      </c>
      <c r="T84" s="100">
        <f>IF($G38=10,0,IF($G38=9,0,IF($G38=8,0,IF($G38=7,0,IF($G38=6,0,IF($G38=5,0,IF($G38=4,0,IF($G38=3,0,0))))))))</f>
        <v>0</v>
      </c>
      <c r="U84" s="100">
        <f t="shared" ref="U84:V84" si="35">IF($G38=10,0,IF($G38=9,0,IF($G38=8,0,IF($G38=7,0,IF($G38=6,0,IF($G38=5,0,IF($G38=4,0,IF($G38=3,0,0))))))))</f>
        <v>0</v>
      </c>
      <c r="V84" s="100">
        <f t="shared" si="35"/>
        <v>0</v>
      </c>
      <c r="W84" s="45">
        <f t="shared" si="31"/>
        <v>0</v>
      </c>
      <c r="Y84" s="45"/>
      <c r="Z84" s="45"/>
      <c r="AA84" s="45"/>
      <c r="AB84" s="45"/>
      <c r="AC84" s="45"/>
      <c r="AD84" s="45"/>
      <c r="AE84" s="45"/>
      <c r="AF84" s="45"/>
      <c r="AG84" s="45"/>
      <c r="AH84" s="45"/>
      <c r="AI84" s="45"/>
    </row>
    <row r="85" spans="2:35" x14ac:dyDescent="0.25">
      <c r="B85" s="82" t="s">
        <v>445</v>
      </c>
      <c r="C85" s="66">
        <f t="shared" si="28"/>
        <v>0</v>
      </c>
      <c r="D85" s="100"/>
      <c r="E85" s="100"/>
      <c r="F85" s="100"/>
      <c r="G85" s="100"/>
      <c r="H85" s="100"/>
      <c r="I85" s="100"/>
      <c r="J85" s="100">
        <f>IF($G39=10,$C85/10,IF($G39=9,$C85/9,IF($G39=8,$C85/8,IF($G39=7,$C85/7,IF($G39=6,$C85/6,IF($G39=5,$C85/5,IF($G39=4,$C85/4,IF($G39=3,$C85/3,0))))))))</f>
        <v>0</v>
      </c>
      <c r="K85" s="100">
        <f>IF($G39=10,$C85/10,IF($G39=9,$C85/9,IF($G39=8,$C85/8,IF($G39=7,$C85/7,IF($G39=6,$C85/6,IF($G39=5,$C85/5,IF($G39=4,$C85/4,IF($G39=3,$C85/3,0))))))))</f>
        <v>0</v>
      </c>
      <c r="L85" s="100">
        <f>IF($G39=10,$C85/10,IF($G39=9,$C85/9,IF($G39=8,$C85/8,IF($G39=7,$C85/7,IF($G39=6,$C85/6,IF($G39=5,$C85/5,IF($G39=4,$C85/4,IF($G39=3,$C85/3,0))))))))</f>
        <v>0</v>
      </c>
      <c r="M85" s="100">
        <f>IF($G39=10,$C85/10,IF($G39=9,$C85/9,IF($G39=8,$C85/8,IF($G39=7,$C85/7,IF($G39=6,$C85/6,IF($G39=5,$C85/5,IF($G39=4,$C85/4,IF($G39=3,0,0))))))))</f>
        <v>0</v>
      </c>
      <c r="N85" s="100">
        <f>IF($G39=10,$C85/10,IF($G39=9,$C85/9,IF($G39=8,$C85/8,IF($G39=7,$C85/7,IF($G39=6,$C85/6,IF($G39=5,$C85/5,IF($G39=4,0,IF($G39=3,0,0))))))))</f>
        <v>0</v>
      </c>
      <c r="O85" s="100">
        <f>IF($G39=10,$C85/10,IF($G39=9,$C85/9,IF($G39=8,$C85/8,IF($G39=7,$C85/7,IF($G39=6,$C85/6,IF($G39=5,0,IF($G39=4,0,IF($G39=3,0,0))))))))</f>
        <v>0</v>
      </c>
      <c r="P85" s="100">
        <f>IF($G39=10,$C85/10,IF($G39=9,$C85/9,IF($G39=8,$C85/8,IF($G39=7,$C85/7,IF($G39=6,0,IF($G39=5,0,IF($G39=4,0,IF($G39=3,0,0))))))))</f>
        <v>0</v>
      </c>
      <c r="Q85" s="100">
        <f>IF($G39=10,$C85/10,IF($G39=9,$C85/9,IF($G39=8,$C85/8,IF($G39=7,0,IF($G39=6,0,IF($G39=5,0,IF($G39=4,0,IF($G39=3,0,0))))))))</f>
        <v>0</v>
      </c>
      <c r="R85" s="100">
        <f>IF($G39=10,$C85/10,IF($G39=9,$C85/9,IF($G39=8,$C85/8,IF($G39=7,0,IF($G39=6,0,IF($G39=5,0,IF($G39=4,0,IF($G39=3,0,0))))))))</f>
        <v>0</v>
      </c>
      <c r="S85" s="100">
        <f>IF($G39=10,$C85/10,IF($G39=9,$C85/9,IF($G39=8,$C85/8,IF($G39=7,0,IF($G39=6,0,IF($G39=5,0,IF($G39=4,0,IF($G39=3,0,0))))))))</f>
        <v>0</v>
      </c>
      <c r="T85" s="100">
        <f>IF($G39=10,0,IF($G39=9,0,IF($G39=8,0,IF($G39=7,0,IF($G39=6,0,IF($G39=5,0,IF($G39=4,0,IF($G39=3,0,0))))))))</f>
        <v>0</v>
      </c>
      <c r="U85" s="100">
        <f t="shared" ref="U85:V85" si="36">IF($G39=10,0,IF($G39=9,0,IF($G39=8,0,IF($G39=7,0,IF($G39=6,0,IF($G39=5,0,IF($G39=4,0,IF($G39=3,0,0))))))))</f>
        <v>0</v>
      </c>
      <c r="V85" s="100">
        <f t="shared" si="36"/>
        <v>0</v>
      </c>
      <c r="W85" s="45">
        <f t="shared" si="31"/>
        <v>0</v>
      </c>
      <c r="Y85" s="45"/>
      <c r="Z85" s="45"/>
      <c r="AA85" s="45"/>
      <c r="AB85" s="45"/>
      <c r="AC85" s="45"/>
      <c r="AD85" s="45"/>
      <c r="AE85" s="45"/>
      <c r="AF85" s="45"/>
      <c r="AG85" s="45"/>
      <c r="AH85" s="45"/>
      <c r="AI85" s="45"/>
    </row>
    <row r="86" spans="2:35" x14ac:dyDescent="0.25">
      <c r="B86" s="82" t="s">
        <v>722</v>
      </c>
      <c r="C86" s="66">
        <f t="shared" si="28"/>
        <v>0</v>
      </c>
      <c r="D86" s="100"/>
      <c r="E86" s="100"/>
      <c r="F86" s="100"/>
      <c r="G86" s="100"/>
      <c r="H86" s="100"/>
      <c r="I86" s="100"/>
      <c r="J86" s="100"/>
      <c r="K86" s="100">
        <f>IF($G40=10,$C86/10,IF($G40=9,$C86/9,IF($G40=8,$C86/8,IF($G40=7,$C86/7,IF($G40=6,$C86/6,IF($G40=5,$C86/5,IF($G40=4,$C86/4,IF($G40=3,$C86/3,0))))))))</f>
        <v>0</v>
      </c>
      <c r="L86" s="100">
        <f>IF($G40=10,$C86/10,IF($G40=9,$C86/9,IF($G40=8,$C86/8,IF($G40=7,$C86/7,IF($G40=6,$C86/6,IF($G40=5,$C86/5,IF($G40=4,$C86/4,IF($G40=3,$C86/3,0))))))))</f>
        <v>0</v>
      </c>
      <c r="M86" s="100">
        <f>IF($G40=10,$C86/10,IF($G40=9,$C86/9,IF($G40=8,$C86/8,IF($G40=7,$C86/7,IF($G40=6,$C86/6,IF($G40=5,$C86/5,IF($G40=4,$C86/4,IF($G40=3,$C86/3,0))))))))</f>
        <v>0</v>
      </c>
      <c r="N86" s="100">
        <f>IF($G40=10,$C86/10,IF($G40=9,$C86/9,IF($G40=8,$C86/8,IF($G40=7,$C86/7,IF($G40=6,$C86/6,IF($G40=5,$C86/5,IF($G40=4,$C86/4,IF($G40=3,0,0))))))))</f>
        <v>0</v>
      </c>
      <c r="O86" s="100">
        <f>IF($G40=10,$C86/10,IF($G40=9,$C86/9,IF($G40=8,$C86/8,IF($G40=7,$C86/7,IF($G40=6,$C86/6,IF($G40=5,$C86/5,IF($G40=4,0,IF($G40=3,0,0))))))))</f>
        <v>0</v>
      </c>
      <c r="P86" s="100">
        <f>IF($G40=10,$C86/10,IF($G40=9,$C86/9,IF($G40=8,$C86/8,IF($G40=7,$C86/7,IF($G40=6,$C86/6,IF($G40=5,0,IF($G40=4,0,IF($G40=3,0,0))))))))</f>
        <v>0</v>
      </c>
      <c r="Q86" s="100">
        <f>IF($G40=10,$C86/10,IF($G40=9,$C86/9,IF($G40=8,$C86/8,IF($G40=7,$C86/7,IF($G40=6,0,IF($G40=5,0,IF($G40=4,0,IF($G40=3,0,0))))))))</f>
        <v>0</v>
      </c>
      <c r="R86" s="100">
        <f>IF($G40=10,$C86/10,IF($G40=9,$C86/9,IF($G40=8,$C86/8,IF($G40=7,0,IF($G40=6,0,IF($G40=5,0,IF($G40=4,0,IF($G40=3,0,0))))))))</f>
        <v>0</v>
      </c>
      <c r="S86" s="100">
        <f>IF($G40=10,$C86/10,IF($G40=9,$C86/9,IF($G40=8,0,IF($G40=7,0,IF($G40=6,0,IF($G40=5,0,IF($G40=4,0,IF($G40=3,0,0))))))))</f>
        <v>0</v>
      </c>
      <c r="T86" s="100">
        <f>IF($G40=10,$C86/10,IF($G40=9,0,IF($G40=8,0,IF($G40=7,0,IF($G40=6,0,IF($G40=5,0,IF($G40=4,0,IF($G40=3,0,0))))))))</f>
        <v>0</v>
      </c>
      <c r="U86" s="100">
        <f>IF($G40=10,0,IF($G40=9,0,IF($G40=8,0,IF($G40=7,0,IF($G40=6,0,IF($G40=5,0,IF($G40=4,0,IF($G40=3,0,0))))))))</f>
        <v>0</v>
      </c>
      <c r="V86" s="100">
        <f>IF($G40=10,0,IF($G40=9,0,IF($G40=8,0,IF($G40=7,0,IF($G40=6,0,IF($G40=5,0,IF($G40=4,0,IF($G40=3,0,0))))))))</f>
        <v>0</v>
      </c>
      <c r="W86" s="45">
        <f t="shared" si="31"/>
        <v>0</v>
      </c>
      <c r="Y86" s="45"/>
      <c r="Z86" s="45"/>
      <c r="AA86" s="45"/>
      <c r="AB86" s="45"/>
      <c r="AC86" s="45"/>
      <c r="AD86" s="45"/>
      <c r="AE86" s="45"/>
      <c r="AF86" s="45"/>
      <c r="AG86" s="45"/>
      <c r="AH86" s="45"/>
      <c r="AI86" s="45"/>
    </row>
    <row r="87" spans="2:35" x14ac:dyDescent="0.25">
      <c r="B87" s="82" t="s">
        <v>770</v>
      </c>
      <c r="C87" s="66">
        <f t="shared" si="28"/>
        <v>0</v>
      </c>
      <c r="D87" s="470"/>
      <c r="E87" s="470"/>
      <c r="F87" s="470"/>
      <c r="G87" s="470"/>
      <c r="H87" s="470"/>
      <c r="I87" s="470"/>
      <c r="J87" s="470"/>
      <c r="K87" s="470"/>
      <c r="L87" s="100">
        <f>IF($G41=10,$C87/10,IF($G41=9,$C87/9,IF($G41=8,$C87/8,IF($G41=7,$C87/7,IF($G41=6,$C87/6,IF($G41=5,$C87/5,IF($G41=4,$C87/4,IF($G41=3,$C87/3,0))))))))</f>
        <v>0</v>
      </c>
      <c r="M87" s="100">
        <f>IF($G41=10,$C87/10,IF($G41=9,$C87/9,IF($G41=8,$C87/8,IF($G41=7,$C87/7,IF($G41=6,$C87/6,IF($G41=5,$C87/5,IF($G41=4,$C87/4,IF($G41=3,$C87/3,0))))))))</f>
        <v>0</v>
      </c>
      <c r="N87" s="100">
        <f>IF($G41=10,$C87/10,IF($G41=9,$C87/9,IF($G41=8,$C87/8,IF($G41=7,$C87/7,IF($G41=6,$C87/6,IF($G41=5,$C87/5,IF($G41=4,$C87/4,IF($G41=3,$C87/3,0))))))))</f>
        <v>0</v>
      </c>
      <c r="O87" s="100">
        <f>IF($G41=10,$C87/10,IF($G41=9,$C87/9,IF($G41=8,$C87/8,IF($G41=7,$C87/7,IF($G41=6,$C87/6,IF($G41=5,$C87/5,IF($G41=4,$C87/4,IF($G41=3,0,0))))))))</f>
        <v>0</v>
      </c>
      <c r="P87" s="100">
        <f>IF($G41=10,$C87/10,IF($G41=9,$C87/9,IF($G41=8,$C87/8,IF($G41=7,$C87/7,IF($G41=6,$C87/6,IF($G41=5,$C87/5,IF($G41=4,0,IF($G41=3,0,0))))))))</f>
        <v>0</v>
      </c>
      <c r="Q87" s="100">
        <f>IF($G41=10,$C87/10,IF($G41=9,$C87/9,IF($G41=8,$C87/8,IF($G41=7,$C87/7,IF($G41=6,$C87/6,IF($G41=5,0,IF($G41=4,0,IF($G41=3,0,0))))))))</f>
        <v>0</v>
      </c>
      <c r="R87" s="100">
        <f>IF($G41=10,$C87/10,IF($G41=9,$C87/9,IF($G41=8,$C87/8,IF($G41=7,$C87/7,IF($G41=6,0,IF($G41=5,0,IF($G41=4,0,IF($G41=3,0,0))))))))</f>
        <v>0</v>
      </c>
      <c r="S87" s="100">
        <f>IF($G41=10,$C87/10,IF($G41=9,$C87/9,IF($G41=8,$C87/8,IF($G41=7,0,IF($G41=6,0,IF($G41=5,0,IF($G41=4,0,IF($G41=3,0,0))))))))</f>
        <v>0</v>
      </c>
      <c r="T87" s="100">
        <f>IF($G41=10,$C87/10,IF($G41=9,$C87/9,IF($G41=8,0,IF($G41=7,0,IF($G41=6,0,IF($G41=5,0,IF($G41=4,0,IF($G41=3,0,0))))))))</f>
        <v>0</v>
      </c>
      <c r="U87" s="100">
        <f>IF($G41=10,$C87/10,IF($G41=9,0,IF($G41=8,0,IF($G41=7,0,IF($G41=6,0,IF($G41=5,0,IF($G41=4,0,IF($G41=3,0,0))))))))</f>
        <v>0</v>
      </c>
      <c r="V87" s="100">
        <f>IF($G41=10,0,IF($G41=9,0,IF($G41=8,0,IF($G41=7,0,IF($G41=6,0,IF($G41=5,0,IF($G41=4,0,IF($G41=3,0,0))))))))</f>
        <v>0</v>
      </c>
      <c r="W87" s="45">
        <f t="shared" si="31"/>
        <v>0</v>
      </c>
      <c r="Y87" s="45"/>
      <c r="Z87" s="45"/>
      <c r="AA87" s="45"/>
      <c r="AB87" s="45"/>
      <c r="AC87" s="45"/>
      <c r="AD87" s="45"/>
      <c r="AE87" s="45"/>
      <c r="AF87" s="45"/>
      <c r="AG87" s="45"/>
      <c r="AH87" s="45"/>
      <c r="AI87" s="45"/>
    </row>
    <row r="88" spans="2:35" x14ac:dyDescent="0.25">
      <c r="B88" s="472" t="s">
        <v>790</v>
      </c>
      <c r="C88" s="66">
        <f t="shared" si="28"/>
        <v>0</v>
      </c>
      <c r="D88" s="100"/>
      <c r="E88" s="100"/>
      <c r="F88" s="100"/>
      <c r="G88" s="100"/>
      <c r="H88" s="100"/>
      <c r="I88" s="100"/>
      <c r="J88" s="100"/>
      <c r="K88" s="100"/>
      <c r="M88" s="100">
        <f>IF($G42=10,$C88/10,IF($G42=9,$C88/9,IF($G42=8,$C88/8,IF($G42=7,$C88/7,IF($G42=6,$C88/6,IF($G42=5,$C88/5,IF($G42=4,$C88/4,IF($G42=3,$C88/3,0))))))))</f>
        <v>0</v>
      </c>
      <c r="N88" s="100">
        <f>IF($G42=10,$C88/10,IF($G42=9,$C88/9,IF($G42=8,$C88/8,IF($G42=7,$C88/7,IF($G42=6,$C88/6,IF($G42=5,$C88/5,IF($G42=4,$C88/4,IF($G42=3,$C88/3,0))))))))</f>
        <v>0</v>
      </c>
      <c r="O88" s="100">
        <f>IF($G42=10,$C88/10,IF($G42=9,$C88/9,IF($G42=8,$C88/8,IF($G42=7,$C88/7,IF($G42=6,$C88/6,IF($G42=5,$C88/5,IF($G42=4,$C88/4,IF($G42=3,$C88/3,0))))))))</f>
        <v>0</v>
      </c>
      <c r="P88" s="100">
        <f>IF($G42=10,$C88/10,IF($G42=9,$C88/9,IF($G42=8,$C88/8,IF($G42=7,$C88/7,IF($G42=6,$C88/6,IF($G42=5,$C88/5,IF($G42=4,$C88/4,IF($G42=3,0,0))))))))</f>
        <v>0</v>
      </c>
      <c r="Q88" s="100">
        <f>IF($G42=10,$C88/10,IF($G42=9,$C88/9,IF($G42=8,$C88/8,IF($G42=7,$C88/7,IF($G42=6,$C88/6,IF($G42=5,$C88/5,IF($G42=4,0,IF($G42=3,0,0))))))))</f>
        <v>0</v>
      </c>
      <c r="R88" s="100">
        <f>IF($G42=10,$C88/10,IF($G42=9,$C88/9,IF($G42=8,$C88/8,IF($G42=7,$C88/7,IF($G42=6,$C88/6,IF($G42=5,0,IF($G42=4,0,IF($G42=3,0,0))))))))</f>
        <v>0</v>
      </c>
      <c r="S88" s="100">
        <f>IF($G42=10,$C88/10,IF($G42=9,$C88/9,IF($G42=8,$C88/8,IF($G42=7,$C88/7,IF($G42=6,0,IF($G42=5,0,IF($G42=4,0,IF($G42=3,0,0))))))))</f>
        <v>0</v>
      </c>
      <c r="T88" s="100">
        <f>IF($G42=10,$C88/10,IF($G42=9,$C88/9,IF($G42=8,$C88/8,IF($G42=7,0,IF($G42=6,0,IF($G42=5,0,IF($G42=4,0,IF($G42=3,0,0))))))))</f>
        <v>0</v>
      </c>
      <c r="U88" s="100">
        <f>IF($G42=10,$C88/10,IF($G42=9,$C88/9,IF($G42=8,0,IF($G42=7,0,IF($G42=6,0,IF($G42=5,0,IF($G42=4,0,IF($G42=3,0,0))))))))</f>
        <v>0</v>
      </c>
      <c r="V88" s="100">
        <f>IF($G42=10,$C88/10,IF($G42=9,0,IF($G42=8,0,IF($G42=7,0,IF($G42=6,0,IF($G42=5,0,IF($G42=4,0,IF($G42=3,0,0))))))))</f>
        <v>0</v>
      </c>
      <c r="W88" s="45">
        <f t="shared" si="31"/>
        <v>0</v>
      </c>
      <c r="Y88" s="45"/>
      <c r="Z88" s="45"/>
      <c r="AA88" s="45"/>
      <c r="AB88" s="45"/>
      <c r="AC88" s="45"/>
      <c r="AD88" s="45"/>
      <c r="AE88" s="45"/>
      <c r="AF88" s="45"/>
      <c r="AG88" s="45"/>
      <c r="AH88" s="45"/>
      <c r="AI88" s="45"/>
    </row>
    <row r="89" spans="2:35" x14ac:dyDescent="0.25">
      <c r="B89" s="472" t="s">
        <v>803</v>
      </c>
      <c r="C89" s="66">
        <f t="shared" si="28"/>
        <v>0</v>
      </c>
      <c r="D89" s="100"/>
      <c r="E89" s="100"/>
      <c r="F89" s="100"/>
      <c r="G89" s="100"/>
      <c r="H89" s="100"/>
      <c r="I89" s="100"/>
      <c r="J89" s="100"/>
      <c r="K89" s="100"/>
      <c r="L89" s="100"/>
      <c r="N89" s="100">
        <f>IF($G43=10,$C89/10,IF($G43=9,$C89/9,IF($G43=8,$C89/8,IF($G43=7,$C89/7,IF($G43=6,$C89/6,IF($G43=5,$C89/5,IF($G43=4,$C89/4,IF($G43=3,$C89/3,0))))))))</f>
        <v>0</v>
      </c>
      <c r="O89" s="100">
        <f>IF($G43=10,$C89/10,IF($G43=9,$C89/9,IF($G43=8,$C89/8,IF($G43=7,$C89/7,IF($G43=6,$C89/6,IF($G43=5,$C89/5,IF($G43=4,$C89/4,IF($G43=3,$C89/3,0))))))))</f>
        <v>0</v>
      </c>
      <c r="P89" s="100">
        <f>IF($G43=10,$C89/10,IF($G43=9,$C89/9,IF($G43=8,$C89/8,IF($G43=7,$C89/7,IF($G43=6,$C89/6,IF($G43=5,$C89/5,IF($G43=4,$C89/4,IF($G43=3,$C89/3,0))))))))</f>
        <v>0</v>
      </c>
      <c r="Q89" s="100">
        <f>IF($G43=10,$C89/10,IF($G43=9,$C89/9,IF($G43=8,$C89/8,IF($G43=7,$C89/7,IF($G43=6,$C89/6,IF($G43=5,$C89/5,IF($G43=4,$C89/4,IF($G43=3,0,0))))))))</f>
        <v>0</v>
      </c>
      <c r="R89" s="100">
        <f>IF($G43=10,$C89/10,IF($G43=9,$C89/9,IF($G43=8,$C89/8,IF($G43=7,$C89/7,IF($G43=6,$C89/6,IF($G43=5,$C89/5,IF($G43=4,0,IF($G43=3,0,0))))))))</f>
        <v>0</v>
      </c>
      <c r="S89" s="100">
        <f>IF($G43=10,$C89/10,IF($G43=9,$C89/9,IF($G43=8,$C89/8,IF($G43=7,$C89/7,IF($G43=6,$C89/6,IF($G43=5,0,IF($G43=4,0,IF($G43=3,0,0))))))))</f>
        <v>0</v>
      </c>
      <c r="T89" s="100">
        <f>IF($G43=10,$C89/10,IF($G43=9,$C89/9,IF($G43=8,$C89/8,IF($G43=7,$C89/7,IF($G43=6,0,IF($G43=5,0,IF($G43=4,0,IF($G43=3,0,0))))))))</f>
        <v>0</v>
      </c>
      <c r="U89" s="100">
        <f>IF($G43=10,$C89/10,IF($G43=9,$C89/9,IF($G43=8,$C89/8,IF($G43=7,0,IF($G43=6,0,IF($G43=5,0,IF($G43=4,0,IF($G43=3,0,0))))))))</f>
        <v>0</v>
      </c>
      <c r="V89" s="100">
        <f>IF($G43=10,$C89/10,IF($G43=9,$C89/9,IF($G43=8,0,IF($G43=7,0,IF($G43=6,0,IF($G43=5,0,IF($G43=4,0,IF($G43=3,0,0))))))))</f>
        <v>0</v>
      </c>
      <c r="W89" s="45">
        <f t="shared" si="31"/>
        <v>0</v>
      </c>
      <c r="Y89" s="45"/>
      <c r="Z89" s="45"/>
      <c r="AA89" s="45"/>
      <c r="AB89" s="45"/>
      <c r="AC89" s="45"/>
      <c r="AD89" s="45"/>
      <c r="AE89" s="45"/>
      <c r="AF89" s="45"/>
      <c r="AG89" s="45"/>
      <c r="AH89" s="45"/>
      <c r="AI89" s="45"/>
    </row>
    <row r="90" spans="2:35" x14ac:dyDescent="0.25">
      <c r="B90" s="472" t="s">
        <v>804</v>
      </c>
      <c r="C90" s="66">
        <f t="shared" si="28"/>
        <v>0</v>
      </c>
      <c r="D90" s="100"/>
      <c r="E90" s="100"/>
      <c r="F90" s="100"/>
      <c r="G90" s="100"/>
      <c r="H90" s="100"/>
      <c r="I90" s="100"/>
      <c r="J90" s="100"/>
      <c r="K90" s="100"/>
      <c r="L90" s="100"/>
      <c r="M90" s="100"/>
      <c r="O90" s="100">
        <f>IF($G44=10,$C90/10,IF($G44=9,$C90/9,IF($G44=8,$C90/8,IF($G44=7,$C90/7,IF($G44=6,$C90/6,IF($G44=5,$C90/5,IF($G44=4,$C90/4,IF($G44=3,$C90/3,0))))))))</f>
        <v>0</v>
      </c>
      <c r="P90" s="100">
        <f>IF($G44=10,$C90/10,IF($G44=9,$C90/9,IF($G44=8,$C90/8,IF($G44=7,$C90/7,IF($G44=6,$C90/6,IF($G44=5,$C90/5,IF($G44=4,$C90/4,IF($G44=3,$C90/3,0))))))))</f>
        <v>0</v>
      </c>
      <c r="Q90" s="100">
        <f>IF($G44=10,$C90/10,IF($G44=9,$C90/9,IF($G44=8,$C90/8,IF($G44=7,$C90/7,IF($G44=6,$C90/6,IF($G44=5,$C90/5,IF($G44=4,$C90/4,IF($G44=3,$C90/3,0))))))))</f>
        <v>0</v>
      </c>
      <c r="R90" s="100">
        <f>IF($G44=10,$C90/10,IF($G44=9,$C90/9,IF($G44=8,$C90/8,IF($G44=7,$C90/7,IF($G44=6,$C90/6,IF($G44=5,$C90/5,IF($G44=4,$C90/4,IF($G44=3,0,0))))))))</f>
        <v>0</v>
      </c>
      <c r="S90" s="100">
        <f>IF($G44=10,$C90/10,IF($G44=9,$C90/9,IF($G44=8,$C90/8,IF($G44=7,$C90/7,IF($G44=6,$C90/6,IF($G44=5,$C90/5,IF($G44=4,0,IF($G44=3,0,0))))))))</f>
        <v>0</v>
      </c>
      <c r="T90" s="100">
        <f>IF($G44=10,$C90/10,IF($G44=9,$C90/9,IF($G44=8,$C90/8,IF($G44=7,$C90/7,IF($G44=6,$C90/6,IF($G44=5,0,IF($G44=4,0,IF($G44=3,0,0))))))))</f>
        <v>0</v>
      </c>
      <c r="U90" s="100">
        <f>IF($G44=10,$C90/10,IF($G44=9,$C90/9,IF($G44=8,$C90/8,IF($G44=7,$C90/7,IF($G44=6,0,IF($G44=5,0,IF($G44=4,0,IF($G44=3,0,0))))))))</f>
        <v>0</v>
      </c>
      <c r="V90" s="100">
        <f>IF($G44=10,$C90/10,IF($G44=9,$C90/9,IF($G44=8,$C90/8,IF($G44=7,0,IF($G44=6,0,IF($G44=5,0,IF($G44=4,0,IF($G44=3,0,0))))))))</f>
        <v>0</v>
      </c>
      <c r="W90" s="45">
        <f t="shared" si="31"/>
        <v>0</v>
      </c>
      <c r="Y90" s="45"/>
      <c r="Z90" s="45"/>
      <c r="AA90" s="45"/>
      <c r="AB90" s="45"/>
      <c r="AC90" s="45"/>
      <c r="AD90" s="45"/>
      <c r="AE90" s="45"/>
      <c r="AF90" s="45"/>
      <c r="AG90" s="45"/>
      <c r="AH90" s="45"/>
      <c r="AI90" s="45"/>
    </row>
    <row r="91" spans="2:35" x14ac:dyDescent="0.25">
      <c r="B91" s="472" t="s">
        <v>946</v>
      </c>
      <c r="C91" s="66">
        <f t="shared" si="28"/>
        <v>0</v>
      </c>
      <c r="D91" s="100"/>
      <c r="E91" s="100"/>
      <c r="F91" s="100"/>
      <c r="G91" s="100"/>
      <c r="H91" s="100"/>
      <c r="I91" s="100"/>
      <c r="J91" s="100"/>
      <c r="K91" s="100"/>
      <c r="L91" s="100"/>
      <c r="M91" s="100"/>
      <c r="N91" s="100"/>
      <c r="O91" s="100"/>
      <c r="P91" s="100">
        <f>IF($G45=10,$C91/10,IF($G45=9,$C91/9,IF($G45=8,$C91/8,IF($G45=7,$C91/7,IF($G45=6,$C91/6,IF($G45=5,$C91/5,IF($G45=4,$C91/4,IF($G45=3,$C91/3,0))))))))</f>
        <v>0</v>
      </c>
      <c r="Q91" s="100">
        <f>IF($G45=10,$C91/10,IF($G45=9,$C91/9,IF($G45=8,$C91/8,IF($G45=7,$C91/7,IF($G45=6,$C91/6,IF($G45=5,$C91/5,IF($G45=4,$C91/4,IF($G45=3,$C91/3,0))))))))</f>
        <v>0</v>
      </c>
      <c r="R91" s="100">
        <f>IF($G45=10,$C91/10,IF($G45=9,$C91/9,IF($G45=8,$C91/8,IF($G45=7,$C91/7,IF($G45=6,$C91/6,IF($G45=5,$C91/5,IF($G45=4,$C91/4,IF($G45=3,$C91/3,0))))))))</f>
        <v>0</v>
      </c>
      <c r="S91" s="100">
        <f>IF($G45=10,$C91/10,IF($G45=9,$C91/9,IF($G45=8,$C91/8,IF($G45=7,$C91/7,IF($G45=6,$C91/6,IF($G45=5,$C91/5,IF($G45=4,$C91/4,IF($G45=3,0,0))))))))</f>
        <v>0</v>
      </c>
      <c r="T91" s="100">
        <f>IF($G45=10,$C91/10,IF($G45=9,$C91/9,IF($G45=8,$C91/8,IF($G45=7,$C91/7,IF($G45=6,$C91/6,IF($G45=5,$C91/5,IF($G45=4,0,IF($G45=3,0,0))))))))</f>
        <v>0</v>
      </c>
      <c r="U91" s="100">
        <f>IF($G45=10,$C91/10,IF($G45=9,$C91/9,IF($G45=8,$C91/8,IF($G45=7,$C91/7,IF($G45=6,$C91/6,IF($G45=5,0,IF($G45=4,0,IF($G45=3,0,0))))))))</f>
        <v>0</v>
      </c>
      <c r="V91" s="100">
        <f>IF($G45=10,$C91/10,IF($G45=9,$C91/9,IF($G45=8,$C91/8,IF($G45=7,$C91/7,IF($G45=6,0,IF($G45=5,0,IF($G45=4,0,IF($G45=3,0,0))))))))</f>
        <v>0</v>
      </c>
      <c r="W91" s="45">
        <f t="shared" si="31"/>
        <v>0</v>
      </c>
      <c r="Y91" s="45"/>
      <c r="Z91" s="45"/>
      <c r="AA91" s="45"/>
      <c r="AB91" s="45"/>
      <c r="AC91" s="45"/>
      <c r="AD91" s="45"/>
      <c r="AE91" s="45"/>
      <c r="AF91" s="45"/>
      <c r="AG91" s="45"/>
      <c r="AH91" s="45"/>
      <c r="AI91" s="45"/>
    </row>
    <row r="92" spans="2:35" x14ac:dyDescent="0.25">
      <c r="B92" s="472" t="s">
        <v>948</v>
      </c>
      <c r="C92" s="66">
        <f t="shared" si="28"/>
        <v>0</v>
      </c>
      <c r="D92" s="681"/>
      <c r="E92" s="681"/>
      <c r="F92" s="681"/>
      <c r="G92" s="681"/>
      <c r="H92" s="681"/>
      <c r="I92" s="681"/>
      <c r="J92" s="681"/>
      <c r="K92" s="681"/>
      <c r="L92" s="681"/>
      <c r="M92" s="681"/>
      <c r="N92" s="681"/>
      <c r="O92" s="681"/>
      <c r="P92" s="681"/>
      <c r="Q92" s="100">
        <f>IF($G46=10,$C92/10,IF($G46=9,$C92/9,IF($G46=8,$C92/8,IF($G46=7,$C92/7,IF($G46=6,$C92/6,IF($G46=5,$C92/5,IF($G46=4,$C92/4,IF($G46=3,$C92/3,0))))))))</f>
        <v>0</v>
      </c>
      <c r="R92" s="100">
        <f>IF($G46=10,$C92/10,IF($G46=9,$C92/9,IF($G46=8,$C92/8,IF($G46=7,$C92/7,IF($G46=6,$C92/6,IF($G46=5,$C92/5,IF($G46=4,$C92/4,IF($G46=3,$C92/3,0))))))))</f>
        <v>0</v>
      </c>
      <c r="S92" s="100">
        <f>IF($G46=10,$C92/10,IF($G46=9,$C92/9,IF($G46=8,$C92/8,IF($G46=7,$C92/7,IF($G46=6,$C92/6,IF($G46=5,$C92/5,IF($G46=4,$C92/4,IF($G46=3,$C92/3,0))))))))</f>
        <v>0</v>
      </c>
      <c r="T92" s="100">
        <f>IF($G46=10,$C92/10,IF($G46=9,$C92/9,IF($G46=8,$C92/8,IF($G46=7,$C92/7,IF($G46=6,$C92/6,IF($G46=5,$C92/5,IF($G46=4,$C92/4,IF($G46=3,0,0))))))))</f>
        <v>0</v>
      </c>
      <c r="U92" s="100">
        <f>IF($G46=10,$C92/10,IF($G46=9,$C92/9,IF($G46=8,$C92/8,IF($G46=7,$C92/7,IF($G46=6,$C92/6,IF($G46=5,$C92/5,IF($G46=4,0,IF($G46=3,0,0))))))))</f>
        <v>0</v>
      </c>
      <c r="V92" s="100">
        <f>IF($G46=10,$C92/10,IF($G46=9,$C92/9,IF($G46=8,$C92/8,IF($G46=7,$C92/7,IF($G46=6,$C92/6,IF($G46=5,0,IF($G46=4,0,IF($G46=3,0,0))))))))</f>
        <v>0</v>
      </c>
      <c r="W92" s="45">
        <f t="shared" si="31"/>
        <v>0</v>
      </c>
      <c r="Y92" s="45"/>
      <c r="Z92" s="45"/>
      <c r="AA92" s="45"/>
      <c r="AB92" s="45"/>
      <c r="AC92" s="45"/>
      <c r="AD92" s="45"/>
      <c r="AE92" s="45"/>
      <c r="AF92" s="45"/>
      <c r="AG92" s="45"/>
      <c r="AH92" s="45"/>
      <c r="AI92" s="45"/>
    </row>
    <row r="93" spans="2:35" x14ac:dyDescent="0.25">
      <c r="B93" s="472" t="s">
        <v>949</v>
      </c>
      <c r="C93" s="66">
        <f t="shared" si="28"/>
        <v>0</v>
      </c>
      <c r="D93" s="681"/>
      <c r="E93" s="681"/>
      <c r="F93" s="681"/>
      <c r="G93" s="681"/>
      <c r="H93" s="681"/>
      <c r="I93" s="681"/>
      <c r="J93" s="681"/>
      <c r="K93" s="681"/>
      <c r="L93" s="681"/>
      <c r="M93" s="681"/>
      <c r="N93" s="681"/>
      <c r="O93" s="681"/>
      <c r="P93" s="681"/>
      <c r="R93" s="100">
        <f>IF($G47=10,$C93/10,IF($G47=9,$C93/9,IF($G47=8,$C93/8,IF($G47=7,$C93/7,IF($G47=6,$C93/6,IF($G47=5,$C93/5,IF($G47=4,$C93/4,IF($G47=3,$C93/3,0))))))))</f>
        <v>0</v>
      </c>
      <c r="S93" s="100">
        <f>IF($G47=10,$C93/10,IF($G47=9,$C93/9,IF($G47=8,$C93/8,IF($G47=7,$C93/7,IF($G47=6,$C93/6,IF($G47=5,$C93/5,IF($G47=4,$C93/4,IF($G47=3,$C93/3,0))))))))</f>
        <v>0</v>
      </c>
      <c r="T93" s="100">
        <f>IF($G47=10,$C93/10,IF($G47=9,$C93/9,IF($G47=8,$C93/8,IF($G47=7,$C93/7,IF($G47=6,$C93/6,IF($G47=5,$C93/5,IF($G47=4,$C93/4,IF($G47=3,$C93/3,0))))))))</f>
        <v>0</v>
      </c>
      <c r="U93" s="100">
        <f>IF($G47=10,$C93/10,IF($G47=9,$C93/9,IF($G47=8,$C93/8,IF($G47=7,$C93/7,IF($G47=6,$C93/6,IF($G47=5,$C93/5,IF($G47=4,$C93/4,IF($G47=3,0,0))))))))</f>
        <v>0</v>
      </c>
      <c r="V93" s="100">
        <f>IF($G47=10,$C93/10,IF($G47=9,$C93/9,IF($G47=8,$C93/8,IF($G47=7,$C93/7,IF($G47=6,$C93/6,IF($G47=5,$C93/5,IF($G47=4,0,IF($G47=3,0,0))))))))</f>
        <v>0</v>
      </c>
      <c r="W93" s="45">
        <f t="shared" si="31"/>
        <v>0</v>
      </c>
      <c r="Y93" s="45"/>
      <c r="Z93" s="45"/>
      <c r="AA93" s="45"/>
      <c r="AB93" s="45"/>
      <c r="AC93" s="45"/>
      <c r="AD93" s="45"/>
      <c r="AE93" s="45"/>
      <c r="AF93" s="45"/>
      <c r="AG93" s="45"/>
      <c r="AH93" s="45"/>
      <c r="AI93" s="45"/>
    </row>
    <row r="94" spans="2:35" x14ac:dyDescent="0.25">
      <c r="B94" s="472" t="s">
        <v>965</v>
      </c>
      <c r="C94" s="66">
        <f t="shared" si="28"/>
        <v>0</v>
      </c>
      <c r="D94" s="681"/>
      <c r="E94" s="681"/>
      <c r="F94" s="681"/>
      <c r="G94" s="681"/>
      <c r="H94" s="681"/>
      <c r="I94" s="681"/>
      <c r="J94" s="681"/>
      <c r="K94" s="681"/>
      <c r="L94" s="681"/>
      <c r="M94" s="681"/>
      <c r="N94" s="681"/>
      <c r="O94" s="681"/>
      <c r="P94" s="681"/>
      <c r="Q94" s="100"/>
      <c r="R94" s="681"/>
      <c r="S94" s="100">
        <f>IF($G48=10,$C94/10,IF($G48=9,$C94/9,IF($G48=8,$C94/8,IF($G48=7,$C94/7,IF($G48=6,$C94/6,IF($G48=5,$C94/5,IF($G48=4,$C94/4,IF($G48=3,$C94/3,0))))))))</f>
        <v>0</v>
      </c>
      <c r="T94" s="100">
        <f>IF($G48=10,$C94/10,IF($G48=9,$C94/9,IF($G48=8,$C94/8,IF($G48=7,$C94/7,IF($G48=6,$C94/6,IF($G48=5,$C94/5,IF($G48=4,$C94/4,IF($G48=3,$C94/3,0))))))))</f>
        <v>0</v>
      </c>
      <c r="U94" s="100">
        <f>IF($G48=10,$C94/10,IF($G48=9,$C94/9,IF($G48=8,$C94/8,IF($G48=7,$C94/7,IF($G48=6,$C94/6,IF($G48=5,$C94/5,IF($G48=4,$C94/4,IF($G48=3,$C94/3,0))))))))</f>
        <v>0</v>
      </c>
      <c r="V94" s="100">
        <f>IF($G48=10,$C94/10,IF($G48=9,$C94/9,IF($G48=8,$C94/8,IF($G48=7,$C94/7,IF($G48=6,$C94/6,IF($G48=5,$C94/5,IF($G48=4,$C94/4,IF($G48=3,0,0))))))))</f>
        <v>0</v>
      </c>
      <c r="W94" s="45">
        <f t="shared" si="31"/>
        <v>0</v>
      </c>
      <c r="Y94" s="45"/>
      <c r="Z94" s="45"/>
      <c r="AA94" s="45"/>
      <c r="AB94" s="45"/>
      <c r="AC94" s="45"/>
      <c r="AD94" s="45"/>
      <c r="AE94" s="45"/>
      <c r="AF94" s="45"/>
      <c r="AG94" s="45"/>
      <c r="AH94" s="45"/>
      <c r="AI94" s="45"/>
    </row>
    <row r="95" spans="2:35" x14ac:dyDescent="0.25">
      <c r="B95" s="472" t="s">
        <v>966</v>
      </c>
      <c r="C95" s="66">
        <f t="shared" si="28"/>
        <v>0</v>
      </c>
      <c r="D95" s="681"/>
      <c r="E95" s="681"/>
      <c r="F95" s="681"/>
      <c r="G95" s="681"/>
      <c r="H95" s="681"/>
      <c r="I95" s="681"/>
      <c r="J95" s="681"/>
      <c r="K95" s="681"/>
      <c r="L95" s="681"/>
      <c r="M95" s="681"/>
      <c r="N95" s="681"/>
      <c r="O95" s="681"/>
      <c r="P95" s="681"/>
      <c r="Q95" s="100"/>
      <c r="R95" s="681"/>
      <c r="T95" s="100">
        <f>IF($G49=10,$C95/10,IF($G49=9,$C95/9,IF($G49=8,$C95/8,IF($G49=7,$C95/7,IF($G49=6,$C95/6,IF($G49=5,$C95/5,IF($G49=4,$C95/4,IF($G49=3,$C95/3,0))))))))</f>
        <v>0</v>
      </c>
      <c r="U95" s="100">
        <f>IF($G49=10,$C95/10,IF($G49=9,$C95/9,IF($G49=8,$C95/8,IF($G49=7,$C95/7,IF($G49=6,$C95/6,IF($G49=5,$C95/5,IF($G49=4,$C95/4,IF($G49=3,$C95/3,0))))))))</f>
        <v>0</v>
      </c>
      <c r="V95" s="100">
        <f>IF($G49=10,$C95/10,IF($G49=9,$C95/9,IF($G49=8,$C95/8,IF($G49=7,$C95/7,IF($G49=6,$C95/6,IF($G49=5,$C95/5,IF($G49=4,$C95/4,IF($G49=3,$C95/3,0))))))))</f>
        <v>0</v>
      </c>
      <c r="W95" s="45">
        <f t="shared" si="31"/>
        <v>0</v>
      </c>
      <c r="Y95" s="45"/>
      <c r="Z95" s="45"/>
      <c r="AA95" s="45"/>
      <c r="AB95" s="45"/>
      <c r="AC95" s="45"/>
      <c r="AD95" s="45"/>
      <c r="AE95" s="45"/>
      <c r="AF95" s="45"/>
      <c r="AG95" s="45"/>
      <c r="AH95" s="45"/>
      <c r="AI95" s="45"/>
    </row>
    <row r="96" spans="2:35" x14ac:dyDescent="0.25">
      <c r="B96" s="82" t="s">
        <v>967</v>
      </c>
      <c r="C96" s="66">
        <f t="shared" si="28"/>
        <v>0</v>
      </c>
      <c r="D96" s="681"/>
      <c r="E96" s="681"/>
      <c r="F96" s="681"/>
      <c r="G96" s="681"/>
      <c r="H96" s="681"/>
      <c r="I96" s="681"/>
      <c r="J96" s="681"/>
      <c r="K96" s="681"/>
      <c r="L96" s="681"/>
      <c r="M96" s="681"/>
      <c r="N96" s="681"/>
      <c r="O96" s="681"/>
      <c r="P96" s="681"/>
      <c r="Q96" s="100"/>
      <c r="R96" s="681"/>
      <c r="S96" s="100"/>
      <c r="U96" s="100">
        <f>IF($G50=10,$C96/10,IF($G50=9,$C96/9,IF($G50=8,$C96/8,IF($G50=7,$C96/7,IF($G50=6,$C96/6,IF($G50=5,$C96/5,IF($G50=4,$C96/4,IF($G50=3,$C96/3,0))))))))</f>
        <v>0</v>
      </c>
      <c r="V96" s="100">
        <f>IF($G50=10,$C96/10,IF($G50=9,$C96/9,IF($G50=8,$C96/8,IF($G50=7,$C96/7,IF($G50=6,$C96/6,IF($G50=5,$C96/5,IF($G50=4,$C96/4,IF($G50=3,$C96/3,0))))))))</f>
        <v>0</v>
      </c>
      <c r="W96" s="45">
        <f t="shared" si="31"/>
        <v>0</v>
      </c>
      <c r="Y96" s="45"/>
      <c r="Z96" s="45"/>
      <c r="AA96" s="45"/>
      <c r="AB96" s="45"/>
      <c r="AC96" s="45"/>
      <c r="AD96" s="45"/>
      <c r="AE96" s="45"/>
      <c r="AF96" s="45"/>
      <c r="AG96" s="45"/>
      <c r="AH96" s="45"/>
      <c r="AI96" s="45"/>
    </row>
    <row r="97" spans="2:35" x14ac:dyDescent="0.25">
      <c r="B97" s="81" t="s">
        <v>968</v>
      </c>
      <c r="C97" s="66">
        <f t="shared" si="28"/>
        <v>0</v>
      </c>
      <c r="D97" s="681"/>
      <c r="E97" s="681"/>
      <c r="F97" s="681"/>
      <c r="G97" s="681"/>
      <c r="H97" s="681"/>
      <c r="I97" s="681"/>
      <c r="J97" s="681"/>
      <c r="K97" s="681"/>
      <c r="L97" s="681"/>
      <c r="M97" s="681"/>
      <c r="N97" s="681"/>
      <c r="O97" s="681"/>
      <c r="P97" s="681"/>
      <c r="Q97" s="100"/>
      <c r="R97" s="681"/>
      <c r="S97" s="100"/>
      <c r="T97" s="100"/>
      <c r="U97" s="100"/>
      <c r="V97" s="100">
        <f t="shared" ref="V97" si="37">IF($G51=10,$C97/10,IF($G51=9,$C97/9,IF($G51=8,$C97/8,IF($G51=7,$C97/7,IF($G51=6,$C97/6,IF($G51=5,$C97/5,IF($G51=4,$C97/4,IF($G51=3,$C97/3,0))))))))</f>
        <v>0</v>
      </c>
      <c r="W97" s="45">
        <f t="shared" si="31"/>
        <v>0</v>
      </c>
      <c r="Y97" s="45"/>
      <c r="Z97" s="45"/>
      <c r="AA97" s="45"/>
      <c r="AB97" s="45"/>
      <c r="AC97" s="45"/>
      <c r="AD97" s="45"/>
      <c r="AE97" s="45"/>
      <c r="AF97" s="45"/>
      <c r="AG97" s="45"/>
      <c r="AH97" s="45"/>
      <c r="AI97" s="45"/>
    </row>
    <row r="98" spans="2:35" ht="13.8" thickBot="1" x14ac:dyDescent="0.3">
      <c r="C98" s="66"/>
      <c r="D98" s="102"/>
      <c r="E98" s="102"/>
      <c r="F98" s="102"/>
      <c r="G98" s="102"/>
      <c r="H98" s="102"/>
      <c r="I98" s="102"/>
      <c r="J98" s="102"/>
      <c r="K98" s="102"/>
      <c r="L98" s="102"/>
      <c r="M98" s="102"/>
      <c r="N98" s="474"/>
      <c r="O98" s="474"/>
      <c r="P98" s="102"/>
      <c r="Q98" s="102"/>
      <c r="R98" s="102"/>
      <c r="S98" s="102"/>
      <c r="T98" s="102"/>
      <c r="U98" s="102"/>
      <c r="V98" s="951"/>
      <c r="W98" s="45"/>
      <c r="Y98" s="45"/>
      <c r="Z98" s="45"/>
      <c r="AA98" s="45"/>
      <c r="AB98" s="45"/>
      <c r="AC98" s="45"/>
      <c r="AD98" s="45"/>
      <c r="AE98" s="45"/>
      <c r="AF98" s="45"/>
      <c r="AG98" s="45"/>
      <c r="AH98" s="45"/>
      <c r="AI98" s="45"/>
    </row>
    <row r="99" spans="2:35" ht="13.8" thickTop="1" x14ac:dyDescent="0.25">
      <c r="B99" s="9" t="s">
        <v>655</v>
      </c>
      <c r="C99" s="63">
        <f>SUM($C79:C98)</f>
        <v>0</v>
      </c>
      <c r="D99" s="103">
        <f t="shared" ref="D99:Q99" si="38">SUM(D79:D98)</f>
        <v>0</v>
      </c>
      <c r="E99" s="103">
        <f t="shared" si="38"/>
        <v>0</v>
      </c>
      <c r="F99" s="103">
        <f t="shared" si="38"/>
        <v>0</v>
      </c>
      <c r="G99" s="103">
        <f t="shared" si="38"/>
        <v>0</v>
      </c>
      <c r="H99" s="103">
        <f t="shared" si="38"/>
        <v>0</v>
      </c>
      <c r="I99" s="103">
        <f t="shared" si="38"/>
        <v>0</v>
      </c>
      <c r="J99" s="103">
        <f t="shared" si="38"/>
        <v>0</v>
      </c>
      <c r="K99" s="103">
        <f t="shared" si="38"/>
        <v>0</v>
      </c>
      <c r="L99" s="103">
        <f t="shared" si="38"/>
        <v>0</v>
      </c>
      <c r="M99" s="103">
        <f t="shared" si="38"/>
        <v>0</v>
      </c>
      <c r="N99" s="103">
        <f t="shared" si="38"/>
        <v>0</v>
      </c>
      <c r="O99" s="103">
        <f t="shared" si="38"/>
        <v>0</v>
      </c>
      <c r="P99" s="103">
        <f t="shared" si="38"/>
        <v>0</v>
      </c>
      <c r="Q99" s="103">
        <f t="shared" si="38"/>
        <v>0</v>
      </c>
      <c r="R99" s="103">
        <f>SUM(R79:R98)</f>
        <v>0</v>
      </c>
      <c r="S99" s="103">
        <f>SUM(S79:S98)</f>
        <v>0</v>
      </c>
      <c r="T99" s="103">
        <f>SUM(T79:T98)</f>
        <v>0</v>
      </c>
      <c r="U99" s="103">
        <f t="shared" ref="U99:V99" si="39">SUM(U79:U98)</f>
        <v>0</v>
      </c>
      <c r="V99" s="103">
        <f t="shared" si="39"/>
        <v>0</v>
      </c>
      <c r="W99" s="45">
        <f>C99-SUM(D99:T99)</f>
        <v>0</v>
      </c>
      <c r="Y99" s="45"/>
      <c r="Z99" s="45"/>
      <c r="AA99" s="45"/>
      <c r="AB99" s="45"/>
      <c r="AC99" s="45"/>
      <c r="AD99" s="45"/>
      <c r="AE99" s="45"/>
      <c r="AF99" s="45"/>
      <c r="AG99" s="45"/>
      <c r="AH99" s="45"/>
      <c r="AI99" s="45"/>
    </row>
    <row r="100" spans="2:35" x14ac:dyDescent="0.25">
      <c r="B100" s="9"/>
      <c r="D100" s="41"/>
      <c r="E100" s="41"/>
      <c r="F100" s="41"/>
      <c r="G100" s="41"/>
      <c r="H100" s="41"/>
      <c r="I100" s="41"/>
      <c r="J100" s="41"/>
      <c r="K100" s="41"/>
      <c r="L100" s="41"/>
      <c r="M100" s="45"/>
      <c r="N100" s="45"/>
      <c r="O100" s="45"/>
      <c r="P100" s="45"/>
      <c r="Q100" s="45"/>
      <c r="R100" s="45"/>
      <c r="S100" s="45"/>
      <c r="T100" s="45"/>
      <c r="U100" s="45"/>
      <c r="W100" s="45"/>
      <c r="X100" s="45"/>
      <c r="Y100" s="45"/>
      <c r="Z100" s="45"/>
      <c r="AA100" s="45"/>
      <c r="AB100" s="45"/>
      <c r="AC100" s="45"/>
      <c r="AD100" s="45"/>
      <c r="AE100" s="45"/>
      <c r="AF100" s="45"/>
      <c r="AG100" s="45"/>
    </row>
    <row r="101" spans="2:35" x14ac:dyDescent="0.25">
      <c r="D101" s="41"/>
      <c r="E101" s="41"/>
      <c r="F101" s="41"/>
      <c r="G101" s="41"/>
      <c r="H101" s="41"/>
      <c r="I101" s="41"/>
      <c r="J101" s="41"/>
      <c r="K101" s="41"/>
      <c r="L101" s="41"/>
      <c r="M101" s="41"/>
      <c r="N101" s="41"/>
      <c r="O101" s="41"/>
      <c r="P101" s="41"/>
      <c r="Q101" s="41"/>
      <c r="R101" s="45"/>
      <c r="S101" s="45"/>
      <c r="T101" s="45"/>
      <c r="U101" s="45"/>
      <c r="V101" s="45"/>
      <c r="W101" s="45"/>
      <c r="X101" s="45"/>
      <c r="Y101" s="45"/>
      <c r="Z101" s="45"/>
      <c r="AA101" s="45"/>
      <c r="AB101" s="45"/>
      <c r="AC101" s="45"/>
      <c r="AD101" s="45"/>
      <c r="AE101" s="45"/>
      <c r="AF101" s="45"/>
      <c r="AG101" s="45"/>
    </row>
    <row r="102" spans="2:35" x14ac:dyDescent="0.25">
      <c r="B102" s="43" t="s">
        <v>281</v>
      </c>
      <c r="C102" s="65"/>
    </row>
    <row r="103" spans="2:35" x14ac:dyDescent="0.25">
      <c r="B103" s="43"/>
      <c r="C103" s="65"/>
      <c r="W103" t="s">
        <v>713</v>
      </c>
    </row>
    <row r="104" spans="2:35" x14ac:dyDescent="0.25">
      <c r="C104" s="61" t="s">
        <v>709</v>
      </c>
      <c r="D104" s="44" t="s">
        <v>685</v>
      </c>
      <c r="E104" s="44" t="s">
        <v>686</v>
      </c>
      <c r="F104" s="44" t="s">
        <v>687</v>
      </c>
      <c r="G104" s="44" t="s">
        <v>711</v>
      </c>
      <c r="H104" s="44" t="s">
        <v>719</v>
      </c>
      <c r="I104" s="44" t="s">
        <v>444</v>
      </c>
      <c r="J104" s="44" t="s">
        <v>445</v>
      </c>
      <c r="K104" s="44" t="s">
        <v>722</v>
      </c>
      <c r="L104" s="44" t="s">
        <v>770</v>
      </c>
      <c r="M104" s="44" t="s">
        <v>790</v>
      </c>
      <c r="N104" s="44" t="s">
        <v>803</v>
      </c>
      <c r="O104" s="44" t="s">
        <v>804</v>
      </c>
      <c r="P104" s="44" t="s">
        <v>946</v>
      </c>
      <c r="Q104" s="44" t="s">
        <v>948</v>
      </c>
      <c r="R104" s="44" t="s">
        <v>949</v>
      </c>
      <c r="S104" s="44" t="s">
        <v>965</v>
      </c>
      <c r="T104" s="44" t="s">
        <v>966</v>
      </c>
      <c r="U104" s="44" t="s">
        <v>967</v>
      </c>
      <c r="V104" s="44" t="s">
        <v>968</v>
      </c>
      <c r="W104" s="403" t="s">
        <v>712</v>
      </c>
      <c r="X104" s="3"/>
    </row>
    <row r="105" spans="2:35" x14ac:dyDescent="0.25">
      <c r="B105" s="80" t="s">
        <v>685</v>
      </c>
      <c r="C105" s="66">
        <f t="shared" ref="C105:C123" si="40">L33</f>
        <v>0</v>
      </c>
      <c r="D105" s="101">
        <f>$C105/4</f>
        <v>0</v>
      </c>
      <c r="E105" s="101">
        <f>$C105/4</f>
        <v>0</v>
      </c>
      <c r="F105" s="101">
        <f>$C105/4</f>
        <v>0</v>
      </c>
      <c r="G105" s="101">
        <f>$C105/4</f>
        <v>0</v>
      </c>
      <c r="H105" s="101"/>
      <c r="I105" s="101"/>
      <c r="J105" s="101"/>
      <c r="K105" s="101"/>
      <c r="L105" s="101"/>
      <c r="M105" s="101"/>
      <c r="N105" s="101"/>
      <c r="O105" s="101"/>
      <c r="P105" s="101"/>
      <c r="Q105" s="101"/>
      <c r="R105" s="101"/>
      <c r="S105" s="101"/>
      <c r="T105" s="101"/>
      <c r="U105" s="101"/>
      <c r="V105" s="101"/>
      <c r="W105" s="45">
        <f>C105-SUM(D105:T105)</f>
        <v>0</v>
      </c>
      <c r="Y105" s="45"/>
      <c r="Z105" s="45"/>
      <c r="AA105" s="45"/>
      <c r="AB105" s="45"/>
      <c r="AC105" s="45"/>
      <c r="AD105" s="45"/>
      <c r="AE105" s="45"/>
      <c r="AF105" s="45"/>
      <c r="AG105" s="45"/>
      <c r="AH105" s="45"/>
      <c r="AI105" s="45"/>
    </row>
    <row r="106" spans="2:35" x14ac:dyDescent="0.25">
      <c r="B106" s="81" t="s">
        <v>686</v>
      </c>
      <c r="C106" s="66">
        <f t="shared" si="40"/>
        <v>0</v>
      </c>
      <c r="D106" s="101"/>
      <c r="E106" s="101">
        <f>$C106/4</f>
        <v>0</v>
      </c>
      <c r="F106" s="101">
        <f>$C106/4</f>
        <v>0</v>
      </c>
      <c r="G106" s="101">
        <f>$C106/4</f>
        <v>0</v>
      </c>
      <c r="H106" s="101">
        <f>$C106/4</f>
        <v>0</v>
      </c>
      <c r="I106" s="101"/>
      <c r="J106" s="101"/>
      <c r="K106" s="101"/>
      <c r="L106" s="101"/>
      <c r="M106" s="101"/>
      <c r="N106" s="101"/>
      <c r="O106" s="101"/>
      <c r="P106" s="101"/>
      <c r="Q106" s="101"/>
      <c r="R106" s="101"/>
      <c r="S106" s="101"/>
      <c r="T106" s="101"/>
      <c r="U106" s="101"/>
      <c r="V106" s="101"/>
      <c r="W106" s="45">
        <f t="shared" ref="W106:W123" si="41">C106-SUM(D106:T106)</f>
        <v>0</v>
      </c>
      <c r="Y106" s="45"/>
      <c r="Z106" s="45"/>
      <c r="AA106" s="45"/>
      <c r="AB106" s="45"/>
      <c r="AC106" s="45"/>
      <c r="AD106" s="45"/>
      <c r="AE106" s="45"/>
      <c r="AF106" s="45"/>
      <c r="AG106" s="45"/>
      <c r="AH106" s="45"/>
      <c r="AI106" s="45"/>
    </row>
    <row r="107" spans="2:35" x14ac:dyDescent="0.25">
      <c r="B107" s="81" t="s">
        <v>687</v>
      </c>
      <c r="C107" s="66">
        <f t="shared" si="40"/>
        <v>0</v>
      </c>
      <c r="D107" s="101"/>
      <c r="E107" s="101"/>
      <c r="F107" s="101">
        <f>$C107/4</f>
        <v>0</v>
      </c>
      <c r="G107" s="101">
        <f>$C107/4</f>
        <v>0</v>
      </c>
      <c r="H107" s="101">
        <f>$C107/4</f>
        <v>0</v>
      </c>
      <c r="I107" s="101">
        <f>$C107/4</f>
        <v>0</v>
      </c>
      <c r="J107" s="101"/>
      <c r="K107" s="101"/>
      <c r="L107" s="101"/>
      <c r="M107" s="101"/>
      <c r="N107" s="101"/>
      <c r="O107" s="101"/>
      <c r="P107" s="101"/>
      <c r="Q107" s="101"/>
      <c r="R107" s="101"/>
      <c r="S107" s="101"/>
      <c r="T107" s="101"/>
      <c r="U107" s="101"/>
      <c r="V107" s="101"/>
      <c r="W107" s="45">
        <f t="shared" si="41"/>
        <v>0</v>
      </c>
      <c r="Y107" s="45"/>
      <c r="Z107" s="45"/>
      <c r="AA107" s="45"/>
      <c r="AB107" s="45"/>
      <c r="AC107" s="45"/>
      <c r="AD107" s="45"/>
      <c r="AE107" s="45"/>
      <c r="AF107" s="45"/>
      <c r="AG107" s="45"/>
      <c r="AH107" s="45"/>
      <c r="AI107" s="45"/>
    </row>
    <row r="108" spans="2:35" x14ac:dyDescent="0.25">
      <c r="B108" s="81" t="s">
        <v>711</v>
      </c>
      <c r="C108" s="66">
        <f t="shared" si="40"/>
        <v>0</v>
      </c>
      <c r="D108" s="101"/>
      <c r="E108" s="101"/>
      <c r="F108" s="101"/>
      <c r="G108" s="101">
        <f>$C108/4</f>
        <v>0</v>
      </c>
      <c r="H108" s="101">
        <f>$C108/4</f>
        <v>0</v>
      </c>
      <c r="I108" s="101">
        <f>$C108/4</f>
        <v>0</v>
      </c>
      <c r="J108" s="101">
        <f>$C108/4</f>
        <v>0</v>
      </c>
      <c r="K108" s="101"/>
      <c r="L108" s="101"/>
      <c r="M108" s="101"/>
      <c r="N108" s="101"/>
      <c r="O108" s="101"/>
      <c r="P108" s="101"/>
      <c r="Q108" s="101"/>
      <c r="R108" s="101"/>
      <c r="S108" s="101"/>
      <c r="T108" s="101"/>
      <c r="U108" s="101"/>
      <c r="V108" s="101"/>
      <c r="W108" s="45">
        <f t="shared" si="41"/>
        <v>0</v>
      </c>
      <c r="Y108" s="45"/>
      <c r="Z108" s="45"/>
      <c r="AA108" s="45"/>
      <c r="AB108" s="45"/>
      <c r="AC108" s="45"/>
      <c r="AD108" s="45"/>
      <c r="AE108" s="45"/>
      <c r="AF108" s="45"/>
      <c r="AG108" s="45"/>
      <c r="AH108" s="45"/>
      <c r="AI108" s="45"/>
    </row>
    <row r="109" spans="2:35" x14ac:dyDescent="0.25">
      <c r="B109" s="82" t="s">
        <v>719</v>
      </c>
      <c r="C109" s="66">
        <f t="shared" si="40"/>
        <v>0</v>
      </c>
      <c r="D109" s="101"/>
      <c r="E109" s="101"/>
      <c r="F109" s="101"/>
      <c r="G109" s="101"/>
      <c r="H109" s="101">
        <f>$C109/4</f>
        <v>0</v>
      </c>
      <c r="I109" s="101">
        <f>$C109/4</f>
        <v>0</v>
      </c>
      <c r="J109" s="101">
        <f>$C109/4</f>
        <v>0</v>
      </c>
      <c r="K109" s="101">
        <f>$C109/4</f>
        <v>0</v>
      </c>
      <c r="L109" s="101"/>
      <c r="M109" s="101"/>
      <c r="N109" s="101"/>
      <c r="O109" s="101"/>
      <c r="P109" s="101"/>
      <c r="Q109" s="101"/>
      <c r="R109" s="101"/>
      <c r="S109" s="101"/>
      <c r="T109" s="101"/>
      <c r="U109" s="101"/>
      <c r="V109" s="101"/>
      <c r="W109" s="45">
        <f t="shared" si="41"/>
        <v>0</v>
      </c>
      <c r="Y109" s="45"/>
      <c r="Z109" s="45"/>
      <c r="AA109" s="45"/>
      <c r="AB109" s="45"/>
      <c r="AC109" s="45"/>
      <c r="AD109" s="45"/>
      <c r="AE109" s="45"/>
      <c r="AF109" s="45"/>
      <c r="AG109" s="45"/>
      <c r="AH109" s="45"/>
      <c r="AI109" s="45"/>
    </row>
    <row r="110" spans="2:35" x14ac:dyDescent="0.25">
      <c r="B110" s="82" t="s">
        <v>444</v>
      </c>
      <c r="C110" s="66">
        <f t="shared" si="40"/>
        <v>0</v>
      </c>
      <c r="D110" s="101"/>
      <c r="E110" s="101"/>
      <c r="F110" s="101"/>
      <c r="G110" s="101"/>
      <c r="H110" s="101"/>
      <c r="I110" s="101">
        <f>$C110/4</f>
        <v>0</v>
      </c>
      <c r="J110" s="101">
        <f>$C110/4</f>
        <v>0</v>
      </c>
      <c r="K110" s="101">
        <f>$C110/4</f>
        <v>0</v>
      </c>
      <c r="L110" s="101">
        <f>$C110/4</f>
        <v>0</v>
      </c>
      <c r="M110" s="101"/>
      <c r="N110" s="101"/>
      <c r="O110" s="101"/>
      <c r="P110" s="101"/>
      <c r="Q110" s="101"/>
      <c r="R110" s="101"/>
      <c r="S110" s="101"/>
      <c r="T110" s="101"/>
      <c r="U110" s="101"/>
      <c r="V110" s="101"/>
      <c r="W110" s="45">
        <f t="shared" si="41"/>
        <v>0</v>
      </c>
      <c r="Y110" s="45"/>
      <c r="Z110" s="45"/>
      <c r="AA110" s="45"/>
      <c r="AB110" s="45"/>
      <c r="AC110" s="45"/>
      <c r="AD110" s="45"/>
      <c r="AE110" s="45"/>
      <c r="AF110" s="45"/>
      <c r="AG110" s="45"/>
      <c r="AH110" s="45"/>
      <c r="AI110" s="45"/>
    </row>
    <row r="111" spans="2:35" x14ac:dyDescent="0.25">
      <c r="B111" s="82" t="s">
        <v>445</v>
      </c>
      <c r="C111" s="66">
        <f t="shared" si="40"/>
        <v>0</v>
      </c>
      <c r="D111" s="101"/>
      <c r="E111" s="101"/>
      <c r="F111" s="101"/>
      <c r="G111" s="101"/>
      <c r="H111" s="101"/>
      <c r="I111" s="101"/>
      <c r="J111" s="101">
        <f>$C111/4</f>
        <v>0</v>
      </c>
      <c r="K111" s="101">
        <f>$C111/4</f>
        <v>0</v>
      </c>
      <c r="L111" s="101">
        <f>$C111/4</f>
        <v>0</v>
      </c>
      <c r="M111" s="101">
        <f>$C111/4</f>
        <v>0</v>
      </c>
      <c r="N111" s="101"/>
      <c r="O111" s="101"/>
      <c r="P111" s="101"/>
      <c r="Q111" s="101"/>
      <c r="R111" s="101"/>
      <c r="S111" s="101"/>
      <c r="T111" s="101"/>
      <c r="U111" s="101"/>
      <c r="V111" s="101"/>
      <c r="W111" s="45">
        <f t="shared" si="41"/>
        <v>0</v>
      </c>
      <c r="Y111" s="45"/>
      <c r="Z111" s="45"/>
      <c r="AA111" s="45"/>
      <c r="AB111" s="45"/>
      <c r="AC111" s="45"/>
      <c r="AD111" s="45"/>
      <c r="AE111" s="45"/>
      <c r="AF111" s="45"/>
      <c r="AG111" s="45"/>
      <c r="AH111" s="45"/>
      <c r="AI111" s="45"/>
    </row>
    <row r="112" spans="2:35" x14ac:dyDescent="0.25">
      <c r="B112" s="82" t="s">
        <v>722</v>
      </c>
      <c r="C112" s="66">
        <f t="shared" si="40"/>
        <v>0</v>
      </c>
      <c r="D112" s="101"/>
      <c r="E112" s="101"/>
      <c r="F112" s="101"/>
      <c r="G112" s="101"/>
      <c r="H112" s="101"/>
      <c r="I112" s="101"/>
      <c r="J112" s="101"/>
      <c r="K112" s="101">
        <f>$C112/4</f>
        <v>0</v>
      </c>
      <c r="L112" s="101">
        <f>$C112/4</f>
        <v>0</v>
      </c>
      <c r="M112" s="101">
        <f>$C112/4</f>
        <v>0</v>
      </c>
      <c r="N112" s="101">
        <f>$C112/4</f>
        <v>0</v>
      </c>
      <c r="O112" s="101"/>
      <c r="P112" s="101"/>
      <c r="Q112" s="101"/>
      <c r="R112" s="101"/>
      <c r="S112" s="101"/>
      <c r="T112" s="101"/>
      <c r="U112" s="101"/>
      <c r="V112" s="101"/>
      <c r="W112" s="45">
        <f t="shared" si="41"/>
        <v>0</v>
      </c>
      <c r="Y112" s="45"/>
      <c r="Z112" s="45"/>
      <c r="AA112" s="45"/>
      <c r="AB112" s="45"/>
      <c r="AC112" s="45"/>
      <c r="AD112" s="45"/>
      <c r="AE112" s="45"/>
      <c r="AF112" s="45"/>
      <c r="AG112" s="45"/>
      <c r="AH112" s="45"/>
      <c r="AI112" s="45"/>
    </row>
    <row r="113" spans="2:35" x14ac:dyDescent="0.25">
      <c r="B113" s="82" t="s">
        <v>770</v>
      </c>
      <c r="C113" s="66">
        <f t="shared" si="40"/>
        <v>0</v>
      </c>
      <c r="D113" s="101"/>
      <c r="E113" s="101"/>
      <c r="F113" s="101"/>
      <c r="G113" s="101"/>
      <c r="H113" s="101"/>
      <c r="I113" s="101"/>
      <c r="J113" s="101"/>
      <c r="K113" s="101"/>
      <c r="L113" s="101">
        <f>$C113/4</f>
        <v>0</v>
      </c>
      <c r="M113" s="101">
        <f>$C113/4</f>
        <v>0</v>
      </c>
      <c r="N113" s="101">
        <f>$C113/4</f>
        <v>0</v>
      </c>
      <c r="O113" s="101">
        <f>$C113/4</f>
        <v>0</v>
      </c>
      <c r="P113" s="101"/>
      <c r="Q113" s="101"/>
      <c r="R113" s="101"/>
      <c r="S113" s="101"/>
      <c r="T113" s="101"/>
      <c r="U113" s="101"/>
      <c r="V113" s="101"/>
      <c r="W113" s="45">
        <f t="shared" si="41"/>
        <v>0</v>
      </c>
      <c r="Y113" s="45"/>
      <c r="Z113" s="45"/>
      <c r="AA113" s="45"/>
      <c r="AB113" s="45"/>
      <c r="AC113" s="45"/>
      <c r="AD113" s="45"/>
      <c r="AE113" s="45"/>
      <c r="AF113" s="45"/>
      <c r="AG113" s="45"/>
      <c r="AH113" s="45"/>
      <c r="AI113" s="45"/>
    </row>
    <row r="114" spans="2:35" x14ac:dyDescent="0.25">
      <c r="B114" s="472" t="s">
        <v>790</v>
      </c>
      <c r="C114" s="66">
        <f t="shared" si="40"/>
        <v>0</v>
      </c>
      <c r="D114" s="471"/>
      <c r="E114" s="471"/>
      <c r="F114" s="471"/>
      <c r="G114" s="471"/>
      <c r="H114" s="471"/>
      <c r="I114" s="471"/>
      <c r="J114" s="471"/>
      <c r="K114" s="471"/>
      <c r="L114" s="471"/>
      <c r="M114" s="101">
        <f>$C114/4</f>
        <v>0</v>
      </c>
      <c r="N114" s="101">
        <f>$C114/4</f>
        <v>0</v>
      </c>
      <c r="O114" s="101">
        <f>$C114/4</f>
        <v>0</v>
      </c>
      <c r="P114" s="101">
        <f>$C114/4</f>
        <v>0</v>
      </c>
      <c r="Q114" s="101"/>
      <c r="R114" s="101"/>
      <c r="S114" s="101"/>
      <c r="T114" s="101"/>
      <c r="U114" s="101"/>
      <c r="V114" s="101"/>
      <c r="W114" s="45">
        <f t="shared" si="41"/>
        <v>0</v>
      </c>
      <c r="Y114" s="45"/>
      <c r="Z114" s="45"/>
      <c r="AA114" s="45"/>
      <c r="AB114" s="45"/>
      <c r="AC114" s="45"/>
      <c r="AD114" s="45"/>
      <c r="AE114" s="45"/>
      <c r="AF114" s="45"/>
      <c r="AG114" s="45"/>
      <c r="AH114" s="45"/>
      <c r="AI114" s="45"/>
    </row>
    <row r="115" spans="2:35" x14ac:dyDescent="0.25">
      <c r="B115" s="472" t="s">
        <v>803</v>
      </c>
      <c r="C115" s="66">
        <f t="shared" si="40"/>
        <v>0</v>
      </c>
      <c r="D115" s="471"/>
      <c r="E115" s="471"/>
      <c r="F115" s="471"/>
      <c r="G115" s="471"/>
      <c r="H115" s="471"/>
      <c r="I115" s="471"/>
      <c r="J115" s="471"/>
      <c r="K115" s="471"/>
      <c r="L115" s="471"/>
      <c r="M115" s="471"/>
      <c r="N115" s="101">
        <f>$C115/4</f>
        <v>0</v>
      </c>
      <c r="O115" s="101">
        <f>$C115/4</f>
        <v>0</v>
      </c>
      <c r="P115" s="101">
        <f>$C115/4</f>
        <v>0</v>
      </c>
      <c r="Q115" s="101">
        <f>$C115/4</f>
        <v>0</v>
      </c>
      <c r="R115" s="101"/>
      <c r="S115" s="101"/>
      <c r="T115" s="101"/>
      <c r="U115" s="101"/>
      <c r="V115" s="101"/>
      <c r="W115" s="45">
        <f t="shared" si="41"/>
        <v>0</v>
      </c>
      <c r="Y115" s="45"/>
      <c r="Z115" s="45"/>
      <c r="AA115" s="45"/>
      <c r="AB115" s="45"/>
      <c r="AC115" s="45"/>
      <c r="AD115" s="45"/>
      <c r="AE115" s="45"/>
      <c r="AF115" s="45"/>
      <c r="AG115" s="45"/>
      <c r="AH115" s="45"/>
      <c r="AI115" s="45"/>
    </row>
    <row r="116" spans="2:35" x14ac:dyDescent="0.25">
      <c r="B116" s="472" t="s">
        <v>804</v>
      </c>
      <c r="C116" s="66">
        <f t="shared" si="40"/>
        <v>0</v>
      </c>
      <c r="D116" s="471"/>
      <c r="E116" s="471"/>
      <c r="F116" s="471"/>
      <c r="G116" s="471"/>
      <c r="H116" s="471"/>
      <c r="I116" s="471"/>
      <c r="J116" s="471"/>
      <c r="K116" s="471"/>
      <c r="L116" s="471"/>
      <c r="M116" s="471"/>
      <c r="N116" s="473"/>
      <c r="O116" s="682">
        <f>$C116/4</f>
        <v>0</v>
      </c>
      <c r="P116" s="682">
        <f>$C116/4</f>
        <v>0</v>
      </c>
      <c r="Q116" s="682">
        <f>$C116/4</f>
        <v>0</v>
      </c>
      <c r="R116" s="682">
        <f>$C116/4</f>
        <v>0</v>
      </c>
      <c r="S116" s="682"/>
      <c r="T116" s="682"/>
      <c r="U116" s="682"/>
      <c r="V116" s="682"/>
      <c r="W116" s="45">
        <f t="shared" si="41"/>
        <v>0</v>
      </c>
      <c r="Y116" s="45"/>
      <c r="Z116" s="45"/>
      <c r="AA116" s="45"/>
      <c r="AB116" s="45"/>
      <c r="AC116" s="45"/>
      <c r="AD116" s="45"/>
      <c r="AE116" s="45"/>
      <c r="AF116" s="45"/>
      <c r="AG116" s="45"/>
      <c r="AH116" s="45"/>
      <c r="AI116" s="45"/>
    </row>
    <row r="117" spans="2:35" x14ac:dyDescent="0.25">
      <c r="B117" s="472" t="s">
        <v>946</v>
      </c>
      <c r="C117" s="66">
        <f t="shared" si="40"/>
        <v>0</v>
      </c>
      <c r="D117" s="471"/>
      <c r="E117" s="471"/>
      <c r="F117" s="471"/>
      <c r="G117" s="471"/>
      <c r="H117" s="471"/>
      <c r="I117" s="471"/>
      <c r="J117" s="471"/>
      <c r="K117" s="471"/>
      <c r="L117" s="471"/>
      <c r="M117" s="471"/>
      <c r="N117" s="473"/>
      <c r="O117" s="683"/>
      <c r="P117" s="682">
        <f>$C117/4</f>
        <v>0</v>
      </c>
      <c r="Q117" s="682">
        <f>$C117/4</f>
        <v>0</v>
      </c>
      <c r="R117" s="682">
        <f>$C117/4</f>
        <v>0</v>
      </c>
      <c r="S117" s="682">
        <f>$C117/4</f>
        <v>0</v>
      </c>
      <c r="T117" s="682"/>
      <c r="U117" s="682"/>
      <c r="V117" s="682"/>
      <c r="W117" s="45">
        <f t="shared" si="41"/>
        <v>0</v>
      </c>
      <c r="Y117" s="45"/>
      <c r="Z117" s="45"/>
      <c r="AA117" s="45"/>
      <c r="AB117" s="45"/>
      <c r="AC117" s="45"/>
      <c r="AD117" s="45"/>
      <c r="AE117" s="45"/>
      <c r="AF117" s="45"/>
      <c r="AG117" s="45"/>
      <c r="AH117" s="45"/>
      <c r="AI117" s="45"/>
    </row>
    <row r="118" spans="2:35" x14ac:dyDescent="0.25">
      <c r="B118" s="472" t="s">
        <v>948</v>
      </c>
      <c r="C118" s="66">
        <f t="shared" si="40"/>
        <v>0</v>
      </c>
      <c r="D118" s="471"/>
      <c r="E118" s="471"/>
      <c r="F118" s="471"/>
      <c r="G118" s="471"/>
      <c r="H118" s="471"/>
      <c r="I118" s="471"/>
      <c r="J118" s="471"/>
      <c r="K118" s="471"/>
      <c r="L118" s="471"/>
      <c r="M118" s="471"/>
      <c r="N118" s="473"/>
      <c r="O118" s="683"/>
      <c r="P118" s="683"/>
      <c r="Q118" s="682">
        <f>$C118/4</f>
        <v>0</v>
      </c>
      <c r="R118" s="682">
        <f>$C118/4</f>
        <v>0</v>
      </c>
      <c r="S118" s="682">
        <f>$C118/4</f>
        <v>0</v>
      </c>
      <c r="T118" s="682">
        <f>$C118/4</f>
        <v>0</v>
      </c>
      <c r="U118" s="682">
        <f t="shared" ref="U118:V121" si="42">$C118/4</f>
        <v>0</v>
      </c>
      <c r="V118" s="682">
        <f t="shared" si="42"/>
        <v>0</v>
      </c>
      <c r="W118" s="45">
        <f t="shared" si="41"/>
        <v>0</v>
      </c>
      <c r="Y118" s="45"/>
      <c r="Z118" s="45"/>
      <c r="AA118" s="45"/>
      <c r="AB118" s="45"/>
      <c r="AC118" s="45"/>
      <c r="AD118" s="45"/>
      <c r="AE118" s="45"/>
      <c r="AF118" s="45"/>
      <c r="AG118" s="45"/>
      <c r="AH118" s="45"/>
      <c r="AI118" s="45"/>
    </row>
    <row r="119" spans="2:35" x14ac:dyDescent="0.25">
      <c r="B119" s="472" t="s">
        <v>949</v>
      </c>
      <c r="C119" s="66">
        <f t="shared" si="40"/>
        <v>0</v>
      </c>
      <c r="D119" s="471"/>
      <c r="E119" s="471"/>
      <c r="F119" s="471"/>
      <c r="G119" s="471"/>
      <c r="H119" s="471"/>
      <c r="I119" s="471"/>
      <c r="J119" s="471"/>
      <c r="K119" s="471"/>
      <c r="L119" s="471"/>
      <c r="M119" s="471"/>
      <c r="N119" s="473"/>
      <c r="O119" s="683"/>
      <c r="P119" s="683"/>
      <c r="Q119" s="683"/>
      <c r="R119" s="682">
        <f>$C119/4</f>
        <v>0</v>
      </c>
      <c r="S119" s="682">
        <f>$C119/4</f>
        <v>0</v>
      </c>
      <c r="T119" s="682">
        <f>$C119/4</f>
        <v>0</v>
      </c>
      <c r="U119" s="682">
        <f t="shared" si="42"/>
        <v>0</v>
      </c>
      <c r="V119" s="682">
        <f t="shared" si="42"/>
        <v>0</v>
      </c>
      <c r="W119" s="45">
        <f t="shared" si="41"/>
        <v>0</v>
      </c>
      <c r="Y119" s="45"/>
      <c r="Z119" s="45"/>
      <c r="AA119" s="45"/>
      <c r="AB119" s="45"/>
      <c r="AC119" s="45"/>
      <c r="AD119" s="45"/>
      <c r="AE119" s="45"/>
      <c r="AF119" s="45"/>
      <c r="AG119" s="45"/>
      <c r="AH119" s="45"/>
      <c r="AI119" s="45"/>
    </row>
    <row r="120" spans="2:35" x14ac:dyDescent="0.25">
      <c r="B120" s="472" t="s">
        <v>965</v>
      </c>
      <c r="C120" s="66">
        <f t="shared" si="40"/>
        <v>0</v>
      </c>
      <c r="D120" s="471"/>
      <c r="E120" s="471"/>
      <c r="F120" s="471"/>
      <c r="G120" s="471"/>
      <c r="H120" s="471"/>
      <c r="I120" s="471"/>
      <c r="J120" s="471"/>
      <c r="K120" s="471"/>
      <c r="L120" s="471"/>
      <c r="M120" s="471"/>
      <c r="N120" s="473"/>
      <c r="O120" s="683"/>
      <c r="P120" s="683"/>
      <c r="Q120" s="683"/>
      <c r="R120" s="683"/>
      <c r="S120" s="682">
        <f>$C120/4</f>
        <v>0</v>
      </c>
      <c r="T120" s="682">
        <f>$C120/4</f>
        <v>0</v>
      </c>
      <c r="U120" s="682">
        <f t="shared" si="42"/>
        <v>0</v>
      </c>
      <c r="V120" s="682">
        <f t="shared" si="42"/>
        <v>0</v>
      </c>
      <c r="W120" s="45">
        <f t="shared" si="41"/>
        <v>0</v>
      </c>
      <c r="Y120" s="45"/>
      <c r="Z120" s="45"/>
      <c r="AA120" s="45"/>
      <c r="AB120" s="45"/>
      <c r="AC120" s="45"/>
      <c r="AD120" s="45"/>
      <c r="AE120" s="45"/>
      <c r="AF120" s="45"/>
      <c r="AG120" s="45"/>
      <c r="AH120" s="45"/>
      <c r="AI120" s="45"/>
    </row>
    <row r="121" spans="2:35" x14ac:dyDescent="0.25">
      <c r="B121" s="472" t="s">
        <v>966</v>
      </c>
      <c r="C121" s="66">
        <f t="shared" si="40"/>
        <v>0</v>
      </c>
      <c r="D121" s="471"/>
      <c r="E121" s="471"/>
      <c r="F121" s="471"/>
      <c r="G121" s="471"/>
      <c r="H121" s="471"/>
      <c r="I121" s="471"/>
      <c r="J121" s="471"/>
      <c r="K121" s="471"/>
      <c r="L121" s="471"/>
      <c r="M121" s="471"/>
      <c r="N121" s="473"/>
      <c r="O121" s="683"/>
      <c r="P121" s="683"/>
      <c r="Q121" s="683"/>
      <c r="R121" s="683"/>
      <c r="S121" s="682"/>
      <c r="T121" s="682">
        <f>$C121/4</f>
        <v>0</v>
      </c>
      <c r="U121" s="682">
        <f t="shared" si="42"/>
        <v>0</v>
      </c>
      <c r="V121" s="682">
        <f t="shared" si="42"/>
        <v>0</v>
      </c>
      <c r="W121" s="45">
        <f t="shared" si="41"/>
        <v>0</v>
      </c>
      <c r="Y121" s="45"/>
      <c r="Z121" s="45"/>
      <c r="AA121" s="45"/>
      <c r="AB121" s="45"/>
      <c r="AC121" s="45"/>
      <c r="AD121" s="45"/>
      <c r="AE121" s="45"/>
      <c r="AF121" s="45"/>
      <c r="AG121" s="45"/>
      <c r="AH121" s="45"/>
      <c r="AI121" s="45"/>
    </row>
    <row r="122" spans="2:35" x14ac:dyDescent="0.25">
      <c r="B122" s="82" t="s">
        <v>967</v>
      </c>
      <c r="C122" s="66">
        <f t="shared" si="40"/>
        <v>0</v>
      </c>
      <c r="D122" s="471"/>
      <c r="E122" s="471"/>
      <c r="F122" s="471"/>
      <c r="G122" s="471"/>
      <c r="H122" s="471"/>
      <c r="I122" s="471"/>
      <c r="J122" s="471"/>
      <c r="K122" s="471"/>
      <c r="L122" s="471"/>
      <c r="M122" s="471"/>
      <c r="N122" s="473"/>
      <c r="O122" s="683"/>
      <c r="P122" s="683"/>
      <c r="Q122" s="683"/>
      <c r="R122" s="683"/>
      <c r="S122" s="682"/>
      <c r="T122" s="682"/>
      <c r="U122" s="682">
        <f t="shared" ref="U122:V123" si="43">$C122/4</f>
        <v>0</v>
      </c>
      <c r="V122" s="682">
        <f t="shared" si="43"/>
        <v>0</v>
      </c>
      <c r="W122" s="45">
        <f t="shared" si="41"/>
        <v>0</v>
      </c>
      <c r="Y122" s="45"/>
      <c r="Z122" s="45"/>
      <c r="AA122" s="45"/>
      <c r="AB122" s="45"/>
      <c r="AC122" s="45"/>
      <c r="AD122" s="45"/>
      <c r="AE122" s="45"/>
      <c r="AF122" s="45"/>
      <c r="AG122" s="45"/>
      <c r="AH122" s="45"/>
      <c r="AI122" s="45"/>
    </row>
    <row r="123" spans="2:35" x14ac:dyDescent="0.25">
      <c r="B123" s="81" t="s">
        <v>968</v>
      </c>
      <c r="C123" s="66">
        <f t="shared" si="40"/>
        <v>0</v>
      </c>
      <c r="D123" s="471"/>
      <c r="E123" s="471"/>
      <c r="F123" s="471"/>
      <c r="G123" s="471"/>
      <c r="H123" s="471"/>
      <c r="I123" s="471"/>
      <c r="J123" s="471"/>
      <c r="K123" s="471"/>
      <c r="L123" s="471"/>
      <c r="M123" s="471"/>
      <c r="N123" s="473"/>
      <c r="O123" s="683"/>
      <c r="P123" s="683"/>
      <c r="Q123" s="683"/>
      <c r="R123" s="683"/>
      <c r="S123" s="682"/>
      <c r="T123" s="682"/>
      <c r="U123" s="682"/>
      <c r="V123" s="682">
        <f t="shared" si="43"/>
        <v>0</v>
      </c>
      <c r="W123" s="45">
        <f t="shared" si="41"/>
        <v>0</v>
      </c>
      <c r="Y123" s="45"/>
      <c r="Z123" s="45"/>
      <c r="AA123" s="45"/>
      <c r="AB123" s="45"/>
      <c r="AC123" s="45"/>
      <c r="AD123" s="45"/>
      <c r="AE123" s="45"/>
      <c r="AF123" s="45"/>
      <c r="AG123" s="45"/>
      <c r="AH123" s="45"/>
      <c r="AI123" s="45"/>
    </row>
    <row r="124" spans="2:35" ht="13.8" thickBot="1" x14ac:dyDescent="0.3">
      <c r="C124" s="66"/>
      <c r="D124" s="102"/>
      <c r="E124" s="102"/>
      <c r="F124" s="102"/>
      <c r="G124" s="102"/>
      <c r="H124" s="102"/>
      <c r="I124" s="102"/>
      <c r="J124" s="102"/>
      <c r="K124" s="102"/>
      <c r="L124" s="102"/>
      <c r="M124" s="102"/>
      <c r="N124" s="102"/>
      <c r="O124" s="102"/>
      <c r="P124" s="102"/>
      <c r="Q124" s="102"/>
      <c r="R124" s="102"/>
      <c r="S124" s="102"/>
      <c r="T124" s="682"/>
      <c r="U124" s="682"/>
      <c r="V124" s="682"/>
      <c r="W124" s="45">
        <f t="shared" ref="W124" si="44">C124-SUM(D124:U124)</f>
        <v>0</v>
      </c>
      <c r="Y124" s="45"/>
      <c r="Z124" s="45"/>
      <c r="AA124" s="45"/>
      <c r="AB124" s="45"/>
      <c r="AC124" s="45"/>
      <c r="AD124" s="45"/>
      <c r="AE124" s="45"/>
      <c r="AF124" s="45"/>
      <c r="AG124" s="45"/>
      <c r="AH124" s="45"/>
      <c r="AI124" s="45"/>
    </row>
    <row r="125" spans="2:35" ht="13.8" thickTop="1" x14ac:dyDescent="0.25">
      <c r="B125" s="9" t="s">
        <v>655</v>
      </c>
      <c r="C125" s="63">
        <f>SUM($C105:C124)</f>
        <v>0</v>
      </c>
      <c r="D125" s="103">
        <f t="shared" ref="D125:Q125" si="45">SUM(D105:D124)</f>
        <v>0</v>
      </c>
      <c r="E125" s="103">
        <f t="shared" si="45"/>
        <v>0</v>
      </c>
      <c r="F125" s="103">
        <f t="shared" si="45"/>
        <v>0</v>
      </c>
      <c r="G125" s="103">
        <f t="shared" si="45"/>
        <v>0</v>
      </c>
      <c r="H125" s="103">
        <f t="shared" si="45"/>
        <v>0</v>
      </c>
      <c r="I125" s="103">
        <f t="shared" si="45"/>
        <v>0</v>
      </c>
      <c r="J125" s="103">
        <f t="shared" si="45"/>
        <v>0</v>
      </c>
      <c r="K125" s="103">
        <f t="shared" si="45"/>
        <v>0</v>
      </c>
      <c r="L125" s="103">
        <f t="shared" si="45"/>
        <v>0</v>
      </c>
      <c r="M125" s="103">
        <f t="shared" si="45"/>
        <v>0</v>
      </c>
      <c r="N125" s="103">
        <f t="shared" si="45"/>
        <v>0</v>
      </c>
      <c r="O125" s="103">
        <f t="shared" si="45"/>
        <v>0</v>
      </c>
      <c r="P125" s="103">
        <f t="shared" si="45"/>
        <v>0</v>
      </c>
      <c r="Q125" s="103">
        <f t="shared" si="45"/>
        <v>0</v>
      </c>
      <c r="R125" s="103">
        <f>SUM(R105:R124)</f>
        <v>0</v>
      </c>
      <c r="S125" s="103">
        <f>SUM(S105:S124)</f>
        <v>0</v>
      </c>
      <c r="T125" s="103">
        <f>SUM(T105:T124)</f>
        <v>0</v>
      </c>
      <c r="U125" s="103">
        <f t="shared" ref="U125:V125" si="46">SUM(U105:U124)</f>
        <v>0</v>
      </c>
      <c r="V125" s="103">
        <f t="shared" si="46"/>
        <v>0</v>
      </c>
      <c r="W125" s="45">
        <f>C125-SUM(D125:U125)</f>
        <v>0</v>
      </c>
      <c r="Y125" s="45"/>
      <c r="Z125" s="45"/>
      <c r="AA125" s="45"/>
      <c r="AB125" s="45"/>
      <c r="AC125" s="45"/>
      <c r="AD125" s="45"/>
      <c r="AE125" s="45"/>
      <c r="AF125" s="45"/>
      <c r="AG125" s="45"/>
      <c r="AH125" s="45"/>
      <c r="AI125" s="45"/>
    </row>
    <row r="128" spans="2:35" x14ac:dyDescent="0.25">
      <c r="B128" s="43" t="s">
        <v>348</v>
      </c>
      <c r="C128" s="65"/>
      <c r="G128" s="501" t="s">
        <v>731</v>
      </c>
      <c r="H128" s="502"/>
      <c r="I128" s="503" t="s">
        <v>732</v>
      </c>
      <c r="J128" s="501">
        <v>5</v>
      </c>
    </row>
    <row r="129" spans="1:34" x14ac:dyDescent="0.25">
      <c r="B129" s="43"/>
      <c r="C129" s="65"/>
      <c r="W129" s="20" t="s">
        <v>713</v>
      </c>
    </row>
    <row r="130" spans="1:34" x14ac:dyDescent="0.25">
      <c r="B130" s="504" t="s">
        <v>731</v>
      </c>
      <c r="C130" s="42" t="s">
        <v>695</v>
      </c>
      <c r="D130" s="44" t="s">
        <v>685</v>
      </c>
      <c r="E130" s="44" t="s">
        <v>686</v>
      </c>
      <c r="F130" s="44" t="s">
        <v>687</v>
      </c>
      <c r="G130" s="44" t="s">
        <v>711</v>
      </c>
      <c r="H130" s="44" t="s">
        <v>719</v>
      </c>
      <c r="I130" s="44" t="s">
        <v>444</v>
      </c>
      <c r="J130" s="44" t="s">
        <v>445</v>
      </c>
      <c r="K130" s="44" t="s">
        <v>722</v>
      </c>
      <c r="L130" s="44" t="s">
        <v>770</v>
      </c>
      <c r="M130" s="44" t="s">
        <v>790</v>
      </c>
      <c r="N130" s="44" t="s">
        <v>803</v>
      </c>
      <c r="O130" s="44" t="s">
        <v>804</v>
      </c>
      <c r="P130" s="44" t="s">
        <v>946</v>
      </c>
      <c r="Q130" s="44" t="s">
        <v>948</v>
      </c>
      <c r="R130" s="44" t="s">
        <v>949</v>
      </c>
      <c r="S130" s="44" t="s">
        <v>965</v>
      </c>
      <c r="T130" s="44" t="s">
        <v>966</v>
      </c>
      <c r="U130" s="44" t="s">
        <v>967</v>
      </c>
      <c r="V130" s="44" t="s">
        <v>968</v>
      </c>
      <c r="W130" s="403" t="s">
        <v>712</v>
      </c>
    </row>
    <row r="131" spans="1:34" x14ac:dyDescent="0.25">
      <c r="A131" s="509">
        <v>10</v>
      </c>
      <c r="B131" s="80" t="s">
        <v>685</v>
      </c>
      <c r="C131" s="66">
        <f t="shared" ref="C131:C149" si="47">L10</f>
        <v>0</v>
      </c>
      <c r="D131" s="519" t="str">
        <f t="shared" ref="D131:T131" si="48">IF(AND(D$154&gt;0,D178=TRUE,D$153&lt;$X156)=TRUE,$C131/$J$128,"0")</f>
        <v>0</v>
      </c>
      <c r="E131" s="519" t="str">
        <f t="shared" si="48"/>
        <v>0</v>
      </c>
      <c r="F131" s="519" t="str">
        <f t="shared" si="48"/>
        <v>0</v>
      </c>
      <c r="G131" s="519" t="str">
        <f t="shared" si="48"/>
        <v>0</v>
      </c>
      <c r="H131" s="519" t="str">
        <f t="shared" si="48"/>
        <v>0</v>
      </c>
      <c r="I131" s="519" t="str">
        <f t="shared" si="48"/>
        <v>0</v>
      </c>
      <c r="J131" s="519" t="str">
        <f t="shared" si="48"/>
        <v>0</v>
      </c>
      <c r="K131" s="519" t="str">
        <f t="shared" si="48"/>
        <v>0</v>
      </c>
      <c r="L131" s="519" t="str">
        <f t="shared" si="48"/>
        <v>0</v>
      </c>
      <c r="M131" s="519" t="str">
        <f t="shared" si="48"/>
        <v>0</v>
      </c>
      <c r="N131" s="519" t="str">
        <f t="shared" si="48"/>
        <v>0</v>
      </c>
      <c r="O131" s="519" t="str">
        <f t="shared" si="48"/>
        <v>0</v>
      </c>
      <c r="P131" s="519" t="str">
        <f t="shared" si="48"/>
        <v>0</v>
      </c>
      <c r="Q131" s="519">
        <f t="shared" si="48"/>
        <v>0</v>
      </c>
      <c r="R131" s="519">
        <f t="shared" si="48"/>
        <v>0</v>
      </c>
      <c r="S131" s="519">
        <f t="shared" si="48"/>
        <v>0</v>
      </c>
      <c r="T131" s="519">
        <f t="shared" si="48"/>
        <v>0</v>
      </c>
      <c r="U131" s="519" t="str">
        <f t="shared" ref="U131:U146" si="49">IF(AND(W$154&gt;0,W178=TRUE,W$153&lt;$X156)=TRUE,$C131/$J$128,"0")</f>
        <v>0</v>
      </c>
      <c r="V131" s="519" t="str">
        <f t="shared" ref="V131:V146" si="50">IF(AND(X$154&gt;0,X178=TRUE,X$153&lt;$X156)=TRUE,$C131/$J$128,"0")</f>
        <v>0</v>
      </c>
      <c r="W131" s="45">
        <f>C131-SUM(D131:U131)</f>
        <v>0</v>
      </c>
      <c r="X131" s="45"/>
      <c r="Y131" s="45"/>
      <c r="Z131" s="45"/>
      <c r="AA131" s="45"/>
      <c r="AB131" s="45"/>
      <c r="AC131" s="45"/>
      <c r="AD131" s="45"/>
      <c r="AE131" s="45"/>
      <c r="AF131" s="45"/>
      <c r="AG131" s="45"/>
      <c r="AH131" s="45"/>
    </row>
    <row r="132" spans="1:34" x14ac:dyDescent="0.25">
      <c r="A132" s="515">
        <v>11</v>
      </c>
      <c r="B132" s="81" t="s">
        <v>686</v>
      </c>
      <c r="C132" s="66">
        <f t="shared" si="47"/>
        <v>0</v>
      </c>
      <c r="D132" s="519" t="str">
        <f t="shared" ref="D132:T132" si="51">IF(AND(D$154&gt;0,D179=TRUE,D$153&lt;$X157)=TRUE,$C132/$J$128,"0")</f>
        <v>0</v>
      </c>
      <c r="E132" s="519" t="str">
        <f t="shared" si="51"/>
        <v>0</v>
      </c>
      <c r="F132" s="519" t="str">
        <f t="shared" si="51"/>
        <v>0</v>
      </c>
      <c r="G132" s="519" t="str">
        <f t="shared" si="51"/>
        <v>0</v>
      </c>
      <c r="H132" s="519" t="str">
        <f t="shared" si="51"/>
        <v>0</v>
      </c>
      <c r="I132" s="519" t="str">
        <f t="shared" si="51"/>
        <v>0</v>
      </c>
      <c r="J132" s="519" t="str">
        <f t="shared" si="51"/>
        <v>0</v>
      </c>
      <c r="K132" s="519" t="str">
        <f t="shared" si="51"/>
        <v>0</v>
      </c>
      <c r="L132" s="519" t="str">
        <f t="shared" si="51"/>
        <v>0</v>
      </c>
      <c r="M132" s="519" t="str">
        <f t="shared" si="51"/>
        <v>0</v>
      </c>
      <c r="N132" s="519" t="str">
        <f t="shared" si="51"/>
        <v>0</v>
      </c>
      <c r="O132" s="519" t="str">
        <f t="shared" si="51"/>
        <v>0</v>
      </c>
      <c r="P132" s="519" t="str">
        <f t="shared" si="51"/>
        <v>0</v>
      </c>
      <c r="Q132" s="519">
        <f t="shared" si="51"/>
        <v>0</v>
      </c>
      <c r="R132" s="519">
        <f t="shared" si="51"/>
        <v>0</v>
      </c>
      <c r="S132" s="519">
        <f t="shared" si="51"/>
        <v>0</v>
      </c>
      <c r="T132" s="519">
        <f t="shared" si="51"/>
        <v>0</v>
      </c>
      <c r="U132" s="519" t="str">
        <f t="shared" si="49"/>
        <v>0</v>
      </c>
      <c r="V132" s="519" t="str">
        <f t="shared" si="50"/>
        <v>0</v>
      </c>
      <c r="W132" s="45">
        <f t="shared" ref="W132:W150" si="52">C132-SUM(D132:U132)</f>
        <v>0</v>
      </c>
      <c r="X132" s="45"/>
      <c r="Y132" s="45"/>
      <c r="Z132" s="45"/>
      <c r="AA132" s="45"/>
      <c r="AB132" s="45"/>
      <c r="AC132" s="45"/>
      <c r="AD132" s="45"/>
      <c r="AE132" s="45"/>
      <c r="AF132" s="45"/>
      <c r="AG132" s="45"/>
      <c r="AH132" s="45"/>
    </row>
    <row r="133" spans="1:34" x14ac:dyDescent="0.25">
      <c r="A133" s="515">
        <v>12</v>
      </c>
      <c r="B133" s="81" t="s">
        <v>687</v>
      </c>
      <c r="C133" s="66">
        <f t="shared" si="47"/>
        <v>0</v>
      </c>
      <c r="D133" s="519" t="str">
        <f t="shared" ref="D133:T133" si="53">IF(AND(D$154&gt;0,D180=TRUE,D$153&lt;$X158)=TRUE,$C133/$J$128,"0")</f>
        <v>0</v>
      </c>
      <c r="E133" s="519" t="str">
        <f t="shared" si="53"/>
        <v>0</v>
      </c>
      <c r="F133" s="519" t="str">
        <f t="shared" si="53"/>
        <v>0</v>
      </c>
      <c r="G133" s="519" t="str">
        <f t="shared" si="53"/>
        <v>0</v>
      </c>
      <c r="H133" s="519" t="str">
        <f t="shared" si="53"/>
        <v>0</v>
      </c>
      <c r="I133" s="519" t="str">
        <f t="shared" si="53"/>
        <v>0</v>
      </c>
      <c r="J133" s="519" t="str">
        <f t="shared" si="53"/>
        <v>0</v>
      </c>
      <c r="K133" s="519" t="str">
        <f t="shared" si="53"/>
        <v>0</v>
      </c>
      <c r="L133" s="519" t="str">
        <f t="shared" si="53"/>
        <v>0</v>
      </c>
      <c r="M133" s="519" t="str">
        <f t="shared" si="53"/>
        <v>0</v>
      </c>
      <c r="N133" s="519" t="str">
        <f t="shared" si="53"/>
        <v>0</v>
      </c>
      <c r="O133" s="519" t="str">
        <f t="shared" si="53"/>
        <v>0</v>
      </c>
      <c r="P133" s="519" t="str">
        <f t="shared" si="53"/>
        <v>0</v>
      </c>
      <c r="Q133" s="519">
        <f t="shared" si="53"/>
        <v>0</v>
      </c>
      <c r="R133" s="519">
        <f t="shared" si="53"/>
        <v>0</v>
      </c>
      <c r="S133" s="519">
        <f t="shared" si="53"/>
        <v>0</v>
      </c>
      <c r="T133" s="519">
        <f t="shared" si="53"/>
        <v>0</v>
      </c>
      <c r="U133" s="519" t="str">
        <f t="shared" si="49"/>
        <v>0</v>
      </c>
      <c r="V133" s="519" t="str">
        <f t="shared" si="50"/>
        <v>0</v>
      </c>
      <c r="W133" s="45">
        <f t="shared" si="52"/>
        <v>0</v>
      </c>
      <c r="X133" s="45"/>
      <c r="Y133" s="45"/>
      <c r="Z133" s="45"/>
      <c r="AA133" s="45"/>
      <c r="AB133" s="45"/>
      <c r="AC133" s="45"/>
      <c r="AD133" s="45"/>
      <c r="AE133" s="45"/>
      <c r="AF133" s="45"/>
      <c r="AG133" s="45"/>
      <c r="AH133" s="45"/>
    </row>
    <row r="134" spans="1:34" x14ac:dyDescent="0.25">
      <c r="A134" s="515">
        <v>13</v>
      </c>
      <c r="B134" s="81" t="s">
        <v>711</v>
      </c>
      <c r="C134" s="66">
        <f t="shared" si="47"/>
        <v>0</v>
      </c>
      <c r="D134" s="519" t="str">
        <f t="shared" ref="D134:T134" si="54">IF(AND(D$154&gt;0,D181=TRUE,D$153&lt;$X159)=TRUE,$C134/$J$128,"0")</f>
        <v>0</v>
      </c>
      <c r="E134" s="519" t="str">
        <f t="shared" si="54"/>
        <v>0</v>
      </c>
      <c r="F134" s="519" t="str">
        <f t="shared" si="54"/>
        <v>0</v>
      </c>
      <c r="G134" s="519" t="str">
        <f t="shared" si="54"/>
        <v>0</v>
      </c>
      <c r="H134" s="519" t="str">
        <f t="shared" si="54"/>
        <v>0</v>
      </c>
      <c r="I134" s="519" t="str">
        <f t="shared" si="54"/>
        <v>0</v>
      </c>
      <c r="J134" s="519" t="str">
        <f t="shared" si="54"/>
        <v>0</v>
      </c>
      <c r="K134" s="519" t="str">
        <f t="shared" si="54"/>
        <v>0</v>
      </c>
      <c r="L134" s="519" t="str">
        <f t="shared" si="54"/>
        <v>0</v>
      </c>
      <c r="M134" s="519" t="str">
        <f t="shared" si="54"/>
        <v>0</v>
      </c>
      <c r="N134" s="519" t="str">
        <f t="shared" si="54"/>
        <v>0</v>
      </c>
      <c r="O134" s="519" t="str">
        <f t="shared" si="54"/>
        <v>0</v>
      </c>
      <c r="P134" s="519" t="str">
        <f t="shared" si="54"/>
        <v>0</v>
      </c>
      <c r="Q134" s="519">
        <f t="shared" si="54"/>
        <v>0</v>
      </c>
      <c r="R134" s="519">
        <f t="shared" si="54"/>
        <v>0</v>
      </c>
      <c r="S134" s="519">
        <f t="shared" si="54"/>
        <v>0</v>
      </c>
      <c r="T134" s="519">
        <f t="shared" si="54"/>
        <v>0</v>
      </c>
      <c r="U134" s="519" t="str">
        <f t="shared" si="49"/>
        <v>0</v>
      </c>
      <c r="V134" s="519" t="str">
        <f t="shared" si="50"/>
        <v>0</v>
      </c>
      <c r="W134" s="45">
        <f t="shared" si="52"/>
        <v>0</v>
      </c>
      <c r="X134" s="45"/>
      <c r="Y134" s="45"/>
      <c r="Z134" s="45"/>
      <c r="AA134" s="45"/>
      <c r="AB134" s="45"/>
      <c r="AC134" s="45"/>
      <c r="AD134" s="45"/>
      <c r="AE134" s="45"/>
      <c r="AF134" s="45"/>
      <c r="AG134" s="45"/>
      <c r="AH134" s="45"/>
    </row>
    <row r="135" spans="1:34" x14ac:dyDescent="0.25">
      <c r="A135" s="515">
        <v>14</v>
      </c>
      <c r="B135" s="82" t="s">
        <v>719</v>
      </c>
      <c r="C135" s="66">
        <f t="shared" si="47"/>
        <v>0</v>
      </c>
      <c r="D135" s="519" t="str">
        <f t="shared" ref="D135:T135" si="55">IF(AND(D$154&gt;0,D182=TRUE,D$153&lt;$X160)=TRUE,$C135/$J$128,"0")</f>
        <v>0</v>
      </c>
      <c r="E135" s="519" t="str">
        <f t="shared" si="55"/>
        <v>0</v>
      </c>
      <c r="F135" s="519" t="str">
        <f t="shared" si="55"/>
        <v>0</v>
      </c>
      <c r="G135" s="519" t="str">
        <f t="shared" si="55"/>
        <v>0</v>
      </c>
      <c r="H135" s="519" t="str">
        <f t="shared" si="55"/>
        <v>0</v>
      </c>
      <c r="I135" s="519" t="str">
        <f t="shared" si="55"/>
        <v>0</v>
      </c>
      <c r="J135" s="519" t="str">
        <f t="shared" si="55"/>
        <v>0</v>
      </c>
      <c r="K135" s="519" t="str">
        <f t="shared" si="55"/>
        <v>0</v>
      </c>
      <c r="L135" s="519" t="str">
        <f t="shared" si="55"/>
        <v>0</v>
      </c>
      <c r="M135" s="519" t="str">
        <f t="shared" si="55"/>
        <v>0</v>
      </c>
      <c r="N135" s="519" t="str">
        <f t="shared" si="55"/>
        <v>0</v>
      </c>
      <c r="O135" s="519" t="str">
        <f t="shared" si="55"/>
        <v>0</v>
      </c>
      <c r="P135" s="519" t="str">
        <f t="shared" si="55"/>
        <v>0</v>
      </c>
      <c r="Q135" s="519">
        <f t="shared" si="55"/>
        <v>0</v>
      </c>
      <c r="R135" s="519">
        <f t="shared" si="55"/>
        <v>0</v>
      </c>
      <c r="S135" s="519">
        <f t="shared" si="55"/>
        <v>0</v>
      </c>
      <c r="T135" s="519">
        <f t="shared" si="55"/>
        <v>0</v>
      </c>
      <c r="U135" s="519" t="str">
        <f t="shared" si="49"/>
        <v>0</v>
      </c>
      <c r="V135" s="519" t="str">
        <f t="shared" si="50"/>
        <v>0</v>
      </c>
      <c r="W135" s="45">
        <f t="shared" si="52"/>
        <v>0</v>
      </c>
      <c r="X135" s="45"/>
      <c r="Y135" s="45"/>
      <c r="Z135" s="45"/>
      <c r="AA135" s="45"/>
      <c r="AB135" s="45"/>
      <c r="AC135" s="45"/>
      <c r="AD135" s="45"/>
      <c r="AE135" s="45"/>
      <c r="AF135" s="45"/>
      <c r="AG135" s="45"/>
      <c r="AH135" s="45"/>
    </row>
    <row r="136" spans="1:34" ht="11.25" customHeight="1" x14ac:dyDescent="0.25">
      <c r="A136" s="515">
        <v>15</v>
      </c>
      <c r="B136" s="82" t="s">
        <v>444</v>
      </c>
      <c r="C136" s="66">
        <f t="shared" si="47"/>
        <v>0</v>
      </c>
      <c r="D136" s="519" t="str">
        <f t="shared" ref="D136:T136" si="56">IF(AND(D$154&gt;0,D183=TRUE,D$153&lt;$X161)=TRUE,$C136/$J$128,"0")</f>
        <v>0</v>
      </c>
      <c r="E136" s="519" t="str">
        <f t="shared" si="56"/>
        <v>0</v>
      </c>
      <c r="F136" s="519" t="str">
        <f t="shared" si="56"/>
        <v>0</v>
      </c>
      <c r="G136" s="519" t="str">
        <f t="shared" si="56"/>
        <v>0</v>
      </c>
      <c r="H136" s="519" t="str">
        <f t="shared" si="56"/>
        <v>0</v>
      </c>
      <c r="I136" s="519" t="str">
        <f t="shared" si="56"/>
        <v>0</v>
      </c>
      <c r="J136" s="519" t="str">
        <f t="shared" si="56"/>
        <v>0</v>
      </c>
      <c r="K136" s="519" t="str">
        <f t="shared" si="56"/>
        <v>0</v>
      </c>
      <c r="L136" s="519" t="str">
        <f t="shared" si="56"/>
        <v>0</v>
      </c>
      <c r="M136" s="519" t="str">
        <f t="shared" si="56"/>
        <v>0</v>
      </c>
      <c r="N136" s="519" t="str">
        <f t="shared" si="56"/>
        <v>0</v>
      </c>
      <c r="O136" s="519" t="str">
        <f t="shared" si="56"/>
        <v>0</v>
      </c>
      <c r="P136" s="519" t="str">
        <f t="shared" si="56"/>
        <v>0</v>
      </c>
      <c r="Q136" s="519">
        <f t="shared" si="56"/>
        <v>0</v>
      </c>
      <c r="R136" s="519">
        <f t="shared" si="56"/>
        <v>0</v>
      </c>
      <c r="S136" s="519">
        <f t="shared" si="56"/>
        <v>0</v>
      </c>
      <c r="T136" s="519">
        <f t="shared" si="56"/>
        <v>0</v>
      </c>
      <c r="U136" s="519" t="str">
        <f t="shared" si="49"/>
        <v>0</v>
      </c>
      <c r="V136" s="519" t="str">
        <f t="shared" si="50"/>
        <v>0</v>
      </c>
      <c r="W136" s="45">
        <f t="shared" si="52"/>
        <v>0</v>
      </c>
      <c r="X136" s="45"/>
      <c r="Y136" s="45"/>
      <c r="Z136" s="45"/>
      <c r="AA136" s="45"/>
      <c r="AB136" s="45"/>
      <c r="AC136" s="45"/>
      <c r="AD136" s="45"/>
      <c r="AE136" s="45"/>
      <c r="AF136" s="45"/>
      <c r="AG136" s="45"/>
      <c r="AH136" s="45"/>
    </row>
    <row r="137" spans="1:34" x14ac:dyDescent="0.25">
      <c r="A137" s="515">
        <v>16</v>
      </c>
      <c r="B137" s="82" t="s">
        <v>445</v>
      </c>
      <c r="C137" s="66">
        <f t="shared" si="47"/>
        <v>0</v>
      </c>
      <c r="D137" s="519" t="str">
        <f t="shared" ref="D137:T137" si="57">IF(AND(D$154&gt;0,D184=TRUE,D$153&lt;$X162)=TRUE,$C137/$J$128,"0")</f>
        <v>0</v>
      </c>
      <c r="E137" s="519" t="str">
        <f t="shared" si="57"/>
        <v>0</v>
      </c>
      <c r="F137" s="519" t="str">
        <f t="shared" si="57"/>
        <v>0</v>
      </c>
      <c r="G137" s="519" t="str">
        <f t="shared" si="57"/>
        <v>0</v>
      </c>
      <c r="H137" s="519" t="str">
        <f t="shared" si="57"/>
        <v>0</v>
      </c>
      <c r="I137" s="519" t="str">
        <f t="shared" si="57"/>
        <v>0</v>
      </c>
      <c r="J137" s="519" t="str">
        <f t="shared" si="57"/>
        <v>0</v>
      </c>
      <c r="K137" s="519" t="str">
        <f t="shared" si="57"/>
        <v>0</v>
      </c>
      <c r="L137" s="519" t="str">
        <f t="shared" si="57"/>
        <v>0</v>
      </c>
      <c r="M137" s="519" t="str">
        <f t="shared" si="57"/>
        <v>0</v>
      </c>
      <c r="N137" s="519" t="str">
        <f t="shared" si="57"/>
        <v>0</v>
      </c>
      <c r="O137" s="519" t="str">
        <f t="shared" si="57"/>
        <v>0</v>
      </c>
      <c r="P137" s="519" t="str">
        <f t="shared" si="57"/>
        <v>0</v>
      </c>
      <c r="Q137" s="519">
        <f t="shared" si="57"/>
        <v>0</v>
      </c>
      <c r="R137" s="519">
        <f t="shared" si="57"/>
        <v>0</v>
      </c>
      <c r="S137" s="519">
        <f t="shared" si="57"/>
        <v>0</v>
      </c>
      <c r="T137" s="519">
        <f t="shared" si="57"/>
        <v>0</v>
      </c>
      <c r="U137" s="519" t="str">
        <f t="shared" si="49"/>
        <v>0</v>
      </c>
      <c r="V137" s="519" t="str">
        <f t="shared" si="50"/>
        <v>0</v>
      </c>
      <c r="W137" s="45">
        <f t="shared" si="52"/>
        <v>0</v>
      </c>
      <c r="X137" s="45"/>
      <c r="Y137" s="45"/>
      <c r="Z137" s="45"/>
      <c r="AA137" s="45"/>
      <c r="AB137" s="45"/>
      <c r="AC137" s="45"/>
      <c r="AD137" s="45"/>
      <c r="AE137" s="45"/>
      <c r="AF137" s="45"/>
      <c r="AG137" s="45"/>
      <c r="AH137" s="45"/>
    </row>
    <row r="138" spans="1:34" x14ac:dyDescent="0.25">
      <c r="A138" s="515">
        <v>17</v>
      </c>
      <c r="B138" s="82" t="s">
        <v>722</v>
      </c>
      <c r="C138" s="66">
        <f t="shared" si="47"/>
        <v>0</v>
      </c>
      <c r="D138" s="519" t="str">
        <f t="shared" ref="D138:T138" si="58">IF(AND(D$154&gt;0,D185=TRUE,D$153&lt;$X163)=TRUE,$C138/$J$128,"0")</f>
        <v>0</v>
      </c>
      <c r="E138" s="519" t="str">
        <f t="shared" si="58"/>
        <v>0</v>
      </c>
      <c r="F138" s="519" t="str">
        <f t="shared" si="58"/>
        <v>0</v>
      </c>
      <c r="G138" s="519" t="str">
        <f t="shared" si="58"/>
        <v>0</v>
      </c>
      <c r="H138" s="519" t="str">
        <f t="shared" si="58"/>
        <v>0</v>
      </c>
      <c r="I138" s="519" t="str">
        <f t="shared" si="58"/>
        <v>0</v>
      </c>
      <c r="J138" s="519" t="str">
        <f t="shared" si="58"/>
        <v>0</v>
      </c>
      <c r="K138" s="519" t="str">
        <f t="shared" si="58"/>
        <v>0</v>
      </c>
      <c r="L138" s="519" t="str">
        <f t="shared" si="58"/>
        <v>0</v>
      </c>
      <c r="M138" s="519" t="str">
        <f t="shared" si="58"/>
        <v>0</v>
      </c>
      <c r="N138" s="519" t="str">
        <f t="shared" si="58"/>
        <v>0</v>
      </c>
      <c r="O138" s="519" t="str">
        <f t="shared" si="58"/>
        <v>0</v>
      </c>
      <c r="P138" s="519" t="str">
        <f t="shared" si="58"/>
        <v>0</v>
      </c>
      <c r="Q138" s="519">
        <f t="shared" si="58"/>
        <v>0</v>
      </c>
      <c r="R138" s="519">
        <f t="shared" si="58"/>
        <v>0</v>
      </c>
      <c r="S138" s="519">
        <f t="shared" si="58"/>
        <v>0</v>
      </c>
      <c r="T138" s="519">
        <f t="shared" si="58"/>
        <v>0</v>
      </c>
      <c r="U138" s="519" t="str">
        <f t="shared" si="49"/>
        <v>0</v>
      </c>
      <c r="V138" s="519" t="str">
        <f t="shared" si="50"/>
        <v>0</v>
      </c>
      <c r="W138" s="45">
        <f t="shared" si="52"/>
        <v>0</v>
      </c>
      <c r="X138" s="45"/>
      <c r="Y138" s="45"/>
      <c r="Z138" s="45"/>
      <c r="AA138" s="45"/>
      <c r="AB138" s="45"/>
      <c r="AC138" s="45"/>
      <c r="AD138" s="45"/>
      <c r="AE138" s="45"/>
      <c r="AF138" s="45"/>
      <c r="AG138" s="45"/>
      <c r="AH138" s="45"/>
    </row>
    <row r="139" spans="1:34" x14ac:dyDescent="0.25">
      <c r="A139" s="515">
        <v>18</v>
      </c>
      <c r="B139" s="82" t="s">
        <v>770</v>
      </c>
      <c r="C139" s="66">
        <f t="shared" si="47"/>
        <v>0</v>
      </c>
      <c r="D139" s="519" t="str">
        <f t="shared" ref="D139:T139" si="59">IF(AND(D$154&gt;0,D186=TRUE,D$153&lt;$X164)=TRUE,$C139/$J$128,"0")</f>
        <v>0</v>
      </c>
      <c r="E139" s="519" t="str">
        <f t="shared" si="59"/>
        <v>0</v>
      </c>
      <c r="F139" s="519" t="str">
        <f t="shared" si="59"/>
        <v>0</v>
      </c>
      <c r="G139" s="519" t="str">
        <f t="shared" si="59"/>
        <v>0</v>
      </c>
      <c r="H139" s="519" t="str">
        <f t="shared" si="59"/>
        <v>0</v>
      </c>
      <c r="I139" s="519" t="str">
        <f t="shared" si="59"/>
        <v>0</v>
      </c>
      <c r="J139" s="519" t="str">
        <f t="shared" si="59"/>
        <v>0</v>
      </c>
      <c r="K139" s="519" t="str">
        <f t="shared" si="59"/>
        <v>0</v>
      </c>
      <c r="L139" s="519" t="str">
        <f t="shared" si="59"/>
        <v>0</v>
      </c>
      <c r="M139" s="519" t="str">
        <f t="shared" si="59"/>
        <v>0</v>
      </c>
      <c r="N139" s="519" t="str">
        <f t="shared" si="59"/>
        <v>0</v>
      </c>
      <c r="O139" s="519" t="str">
        <f t="shared" si="59"/>
        <v>0</v>
      </c>
      <c r="P139" s="519" t="str">
        <f t="shared" si="59"/>
        <v>0</v>
      </c>
      <c r="Q139" s="519">
        <f t="shared" si="59"/>
        <v>0</v>
      </c>
      <c r="R139" s="519">
        <f t="shared" si="59"/>
        <v>0</v>
      </c>
      <c r="S139" s="519">
        <f t="shared" si="59"/>
        <v>0</v>
      </c>
      <c r="T139" s="519">
        <f t="shared" si="59"/>
        <v>0</v>
      </c>
      <c r="U139" s="519" t="str">
        <f t="shared" si="49"/>
        <v>0</v>
      </c>
      <c r="V139" s="519" t="str">
        <f t="shared" si="50"/>
        <v>0</v>
      </c>
      <c r="W139" s="45">
        <f t="shared" si="52"/>
        <v>0</v>
      </c>
      <c r="X139" s="45"/>
      <c r="Y139" s="45"/>
      <c r="Z139" s="45"/>
      <c r="AA139" s="45"/>
      <c r="AB139" s="45"/>
      <c r="AC139" s="45"/>
      <c r="AD139" s="45"/>
      <c r="AE139" s="45"/>
      <c r="AF139" s="45"/>
      <c r="AG139" s="45"/>
      <c r="AH139" s="45"/>
    </row>
    <row r="140" spans="1:34" x14ac:dyDescent="0.25">
      <c r="A140" s="515">
        <v>19</v>
      </c>
      <c r="B140" s="472" t="s">
        <v>790</v>
      </c>
      <c r="C140" s="66">
        <f t="shared" si="47"/>
        <v>0</v>
      </c>
      <c r="D140" s="519" t="str">
        <f t="shared" ref="D140:T140" si="60">IF(AND(D$154&gt;0,D187=TRUE,D$153&lt;$X165)=TRUE,$C140/$J$128,"0")</f>
        <v>0</v>
      </c>
      <c r="E140" s="519" t="str">
        <f t="shared" si="60"/>
        <v>0</v>
      </c>
      <c r="F140" s="519" t="str">
        <f t="shared" si="60"/>
        <v>0</v>
      </c>
      <c r="G140" s="519" t="str">
        <f t="shared" si="60"/>
        <v>0</v>
      </c>
      <c r="H140" s="519" t="str">
        <f t="shared" si="60"/>
        <v>0</v>
      </c>
      <c r="I140" s="519" t="str">
        <f t="shared" si="60"/>
        <v>0</v>
      </c>
      <c r="J140" s="519" t="str">
        <f t="shared" si="60"/>
        <v>0</v>
      </c>
      <c r="K140" s="519" t="str">
        <f t="shared" si="60"/>
        <v>0</v>
      </c>
      <c r="L140" s="519" t="str">
        <f t="shared" si="60"/>
        <v>0</v>
      </c>
      <c r="M140" s="519" t="str">
        <f t="shared" si="60"/>
        <v>0</v>
      </c>
      <c r="N140" s="519" t="str">
        <f t="shared" si="60"/>
        <v>0</v>
      </c>
      <c r="O140" s="519" t="str">
        <f t="shared" si="60"/>
        <v>0</v>
      </c>
      <c r="P140" s="519" t="str">
        <f t="shared" si="60"/>
        <v>0</v>
      </c>
      <c r="Q140" s="519">
        <f t="shared" si="60"/>
        <v>0</v>
      </c>
      <c r="R140" s="519">
        <f t="shared" si="60"/>
        <v>0</v>
      </c>
      <c r="S140" s="519">
        <f t="shared" si="60"/>
        <v>0</v>
      </c>
      <c r="T140" s="519">
        <f t="shared" si="60"/>
        <v>0</v>
      </c>
      <c r="U140" s="519" t="str">
        <f t="shared" si="49"/>
        <v>0</v>
      </c>
      <c r="V140" s="519" t="str">
        <f t="shared" si="50"/>
        <v>0</v>
      </c>
      <c r="W140" s="45">
        <f t="shared" si="52"/>
        <v>0</v>
      </c>
      <c r="X140" s="45"/>
      <c r="Y140" s="45"/>
      <c r="Z140" s="45"/>
      <c r="AA140" s="45"/>
      <c r="AB140" s="45"/>
      <c r="AC140" s="45"/>
      <c r="AD140" s="45"/>
      <c r="AE140" s="45"/>
      <c r="AF140" s="45"/>
      <c r="AG140" s="45"/>
      <c r="AH140" s="45"/>
    </row>
    <row r="141" spans="1:34" x14ac:dyDescent="0.25">
      <c r="A141" s="515">
        <v>20</v>
      </c>
      <c r="B141" s="472" t="s">
        <v>803</v>
      </c>
      <c r="C141" s="66">
        <f t="shared" si="47"/>
        <v>0</v>
      </c>
      <c r="D141" s="519" t="str">
        <f t="shared" ref="D141:T141" si="61">IF(AND(D$154&gt;0,D188=TRUE,D$153&lt;$X166)=TRUE,$C141/$J$128,"0")</f>
        <v>0</v>
      </c>
      <c r="E141" s="519" t="str">
        <f t="shared" si="61"/>
        <v>0</v>
      </c>
      <c r="F141" s="519" t="str">
        <f t="shared" si="61"/>
        <v>0</v>
      </c>
      <c r="G141" s="519" t="str">
        <f t="shared" si="61"/>
        <v>0</v>
      </c>
      <c r="H141" s="519" t="str">
        <f t="shared" si="61"/>
        <v>0</v>
      </c>
      <c r="I141" s="519" t="str">
        <f t="shared" si="61"/>
        <v>0</v>
      </c>
      <c r="J141" s="519" t="str">
        <f t="shared" si="61"/>
        <v>0</v>
      </c>
      <c r="K141" s="519" t="str">
        <f t="shared" si="61"/>
        <v>0</v>
      </c>
      <c r="L141" s="519" t="str">
        <f t="shared" si="61"/>
        <v>0</v>
      </c>
      <c r="M141" s="519" t="str">
        <f t="shared" si="61"/>
        <v>0</v>
      </c>
      <c r="N141" s="519" t="str">
        <f t="shared" si="61"/>
        <v>0</v>
      </c>
      <c r="O141" s="519" t="str">
        <f t="shared" si="61"/>
        <v>0</v>
      </c>
      <c r="P141" s="519" t="str">
        <f t="shared" si="61"/>
        <v>0</v>
      </c>
      <c r="Q141" s="519">
        <f t="shared" si="61"/>
        <v>0</v>
      </c>
      <c r="R141" s="519">
        <f t="shared" si="61"/>
        <v>0</v>
      </c>
      <c r="S141" s="519">
        <f t="shared" si="61"/>
        <v>0</v>
      </c>
      <c r="T141" s="519">
        <f t="shared" si="61"/>
        <v>0</v>
      </c>
      <c r="U141" s="519" t="str">
        <f t="shared" si="49"/>
        <v>0</v>
      </c>
      <c r="V141" s="519" t="str">
        <f t="shared" si="50"/>
        <v>0</v>
      </c>
      <c r="W141" s="45">
        <f t="shared" si="52"/>
        <v>0</v>
      </c>
      <c r="X141" s="45"/>
      <c r="Y141" s="45"/>
      <c r="Z141" s="45"/>
      <c r="AA141" s="45"/>
      <c r="AB141" s="45"/>
      <c r="AC141" s="45"/>
      <c r="AD141" s="45"/>
      <c r="AE141" s="45"/>
      <c r="AF141" s="45"/>
      <c r="AG141" s="45"/>
      <c r="AH141" s="45"/>
    </row>
    <row r="142" spans="1:34" x14ac:dyDescent="0.25">
      <c r="A142" s="515">
        <v>21</v>
      </c>
      <c r="B142" s="472" t="s">
        <v>804</v>
      </c>
      <c r="C142" s="66">
        <f t="shared" si="47"/>
        <v>0</v>
      </c>
      <c r="D142" s="519" t="str">
        <f t="shared" ref="D142:T142" si="62">IF(AND(D$154&gt;0,D189=TRUE,D$153&lt;$X167)=TRUE,$C142/$J$128,"0")</f>
        <v>0</v>
      </c>
      <c r="E142" s="519" t="str">
        <f t="shared" si="62"/>
        <v>0</v>
      </c>
      <c r="F142" s="519" t="str">
        <f t="shared" si="62"/>
        <v>0</v>
      </c>
      <c r="G142" s="519" t="str">
        <f t="shared" si="62"/>
        <v>0</v>
      </c>
      <c r="H142" s="519" t="str">
        <f t="shared" si="62"/>
        <v>0</v>
      </c>
      <c r="I142" s="519" t="str">
        <f t="shared" si="62"/>
        <v>0</v>
      </c>
      <c r="J142" s="519" t="str">
        <f t="shared" si="62"/>
        <v>0</v>
      </c>
      <c r="K142" s="519" t="str">
        <f t="shared" si="62"/>
        <v>0</v>
      </c>
      <c r="L142" s="519" t="str">
        <f t="shared" si="62"/>
        <v>0</v>
      </c>
      <c r="M142" s="519" t="str">
        <f t="shared" si="62"/>
        <v>0</v>
      </c>
      <c r="N142" s="519" t="str">
        <f t="shared" si="62"/>
        <v>0</v>
      </c>
      <c r="O142" s="519" t="str">
        <f t="shared" si="62"/>
        <v>0</v>
      </c>
      <c r="P142" s="519" t="str">
        <f t="shared" si="62"/>
        <v>0</v>
      </c>
      <c r="Q142" s="519">
        <f t="shared" si="62"/>
        <v>0</v>
      </c>
      <c r="R142" s="519">
        <f t="shared" si="62"/>
        <v>0</v>
      </c>
      <c r="S142" s="519">
        <f t="shared" si="62"/>
        <v>0</v>
      </c>
      <c r="T142" s="519">
        <f t="shared" si="62"/>
        <v>0</v>
      </c>
      <c r="U142" s="519" t="str">
        <f t="shared" si="49"/>
        <v>0</v>
      </c>
      <c r="V142" s="519" t="str">
        <f t="shared" si="50"/>
        <v>0</v>
      </c>
      <c r="W142" s="45">
        <f t="shared" si="52"/>
        <v>0</v>
      </c>
      <c r="X142" s="45"/>
      <c r="Y142" s="45"/>
      <c r="Z142" s="45"/>
      <c r="AA142" s="45"/>
      <c r="AB142" s="45"/>
      <c r="AC142" s="45"/>
      <c r="AD142" s="45"/>
      <c r="AE142" s="45"/>
      <c r="AF142" s="45"/>
      <c r="AG142" s="45"/>
      <c r="AH142" s="45"/>
    </row>
    <row r="143" spans="1:34" x14ac:dyDescent="0.25">
      <c r="A143" s="515">
        <v>22</v>
      </c>
      <c r="B143" s="472" t="s">
        <v>946</v>
      </c>
      <c r="C143" s="66">
        <f t="shared" si="47"/>
        <v>0</v>
      </c>
      <c r="D143" s="519" t="str">
        <f t="shared" ref="D143:T143" si="63">IF(AND(D$154&gt;0,D190=TRUE,D$153&lt;$X168)=TRUE,$C143/$J$128,"0")</f>
        <v>0</v>
      </c>
      <c r="E143" s="519" t="str">
        <f t="shared" si="63"/>
        <v>0</v>
      </c>
      <c r="F143" s="519" t="str">
        <f t="shared" si="63"/>
        <v>0</v>
      </c>
      <c r="G143" s="519" t="str">
        <f t="shared" si="63"/>
        <v>0</v>
      </c>
      <c r="H143" s="519" t="str">
        <f t="shared" si="63"/>
        <v>0</v>
      </c>
      <c r="I143" s="519" t="str">
        <f t="shared" si="63"/>
        <v>0</v>
      </c>
      <c r="J143" s="519" t="str">
        <f t="shared" si="63"/>
        <v>0</v>
      </c>
      <c r="K143" s="519" t="str">
        <f t="shared" si="63"/>
        <v>0</v>
      </c>
      <c r="L143" s="519" t="str">
        <f t="shared" si="63"/>
        <v>0</v>
      </c>
      <c r="M143" s="519" t="str">
        <f t="shared" si="63"/>
        <v>0</v>
      </c>
      <c r="N143" s="519" t="str">
        <f t="shared" si="63"/>
        <v>0</v>
      </c>
      <c r="O143" s="519" t="str">
        <f t="shared" si="63"/>
        <v>0</v>
      </c>
      <c r="P143" s="519" t="str">
        <f t="shared" si="63"/>
        <v>0</v>
      </c>
      <c r="Q143" s="519">
        <f t="shared" si="63"/>
        <v>0</v>
      </c>
      <c r="R143" s="519">
        <f t="shared" si="63"/>
        <v>0</v>
      </c>
      <c r="S143" s="519">
        <f t="shared" si="63"/>
        <v>0</v>
      </c>
      <c r="T143" s="519">
        <f t="shared" si="63"/>
        <v>0</v>
      </c>
      <c r="U143" s="519" t="str">
        <f t="shared" si="49"/>
        <v>0</v>
      </c>
      <c r="V143" s="519" t="str">
        <f t="shared" si="50"/>
        <v>0</v>
      </c>
      <c r="W143" s="45">
        <f t="shared" si="52"/>
        <v>0</v>
      </c>
      <c r="X143" s="45"/>
      <c r="Y143" s="45"/>
      <c r="Z143" s="45"/>
      <c r="AA143" s="45"/>
      <c r="AB143" s="45"/>
      <c r="AC143" s="45"/>
      <c r="AD143" s="45"/>
      <c r="AE143" s="45"/>
      <c r="AF143" s="45"/>
      <c r="AG143" s="45"/>
      <c r="AH143" s="45"/>
    </row>
    <row r="144" spans="1:34" x14ac:dyDescent="0.25">
      <c r="A144" s="515">
        <v>23</v>
      </c>
      <c r="B144" s="472" t="s">
        <v>948</v>
      </c>
      <c r="C144" s="66">
        <f t="shared" si="47"/>
        <v>0</v>
      </c>
      <c r="D144" s="519" t="str">
        <f t="shared" ref="D144:T144" si="64">IF(AND(D$154&gt;0,D191=TRUE,D$153&lt;$X169)=TRUE,$C144/$J$128,"0")</f>
        <v>0</v>
      </c>
      <c r="E144" s="519" t="str">
        <f t="shared" si="64"/>
        <v>0</v>
      </c>
      <c r="F144" s="519" t="str">
        <f t="shared" si="64"/>
        <v>0</v>
      </c>
      <c r="G144" s="519" t="str">
        <f t="shared" si="64"/>
        <v>0</v>
      </c>
      <c r="H144" s="519" t="str">
        <f t="shared" si="64"/>
        <v>0</v>
      </c>
      <c r="I144" s="519" t="str">
        <f t="shared" si="64"/>
        <v>0</v>
      </c>
      <c r="J144" s="519" t="str">
        <f t="shared" si="64"/>
        <v>0</v>
      </c>
      <c r="K144" s="519" t="str">
        <f t="shared" si="64"/>
        <v>0</v>
      </c>
      <c r="L144" s="519" t="str">
        <f t="shared" si="64"/>
        <v>0</v>
      </c>
      <c r="M144" s="519" t="str">
        <f t="shared" si="64"/>
        <v>0</v>
      </c>
      <c r="N144" s="519" t="str">
        <f t="shared" si="64"/>
        <v>0</v>
      </c>
      <c r="O144" s="519" t="str">
        <f t="shared" si="64"/>
        <v>0</v>
      </c>
      <c r="P144" s="519" t="str">
        <f t="shared" si="64"/>
        <v>0</v>
      </c>
      <c r="Q144" s="519">
        <f t="shared" si="64"/>
        <v>0</v>
      </c>
      <c r="R144" s="519">
        <f t="shared" si="64"/>
        <v>0</v>
      </c>
      <c r="S144" s="519">
        <f t="shared" si="64"/>
        <v>0</v>
      </c>
      <c r="T144" s="519">
        <f t="shared" si="64"/>
        <v>0</v>
      </c>
      <c r="U144" s="519" t="str">
        <f t="shared" si="49"/>
        <v>0</v>
      </c>
      <c r="V144" s="519" t="str">
        <f t="shared" si="50"/>
        <v>0</v>
      </c>
      <c r="W144" s="45">
        <f t="shared" si="52"/>
        <v>0</v>
      </c>
      <c r="X144" s="45"/>
      <c r="Y144" s="45"/>
      <c r="Z144" s="45"/>
      <c r="AA144" s="45"/>
      <c r="AB144" s="45"/>
      <c r="AC144" s="45"/>
      <c r="AD144" s="45"/>
      <c r="AE144" s="45"/>
      <c r="AF144" s="45"/>
      <c r="AG144" s="45"/>
      <c r="AH144" s="45"/>
    </row>
    <row r="145" spans="1:34" x14ac:dyDescent="0.25">
      <c r="A145" s="515">
        <v>24</v>
      </c>
      <c r="B145" s="472" t="s">
        <v>949</v>
      </c>
      <c r="C145" s="66">
        <f t="shared" si="47"/>
        <v>0</v>
      </c>
      <c r="D145" s="519" t="str">
        <f t="shared" ref="D145:T145" si="65">IF(AND(D$154&gt;0,D192=TRUE,D$153&lt;$X170)=TRUE,$C145/$J$128,"0")</f>
        <v>0</v>
      </c>
      <c r="E145" s="519" t="str">
        <f t="shared" si="65"/>
        <v>0</v>
      </c>
      <c r="F145" s="519" t="str">
        <f t="shared" si="65"/>
        <v>0</v>
      </c>
      <c r="G145" s="519" t="str">
        <f t="shared" si="65"/>
        <v>0</v>
      </c>
      <c r="H145" s="519" t="str">
        <f t="shared" si="65"/>
        <v>0</v>
      </c>
      <c r="I145" s="519" t="str">
        <f t="shared" si="65"/>
        <v>0</v>
      </c>
      <c r="J145" s="519" t="str">
        <f t="shared" si="65"/>
        <v>0</v>
      </c>
      <c r="K145" s="519" t="str">
        <f t="shared" si="65"/>
        <v>0</v>
      </c>
      <c r="L145" s="519" t="str">
        <f t="shared" si="65"/>
        <v>0</v>
      </c>
      <c r="M145" s="519" t="str">
        <f t="shared" si="65"/>
        <v>0</v>
      </c>
      <c r="N145" s="519" t="str">
        <f t="shared" si="65"/>
        <v>0</v>
      </c>
      <c r="O145" s="519" t="str">
        <f t="shared" si="65"/>
        <v>0</v>
      </c>
      <c r="P145" s="519" t="str">
        <f t="shared" si="65"/>
        <v>0</v>
      </c>
      <c r="Q145" s="519" t="str">
        <f t="shared" si="65"/>
        <v>0</v>
      </c>
      <c r="R145" s="519">
        <f t="shared" si="65"/>
        <v>0</v>
      </c>
      <c r="S145" s="519">
        <f t="shared" si="65"/>
        <v>0</v>
      </c>
      <c r="T145" s="519">
        <f t="shared" si="65"/>
        <v>0</v>
      </c>
      <c r="U145" s="519" t="str">
        <f t="shared" si="49"/>
        <v>0</v>
      </c>
      <c r="V145" s="519" t="str">
        <f t="shared" si="50"/>
        <v>0</v>
      </c>
      <c r="W145" s="45">
        <f t="shared" si="52"/>
        <v>0</v>
      </c>
      <c r="X145" s="45"/>
      <c r="Y145" s="45"/>
      <c r="Z145" s="45"/>
      <c r="AA145" s="45"/>
      <c r="AB145" s="45"/>
      <c r="AC145" s="45"/>
      <c r="AD145" s="45"/>
      <c r="AE145" s="45"/>
      <c r="AF145" s="45"/>
      <c r="AG145" s="45"/>
      <c r="AH145" s="45"/>
    </row>
    <row r="146" spans="1:34" x14ac:dyDescent="0.25">
      <c r="A146" s="515">
        <v>25</v>
      </c>
      <c r="B146" s="472" t="s">
        <v>965</v>
      </c>
      <c r="C146" s="66">
        <f t="shared" si="47"/>
        <v>0</v>
      </c>
      <c r="D146" s="519" t="str">
        <f t="shared" ref="D146:T146" si="66">IF(AND(D$154&gt;0,D193=TRUE,D$153&lt;$X171)=TRUE,$C146/$J$128,"0")</f>
        <v>0</v>
      </c>
      <c r="E146" s="519" t="str">
        <f t="shared" si="66"/>
        <v>0</v>
      </c>
      <c r="F146" s="519" t="str">
        <f t="shared" si="66"/>
        <v>0</v>
      </c>
      <c r="G146" s="519" t="str">
        <f t="shared" si="66"/>
        <v>0</v>
      </c>
      <c r="H146" s="519" t="str">
        <f t="shared" si="66"/>
        <v>0</v>
      </c>
      <c r="I146" s="519" t="str">
        <f t="shared" si="66"/>
        <v>0</v>
      </c>
      <c r="J146" s="519" t="str">
        <f t="shared" si="66"/>
        <v>0</v>
      </c>
      <c r="K146" s="519" t="str">
        <f t="shared" si="66"/>
        <v>0</v>
      </c>
      <c r="L146" s="519" t="str">
        <f t="shared" si="66"/>
        <v>0</v>
      </c>
      <c r="M146" s="519" t="str">
        <f t="shared" si="66"/>
        <v>0</v>
      </c>
      <c r="N146" s="519" t="str">
        <f t="shared" si="66"/>
        <v>0</v>
      </c>
      <c r="O146" s="519" t="str">
        <f t="shared" si="66"/>
        <v>0</v>
      </c>
      <c r="P146" s="519" t="str">
        <f t="shared" si="66"/>
        <v>0</v>
      </c>
      <c r="Q146" s="519" t="str">
        <f t="shared" si="66"/>
        <v>0</v>
      </c>
      <c r="R146" s="519" t="str">
        <f t="shared" si="66"/>
        <v>0</v>
      </c>
      <c r="S146" s="519">
        <f t="shared" si="66"/>
        <v>0</v>
      </c>
      <c r="T146" s="519">
        <f t="shared" si="66"/>
        <v>0</v>
      </c>
      <c r="U146" s="519" t="str">
        <f t="shared" si="49"/>
        <v>0</v>
      </c>
      <c r="V146" s="519" t="str">
        <f t="shared" si="50"/>
        <v>0</v>
      </c>
      <c r="W146" s="45">
        <f t="shared" si="52"/>
        <v>0</v>
      </c>
      <c r="X146" s="45"/>
      <c r="Y146" s="45"/>
      <c r="Z146" s="45"/>
      <c r="AA146" s="45"/>
      <c r="AB146" s="45"/>
      <c r="AC146" s="45"/>
      <c r="AD146" s="45"/>
      <c r="AE146" s="45"/>
      <c r="AF146" s="45"/>
      <c r="AG146" s="45"/>
      <c r="AH146" s="45"/>
    </row>
    <row r="147" spans="1:34" x14ac:dyDescent="0.25">
      <c r="A147" s="515">
        <v>26</v>
      </c>
      <c r="B147" s="472" t="s">
        <v>966</v>
      </c>
      <c r="C147" s="66">
        <f t="shared" si="47"/>
        <v>0</v>
      </c>
      <c r="D147" s="519" t="str">
        <f t="shared" ref="D147:T147" si="67">IF(AND(D$154&gt;0,D197=TRUE,D$153&lt;$V175)=TRUE,$C147/$J$128,"0")</f>
        <v>0</v>
      </c>
      <c r="E147" s="519" t="str">
        <f t="shared" si="67"/>
        <v>0</v>
      </c>
      <c r="F147" s="519" t="str">
        <f t="shared" si="67"/>
        <v>0</v>
      </c>
      <c r="G147" s="519" t="str">
        <f t="shared" si="67"/>
        <v>0</v>
      </c>
      <c r="H147" s="519" t="str">
        <f t="shared" si="67"/>
        <v>0</v>
      </c>
      <c r="I147" s="519" t="str">
        <f t="shared" si="67"/>
        <v>0</v>
      </c>
      <c r="J147" s="519" t="str">
        <f t="shared" si="67"/>
        <v>0</v>
      </c>
      <c r="K147" s="519" t="str">
        <f t="shared" si="67"/>
        <v>0</v>
      </c>
      <c r="L147" s="519" t="str">
        <f t="shared" si="67"/>
        <v>0</v>
      </c>
      <c r="M147" s="519" t="str">
        <f t="shared" si="67"/>
        <v>0</v>
      </c>
      <c r="N147" s="519" t="str">
        <f t="shared" si="67"/>
        <v>0</v>
      </c>
      <c r="O147" s="519" t="str">
        <f t="shared" si="67"/>
        <v>0</v>
      </c>
      <c r="P147" s="519" t="str">
        <f t="shared" si="67"/>
        <v>0</v>
      </c>
      <c r="Q147" s="519" t="str">
        <f t="shared" si="67"/>
        <v>0</v>
      </c>
      <c r="R147" s="519" t="str">
        <f t="shared" si="67"/>
        <v>0</v>
      </c>
      <c r="S147" s="519" t="str">
        <f t="shared" si="67"/>
        <v>0</v>
      </c>
      <c r="T147" s="519" t="str">
        <f t="shared" si="67"/>
        <v>0</v>
      </c>
      <c r="U147" s="519" t="str">
        <f>IF(AND(W$154&gt;0,U197=TRUE,W$153&lt;$V175)=TRUE,$C147/$J$128,"0")</f>
        <v>0</v>
      </c>
      <c r="V147" s="519" t="str">
        <f>IF(AND(X$154&gt;0,V197=TRUE,X$153&lt;$V175)=TRUE,$C147/$J$128,"0")</f>
        <v>0</v>
      </c>
      <c r="W147" s="45">
        <f t="shared" si="52"/>
        <v>0</v>
      </c>
      <c r="X147" s="45"/>
      <c r="Y147" s="45"/>
      <c r="Z147" s="45"/>
      <c r="AA147" s="45"/>
      <c r="AB147" s="45"/>
      <c r="AC147" s="45"/>
      <c r="AD147" s="45"/>
      <c r="AE147" s="45"/>
      <c r="AF147" s="45"/>
      <c r="AG147" s="45"/>
      <c r="AH147" s="45"/>
    </row>
    <row r="148" spans="1:34" x14ac:dyDescent="0.25">
      <c r="A148" s="515">
        <v>27</v>
      </c>
      <c r="B148" s="82" t="s">
        <v>967</v>
      </c>
      <c r="C148" s="66">
        <f t="shared" si="47"/>
        <v>0</v>
      </c>
      <c r="D148" s="519" t="str">
        <f t="shared" ref="D148:T148" si="68">IF(AND(D$154&gt;0,D198=TRUE,D$153&lt;$V176)=TRUE,$C148/$J$128,"0")</f>
        <v>0</v>
      </c>
      <c r="E148" s="519" t="str">
        <f t="shared" si="68"/>
        <v>0</v>
      </c>
      <c r="F148" s="519" t="str">
        <f t="shared" si="68"/>
        <v>0</v>
      </c>
      <c r="G148" s="519" t="str">
        <f t="shared" si="68"/>
        <v>0</v>
      </c>
      <c r="H148" s="519" t="str">
        <f t="shared" si="68"/>
        <v>0</v>
      </c>
      <c r="I148" s="519" t="str">
        <f t="shared" si="68"/>
        <v>0</v>
      </c>
      <c r="J148" s="519" t="str">
        <f t="shared" si="68"/>
        <v>0</v>
      </c>
      <c r="K148" s="519" t="str">
        <f t="shared" si="68"/>
        <v>0</v>
      </c>
      <c r="L148" s="519" t="str">
        <f t="shared" si="68"/>
        <v>0</v>
      </c>
      <c r="M148" s="519" t="str">
        <f t="shared" si="68"/>
        <v>0</v>
      </c>
      <c r="N148" s="519" t="str">
        <f t="shared" si="68"/>
        <v>0</v>
      </c>
      <c r="O148" s="519" t="str">
        <f t="shared" si="68"/>
        <v>0</v>
      </c>
      <c r="P148" s="519" t="str">
        <f t="shared" si="68"/>
        <v>0</v>
      </c>
      <c r="Q148" s="519" t="str">
        <f t="shared" si="68"/>
        <v>0</v>
      </c>
      <c r="R148" s="519" t="str">
        <f t="shared" si="68"/>
        <v>0</v>
      </c>
      <c r="S148" s="519" t="str">
        <f t="shared" si="68"/>
        <v>0</v>
      </c>
      <c r="T148" s="519" t="str">
        <f t="shared" si="68"/>
        <v>0</v>
      </c>
      <c r="U148" s="519" t="str">
        <f>IF(AND(W$154&gt;0,U198=TRUE,W$153&lt;$V176)=TRUE,$C148/$J$128,"0")</f>
        <v>0</v>
      </c>
      <c r="V148" s="519" t="str">
        <f>IF(AND(X$154&gt;0,V198=TRUE,X$153&lt;$V176)=TRUE,$C148/$J$128,"0")</f>
        <v>0</v>
      </c>
      <c r="W148" s="45">
        <f t="shared" si="52"/>
        <v>0</v>
      </c>
      <c r="X148" s="45"/>
      <c r="Y148" s="45"/>
      <c r="Z148" s="45"/>
      <c r="AA148" s="45"/>
      <c r="AB148" s="45"/>
      <c r="AC148" s="45"/>
      <c r="AD148" s="45"/>
      <c r="AE148" s="45"/>
      <c r="AF148" s="45"/>
      <c r="AG148" s="45"/>
      <c r="AH148" s="45"/>
    </row>
    <row r="149" spans="1:34" x14ac:dyDescent="0.25">
      <c r="A149" s="515">
        <v>28</v>
      </c>
      <c r="B149" s="81" t="s">
        <v>968</v>
      </c>
      <c r="C149" s="66">
        <f t="shared" si="47"/>
        <v>0</v>
      </c>
      <c r="D149" s="519" t="str">
        <f t="shared" ref="D149:T149" si="69">IF(AND(D$154&gt;0,D199=TRUE,D$153&lt;$X177)=TRUE,$C149/$J$128,"0")</f>
        <v>0</v>
      </c>
      <c r="E149" s="519" t="str">
        <f t="shared" si="69"/>
        <v>0</v>
      </c>
      <c r="F149" s="519" t="str">
        <f t="shared" si="69"/>
        <v>0</v>
      </c>
      <c r="G149" s="519" t="str">
        <f t="shared" si="69"/>
        <v>0</v>
      </c>
      <c r="H149" s="519" t="str">
        <f t="shared" si="69"/>
        <v>0</v>
      </c>
      <c r="I149" s="519" t="str">
        <f t="shared" si="69"/>
        <v>0</v>
      </c>
      <c r="J149" s="519" t="str">
        <f t="shared" si="69"/>
        <v>0</v>
      </c>
      <c r="K149" s="519" t="str">
        <f t="shared" si="69"/>
        <v>0</v>
      </c>
      <c r="L149" s="519" t="str">
        <f t="shared" si="69"/>
        <v>0</v>
      </c>
      <c r="M149" s="519" t="str">
        <f t="shared" si="69"/>
        <v>0</v>
      </c>
      <c r="N149" s="519" t="str">
        <f t="shared" si="69"/>
        <v>0</v>
      </c>
      <c r="O149" s="519" t="str">
        <f t="shared" si="69"/>
        <v>0</v>
      </c>
      <c r="P149" s="519" t="str">
        <f t="shared" si="69"/>
        <v>0</v>
      </c>
      <c r="Q149" s="519" t="str">
        <f t="shared" si="69"/>
        <v>0</v>
      </c>
      <c r="R149" s="519" t="str">
        <f t="shared" si="69"/>
        <v>0</v>
      </c>
      <c r="S149" s="519" t="str">
        <f t="shared" si="69"/>
        <v>0</v>
      </c>
      <c r="T149" s="519" t="str">
        <f t="shared" si="69"/>
        <v>0</v>
      </c>
      <c r="U149" s="519" t="str">
        <f>IF(AND(W$154&gt;0,U199=TRUE,W$153&lt;$X177)=TRUE,$C149/$J$128,"0")</f>
        <v>0</v>
      </c>
      <c r="V149" s="519" t="str">
        <f>IF(AND(X$154&gt;0,V199=TRUE,X$153&lt;$X177)=TRUE,$C149/$J$128,"0")</f>
        <v>0</v>
      </c>
      <c r="W149" s="45">
        <f t="shared" si="52"/>
        <v>0</v>
      </c>
      <c r="X149" s="45"/>
      <c r="Y149" s="45"/>
      <c r="Z149" s="45"/>
      <c r="AA149" s="45"/>
      <c r="AB149" s="45"/>
      <c r="AC149" s="45"/>
      <c r="AD149" s="45"/>
      <c r="AE149" s="45"/>
      <c r="AF149" s="45"/>
      <c r="AG149" s="45"/>
      <c r="AH149" s="45"/>
    </row>
    <row r="150" spans="1:34" x14ac:dyDescent="0.25">
      <c r="C150" s="66"/>
      <c r="D150" s="520"/>
      <c r="E150" s="520"/>
      <c r="F150" s="520"/>
      <c r="G150" s="520"/>
      <c r="H150" s="520"/>
      <c r="I150" s="520"/>
      <c r="J150" s="520"/>
      <c r="K150" s="520"/>
      <c r="L150" s="520"/>
      <c r="M150" s="520"/>
      <c r="N150" s="520"/>
      <c r="O150" s="520"/>
      <c r="P150" s="520"/>
      <c r="Q150" s="520"/>
      <c r="R150" s="520"/>
      <c r="S150" s="520"/>
      <c r="T150" s="520"/>
      <c r="U150" s="520"/>
      <c r="V150" s="520"/>
      <c r="W150" s="45">
        <f t="shared" si="52"/>
        <v>0</v>
      </c>
      <c r="X150" s="45"/>
      <c r="Y150" s="45"/>
      <c r="Z150" s="45"/>
      <c r="AA150" s="45"/>
      <c r="AB150" s="45"/>
      <c r="AC150" s="45"/>
      <c r="AD150" s="45"/>
      <c r="AE150" s="45"/>
      <c r="AF150" s="45"/>
      <c r="AG150" s="45"/>
      <c r="AH150" s="45"/>
    </row>
    <row r="151" spans="1:34" x14ac:dyDescent="0.25">
      <c r="B151" s="9" t="s">
        <v>655</v>
      </c>
      <c r="C151" s="63">
        <f>SUM($C131:C150)</f>
        <v>0</v>
      </c>
      <c r="D151" s="103">
        <f t="shared" ref="D151:M151" si="70">SUM(D131:D150)</f>
        <v>0</v>
      </c>
      <c r="E151" s="103">
        <f t="shared" si="70"/>
        <v>0</v>
      </c>
      <c r="F151" s="103">
        <f t="shared" si="70"/>
        <v>0</v>
      </c>
      <c r="G151" s="103">
        <f t="shared" si="70"/>
        <v>0</v>
      </c>
      <c r="H151" s="103">
        <f t="shared" si="70"/>
        <v>0</v>
      </c>
      <c r="I151" s="103">
        <f t="shared" si="70"/>
        <v>0</v>
      </c>
      <c r="J151" s="103">
        <f t="shared" si="70"/>
        <v>0</v>
      </c>
      <c r="K151" s="103">
        <f t="shared" si="70"/>
        <v>0</v>
      </c>
      <c r="L151" s="103">
        <f t="shared" si="70"/>
        <v>0</v>
      </c>
      <c r="M151" s="103">
        <f t="shared" si="70"/>
        <v>0</v>
      </c>
      <c r="N151" s="103">
        <f t="shared" ref="N151:S151" si="71">SUM(N131:N150)</f>
        <v>0</v>
      </c>
      <c r="O151" s="103">
        <f t="shared" si="71"/>
        <v>0</v>
      </c>
      <c r="P151" s="103">
        <f t="shared" si="71"/>
        <v>0</v>
      </c>
      <c r="Q151" s="103">
        <f t="shared" si="71"/>
        <v>0</v>
      </c>
      <c r="R151" s="103">
        <f t="shared" si="71"/>
        <v>0</v>
      </c>
      <c r="S151" s="103">
        <f t="shared" si="71"/>
        <v>0</v>
      </c>
      <c r="T151" s="103">
        <f>SUM(T131:T150)</f>
        <v>0</v>
      </c>
      <c r="U151" s="103">
        <f t="shared" ref="U151:V151" si="72">SUM(U131:U150)</f>
        <v>0</v>
      </c>
      <c r="V151" s="103">
        <f t="shared" si="72"/>
        <v>0</v>
      </c>
      <c r="W151" s="45">
        <f>C151-SUM(D151:U151)</f>
        <v>0</v>
      </c>
      <c r="X151" s="45"/>
      <c r="Y151" s="45"/>
      <c r="Z151" s="45"/>
      <c r="AA151" s="45"/>
      <c r="AB151" s="45"/>
      <c r="AC151" s="45"/>
      <c r="AD151" s="45"/>
      <c r="AE151" s="45"/>
      <c r="AF151" s="45"/>
      <c r="AG151" s="45"/>
      <c r="AH151" s="45"/>
    </row>
    <row r="153" spans="1:34" s="1" customFormat="1" x14ac:dyDescent="0.25">
      <c r="C153" s="724" t="s">
        <v>797</v>
      </c>
      <c r="D153" s="725">
        <v>10</v>
      </c>
      <c r="E153" s="725">
        <v>11</v>
      </c>
      <c r="F153" s="725">
        <v>12</v>
      </c>
      <c r="G153" s="725">
        <v>13</v>
      </c>
      <c r="H153" s="725">
        <v>14</v>
      </c>
      <c r="I153" s="725">
        <v>15</v>
      </c>
      <c r="J153" s="725">
        <v>16</v>
      </c>
      <c r="K153" s="725">
        <v>17</v>
      </c>
      <c r="L153" s="725">
        <v>18</v>
      </c>
      <c r="M153" s="725">
        <v>19</v>
      </c>
      <c r="N153" s="725">
        <v>20</v>
      </c>
      <c r="O153" s="725">
        <v>21</v>
      </c>
      <c r="P153" s="725">
        <v>22</v>
      </c>
      <c r="Q153" s="725">
        <v>23</v>
      </c>
      <c r="R153" s="725">
        <v>24</v>
      </c>
      <c r="S153" s="725">
        <v>25</v>
      </c>
      <c r="T153" s="725">
        <v>26</v>
      </c>
      <c r="U153" s="725">
        <v>27</v>
      </c>
      <c r="V153" s="725">
        <v>28</v>
      </c>
    </row>
    <row r="154" spans="1:34" x14ac:dyDescent="0.25">
      <c r="B154" s="504" t="s">
        <v>731</v>
      </c>
      <c r="C154" s="505"/>
      <c r="D154" s="506">
        <f>SUM(D156)</f>
        <v>0</v>
      </c>
      <c r="E154" s="506">
        <f>SUM(D156,E157)</f>
        <v>0</v>
      </c>
      <c r="F154" s="506">
        <f>SUM(D156,E157,F158)</f>
        <v>0</v>
      </c>
      <c r="G154" s="506">
        <f>SUM(D156,E157,F158,G159)</f>
        <v>0</v>
      </c>
      <c r="H154" s="506">
        <f>SUM(D156,E157,F158,G159,H160)</f>
        <v>0</v>
      </c>
      <c r="I154" s="506">
        <f>SUM(D156,E157,F158,G159,H160,I161)</f>
        <v>0</v>
      </c>
      <c r="J154" s="506">
        <f>SUM(D156,E157,F158,G159,H160,I161,J162)</f>
        <v>0</v>
      </c>
      <c r="K154" s="506">
        <f>SUM(D156,E157,F158,G159,H160,I161,J162,K163)</f>
        <v>0</v>
      </c>
      <c r="L154" s="506">
        <f>SUM(D156,E157,F158,G159,H160,I161,J162,K163,L164)</f>
        <v>0</v>
      </c>
      <c r="M154" s="506">
        <f>SUM(D156,E157,F158,G159,H160,I161,J162,K163,L164,M165)</f>
        <v>0</v>
      </c>
      <c r="N154" s="506">
        <f>SUM(D156,E157,F158,G159,H160,I161,J162,K163,L164,M165,N166)</f>
        <v>0</v>
      </c>
      <c r="O154" s="507">
        <f>SUM(D156,E157,F158,G159,H160,I161,J162,K163,L164,M165,N166,O167)</f>
        <v>0</v>
      </c>
      <c r="P154" s="507">
        <f>SUM(D156,E157,F158,G159,H160,I161,J162,K163,L164,M165,N166,O167,P168)</f>
        <v>0</v>
      </c>
      <c r="Q154" s="507">
        <f>SUM(D156,E157,F158,G159,H160,I161,J162,K163,L164,M165,N166,O167,P168,Q169)</f>
        <v>1</v>
      </c>
      <c r="R154" s="507">
        <f>SUM(D156,E157,F158,G159,H160,I161,J162,K163,L164,M165,N166,O167,P168,Q169,R170)</f>
        <v>2</v>
      </c>
      <c r="S154" s="507">
        <f>SUM(D156,E157,F158,G159,H160,I161,J162,K163,L164,M165,N166,O167,P168,Q169,R170,S171)</f>
        <v>3</v>
      </c>
      <c r="T154" s="507">
        <f>SUM(D156,E157,F158,G159,H160,I161,J162,K163,L164,M165,N166,O167,P168,Q169,R170,S171,T172)</f>
        <v>4</v>
      </c>
      <c r="U154" s="507">
        <f t="shared" ref="U154:V154" si="73">SUM(E156,F157,G158,H159,I160,J161,K162,L163,M164,N165,O166,P167,Q168,R169,S170,T171,U172)</f>
        <v>0</v>
      </c>
      <c r="V154" s="507">
        <f t="shared" si="73"/>
        <v>0</v>
      </c>
      <c r="W154" s="727" t="s">
        <v>798</v>
      </c>
    </row>
    <row r="155" spans="1:34" x14ac:dyDescent="0.25">
      <c r="B155" s="508"/>
      <c r="C155" s="42" t="s">
        <v>733</v>
      </c>
      <c r="D155" s="44" t="s">
        <v>685</v>
      </c>
      <c r="E155" s="44" t="s">
        <v>686</v>
      </c>
      <c r="F155" s="44" t="s">
        <v>687</v>
      </c>
      <c r="G155" s="44" t="s">
        <v>711</v>
      </c>
      <c r="H155" s="44" t="s">
        <v>719</v>
      </c>
      <c r="I155" s="44" t="s">
        <v>444</v>
      </c>
      <c r="J155" s="44" t="s">
        <v>445</v>
      </c>
      <c r="K155" s="44" t="s">
        <v>722</v>
      </c>
      <c r="L155" s="44" t="s">
        <v>770</v>
      </c>
      <c r="M155" s="44" t="s">
        <v>790</v>
      </c>
      <c r="N155" s="44" t="s">
        <v>803</v>
      </c>
      <c r="O155" s="44" t="s">
        <v>804</v>
      </c>
      <c r="P155" s="44" t="s">
        <v>946</v>
      </c>
      <c r="Q155" s="44" t="s">
        <v>948</v>
      </c>
      <c r="R155" s="44" t="s">
        <v>949</v>
      </c>
      <c r="S155" s="44" t="s">
        <v>965</v>
      </c>
      <c r="T155" s="44" t="s">
        <v>966</v>
      </c>
      <c r="U155" s="44" t="s">
        <v>967</v>
      </c>
      <c r="V155" s="44" t="s">
        <v>968</v>
      </c>
      <c r="W155" s="727">
        <f>SUM(W156:W172)</f>
        <v>22</v>
      </c>
      <c r="X155" s="42" t="s">
        <v>796</v>
      </c>
    </row>
    <row r="156" spans="1:34" x14ac:dyDescent="0.25">
      <c r="A156" s="509">
        <v>10</v>
      </c>
      <c r="B156" s="510" t="b">
        <f>IF('REV Worksheet'!H$30=0,TRUE,FALSE)</f>
        <v>1</v>
      </c>
      <c r="C156" s="511">
        <f>IF(B156=TRUE,0,1)</f>
        <v>0</v>
      </c>
      <c r="D156" s="512">
        <f>IF($C156&gt;0,1,0)</f>
        <v>0</v>
      </c>
      <c r="E156" s="513"/>
      <c r="F156" s="513"/>
      <c r="G156" s="513"/>
      <c r="H156" s="513"/>
      <c r="I156" s="513"/>
      <c r="J156" s="514"/>
      <c r="K156" s="514"/>
      <c r="L156" s="514"/>
      <c r="M156" s="514"/>
      <c r="N156" s="514"/>
      <c r="O156" s="514"/>
      <c r="P156" s="514"/>
      <c r="Q156" s="514"/>
      <c r="R156" s="514"/>
      <c r="S156" s="514"/>
      <c r="T156" s="514"/>
      <c r="U156" s="514"/>
      <c r="V156" s="514"/>
      <c r="W156" s="722"/>
      <c r="X156" s="662">
        <f t="shared" ref="X156:X172" si="74">IF($A156&lt;$W$155,$W$155+$J$128,$A156+$J$128)</f>
        <v>27</v>
      </c>
    </row>
    <row r="157" spans="1:34" x14ac:dyDescent="0.25">
      <c r="A157" s="515">
        <v>11</v>
      </c>
      <c r="B157" s="516" t="b">
        <f>IF('REV Worksheet'!I$30=0,TRUE,FALSE)</f>
        <v>1</v>
      </c>
      <c r="C157" s="511">
        <f t="shared" ref="C157:C171" si="75">IF(B157=TRUE,0,1)</f>
        <v>0</v>
      </c>
      <c r="D157" s="517"/>
      <c r="E157" s="512">
        <f>IF($C157&gt;0,1,)</f>
        <v>0</v>
      </c>
      <c r="F157" s="513"/>
      <c r="G157" s="513"/>
      <c r="H157" s="513"/>
      <c r="I157" s="513"/>
      <c r="J157" s="514"/>
      <c r="K157" s="514"/>
      <c r="L157" s="514"/>
      <c r="M157" s="514"/>
      <c r="N157" s="514"/>
      <c r="O157" s="514"/>
      <c r="P157" s="514"/>
      <c r="Q157" s="514"/>
      <c r="R157" s="514"/>
      <c r="S157" s="514"/>
      <c r="T157" s="514"/>
      <c r="U157" s="514"/>
      <c r="V157" s="514"/>
      <c r="W157" s="517">
        <f>IF(E157-D156=1,E$153,0)</f>
        <v>0</v>
      </c>
      <c r="X157" s="662">
        <f t="shared" si="74"/>
        <v>27</v>
      </c>
    </row>
    <row r="158" spans="1:34" x14ac:dyDescent="0.25">
      <c r="A158" s="515">
        <v>12</v>
      </c>
      <c r="B158" s="516" t="b">
        <f>IF('REV Worksheet'!J$30=0,TRUE,FALSE)</f>
        <v>1</v>
      </c>
      <c r="C158" s="511">
        <f t="shared" si="75"/>
        <v>0</v>
      </c>
      <c r="D158" s="517"/>
      <c r="E158" s="517"/>
      <c r="F158" s="512">
        <f>IF($C158&gt;0,1,0)</f>
        <v>0</v>
      </c>
      <c r="G158" s="513"/>
      <c r="H158" s="513"/>
      <c r="I158" s="513"/>
      <c r="J158" s="514"/>
      <c r="K158" s="514"/>
      <c r="L158" s="514"/>
      <c r="M158" s="514"/>
      <c r="N158" s="514"/>
      <c r="O158" s="514"/>
      <c r="P158" s="514"/>
      <c r="Q158" s="514"/>
      <c r="R158" s="514"/>
      <c r="S158" s="514"/>
      <c r="T158" s="514"/>
      <c r="U158" s="514"/>
      <c r="V158" s="514"/>
      <c r="W158" s="517">
        <f>IF(F158-E157=1,F$153,0)</f>
        <v>0</v>
      </c>
      <c r="X158" s="662">
        <f t="shared" si="74"/>
        <v>27</v>
      </c>
    </row>
    <row r="159" spans="1:34" x14ac:dyDescent="0.25">
      <c r="A159" s="515">
        <v>13</v>
      </c>
      <c r="B159" s="516" t="b">
        <f>IF('REV Worksheet'!K$30=0,TRUE,FALSE)</f>
        <v>1</v>
      </c>
      <c r="C159" s="511">
        <f t="shared" si="75"/>
        <v>0</v>
      </c>
      <c r="D159" s="517"/>
      <c r="E159" s="517"/>
      <c r="F159" s="517"/>
      <c r="G159" s="512">
        <f>IF($C159&gt;0,1,0)</f>
        <v>0</v>
      </c>
      <c r="H159" s="513"/>
      <c r="I159" s="513"/>
      <c r="J159" s="514"/>
      <c r="K159" s="514"/>
      <c r="L159" s="514"/>
      <c r="M159" s="514"/>
      <c r="N159" s="514"/>
      <c r="O159" s="514"/>
      <c r="P159" s="514"/>
      <c r="Q159" s="514"/>
      <c r="R159" s="514"/>
      <c r="S159" s="514"/>
      <c r="T159" s="514"/>
      <c r="U159" s="514"/>
      <c r="V159" s="514"/>
      <c r="W159" s="517">
        <f>IF(G159-F158=1,G$153,0)</f>
        <v>0</v>
      </c>
      <c r="X159" s="662">
        <f t="shared" si="74"/>
        <v>27</v>
      </c>
    </row>
    <row r="160" spans="1:34" x14ac:dyDescent="0.25">
      <c r="A160" s="515">
        <v>14</v>
      </c>
      <c r="B160" s="516" t="b">
        <f>IF('REV Worksheet'!L$30=0,TRUE,FALSE)</f>
        <v>1</v>
      </c>
      <c r="C160" s="511">
        <f t="shared" si="75"/>
        <v>0</v>
      </c>
      <c r="D160" s="517"/>
      <c r="E160" s="517"/>
      <c r="F160" s="517"/>
      <c r="G160" s="517"/>
      <c r="H160" s="512">
        <f>IF($C160&gt;0,1,0)</f>
        <v>0</v>
      </c>
      <c r="I160" s="513"/>
      <c r="J160" s="514"/>
      <c r="K160" s="514"/>
      <c r="L160" s="514"/>
      <c r="M160" s="514"/>
      <c r="N160" s="514"/>
      <c r="O160" s="514"/>
      <c r="P160" s="514"/>
      <c r="Q160" s="514"/>
      <c r="R160" s="514"/>
      <c r="S160" s="514"/>
      <c r="T160" s="514"/>
      <c r="U160" s="514"/>
      <c r="V160" s="514"/>
      <c r="W160" s="517">
        <f>IF(H160-G159=1,H$153,0)</f>
        <v>0</v>
      </c>
      <c r="X160" s="662">
        <f t="shared" si="74"/>
        <v>27</v>
      </c>
    </row>
    <row r="161" spans="1:24" x14ac:dyDescent="0.25">
      <c r="A161" s="515">
        <v>15</v>
      </c>
      <c r="B161" s="516" t="b">
        <f>IF('REV Worksheet'!M$30=0,TRUE,FALSE)</f>
        <v>1</v>
      </c>
      <c r="C161" s="511">
        <f t="shared" si="75"/>
        <v>0</v>
      </c>
      <c r="D161" s="517"/>
      <c r="E161" s="517"/>
      <c r="F161" s="517"/>
      <c r="G161" s="517"/>
      <c r="H161" s="517"/>
      <c r="I161" s="512">
        <f>IF($C161&gt;0,1,0)</f>
        <v>0</v>
      </c>
      <c r="J161" s="514"/>
      <c r="K161" s="514"/>
      <c r="L161" s="514"/>
      <c r="M161" s="514"/>
      <c r="N161" s="514"/>
      <c r="O161" s="514"/>
      <c r="P161" s="514"/>
      <c r="Q161" s="514"/>
      <c r="R161" s="514"/>
      <c r="S161" s="514"/>
      <c r="T161" s="514"/>
      <c r="U161" s="514"/>
      <c r="V161" s="514"/>
      <c r="W161" s="517">
        <f>IF(I161-H160=1,I$153,0)</f>
        <v>0</v>
      </c>
      <c r="X161" s="662">
        <f t="shared" si="74"/>
        <v>27</v>
      </c>
    </row>
    <row r="162" spans="1:24" x14ac:dyDescent="0.25">
      <c r="A162" s="515">
        <v>16</v>
      </c>
      <c r="B162" s="516" t="b">
        <f>IF('REV Worksheet'!N$30=0,TRUE,FALSE)</f>
        <v>1</v>
      </c>
      <c r="C162" s="511">
        <f t="shared" si="75"/>
        <v>0</v>
      </c>
      <c r="D162" s="517"/>
      <c r="E162" s="517"/>
      <c r="F162" s="517"/>
      <c r="G162" s="517"/>
      <c r="H162" s="517"/>
      <c r="I162" s="517"/>
      <c r="J162" s="512">
        <f>IF($C162&gt;0,1,0)</f>
        <v>0</v>
      </c>
      <c r="K162" s="514"/>
      <c r="L162" s="514"/>
      <c r="M162" s="514"/>
      <c r="N162" s="514"/>
      <c r="O162" s="514"/>
      <c r="P162" s="514"/>
      <c r="Q162" s="514"/>
      <c r="R162" s="514"/>
      <c r="S162" s="514"/>
      <c r="T162" s="514"/>
      <c r="U162" s="514"/>
      <c r="V162" s="514"/>
      <c r="W162" s="517">
        <f>IF(J162-I161=1,J$153,0)</f>
        <v>0</v>
      </c>
      <c r="X162" s="662">
        <f t="shared" si="74"/>
        <v>27</v>
      </c>
    </row>
    <row r="163" spans="1:24" x14ac:dyDescent="0.25">
      <c r="A163" s="515">
        <v>17</v>
      </c>
      <c r="B163" s="516" t="b">
        <f>IF('REV Worksheet'!O$30=0,TRUE,FALSE)</f>
        <v>1</v>
      </c>
      <c r="C163" s="511">
        <f t="shared" si="75"/>
        <v>0</v>
      </c>
      <c r="D163" s="517"/>
      <c r="E163" s="517"/>
      <c r="F163" s="517"/>
      <c r="G163" s="517"/>
      <c r="H163" s="517"/>
      <c r="I163" s="517"/>
      <c r="J163" s="517"/>
      <c r="K163" s="512">
        <f>IF($C163&gt;0,1,0)</f>
        <v>0</v>
      </c>
      <c r="L163" s="514"/>
      <c r="M163" s="514"/>
      <c r="N163" s="514"/>
      <c r="O163" s="514"/>
      <c r="P163" s="514"/>
      <c r="Q163" s="514"/>
      <c r="R163" s="514"/>
      <c r="S163" s="514"/>
      <c r="T163" s="514"/>
      <c r="U163" s="514"/>
      <c r="V163" s="514"/>
      <c r="W163" s="517">
        <f>IF(K163-J162=1,K$153,0)</f>
        <v>0</v>
      </c>
      <c r="X163" s="662">
        <f t="shared" si="74"/>
        <v>27</v>
      </c>
    </row>
    <row r="164" spans="1:24" x14ac:dyDescent="0.25">
      <c r="A164" s="515">
        <v>18</v>
      </c>
      <c r="B164" s="516" t="b">
        <f>IF('REV Worksheet'!P$30=0,TRUE,FALSE)</f>
        <v>1</v>
      </c>
      <c r="C164" s="511">
        <f t="shared" si="75"/>
        <v>0</v>
      </c>
      <c r="D164" s="517"/>
      <c r="E164" s="517"/>
      <c r="F164" s="517"/>
      <c r="G164" s="517"/>
      <c r="H164" s="517"/>
      <c r="I164" s="517"/>
      <c r="J164" s="517"/>
      <c r="K164" s="517"/>
      <c r="L164" s="512">
        <f>IF($C164&gt;0,1,0)</f>
        <v>0</v>
      </c>
      <c r="M164" s="514"/>
      <c r="N164" s="514"/>
      <c r="O164" s="514"/>
      <c r="P164" s="514"/>
      <c r="Q164" s="514"/>
      <c r="R164" s="514"/>
      <c r="S164" s="514"/>
      <c r="T164" s="514"/>
      <c r="U164" s="514"/>
      <c r="V164" s="514"/>
      <c r="W164" s="517">
        <f>IF(L164-K163=1,L$153,0)</f>
        <v>0</v>
      </c>
      <c r="X164" s="662">
        <f t="shared" si="74"/>
        <v>27</v>
      </c>
    </row>
    <row r="165" spans="1:24" x14ac:dyDescent="0.25">
      <c r="A165" s="515">
        <v>19</v>
      </c>
      <c r="B165" s="516" t="b">
        <f>IF('REV Worksheet'!Q$30=0,TRUE,FALSE)</f>
        <v>1</v>
      </c>
      <c r="C165" s="511">
        <f t="shared" si="75"/>
        <v>0</v>
      </c>
      <c r="D165" s="517"/>
      <c r="E165" s="517"/>
      <c r="F165" s="517"/>
      <c r="G165" s="517"/>
      <c r="H165" s="517"/>
      <c r="I165" s="517"/>
      <c r="J165" s="517"/>
      <c r="K165" s="517"/>
      <c r="L165" s="517"/>
      <c r="M165" s="512">
        <f>IF($C165&gt;0,1,0)</f>
        <v>0</v>
      </c>
      <c r="N165" s="514"/>
      <c r="O165" s="514"/>
      <c r="P165" s="514"/>
      <c r="Q165" s="514"/>
      <c r="R165" s="514"/>
      <c r="S165" s="514"/>
      <c r="T165" s="514"/>
      <c r="U165" s="514"/>
      <c r="V165" s="514"/>
      <c r="W165" s="517">
        <f>IF(M165-L164=1,M$153,0)</f>
        <v>0</v>
      </c>
      <c r="X165" s="662">
        <f t="shared" si="74"/>
        <v>27</v>
      </c>
    </row>
    <row r="166" spans="1:24" x14ac:dyDescent="0.25">
      <c r="A166" s="515">
        <v>20</v>
      </c>
      <c r="B166" s="516" t="b">
        <f>IF('REV Worksheet'!R$30=0,TRUE,FALSE)</f>
        <v>1</v>
      </c>
      <c r="C166" s="511">
        <f t="shared" si="75"/>
        <v>0</v>
      </c>
      <c r="D166" s="517"/>
      <c r="E166" s="517"/>
      <c r="F166" s="517"/>
      <c r="G166" s="517"/>
      <c r="H166" s="517"/>
      <c r="I166" s="517"/>
      <c r="J166" s="517"/>
      <c r="K166" s="517"/>
      <c r="L166" s="517"/>
      <c r="M166" s="517"/>
      <c r="N166" s="512">
        <f>IF($C166&gt;0,1,0)</f>
        <v>0</v>
      </c>
      <c r="O166" s="514"/>
      <c r="P166" s="514"/>
      <c r="Q166" s="514"/>
      <c r="R166" s="514"/>
      <c r="S166" s="514"/>
      <c r="T166" s="514"/>
      <c r="U166" s="514"/>
      <c r="V166" s="514"/>
      <c r="W166" s="517">
        <f>IF(N166-M165=1,N$153,0)</f>
        <v>0</v>
      </c>
      <c r="X166" s="662">
        <f t="shared" si="74"/>
        <v>27</v>
      </c>
    </row>
    <row r="167" spans="1:24" x14ac:dyDescent="0.25">
      <c r="A167" s="515">
        <v>21</v>
      </c>
      <c r="B167" s="516" t="b">
        <f>IF('REV Worksheet'!S$30=0,TRUE,FALSE)</f>
        <v>1</v>
      </c>
      <c r="C167" s="511">
        <f t="shared" si="75"/>
        <v>0</v>
      </c>
      <c r="D167" s="517"/>
      <c r="E167" s="517"/>
      <c r="F167" s="517"/>
      <c r="G167" s="517"/>
      <c r="H167" s="517"/>
      <c r="I167" s="517"/>
      <c r="J167" s="517"/>
      <c r="K167" s="517"/>
      <c r="L167" s="517"/>
      <c r="M167" s="517"/>
      <c r="N167" s="517"/>
      <c r="O167" s="512">
        <f>IF($C167&gt;0,1,0)</f>
        <v>0</v>
      </c>
      <c r="P167" s="514"/>
      <c r="Q167" s="514"/>
      <c r="R167" s="514"/>
      <c r="S167" s="514"/>
      <c r="T167" s="514"/>
      <c r="U167" s="514"/>
      <c r="V167" s="514"/>
      <c r="W167" s="517">
        <f>IF(O167-N166=1,O$153,0)</f>
        <v>0</v>
      </c>
      <c r="X167" s="662">
        <f t="shared" si="74"/>
        <v>27</v>
      </c>
    </row>
    <row r="168" spans="1:24" x14ac:dyDescent="0.25">
      <c r="A168" s="515">
        <v>22</v>
      </c>
      <c r="B168" s="516" t="b">
        <f>IF('REV Worksheet'!T$30=0,TRUE,FALSE)</f>
        <v>1</v>
      </c>
      <c r="C168" s="511">
        <f t="shared" si="75"/>
        <v>0</v>
      </c>
      <c r="D168" s="517"/>
      <c r="E168" s="517"/>
      <c r="F168" s="517"/>
      <c r="G168" s="517"/>
      <c r="H168" s="517"/>
      <c r="I168" s="517"/>
      <c r="J168" s="517"/>
      <c r="K168" s="517"/>
      <c r="L168" s="517"/>
      <c r="M168" s="517"/>
      <c r="N168" s="517"/>
      <c r="O168" s="517"/>
      <c r="P168" s="512">
        <f>IF($C168&gt;0,1,0)</f>
        <v>0</v>
      </c>
      <c r="Q168" s="514"/>
      <c r="R168" s="514"/>
      <c r="S168" s="514"/>
      <c r="T168" s="514"/>
      <c r="U168" s="514"/>
      <c r="V168" s="514"/>
      <c r="W168" s="517">
        <f>IF(P168-O167=1,P$153,0)</f>
        <v>0</v>
      </c>
      <c r="X168" s="662">
        <f t="shared" si="74"/>
        <v>27</v>
      </c>
    </row>
    <row r="169" spans="1:24" x14ac:dyDescent="0.25">
      <c r="A169" s="515">
        <v>23</v>
      </c>
      <c r="B169" s="516" t="b">
        <f>IF('REV Worksheet'!U$30=0,TRUE,FALSE)</f>
        <v>0</v>
      </c>
      <c r="C169" s="511">
        <f t="shared" si="75"/>
        <v>1</v>
      </c>
      <c r="D169" s="517"/>
      <c r="E169" s="517"/>
      <c r="F169" s="517"/>
      <c r="G169" s="517"/>
      <c r="H169" s="517"/>
      <c r="I169" s="517"/>
      <c r="J169" s="517"/>
      <c r="K169" s="517"/>
      <c r="L169" s="517"/>
      <c r="M169" s="517"/>
      <c r="N169" s="517"/>
      <c r="O169" s="517"/>
      <c r="P169" s="517"/>
      <c r="Q169" s="512">
        <f>IF($C169&gt;0,1,0)</f>
        <v>1</v>
      </c>
      <c r="R169" s="514"/>
      <c r="S169" s="514"/>
      <c r="T169" s="514"/>
      <c r="U169" s="514"/>
      <c r="V169" s="514"/>
      <c r="W169" s="517">
        <f>IF(Q169-P168=1,P$153,0)</f>
        <v>22</v>
      </c>
      <c r="X169" s="662">
        <f t="shared" si="74"/>
        <v>28</v>
      </c>
    </row>
    <row r="170" spans="1:24" x14ac:dyDescent="0.25">
      <c r="A170" s="515">
        <v>24</v>
      </c>
      <c r="B170" s="516" t="b">
        <f>IF('REV Worksheet'!V$30=0,TRUE,FALSE)</f>
        <v>0</v>
      </c>
      <c r="C170" s="511">
        <f>IF(B170=TRUE,0,1)</f>
        <v>1</v>
      </c>
      <c r="D170" s="517"/>
      <c r="E170" s="517"/>
      <c r="F170" s="517"/>
      <c r="G170" s="517"/>
      <c r="H170" s="517"/>
      <c r="I170" s="517"/>
      <c r="J170" s="517"/>
      <c r="K170" s="517"/>
      <c r="L170" s="517"/>
      <c r="M170" s="517"/>
      <c r="N170" s="517"/>
      <c r="O170" s="517"/>
      <c r="P170" s="517"/>
      <c r="Q170" s="517"/>
      <c r="R170" s="512">
        <f>IF($C170&gt;0,1,0)</f>
        <v>1</v>
      </c>
      <c r="S170" s="514"/>
      <c r="T170" s="514"/>
      <c r="U170" s="514"/>
      <c r="V170" s="514"/>
      <c r="W170" s="517">
        <f>IF(R170-Q169=1,P$153,0)</f>
        <v>0</v>
      </c>
      <c r="X170" s="662">
        <f t="shared" si="74"/>
        <v>29</v>
      </c>
    </row>
    <row r="171" spans="1:24" x14ac:dyDescent="0.25">
      <c r="A171" s="515">
        <v>25</v>
      </c>
      <c r="B171" s="516" t="b">
        <f>IF('REV Worksheet'!W$30=0,TRUE,FALSE)</f>
        <v>0</v>
      </c>
      <c r="C171" s="511">
        <f t="shared" si="75"/>
        <v>1</v>
      </c>
      <c r="D171" s="517"/>
      <c r="E171" s="517"/>
      <c r="F171" s="517"/>
      <c r="G171" s="517"/>
      <c r="H171" s="517"/>
      <c r="I171" s="517"/>
      <c r="J171" s="517"/>
      <c r="K171" s="517"/>
      <c r="L171" s="517"/>
      <c r="M171" s="517"/>
      <c r="N171" s="517"/>
      <c r="O171" s="517"/>
      <c r="P171" s="517"/>
      <c r="Q171" s="517"/>
      <c r="R171" s="517"/>
      <c r="S171" s="512">
        <f>IF($C171&gt;0,1,0)</f>
        <v>1</v>
      </c>
      <c r="T171" s="514"/>
      <c r="U171" s="514"/>
      <c r="V171" s="514"/>
      <c r="W171" s="517">
        <f>IF(S171-R170=1,P$153,0)</f>
        <v>0</v>
      </c>
      <c r="X171" s="662">
        <f t="shared" si="74"/>
        <v>30</v>
      </c>
    </row>
    <row r="172" spans="1:24" x14ac:dyDescent="0.25">
      <c r="A172" s="515">
        <v>26</v>
      </c>
      <c r="B172" s="516" t="b">
        <f>IF('REV Worksheet'!W$30=0,TRUE,FALSE)</f>
        <v>0</v>
      </c>
      <c r="C172" s="511">
        <f>IF(B172=TRUE,0,1)</f>
        <v>1</v>
      </c>
      <c r="D172" s="517"/>
      <c r="E172" s="517"/>
      <c r="F172" s="517"/>
      <c r="G172" s="517"/>
      <c r="H172" s="517"/>
      <c r="I172" s="517"/>
      <c r="J172" s="517"/>
      <c r="K172" s="517"/>
      <c r="L172" s="517"/>
      <c r="M172" s="517"/>
      <c r="N172" s="517"/>
      <c r="O172" s="517"/>
      <c r="P172" s="517"/>
      <c r="Q172" s="517"/>
      <c r="R172" s="517"/>
      <c r="S172" s="517"/>
      <c r="T172" s="512">
        <f>IF($C172&gt;0,1,0)</f>
        <v>1</v>
      </c>
      <c r="U172" s="514"/>
      <c r="V172" s="514"/>
      <c r="W172" s="517">
        <f>IF(S172-R171=1,P$153,0)</f>
        <v>0</v>
      </c>
      <c r="X172" s="662">
        <f t="shared" si="74"/>
        <v>31</v>
      </c>
    </row>
    <row r="173" spans="1:24" x14ac:dyDescent="0.25">
      <c r="A173" s="515">
        <v>27</v>
      </c>
      <c r="B173" s="516" t="b">
        <f>IF('REV Worksheet'!W$30=0,TRUE,FALSE)</f>
        <v>0</v>
      </c>
      <c r="C173" s="511">
        <f t="shared" ref="C173:C174" si="76">IF(B173=TRUE,0,1)</f>
        <v>1</v>
      </c>
      <c r="D173" s="517"/>
      <c r="E173" s="517"/>
      <c r="F173" s="517"/>
      <c r="G173" s="517"/>
      <c r="H173" s="517"/>
      <c r="I173" s="517"/>
      <c r="J173" s="517"/>
      <c r="K173" s="517"/>
      <c r="L173" s="517"/>
      <c r="M173" s="517"/>
      <c r="N173" s="517"/>
      <c r="O173" s="517"/>
      <c r="P173" s="517"/>
      <c r="Q173" s="517"/>
      <c r="R173" s="517"/>
      <c r="S173" s="517"/>
      <c r="T173" s="517"/>
      <c r="U173" s="512">
        <f t="shared" ref="U173:V174" si="77">IF($C173&gt;0,1,0)</f>
        <v>1</v>
      </c>
      <c r="V173" s="514"/>
      <c r="W173" s="517">
        <f t="shared" ref="W173:W174" si="78">IF(S173-R172=1,P$153,0)</f>
        <v>0</v>
      </c>
      <c r="X173" s="662">
        <f t="shared" ref="X173:X174" si="79">IF($A173&lt;$W$155,$W$155+$J$128,$A173+$J$128)</f>
        <v>32</v>
      </c>
    </row>
    <row r="174" spans="1:24" x14ac:dyDescent="0.25">
      <c r="A174" s="508">
        <v>28</v>
      </c>
      <c r="B174" s="518" t="b">
        <f>IF('REV Worksheet'!W$30=0,TRUE,FALSE)</f>
        <v>0</v>
      </c>
      <c r="C174" s="511">
        <f t="shared" si="76"/>
        <v>1</v>
      </c>
      <c r="D174" s="517"/>
      <c r="E174" s="517"/>
      <c r="F174" s="517"/>
      <c r="G174" s="517"/>
      <c r="H174" s="517"/>
      <c r="I174" s="517"/>
      <c r="J174" s="517"/>
      <c r="K174" s="517"/>
      <c r="L174" s="517"/>
      <c r="M174" s="517"/>
      <c r="N174" s="517"/>
      <c r="O174" s="517"/>
      <c r="P174" s="517"/>
      <c r="Q174" s="517"/>
      <c r="R174" s="517"/>
      <c r="S174" s="517"/>
      <c r="T174" s="517"/>
      <c r="U174" s="517"/>
      <c r="V174" s="512">
        <f t="shared" si="77"/>
        <v>1</v>
      </c>
      <c r="W174" s="517">
        <f t="shared" si="78"/>
        <v>0</v>
      </c>
      <c r="X174" s="662">
        <f t="shared" si="79"/>
        <v>33</v>
      </c>
    </row>
    <row r="175" spans="1:24" s="18" customFormat="1" x14ac:dyDescent="0.25">
      <c r="A175" s="6"/>
      <c r="B175" s="728"/>
      <c r="C175" s="729"/>
      <c r="D175" s="96"/>
      <c r="E175" s="96"/>
      <c r="F175" s="96"/>
      <c r="G175" s="96"/>
      <c r="H175" s="96"/>
      <c r="I175" s="96"/>
      <c r="J175" s="96"/>
      <c r="K175" s="96"/>
      <c r="L175" s="96"/>
      <c r="M175" s="96"/>
      <c r="N175" s="96"/>
      <c r="O175" s="96"/>
      <c r="P175" s="96"/>
      <c r="Q175" s="729"/>
      <c r="R175" s="96"/>
      <c r="S175" s="6"/>
      <c r="T175" s="6"/>
    </row>
    <row r="176" spans="1:24" x14ac:dyDescent="0.25">
      <c r="D176" s="18"/>
      <c r="E176" s="18"/>
      <c r="F176" s="18"/>
      <c r="G176" s="18"/>
      <c r="H176" s="18"/>
      <c r="I176" s="18"/>
      <c r="J176" s="18"/>
      <c r="K176" s="18"/>
      <c r="L176" s="18"/>
      <c r="M176" s="18"/>
    </row>
    <row r="177" spans="2:22" x14ac:dyDescent="0.25">
      <c r="B177" s="504" t="s">
        <v>731</v>
      </c>
      <c r="C177" s="501" t="s">
        <v>797</v>
      </c>
      <c r="D177" s="501" t="s">
        <v>656</v>
      </c>
      <c r="E177" s="501" t="s">
        <v>657</v>
      </c>
      <c r="F177" s="501" t="s">
        <v>658</v>
      </c>
      <c r="G177" s="501" t="s">
        <v>684</v>
      </c>
      <c r="H177" s="501" t="s">
        <v>685</v>
      </c>
      <c r="I177" s="501" t="s">
        <v>686</v>
      </c>
      <c r="J177" s="501" t="s">
        <v>687</v>
      </c>
      <c r="K177" s="501" t="s">
        <v>711</v>
      </c>
      <c r="L177" s="501" t="s">
        <v>719</v>
      </c>
      <c r="M177" s="501" t="s">
        <v>444</v>
      </c>
      <c r="N177" s="501" t="s">
        <v>445</v>
      </c>
      <c r="O177" s="501" t="s">
        <v>722</v>
      </c>
      <c r="P177" s="501" t="s">
        <v>770</v>
      </c>
      <c r="Q177" s="501" t="s">
        <v>790</v>
      </c>
      <c r="R177" s="501" t="s">
        <v>803</v>
      </c>
      <c r="S177" s="501" t="s">
        <v>804</v>
      </c>
      <c r="T177" s="501" t="s">
        <v>946</v>
      </c>
      <c r="U177" s="501" t="s">
        <v>948</v>
      </c>
      <c r="V177" s="501" t="s">
        <v>949</v>
      </c>
    </row>
    <row r="178" spans="2:22" x14ac:dyDescent="0.25">
      <c r="B178" s="509">
        <v>10</v>
      </c>
      <c r="C178" s="947" t="s">
        <v>685</v>
      </c>
      <c r="D178" s="726" t="b">
        <f>D$153&gt;=$B178</f>
        <v>1</v>
      </c>
      <c r="E178" s="726" t="b">
        <f t="shared" ref="D178:T193" si="80">E$153&gt;=$B178</f>
        <v>1</v>
      </c>
      <c r="F178" s="726" t="b">
        <f t="shared" si="80"/>
        <v>1</v>
      </c>
      <c r="G178" s="726" t="b">
        <f t="shared" si="80"/>
        <v>1</v>
      </c>
      <c r="H178" s="726" t="b">
        <f t="shared" si="80"/>
        <v>1</v>
      </c>
      <c r="I178" s="726" t="b">
        <f t="shared" si="80"/>
        <v>1</v>
      </c>
      <c r="J178" s="726" t="b">
        <f t="shared" si="80"/>
        <v>1</v>
      </c>
      <c r="K178" s="726" t="b">
        <f t="shared" si="80"/>
        <v>1</v>
      </c>
      <c r="L178" s="726" t="b">
        <f t="shared" si="80"/>
        <v>1</v>
      </c>
      <c r="M178" s="726" t="b">
        <f t="shared" si="80"/>
        <v>1</v>
      </c>
      <c r="N178" s="726" t="b">
        <f t="shared" si="80"/>
        <v>1</v>
      </c>
      <c r="O178" s="726" t="b">
        <f t="shared" si="80"/>
        <v>1</v>
      </c>
      <c r="P178" s="726" t="b">
        <f t="shared" si="80"/>
        <v>1</v>
      </c>
      <c r="Q178" s="726" t="b">
        <f>Q$153&gt;=$B178</f>
        <v>1</v>
      </c>
      <c r="R178" s="726" t="b">
        <f t="shared" si="80"/>
        <v>1</v>
      </c>
      <c r="S178" s="726" t="b">
        <f>S$153&gt;=$B178</f>
        <v>1</v>
      </c>
      <c r="T178" s="726" t="b">
        <f>T$153&gt;=$B178</f>
        <v>1</v>
      </c>
      <c r="U178" s="726" t="b">
        <f t="shared" ref="U178:V185" si="81">U$153&gt;=$B178</f>
        <v>1</v>
      </c>
      <c r="V178" s="726" t="b">
        <f t="shared" si="81"/>
        <v>1</v>
      </c>
    </row>
    <row r="179" spans="2:22" x14ac:dyDescent="0.25">
      <c r="B179" s="515">
        <v>11</v>
      </c>
      <c r="C179" s="948" t="s">
        <v>686</v>
      </c>
      <c r="D179" s="721" t="b">
        <f>D$153&gt;=$B179</f>
        <v>0</v>
      </c>
      <c r="E179" s="721" t="b">
        <f t="shared" si="80"/>
        <v>1</v>
      </c>
      <c r="F179" s="721" t="b">
        <f t="shared" si="80"/>
        <v>1</v>
      </c>
      <c r="G179" s="721" t="b">
        <f t="shared" si="80"/>
        <v>1</v>
      </c>
      <c r="H179" s="721" t="b">
        <f t="shared" si="80"/>
        <v>1</v>
      </c>
      <c r="I179" s="721" t="b">
        <f t="shared" si="80"/>
        <v>1</v>
      </c>
      <c r="J179" s="721" t="b">
        <f t="shared" si="80"/>
        <v>1</v>
      </c>
      <c r="K179" s="721" t="b">
        <f t="shared" si="80"/>
        <v>1</v>
      </c>
      <c r="L179" s="721" t="b">
        <f t="shared" si="80"/>
        <v>1</v>
      </c>
      <c r="M179" s="721" t="b">
        <f t="shared" si="80"/>
        <v>1</v>
      </c>
      <c r="N179" s="721" t="b">
        <f t="shared" si="80"/>
        <v>1</v>
      </c>
      <c r="O179" s="721" t="b">
        <f t="shared" si="80"/>
        <v>1</v>
      </c>
      <c r="P179" s="721" t="b">
        <f t="shared" si="80"/>
        <v>1</v>
      </c>
      <c r="Q179" s="721" t="b">
        <f t="shared" si="80"/>
        <v>1</v>
      </c>
      <c r="R179" s="721" t="b">
        <f t="shared" si="80"/>
        <v>1</v>
      </c>
      <c r="S179" s="721" t="b">
        <f t="shared" si="80"/>
        <v>1</v>
      </c>
      <c r="T179" s="721" t="b">
        <f t="shared" si="80"/>
        <v>1</v>
      </c>
      <c r="U179" s="721" t="b">
        <f t="shared" si="81"/>
        <v>1</v>
      </c>
      <c r="V179" s="721" t="b">
        <f t="shared" si="81"/>
        <v>1</v>
      </c>
    </row>
    <row r="180" spans="2:22" x14ac:dyDescent="0.25">
      <c r="B180" s="515">
        <v>12</v>
      </c>
      <c r="C180" s="948" t="s">
        <v>687</v>
      </c>
      <c r="D180" s="721" t="b">
        <f t="shared" si="80"/>
        <v>0</v>
      </c>
      <c r="E180" s="721" t="b">
        <f t="shared" si="80"/>
        <v>0</v>
      </c>
      <c r="F180" s="721" t="b">
        <f t="shared" si="80"/>
        <v>1</v>
      </c>
      <c r="G180" s="721" t="b">
        <f t="shared" si="80"/>
        <v>1</v>
      </c>
      <c r="H180" s="721" t="b">
        <f t="shared" si="80"/>
        <v>1</v>
      </c>
      <c r="I180" s="721" t="b">
        <f t="shared" si="80"/>
        <v>1</v>
      </c>
      <c r="J180" s="721" t="b">
        <f>J$153&gt;=$B180</f>
        <v>1</v>
      </c>
      <c r="K180" s="721" t="b">
        <f t="shared" si="80"/>
        <v>1</v>
      </c>
      <c r="L180" s="721" t="b">
        <f t="shared" si="80"/>
        <v>1</v>
      </c>
      <c r="M180" s="721" t="b">
        <f t="shared" si="80"/>
        <v>1</v>
      </c>
      <c r="N180" s="721" t="b">
        <f t="shared" si="80"/>
        <v>1</v>
      </c>
      <c r="O180" s="721" t="b">
        <f t="shared" si="80"/>
        <v>1</v>
      </c>
      <c r="P180" s="721" t="b">
        <f t="shared" si="80"/>
        <v>1</v>
      </c>
      <c r="Q180" s="721" t="b">
        <f t="shared" si="80"/>
        <v>1</v>
      </c>
      <c r="R180" s="721" t="b">
        <f t="shared" si="80"/>
        <v>1</v>
      </c>
      <c r="S180" s="721" t="b">
        <f t="shared" si="80"/>
        <v>1</v>
      </c>
      <c r="T180" s="721" t="b">
        <f t="shared" si="80"/>
        <v>1</v>
      </c>
      <c r="U180" s="721" t="b">
        <f t="shared" si="81"/>
        <v>1</v>
      </c>
      <c r="V180" s="721" t="b">
        <f t="shared" si="81"/>
        <v>1</v>
      </c>
    </row>
    <row r="181" spans="2:22" x14ac:dyDescent="0.25">
      <c r="B181" s="515">
        <v>13</v>
      </c>
      <c r="C181" s="948" t="s">
        <v>711</v>
      </c>
      <c r="D181" s="721" t="b">
        <f t="shared" si="80"/>
        <v>0</v>
      </c>
      <c r="E181" s="721" t="b">
        <f t="shared" si="80"/>
        <v>0</v>
      </c>
      <c r="F181" s="721" t="b">
        <f t="shared" si="80"/>
        <v>0</v>
      </c>
      <c r="G181" s="721" t="b">
        <f t="shared" si="80"/>
        <v>1</v>
      </c>
      <c r="H181" s="721" t="b">
        <f t="shared" si="80"/>
        <v>1</v>
      </c>
      <c r="I181" s="721" t="b">
        <f t="shared" si="80"/>
        <v>1</v>
      </c>
      <c r="J181" s="721" t="b">
        <f t="shared" si="80"/>
        <v>1</v>
      </c>
      <c r="K181" s="721" t="b">
        <f t="shared" si="80"/>
        <v>1</v>
      </c>
      <c r="L181" s="721" t="b">
        <f t="shared" si="80"/>
        <v>1</v>
      </c>
      <c r="M181" s="721" t="b">
        <f t="shared" si="80"/>
        <v>1</v>
      </c>
      <c r="N181" s="721" t="b">
        <f t="shared" si="80"/>
        <v>1</v>
      </c>
      <c r="O181" s="721" t="b">
        <f t="shared" si="80"/>
        <v>1</v>
      </c>
      <c r="P181" s="721" t="b">
        <f t="shared" si="80"/>
        <v>1</v>
      </c>
      <c r="Q181" s="721" t="b">
        <f t="shared" si="80"/>
        <v>1</v>
      </c>
      <c r="R181" s="721" t="b">
        <f t="shared" si="80"/>
        <v>1</v>
      </c>
      <c r="S181" s="721" t="b">
        <f t="shared" si="80"/>
        <v>1</v>
      </c>
      <c r="T181" s="721" t="b">
        <f t="shared" si="80"/>
        <v>1</v>
      </c>
      <c r="U181" s="721" t="b">
        <f t="shared" si="81"/>
        <v>1</v>
      </c>
      <c r="V181" s="721" t="b">
        <f t="shared" si="81"/>
        <v>1</v>
      </c>
    </row>
    <row r="182" spans="2:22" x14ac:dyDescent="0.25">
      <c r="B182" s="515">
        <v>14</v>
      </c>
      <c r="C182" s="949" t="s">
        <v>719</v>
      </c>
      <c r="D182" s="721" t="b">
        <f t="shared" si="80"/>
        <v>0</v>
      </c>
      <c r="E182" s="721" t="b">
        <f t="shared" si="80"/>
        <v>0</v>
      </c>
      <c r="F182" s="721" t="b">
        <f t="shared" si="80"/>
        <v>0</v>
      </c>
      <c r="G182" s="721" t="b">
        <f t="shared" si="80"/>
        <v>0</v>
      </c>
      <c r="H182" s="721" t="b">
        <f t="shared" si="80"/>
        <v>1</v>
      </c>
      <c r="I182" s="721" t="b">
        <f t="shared" si="80"/>
        <v>1</v>
      </c>
      <c r="J182" s="721" t="b">
        <f t="shared" si="80"/>
        <v>1</v>
      </c>
      <c r="K182" s="721" t="b">
        <f t="shared" si="80"/>
        <v>1</v>
      </c>
      <c r="L182" s="721" t="b">
        <f t="shared" si="80"/>
        <v>1</v>
      </c>
      <c r="M182" s="721" t="b">
        <f t="shared" si="80"/>
        <v>1</v>
      </c>
      <c r="N182" s="721" t="b">
        <f t="shared" si="80"/>
        <v>1</v>
      </c>
      <c r="O182" s="721" t="b">
        <f t="shared" si="80"/>
        <v>1</v>
      </c>
      <c r="P182" s="721" t="b">
        <f t="shared" si="80"/>
        <v>1</v>
      </c>
      <c r="Q182" s="721" t="b">
        <f t="shared" si="80"/>
        <v>1</v>
      </c>
      <c r="R182" s="721" t="b">
        <f t="shared" si="80"/>
        <v>1</v>
      </c>
      <c r="S182" s="721" t="b">
        <f t="shared" si="80"/>
        <v>1</v>
      </c>
      <c r="T182" s="721" t="b">
        <f t="shared" si="80"/>
        <v>1</v>
      </c>
      <c r="U182" s="721" t="b">
        <f t="shared" si="81"/>
        <v>1</v>
      </c>
      <c r="V182" s="721" t="b">
        <f t="shared" si="81"/>
        <v>1</v>
      </c>
    </row>
    <row r="183" spans="2:22" x14ac:dyDescent="0.25">
      <c r="B183" s="515">
        <v>15</v>
      </c>
      <c r="C183" s="949" t="s">
        <v>444</v>
      </c>
      <c r="D183" s="721" t="b">
        <f t="shared" si="80"/>
        <v>0</v>
      </c>
      <c r="E183" s="721" t="b">
        <f t="shared" si="80"/>
        <v>0</v>
      </c>
      <c r="F183" s="721" t="b">
        <f t="shared" si="80"/>
        <v>0</v>
      </c>
      <c r="G183" s="721" t="b">
        <f t="shared" si="80"/>
        <v>0</v>
      </c>
      <c r="H183" s="721" t="b">
        <f t="shared" si="80"/>
        <v>0</v>
      </c>
      <c r="I183" s="721" t="b">
        <f t="shared" si="80"/>
        <v>1</v>
      </c>
      <c r="J183" s="721" t="b">
        <f t="shared" si="80"/>
        <v>1</v>
      </c>
      <c r="K183" s="721" t="b">
        <f t="shared" si="80"/>
        <v>1</v>
      </c>
      <c r="L183" s="721" t="b">
        <f t="shared" si="80"/>
        <v>1</v>
      </c>
      <c r="M183" s="721" t="b">
        <f t="shared" si="80"/>
        <v>1</v>
      </c>
      <c r="N183" s="721" t="b">
        <f t="shared" si="80"/>
        <v>1</v>
      </c>
      <c r="O183" s="721" t="b">
        <f t="shared" si="80"/>
        <v>1</v>
      </c>
      <c r="P183" s="721" t="b">
        <f t="shared" si="80"/>
        <v>1</v>
      </c>
      <c r="Q183" s="721" t="b">
        <f t="shared" si="80"/>
        <v>1</v>
      </c>
      <c r="R183" s="721" t="b">
        <f t="shared" si="80"/>
        <v>1</v>
      </c>
      <c r="S183" s="721" t="b">
        <f t="shared" si="80"/>
        <v>1</v>
      </c>
      <c r="T183" s="721" t="b">
        <f t="shared" si="80"/>
        <v>1</v>
      </c>
      <c r="U183" s="721" t="b">
        <f t="shared" si="81"/>
        <v>1</v>
      </c>
      <c r="V183" s="721" t="b">
        <f t="shared" si="81"/>
        <v>1</v>
      </c>
    </row>
    <row r="184" spans="2:22" x14ac:dyDescent="0.25">
      <c r="B184" s="515">
        <v>16</v>
      </c>
      <c r="C184" s="949" t="s">
        <v>445</v>
      </c>
      <c r="D184" s="721" t="b">
        <f>D$153&gt;=$B184</f>
        <v>0</v>
      </c>
      <c r="E184" s="721" t="b">
        <f t="shared" si="80"/>
        <v>0</v>
      </c>
      <c r="F184" s="721" t="b">
        <f t="shared" si="80"/>
        <v>0</v>
      </c>
      <c r="G184" s="721" t="b">
        <f t="shared" si="80"/>
        <v>0</v>
      </c>
      <c r="H184" s="721" t="b">
        <f t="shared" si="80"/>
        <v>0</v>
      </c>
      <c r="I184" s="721" t="b">
        <f t="shared" si="80"/>
        <v>0</v>
      </c>
      <c r="J184" s="721" t="b">
        <f t="shared" si="80"/>
        <v>1</v>
      </c>
      <c r="K184" s="721" t="b">
        <f t="shared" si="80"/>
        <v>1</v>
      </c>
      <c r="L184" s="721" t="b">
        <f t="shared" si="80"/>
        <v>1</v>
      </c>
      <c r="M184" s="721" t="b">
        <f t="shared" si="80"/>
        <v>1</v>
      </c>
      <c r="N184" s="721" t="b">
        <f t="shared" si="80"/>
        <v>1</v>
      </c>
      <c r="O184" s="721" t="b">
        <f t="shared" si="80"/>
        <v>1</v>
      </c>
      <c r="P184" s="721" t="b">
        <f t="shared" si="80"/>
        <v>1</v>
      </c>
      <c r="Q184" s="721" t="b">
        <f t="shared" si="80"/>
        <v>1</v>
      </c>
      <c r="R184" s="721" t="b">
        <f t="shared" si="80"/>
        <v>1</v>
      </c>
      <c r="S184" s="721" t="b">
        <f t="shared" si="80"/>
        <v>1</v>
      </c>
      <c r="T184" s="721" t="b">
        <f t="shared" si="80"/>
        <v>1</v>
      </c>
      <c r="U184" s="721" t="b">
        <f t="shared" si="81"/>
        <v>1</v>
      </c>
      <c r="V184" s="721" t="b">
        <f t="shared" si="81"/>
        <v>1</v>
      </c>
    </row>
    <row r="185" spans="2:22" x14ac:dyDescent="0.25">
      <c r="B185" s="515">
        <v>17</v>
      </c>
      <c r="C185" s="949" t="s">
        <v>722</v>
      </c>
      <c r="D185" s="721" t="b">
        <f t="shared" si="80"/>
        <v>0</v>
      </c>
      <c r="E185" s="721" t="b">
        <f t="shared" si="80"/>
        <v>0</v>
      </c>
      <c r="F185" s="721" t="b">
        <f t="shared" si="80"/>
        <v>0</v>
      </c>
      <c r="G185" s="721" t="b">
        <f t="shared" si="80"/>
        <v>0</v>
      </c>
      <c r="H185" s="721" t="b">
        <f t="shared" si="80"/>
        <v>0</v>
      </c>
      <c r="I185" s="721" t="b">
        <f t="shared" si="80"/>
        <v>0</v>
      </c>
      <c r="J185" s="721" t="b">
        <f t="shared" si="80"/>
        <v>0</v>
      </c>
      <c r="K185" s="721" t="b">
        <f t="shared" si="80"/>
        <v>1</v>
      </c>
      <c r="L185" s="721" t="b">
        <f t="shared" si="80"/>
        <v>1</v>
      </c>
      <c r="M185" s="721" t="b">
        <f t="shared" si="80"/>
        <v>1</v>
      </c>
      <c r="N185" s="721" t="b">
        <f t="shared" si="80"/>
        <v>1</v>
      </c>
      <c r="O185" s="721" t="b">
        <f t="shared" si="80"/>
        <v>1</v>
      </c>
      <c r="P185" s="721" t="b">
        <f t="shared" si="80"/>
        <v>1</v>
      </c>
      <c r="Q185" s="721" t="b">
        <f t="shared" si="80"/>
        <v>1</v>
      </c>
      <c r="R185" s="721" t="b">
        <f t="shared" si="80"/>
        <v>1</v>
      </c>
      <c r="S185" s="721" t="b">
        <f t="shared" si="80"/>
        <v>1</v>
      </c>
      <c r="T185" s="721" t="b">
        <f t="shared" si="80"/>
        <v>1</v>
      </c>
      <c r="U185" s="721" t="b">
        <f t="shared" si="81"/>
        <v>1</v>
      </c>
      <c r="V185" s="721" t="b">
        <f t="shared" si="81"/>
        <v>1</v>
      </c>
    </row>
    <row r="186" spans="2:22" x14ac:dyDescent="0.25">
      <c r="B186" s="515">
        <v>18</v>
      </c>
      <c r="C186" s="949" t="s">
        <v>770</v>
      </c>
      <c r="D186" s="721" t="b">
        <f t="shared" si="80"/>
        <v>0</v>
      </c>
      <c r="E186" s="721" t="b">
        <f t="shared" si="80"/>
        <v>0</v>
      </c>
      <c r="F186" s="721" t="b">
        <f t="shared" si="80"/>
        <v>0</v>
      </c>
      <c r="G186" s="721" t="b">
        <f t="shared" si="80"/>
        <v>0</v>
      </c>
      <c r="H186" s="721" t="b">
        <f t="shared" si="80"/>
        <v>0</v>
      </c>
      <c r="I186" s="721" t="b">
        <f t="shared" si="80"/>
        <v>0</v>
      </c>
      <c r="J186" s="721" t="b">
        <f t="shared" si="80"/>
        <v>0</v>
      </c>
      <c r="K186" s="721" t="b">
        <f t="shared" si="80"/>
        <v>0</v>
      </c>
      <c r="L186" s="721" t="b">
        <f t="shared" si="80"/>
        <v>1</v>
      </c>
      <c r="M186" s="721" t="b">
        <f t="shared" si="80"/>
        <v>1</v>
      </c>
      <c r="N186" s="721" t="b">
        <f t="shared" si="80"/>
        <v>1</v>
      </c>
      <c r="O186" s="721" t="b">
        <f t="shared" si="80"/>
        <v>1</v>
      </c>
      <c r="P186" s="721" t="b">
        <f t="shared" si="80"/>
        <v>1</v>
      </c>
      <c r="Q186" s="721" t="b">
        <f t="shared" si="80"/>
        <v>1</v>
      </c>
      <c r="R186" s="721" t="b">
        <f t="shared" si="80"/>
        <v>1</v>
      </c>
      <c r="S186" s="721" t="b">
        <f t="shared" si="80"/>
        <v>1</v>
      </c>
      <c r="T186" s="721" t="b">
        <f t="shared" ref="T186:V196" si="82">T$153&gt;=$B186</f>
        <v>1</v>
      </c>
      <c r="U186" s="721" t="b">
        <f t="shared" si="82"/>
        <v>1</v>
      </c>
      <c r="V186" s="721" t="b">
        <f t="shared" si="82"/>
        <v>1</v>
      </c>
    </row>
    <row r="187" spans="2:22" x14ac:dyDescent="0.25">
      <c r="B187" s="515">
        <v>19</v>
      </c>
      <c r="C187" s="948" t="s">
        <v>790</v>
      </c>
      <c r="D187" s="721" t="b">
        <f t="shared" si="80"/>
        <v>0</v>
      </c>
      <c r="E187" s="721" t="b">
        <f t="shared" si="80"/>
        <v>0</v>
      </c>
      <c r="F187" s="721" t="b">
        <f t="shared" si="80"/>
        <v>0</v>
      </c>
      <c r="G187" s="721" t="b">
        <f t="shared" si="80"/>
        <v>0</v>
      </c>
      <c r="H187" s="721" t="b">
        <f t="shared" si="80"/>
        <v>0</v>
      </c>
      <c r="I187" s="721" t="b">
        <f t="shared" si="80"/>
        <v>0</v>
      </c>
      <c r="J187" s="721" t="b">
        <f t="shared" si="80"/>
        <v>0</v>
      </c>
      <c r="K187" s="721" t="b">
        <f t="shared" si="80"/>
        <v>0</v>
      </c>
      <c r="L187" s="721" t="b">
        <f t="shared" si="80"/>
        <v>0</v>
      </c>
      <c r="M187" s="721" t="b">
        <f t="shared" si="80"/>
        <v>1</v>
      </c>
      <c r="N187" s="721" t="b">
        <f t="shared" si="80"/>
        <v>1</v>
      </c>
      <c r="O187" s="721" t="b">
        <f t="shared" si="80"/>
        <v>1</v>
      </c>
      <c r="P187" s="721" t="b">
        <f t="shared" si="80"/>
        <v>1</v>
      </c>
      <c r="Q187" s="721" t="b">
        <f t="shared" si="80"/>
        <v>1</v>
      </c>
      <c r="R187" s="721" t="b">
        <f t="shared" si="80"/>
        <v>1</v>
      </c>
      <c r="S187" s="721" t="b">
        <f t="shared" si="80"/>
        <v>1</v>
      </c>
      <c r="T187" s="721" t="b">
        <f t="shared" si="82"/>
        <v>1</v>
      </c>
      <c r="U187" s="721" t="b">
        <f t="shared" si="82"/>
        <v>1</v>
      </c>
      <c r="V187" s="721" t="b">
        <f t="shared" si="82"/>
        <v>1</v>
      </c>
    </row>
    <row r="188" spans="2:22" x14ac:dyDescent="0.25">
      <c r="B188" s="515">
        <v>20</v>
      </c>
      <c r="C188" s="948" t="s">
        <v>803</v>
      </c>
      <c r="D188" s="721" t="b">
        <f t="shared" si="80"/>
        <v>0</v>
      </c>
      <c r="E188" s="721" t="b">
        <f t="shared" si="80"/>
        <v>0</v>
      </c>
      <c r="F188" s="721" t="b">
        <f t="shared" si="80"/>
        <v>0</v>
      </c>
      <c r="G188" s="721" t="b">
        <f t="shared" si="80"/>
        <v>0</v>
      </c>
      <c r="H188" s="721" t="b">
        <f t="shared" si="80"/>
        <v>0</v>
      </c>
      <c r="I188" s="721" t="b">
        <f t="shared" si="80"/>
        <v>0</v>
      </c>
      <c r="J188" s="721" t="b">
        <f t="shared" si="80"/>
        <v>0</v>
      </c>
      <c r="K188" s="721" t="b">
        <f t="shared" si="80"/>
        <v>0</v>
      </c>
      <c r="L188" s="721" t="b">
        <f t="shared" si="80"/>
        <v>0</v>
      </c>
      <c r="M188" s="721" t="b">
        <f t="shared" si="80"/>
        <v>0</v>
      </c>
      <c r="N188" s="721" t="b">
        <f t="shared" si="80"/>
        <v>1</v>
      </c>
      <c r="O188" s="721" t="b">
        <f t="shared" si="80"/>
        <v>1</v>
      </c>
      <c r="P188" s="721" t="b">
        <f t="shared" si="80"/>
        <v>1</v>
      </c>
      <c r="Q188" s="721" t="b">
        <f t="shared" si="80"/>
        <v>1</v>
      </c>
      <c r="R188" s="721" t="b">
        <f t="shared" si="80"/>
        <v>1</v>
      </c>
      <c r="S188" s="721" t="b">
        <f t="shared" si="80"/>
        <v>1</v>
      </c>
      <c r="T188" s="721" t="b">
        <f t="shared" si="82"/>
        <v>1</v>
      </c>
      <c r="U188" s="721" t="b">
        <f t="shared" si="82"/>
        <v>1</v>
      </c>
      <c r="V188" s="721" t="b">
        <f t="shared" si="82"/>
        <v>1</v>
      </c>
    </row>
    <row r="189" spans="2:22" x14ac:dyDescent="0.25">
      <c r="B189" s="515">
        <v>21</v>
      </c>
      <c r="C189" s="948" t="s">
        <v>804</v>
      </c>
      <c r="D189" s="721" t="b">
        <f t="shared" si="80"/>
        <v>0</v>
      </c>
      <c r="E189" s="721" t="b">
        <f t="shared" si="80"/>
        <v>0</v>
      </c>
      <c r="F189" s="721" t="b">
        <f t="shared" si="80"/>
        <v>0</v>
      </c>
      <c r="G189" s="721" t="b">
        <f t="shared" si="80"/>
        <v>0</v>
      </c>
      <c r="H189" s="721" t="b">
        <f t="shared" si="80"/>
        <v>0</v>
      </c>
      <c r="I189" s="721" t="b">
        <f t="shared" si="80"/>
        <v>0</v>
      </c>
      <c r="J189" s="721" t="b">
        <f t="shared" si="80"/>
        <v>0</v>
      </c>
      <c r="K189" s="721" t="b">
        <f t="shared" si="80"/>
        <v>0</v>
      </c>
      <c r="L189" s="721" t="b">
        <f t="shared" si="80"/>
        <v>0</v>
      </c>
      <c r="M189" s="721" t="b">
        <f t="shared" si="80"/>
        <v>0</v>
      </c>
      <c r="N189" s="721" t="b">
        <f t="shared" si="80"/>
        <v>0</v>
      </c>
      <c r="O189" s="721" t="b">
        <f t="shared" si="80"/>
        <v>1</v>
      </c>
      <c r="P189" s="721" t="b">
        <f t="shared" si="80"/>
        <v>1</v>
      </c>
      <c r="Q189" s="721" t="b">
        <f t="shared" si="80"/>
        <v>1</v>
      </c>
      <c r="R189" s="721" t="b">
        <f t="shared" si="80"/>
        <v>1</v>
      </c>
      <c r="S189" s="721" t="b">
        <f t="shared" si="80"/>
        <v>1</v>
      </c>
      <c r="T189" s="721" t="b">
        <f t="shared" si="82"/>
        <v>1</v>
      </c>
      <c r="U189" s="721" t="b">
        <f t="shared" si="82"/>
        <v>1</v>
      </c>
      <c r="V189" s="721" t="b">
        <f t="shared" si="82"/>
        <v>1</v>
      </c>
    </row>
    <row r="190" spans="2:22" x14ac:dyDescent="0.25">
      <c r="B190" s="515">
        <v>22</v>
      </c>
      <c r="C190" s="948" t="s">
        <v>946</v>
      </c>
      <c r="D190" s="721" t="b">
        <f t="shared" si="80"/>
        <v>0</v>
      </c>
      <c r="E190" s="721" t="b">
        <f t="shared" si="80"/>
        <v>0</v>
      </c>
      <c r="F190" s="721" t="b">
        <f t="shared" si="80"/>
        <v>0</v>
      </c>
      <c r="G190" s="721" t="b">
        <f t="shared" si="80"/>
        <v>0</v>
      </c>
      <c r="H190" s="721" t="b">
        <f t="shared" si="80"/>
        <v>0</v>
      </c>
      <c r="I190" s="721" t="b">
        <f t="shared" si="80"/>
        <v>0</v>
      </c>
      <c r="J190" s="721" t="b">
        <f t="shared" si="80"/>
        <v>0</v>
      </c>
      <c r="K190" s="721" t="b">
        <f t="shared" si="80"/>
        <v>0</v>
      </c>
      <c r="L190" s="721" t="b">
        <f t="shared" si="80"/>
        <v>0</v>
      </c>
      <c r="M190" s="721" t="b">
        <f t="shared" si="80"/>
        <v>0</v>
      </c>
      <c r="N190" s="721" t="b">
        <f t="shared" si="80"/>
        <v>0</v>
      </c>
      <c r="O190" s="721" t="b">
        <f t="shared" si="80"/>
        <v>0</v>
      </c>
      <c r="P190" s="721" t="b">
        <f t="shared" si="80"/>
        <v>1</v>
      </c>
      <c r="Q190" s="721" t="b">
        <f t="shared" si="80"/>
        <v>1</v>
      </c>
      <c r="R190" s="721" t="b">
        <f t="shared" si="80"/>
        <v>1</v>
      </c>
      <c r="S190" s="721" t="b">
        <f t="shared" si="80"/>
        <v>1</v>
      </c>
      <c r="T190" s="721" t="b">
        <f t="shared" si="82"/>
        <v>1</v>
      </c>
      <c r="U190" s="721" t="b">
        <f t="shared" si="82"/>
        <v>1</v>
      </c>
      <c r="V190" s="721" t="b">
        <f t="shared" si="82"/>
        <v>1</v>
      </c>
    </row>
    <row r="191" spans="2:22" x14ac:dyDescent="0.25">
      <c r="B191" s="515">
        <v>23</v>
      </c>
      <c r="C191" s="948" t="s">
        <v>948</v>
      </c>
      <c r="D191" s="721" t="b">
        <f t="shared" si="80"/>
        <v>0</v>
      </c>
      <c r="E191" s="721" t="b">
        <f t="shared" si="80"/>
        <v>0</v>
      </c>
      <c r="F191" s="721" t="b">
        <f t="shared" si="80"/>
        <v>0</v>
      </c>
      <c r="G191" s="721" t="b">
        <f t="shared" si="80"/>
        <v>0</v>
      </c>
      <c r="H191" s="721" t="b">
        <f t="shared" si="80"/>
        <v>0</v>
      </c>
      <c r="I191" s="721" t="b">
        <f t="shared" si="80"/>
        <v>0</v>
      </c>
      <c r="J191" s="721" t="b">
        <f t="shared" si="80"/>
        <v>0</v>
      </c>
      <c r="K191" s="721" t="b">
        <f t="shared" si="80"/>
        <v>0</v>
      </c>
      <c r="L191" s="721" t="b">
        <f t="shared" si="80"/>
        <v>0</v>
      </c>
      <c r="M191" s="721" t="b">
        <f t="shared" si="80"/>
        <v>0</v>
      </c>
      <c r="N191" s="721" t="b">
        <f t="shared" si="80"/>
        <v>0</v>
      </c>
      <c r="O191" s="721" t="b">
        <f t="shared" si="80"/>
        <v>0</v>
      </c>
      <c r="P191" s="721" t="b">
        <f t="shared" si="80"/>
        <v>0</v>
      </c>
      <c r="Q191" s="721" t="b">
        <f t="shared" si="80"/>
        <v>1</v>
      </c>
      <c r="R191" s="721" t="b">
        <f t="shared" si="80"/>
        <v>1</v>
      </c>
      <c r="S191" s="721" t="b">
        <f t="shared" si="80"/>
        <v>1</v>
      </c>
      <c r="T191" s="721" t="b">
        <f t="shared" si="82"/>
        <v>1</v>
      </c>
      <c r="U191" s="721" t="b">
        <f t="shared" si="82"/>
        <v>1</v>
      </c>
      <c r="V191" s="721" t="b">
        <f t="shared" si="82"/>
        <v>1</v>
      </c>
    </row>
    <row r="192" spans="2:22" x14ac:dyDescent="0.25">
      <c r="B192" s="515">
        <v>24</v>
      </c>
      <c r="C192" s="948" t="s">
        <v>949</v>
      </c>
      <c r="D192" s="721" t="b">
        <f t="shared" si="80"/>
        <v>0</v>
      </c>
      <c r="E192" s="721" t="b">
        <f t="shared" si="80"/>
        <v>0</v>
      </c>
      <c r="F192" s="721" t="b">
        <f t="shared" si="80"/>
        <v>0</v>
      </c>
      <c r="G192" s="721" t="b">
        <f t="shared" si="80"/>
        <v>0</v>
      </c>
      <c r="H192" s="721" t="b">
        <f t="shared" si="80"/>
        <v>0</v>
      </c>
      <c r="I192" s="721" t="b">
        <f t="shared" si="80"/>
        <v>0</v>
      </c>
      <c r="J192" s="721" t="b">
        <f t="shared" si="80"/>
        <v>0</v>
      </c>
      <c r="K192" s="721" t="b">
        <f t="shared" si="80"/>
        <v>0</v>
      </c>
      <c r="L192" s="721" t="b">
        <f t="shared" si="80"/>
        <v>0</v>
      </c>
      <c r="M192" s="721" t="b">
        <f t="shared" si="80"/>
        <v>0</v>
      </c>
      <c r="N192" s="721" t="b">
        <f t="shared" si="80"/>
        <v>0</v>
      </c>
      <c r="O192" s="721" t="b">
        <f t="shared" si="80"/>
        <v>0</v>
      </c>
      <c r="P192" s="721" t="b">
        <f t="shared" si="80"/>
        <v>0</v>
      </c>
      <c r="Q192" s="721" t="b">
        <f t="shared" si="80"/>
        <v>0</v>
      </c>
      <c r="R192" s="721" t="b">
        <f>R$153&gt;=$B192</f>
        <v>1</v>
      </c>
      <c r="S192" s="721" t="b">
        <f t="shared" si="80"/>
        <v>1</v>
      </c>
      <c r="T192" s="721" t="b">
        <f t="shared" si="82"/>
        <v>1</v>
      </c>
      <c r="U192" s="721" t="b">
        <f t="shared" si="82"/>
        <v>1</v>
      </c>
      <c r="V192" s="721" t="b">
        <f t="shared" si="82"/>
        <v>1</v>
      </c>
    </row>
    <row r="193" spans="2:22" x14ac:dyDescent="0.25">
      <c r="B193" s="515">
        <v>25</v>
      </c>
      <c r="C193" s="948" t="s">
        <v>965</v>
      </c>
      <c r="D193" s="721" t="b">
        <f t="shared" si="80"/>
        <v>0</v>
      </c>
      <c r="E193" s="721" t="b">
        <f t="shared" si="80"/>
        <v>0</v>
      </c>
      <c r="F193" s="721" t="b">
        <f t="shared" si="80"/>
        <v>0</v>
      </c>
      <c r="G193" s="721" t="b">
        <f t="shared" si="80"/>
        <v>0</v>
      </c>
      <c r="H193" s="721" t="b">
        <f t="shared" si="80"/>
        <v>0</v>
      </c>
      <c r="I193" s="721" t="b">
        <f t="shared" si="80"/>
        <v>0</v>
      </c>
      <c r="J193" s="721" t="b">
        <f t="shared" si="80"/>
        <v>0</v>
      </c>
      <c r="K193" s="721" t="b">
        <f t="shared" si="80"/>
        <v>0</v>
      </c>
      <c r="L193" s="721" t="b">
        <f t="shared" si="80"/>
        <v>0</v>
      </c>
      <c r="M193" s="721" t="b">
        <f t="shared" si="80"/>
        <v>0</v>
      </c>
      <c r="N193" s="721" t="b">
        <f t="shared" si="80"/>
        <v>0</v>
      </c>
      <c r="O193" s="721" t="b">
        <f t="shared" si="80"/>
        <v>0</v>
      </c>
      <c r="P193" s="721" t="b">
        <f t="shared" si="80"/>
        <v>0</v>
      </c>
      <c r="Q193" s="721" t="b">
        <f t="shared" si="80"/>
        <v>0</v>
      </c>
      <c r="R193" s="721" t="b">
        <f t="shared" si="80"/>
        <v>0</v>
      </c>
      <c r="S193" s="721" t="b">
        <f>S$153&gt;=$B193</f>
        <v>1</v>
      </c>
      <c r="T193" s="721" t="b">
        <f>T$153&gt;=$B193</f>
        <v>1</v>
      </c>
      <c r="U193" s="721" t="b">
        <f t="shared" si="82"/>
        <v>1</v>
      </c>
      <c r="V193" s="721" t="b">
        <f t="shared" si="82"/>
        <v>1</v>
      </c>
    </row>
    <row r="194" spans="2:22" x14ac:dyDescent="0.25">
      <c r="B194" s="515">
        <v>26</v>
      </c>
      <c r="C194" s="948" t="s">
        <v>966</v>
      </c>
      <c r="D194" s="721" t="b">
        <f t="shared" ref="D194:S196" si="83">D$153&gt;=$B194</f>
        <v>0</v>
      </c>
      <c r="E194" s="721" t="b">
        <f t="shared" si="83"/>
        <v>0</v>
      </c>
      <c r="F194" s="721" t="b">
        <f t="shared" si="83"/>
        <v>0</v>
      </c>
      <c r="G194" s="721" t="b">
        <f t="shared" si="83"/>
        <v>0</v>
      </c>
      <c r="H194" s="721" t="b">
        <f t="shared" si="83"/>
        <v>0</v>
      </c>
      <c r="I194" s="721" t="b">
        <f t="shared" si="83"/>
        <v>0</v>
      </c>
      <c r="J194" s="721" t="b">
        <f t="shared" si="83"/>
        <v>0</v>
      </c>
      <c r="K194" s="721" t="b">
        <f t="shared" si="83"/>
        <v>0</v>
      </c>
      <c r="L194" s="721" t="b">
        <f t="shared" si="83"/>
        <v>0</v>
      </c>
      <c r="M194" s="721" t="b">
        <f t="shared" si="83"/>
        <v>0</v>
      </c>
      <c r="N194" s="721" t="b">
        <f t="shared" si="83"/>
        <v>0</v>
      </c>
      <c r="O194" s="721" t="b">
        <f t="shared" si="83"/>
        <v>0</v>
      </c>
      <c r="P194" s="721" t="b">
        <f t="shared" si="83"/>
        <v>0</v>
      </c>
      <c r="Q194" s="721" t="b">
        <f t="shared" si="83"/>
        <v>0</v>
      </c>
      <c r="R194" s="721" t="b">
        <f t="shared" si="83"/>
        <v>0</v>
      </c>
      <c r="S194" s="721" t="b">
        <f>S$153&gt;=$B194</f>
        <v>0</v>
      </c>
      <c r="T194" s="721" t="b">
        <f>T$153&gt;=$B194</f>
        <v>1</v>
      </c>
      <c r="U194" s="721" t="b">
        <f t="shared" si="82"/>
        <v>1</v>
      </c>
      <c r="V194" s="721" t="b">
        <f t="shared" si="82"/>
        <v>1</v>
      </c>
    </row>
    <row r="195" spans="2:22" x14ac:dyDescent="0.25">
      <c r="B195" s="515">
        <v>27</v>
      </c>
      <c r="C195" s="963" t="s">
        <v>967</v>
      </c>
      <c r="D195" s="721" t="b">
        <f t="shared" si="83"/>
        <v>0</v>
      </c>
      <c r="E195" s="721" t="b">
        <f t="shared" si="83"/>
        <v>0</v>
      </c>
      <c r="F195" s="721" t="b">
        <f t="shared" si="83"/>
        <v>0</v>
      </c>
      <c r="G195" s="721" t="b">
        <f t="shared" si="83"/>
        <v>0</v>
      </c>
      <c r="H195" s="721" t="b">
        <f t="shared" si="83"/>
        <v>0</v>
      </c>
      <c r="I195" s="721" t="b">
        <f t="shared" si="83"/>
        <v>0</v>
      </c>
      <c r="J195" s="721" t="b">
        <f t="shared" si="83"/>
        <v>0</v>
      </c>
      <c r="K195" s="721" t="b">
        <f t="shared" si="83"/>
        <v>0</v>
      </c>
      <c r="L195" s="721" t="b">
        <f t="shared" si="83"/>
        <v>0</v>
      </c>
      <c r="M195" s="721" t="b">
        <f t="shared" si="83"/>
        <v>0</v>
      </c>
      <c r="N195" s="721" t="b">
        <f t="shared" si="83"/>
        <v>0</v>
      </c>
      <c r="O195" s="721" t="b">
        <f t="shared" si="83"/>
        <v>0</v>
      </c>
      <c r="P195" s="721" t="b">
        <f t="shared" si="83"/>
        <v>0</v>
      </c>
      <c r="Q195" s="721" t="b">
        <f t="shared" si="83"/>
        <v>0</v>
      </c>
      <c r="R195" s="721" t="b">
        <f t="shared" si="83"/>
        <v>0</v>
      </c>
      <c r="S195" s="721" t="b">
        <f t="shared" si="83"/>
        <v>0</v>
      </c>
      <c r="T195" s="721" t="b">
        <f t="shared" ref="T195:U196" si="84">T$153&gt;=$B195</f>
        <v>0</v>
      </c>
      <c r="U195" s="721" t="b">
        <f t="shared" si="82"/>
        <v>1</v>
      </c>
      <c r="V195" s="721" t="b">
        <f t="shared" si="82"/>
        <v>1</v>
      </c>
    </row>
    <row r="196" spans="2:22" ht="13.8" thickBot="1" x14ac:dyDescent="0.3">
      <c r="B196" s="508">
        <v>28</v>
      </c>
      <c r="C196" s="950" t="s">
        <v>968</v>
      </c>
      <c r="D196" s="721" t="b">
        <f t="shared" si="83"/>
        <v>0</v>
      </c>
      <c r="E196" s="721" t="b">
        <f t="shared" si="83"/>
        <v>0</v>
      </c>
      <c r="F196" s="721" t="b">
        <f t="shared" si="83"/>
        <v>0</v>
      </c>
      <c r="G196" s="721" t="b">
        <f t="shared" si="83"/>
        <v>0</v>
      </c>
      <c r="H196" s="721" t="b">
        <f t="shared" si="83"/>
        <v>0</v>
      </c>
      <c r="I196" s="721" t="b">
        <f t="shared" si="83"/>
        <v>0</v>
      </c>
      <c r="J196" s="721" t="b">
        <f t="shared" si="83"/>
        <v>0</v>
      </c>
      <c r="K196" s="721" t="b">
        <f t="shared" si="83"/>
        <v>0</v>
      </c>
      <c r="L196" s="721" t="b">
        <f t="shared" si="83"/>
        <v>0</v>
      </c>
      <c r="M196" s="721" t="b">
        <f t="shared" si="83"/>
        <v>0</v>
      </c>
      <c r="N196" s="721" t="b">
        <f t="shared" si="83"/>
        <v>0</v>
      </c>
      <c r="O196" s="721" t="b">
        <f t="shared" si="83"/>
        <v>0</v>
      </c>
      <c r="P196" s="721" t="b">
        <f t="shared" si="83"/>
        <v>0</v>
      </c>
      <c r="Q196" s="721" t="b">
        <f t="shared" si="83"/>
        <v>0</v>
      </c>
      <c r="R196" s="721" t="b">
        <f t="shared" si="83"/>
        <v>0</v>
      </c>
      <c r="S196" s="721" t="b">
        <f t="shared" si="83"/>
        <v>0</v>
      </c>
      <c r="T196" s="721" t="b">
        <f t="shared" si="84"/>
        <v>0</v>
      </c>
      <c r="U196" s="721" t="b">
        <f t="shared" si="84"/>
        <v>0</v>
      </c>
      <c r="V196" s="721" t="b">
        <f t="shared" si="82"/>
        <v>1</v>
      </c>
    </row>
    <row r="197" spans="2:22" ht="13.8" thickTop="1" x14ac:dyDescent="0.25">
      <c r="B197" s="6"/>
      <c r="C197" s="469"/>
      <c r="D197" s="6"/>
      <c r="E197" s="6"/>
      <c r="F197" s="6"/>
      <c r="G197" s="6"/>
      <c r="H197" s="6"/>
      <c r="I197" s="6"/>
      <c r="J197" s="6"/>
      <c r="K197" s="6"/>
      <c r="L197" s="6"/>
      <c r="M197" s="6"/>
      <c r="N197" s="6"/>
      <c r="O197" s="6"/>
      <c r="P197" s="6"/>
      <c r="Q197" s="6"/>
    </row>
    <row r="198" spans="2:22" x14ac:dyDescent="0.25">
      <c r="B198" s="732" t="s">
        <v>799</v>
      </c>
      <c r="C198" s="730" t="s">
        <v>800</v>
      </c>
      <c r="D198" s="731"/>
      <c r="E198" s="731"/>
    </row>
    <row r="199" spans="2:22" x14ac:dyDescent="0.25">
      <c r="F199" s="723"/>
      <c r="G199" s="723"/>
      <c r="H199" s="723"/>
    </row>
    <row r="213" spans="3:3" x14ac:dyDescent="0.25">
      <c r="C213" s="43" t="s">
        <v>937</v>
      </c>
    </row>
    <row r="214" spans="3:3" ht="15" x14ac:dyDescent="0.25">
      <c r="C214" s="915">
        <v>3</v>
      </c>
    </row>
    <row r="215" spans="3:3" ht="15" x14ac:dyDescent="0.25">
      <c r="C215" s="915">
        <v>4</v>
      </c>
    </row>
    <row r="216" spans="3:3" ht="15" x14ac:dyDescent="0.25">
      <c r="C216" s="915">
        <v>5</v>
      </c>
    </row>
  </sheetData>
  <mergeCells count="38">
    <mergeCell ref="E50:F50"/>
    <mergeCell ref="E51:F51"/>
    <mergeCell ref="E15:F15"/>
    <mergeCell ref="E16:F16"/>
    <mergeCell ref="E49:F49"/>
    <mergeCell ref="E24:F24"/>
    <mergeCell ref="E25:F25"/>
    <mergeCell ref="E36:F36"/>
    <mergeCell ref="E33:F33"/>
    <mergeCell ref="E40:F40"/>
    <mergeCell ref="E34:F34"/>
    <mergeCell ref="E43:F43"/>
    <mergeCell ref="E42:F42"/>
    <mergeCell ref="E41:F41"/>
    <mergeCell ref="E48:F48"/>
    <mergeCell ref="E46:F46"/>
    <mergeCell ref="E47:F47"/>
    <mergeCell ref="E35:F35"/>
    <mergeCell ref="E10:F10"/>
    <mergeCell ref="E11:F11"/>
    <mergeCell ref="E12:F12"/>
    <mergeCell ref="E13:F13"/>
    <mergeCell ref="E14:F14"/>
    <mergeCell ref="E45:F45"/>
    <mergeCell ref="E44:F44"/>
    <mergeCell ref="E17:F17"/>
    <mergeCell ref="E23:F23"/>
    <mergeCell ref="E26:F26"/>
    <mergeCell ref="E22:F22"/>
    <mergeCell ref="E20:F20"/>
    <mergeCell ref="E19:F19"/>
    <mergeCell ref="E18:F18"/>
    <mergeCell ref="E21:F21"/>
    <mergeCell ref="E39:F39"/>
    <mergeCell ref="E37:F37"/>
    <mergeCell ref="E38:F38"/>
    <mergeCell ref="E27:F27"/>
    <mergeCell ref="E28:F28"/>
  </mergeCells>
  <phoneticPr fontId="0" type="noConversion"/>
  <conditionalFormatting sqref="D153:V153">
    <cfRule type="cellIs" dxfId="6" priority="6" stopIfTrue="1" operator="equal">
      <formula>$W$155</formula>
    </cfRule>
  </conditionalFormatting>
  <conditionalFormatting sqref="E197:Q197 E178:T189">
    <cfRule type="cellIs" dxfId="5" priority="7" stopIfTrue="1" operator="equal">
      <formula>TRUE</formula>
    </cfRule>
  </conditionalFormatting>
  <conditionalFormatting sqref="D178:D189 D197 D190:T194">
    <cfRule type="cellIs" dxfId="4" priority="8" stopIfTrue="1" operator="equal">
      <formula>TRUE</formula>
    </cfRule>
  </conditionalFormatting>
  <conditionalFormatting sqref="D195:T196">
    <cfRule type="cellIs" dxfId="3" priority="4" stopIfTrue="1" operator="equal">
      <formula>TRUE</formula>
    </cfRule>
  </conditionalFormatting>
  <conditionalFormatting sqref="U178:V189">
    <cfRule type="cellIs" dxfId="2" priority="2" stopIfTrue="1" operator="equal">
      <formula>TRUE</formula>
    </cfRule>
  </conditionalFormatting>
  <conditionalFormatting sqref="U190:V195 V196">
    <cfRule type="cellIs" dxfId="1" priority="3" stopIfTrue="1" operator="equal">
      <formula>TRUE</formula>
    </cfRule>
  </conditionalFormatting>
  <conditionalFormatting sqref="U196">
    <cfRule type="cellIs" dxfId="0" priority="1" stopIfTrue="1" operator="equal">
      <formula>TRUE</formula>
    </cfRule>
  </conditionalFormatting>
  <dataValidations count="1">
    <dataValidation type="list" allowBlank="1" showInputMessage="1" showErrorMessage="1" sqref="J128" xr:uid="{00000000-0002-0000-1200-000000000000}">
      <formula1>$C$214:$C$216</formula1>
    </dataValidation>
  </dataValidations>
  <printOptions horizontalCentered="1"/>
  <pageMargins left="0.2" right="0.2" top="0.6" bottom="0.5" header="0.5" footer="0.5"/>
  <pageSetup scale="66" orientation="landscape" r:id="rId1"/>
  <headerFooter alignWithMargins="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indexed="12"/>
  </sheetPr>
  <dimension ref="A1:IL66"/>
  <sheetViews>
    <sheetView zoomScale="80" workbookViewId="0">
      <pane xSplit="2" ySplit="3" topLeftCell="C13" activePane="bottomRight" state="frozen"/>
      <selection pane="topRight" activeCell="C1" sqref="C1"/>
      <selection pane="bottomLeft" activeCell="A4" sqref="A4"/>
      <selection pane="bottomRight" activeCell="L40" sqref="L40"/>
    </sheetView>
  </sheetViews>
  <sheetFormatPr defaultColWidth="10.33203125" defaultRowHeight="13.2" x14ac:dyDescent="0.25"/>
  <cols>
    <col min="1" max="1" width="44.33203125" style="186" customWidth="1"/>
    <col min="2" max="2" width="14.6640625" style="186" bestFit="1" customWidth="1"/>
    <col min="3" max="3" width="16.33203125" style="186" bestFit="1" customWidth="1"/>
    <col min="4" max="4" width="16" style="186" bestFit="1" customWidth="1"/>
    <col min="5" max="5" width="20.88671875" style="186" bestFit="1" customWidth="1"/>
    <col min="6" max="6" width="12.88671875" style="186" customWidth="1"/>
    <col min="7" max="7" width="15.109375" style="186" bestFit="1" customWidth="1"/>
    <col min="8" max="9" width="12.88671875" style="186" customWidth="1"/>
    <col min="10" max="10" width="13.44140625" style="186" customWidth="1"/>
    <col min="11" max="13" width="12.88671875" style="186" customWidth="1"/>
    <col min="14" max="14" width="15.109375" style="186" customWidth="1"/>
    <col min="15" max="15" width="13.5546875" style="186" customWidth="1"/>
    <col min="16" max="16" width="15" style="186" bestFit="1" customWidth="1"/>
    <col min="17" max="18" width="13.5546875" style="186" bestFit="1" customWidth="1"/>
    <col min="19" max="19" width="13.88671875" style="186" customWidth="1"/>
    <col min="20" max="21" width="14.5546875" style="186" bestFit="1" customWidth="1"/>
    <col min="22" max="30" width="14.5546875" style="186" customWidth="1"/>
    <col min="31" max="31" width="14.88671875" style="186" bestFit="1" customWidth="1"/>
    <col min="32" max="32" width="13.88671875" style="186" bestFit="1" customWidth="1"/>
    <col min="33" max="34" width="13.44140625" style="186" bestFit="1" customWidth="1"/>
    <col min="35" max="48" width="12.33203125" style="186" bestFit="1" customWidth="1"/>
    <col min="49" max="16384" width="10.33203125" style="186"/>
  </cols>
  <sheetData>
    <row r="1" spans="1:246" s="152" customFormat="1" x14ac:dyDescent="0.25">
      <c r="A1" s="138" t="s">
        <v>662</v>
      </c>
      <c r="B1" s="149">
        <f>'Basic Project Info'!B8</f>
        <v>0</v>
      </c>
      <c r="C1" s="3420" t="s">
        <v>702</v>
      </c>
      <c r="D1" s="3420"/>
      <c r="E1" s="3420"/>
      <c r="F1" s="3420"/>
      <c r="G1" s="3420"/>
      <c r="H1" s="3420"/>
      <c r="I1" s="3420"/>
      <c r="J1" s="3420"/>
      <c r="K1" s="150"/>
      <c r="L1" s="150"/>
      <c r="M1" s="150"/>
      <c r="N1" s="150"/>
      <c r="O1" s="150"/>
      <c r="P1" s="150"/>
      <c r="Q1" s="150"/>
      <c r="R1" s="150"/>
      <c r="S1" s="151"/>
      <c r="T1" s="151"/>
      <c r="U1" s="151"/>
      <c r="V1" s="151"/>
      <c r="W1" s="151"/>
      <c r="X1" s="151"/>
      <c r="Y1" s="151"/>
      <c r="Z1" s="151"/>
      <c r="AA1" s="151"/>
      <c r="AB1" s="151"/>
      <c r="AC1" s="151"/>
      <c r="AD1" s="151"/>
      <c r="AE1" s="151"/>
      <c r="AF1" s="151"/>
    </row>
    <row r="2" spans="1:246" s="152" customFormat="1" x14ac:dyDescent="0.25">
      <c r="A2" s="58" t="s">
        <v>718</v>
      </c>
      <c r="B2" s="153">
        <f>'Basic Project Info'!B4</f>
        <v>0</v>
      </c>
      <c r="D2" s="154"/>
      <c r="E2" s="154"/>
      <c r="F2" s="154"/>
      <c r="G2" s="154"/>
      <c r="H2" s="154"/>
      <c r="I2" s="154"/>
      <c r="J2" s="154"/>
      <c r="K2" s="154"/>
      <c r="L2" s="154"/>
      <c r="M2" s="154"/>
      <c r="N2" s="154"/>
      <c r="O2" s="154"/>
      <c r="P2" s="154"/>
      <c r="AE2" s="10" t="s">
        <v>672</v>
      </c>
      <c r="AF2" s="151"/>
      <c r="AG2" s="151"/>
    </row>
    <row r="3" spans="1:246" s="152" customFormat="1" ht="13.8" thickBot="1" x14ac:dyDescent="0.3">
      <c r="C3" s="155">
        <v>2010</v>
      </c>
      <c r="D3" s="155">
        <v>2011</v>
      </c>
      <c r="E3" s="155">
        <v>2012</v>
      </c>
      <c r="F3" s="155">
        <v>2013</v>
      </c>
      <c r="G3" s="155">
        <v>2014</v>
      </c>
      <c r="H3" s="155">
        <v>2015</v>
      </c>
      <c r="I3" s="155">
        <v>2016</v>
      </c>
      <c r="J3" s="155">
        <v>2017</v>
      </c>
      <c r="K3" s="155">
        <v>2018</v>
      </c>
      <c r="L3" s="155">
        <v>2019</v>
      </c>
      <c r="M3" s="155">
        <v>2020</v>
      </c>
      <c r="N3" s="155">
        <v>2021</v>
      </c>
      <c r="O3" s="155">
        <v>2022</v>
      </c>
      <c r="P3" s="155">
        <v>2023</v>
      </c>
      <c r="Q3" s="155">
        <v>2024</v>
      </c>
      <c r="R3" s="155">
        <v>2025</v>
      </c>
      <c r="S3" s="155">
        <v>2026</v>
      </c>
      <c r="T3" s="155">
        <v>2027</v>
      </c>
      <c r="U3" s="155">
        <v>2028</v>
      </c>
      <c r="V3" s="155">
        <v>2029</v>
      </c>
      <c r="W3" s="155">
        <v>2030</v>
      </c>
      <c r="X3" s="155">
        <v>2031</v>
      </c>
      <c r="Y3" s="155">
        <v>2032</v>
      </c>
      <c r="Z3" s="155">
        <v>2033</v>
      </c>
      <c r="AA3" s="155">
        <v>2034</v>
      </c>
      <c r="AB3" s="155">
        <v>2035</v>
      </c>
      <c r="AC3" s="155">
        <v>2036</v>
      </c>
      <c r="AD3" s="155">
        <v>2037</v>
      </c>
      <c r="AE3" s="156" t="s">
        <v>673</v>
      </c>
      <c r="AF3" s="151"/>
      <c r="AG3" s="151"/>
    </row>
    <row r="4" spans="1:246" s="152" customFormat="1" x14ac:dyDescent="0.25">
      <c r="A4" s="157"/>
      <c r="B4" s="157"/>
      <c r="C4" s="158"/>
      <c r="D4" s="158"/>
      <c r="E4" s="158"/>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row>
    <row r="5" spans="1:246" s="162" customFormat="1" ht="13.8" thickBot="1" x14ac:dyDescent="0.3">
      <c r="A5" s="157" t="s">
        <v>674</v>
      </c>
      <c r="B5" s="157"/>
      <c r="C5" s="160">
        <f>+'Income Statement'!E44</f>
        <v>0</v>
      </c>
      <c r="D5" s="160">
        <f>+'Income Statement'!F44</f>
        <v>0</v>
      </c>
      <c r="E5" s="160">
        <f>+'Income Statement'!G44</f>
        <v>0</v>
      </c>
      <c r="F5" s="161">
        <f>+'Income Statement'!H44</f>
        <v>0</v>
      </c>
      <c r="G5" s="161">
        <f>+'Income Statement'!I44</f>
        <v>0</v>
      </c>
      <c r="H5" s="161">
        <f>+'Income Statement'!J44</f>
        <v>0</v>
      </c>
      <c r="I5" s="161">
        <f>+'Income Statement'!K44</f>
        <v>0</v>
      </c>
      <c r="J5" s="161">
        <f>+'Income Statement'!L44</f>
        <v>0</v>
      </c>
      <c r="K5" s="161">
        <f>+'Income Statement'!M44</f>
        <v>-3620.4629005348552</v>
      </c>
      <c r="L5" s="161">
        <f>+'Income Statement'!N44</f>
        <v>-3355.7767821473162</v>
      </c>
      <c r="M5" s="161">
        <f>+'Income Statement'!O44</f>
        <v>-8172.2599566185345</v>
      </c>
      <c r="N5" s="161">
        <f>+'Income Statement'!P44</f>
        <v>-8471.9648581698893</v>
      </c>
      <c r="O5" s="161">
        <f>+'Income Statement'!Q44</f>
        <v>-5174.4078503531618</v>
      </c>
      <c r="P5" s="161">
        <f>+'Income Statement'!R44</f>
        <v>4578.2804757888407</v>
      </c>
      <c r="Q5" s="161">
        <f>+'Income Statement'!S44</f>
        <v>16615.466513608502</v>
      </c>
      <c r="R5" s="161">
        <f>+'Income Statement'!T44</f>
        <v>35203.404705658526</v>
      </c>
      <c r="S5" s="161">
        <f>+'Income Statement'!U44</f>
        <v>54307.816457536712</v>
      </c>
      <c r="T5" s="161">
        <f>+'Income Statement'!V44</f>
        <v>67876.739215255526</v>
      </c>
      <c r="U5" s="161">
        <f>+'Income Statement'!W44</f>
        <v>75647.827897234572</v>
      </c>
      <c r="V5" s="161">
        <f>+'Income Statement'!X44</f>
        <v>81287.416851068425</v>
      </c>
      <c r="W5" s="161">
        <f>+'Income Statement'!Y44</f>
        <v>94178.700831142851</v>
      </c>
      <c r="X5" s="161">
        <f>+'Income Statement'!Z44</f>
        <v>96824.643846965337</v>
      </c>
      <c r="Y5" s="161">
        <f>+'Income Statement'!AA44</f>
        <v>119977.54170301167</v>
      </c>
      <c r="Z5" s="161">
        <f>+'Income Statement'!AB44</f>
        <v>132490.86953936311</v>
      </c>
      <c r="AA5" s="161">
        <f>+'Income Statement'!AC44</f>
        <v>152335.08365333089</v>
      </c>
      <c r="AB5" s="161">
        <f>+'Income Statement'!AD44</f>
        <v>130300.9755274559</v>
      </c>
      <c r="AC5" s="161">
        <f>+'Income Statement'!AE44</f>
        <v>123805.16858282521</v>
      </c>
      <c r="AD5" s="161">
        <f>+'Income Statement'!AF44</f>
        <v>117462.50591407913</v>
      </c>
      <c r="AE5" s="158"/>
      <c r="AF5" s="152"/>
      <c r="AG5" s="152"/>
      <c r="AH5" s="152"/>
      <c r="AI5" s="152"/>
      <c r="AJ5" s="152"/>
      <c r="AK5" s="152"/>
      <c r="AL5" s="152"/>
      <c r="AM5" s="152"/>
      <c r="AN5" s="152"/>
      <c r="AO5" s="152"/>
      <c r="AP5" s="152"/>
      <c r="AQ5" s="152"/>
      <c r="AR5" s="152"/>
      <c r="AS5" s="152"/>
      <c r="AT5" s="152"/>
      <c r="AU5" s="152"/>
      <c r="AV5" s="152"/>
      <c r="AW5" s="152"/>
      <c r="AX5" s="152"/>
      <c r="AY5" s="152"/>
      <c r="AZ5" s="152"/>
      <c r="BA5" s="152"/>
      <c r="BB5" s="152"/>
      <c r="BC5" s="152"/>
      <c r="BD5" s="152"/>
      <c r="BE5" s="152"/>
      <c r="BF5" s="152"/>
      <c r="BG5" s="152"/>
      <c r="BH5" s="152"/>
      <c r="BI5" s="152"/>
      <c r="BJ5" s="152"/>
      <c r="BK5" s="152"/>
      <c r="BL5" s="152"/>
      <c r="BM5" s="152"/>
      <c r="BN5" s="152"/>
      <c r="BO5" s="152"/>
      <c r="BP5" s="152"/>
      <c r="BQ5" s="152"/>
      <c r="BR5" s="152"/>
      <c r="BS5" s="152"/>
      <c r="BT5" s="152"/>
      <c r="BU5" s="152"/>
      <c r="BV5" s="152"/>
      <c r="BW5" s="152"/>
      <c r="BX5" s="152"/>
      <c r="BY5" s="152"/>
      <c r="BZ5" s="152"/>
      <c r="CA5" s="152"/>
      <c r="CB5" s="152"/>
      <c r="CC5" s="152"/>
      <c r="CD5" s="152"/>
      <c r="CE5" s="152"/>
      <c r="CF5" s="152"/>
      <c r="CG5" s="152"/>
      <c r="CH5" s="152"/>
      <c r="CI5" s="152"/>
      <c r="CJ5" s="152"/>
      <c r="CK5" s="152"/>
      <c r="CL5" s="152"/>
      <c r="CM5" s="152"/>
      <c r="CN5" s="152"/>
      <c r="CO5" s="152"/>
      <c r="CP5" s="152"/>
      <c r="CQ5" s="152"/>
      <c r="CR5" s="152"/>
      <c r="CS5" s="152"/>
      <c r="CT5" s="152"/>
      <c r="CU5" s="152"/>
      <c r="CV5" s="152"/>
      <c r="CW5" s="152"/>
      <c r="CX5" s="152"/>
      <c r="CY5" s="152"/>
      <c r="CZ5" s="152"/>
      <c r="DA5" s="152"/>
      <c r="DB5" s="152"/>
      <c r="DC5" s="152"/>
      <c r="DD5" s="152"/>
      <c r="DE5" s="152"/>
      <c r="DF5" s="152"/>
      <c r="DG5" s="152"/>
      <c r="DH5" s="152"/>
      <c r="DI5" s="152"/>
      <c r="DJ5" s="152"/>
      <c r="DK5" s="152"/>
      <c r="DL5" s="152"/>
      <c r="DM5" s="152"/>
      <c r="DN5" s="152"/>
      <c r="DO5" s="152"/>
      <c r="DP5" s="152"/>
      <c r="DQ5" s="152"/>
      <c r="DR5" s="152"/>
      <c r="DS5" s="152"/>
      <c r="DT5" s="152"/>
      <c r="DU5" s="152"/>
      <c r="DV5" s="152"/>
      <c r="DW5" s="152"/>
      <c r="DX5" s="152"/>
      <c r="DY5" s="152"/>
      <c r="DZ5" s="152"/>
      <c r="EA5" s="152"/>
      <c r="EB5" s="152"/>
      <c r="EC5" s="152"/>
      <c r="ED5" s="152"/>
      <c r="EE5" s="152"/>
      <c r="EF5" s="152"/>
      <c r="EG5" s="152"/>
      <c r="EH5" s="152"/>
      <c r="EI5" s="152"/>
      <c r="EJ5" s="152"/>
      <c r="EK5" s="152"/>
      <c r="EL5" s="152"/>
      <c r="EM5" s="152"/>
      <c r="EN5" s="152"/>
      <c r="EO5" s="152"/>
      <c r="EP5" s="152"/>
      <c r="EQ5" s="152"/>
      <c r="ER5" s="152"/>
      <c r="ES5" s="152"/>
      <c r="ET5" s="152"/>
      <c r="EU5" s="152"/>
      <c r="EV5" s="152"/>
      <c r="EW5" s="152"/>
      <c r="EX5" s="152"/>
      <c r="EY5" s="152"/>
      <c r="EZ5" s="152"/>
      <c r="FA5" s="152"/>
      <c r="FB5" s="152"/>
      <c r="FC5" s="152"/>
      <c r="FD5" s="152"/>
      <c r="FE5" s="152"/>
      <c r="FF5" s="152"/>
      <c r="FG5" s="152"/>
      <c r="FH5" s="152"/>
      <c r="FI5" s="152"/>
      <c r="FJ5" s="152"/>
      <c r="FK5" s="152"/>
      <c r="FL5" s="152"/>
      <c r="FM5" s="152"/>
      <c r="FN5" s="152"/>
      <c r="FO5" s="152"/>
      <c r="FP5" s="152"/>
      <c r="FQ5" s="152"/>
      <c r="FR5" s="152"/>
      <c r="FS5" s="152"/>
      <c r="FT5" s="152"/>
      <c r="FU5" s="152"/>
      <c r="FV5" s="152"/>
      <c r="FW5" s="152"/>
      <c r="FX5" s="152"/>
      <c r="FY5" s="152"/>
      <c r="FZ5" s="152"/>
      <c r="GA5" s="152"/>
      <c r="GB5" s="152"/>
      <c r="GC5" s="152"/>
      <c r="GD5" s="152"/>
      <c r="GE5" s="152"/>
      <c r="GF5" s="152"/>
      <c r="GG5" s="152"/>
      <c r="GH5" s="152"/>
      <c r="GI5" s="152"/>
      <c r="GJ5" s="152"/>
      <c r="GK5" s="152"/>
      <c r="GL5" s="152"/>
      <c r="GM5" s="152"/>
      <c r="GN5" s="152"/>
      <c r="GO5" s="152"/>
      <c r="GP5" s="152"/>
      <c r="GQ5" s="152"/>
      <c r="GR5" s="152"/>
      <c r="GS5" s="152"/>
      <c r="GT5" s="152"/>
      <c r="GU5" s="152"/>
      <c r="GV5" s="152"/>
      <c r="GW5" s="152"/>
      <c r="GX5" s="152"/>
      <c r="GY5" s="152"/>
      <c r="GZ5" s="152"/>
      <c r="HA5" s="152"/>
      <c r="HB5" s="152"/>
      <c r="HC5" s="152"/>
      <c r="HD5" s="152"/>
      <c r="HE5" s="152"/>
      <c r="HF5" s="152"/>
      <c r="HG5" s="152"/>
      <c r="HH5" s="152"/>
      <c r="HI5" s="152"/>
      <c r="HJ5" s="152"/>
      <c r="HK5" s="152"/>
      <c r="HL5" s="152"/>
      <c r="HM5" s="152"/>
      <c r="HN5" s="152"/>
      <c r="HO5" s="152"/>
      <c r="HP5" s="152"/>
      <c r="HQ5" s="152"/>
      <c r="HR5" s="152"/>
      <c r="HS5" s="152"/>
      <c r="HT5" s="152"/>
      <c r="HU5" s="152"/>
      <c r="HV5" s="152"/>
      <c r="HW5" s="152"/>
      <c r="HX5" s="152"/>
      <c r="HY5" s="152"/>
      <c r="HZ5" s="152"/>
      <c r="IA5" s="152"/>
      <c r="IB5" s="152"/>
      <c r="IC5" s="152"/>
      <c r="ID5" s="152"/>
      <c r="IE5" s="152"/>
      <c r="IF5" s="152"/>
      <c r="IG5" s="152"/>
      <c r="IH5" s="152"/>
      <c r="II5" s="152"/>
      <c r="IJ5" s="152"/>
      <c r="IK5" s="152"/>
      <c r="IL5" s="152"/>
    </row>
    <row r="6" spans="1:246" s="152" customFormat="1" ht="13.8" thickTop="1" x14ac:dyDescent="0.25">
      <c r="C6" s="163"/>
      <c r="D6" s="163"/>
      <c r="E6" s="163"/>
      <c r="F6" s="164"/>
      <c r="G6" s="164"/>
      <c r="H6" s="164"/>
      <c r="I6" s="164"/>
      <c r="J6" s="164"/>
      <c r="K6" s="164"/>
      <c r="L6" s="164"/>
      <c r="M6" s="164"/>
      <c r="N6" s="164"/>
      <c r="O6" s="164"/>
      <c r="P6" s="164"/>
      <c r="Q6" s="164"/>
      <c r="R6" s="164"/>
      <c r="S6" s="164"/>
      <c r="T6" s="164"/>
      <c r="U6" s="164"/>
      <c r="V6" s="164"/>
      <c r="W6" s="164"/>
      <c r="X6" s="164"/>
      <c r="Y6" s="164"/>
      <c r="Z6" s="164"/>
      <c r="AA6" s="164"/>
      <c r="AB6" s="164"/>
      <c r="AC6" s="164"/>
      <c r="AD6" s="164"/>
    </row>
    <row r="7" spans="1:246" s="152" customFormat="1" x14ac:dyDescent="0.25">
      <c r="A7" s="157" t="s">
        <v>349</v>
      </c>
      <c r="B7" s="157"/>
      <c r="C7" s="165">
        <f>-('Amortz &amp; Depr'!$D33+'Amortz &amp; Depr'!$L33)</f>
        <v>0</v>
      </c>
      <c r="D7" s="165">
        <f>-('Amortz &amp; Depr'!$D34+'Amortz &amp; Depr'!$L34)</f>
        <v>0</v>
      </c>
      <c r="E7" s="165">
        <f>-('Amortz &amp; Depr'!$D35+'Amortz &amp; Depr'!$L35)</f>
        <v>0</v>
      </c>
      <c r="F7" s="165">
        <f>-('Amortz &amp; Depr'!$D36+'Amortz &amp; Depr'!$L36)</f>
        <v>0</v>
      </c>
      <c r="G7" s="165">
        <f>-('Amortz &amp; Depr'!$D37+'Amortz &amp; Depr'!$L37)</f>
        <v>0</v>
      </c>
      <c r="H7" s="165">
        <f>-('Amortz &amp; Depr'!$D38+'Amortz &amp; Depr'!$L38)</f>
        <v>0</v>
      </c>
      <c r="I7" s="165">
        <f>-('Amortz &amp; Depr'!$D39+'Amortz &amp; Depr'!$L39)</f>
        <v>0</v>
      </c>
      <c r="J7" s="165">
        <f>-('Amortz &amp; Depr'!$D40+'Amortz &amp; Depr'!$L40)</f>
        <v>0</v>
      </c>
      <c r="K7" s="165">
        <f>-('Amortz &amp; Depr'!$D41+'Amortz &amp; Depr'!$L41)</f>
        <v>0</v>
      </c>
      <c r="L7" s="165">
        <f>-('Amortz &amp; Depr'!$D42+'Amortz &amp; Depr'!$L42)</f>
        <v>0</v>
      </c>
      <c r="M7" s="165">
        <f>-('Amortz &amp; Depr'!$D43+'Amortz &amp; Depr'!$L43)</f>
        <v>0</v>
      </c>
      <c r="N7" s="165">
        <f>-('Amortz &amp; Depr'!$D44+'Amortz &amp; Depr'!$L44)</f>
        <v>0</v>
      </c>
      <c r="O7" s="165">
        <f>-('Amortz &amp; Depr'!$D45+'Amortz &amp; Depr'!$L45)</f>
        <v>0</v>
      </c>
      <c r="P7" s="165">
        <f>-('Amortz &amp; Depr'!$D46+'Amortz &amp; Depr'!$L46)</f>
        <v>0</v>
      </c>
      <c r="Q7" s="165">
        <f>-('Amortz &amp; Depr'!$D47+'Amortz &amp; Depr'!$L47)</f>
        <v>0</v>
      </c>
      <c r="R7" s="165">
        <f>-('Amortz &amp; Depr'!$D48+'Amortz &amp; Depr'!$L48)</f>
        <v>0</v>
      </c>
      <c r="S7" s="165">
        <f>-('Amortz &amp; Depr'!$D49+'Amortz &amp; Depr'!$L49)</f>
        <v>0</v>
      </c>
      <c r="T7" s="165"/>
      <c r="U7" s="165"/>
      <c r="V7" s="165"/>
      <c r="W7" s="165"/>
      <c r="X7" s="165"/>
      <c r="Y7" s="165"/>
      <c r="Z7" s="165"/>
      <c r="AA7" s="165"/>
      <c r="AB7" s="165"/>
      <c r="AC7" s="165"/>
      <c r="AD7" s="165"/>
      <c r="AF7" s="165"/>
      <c r="AG7" s="165"/>
      <c r="AH7" s="165"/>
      <c r="AI7" s="165"/>
      <c r="AJ7" s="165"/>
      <c r="AK7" s="165"/>
      <c r="AL7" s="165"/>
      <c r="AM7" s="165"/>
      <c r="AN7" s="165"/>
    </row>
    <row r="8" spans="1:246" s="152" customFormat="1" x14ac:dyDescent="0.25">
      <c r="A8" s="157" t="s">
        <v>771</v>
      </c>
      <c r="B8" s="157"/>
      <c r="C8" s="165">
        <f>'Amortz &amp; Depr'!D$99+'Amortz &amp; Depr'!D$125</f>
        <v>0</v>
      </c>
      <c r="D8" s="165">
        <f>'Amortz &amp; Depr'!E$99+'Amortz &amp; Depr'!E$125</f>
        <v>0</v>
      </c>
      <c r="E8" s="165">
        <f>'Amortz &amp; Depr'!F$99+'Amortz &amp; Depr'!F$125</f>
        <v>0</v>
      </c>
      <c r="F8" s="165">
        <f>'Amortz &amp; Depr'!G$99+'Amortz &amp; Depr'!G$125</f>
        <v>0</v>
      </c>
      <c r="G8" s="165">
        <f>'Amortz &amp; Depr'!H$99+'Amortz &amp; Depr'!H$125</f>
        <v>0</v>
      </c>
      <c r="H8" s="165">
        <f>'Amortz &amp; Depr'!I$99+'Amortz &amp; Depr'!I$125</f>
        <v>0</v>
      </c>
      <c r="I8" s="165">
        <f>'Amortz &amp; Depr'!J$99+'Amortz &amp; Depr'!J$125</f>
        <v>0</v>
      </c>
      <c r="J8" s="165">
        <f>'Amortz &amp; Depr'!K$99+'Amortz &amp; Depr'!K$125</f>
        <v>0</v>
      </c>
      <c r="K8" s="165">
        <f>'Amortz &amp; Depr'!L$99+'Amortz &amp; Depr'!L$125</f>
        <v>0</v>
      </c>
      <c r="L8" s="165">
        <f>'Amortz &amp; Depr'!M$99+'Amortz &amp; Depr'!M$125</f>
        <v>0</v>
      </c>
      <c r="M8" s="165">
        <f>'Amortz &amp; Depr'!N$99+'Amortz &amp; Depr'!N$125</f>
        <v>0</v>
      </c>
      <c r="N8" s="165">
        <f>'Amortz &amp; Depr'!O$99+'Amortz &amp; Depr'!O$125</f>
        <v>0</v>
      </c>
      <c r="O8" s="165">
        <f>'Amortz &amp; Depr'!P$99+'Amortz &amp; Depr'!P$125</f>
        <v>0</v>
      </c>
      <c r="P8" s="165">
        <f>'Amortz &amp; Depr'!Q$99+'Amortz &amp; Depr'!Q$125</f>
        <v>0</v>
      </c>
      <c r="Q8" s="165">
        <f>'Amortz &amp; Depr'!R$99+'Amortz &amp; Depr'!R$125</f>
        <v>0</v>
      </c>
      <c r="R8" s="165">
        <f>'Amortz &amp; Depr'!S$99+'Amortz &amp; Depr'!S$125</f>
        <v>0</v>
      </c>
      <c r="S8" s="165">
        <f>'Amortz &amp; Depr'!T$99+'Amortz &amp; Depr'!T$125</f>
        <v>0</v>
      </c>
      <c r="T8" s="165"/>
      <c r="U8" s="165"/>
      <c r="V8" s="165"/>
      <c r="W8" s="165"/>
      <c r="X8" s="165"/>
      <c r="Y8" s="165"/>
      <c r="Z8" s="165"/>
      <c r="AA8" s="165"/>
      <c r="AB8" s="165"/>
      <c r="AC8" s="165"/>
      <c r="AD8" s="165"/>
    </row>
    <row r="9" spans="1:246" s="152" customFormat="1" x14ac:dyDescent="0.25">
      <c r="A9" s="157"/>
      <c r="B9" s="157"/>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row>
    <row r="10" spans="1:246" s="3087" customFormat="1" x14ac:dyDescent="0.25">
      <c r="A10" s="183" t="s">
        <v>2509</v>
      </c>
      <c r="B10" s="183"/>
      <c r="C10" s="3086"/>
      <c r="D10" s="3086"/>
      <c r="E10" s="3086"/>
      <c r="F10" s="3086"/>
      <c r="G10" s="3086"/>
      <c r="H10" s="3086"/>
      <c r="I10" s="3086"/>
      <c r="J10" s="3086"/>
      <c r="K10" s="3086"/>
      <c r="L10" s="3086"/>
      <c r="M10" s="3086"/>
      <c r="N10" s="3086"/>
      <c r="O10" s="3086"/>
      <c r="P10" s="3086">
        <v>-14000</v>
      </c>
      <c r="Q10" s="165"/>
      <c r="R10" s="165"/>
      <c r="S10" s="3086"/>
      <c r="T10" s="3086"/>
      <c r="U10" s="3086"/>
      <c r="V10" s="3086"/>
      <c r="W10" s="3086"/>
      <c r="X10" s="3086"/>
      <c r="Y10" s="3086"/>
      <c r="Z10" s="3086"/>
      <c r="AA10" s="3086"/>
      <c r="AB10" s="3086"/>
      <c r="AC10" s="3086"/>
      <c r="AD10" s="3086"/>
    </row>
    <row r="11" spans="1:246" s="3087" customFormat="1" x14ac:dyDescent="0.25">
      <c r="A11" s="183" t="s">
        <v>2510</v>
      </c>
      <c r="B11" s="183"/>
      <c r="C11" s="3086"/>
      <c r="D11" s="3086"/>
      <c r="E11" s="3086"/>
      <c r="F11" s="3086"/>
      <c r="G11" s="3086"/>
      <c r="H11" s="3086"/>
      <c r="I11" s="3086"/>
      <c r="J11" s="3086"/>
      <c r="K11" s="3086"/>
      <c r="L11" s="3086"/>
      <c r="M11" s="3086"/>
      <c r="N11" s="3086"/>
      <c r="O11" s="3086">
        <f>SUM('Income Statement'!Q38:Q40)</f>
        <v>0</v>
      </c>
      <c r="P11" s="3086">
        <f>SUM('Income Statement'!R38:R40)</f>
        <v>933.33333333333337</v>
      </c>
      <c r="Q11" s="3086">
        <f>SUM('Income Statement'!S38:S40)</f>
        <v>933.33333333333337</v>
      </c>
      <c r="R11" s="3086">
        <f>SUM('Income Statement'!T38:T40)</f>
        <v>933.33333333333337</v>
      </c>
      <c r="S11" s="3086">
        <f>SUM('Income Statement'!U38:U40)</f>
        <v>933.33333333333337</v>
      </c>
      <c r="T11" s="3086">
        <f>SUM('Income Statement'!V38:V40)</f>
        <v>933.33333333333337</v>
      </c>
      <c r="U11" s="3086">
        <f>SUM('Income Statement'!W38:W40)</f>
        <v>933.33333333333337</v>
      </c>
      <c r="V11" s="3086">
        <f>SUM('Income Statement'!X38:X40)</f>
        <v>933.33333333333337</v>
      </c>
      <c r="W11" s="3086">
        <f>SUM('Income Statement'!Y38:Y40)</f>
        <v>933.33333333333337</v>
      </c>
      <c r="X11" s="3086">
        <f>SUM('Income Statement'!Z38:Z40)</f>
        <v>933.33333333333337</v>
      </c>
      <c r="Y11" s="3086">
        <f>SUM('Income Statement'!AA38:AA40)</f>
        <v>933.33333333333337</v>
      </c>
      <c r="Z11" s="3086">
        <f>SUM('Income Statement'!AB38:AB40)</f>
        <v>933.33333333333337</v>
      </c>
      <c r="AA11" s="3086">
        <f>SUM('Income Statement'!AC38:AC40)</f>
        <v>933.33333333333337</v>
      </c>
      <c r="AB11" s="3086">
        <f>SUM('Income Statement'!AD38:AD40)</f>
        <v>933.33333333333337</v>
      </c>
      <c r="AC11" s="3086">
        <f>SUM('Income Statement'!AE38:AE40)</f>
        <v>933.33333333333337</v>
      </c>
      <c r="AD11" s="3086">
        <f>SUM('Income Statement'!AF38:AF40)</f>
        <v>933.33333333333337</v>
      </c>
    </row>
    <row r="12" spans="1:246" s="3087" customFormat="1" x14ac:dyDescent="0.25">
      <c r="B12" s="183"/>
      <c r="C12" s="3086"/>
      <c r="D12" s="3086"/>
      <c r="E12" s="3086"/>
      <c r="F12" s="3086"/>
      <c r="G12" s="3086"/>
      <c r="H12" s="3086"/>
      <c r="I12" s="3086"/>
      <c r="J12" s="3086"/>
      <c r="K12" s="3086"/>
      <c r="L12" s="3086"/>
      <c r="M12" s="3086"/>
      <c r="N12" s="3086"/>
      <c r="O12" s="3086"/>
      <c r="P12" s="3086"/>
      <c r="Q12" s="3086"/>
      <c r="R12" s="3086"/>
      <c r="S12" s="3086"/>
      <c r="T12" s="3086"/>
      <c r="U12" s="3086"/>
      <c r="V12" s="3086"/>
      <c r="W12" s="3086"/>
      <c r="X12" s="3086"/>
      <c r="Y12" s="3086"/>
      <c r="Z12" s="3086"/>
      <c r="AA12" s="3086"/>
      <c r="AB12" s="3086"/>
      <c r="AC12" s="3086"/>
      <c r="AD12" s="3086"/>
    </row>
    <row r="13" spans="1:246" s="152" customFormat="1" x14ac:dyDescent="0.25">
      <c r="A13" s="157" t="s">
        <v>350</v>
      </c>
      <c r="B13" s="157"/>
      <c r="C13" s="165">
        <f>-('Amortz &amp; Depr'!$D10+'Amortz &amp; Depr'!$L10)</f>
        <v>0</v>
      </c>
      <c r="D13" s="165">
        <f>-('Amortz &amp; Depr'!$D11+'Amortz &amp; Depr'!$L11)</f>
        <v>0</v>
      </c>
      <c r="E13" s="165">
        <f>-('Amortz &amp; Depr'!$D12+'Amortz &amp; Depr'!$L12)</f>
        <v>0</v>
      </c>
      <c r="F13" s="165">
        <f>-('Amortz &amp; Depr'!$D13+'Amortz &amp; Depr'!$L13)</f>
        <v>0</v>
      </c>
      <c r="G13" s="165">
        <f>-('Amortz &amp; Depr'!$D14+'Amortz &amp; Depr'!$L14)</f>
        <v>0</v>
      </c>
      <c r="H13" s="165">
        <f>-('Amortz &amp; Depr'!$D15+'Amortz &amp; Depr'!$L15)</f>
        <v>0</v>
      </c>
      <c r="I13" s="165">
        <f>-('Amortz &amp; Depr'!$D16+'Amortz &amp; Depr'!$L16)</f>
        <v>0</v>
      </c>
      <c r="J13" s="165">
        <f>-('Amortz &amp; Depr'!$D17+'Amortz &amp; Depr'!$L17)</f>
        <v>0</v>
      </c>
      <c r="K13" s="165">
        <f>-('Amortz &amp; Depr'!$D18+'Amortz &amp; Depr'!$L18)</f>
        <v>0</v>
      </c>
      <c r="L13" s="165">
        <f>-('Amortz &amp; Depr'!$D19+'Amortz &amp; Depr'!$L19)</f>
        <v>0</v>
      </c>
      <c r="M13" s="165">
        <f>-('Amortz &amp; Depr'!$D20+'Amortz &amp; Depr'!$L20)</f>
        <v>0</v>
      </c>
      <c r="N13" s="165">
        <f>-('Amortz &amp; Depr'!$D21+'Amortz &amp; Depr'!$L21)</f>
        <v>0</v>
      </c>
      <c r="O13" s="165">
        <f>-('Amortz &amp; Depr'!$D22+'Amortz &amp; Depr'!$L22)</f>
        <v>0</v>
      </c>
      <c r="P13" s="165">
        <f>-('Amortz &amp; Depr'!$D23+'Amortz &amp; Depr'!$L23)</f>
        <v>0</v>
      </c>
      <c r="Q13" s="165">
        <f>-('Amortz &amp; Depr'!$D24+'Amortz &amp; Depr'!$L24)</f>
        <v>0</v>
      </c>
      <c r="R13" s="165">
        <f>-('Amortz &amp; Depr'!$D25+'Amortz &amp; Depr'!$L25)</f>
        <v>0</v>
      </c>
      <c r="S13" s="165">
        <f>-('Amortz &amp; Depr'!$D26+'Amortz &amp; Depr'!$L26)</f>
        <v>0</v>
      </c>
      <c r="T13" s="165"/>
      <c r="U13" s="165"/>
      <c r="V13" s="165"/>
      <c r="W13" s="165"/>
      <c r="X13" s="165"/>
      <c r="Y13" s="165"/>
      <c r="Z13" s="165"/>
      <c r="AA13" s="165"/>
      <c r="AB13" s="165"/>
      <c r="AC13" s="165"/>
      <c r="AD13" s="165"/>
    </row>
    <row r="14" spans="1:246" s="152" customFormat="1" x14ac:dyDescent="0.25">
      <c r="A14" s="157" t="s">
        <v>20</v>
      </c>
      <c r="B14" s="157"/>
      <c r="C14" s="165">
        <f>'Amortz &amp; Depr'!D$75+'Amortz &amp; Depr'!D$151</f>
        <v>0</v>
      </c>
      <c r="D14" s="165">
        <f>'Amortz &amp; Depr'!E$75+'Amortz &amp; Depr'!E$151</f>
        <v>0</v>
      </c>
      <c r="E14" s="165">
        <f>'Amortz &amp; Depr'!F$75+'Amortz &amp; Depr'!F$151</f>
        <v>0</v>
      </c>
      <c r="F14" s="165">
        <f>'Amortz &amp; Depr'!G$75+'Amortz &amp; Depr'!G$151</f>
        <v>0</v>
      </c>
      <c r="G14" s="165">
        <f>'Amortz &amp; Depr'!H$75+'Amortz &amp; Depr'!H$151</f>
        <v>0</v>
      </c>
      <c r="H14" s="165">
        <f>'Amortz &amp; Depr'!I$75+'Amortz &amp; Depr'!I$151</f>
        <v>0</v>
      </c>
      <c r="I14" s="165">
        <f>'Amortz &amp; Depr'!J$75+'Amortz &amp; Depr'!J$151</f>
        <v>0</v>
      </c>
      <c r="J14" s="165">
        <f>'Amortz &amp; Depr'!K$75+'Amortz &amp; Depr'!K$151</f>
        <v>0</v>
      </c>
      <c r="K14" s="165">
        <f>'Amortz &amp; Depr'!L$75+'Amortz &amp; Depr'!L$151</f>
        <v>0</v>
      </c>
      <c r="L14" s="165">
        <f>'Amortz &amp; Depr'!M$75+'Amortz &amp; Depr'!M$151</f>
        <v>0</v>
      </c>
      <c r="M14" s="165">
        <f>'Amortz &amp; Depr'!N$75+'Amortz &amp; Depr'!N$151</f>
        <v>0</v>
      </c>
      <c r="N14" s="165">
        <f>'Amortz &amp; Depr'!O$75+'Amortz &amp; Depr'!O$151</f>
        <v>0</v>
      </c>
      <c r="O14" s="165">
        <f>'Amortz &amp; Depr'!P$75+'Amortz &amp; Depr'!P$151</f>
        <v>0</v>
      </c>
      <c r="P14" s="165">
        <f>'Amortz &amp; Depr'!Q$75+'Amortz &amp; Depr'!Q$151</f>
        <v>0</v>
      </c>
      <c r="Q14" s="165">
        <f>'Amortz &amp; Depr'!R$75+'Amortz &amp; Depr'!R$151</f>
        <v>0</v>
      </c>
      <c r="R14" s="165">
        <f>'Amortz &amp; Depr'!S$75+'Amortz &amp; Depr'!S$151</f>
        <v>0</v>
      </c>
      <c r="S14" s="165">
        <f>'Amortz &amp; Depr'!T$75+'Amortz &amp; Depr'!T$151</f>
        <v>0</v>
      </c>
      <c r="T14" s="165"/>
      <c r="U14" s="165"/>
      <c r="V14" s="165"/>
      <c r="W14" s="165"/>
      <c r="X14" s="165"/>
      <c r="Y14" s="165"/>
      <c r="Z14" s="165"/>
      <c r="AA14" s="165"/>
      <c r="AB14" s="165"/>
      <c r="AC14" s="165"/>
      <c r="AD14" s="165"/>
    </row>
    <row r="15" spans="1:246" s="152" customFormat="1" x14ac:dyDescent="0.25">
      <c r="C15" s="166"/>
      <c r="D15" s="166"/>
      <c r="E15" s="166"/>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row>
    <row r="16" spans="1:246" s="152" customFormat="1" ht="13.65" customHeight="1" x14ac:dyDescent="0.25">
      <c r="A16" s="152" t="s">
        <v>113</v>
      </c>
      <c r="B16" s="168">
        <v>55</v>
      </c>
      <c r="C16" s="169">
        <f>(+'Income Statement'!E$8/360)*$B$16</f>
        <v>0</v>
      </c>
      <c r="D16" s="169">
        <f>(+'Income Statement'!F$8/360)*$B$16</f>
        <v>0</v>
      </c>
      <c r="E16" s="169">
        <f>(+'Income Statement'!G$8/360)*$B$16</f>
        <v>0</v>
      </c>
      <c r="F16" s="169">
        <f>(+'Income Statement'!H$8/360)*$B$16</f>
        <v>0</v>
      </c>
      <c r="G16" s="169">
        <f>(+'Income Statement'!I$8/360)*$B$16</f>
        <v>0</v>
      </c>
      <c r="H16" s="169">
        <f>(+'Income Statement'!J$8/360)*$B$16</f>
        <v>0</v>
      </c>
      <c r="I16" s="169">
        <f>(+'Income Statement'!K$8/360)*$B$16</f>
        <v>0</v>
      </c>
      <c r="J16" s="169">
        <f>(+'Income Statement'!L$8/360)*$B$16</f>
        <v>0</v>
      </c>
      <c r="K16" s="169">
        <f>(+'Income Statement'!M$8/360)*$B$16</f>
        <v>0</v>
      </c>
      <c r="L16" s="169">
        <f>(+'Income Statement'!N$8/360)*$B$16</f>
        <v>0</v>
      </c>
      <c r="M16" s="169">
        <f>(+'Income Statement'!O$8/360)*$B$16</f>
        <v>0</v>
      </c>
      <c r="N16" s="169">
        <f>(+'Income Statement'!P$8/360)*$B$16</f>
        <v>0</v>
      </c>
      <c r="O16" s="169">
        <f>(+'Income Statement'!Q$8/360)*$B$16</f>
        <v>0</v>
      </c>
      <c r="P16" s="169">
        <f>(+'Income Statement'!R$8/360)*$B$16</f>
        <v>2546.3783591136003</v>
      </c>
      <c r="Q16" s="169">
        <f>(+'Income Statement'!S$8/360)*$B$16</f>
        <v>5892.4447772757258</v>
      </c>
      <c r="R16" s="169">
        <f>(+'Income Statement'!T$8/360)*$B$16</f>
        <v>11232.82867004439</v>
      </c>
      <c r="S16" s="169">
        <f>(+'Income Statement'!U$8/360)*$B$16</f>
        <v>16854.290904233068</v>
      </c>
      <c r="T16" s="169">
        <f>(+'Income Statement'!V$8/360)*$B$16</f>
        <v>20982.660999477113</v>
      </c>
      <c r="U16" s="169">
        <f>(+'Income Statement'!W$8/360)*$B$16</f>
        <v>23354.390297286744</v>
      </c>
      <c r="V16" s="169">
        <f>(+'Income Statement'!X$8/360)*$B$16</f>
        <v>25322.086630960694</v>
      </c>
      <c r="W16" s="169">
        <f>(+'Income Statement'!Y$8/360)*$B$16</f>
        <v>29056.786081660044</v>
      </c>
      <c r="X16" s="169">
        <f>(+'Income Statement'!Z$8/360)*$B$16</f>
        <v>30376.329455078147</v>
      </c>
      <c r="Y16" s="169">
        <f>(+'Income Statement'!AA$8/360)*$B$16</f>
        <v>36560.950132132049</v>
      </c>
      <c r="Z16" s="169">
        <f>(+'Income Statement'!AB$8/360)*$B$16</f>
        <v>41026.183959005917</v>
      </c>
      <c r="AA16" s="169">
        <f>(+'Income Statement'!AC$8/360)*$B$16</f>
        <v>47162.980192210423</v>
      </c>
      <c r="AB16" s="169">
        <f>(+'Income Statement'!AD$8/360)*$B$16</f>
        <v>41130.835025626715</v>
      </c>
      <c r="AC16" s="169">
        <f>(+'Income Statement'!AE$8/360)*$B$16</f>
        <v>39855.779139832288</v>
      </c>
      <c r="AD16" s="169">
        <f>(+'Income Statement'!AF$8/360)*$B$16</f>
        <v>38620.249986497482</v>
      </c>
    </row>
    <row r="17" spans="1:56" s="152" customFormat="1" x14ac:dyDescent="0.25">
      <c r="A17" s="157" t="s">
        <v>675</v>
      </c>
      <c r="B17" s="157"/>
      <c r="C17" s="169">
        <f>-C16</f>
        <v>0</v>
      </c>
      <c r="D17" s="169">
        <f t="shared" ref="D17:K17" si="0">C16-D16</f>
        <v>0</v>
      </c>
      <c r="E17" s="169">
        <f>D16-E16</f>
        <v>0</v>
      </c>
      <c r="F17" s="169">
        <f t="shared" si="0"/>
        <v>0</v>
      </c>
      <c r="G17" s="169">
        <f t="shared" si="0"/>
        <v>0</v>
      </c>
      <c r="H17" s="169">
        <f t="shared" si="0"/>
        <v>0</v>
      </c>
      <c r="I17" s="169">
        <f t="shared" si="0"/>
        <v>0</v>
      </c>
      <c r="J17" s="169">
        <f t="shared" si="0"/>
        <v>0</v>
      </c>
      <c r="K17" s="169">
        <f t="shared" si="0"/>
        <v>0</v>
      </c>
      <c r="L17" s="169">
        <f t="shared" ref="L17:S17" si="1">K16-L16</f>
        <v>0</v>
      </c>
      <c r="M17" s="169">
        <f t="shared" si="1"/>
        <v>0</v>
      </c>
      <c r="N17" s="169">
        <f t="shared" si="1"/>
        <v>0</v>
      </c>
      <c r="O17" s="169">
        <f t="shared" si="1"/>
        <v>0</v>
      </c>
      <c r="P17" s="169">
        <f t="shared" si="1"/>
        <v>-2546.3783591136003</v>
      </c>
      <c r="Q17" s="169">
        <f t="shared" si="1"/>
        <v>-3346.0664181621255</v>
      </c>
      <c r="R17" s="169">
        <f t="shared" si="1"/>
        <v>-5340.3838927686638</v>
      </c>
      <c r="S17" s="169">
        <f t="shared" si="1"/>
        <v>-5621.4622341886788</v>
      </c>
      <c r="T17" s="169">
        <f t="shared" ref="T17" si="2">S16-T16</f>
        <v>-4128.3700952440449</v>
      </c>
      <c r="U17" s="169">
        <f t="shared" ref="U17" si="3">T16-U16</f>
        <v>-2371.7292978096302</v>
      </c>
      <c r="V17" s="169">
        <f t="shared" ref="V17" si="4">U16-V16</f>
        <v>-1967.69633367395</v>
      </c>
      <c r="W17" s="169">
        <f t="shared" ref="W17" si="5">V16-W16</f>
        <v>-3734.6994506993506</v>
      </c>
      <c r="X17" s="169">
        <f t="shared" ref="X17" si="6">W16-X16</f>
        <v>-1319.5433734181024</v>
      </c>
      <c r="Y17" s="169">
        <f t="shared" ref="Y17" si="7">X16-Y16</f>
        <v>-6184.6206770539029</v>
      </c>
      <c r="Z17" s="169">
        <f t="shared" ref="Z17" si="8">Y16-Z16</f>
        <v>-4465.2338268738677</v>
      </c>
      <c r="AA17" s="169">
        <f t="shared" ref="AA17:AD17" si="9">Z16-AA16</f>
        <v>-6136.7962332045063</v>
      </c>
      <c r="AB17" s="169">
        <f t="shared" si="9"/>
        <v>6032.1451665837085</v>
      </c>
      <c r="AC17" s="169">
        <f t="shared" si="9"/>
        <v>1275.055885794427</v>
      </c>
      <c r="AD17" s="169">
        <f t="shared" si="9"/>
        <v>1235.5291533348063</v>
      </c>
    </row>
    <row r="18" spans="1:56" s="152" customFormat="1" x14ac:dyDescent="0.25">
      <c r="A18" s="170"/>
      <c r="B18" s="170"/>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row>
    <row r="19" spans="1:56" s="152" customFormat="1" x14ac:dyDescent="0.25">
      <c r="A19" s="152" t="s">
        <v>114</v>
      </c>
      <c r="B19" s="168">
        <v>55</v>
      </c>
      <c r="C19" s="169">
        <f>(+'Income Statement'!E$9/360)*$B$19</f>
        <v>0</v>
      </c>
      <c r="D19" s="169">
        <f>(+'Income Statement'!F$9/360)*$B$19</f>
        <v>0</v>
      </c>
      <c r="E19" s="169">
        <f>(+'Income Statement'!G$9/360)*$B$19</f>
        <v>0</v>
      </c>
      <c r="F19" s="169">
        <f>(+'Income Statement'!H$9/360)*$B$19</f>
        <v>0</v>
      </c>
      <c r="G19" s="169">
        <f>(+'Income Statement'!I$9/360)*$B$19</f>
        <v>0</v>
      </c>
      <c r="H19" s="169">
        <f>(+'Income Statement'!J$9/360)*$B$19</f>
        <v>0</v>
      </c>
      <c r="I19" s="169">
        <f>(+'Income Statement'!K$9/360)*$B$19</f>
        <v>0</v>
      </c>
      <c r="J19" s="169">
        <f>(+'Income Statement'!L$9/360)*$B$19</f>
        <v>0</v>
      </c>
      <c r="K19" s="169">
        <f>(+'Income Statement'!M$9/360)*$B$19</f>
        <v>0</v>
      </c>
      <c r="L19" s="169">
        <f>(+'Income Statement'!N$9/360)*$B$19</f>
        <v>0</v>
      </c>
      <c r="M19" s="169">
        <f>(+'Income Statement'!O$9/360)*$B$19</f>
        <v>0</v>
      </c>
      <c r="N19" s="169">
        <f>(+'Income Statement'!P$9/360)*$B$19</f>
        <v>0</v>
      </c>
      <c r="O19" s="169">
        <f>(+'Income Statement'!Q$9/360)*$B$19</f>
        <v>0</v>
      </c>
      <c r="P19" s="169">
        <f>(+'Income Statement'!R$9/360)*$B$19</f>
        <v>750.14930038751993</v>
      </c>
      <c r="Q19" s="169">
        <f>(+'Income Statement'!S$9/360)*$B$19</f>
        <v>1787.3308083711945</v>
      </c>
      <c r="R19" s="169">
        <f>(+'Income Statement'!T$9/360)*$B$19</f>
        <v>3417.3919350068754</v>
      </c>
      <c r="S19" s="169">
        <f>(+'Income Statement'!U$9/360)*$B$19</f>
        <v>5142.4210783771896</v>
      </c>
      <c r="T19" s="169">
        <f>(+'Income Statement'!V$9/360)*$B$19</f>
        <v>6446.4496709295117</v>
      </c>
      <c r="U19" s="169">
        <f>(+'Income Statement'!W$9/360)*$B$19</f>
        <v>7200.2187222170269</v>
      </c>
      <c r="V19" s="169">
        <f>(+'Income Statement'!X$9/360)*$B$19</f>
        <v>8100.214579479557</v>
      </c>
      <c r="W19" s="169">
        <f>(+'Income Statement'!Y$9/360)*$B$19</f>
        <v>9155.6181944721029</v>
      </c>
      <c r="X19" s="169">
        <f>(+'Income Statement'!Z$9/360)*$B$19</f>
        <v>9915.2807499220071</v>
      </c>
      <c r="Y19" s="169">
        <f>(+'Income Statement'!AA$9/360)*$B$19</f>
        <v>11297.267533883594</v>
      </c>
      <c r="Z19" s="169">
        <f>(+'Income Statement'!AB$9/360)*$B$19</f>
        <v>13146.638531923356</v>
      </c>
      <c r="AA19" s="169">
        <f>(+'Income Statement'!AC$9/360)*$B$19</f>
        <v>15152.077294895154</v>
      </c>
      <c r="AB19" s="169">
        <f>(+'Income Statement'!AD$9/360)*$B$19</f>
        <v>13693.128877631507</v>
      </c>
      <c r="AC19" s="169">
        <f>(+'Income Statement'!AE$9/360)*$B$19</f>
        <v>13757.224196553438</v>
      </c>
      <c r="AD19" s="169">
        <f>(+'Income Statement'!AF$9/360)*$B$19</f>
        <v>13829.104206871367</v>
      </c>
    </row>
    <row r="20" spans="1:56" s="152" customFormat="1" x14ac:dyDescent="0.25">
      <c r="A20" s="157" t="s">
        <v>450</v>
      </c>
      <c r="B20" s="170"/>
      <c r="C20" s="169">
        <f>-C19</f>
        <v>0</v>
      </c>
      <c r="D20" s="169">
        <f t="shared" ref="D20:K20" si="10">C19-D19</f>
        <v>0</v>
      </c>
      <c r="E20" s="169">
        <f t="shared" si="10"/>
        <v>0</v>
      </c>
      <c r="F20" s="169">
        <f t="shared" si="10"/>
        <v>0</v>
      </c>
      <c r="G20" s="169">
        <f t="shared" si="10"/>
        <v>0</v>
      </c>
      <c r="H20" s="169">
        <f t="shared" si="10"/>
        <v>0</v>
      </c>
      <c r="I20" s="169">
        <f t="shared" si="10"/>
        <v>0</v>
      </c>
      <c r="J20" s="169">
        <f t="shared" si="10"/>
        <v>0</v>
      </c>
      <c r="K20" s="169">
        <f t="shared" si="10"/>
        <v>0</v>
      </c>
      <c r="L20" s="169">
        <f t="shared" ref="L20:S20" si="11">K19-L19</f>
        <v>0</v>
      </c>
      <c r="M20" s="169">
        <f t="shared" si="11"/>
        <v>0</v>
      </c>
      <c r="N20" s="169">
        <f t="shared" si="11"/>
        <v>0</v>
      </c>
      <c r="O20" s="169">
        <f t="shared" si="11"/>
        <v>0</v>
      </c>
      <c r="P20" s="169">
        <f t="shared" si="11"/>
        <v>-750.14930038751993</v>
      </c>
      <c r="Q20" s="169">
        <f t="shared" si="11"/>
        <v>-1037.1815079836747</v>
      </c>
      <c r="R20" s="169">
        <f t="shared" si="11"/>
        <v>-1630.0611266356809</v>
      </c>
      <c r="S20" s="169">
        <f t="shared" si="11"/>
        <v>-1725.0291433703142</v>
      </c>
      <c r="T20" s="169">
        <f t="shared" ref="T20" si="12">S19-T19</f>
        <v>-1304.0285925523222</v>
      </c>
      <c r="U20" s="169">
        <f t="shared" ref="U20" si="13">T19-U19</f>
        <v>-753.76905128751514</v>
      </c>
      <c r="V20" s="169">
        <f t="shared" ref="V20" si="14">U19-V19</f>
        <v>-899.99585726253008</v>
      </c>
      <c r="W20" s="169">
        <f t="shared" ref="W20" si="15">V19-W19</f>
        <v>-1055.403614992546</v>
      </c>
      <c r="X20" s="169">
        <f t="shared" ref="X20" si="16">W19-X19</f>
        <v>-759.66255544990418</v>
      </c>
      <c r="Y20" s="169">
        <f t="shared" ref="Y20" si="17">X19-Y19</f>
        <v>-1381.9867839615872</v>
      </c>
      <c r="Z20" s="169">
        <f t="shared" ref="Z20" si="18">Y19-Z19</f>
        <v>-1849.3709980397616</v>
      </c>
      <c r="AA20" s="169">
        <f t="shared" ref="AA20:AD20" si="19">Z19-AA19</f>
        <v>-2005.4387629717985</v>
      </c>
      <c r="AB20" s="169">
        <f t="shared" si="19"/>
        <v>1458.9484172636476</v>
      </c>
      <c r="AC20" s="169">
        <f t="shared" si="19"/>
        <v>-64.095318921930811</v>
      </c>
      <c r="AD20" s="169">
        <f t="shared" si="19"/>
        <v>-71.880010317929191</v>
      </c>
    </row>
    <row r="21" spans="1:56" s="152" customFormat="1" x14ac:dyDescent="0.25">
      <c r="A21" s="170"/>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c r="AA21" s="167"/>
      <c r="AB21" s="167"/>
      <c r="AC21" s="167"/>
      <c r="AD21" s="167"/>
    </row>
    <row r="22" spans="1:56" s="152" customFormat="1" x14ac:dyDescent="0.25">
      <c r="A22" s="152" t="s">
        <v>332</v>
      </c>
      <c r="B22" s="168">
        <v>100</v>
      </c>
      <c r="C22" s="169">
        <f>(('Income Statement'!E$8-'Income Statement'!E$10)/360)*$B$22</f>
        <v>0</v>
      </c>
      <c r="D22" s="169">
        <f>(('Income Statement'!F$8-'Income Statement'!F$10)/360)*$B$22</f>
        <v>0</v>
      </c>
      <c r="E22" s="169">
        <f>(('Income Statement'!G$8-'Income Statement'!G$10)/360)*$B$22</f>
        <v>0</v>
      </c>
      <c r="F22" s="169">
        <f>(('Income Statement'!H$8-'Income Statement'!H$10)/360)*$B$22</f>
        <v>0</v>
      </c>
      <c r="G22" s="169">
        <f>(('Income Statement'!I$8-'Income Statement'!I$10)/360)*$B$22</f>
        <v>0</v>
      </c>
      <c r="H22" s="169">
        <f>(('Income Statement'!J$8-'Income Statement'!J$10)/360)*$B$22</f>
        <v>0</v>
      </c>
      <c r="I22" s="169">
        <f>(('Income Statement'!K$8-'Income Statement'!K$10)/360)*$B$22</f>
        <v>0</v>
      </c>
      <c r="J22" s="169">
        <f>(('Income Statement'!L$8-'Income Statement'!L$10)/360)*$B$22</f>
        <v>0</v>
      </c>
      <c r="K22" s="169">
        <f>(('Income Statement'!M$8-'Income Statement'!M$10)/360)*$B$22</f>
        <v>0</v>
      </c>
      <c r="L22" s="169">
        <f>(('Income Statement'!N$8-'Income Statement'!N$10)/360)*$B$22</f>
        <v>0</v>
      </c>
      <c r="M22" s="169">
        <f>(('Income Statement'!O$8-'Income Statement'!O$10)/360)*$B$22</f>
        <v>0</v>
      </c>
      <c r="N22" s="169">
        <f>(('Income Statement'!P$8-'Income Statement'!P$10)/360)*$B$22</f>
        <v>0</v>
      </c>
      <c r="O22" s="169">
        <f>(('Income Statement'!Q$8-'Income Statement'!Q$10)/360)*$B$22</f>
        <v>0</v>
      </c>
      <c r="P22" s="169">
        <f>(('Income Statement'!R$8-'Income Statement'!R$10)/360)*$B$22</f>
        <v>1363.9078188864</v>
      </c>
      <c r="Q22" s="169">
        <f>(('Income Statement'!S$8-'Income Statement'!S$10)/360)*$B$22</f>
        <v>3249.6923788567174</v>
      </c>
      <c r="R22" s="169">
        <f>(('Income Statement'!T$8-'Income Statement'!T$10)/360)*$B$22</f>
        <v>6213.4398818306827</v>
      </c>
      <c r="S22" s="169">
        <f>(('Income Statement'!U$8-'Income Statement'!U$10)/360)*$B$22</f>
        <v>9349.8565061403406</v>
      </c>
      <c r="T22" s="169">
        <f>(('Income Statement'!V$8-'Income Statement'!V$10)/360)*$B$22</f>
        <v>11720.817583508204</v>
      </c>
      <c r="U22" s="169">
        <f>(('Income Statement'!W$8-'Income Statement'!W$10)/360)*$B$22</f>
        <v>13091.306767667322</v>
      </c>
      <c r="V22" s="169">
        <f>(('Income Statement'!X$8-'Income Statement'!X$10)/360)*$B$22</f>
        <v>14727.662871781009</v>
      </c>
      <c r="W22" s="169">
        <f>(('Income Statement'!Y$8-'Income Statement'!Y$10)/360)*$B$22</f>
        <v>16646.578535403823</v>
      </c>
      <c r="X22" s="169">
        <f>(('Income Statement'!Z$8-'Income Statement'!Z$10)/360)*$B$22</f>
        <v>18027.783181676376</v>
      </c>
      <c r="Y22" s="169">
        <f>(('Income Statement'!AA$8-'Income Statement'!AA$10)/360)*$B$22</f>
        <v>20540.4864252429</v>
      </c>
      <c r="Z22" s="169">
        <f>(('Income Statement'!AB$8-'Income Statement'!AB$10)/360)*$B$22</f>
        <v>23902.979148951556</v>
      </c>
      <c r="AA22" s="169">
        <f>(('Income Statement'!AC$8-'Income Statement'!AC$10)/360)*$B$22</f>
        <v>27549.231445263915</v>
      </c>
      <c r="AB22" s="169">
        <f>(('Income Statement'!AD$8-'Income Statement'!AD$10)/360)*$B$22</f>
        <v>24896.597959330011</v>
      </c>
      <c r="AC22" s="169">
        <f>(('Income Statement'!AE$8-'Income Statement'!AE$10)/360)*$B$22</f>
        <v>25013.134902824433</v>
      </c>
      <c r="AD22" s="169">
        <f>(('Income Statement'!AF$8-'Income Statement'!AF$10)/360)*$B$22</f>
        <v>25143.82583067521</v>
      </c>
      <c r="AF22" s="442"/>
    </row>
    <row r="23" spans="1:56" s="152" customFormat="1" x14ac:dyDescent="0.25">
      <c r="A23" s="157" t="s">
        <v>676</v>
      </c>
      <c r="B23" s="157"/>
      <c r="C23" s="169">
        <f>-C22</f>
        <v>0</v>
      </c>
      <c r="D23" s="169">
        <f t="shared" ref="D23:K23" si="20">C22-D22</f>
        <v>0</v>
      </c>
      <c r="E23" s="169">
        <f t="shared" si="20"/>
        <v>0</v>
      </c>
      <c r="F23" s="169">
        <f t="shared" si="20"/>
        <v>0</v>
      </c>
      <c r="G23" s="169">
        <f t="shared" si="20"/>
        <v>0</v>
      </c>
      <c r="H23" s="169">
        <f t="shared" si="20"/>
        <v>0</v>
      </c>
      <c r="I23" s="169">
        <f t="shared" si="20"/>
        <v>0</v>
      </c>
      <c r="J23" s="169">
        <f t="shared" si="20"/>
        <v>0</v>
      </c>
      <c r="K23" s="169">
        <f t="shared" si="20"/>
        <v>0</v>
      </c>
      <c r="L23" s="169">
        <f t="shared" ref="L23:S23" si="21">K22-L22</f>
        <v>0</v>
      </c>
      <c r="M23" s="169">
        <f t="shared" si="21"/>
        <v>0</v>
      </c>
      <c r="N23" s="169">
        <f t="shared" si="21"/>
        <v>0</v>
      </c>
      <c r="O23" s="169">
        <f t="shared" si="21"/>
        <v>0</v>
      </c>
      <c r="P23" s="169">
        <f t="shared" si="21"/>
        <v>-1363.9078188864</v>
      </c>
      <c r="Q23" s="169">
        <f t="shared" si="21"/>
        <v>-1885.7845599703173</v>
      </c>
      <c r="R23" s="169">
        <f t="shared" si="21"/>
        <v>-2963.7475029739653</v>
      </c>
      <c r="S23" s="169">
        <f t="shared" si="21"/>
        <v>-3136.4166243096579</v>
      </c>
      <c r="T23" s="169">
        <f t="shared" ref="T23" si="22">S22-T22</f>
        <v>-2370.9610773678633</v>
      </c>
      <c r="U23" s="169">
        <f t="shared" ref="U23" si="23">T22-U22</f>
        <v>-1370.4891841591179</v>
      </c>
      <c r="V23" s="169">
        <f t="shared" ref="V23" si="24">U22-V22</f>
        <v>-1636.3561041136873</v>
      </c>
      <c r="W23" s="169">
        <f t="shared" ref="W23" si="25">V22-W22</f>
        <v>-1918.9156636228145</v>
      </c>
      <c r="X23" s="169">
        <f t="shared" ref="X23" si="26">W22-X22</f>
        <v>-1381.2046462725521</v>
      </c>
      <c r="Y23" s="169">
        <f t="shared" ref="Y23" si="27">X22-Y22</f>
        <v>-2512.7032435665242</v>
      </c>
      <c r="Z23" s="169">
        <f t="shared" ref="Z23" si="28">Y22-Z22</f>
        <v>-3362.4927237086558</v>
      </c>
      <c r="AA23" s="169">
        <f t="shared" ref="AA23:AD23" si="29">Z22-AA22</f>
        <v>-3646.2522963123592</v>
      </c>
      <c r="AB23" s="169">
        <f t="shared" si="29"/>
        <v>2652.633485933904</v>
      </c>
      <c r="AC23" s="169">
        <f t="shared" si="29"/>
        <v>-116.5369434944223</v>
      </c>
      <c r="AD23" s="169">
        <f t="shared" si="29"/>
        <v>-130.69092785077737</v>
      </c>
    </row>
    <row r="24" spans="1:56" s="152" customFormat="1" x14ac:dyDescent="0.25">
      <c r="A24" s="152" t="s">
        <v>696</v>
      </c>
      <c r="C24" s="172"/>
      <c r="D24" s="172" t="e">
        <f>('Income Statement'!F8-'Income Statement'!F10)/((C22+D22)/2)</f>
        <v>#DIV/0!</v>
      </c>
      <c r="E24" s="172" t="e">
        <f>('Income Statement'!G8-'Income Statement'!G10)/((D22+E22)/2)</f>
        <v>#DIV/0!</v>
      </c>
      <c r="F24" s="173" t="e">
        <f>('Income Statement'!H8-'Income Statement'!H10)/((E22+F22)/2)</f>
        <v>#DIV/0!</v>
      </c>
      <c r="G24" s="173" t="e">
        <f>('Income Statement'!I8-'Income Statement'!I10)/((F22+G22)/2)</f>
        <v>#DIV/0!</v>
      </c>
      <c r="H24" s="173" t="e">
        <f>('Income Statement'!J8-'Income Statement'!J10)/((G22+H22)/2)</f>
        <v>#DIV/0!</v>
      </c>
      <c r="I24" s="173" t="e">
        <f>('Income Statement'!K8-'Income Statement'!K10)/((H22+I22)/2)</f>
        <v>#DIV/0!</v>
      </c>
      <c r="J24" s="173" t="e">
        <f>('Income Statement'!L8-'Income Statement'!L10)/((I22+J22)/2)</f>
        <v>#DIV/0!</v>
      </c>
      <c r="K24" s="173" t="e">
        <f>('Income Statement'!M8-'Income Statement'!M10)/((J22+K22)/2)</f>
        <v>#DIV/0!</v>
      </c>
      <c r="L24" s="173" t="e">
        <f>('Income Statement'!N8-'Income Statement'!N10)/((K22+L22)/2)</f>
        <v>#DIV/0!</v>
      </c>
      <c r="M24" s="173" t="e">
        <f>('Income Statement'!O8-'Income Statement'!O10)/((L22+M22)/2)</f>
        <v>#DIV/0!</v>
      </c>
      <c r="N24" s="173" t="e">
        <f>('Income Statement'!P8-'Income Statement'!P10)/((M22+N22)/2)</f>
        <v>#DIV/0!</v>
      </c>
      <c r="O24" s="173" t="e">
        <f>('Income Statement'!Q8-'Income Statement'!Q10)/((N22+O22)/2)</f>
        <v>#DIV/0!</v>
      </c>
      <c r="P24" s="173">
        <f>('Income Statement'!R8-'Income Statement'!R10)/((O22+P22)/2)</f>
        <v>7.1999999999999993</v>
      </c>
      <c r="Q24" s="173">
        <f>('Income Statement'!S8-'Income Statement'!S10)/((P22+Q22)/2)</f>
        <v>5.071480866333868</v>
      </c>
      <c r="R24" s="173">
        <f>('Income Statement'!T8-'Income Statement'!T10)/((Q22+R22)/2)</f>
        <v>4.7274798572804944</v>
      </c>
      <c r="S24" s="173">
        <f>('Income Statement'!U8-'Income Statement'!U10)/((R22+S22)/2)</f>
        <v>4.3254953941660936</v>
      </c>
      <c r="T24" s="173">
        <f>('Income Statement'!V8-'Income Statement'!V10)/((S22+T22)/2)</f>
        <v>4.0050871767181642</v>
      </c>
      <c r="U24" s="173">
        <f>('Income Statement'!W8-'Income Statement'!W10)/((T22+U22)/2)</f>
        <v>3.7988447660967446</v>
      </c>
      <c r="V24" s="173">
        <f>('Income Statement'!X8-'Income Statement'!X10)/((U22+V22)/2)</f>
        <v>3.8117577340627236</v>
      </c>
      <c r="W24" s="173">
        <f>('Income Statement'!Y8-'Income Statement'!Y10)/((V22+W22)/2)</f>
        <v>3.8201836946234549</v>
      </c>
      <c r="X24" s="173">
        <f>('Income Statement'!Z8-'Income Statement'!Z10)/((W22+X22)/2)</f>
        <v>3.7434009591049473</v>
      </c>
      <c r="Y24" s="173">
        <f>('Income Statement'!AA8-'Income Statement'!AA10)/((X22+Y22)/2)</f>
        <v>3.8345381778605039</v>
      </c>
      <c r="Z24" s="173">
        <f>('Income Statement'!AB8-'Income Statement'!AB10)/((Y22+Z22)/2)</f>
        <v>3.8723679094093812</v>
      </c>
      <c r="AA24" s="173">
        <f>('Income Statement'!AC8-'Income Statement'!AC10)/((Z22+AA22)/2)</f>
        <v>3.8551203945394765</v>
      </c>
      <c r="AB24" s="173">
        <f>('Income Statement'!AD8-'Income Statement'!AD10)/((AA22+AB22)/2)</f>
        <v>3.4179172556183168</v>
      </c>
      <c r="AC24" s="173">
        <f>('Income Statement'!AE8-'Income Statement'!AE10)/((AB22+AC22)/2)</f>
        <v>3.6084058353455553</v>
      </c>
      <c r="AD24" s="173">
        <f>('Income Statement'!AF8-'Income Statement'!AF10)/((AC22+AD22)/2)</f>
        <v>3.6093803000297942</v>
      </c>
    </row>
    <row r="25" spans="1:56" s="152" customFormat="1" ht="13.8" thickBot="1" x14ac:dyDescent="0.3">
      <c r="C25" s="174"/>
      <c r="D25" s="174"/>
      <c r="E25" s="174"/>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row>
    <row r="26" spans="1:56" s="152" customFormat="1" ht="13.8" thickBot="1" x14ac:dyDescent="0.3">
      <c r="A26" s="157" t="s">
        <v>677</v>
      </c>
      <c r="B26" s="157"/>
      <c r="C26" s="176">
        <f>C5+C7+C8+C13+C14+C17-C20+C23+C10+C11</f>
        <v>0</v>
      </c>
      <c r="D26" s="176">
        <f t="shared" ref="D26:AA26" si="30">D5+D7+D8+D13+D14+D17-D20+D23+D10+D11</f>
        <v>0</v>
      </c>
      <c r="E26" s="176">
        <f t="shared" si="30"/>
        <v>0</v>
      </c>
      <c r="F26" s="176">
        <f t="shared" si="30"/>
        <v>0</v>
      </c>
      <c r="G26" s="176">
        <f t="shared" si="30"/>
        <v>0</v>
      </c>
      <c r="H26" s="176">
        <f t="shared" si="30"/>
        <v>0</v>
      </c>
      <c r="I26" s="176">
        <f t="shared" si="30"/>
        <v>0</v>
      </c>
      <c r="J26" s="176">
        <f t="shared" si="30"/>
        <v>0</v>
      </c>
      <c r="K26" s="176">
        <f t="shared" si="30"/>
        <v>-3620.4629005348552</v>
      </c>
      <c r="L26" s="176">
        <f t="shared" si="30"/>
        <v>-3355.7767821473162</v>
      </c>
      <c r="M26" s="176">
        <f t="shared" si="30"/>
        <v>-8172.2599566185345</v>
      </c>
      <c r="N26" s="176">
        <f t="shared" si="30"/>
        <v>-8471.9648581698893</v>
      </c>
      <c r="O26" s="176">
        <f t="shared" si="30"/>
        <v>-5174.4078503531618</v>
      </c>
      <c r="P26" s="176">
        <f t="shared" si="30"/>
        <v>-11648.523068490305</v>
      </c>
      <c r="Q26" s="176">
        <f t="shared" si="30"/>
        <v>13354.130376793068</v>
      </c>
      <c r="R26" s="176">
        <f t="shared" si="30"/>
        <v>29462.667769884913</v>
      </c>
      <c r="S26" s="176">
        <f t="shared" si="30"/>
        <v>48208.30007574203</v>
      </c>
      <c r="T26" s="176">
        <f t="shared" si="30"/>
        <v>63614.769968529276</v>
      </c>
      <c r="U26" s="176">
        <f t="shared" si="30"/>
        <v>73592.71179988666</v>
      </c>
      <c r="V26" s="176">
        <f t="shared" si="30"/>
        <v>79516.693603876658</v>
      </c>
      <c r="W26" s="176">
        <f t="shared" si="30"/>
        <v>90513.822665146567</v>
      </c>
      <c r="X26" s="176">
        <f t="shared" si="30"/>
        <v>95816.891716057915</v>
      </c>
      <c r="Y26" s="176">
        <f t="shared" si="30"/>
        <v>113595.53789968615</v>
      </c>
      <c r="Z26" s="176">
        <f t="shared" si="30"/>
        <v>127445.84732015368</v>
      </c>
      <c r="AA26" s="176">
        <f t="shared" si="30"/>
        <v>145490.80722011917</v>
      </c>
      <c r="AB26" s="176">
        <f t="shared" ref="AB26:AD26" si="31">AB5+AB7+AB8+AB13+AB14+AB17-AB20+AB23+AB10+AB11</f>
        <v>138460.13909604322</v>
      </c>
      <c r="AC26" s="176">
        <f t="shared" si="31"/>
        <v>125961.11617738048</v>
      </c>
      <c r="AD26" s="176">
        <f t="shared" si="31"/>
        <v>119572.5574832144</v>
      </c>
      <c r="AE26" s="500">
        <f>IF(ISERROR(HLOOKUP(B35,AF33:BD37,5,0))=TRUE, 0, (HLOOKUP(B35,AF33:BD37,5,0)))</f>
        <v>0</v>
      </c>
      <c r="AF26" s="495"/>
    </row>
    <row r="27" spans="1:56" s="152" customFormat="1" ht="13.8" thickTop="1" x14ac:dyDescent="0.25">
      <c r="A27" s="12" t="s">
        <v>678</v>
      </c>
      <c r="B27" s="12"/>
      <c r="C27" s="177">
        <f>C26</f>
        <v>0</v>
      </c>
      <c r="D27" s="177">
        <f>C27+D26</f>
        <v>0</v>
      </c>
      <c r="E27" s="177">
        <f>+D27+E26</f>
        <v>0</v>
      </c>
      <c r="F27" s="178">
        <f t="shared" ref="F27:K27" si="32">+E27+F26</f>
        <v>0</v>
      </c>
      <c r="G27" s="178">
        <f t="shared" si="32"/>
        <v>0</v>
      </c>
      <c r="H27" s="178">
        <f t="shared" si="32"/>
        <v>0</v>
      </c>
      <c r="I27" s="178">
        <f t="shared" si="32"/>
        <v>0</v>
      </c>
      <c r="J27" s="178">
        <f t="shared" si="32"/>
        <v>0</v>
      </c>
      <c r="K27" s="178">
        <f t="shared" si="32"/>
        <v>-3620.4629005348552</v>
      </c>
      <c r="L27" s="178">
        <f t="shared" ref="L27:S27" si="33">+K27+L26</f>
        <v>-6976.2396826821714</v>
      </c>
      <c r="M27" s="178">
        <f t="shared" si="33"/>
        <v>-15148.499639300706</v>
      </c>
      <c r="N27" s="178">
        <f t="shared" si="33"/>
        <v>-23620.464497470595</v>
      </c>
      <c r="O27" s="178">
        <f t="shared" si="33"/>
        <v>-28794.872347823759</v>
      </c>
      <c r="P27" s="178">
        <f>+P26</f>
        <v>-11648.523068490305</v>
      </c>
      <c r="Q27" s="178">
        <f t="shared" si="33"/>
        <v>1705.6073083027622</v>
      </c>
      <c r="R27" s="178">
        <f t="shared" si="33"/>
        <v>31168.275078187675</v>
      </c>
      <c r="S27" s="178">
        <f t="shared" si="33"/>
        <v>79376.575153929705</v>
      </c>
      <c r="T27" s="178">
        <f t="shared" ref="T27" si="34">+S27+T26</f>
        <v>142991.345122459</v>
      </c>
      <c r="U27" s="178">
        <f t="shared" ref="U27" si="35">+T27+U26</f>
        <v>216584.05692234566</v>
      </c>
      <c r="V27" s="178">
        <f t="shared" ref="V27" si="36">+U27+V26</f>
        <v>296100.75052622228</v>
      </c>
      <c r="W27" s="178">
        <f t="shared" ref="W27" si="37">+V27+W26</f>
        <v>386614.57319136884</v>
      </c>
      <c r="X27" s="178">
        <f t="shared" ref="X27" si="38">+W27+X26</f>
        <v>482431.46490742674</v>
      </c>
      <c r="Y27" s="178">
        <f t="shared" ref="Y27" si="39">+X27+Y26</f>
        <v>596027.00280711288</v>
      </c>
      <c r="Z27" s="178">
        <f t="shared" ref="Z27" si="40">+Y27+Z26</f>
        <v>723472.8501272666</v>
      </c>
      <c r="AA27" s="178">
        <f t="shared" ref="AA27:AD27" si="41">+Z27+AA26</f>
        <v>868963.65734738577</v>
      </c>
      <c r="AB27" s="178">
        <f t="shared" si="41"/>
        <v>1007423.796443429</v>
      </c>
      <c r="AC27" s="178">
        <f t="shared" si="41"/>
        <v>1133384.9126208094</v>
      </c>
      <c r="AD27" s="178">
        <f t="shared" si="41"/>
        <v>1252957.4701040238</v>
      </c>
      <c r="AE27" s="179"/>
    </row>
    <row r="28" spans="1:56" s="152" customFormat="1" x14ac:dyDescent="0.25">
      <c r="A28" s="12"/>
      <c r="B28" s="12"/>
      <c r="C28" s="177"/>
      <c r="D28" s="177"/>
      <c r="E28" s="177"/>
      <c r="F28" s="178"/>
      <c r="G28" s="178"/>
      <c r="H28" s="178"/>
      <c r="I28" s="178"/>
      <c r="J28" s="178"/>
      <c r="K28" s="178"/>
      <c r="L28" s="178"/>
      <c r="M28" s="178"/>
      <c r="N28" s="178"/>
      <c r="O28" s="178"/>
      <c r="P28" s="178"/>
      <c r="Q28" s="178"/>
      <c r="R28" s="178"/>
      <c r="S28" s="178"/>
      <c r="T28" s="178"/>
      <c r="U28" s="178"/>
      <c r="V28" s="178"/>
      <c r="W28" s="178"/>
      <c r="X28" s="178"/>
      <c r="Y28" s="178"/>
      <c r="Z28" s="178"/>
      <c r="AA28" s="178"/>
      <c r="AB28" s="178"/>
      <c r="AC28" s="178"/>
      <c r="AD28" s="178"/>
      <c r="AE28" s="179"/>
    </row>
    <row r="29" spans="1:56" s="152" customFormat="1" x14ac:dyDescent="0.25">
      <c r="A29" s="583" t="s">
        <v>933</v>
      </c>
      <c r="B29" s="12"/>
      <c r="C29" s="177">
        <f>C26</f>
        <v>0</v>
      </c>
      <c r="D29" s="177">
        <f t="shared" ref="D29:Q29" si="42">D26</f>
        <v>0</v>
      </c>
      <c r="E29" s="177">
        <f t="shared" si="42"/>
        <v>0</v>
      </c>
      <c r="F29" s="177">
        <f t="shared" si="42"/>
        <v>0</v>
      </c>
      <c r="G29" s="177">
        <f t="shared" si="42"/>
        <v>0</v>
      </c>
      <c r="H29" s="177">
        <f t="shared" si="42"/>
        <v>0</v>
      </c>
      <c r="I29" s="177">
        <f t="shared" si="42"/>
        <v>0</v>
      </c>
      <c r="J29" s="177">
        <f t="shared" si="42"/>
        <v>0</v>
      </c>
      <c r="K29" s="177">
        <f t="shared" si="42"/>
        <v>-3620.4629005348552</v>
      </c>
      <c r="L29" s="177">
        <f t="shared" si="42"/>
        <v>-3355.7767821473162</v>
      </c>
      <c r="M29" s="177">
        <f t="shared" si="42"/>
        <v>-8172.2599566185345</v>
      </c>
      <c r="N29" s="177">
        <f t="shared" si="42"/>
        <v>-8471.9648581698893</v>
      </c>
      <c r="O29" s="177">
        <f t="shared" si="42"/>
        <v>-5174.4078503531618</v>
      </c>
      <c r="P29" s="177">
        <f t="shared" si="42"/>
        <v>-11648.523068490305</v>
      </c>
      <c r="Q29" s="177">
        <f t="shared" si="42"/>
        <v>13354.130376793068</v>
      </c>
      <c r="R29" s="177">
        <f>R26</f>
        <v>29462.667769884913</v>
      </c>
      <c r="S29" s="177">
        <f>S26</f>
        <v>48208.30007574203</v>
      </c>
      <c r="T29" s="177">
        <f t="shared" ref="T29:AA29" si="43">T26</f>
        <v>63614.769968529276</v>
      </c>
      <c r="U29" s="177">
        <f t="shared" si="43"/>
        <v>73592.71179988666</v>
      </c>
      <c r="V29" s="177">
        <f t="shared" si="43"/>
        <v>79516.693603876658</v>
      </c>
      <c r="W29" s="177">
        <f t="shared" si="43"/>
        <v>90513.822665146567</v>
      </c>
      <c r="X29" s="177">
        <f t="shared" si="43"/>
        <v>95816.891716057915</v>
      </c>
      <c r="Y29" s="177">
        <f t="shared" si="43"/>
        <v>113595.53789968615</v>
      </c>
      <c r="Z29" s="177">
        <f t="shared" si="43"/>
        <v>127445.84732015368</v>
      </c>
      <c r="AA29" s="177">
        <f t="shared" si="43"/>
        <v>145490.80722011917</v>
      </c>
      <c r="AB29" s="177">
        <f t="shared" ref="AB29:AD29" si="44">AB26</f>
        <v>138460.13909604322</v>
      </c>
      <c r="AC29" s="177">
        <f t="shared" si="44"/>
        <v>125961.11617738048</v>
      </c>
      <c r="AD29" s="177">
        <f t="shared" si="44"/>
        <v>119572.5574832144</v>
      </c>
      <c r="AE29" s="996">
        <f>IF(AF33&gt;$B$35,0,AF35)</f>
        <v>0</v>
      </c>
      <c r="AF29" s="996">
        <f t="shared" ref="AF29:BC29" si="45">IF(AG33&gt;$B$35,0,AG35)</f>
        <v>0</v>
      </c>
      <c r="AG29" s="996">
        <f t="shared" si="45"/>
        <v>0</v>
      </c>
      <c r="AH29" s="996">
        <f t="shared" si="45"/>
        <v>0</v>
      </c>
      <c r="AI29" s="996">
        <f t="shared" si="45"/>
        <v>0</v>
      </c>
      <c r="AJ29" s="996">
        <f t="shared" si="45"/>
        <v>0</v>
      </c>
      <c r="AK29" s="996">
        <f t="shared" si="45"/>
        <v>0</v>
      </c>
      <c r="AL29" s="996">
        <f t="shared" si="45"/>
        <v>0</v>
      </c>
      <c r="AM29" s="996">
        <f t="shared" si="45"/>
        <v>0</v>
      </c>
      <c r="AN29" s="996">
        <f t="shared" si="45"/>
        <v>0</v>
      </c>
      <c r="AO29" s="996">
        <f t="shared" si="45"/>
        <v>0</v>
      </c>
      <c r="AP29" s="996">
        <f t="shared" si="45"/>
        <v>0</v>
      </c>
      <c r="AQ29" s="996">
        <f t="shared" si="45"/>
        <v>0</v>
      </c>
      <c r="AR29" s="996">
        <f t="shared" si="45"/>
        <v>0</v>
      </c>
      <c r="AS29" s="996">
        <f t="shared" si="45"/>
        <v>0</v>
      </c>
      <c r="AT29" s="996">
        <f t="shared" si="45"/>
        <v>0</v>
      </c>
      <c r="AU29" s="996">
        <f t="shared" si="45"/>
        <v>0</v>
      </c>
      <c r="AV29" s="996">
        <f t="shared" si="45"/>
        <v>0</v>
      </c>
      <c r="AW29" s="996">
        <f t="shared" si="45"/>
        <v>0</v>
      </c>
      <c r="AX29" s="996">
        <f t="shared" si="45"/>
        <v>0</v>
      </c>
      <c r="AY29" s="996">
        <f t="shared" si="45"/>
        <v>0</v>
      </c>
      <c r="AZ29" s="996">
        <f t="shared" si="45"/>
        <v>0</v>
      </c>
      <c r="BA29" s="996">
        <f t="shared" si="45"/>
        <v>0</v>
      </c>
      <c r="BB29" s="996">
        <f t="shared" si="45"/>
        <v>0</v>
      </c>
      <c r="BC29" s="996">
        <f t="shared" si="45"/>
        <v>0</v>
      </c>
    </row>
    <row r="30" spans="1:56" s="157" customFormat="1" ht="57" customHeight="1" thickBot="1" x14ac:dyDescent="0.3">
      <c r="C30" s="5"/>
      <c r="D30" s="5"/>
      <c r="E30" s="5"/>
      <c r="F30" s="180" t="s">
        <v>27</v>
      </c>
      <c r="G30" s="180"/>
      <c r="H30" s="71"/>
      <c r="I30" s="71"/>
      <c r="J30" s="71"/>
      <c r="K30" s="3070">
        <f>K26</f>
        <v>-3620.4629005348552</v>
      </c>
      <c r="L30" s="3070">
        <f t="shared" ref="L30:S30" si="46">L26</f>
        <v>-3355.7767821473162</v>
      </c>
      <c r="M30" s="3070">
        <f t="shared" si="46"/>
        <v>-8172.2599566185345</v>
      </c>
      <c r="N30" s="3070">
        <f t="shared" si="46"/>
        <v>-8471.9648581698893</v>
      </c>
      <c r="O30" s="3070">
        <f t="shared" si="46"/>
        <v>-5174.4078503531618</v>
      </c>
      <c r="P30" s="3070">
        <f t="shared" si="46"/>
        <v>-11648.523068490305</v>
      </c>
      <c r="Q30" s="3070">
        <f t="shared" si="46"/>
        <v>13354.130376793068</v>
      </c>
      <c r="R30" s="3070">
        <f t="shared" si="46"/>
        <v>29462.667769884913</v>
      </c>
      <c r="S30" s="3070">
        <f t="shared" si="46"/>
        <v>48208.30007574203</v>
      </c>
      <c r="T30" s="3070">
        <f>T26+T26*(1+B34)/(B33-B34)</f>
        <v>562746.04202929733</v>
      </c>
      <c r="U30" s="3071"/>
      <c r="V30" s="3070"/>
    </row>
    <row r="31" spans="1:56" s="157" customFormat="1" ht="23.25" customHeight="1" x14ac:dyDescent="0.25">
      <c r="A31" s="181" t="s">
        <v>333</v>
      </c>
      <c r="B31" s="976" t="str">
        <f>LEFT('Basic Project Info'!B37, 1)</f>
        <v>4</v>
      </c>
      <c r="C31" s="901" t="str">
        <f>IF(B31="5","Low",IF(B31="4","Low",IF(B31="1","High","Medium")))</f>
        <v>Low</v>
      </c>
      <c r="D31" s="3401" t="s">
        <v>715</v>
      </c>
      <c r="E31" s="107" t="s">
        <v>24</v>
      </c>
      <c r="F31" s="139">
        <v>0.2</v>
      </c>
      <c r="G31" s="139">
        <v>0.25</v>
      </c>
      <c r="H31" s="140">
        <v>0.3</v>
      </c>
      <c r="K31" s="71"/>
      <c r="L31" s="71"/>
      <c r="M31" s="493"/>
      <c r="AE31" s="499" t="s">
        <v>728</v>
      </c>
      <c r="AF31" s="479"/>
      <c r="AG31" s="479"/>
      <c r="AH31" s="479"/>
      <c r="AI31" s="479"/>
      <c r="AJ31" s="479"/>
      <c r="AK31" s="479"/>
      <c r="AL31" s="479"/>
      <c r="AM31" s="479"/>
      <c r="AN31" s="479"/>
      <c r="AO31" s="479"/>
      <c r="AP31" s="479"/>
      <c r="AQ31" s="479"/>
      <c r="AR31" s="479"/>
      <c r="AS31" s="479"/>
      <c r="AT31" s="479"/>
      <c r="AU31" s="479"/>
      <c r="AV31" s="479"/>
      <c r="AW31" s="479"/>
      <c r="AX31" s="479"/>
      <c r="AY31" s="479"/>
      <c r="AZ31" s="479"/>
      <c r="BA31" s="479"/>
      <c r="BB31" s="479"/>
      <c r="BC31" s="479"/>
      <c r="BD31" s="480"/>
    </row>
    <row r="32" spans="1:56" s="157" customFormat="1" ht="23.25" customHeight="1" thickBot="1" x14ac:dyDescent="0.3">
      <c r="A32" s="181" t="s">
        <v>334</v>
      </c>
      <c r="B32" s="976" t="str">
        <f>LEFT('Basic Project Info'!B35, 1)</f>
        <v>2</v>
      </c>
      <c r="C32" s="901" t="str">
        <f>IF(B32="5","Low",IF(B32="4","Low",IF(B32="1","High","Medium")))</f>
        <v>Medium</v>
      </c>
      <c r="D32" s="3401"/>
      <c r="E32" s="107" t="s">
        <v>25</v>
      </c>
      <c r="F32" s="141">
        <v>0.15</v>
      </c>
      <c r="G32" s="141">
        <v>0.2</v>
      </c>
      <c r="H32" s="139">
        <v>0.25</v>
      </c>
      <c r="K32" s="71"/>
      <c r="L32" s="71"/>
      <c r="M32" s="71"/>
      <c r="AE32" s="496" t="s">
        <v>729</v>
      </c>
      <c r="AF32" s="497"/>
      <c r="AG32" s="497"/>
      <c r="AH32" s="497"/>
      <c r="AI32" s="497"/>
      <c r="AJ32" s="497"/>
      <c r="AK32" s="497"/>
      <c r="AL32" s="497"/>
      <c r="AM32" s="497"/>
      <c r="AN32" s="497"/>
      <c r="AO32" s="497"/>
      <c r="AP32" s="497"/>
      <c r="AQ32" s="497"/>
      <c r="AR32" s="497"/>
      <c r="AS32" s="497"/>
      <c r="AT32" s="497"/>
      <c r="AU32" s="497"/>
      <c r="AV32" s="497"/>
      <c r="AW32" s="497"/>
      <c r="AX32" s="497"/>
      <c r="AY32" s="497"/>
      <c r="AZ32" s="497"/>
      <c r="BA32" s="497"/>
      <c r="BB32" s="497"/>
      <c r="BC32" s="497"/>
      <c r="BD32" s="498"/>
    </row>
    <row r="33" spans="1:56" s="157" customFormat="1" ht="23.25" customHeight="1" x14ac:dyDescent="0.25">
      <c r="A33" s="1" t="s">
        <v>28</v>
      </c>
      <c r="B33" s="902">
        <f>0.1+(IF($C$31="Low",0,(IF($C$31="Medium",0.05,IF($C$31="High",0.1,0))))+(IF($C$32="Low",0,(IF($C$32="Medium",0.05,(IF($C$32="High",0.1,0)))))))</f>
        <v>0.15000000000000002</v>
      </c>
      <c r="C33" s="143"/>
      <c r="D33" s="3401"/>
      <c r="E33" s="107" t="s">
        <v>26</v>
      </c>
      <c r="F33" s="142">
        <v>0.1</v>
      </c>
      <c r="G33" s="141">
        <v>0.15</v>
      </c>
      <c r="H33" s="139">
        <v>0.2</v>
      </c>
      <c r="AE33" s="478" t="s">
        <v>682</v>
      </c>
      <c r="AF33" s="479">
        <v>1</v>
      </c>
      <c r="AG33" s="479">
        <v>2</v>
      </c>
      <c r="AH33" s="479">
        <v>3</v>
      </c>
      <c r="AI33" s="479">
        <v>4</v>
      </c>
      <c r="AJ33" s="479">
        <v>5</v>
      </c>
      <c r="AK33" s="479">
        <v>6</v>
      </c>
      <c r="AL33" s="479">
        <v>7</v>
      </c>
      <c r="AM33" s="479">
        <v>8</v>
      </c>
      <c r="AN33" s="479">
        <v>9</v>
      </c>
      <c r="AO33" s="479">
        <v>10</v>
      </c>
      <c r="AP33" s="479">
        <v>11</v>
      </c>
      <c r="AQ33" s="479">
        <v>12</v>
      </c>
      <c r="AR33" s="479">
        <v>13</v>
      </c>
      <c r="AS33" s="479">
        <v>14</v>
      </c>
      <c r="AT33" s="479">
        <v>15</v>
      </c>
      <c r="AU33" s="479">
        <v>16</v>
      </c>
      <c r="AV33" s="479">
        <v>17</v>
      </c>
      <c r="AW33" s="479">
        <v>18</v>
      </c>
      <c r="AX33" s="479">
        <v>19</v>
      </c>
      <c r="AY33" s="479">
        <v>20</v>
      </c>
      <c r="AZ33" s="479">
        <v>21</v>
      </c>
      <c r="BA33" s="479">
        <v>22</v>
      </c>
      <c r="BB33" s="479">
        <v>23</v>
      </c>
      <c r="BC33" s="479">
        <v>24</v>
      </c>
      <c r="BD33" s="480">
        <v>25</v>
      </c>
    </row>
    <row r="34" spans="1:56" s="157" customFormat="1" x14ac:dyDescent="0.25">
      <c r="A34" s="157" t="s">
        <v>115</v>
      </c>
      <c r="B34" s="182">
        <v>0.02</v>
      </c>
      <c r="C34" s="143"/>
      <c r="D34" s="108"/>
      <c r="E34" s="108"/>
      <c r="F34" s="108" t="s">
        <v>26</v>
      </c>
      <c r="G34" s="108" t="s">
        <v>25</v>
      </c>
      <c r="H34" s="108" t="s">
        <v>24</v>
      </c>
      <c r="I34" s="183"/>
      <c r="J34" s="183"/>
      <c r="K34" s="184"/>
      <c r="L34" s="184"/>
      <c r="M34" s="184"/>
      <c r="AE34" s="481" t="s">
        <v>723</v>
      </c>
      <c r="AF34" s="482">
        <f>1+$B$34</f>
        <v>1.02</v>
      </c>
      <c r="AG34" s="483">
        <f>AF34</f>
        <v>1.02</v>
      </c>
      <c r="AH34" s="483">
        <f>AG34</f>
        <v>1.02</v>
      </c>
      <c r="AI34" s="483">
        <f>AH34</f>
        <v>1.02</v>
      </c>
      <c r="AJ34" s="483">
        <f>AI34</f>
        <v>1.02</v>
      </c>
      <c r="AK34" s="483">
        <f t="shared" ref="AK34:BB34" si="47">AJ34</f>
        <v>1.02</v>
      </c>
      <c r="AL34" s="483">
        <f t="shared" si="47"/>
        <v>1.02</v>
      </c>
      <c r="AM34" s="483">
        <f t="shared" si="47"/>
        <v>1.02</v>
      </c>
      <c r="AN34" s="483">
        <f t="shared" si="47"/>
        <v>1.02</v>
      </c>
      <c r="AO34" s="483">
        <f t="shared" si="47"/>
        <v>1.02</v>
      </c>
      <c r="AP34" s="483">
        <f t="shared" si="47"/>
        <v>1.02</v>
      </c>
      <c r="AQ34" s="483">
        <f t="shared" si="47"/>
        <v>1.02</v>
      </c>
      <c r="AR34" s="483">
        <f t="shared" si="47"/>
        <v>1.02</v>
      </c>
      <c r="AS34" s="483">
        <f t="shared" si="47"/>
        <v>1.02</v>
      </c>
      <c r="AT34" s="483">
        <f t="shared" si="47"/>
        <v>1.02</v>
      </c>
      <c r="AU34" s="483">
        <f t="shared" si="47"/>
        <v>1.02</v>
      </c>
      <c r="AV34" s="483">
        <f t="shared" si="47"/>
        <v>1.02</v>
      </c>
      <c r="AW34" s="483">
        <f t="shared" si="47"/>
        <v>1.02</v>
      </c>
      <c r="AX34" s="483">
        <f t="shared" si="47"/>
        <v>1.02</v>
      </c>
      <c r="AY34" s="483">
        <f t="shared" si="47"/>
        <v>1.02</v>
      </c>
      <c r="AZ34" s="483">
        <f t="shared" si="47"/>
        <v>1.02</v>
      </c>
      <c r="BA34" s="483">
        <f t="shared" si="47"/>
        <v>1.02</v>
      </c>
      <c r="BB34" s="483">
        <f t="shared" si="47"/>
        <v>1.02</v>
      </c>
      <c r="BC34" s="483">
        <f>BB34</f>
        <v>1.02</v>
      </c>
      <c r="BD34" s="484">
        <f>BC34</f>
        <v>1.02</v>
      </c>
    </row>
    <row r="35" spans="1:56" s="152" customFormat="1" x14ac:dyDescent="0.25">
      <c r="A35" s="157" t="s">
        <v>1001</v>
      </c>
      <c r="B35" s="185">
        <v>0</v>
      </c>
      <c r="C35" s="186"/>
      <c r="D35" s="143"/>
      <c r="E35" s="477"/>
      <c r="F35" s="143"/>
      <c r="G35" s="1" t="s">
        <v>716</v>
      </c>
      <c r="H35" s="5"/>
      <c r="K35" s="184"/>
      <c r="L35" s="184"/>
      <c r="M35" s="184"/>
      <c r="AE35" s="481" t="s">
        <v>724</v>
      </c>
      <c r="AF35" s="485">
        <f>$U$26*((AF34)^AF33)</f>
        <v>75064.566035884389</v>
      </c>
      <c r="AG35" s="485">
        <f>$U$26*((AG34)^AG33)</f>
        <v>76565.857356602079</v>
      </c>
      <c r="AH35" s="485">
        <f>$U$26*((AH34)^AH33)</f>
        <v>78097.174503734117</v>
      </c>
      <c r="AI35" s="485">
        <f t="shared" ref="AI35:BD35" si="48">$U$26*((AI34)^AI33)</f>
        <v>79659.117993808803</v>
      </c>
      <c r="AJ35" s="485">
        <f t="shared" si="48"/>
        <v>81252.300353684986</v>
      </c>
      <c r="AK35" s="485">
        <f t="shared" si="48"/>
        <v>82877.346360758689</v>
      </c>
      <c r="AL35" s="485">
        <f t="shared" si="48"/>
        <v>84534.893287973842</v>
      </c>
      <c r="AM35" s="485">
        <f t="shared" si="48"/>
        <v>86225.59115373333</v>
      </c>
      <c r="AN35" s="485">
        <f t="shared" si="48"/>
        <v>87950.10297680799</v>
      </c>
      <c r="AO35" s="485">
        <f t="shared" si="48"/>
        <v>89709.105036344161</v>
      </c>
      <c r="AP35" s="485">
        <f t="shared" si="48"/>
        <v>91503.28713707102</v>
      </c>
      <c r="AQ35" s="485">
        <f t="shared" si="48"/>
        <v>93333.352879812461</v>
      </c>
      <c r="AR35" s="485">
        <f t="shared" si="48"/>
        <v>95200.019937408695</v>
      </c>
      <c r="AS35" s="485">
        <f t="shared" si="48"/>
        <v>97104.020336156886</v>
      </c>
      <c r="AT35" s="485">
        <f t="shared" si="48"/>
        <v>99046.100742879993</v>
      </c>
      <c r="AU35" s="485">
        <f t="shared" si="48"/>
        <v>101027.02275773761</v>
      </c>
      <c r="AV35" s="485">
        <f t="shared" si="48"/>
        <v>103047.56321289238</v>
      </c>
      <c r="AW35" s="485">
        <f t="shared" si="48"/>
        <v>105108.51447715021</v>
      </c>
      <c r="AX35" s="485">
        <f t="shared" si="48"/>
        <v>107210.68476669322</v>
      </c>
      <c r="AY35" s="485">
        <f t="shared" si="48"/>
        <v>109354.89846202708</v>
      </c>
      <c r="AZ35" s="485">
        <f t="shared" si="48"/>
        <v>111541.99643126762</v>
      </c>
      <c r="BA35" s="485">
        <f t="shared" si="48"/>
        <v>113772.83635989297</v>
      </c>
      <c r="BB35" s="485">
        <f t="shared" si="48"/>
        <v>116048.29308709082</v>
      </c>
      <c r="BC35" s="485">
        <f t="shared" si="48"/>
        <v>118369.25894883263</v>
      </c>
      <c r="BD35" s="485">
        <f t="shared" si="48"/>
        <v>120736.6441278093</v>
      </c>
    </row>
    <row r="36" spans="1:56" s="152" customFormat="1" x14ac:dyDescent="0.25">
      <c r="D36" s="5"/>
      <c r="E36" s="5"/>
      <c r="F36" s="5"/>
      <c r="G36" s="1"/>
      <c r="H36" s="5"/>
      <c r="K36" s="184"/>
      <c r="L36" s="184"/>
      <c r="M36" s="184"/>
      <c r="AE36" s="481" t="s">
        <v>725</v>
      </c>
      <c r="AF36" s="486">
        <f>AF35/((1+$B$33)^AF33)</f>
        <v>65273.535683377733</v>
      </c>
      <c r="AG36" s="486">
        <f>AG35/((1+$B$33)^AG33)</f>
        <v>57894.788171343738</v>
      </c>
      <c r="AH36" s="486">
        <f t="shared" ref="AH36:BB36" si="49">AH35/((1+$B$33)^AH33)</f>
        <v>51350.159943278799</v>
      </c>
      <c r="AI36" s="486">
        <f t="shared" si="49"/>
        <v>45545.359254038587</v>
      </c>
      <c r="AJ36" s="486">
        <f>AJ35/((1+$B$33)^AJ33)</f>
        <v>40396.753425321185</v>
      </c>
      <c r="AK36" s="486">
        <f t="shared" si="49"/>
        <v>35830.163907676186</v>
      </c>
      <c r="AL36" s="486">
        <f t="shared" si="49"/>
        <v>31779.797552895401</v>
      </c>
      <c r="AM36" s="486">
        <f t="shared" si="49"/>
        <v>28187.298699089839</v>
      </c>
      <c r="AN36" s="486">
        <f t="shared" si="49"/>
        <v>25000.908411366639</v>
      </c>
      <c r="AO36" s="486">
        <f t="shared" si="49"/>
        <v>22174.718764864327</v>
      </c>
      <c r="AP36" s="486">
        <f t="shared" si="49"/>
        <v>19668.011426227487</v>
      </c>
      <c r="AQ36" s="486">
        <f t="shared" si="49"/>
        <v>17444.671004132211</v>
      </c>
      <c r="AR36" s="486">
        <f t="shared" si="49"/>
        <v>15472.664716708568</v>
      </c>
      <c r="AS36" s="486">
        <f t="shared" si="49"/>
        <v>13723.580879167603</v>
      </c>
      <c r="AT36" s="486">
        <f t="shared" si="49"/>
        <v>12172.219562392134</v>
      </c>
      <c r="AU36" s="486">
        <f t="shared" si="49"/>
        <v>10796.229524904331</v>
      </c>
      <c r="AV36" s="486">
        <f t="shared" si="49"/>
        <v>9575.7861873064521</v>
      </c>
      <c r="AW36" s="486">
        <f t="shared" si="49"/>
        <v>8493.3060096109402</v>
      </c>
      <c r="AX36" s="486">
        <f t="shared" si="49"/>
        <v>7533.1931563505732</v>
      </c>
      <c r="AY36" s="486">
        <f t="shared" si="49"/>
        <v>6681.6147995457268</v>
      </c>
      <c r="AZ36" s="486">
        <f t="shared" si="49"/>
        <v>5926.3018222057744</v>
      </c>
      <c r="BA36" s="486">
        <f t="shared" si="49"/>
        <v>5256.3720509999048</v>
      </c>
      <c r="BB36" s="486">
        <f t="shared" si="49"/>
        <v>4662.1734713216547</v>
      </c>
      <c r="BC36" s="486">
        <f>BC35/((1+$B$33)^BC33)</f>
        <v>4135.1451658679034</v>
      </c>
      <c r="BD36" s="487">
        <f>BD35/((1+$B$33)^BD33)</f>
        <v>3667.6939732045757</v>
      </c>
    </row>
    <row r="37" spans="1:56" s="152" customFormat="1" ht="13.8" thickBot="1" x14ac:dyDescent="0.3">
      <c r="B37" s="525" t="s">
        <v>735</v>
      </c>
      <c r="C37" s="521"/>
      <c r="D37" s="526" t="s">
        <v>736</v>
      </c>
      <c r="E37" s="527"/>
      <c r="G37" s="1066" t="s">
        <v>1020</v>
      </c>
      <c r="H37" s="1066" t="s">
        <v>1021</v>
      </c>
      <c r="I37" s="1066" t="s">
        <v>2514</v>
      </c>
      <c r="K37" s="184"/>
      <c r="L37" s="184"/>
      <c r="M37" s="3081"/>
      <c r="AE37" s="488" t="s">
        <v>726</v>
      </c>
      <c r="AF37" s="489">
        <f>AF36</f>
        <v>65273.535683377733</v>
      </c>
      <c r="AG37" s="490">
        <f>AG36+AF36</f>
        <v>123168.32385472147</v>
      </c>
      <c r="AH37" s="490">
        <f>AH36+AG37</f>
        <v>174518.48379800026</v>
      </c>
      <c r="AI37" s="490">
        <f>AI36+AH37</f>
        <v>220063.84305203886</v>
      </c>
      <c r="AJ37" s="490">
        <f>AJ36+AI37</f>
        <v>260460.59647736006</v>
      </c>
      <c r="AK37" s="490">
        <f>AK36+AJ37</f>
        <v>296290.76038503624</v>
      </c>
      <c r="AL37" s="490">
        <f t="shared" ref="AL37:BB37" si="50">AL36+AK37</f>
        <v>328070.55793793162</v>
      </c>
      <c r="AM37" s="490">
        <f t="shared" si="50"/>
        <v>356257.85663702147</v>
      </c>
      <c r="AN37" s="490">
        <f t="shared" si="50"/>
        <v>381258.7650483881</v>
      </c>
      <c r="AO37" s="490">
        <f t="shared" si="50"/>
        <v>403433.48381325242</v>
      </c>
      <c r="AP37" s="490">
        <f t="shared" si="50"/>
        <v>423101.49523947993</v>
      </c>
      <c r="AQ37" s="490">
        <f t="shared" si="50"/>
        <v>440546.16624361213</v>
      </c>
      <c r="AR37" s="490">
        <f t="shared" si="50"/>
        <v>456018.83096032072</v>
      </c>
      <c r="AS37" s="490">
        <f t="shared" si="50"/>
        <v>469742.41183948831</v>
      </c>
      <c r="AT37" s="490">
        <f t="shared" si="50"/>
        <v>481914.63140188047</v>
      </c>
      <c r="AU37" s="490">
        <f t="shared" si="50"/>
        <v>492710.86092678481</v>
      </c>
      <c r="AV37" s="490">
        <f t="shared" si="50"/>
        <v>502286.64711409126</v>
      </c>
      <c r="AW37" s="490">
        <f t="shared" si="50"/>
        <v>510779.9531237022</v>
      </c>
      <c r="AX37" s="490">
        <f t="shared" si="50"/>
        <v>518313.14628005278</v>
      </c>
      <c r="AY37" s="490">
        <f t="shared" si="50"/>
        <v>524994.76107959845</v>
      </c>
      <c r="AZ37" s="490">
        <f t="shared" si="50"/>
        <v>530921.06290180422</v>
      </c>
      <c r="BA37" s="490">
        <f t="shared" si="50"/>
        <v>536177.43495280412</v>
      </c>
      <c r="BB37" s="490">
        <f t="shared" si="50"/>
        <v>540839.60842412582</v>
      </c>
      <c r="BC37" s="490">
        <f>BC36+BB37</f>
        <v>544974.75358999369</v>
      </c>
      <c r="BD37" s="491">
        <f>BD36+BC37</f>
        <v>548642.44756319828</v>
      </c>
    </row>
    <row r="38" spans="1:56" s="152" customFormat="1" ht="13.8" thickBot="1" x14ac:dyDescent="0.3">
      <c r="A38" s="187" t="s">
        <v>680</v>
      </c>
      <c r="B38" s="1009">
        <f>NPV(B33,L26:AA26)+K26</f>
        <v>138691.59793460587</v>
      </c>
      <c r="C38" s="929">
        <f>B38/B40</f>
        <v>1</v>
      </c>
      <c r="D38" s="689">
        <f>NPV(B33,L26:AA26)+$AE$42+K26</f>
        <v>138691.59793460587</v>
      </c>
      <c r="E38" s="733">
        <f>D38/D40</f>
        <v>1</v>
      </c>
      <c r="F38" s="5"/>
      <c r="G38" s="1067">
        <f>NPV(B33,L26:T26)+K26</f>
        <v>23653.888103577949</v>
      </c>
      <c r="H38" s="1067">
        <f>NPV(B33,L26:Y26)+K26</f>
        <v>107481.3645232243</v>
      </c>
      <c r="I38" s="1067">
        <f>NPV(B33,L26:AD26)+K26</f>
        <v>170138.2362149668</v>
      </c>
      <c r="K38" s="184"/>
      <c r="L38" s="184"/>
      <c r="M38" s="3081"/>
      <c r="AG38" s="494"/>
      <c r="BD38" s="494">
        <f>NPV($B$33,AF35:BD35)</f>
        <v>548642.44756319828</v>
      </c>
    </row>
    <row r="39" spans="1:56" s="152" customFormat="1" x14ac:dyDescent="0.25">
      <c r="A39" s="188" t="s">
        <v>29</v>
      </c>
      <c r="B39" s="930">
        <f>$AE$26/ (1+$B$33)^(AA3-K3)</f>
        <v>0</v>
      </c>
      <c r="C39" s="931">
        <f>B39/B40</f>
        <v>0</v>
      </c>
      <c r="D39" s="690">
        <f>$AE$26/ (1+$B$33)^(AA3-K3)</f>
        <v>0</v>
      </c>
      <c r="E39" s="734">
        <f>D39/D40</f>
        <v>0</v>
      </c>
      <c r="F39" s="5"/>
      <c r="G39" s="1066"/>
      <c r="H39" s="1068"/>
      <c r="I39" s="1066"/>
      <c r="K39" s="184"/>
      <c r="L39" s="184"/>
      <c r="M39" s="3081"/>
      <c r="AE39" s="522" t="s">
        <v>731</v>
      </c>
      <c r="AF39" s="523"/>
      <c r="AG39" s="523"/>
      <c r="AH39" s="523"/>
      <c r="AI39"/>
      <c r="AJ39"/>
      <c r="AK39"/>
      <c r="AL39"/>
      <c r="AM39"/>
      <c r="AN39"/>
      <c r="AO39"/>
      <c r="AP39"/>
      <c r="AQ39"/>
      <c r="AR39"/>
    </row>
    <row r="40" spans="1:56" s="152" customFormat="1" ht="13.8" thickBot="1" x14ac:dyDescent="0.3">
      <c r="A40" s="188" t="s">
        <v>681</v>
      </c>
      <c r="B40" s="932">
        <f>SUM(B38:B39)</f>
        <v>138691.59793460587</v>
      </c>
      <c r="C40" s="931">
        <f>SUM(C38:C39)</f>
        <v>1</v>
      </c>
      <c r="D40" s="691">
        <f>SUM(D38:D39)</f>
        <v>138691.59793460587</v>
      </c>
      <c r="E40" s="734">
        <f>SUM(E38:E39)</f>
        <v>1</v>
      </c>
      <c r="F40" s="5"/>
      <c r="G40" s="3069">
        <f>NPV(B33,L30:T30)+K26</f>
        <v>165538.14742423804</v>
      </c>
      <c r="H40" s="1068"/>
      <c r="J40" s="1066"/>
      <c r="K40" s="3081"/>
      <c r="L40" s="3081"/>
      <c r="M40" s="3081"/>
      <c r="N40" s="3082"/>
      <c r="O40" s="3082"/>
      <c r="P40" s="3082"/>
      <c r="Q40" s="3082"/>
      <c r="R40" s="3082"/>
      <c r="S40" s="3082"/>
      <c r="T40" s="3082"/>
      <c r="U40" s="3082"/>
      <c r="V40" s="3082"/>
      <c r="W40" s="3082"/>
      <c r="X40" s="3082"/>
      <c r="Y40" s="3082"/>
      <c r="Z40" s="3082"/>
      <c r="AA40" s="3082"/>
      <c r="AB40" s="3082"/>
      <c r="AC40" s="3082"/>
      <c r="AD40" s="3082"/>
      <c r="AE40" s="524"/>
      <c r="AF40" s="523"/>
      <c r="AG40" s="523"/>
      <c r="AH40" s="523"/>
      <c r="AI40"/>
      <c r="AJ40"/>
      <c r="AK40"/>
      <c r="AL40"/>
      <c r="AM40"/>
      <c r="AN40"/>
      <c r="AO40"/>
      <c r="AP40"/>
      <c r="AQ40"/>
      <c r="AR40"/>
    </row>
    <row r="41" spans="1:56" s="152" customFormat="1" x14ac:dyDescent="0.25">
      <c r="A41" s="157" t="s">
        <v>30</v>
      </c>
      <c r="B41" s="940">
        <f>$B$40/SUM('Income Statement'!$E$23:$Z$23)</f>
        <v>4.7433400904648044</v>
      </c>
      <c r="C41" s="523"/>
      <c r="D41" s="528"/>
      <c r="E41"/>
      <c r="F41" s="5"/>
      <c r="G41" s="1"/>
      <c r="H41" s="1068"/>
      <c r="J41" s="1066"/>
      <c r="K41" s="3081"/>
      <c r="L41" s="3081"/>
      <c r="M41" s="3081"/>
      <c r="N41" s="3081"/>
      <c r="O41" s="3081"/>
      <c r="P41" s="3081"/>
      <c r="Q41" s="3081"/>
      <c r="R41" s="3081"/>
      <c r="S41" s="3081"/>
      <c r="T41" s="3081"/>
      <c r="U41" s="3081"/>
      <c r="V41" s="3081"/>
      <c r="W41" s="3081"/>
      <c r="X41" s="3081"/>
      <c r="Y41" s="3081"/>
      <c r="Z41" s="3081"/>
      <c r="AA41" s="3081"/>
      <c r="AB41" s="3081"/>
      <c r="AC41" s="3081"/>
      <c r="AD41" s="3081"/>
      <c r="AE41" s="549" t="s">
        <v>737</v>
      </c>
      <c r="AF41" s="550" t="s">
        <v>738</v>
      </c>
      <c r="AG41"/>
      <c r="AH41"/>
      <c r="AI41"/>
      <c r="AJ41"/>
      <c r="AK41"/>
      <c r="AL41"/>
      <c r="AM41"/>
      <c r="AN41"/>
      <c r="AO41"/>
      <c r="AP41"/>
      <c r="AQ41"/>
      <c r="AR41"/>
    </row>
    <row r="42" spans="1:56" s="152" customFormat="1" ht="13.8" thickBot="1" x14ac:dyDescent="0.3">
      <c r="A42" s="157" t="s">
        <v>31</v>
      </c>
      <c r="B42" s="1024">
        <f>IRR(K29:AA29,15%)</f>
        <v>0.43954787309274734</v>
      </c>
      <c r="C42" s="1001"/>
      <c r="D42" s="1001">
        <f>IRR(C29:BC29,15%)</f>
        <v>0.44620510793275536</v>
      </c>
      <c r="E42"/>
      <c r="F42" s="5"/>
      <c r="G42" s="1024">
        <f>IRR(K29:T29,15%)</f>
        <v>0.29424107327655036</v>
      </c>
      <c r="H42" s="3094">
        <f>IRR(K29:Y29,15%)</f>
        <v>0.42690882618993897</v>
      </c>
      <c r="I42" s="1024">
        <f>IRR(K29:AD29,15%)</f>
        <v>0.44620510793275536</v>
      </c>
      <c r="J42" s="1066"/>
      <c r="K42" s="3081"/>
      <c r="L42" s="3081"/>
      <c r="M42" s="3081"/>
      <c r="N42" s="3081"/>
      <c r="O42" s="3081"/>
      <c r="P42" s="3081"/>
      <c r="Q42" s="3081"/>
      <c r="R42" s="3081"/>
      <c r="S42" s="3081"/>
      <c r="T42" s="3081"/>
      <c r="U42" s="3081"/>
      <c r="V42" s="3081"/>
      <c r="W42" s="3081"/>
      <c r="X42" s="3081"/>
      <c r="Y42" s="3081"/>
      <c r="Z42" s="3081"/>
      <c r="AA42" s="3081"/>
      <c r="AB42" s="3081"/>
      <c r="AC42" s="3081"/>
      <c r="AD42" s="3081"/>
      <c r="AE42" s="551">
        <f>VLOOKUP(FTEs!$C$66,$AE$44:$AH$59,3,0)</f>
        <v>0</v>
      </c>
      <c r="AF42" s="552" t="str">
        <f>FTEs!$C$66</f>
        <v>FY18</v>
      </c>
      <c r="AG42"/>
      <c r="AH42"/>
      <c r="AI42"/>
      <c r="AJ42"/>
      <c r="AK42"/>
      <c r="AL42"/>
      <c r="AM42"/>
      <c r="AN42"/>
      <c r="AO42"/>
      <c r="AP42"/>
      <c r="AQ42"/>
      <c r="AR42"/>
    </row>
    <row r="43" spans="1:56" s="152" customFormat="1" x14ac:dyDescent="0.25">
      <c r="A43" s="157" t="s">
        <v>794</v>
      </c>
      <c r="B43" s="1069">
        <f>MIRR(K29:AA29,0.08,0.125)</f>
        <v>0.26611185121332226</v>
      </c>
      <c r="C43" s="1001"/>
      <c r="D43" s="1002">
        <f>MIRR(C29:U29,0.046,0.15)</f>
        <v>0.14423171259600798</v>
      </c>
      <c r="E43" s="477"/>
      <c r="F43" s="5"/>
      <c r="G43" s="1024">
        <f>MIRR(K29:T29,0.08,0.125)</f>
        <v>0.20633150989355031</v>
      </c>
      <c r="H43" s="1024">
        <f>MIRR(K29:Y29,0.08,0.125)</f>
        <v>0.26664843154963025</v>
      </c>
      <c r="I43" s="1024">
        <f>MIRR(K29:AD29,0.08,0.125)</f>
        <v>0.25569551089468212</v>
      </c>
      <c r="K43" s="184"/>
      <c r="L43" s="184"/>
      <c r="M43" s="184"/>
      <c r="AE43" s="553" t="s">
        <v>682</v>
      </c>
      <c r="AF43" s="554" t="s">
        <v>725</v>
      </c>
      <c r="AG43" s="555" t="s">
        <v>739</v>
      </c>
      <c r="AH43" s="556" t="s">
        <v>655</v>
      </c>
    </row>
    <row r="44" spans="1:56" s="152" customFormat="1" x14ac:dyDescent="0.25">
      <c r="D44" s="5"/>
      <c r="E44" s="5"/>
      <c r="F44" s="1068" t="s">
        <v>2503</v>
      </c>
      <c r="G44" s="1024">
        <f>MIRR(K30:T30,0.08,0.125)</f>
        <v>0.40190591267072362</v>
      </c>
      <c r="H44" s="5"/>
      <c r="J44" s="184"/>
      <c r="K44" s="184"/>
      <c r="L44" s="184"/>
      <c r="M44" s="184"/>
      <c r="AE44" s="557" t="s">
        <v>685</v>
      </c>
      <c r="AF44" s="558">
        <f>NPV($B$33,$D$26:$S$26)+C26</f>
        <v>1821.0390707315801</v>
      </c>
      <c r="AG44" s="558">
        <v>0</v>
      </c>
      <c r="AH44" s="559">
        <f>SUM(AF44:AG44)</f>
        <v>1821.0390707315801</v>
      </c>
    </row>
    <row r="45" spans="1:56" s="152" customFormat="1" ht="13.8" thickBot="1" x14ac:dyDescent="0.3">
      <c r="A45" s="157" t="s">
        <v>32</v>
      </c>
      <c r="C45" s="492">
        <f>AVERAGE(H49:H55)</f>
        <v>3668.4558749300318</v>
      </c>
      <c r="H45" s="189"/>
      <c r="I45" s="71"/>
      <c r="J45" s="184"/>
      <c r="K45" s="184"/>
      <c r="L45" s="184"/>
      <c r="M45" s="184"/>
      <c r="AE45" s="557" t="s">
        <v>686</v>
      </c>
      <c r="AF45" s="558">
        <f>NPV($B$33,$E$26:$S$26)+D26</f>
        <v>2094.1949313413179</v>
      </c>
      <c r="AG45" s="558">
        <f>IF(FTEs!$C$68="NO",0,$C$26)</f>
        <v>0</v>
      </c>
      <c r="AH45" s="559">
        <f t="shared" ref="AH45:AH55" si="51">SUM(AF45:AG45)</f>
        <v>2094.1949313413179</v>
      </c>
    </row>
    <row r="46" spans="1:56" s="152" customFormat="1" ht="13.8" thickBot="1" x14ac:dyDescent="0.3">
      <c r="A46" s="157"/>
      <c r="I46" s="541" t="s">
        <v>731</v>
      </c>
      <c r="J46" s="539"/>
      <c r="K46" s="540"/>
      <c r="L46" s="158"/>
      <c r="M46" s="158"/>
      <c r="AE46" s="557" t="s">
        <v>687</v>
      </c>
      <c r="AF46" s="558">
        <f>NPV($B$33,$F$26:$S$26)+E26</f>
        <v>2408.3241710425154</v>
      </c>
      <c r="AG46" s="558">
        <f>IF(FTEs!$C$68="NO",0, SUM($C$26:$D$26))</f>
        <v>0</v>
      </c>
      <c r="AH46" s="559">
        <f t="shared" si="51"/>
        <v>2408.3241710425154</v>
      </c>
    </row>
    <row r="47" spans="1:56" s="152" customFormat="1" x14ac:dyDescent="0.25">
      <c r="A47" s="542" t="s">
        <v>679</v>
      </c>
      <c r="B47" s="543"/>
      <c r="C47" s="1004" t="s">
        <v>680</v>
      </c>
      <c r="D47" s="545"/>
      <c r="E47" s="544" t="s">
        <v>710</v>
      </c>
      <c r="F47" s="543"/>
      <c r="G47" s="563" t="s">
        <v>681</v>
      </c>
      <c r="H47" s="564"/>
      <c r="I47" s="546" t="s">
        <v>734</v>
      </c>
      <c r="J47" s="529"/>
      <c r="K47" s="530"/>
      <c r="L47" s="158"/>
      <c r="M47" s="158"/>
      <c r="AE47" s="557" t="s">
        <v>711</v>
      </c>
      <c r="AF47" s="558">
        <f>NPV($B$33,$G$26:$S$26)+F26</f>
        <v>2769.5727966988902</v>
      </c>
      <c r="AG47" s="558">
        <f>IF(FTEs!$C$68="NO",0,SUM($C$26:$E$26))</f>
        <v>0</v>
      </c>
      <c r="AH47" s="559">
        <f t="shared" si="51"/>
        <v>2769.5727966988902</v>
      </c>
    </row>
    <row r="48" spans="1:56" x14ac:dyDescent="0.25">
      <c r="A48" s="190">
        <f>A49-0.01</f>
        <v>0.13</v>
      </c>
      <c r="B48" s="191"/>
      <c r="C48" s="1007">
        <f>+NPV(A48,K$26:U$26)+$J$26</f>
        <v>45637.139044082971</v>
      </c>
      <c r="D48" s="933"/>
      <c r="E48" s="934">
        <f t="shared" ref="E48:E55" si="52">$AE$26/(1+A48)^($U$3-$J$3)</f>
        <v>0</v>
      </c>
      <c r="F48" s="192"/>
      <c r="G48" s="685">
        <f t="shared" ref="G48:G55" si="53">+C48+E48</f>
        <v>45637.139044082971</v>
      </c>
      <c r="H48" s="565"/>
      <c r="I48" s="676">
        <f t="shared" ref="I48:I55" si="54">+SUM(G48,$AE$42)</f>
        <v>45637.139044082971</v>
      </c>
      <c r="J48" s="531"/>
      <c r="K48" s="532"/>
      <c r="L48" s="196"/>
      <c r="M48" s="196"/>
      <c r="AE48" s="557" t="s">
        <v>719</v>
      </c>
      <c r="AF48" s="558">
        <f>NPV($B$33,$H$26:$S$26)+G26</f>
        <v>3185.0087162037271</v>
      </c>
      <c r="AG48" s="558">
        <f>IF(FTEs!$C$68="NO",0,SUM($C$26:$F$26))</f>
        <v>0</v>
      </c>
      <c r="AH48" s="559">
        <f t="shared" si="51"/>
        <v>3185.0087162037271</v>
      </c>
    </row>
    <row r="49" spans="1:37" x14ac:dyDescent="0.25">
      <c r="A49" s="193">
        <f>A50-0.01</f>
        <v>0.14000000000000001</v>
      </c>
      <c r="B49" s="194"/>
      <c r="C49" s="1007">
        <f t="shared" ref="C49:C55" si="55">+NPV(A49,K$26:U$26)+$J$26</f>
        <v>40778.18625093795</v>
      </c>
      <c r="D49" s="935"/>
      <c r="E49" s="936">
        <f t="shared" si="52"/>
        <v>0</v>
      </c>
      <c r="F49" s="195"/>
      <c r="G49" s="686">
        <f t="shared" si="53"/>
        <v>40778.18625093795</v>
      </c>
      <c r="H49" s="566">
        <f t="shared" ref="H49:H54" si="56">G48-G49</f>
        <v>4858.9527931450211</v>
      </c>
      <c r="I49" s="676">
        <f t="shared" si="54"/>
        <v>40778.18625093795</v>
      </c>
      <c r="J49" s="533"/>
      <c r="K49" s="532"/>
      <c r="L49" s="196"/>
      <c r="M49" s="196"/>
      <c r="AE49" s="557" t="s">
        <v>444</v>
      </c>
      <c r="AF49" s="558">
        <f>NPV($B$33,$I$26:$S$26)+H26</f>
        <v>3662.7600236342855</v>
      </c>
      <c r="AG49" s="558">
        <f>IF(FTEs!$C$68="NO",0,SUM($C$26:$G$26))</f>
        <v>0</v>
      </c>
      <c r="AH49" s="559">
        <f t="shared" si="51"/>
        <v>3662.7600236342855</v>
      </c>
    </row>
    <row r="50" spans="1:37" x14ac:dyDescent="0.25">
      <c r="A50" s="197">
        <f>B33</f>
        <v>0.15000000000000002</v>
      </c>
      <c r="B50" s="198"/>
      <c r="C50" s="1007">
        <f t="shared" si="55"/>
        <v>36386.852993516608</v>
      </c>
      <c r="D50" s="937"/>
      <c r="E50" s="936">
        <f t="shared" si="52"/>
        <v>0</v>
      </c>
      <c r="F50" s="199"/>
      <c r="G50" s="687">
        <f>+C50+E50</f>
        <v>36386.852993516608</v>
      </c>
      <c r="H50" s="566">
        <f t="shared" si="56"/>
        <v>4391.3332574213418</v>
      </c>
      <c r="I50" s="676">
        <f t="shared" si="54"/>
        <v>36386.852993516608</v>
      </c>
      <c r="J50" s="533"/>
      <c r="K50" s="532"/>
      <c r="L50" s="196"/>
      <c r="M50" s="196"/>
      <c r="AE50" s="557" t="s">
        <v>445</v>
      </c>
      <c r="AF50" s="558">
        <f>NPV($B$33,$J$26:$S$26)+I26</f>
        <v>4212.1740271794315</v>
      </c>
      <c r="AG50" s="558">
        <f>IF(FTEs!$C$68="NO",0,SUM($C$26:$H$26))</f>
        <v>0</v>
      </c>
      <c r="AH50" s="559">
        <f t="shared" si="51"/>
        <v>4212.1740271794315</v>
      </c>
    </row>
    <row r="51" spans="1:37" s="152" customFormat="1" x14ac:dyDescent="0.25">
      <c r="A51" s="200">
        <f>A50+0.01</f>
        <v>0.16000000000000003</v>
      </c>
      <c r="B51" s="201"/>
      <c r="C51" s="1007">
        <f t="shared" si="55"/>
        <v>32415.91205273891</v>
      </c>
      <c r="D51" s="935"/>
      <c r="E51" s="936">
        <f t="shared" si="52"/>
        <v>0</v>
      </c>
      <c r="F51" s="203"/>
      <c r="G51" s="687">
        <f t="shared" si="53"/>
        <v>32415.91205273891</v>
      </c>
      <c r="H51" s="566">
        <f t="shared" si="56"/>
        <v>3970.9409407776984</v>
      </c>
      <c r="I51" s="676">
        <f t="shared" si="54"/>
        <v>32415.91205273891</v>
      </c>
      <c r="J51" s="533"/>
      <c r="K51" s="534"/>
      <c r="L51" s="204"/>
      <c r="M51" s="204"/>
      <c r="AE51" s="557" t="s">
        <v>722</v>
      </c>
      <c r="AF51" s="558">
        <f>NPV($B$33,$K$26:$S$26)+J26</f>
        <v>4844.0001312563418</v>
      </c>
      <c r="AG51" s="558">
        <f>IF(FTEs!$C$68="NO",0,SUM($C$26:$I$26))</f>
        <v>0</v>
      </c>
      <c r="AH51" s="559">
        <f t="shared" si="51"/>
        <v>4844.0001312563418</v>
      </c>
    </row>
    <row r="52" spans="1:37" s="152" customFormat="1" x14ac:dyDescent="0.25">
      <c r="A52" s="200">
        <f>A51+0.01</f>
        <v>0.17000000000000004</v>
      </c>
      <c r="B52" s="201"/>
      <c r="C52" s="1007">
        <f t="shared" si="55"/>
        <v>28823.228836108956</v>
      </c>
      <c r="D52" s="935"/>
      <c r="E52" s="936">
        <f t="shared" si="52"/>
        <v>0</v>
      </c>
      <c r="F52" s="203"/>
      <c r="G52" s="687">
        <f t="shared" si="53"/>
        <v>28823.228836108956</v>
      </c>
      <c r="H52" s="566">
        <f t="shared" si="56"/>
        <v>3592.6832166299537</v>
      </c>
      <c r="I52" s="676">
        <f t="shared" si="54"/>
        <v>28823.228836108956</v>
      </c>
      <c r="J52" s="535"/>
      <c r="K52" s="534"/>
      <c r="L52" s="204"/>
      <c r="M52" s="204"/>
      <c r="AE52" s="557" t="s">
        <v>770</v>
      </c>
      <c r="AF52" s="558">
        <f>NPV($B$33,$L$26:$S$26)+K26</f>
        <v>5570.6001509447951</v>
      </c>
      <c r="AG52" s="558">
        <f>IF(FTEs!$C$68="NO",0, SUM($C$26:$J$26))</f>
        <v>0</v>
      </c>
      <c r="AH52" s="559">
        <f t="shared" si="51"/>
        <v>5570.6001509447951</v>
      </c>
    </row>
    <row r="53" spans="1:37" s="152" customFormat="1" x14ac:dyDescent="0.25">
      <c r="A53" s="200">
        <f>A52+0.01</f>
        <v>0.18000000000000005</v>
      </c>
      <c r="B53" s="201"/>
      <c r="C53" s="1007">
        <f t="shared" si="55"/>
        <v>25571.174959832919</v>
      </c>
      <c r="D53" s="935"/>
      <c r="E53" s="936">
        <f t="shared" si="52"/>
        <v>0</v>
      </c>
      <c r="F53" s="203"/>
      <c r="G53" s="687">
        <f t="shared" si="53"/>
        <v>25571.174959832919</v>
      </c>
      <c r="H53" s="566">
        <f t="shared" si="56"/>
        <v>3252.053876276037</v>
      </c>
      <c r="I53" s="676">
        <f t="shared" si="54"/>
        <v>25571.174959832919</v>
      </c>
      <c r="J53" s="535"/>
      <c r="K53" s="534"/>
      <c r="L53" s="204"/>
      <c r="M53" s="204"/>
      <c r="AE53" s="557" t="s">
        <v>790</v>
      </c>
      <c r="AF53" s="558">
        <f>NPV($B$33,$M$26:$S$26)+L26</f>
        <v>10569.722509201587</v>
      </c>
      <c r="AG53" s="558">
        <f>IF(FTEs!$C$68="NO",0, SUM($C$26:$K$26))</f>
        <v>-3620.4629005348552</v>
      </c>
      <c r="AH53" s="559">
        <f t="shared" si="51"/>
        <v>6949.2596086667318</v>
      </c>
    </row>
    <row r="54" spans="1:37" x14ac:dyDescent="0.25">
      <c r="A54" s="200">
        <f>A53+0.01</f>
        <v>0.19000000000000006</v>
      </c>
      <c r="B54" s="201"/>
      <c r="C54" s="1007">
        <f t="shared" si="55"/>
        <v>22626.113691331168</v>
      </c>
      <c r="D54" s="935"/>
      <c r="E54" s="936">
        <f t="shared" si="52"/>
        <v>0</v>
      </c>
      <c r="F54" s="203"/>
      <c r="G54" s="687">
        <f t="shared" si="53"/>
        <v>22626.113691331168</v>
      </c>
      <c r="H54" s="566">
        <f t="shared" si="56"/>
        <v>2945.0612685017513</v>
      </c>
      <c r="I54" s="676">
        <f t="shared" si="54"/>
        <v>22626.113691331168</v>
      </c>
      <c r="J54" s="535"/>
      <c r="K54" s="536"/>
      <c r="L54" s="143"/>
      <c r="M54" s="143"/>
      <c r="AE54" s="557" t="s">
        <v>803</v>
      </c>
      <c r="AF54" s="558">
        <f>NPV($B$33,$N$26:$S$26)+M26</f>
        <v>16014.32418505125</v>
      </c>
      <c r="AG54" s="558">
        <f>IF(FTEs!$C$68="NO",0, SUM($C$26:$L$26))</f>
        <v>-6976.2396826821714</v>
      </c>
      <c r="AH54" s="559">
        <f t="shared" si="51"/>
        <v>9038.0845023690781</v>
      </c>
      <c r="AI54" s="143"/>
      <c r="AJ54" s="143"/>
      <c r="AK54" s="143"/>
    </row>
    <row r="55" spans="1:37" ht="13.8" thickBot="1" x14ac:dyDescent="0.3">
      <c r="A55" s="205">
        <f>A54+0.01</f>
        <v>0.20000000000000007</v>
      </c>
      <c r="B55" s="206"/>
      <c r="C55" s="1008">
        <f t="shared" si="55"/>
        <v>19957.947919572747</v>
      </c>
      <c r="D55" s="938"/>
      <c r="E55" s="939">
        <f t="shared" si="52"/>
        <v>0</v>
      </c>
      <c r="F55" s="207"/>
      <c r="G55" s="688">
        <f t="shared" si="53"/>
        <v>19957.947919572747</v>
      </c>
      <c r="H55" s="567">
        <f>G54-G55/1</f>
        <v>2668.1657717584203</v>
      </c>
      <c r="I55" s="684">
        <f t="shared" si="54"/>
        <v>19957.947919572747</v>
      </c>
      <c r="J55" s="537"/>
      <c r="K55" s="538"/>
      <c r="L55" s="143"/>
      <c r="M55" s="143"/>
      <c r="AE55" s="557" t="s">
        <v>804</v>
      </c>
      <c r="AF55" s="558">
        <f>NPV($B$33,$O$26:$S$26)+N26</f>
        <v>27814.571762920252</v>
      </c>
      <c r="AG55" s="558">
        <f>IF(FTEs!$C$68="NO",0,SUM($C$26:$M$26))</f>
        <v>-15148.499639300706</v>
      </c>
      <c r="AH55" s="559">
        <f t="shared" si="51"/>
        <v>12666.072123619546</v>
      </c>
      <c r="AI55" s="143"/>
      <c r="AJ55" s="143"/>
      <c r="AK55" s="143"/>
    </row>
    <row r="56" spans="1:37" x14ac:dyDescent="0.25">
      <c r="A56" s="208"/>
      <c r="B56" s="209"/>
      <c r="C56" s="202"/>
      <c r="D56" s="210"/>
      <c r="E56" s="211"/>
      <c r="F56" s="212"/>
      <c r="G56" s="20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557" t="s">
        <v>946</v>
      </c>
      <c r="AF56" s="558">
        <f>NPV($B$33,$P$26:$S$26)+O26</f>
        <v>41729.517114253649</v>
      </c>
      <c r="AG56" s="558">
        <f>IF(FTEs!$C$68="NO",0, SUM($C$26:$N$26))</f>
        <v>-23620.464497470595</v>
      </c>
      <c r="AH56" s="559">
        <f t="shared" ref="AH56:AH62" si="57">SUM(AF56:AG56)</f>
        <v>18109.052616783054</v>
      </c>
      <c r="AI56" s="143"/>
    </row>
    <row r="57" spans="1:37" x14ac:dyDescent="0.25">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557" t="s">
        <v>948</v>
      </c>
      <c r="AF57" s="558">
        <f>NPV($B$33,$Q$26:$S$26)+P26</f>
        <v>53939.513709297826</v>
      </c>
      <c r="AG57" s="558">
        <f>IF(FTEs!$C$68="NO",0,SUM($C$26:$O$26))</f>
        <v>-28794.872347823759</v>
      </c>
      <c r="AH57" s="559">
        <f t="shared" si="57"/>
        <v>25144.641361474067</v>
      </c>
      <c r="AI57" s="143"/>
    </row>
    <row r="58" spans="1:37" x14ac:dyDescent="0.25">
      <c r="A58" s="144"/>
      <c r="B58" s="145"/>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557" t="s">
        <v>949</v>
      </c>
      <c r="AF58" s="558">
        <f>NPV($B$33,$S$26:$S$26)+Q26</f>
        <v>55274.39131222092</v>
      </c>
      <c r="AG58" s="558">
        <f>IF(FTEs!$C$68="NO",0, SUM($C$26:$P$26))</f>
        <v>-40443.395416314066</v>
      </c>
      <c r="AH58" s="559">
        <f t="shared" si="57"/>
        <v>14830.995895906854</v>
      </c>
      <c r="AI58" s="143"/>
    </row>
    <row r="59" spans="1:37" x14ac:dyDescent="0.25">
      <c r="A59" s="146"/>
      <c r="B59" s="147"/>
      <c r="C59" s="899"/>
      <c r="D59" s="143"/>
      <c r="E59" s="143"/>
      <c r="F59" s="143"/>
      <c r="G59" s="143"/>
      <c r="H59" s="143"/>
      <c r="I59" s="143"/>
      <c r="J59" s="143"/>
      <c r="K59" s="143"/>
      <c r="L59" s="143"/>
      <c r="M59" s="143"/>
      <c r="N59" s="143"/>
      <c r="O59" s="148"/>
      <c r="P59" s="148"/>
      <c r="Q59" s="148"/>
      <c r="R59" s="148"/>
      <c r="S59" s="148"/>
      <c r="T59" s="148"/>
      <c r="U59" s="148"/>
      <c r="V59" s="148"/>
      <c r="W59" s="148"/>
      <c r="X59" s="148"/>
      <c r="Y59" s="148"/>
      <c r="Z59" s="148"/>
      <c r="AA59" s="148"/>
      <c r="AB59" s="148"/>
      <c r="AC59" s="148"/>
      <c r="AD59" s="148"/>
      <c r="AE59" s="557" t="s">
        <v>965</v>
      </c>
      <c r="AF59" s="558">
        <f>NPV($B$33,$S$26:$S$26)+R26</f>
        <v>71382.928705312763</v>
      </c>
      <c r="AG59" s="558">
        <f>IF(FTEs!$C$68="NO",0,SUM($C$26:$Q$26))</f>
        <v>-27089.265039521</v>
      </c>
      <c r="AH59" s="559">
        <f t="shared" si="57"/>
        <v>44293.663665791762</v>
      </c>
      <c r="AI59" s="143"/>
    </row>
    <row r="60" spans="1:37" hidden="1" x14ac:dyDescent="0.25">
      <c r="A60" s="146"/>
      <c r="B60" s="147"/>
      <c r="C60" s="899"/>
      <c r="D60" s="143"/>
      <c r="E60" s="143"/>
      <c r="F60" s="143"/>
      <c r="G60" s="143"/>
      <c r="H60" s="143"/>
      <c r="I60" s="143"/>
      <c r="J60" s="143"/>
      <c r="K60" s="143"/>
      <c r="L60" s="143"/>
      <c r="M60" s="143"/>
      <c r="N60" s="143"/>
      <c r="O60" s="148"/>
      <c r="P60" s="148"/>
      <c r="Q60" s="148"/>
      <c r="R60" s="148"/>
      <c r="S60" s="148"/>
      <c r="T60" s="148"/>
      <c r="U60" s="148"/>
      <c r="V60" s="148"/>
      <c r="W60" s="148"/>
      <c r="X60" s="148"/>
      <c r="Y60" s="148"/>
      <c r="Z60" s="148"/>
      <c r="AA60" s="148"/>
      <c r="AB60" s="148"/>
      <c r="AC60" s="148"/>
      <c r="AD60" s="148"/>
      <c r="AE60" s="557" t="s">
        <v>966</v>
      </c>
      <c r="AF60" s="558">
        <f>NPV($B$33,$S$26:$T$26)+S26</f>
        <v>138230.46646941509</v>
      </c>
      <c r="AG60" s="558">
        <f>IF(FTEs!$C$68="NO",0,SUM($C$26:$R$26))</f>
        <v>2373.4027303639123</v>
      </c>
      <c r="AH60" s="559">
        <f t="shared" si="57"/>
        <v>140603.869199779</v>
      </c>
      <c r="AI60" s="143"/>
    </row>
    <row r="61" spans="1:37" hidden="1" x14ac:dyDescent="0.25">
      <c r="A61" s="146"/>
      <c r="B61" s="147"/>
      <c r="C61" s="143"/>
      <c r="D61" s="143"/>
      <c r="E61" s="143"/>
      <c r="F61" s="143"/>
      <c r="G61" s="143"/>
      <c r="H61" s="143"/>
      <c r="I61" s="143"/>
      <c r="J61" s="143"/>
      <c r="K61" s="143"/>
      <c r="L61" s="143"/>
      <c r="M61" s="143"/>
      <c r="N61" s="143"/>
      <c r="O61" s="148"/>
      <c r="P61" s="148"/>
      <c r="Q61" s="148"/>
      <c r="R61" s="148"/>
      <c r="S61" s="148"/>
      <c r="T61" s="148"/>
      <c r="U61" s="148"/>
      <c r="V61" s="148"/>
      <c r="W61" s="148"/>
      <c r="X61" s="148"/>
      <c r="Y61" s="148"/>
      <c r="Z61" s="148"/>
      <c r="AA61" s="148"/>
      <c r="AB61" s="148"/>
      <c r="AC61" s="148"/>
      <c r="AD61" s="148"/>
      <c r="AE61" s="557" t="s">
        <v>967</v>
      </c>
      <c r="AF61" s="558">
        <f>NPV($B$33,$S$26)+T26</f>
        <v>105535.03090395713</v>
      </c>
      <c r="AG61" s="558">
        <f>IF(FTEs!$C$68="NO",0,SUM($C$26:$S$26))</f>
        <v>50581.702806105939</v>
      </c>
      <c r="AH61" s="559">
        <f>SUM(AF61:AG61)</f>
        <v>156116.73371006307</v>
      </c>
      <c r="AI61" s="143"/>
    </row>
    <row r="62" spans="1:37" ht="13.8" hidden="1" thickBot="1" x14ac:dyDescent="0.3">
      <c r="A62" s="146"/>
      <c r="B62" s="147"/>
      <c r="C62" s="143"/>
      <c r="D62" s="143"/>
      <c r="E62" s="143"/>
      <c r="F62" s="143"/>
      <c r="G62" s="143"/>
      <c r="H62" s="143"/>
      <c r="I62" s="143"/>
      <c r="J62" s="143"/>
      <c r="K62" s="143"/>
      <c r="L62" s="143"/>
      <c r="M62" s="143"/>
      <c r="N62" s="143"/>
      <c r="O62" s="148"/>
      <c r="P62" s="148"/>
      <c r="Q62" s="148"/>
      <c r="R62" s="148"/>
      <c r="S62" s="148"/>
      <c r="T62" s="148"/>
      <c r="U62" s="148"/>
      <c r="V62" s="148"/>
      <c r="W62" s="148"/>
      <c r="X62" s="148"/>
      <c r="Y62" s="148"/>
      <c r="Z62" s="148"/>
      <c r="AA62" s="148"/>
      <c r="AB62" s="148"/>
      <c r="AC62" s="148"/>
      <c r="AD62" s="148"/>
      <c r="AE62" s="560" t="s">
        <v>968</v>
      </c>
      <c r="AF62" s="561">
        <f>NPV($B$33,$S$26)</f>
        <v>41920.260935427854</v>
      </c>
      <c r="AG62" s="561">
        <f>IF(FTEs!$C$68="NO",0,SUM($C$26:$T$26))</f>
        <v>114196.47277463521</v>
      </c>
      <c r="AH62" s="562">
        <f t="shared" si="57"/>
        <v>156116.73371006307</v>
      </c>
      <c r="AI62" s="143"/>
    </row>
    <row r="63" spans="1:37" x14ac:dyDescent="0.25">
      <c r="A63" s="146"/>
      <c r="B63" s="147"/>
      <c r="C63" s="899"/>
      <c r="D63" s="899"/>
      <c r="E63" s="899"/>
      <c r="F63" s="899"/>
      <c r="G63" s="899"/>
      <c r="H63" s="899"/>
      <c r="I63" s="899"/>
      <c r="J63" s="899"/>
      <c r="K63" s="899"/>
      <c r="L63" s="899"/>
      <c r="M63" s="899"/>
      <c r="N63" s="899"/>
      <c r="O63" s="899"/>
      <c r="P63" s="143"/>
      <c r="Q63" s="143"/>
      <c r="R63" s="143"/>
      <c r="S63" s="143"/>
    </row>
    <row r="64" spans="1:37" x14ac:dyDescent="0.25">
      <c r="A64" s="146"/>
      <c r="B64" s="147"/>
      <c r="C64" s="143"/>
      <c r="D64" s="143"/>
      <c r="E64" s="143"/>
      <c r="F64" s="143"/>
      <c r="G64" s="143"/>
      <c r="H64" s="143"/>
      <c r="I64" s="143"/>
      <c r="J64" s="143"/>
      <c r="K64" s="143"/>
      <c r="L64" s="143"/>
      <c r="M64" s="143"/>
      <c r="N64" s="143"/>
      <c r="O64" s="148"/>
      <c r="P64" s="899"/>
      <c r="Q64" s="899"/>
      <c r="T64" s="143"/>
    </row>
    <row r="65" spans="1:20" x14ac:dyDescent="0.25">
      <c r="A65" s="208"/>
      <c r="B65" s="143"/>
      <c r="C65" s="143"/>
      <c r="D65" s="143"/>
      <c r="E65" s="143"/>
      <c r="F65" s="143"/>
      <c r="G65" s="143"/>
      <c r="H65" s="143"/>
      <c r="I65" s="143"/>
      <c r="J65" s="143"/>
      <c r="K65" s="143"/>
      <c r="L65" s="143"/>
      <c r="M65" s="143"/>
      <c r="N65" s="143"/>
      <c r="O65" s="148"/>
      <c r="P65" s="143"/>
      <c r="Q65" s="143"/>
      <c r="R65" s="143"/>
      <c r="S65" s="143"/>
      <c r="T65" s="143"/>
    </row>
    <row r="66" spans="1:20" x14ac:dyDescent="0.25">
      <c r="C66" s="900"/>
      <c r="P66" s="143"/>
      <c r="Q66" s="143"/>
      <c r="R66" s="143"/>
      <c r="S66" s="143"/>
    </row>
  </sheetData>
  <mergeCells count="2">
    <mergeCell ref="C1:J1"/>
    <mergeCell ref="D31:D33"/>
  </mergeCells>
  <phoneticPr fontId="0" type="noConversion"/>
  <printOptions horizontalCentered="1"/>
  <pageMargins left="0.25" right="0.25" top="0.7" bottom="0" header="0.25" footer="0"/>
  <pageSetup scale="70" orientation="landscape" horizontalDpi="1200" verticalDpi="1200" r:id="rId1"/>
  <headerFooter alignWithMargins="0">
    <oddFooter>&amp;L&amp;12&amp;F  &amp;D</oddFooter>
  </headerFooter>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indexed="53"/>
    <pageSetUpPr fitToPage="1"/>
  </sheetPr>
  <dimension ref="B1:Y50"/>
  <sheetViews>
    <sheetView topLeftCell="D1" zoomScale="75" workbookViewId="0">
      <selection activeCell="Q40" sqref="Q40"/>
    </sheetView>
  </sheetViews>
  <sheetFormatPr defaultColWidth="9.109375" defaultRowHeight="13.8" x14ac:dyDescent="0.25"/>
  <cols>
    <col min="1" max="1" width="1.88671875" style="987" customWidth="1"/>
    <col min="2" max="2" width="31.5546875" style="987" customWidth="1"/>
    <col min="3" max="3" width="14.109375" style="987" customWidth="1"/>
    <col min="4" max="4" width="1" style="987" customWidth="1"/>
    <col min="5" max="5" width="25.33203125" style="987" customWidth="1"/>
    <col min="6" max="20" width="12.33203125" style="987" customWidth="1"/>
    <col min="21" max="21" width="11.88671875" style="987" customWidth="1"/>
    <col min="22" max="22" width="11.88671875" style="987" hidden="1" customWidth="1"/>
    <col min="23" max="24" width="18.33203125" style="987" hidden="1" customWidth="1"/>
    <col min="25" max="25" width="18.33203125" style="987" customWidth="1"/>
    <col min="26" max="16384" width="9.109375" style="987"/>
  </cols>
  <sheetData>
    <row r="1" spans="2:25" x14ac:dyDescent="0.25">
      <c r="P1" s="418" t="e">
        <f>(RIGHT('CashFlow &amp; NPV'!$K$3,2)+'CashFlow &amp; NPV'!$B$35)*1+1&gt;RIGHT(#REF!,2)*1</f>
        <v>#REF!</v>
      </c>
      <c r="Q1" s="418" t="e">
        <f>(RIGHT('CashFlow &amp; NPV'!$K$3,2)+'CashFlow &amp; NPV'!$B$35)*1+1&gt;RIGHT(#REF!,2)*1</f>
        <v>#REF!</v>
      </c>
      <c r="R1" s="418" t="e">
        <f>(RIGHT('CashFlow &amp; NPV'!$K$3,2)+'CashFlow &amp; NPV'!$B$35)*1+1&gt;RIGHT(#REF!,2)*1</f>
        <v>#REF!</v>
      </c>
      <c r="S1" s="418"/>
      <c r="T1" s="418"/>
      <c r="U1" s="418"/>
      <c r="V1" s="418"/>
    </row>
    <row r="2" spans="2:25" ht="12.75" customHeight="1" x14ac:dyDescent="0.25">
      <c r="E2" s="3421" t="s">
        <v>443</v>
      </c>
      <c r="F2" s="3421"/>
      <c r="G2" s="3421"/>
      <c r="H2" s="3421"/>
      <c r="I2" s="3421"/>
      <c r="J2" s="3421"/>
      <c r="K2" s="3421"/>
      <c r="L2" s="3421"/>
      <c r="M2" s="3421"/>
      <c r="N2" s="3421"/>
      <c r="O2" s="3421"/>
      <c r="P2" s="3421"/>
      <c r="Q2" s="3421"/>
      <c r="R2" s="3421"/>
      <c r="S2" s="981"/>
      <c r="T2" s="981"/>
      <c r="U2" s="577"/>
      <c r="V2" s="577"/>
    </row>
    <row r="3" spans="2:25" ht="12.75" customHeight="1" x14ac:dyDescent="0.25">
      <c r="E3" s="3421"/>
      <c r="F3" s="3421"/>
      <c r="G3" s="3421"/>
      <c r="H3" s="3421"/>
      <c r="I3" s="3421"/>
      <c r="J3" s="3421"/>
      <c r="K3" s="3421"/>
      <c r="L3" s="3421"/>
      <c r="M3" s="3421"/>
      <c r="N3" s="3421"/>
      <c r="O3" s="3421"/>
      <c r="P3" s="3421"/>
      <c r="Q3" s="3421"/>
      <c r="R3" s="3421"/>
      <c r="S3" s="981"/>
      <c r="T3" s="981"/>
      <c r="U3" s="577"/>
      <c r="V3" s="577"/>
    </row>
    <row r="5" spans="2:25" x14ac:dyDescent="0.25">
      <c r="P5" s="440"/>
      <c r="Q5" s="441"/>
      <c r="R5" s="441"/>
      <c r="S5" s="441"/>
      <c r="T5" s="692"/>
      <c r="U5" s="692"/>
      <c r="V5" s="692"/>
      <c r="W5" s="576"/>
      <c r="X5" s="576"/>
      <c r="Y5" s="576"/>
    </row>
    <row r="6" spans="2:25" x14ac:dyDescent="0.25">
      <c r="H6" s="988"/>
      <c r="I6" s="989"/>
      <c r="J6" s="651"/>
      <c r="Q6" s="441"/>
      <c r="R6" s="441"/>
      <c r="S6" s="441"/>
      <c r="T6" s="652"/>
    </row>
    <row r="7" spans="2:25" ht="17.399999999999999" x14ac:dyDescent="0.3">
      <c r="B7" s="653" t="s">
        <v>778</v>
      </c>
      <c r="C7" s="654"/>
      <c r="D7" s="654"/>
      <c r="E7" s="654"/>
      <c r="F7" s="3422" t="s">
        <v>779</v>
      </c>
      <c r="G7" s="3422"/>
      <c r="H7" s="3422"/>
      <c r="I7" s="3422"/>
      <c r="J7" s="3422"/>
      <c r="K7" s="3422"/>
      <c r="L7" s="3422"/>
      <c r="M7" s="3422"/>
      <c r="N7" s="3422"/>
      <c r="O7" s="3422"/>
      <c r="P7" s="3422"/>
      <c r="Q7" s="3422"/>
      <c r="R7" s="3422"/>
      <c r="S7" s="3422"/>
      <c r="T7" s="3422"/>
      <c r="U7" s="3422"/>
      <c r="V7" s="3422"/>
      <c r="W7" s="3422"/>
      <c r="X7" s="3422"/>
    </row>
    <row r="8" spans="2:25" ht="15.6" x14ac:dyDescent="0.3">
      <c r="B8" s="581" t="s">
        <v>780</v>
      </c>
      <c r="C8" s="1"/>
      <c r="D8" s="1"/>
      <c r="E8" s="655" t="s">
        <v>744</v>
      </c>
      <c r="F8" s="656" t="s">
        <v>685</v>
      </c>
      <c r="G8" s="656" t="s">
        <v>686</v>
      </c>
      <c r="H8" s="656" t="s">
        <v>687</v>
      </c>
      <c r="I8" s="656" t="s">
        <v>711</v>
      </c>
      <c r="J8" s="656" t="s">
        <v>719</v>
      </c>
      <c r="K8" s="656" t="s">
        <v>444</v>
      </c>
      <c r="L8" s="656" t="s">
        <v>445</v>
      </c>
      <c r="M8" s="656" t="s">
        <v>722</v>
      </c>
      <c r="N8" s="656" t="s">
        <v>770</v>
      </c>
      <c r="O8" s="656" t="s">
        <v>790</v>
      </c>
      <c r="P8" s="656" t="s">
        <v>803</v>
      </c>
      <c r="Q8" s="657" t="s">
        <v>804</v>
      </c>
      <c r="R8" s="656" t="s">
        <v>946</v>
      </c>
      <c r="S8" s="657" t="s">
        <v>948</v>
      </c>
      <c r="T8" s="657" t="s">
        <v>949</v>
      </c>
      <c r="U8" s="656" t="s">
        <v>965</v>
      </c>
      <c r="V8" s="656" t="s">
        <v>966</v>
      </c>
      <c r="W8" s="656" t="s">
        <v>967</v>
      </c>
      <c r="X8" s="656" t="s">
        <v>968</v>
      </c>
    </row>
    <row r="9" spans="2:25" x14ac:dyDescent="0.25">
      <c r="B9" s="658"/>
      <c r="C9" s="659" t="s">
        <v>781</v>
      </c>
      <c r="D9" s="660"/>
      <c r="E9" s="661"/>
      <c r="F9" s="982">
        <f t="shared" ref="F9:X9" si="0">F10+F13+F16</f>
        <v>0</v>
      </c>
      <c r="G9" s="982">
        <f t="shared" si="0"/>
        <v>0</v>
      </c>
      <c r="H9" s="982">
        <f t="shared" si="0"/>
        <v>0</v>
      </c>
      <c r="I9" s="982">
        <f t="shared" si="0"/>
        <v>0</v>
      </c>
      <c r="J9" s="982">
        <f t="shared" si="0"/>
        <v>0</v>
      </c>
      <c r="K9" s="982">
        <f t="shared" si="0"/>
        <v>0</v>
      </c>
      <c r="L9" s="982">
        <f t="shared" si="0"/>
        <v>0</v>
      </c>
      <c r="M9" s="982">
        <f t="shared" si="0"/>
        <v>0</v>
      </c>
      <c r="N9" s="982">
        <f t="shared" si="0"/>
        <v>5028.4206951873002</v>
      </c>
      <c r="O9" s="982">
        <f t="shared" si="0"/>
        <v>4450.6323370654063</v>
      </c>
      <c r="P9" s="982">
        <f t="shared" si="0"/>
        <v>10838.541056523256</v>
      </c>
      <c r="Q9" s="982">
        <f t="shared" si="0"/>
        <v>11236.027663355289</v>
      </c>
      <c r="R9" s="982">
        <f t="shared" si="0"/>
        <v>6862.6098811049887</v>
      </c>
      <c r="S9" s="982">
        <f t="shared" si="0"/>
        <v>4451.8026343507918</v>
      </c>
      <c r="T9" s="982">
        <f t="shared" si="0"/>
        <v>3205.8386870378081</v>
      </c>
      <c r="U9" s="982">
        <f t="shared" si="0"/>
        <v>2209.955460778564</v>
      </c>
      <c r="V9" s="982">
        <f t="shared" si="0"/>
        <v>1714.1545699941355</v>
      </c>
      <c r="W9" s="982">
        <f t="shared" si="0"/>
        <v>1718.4376613940181</v>
      </c>
      <c r="X9" s="982">
        <f t="shared" si="0"/>
        <v>1722.806414621899</v>
      </c>
    </row>
    <row r="10" spans="2:25" x14ac:dyDescent="0.25">
      <c r="C10" s="658"/>
      <c r="E10" s="990" t="s">
        <v>446</v>
      </c>
      <c r="F10" s="983">
        <f>SUM(F11,F12)</f>
        <v>0</v>
      </c>
      <c r="G10" s="983">
        <f>SUM(G11,G12)</f>
        <v>0</v>
      </c>
      <c r="H10" s="983">
        <f>SUM(H11,H12)</f>
        <v>0</v>
      </c>
      <c r="I10" s="983">
        <f>SUM(I11,I12)</f>
        <v>0</v>
      </c>
      <c r="J10" s="983">
        <f>SUM(J11,J12)</f>
        <v>0</v>
      </c>
      <c r="K10" s="983">
        <f t="shared" ref="K10:V10" si="1">SUM(K11,K12)</f>
        <v>0</v>
      </c>
      <c r="L10" s="983">
        <f t="shared" si="1"/>
        <v>0</v>
      </c>
      <c r="M10" s="983">
        <f t="shared" si="1"/>
        <v>0</v>
      </c>
      <c r="N10" s="983">
        <f t="shared" si="1"/>
        <v>4404.2799992644796</v>
      </c>
      <c r="O10" s="983">
        <f t="shared" si="1"/>
        <v>2506.5092078537805</v>
      </c>
      <c r="P10" s="983">
        <f t="shared" si="1"/>
        <v>7482.8069736869365</v>
      </c>
      <c r="Q10" s="983">
        <f t="shared" si="1"/>
        <v>6863.1788988622448</v>
      </c>
      <c r="R10" s="983">
        <f t="shared" si="1"/>
        <v>1954.5530837044898</v>
      </c>
      <c r="S10" s="983">
        <f t="shared" si="1"/>
        <v>1250</v>
      </c>
      <c r="T10" s="983">
        <f t="shared" si="1"/>
        <v>0</v>
      </c>
      <c r="U10" s="983">
        <f t="shared" si="1"/>
        <v>0</v>
      </c>
      <c r="V10" s="983">
        <f t="shared" si="1"/>
        <v>0</v>
      </c>
      <c r="W10" s="983">
        <f t="shared" ref="W10:X10" si="2">SUM(W11,W12)</f>
        <v>0</v>
      </c>
      <c r="X10" s="983">
        <f t="shared" si="2"/>
        <v>0</v>
      </c>
    </row>
    <row r="11" spans="2:25" x14ac:dyDescent="0.25">
      <c r="C11" s="658"/>
      <c r="E11" s="991" t="s">
        <v>940</v>
      </c>
      <c r="F11" s="983">
        <f>'Income Statement'!E14-SUM(FTEs!EU58,FTEs!EU53,FTEs!EU43,FTEs!EU30)</f>
        <v>0</v>
      </c>
      <c r="G11" s="983">
        <f>'Income Statement'!F14-SUM(FTEs!EV58,FTEs!EV53,FTEs!EV43,FTEs!EV30)</f>
        <v>0</v>
      </c>
      <c r="H11" s="983">
        <f>'Income Statement'!G14-SUM(FTEs!EW58,FTEs!EW53,FTEs!EW43,FTEs!EW30)</f>
        <v>0</v>
      </c>
      <c r="I11" s="983">
        <f>'Income Statement'!H14-SUM(FTEs!EX58,FTEs!EX53,FTEs!EX43,FTEs!EX30)</f>
        <v>0</v>
      </c>
      <c r="J11" s="983">
        <f>'Income Statement'!I14-SUM(FTEs!EY58,FTEs!EY53,FTEs!EY43,FTEs!EY30)</f>
        <v>0</v>
      </c>
      <c r="K11" s="983">
        <f>'Income Statement'!J14-SUM(FTEs!EZ58,FTEs!EZ53,FTEs!EZ43,FTEs!EZ30)</f>
        <v>0</v>
      </c>
      <c r="L11" s="983">
        <f>'Income Statement'!K14-SUM(FTEs!FA58,FTEs!FA53,FTEs!FA43,FTEs!FA30)</f>
        <v>0</v>
      </c>
      <c r="M11" s="983">
        <f>'Income Statement'!L14-SUM(FTEs!FB58,FTEs!FB53,FTEs!FB43,FTEs!FB30)</f>
        <v>0</v>
      </c>
      <c r="N11" s="983">
        <f>'Income Statement'!M14-SUM(FTEs!FC58,FTEs!FC53,FTEs!FC43,FTEs!FC30)</f>
        <v>519.27999926447933</v>
      </c>
      <c r="O11" s="983">
        <f>'Income Statement'!N14-SUM(FTEs!FD58,FTEs!FD53,FTEs!FD43,FTEs!FD30)</f>
        <v>1931.5092078537805</v>
      </c>
      <c r="P11" s="983">
        <f>'Income Statement'!O14-SUM(FTEs!FE58,FTEs!FE53,FTEs!FE43,FTEs!FE30)</f>
        <v>1907.8069736869375</v>
      </c>
      <c r="Q11" s="983">
        <f>'Income Statement'!P14-SUM(FTEs!FF58,FTEs!FF53,FTEs!FF43,FTEs!FF30)</f>
        <v>1788.1788988622445</v>
      </c>
      <c r="R11" s="983">
        <f>'Income Statement'!Q14-SUM(FTEs!FG58,FTEs!FG53,FTEs!FG43,FTEs!FG30)</f>
        <v>404.55308370448984</v>
      </c>
      <c r="S11" s="983">
        <f>'Income Statement'!R14-SUM(FTEs!FH58,FTEs!FH53,FTEs!FH43,FTEs!FH30)</f>
        <v>0</v>
      </c>
      <c r="T11" s="983">
        <f>'Income Statement'!S14-SUM(FTEs!FI58,FTEs!FI53,FTEs!FI43,FTEs!FI30)</f>
        <v>0</v>
      </c>
      <c r="U11" s="983">
        <f>'Income Statement'!T14-SUM(FTEs!FJ58,FTEs!FJ53,FTEs!FJ43,FTEs!FJ30)</f>
        <v>0</v>
      </c>
      <c r="V11" s="983">
        <f>'Income Statement'!U14-SUM(FTEs!FK58,FTEs!FK53,FTEs!FK43,FTEs!FK30)</f>
        <v>0</v>
      </c>
      <c r="W11" s="983">
        <f>'Income Statement'!V14-SUM(FTEs!FL58,FTEs!FL53,FTEs!FL43,FTEs!FL30)</f>
        <v>0</v>
      </c>
      <c r="X11" s="983">
        <f>'Income Statement'!W14-SUM(FTEs!FM58,FTEs!FM53,FTEs!FM43,FTEs!FM30)</f>
        <v>0</v>
      </c>
    </row>
    <row r="12" spans="2:25" x14ac:dyDescent="0.25">
      <c r="C12" s="658"/>
      <c r="E12" s="991" t="s">
        <v>941</v>
      </c>
      <c r="F12" s="983">
        <f>'Income Statement'!E23-'Income Statement'!E14</f>
        <v>0</v>
      </c>
      <c r="G12" s="983">
        <f>'Income Statement'!F23-'Income Statement'!F14</f>
        <v>0</v>
      </c>
      <c r="H12" s="983">
        <f>'Income Statement'!G23-'Income Statement'!G14</f>
        <v>0</v>
      </c>
      <c r="I12" s="983">
        <f>'Income Statement'!H23-'Income Statement'!H14</f>
        <v>0</v>
      </c>
      <c r="J12" s="983">
        <f>'Income Statement'!I23-'Income Statement'!I14</f>
        <v>0</v>
      </c>
      <c r="K12" s="983">
        <f>'Income Statement'!J23-'Income Statement'!J14</f>
        <v>0</v>
      </c>
      <c r="L12" s="983">
        <f>'Income Statement'!K23-'Income Statement'!K14</f>
        <v>0</v>
      </c>
      <c r="M12" s="983">
        <f>'Income Statement'!L23-'Income Statement'!L14</f>
        <v>0</v>
      </c>
      <c r="N12" s="983">
        <f>'Income Statement'!M23-'Income Statement'!M14</f>
        <v>3885</v>
      </c>
      <c r="O12" s="983">
        <f>'Income Statement'!N23-'Income Statement'!N14</f>
        <v>575</v>
      </c>
      <c r="P12" s="983">
        <f>'Income Statement'!O23-'Income Statement'!O14</f>
        <v>5574.9999999999991</v>
      </c>
      <c r="Q12" s="983">
        <f>'Income Statement'!P23-'Income Statement'!P14</f>
        <v>5075</v>
      </c>
      <c r="R12" s="983">
        <f>'Income Statement'!Q23-'Income Statement'!Q14</f>
        <v>1550</v>
      </c>
      <c r="S12" s="983">
        <f>'Income Statement'!R23-'Income Statement'!R14</f>
        <v>1250</v>
      </c>
      <c r="T12" s="983">
        <f>'Income Statement'!S23-'Income Statement'!S14</f>
        <v>0</v>
      </c>
      <c r="U12" s="983">
        <f>'Income Statement'!T23-'Income Statement'!T14</f>
        <v>0</v>
      </c>
      <c r="V12" s="983">
        <f>'Income Statement'!U23-'Income Statement'!U14</f>
        <v>0</v>
      </c>
      <c r="W12" s="983">
        <f>'Income Statement'!V23-'Income Statement'!V14</f>
        <v>0</v>
      </c>
      <c r="X12" s="983">
        <f>'Income Statement'!W23-'Income Statement'!W14</f>
        <v>0</v>
      </c>
    </row>
    <row r="13" spans="2:25" x14ac:dyDescent="0.25">
      <c r="E13" s="990" t="s">
        <v>415</v>
      </c>
      <c r="F13" s="983">
        <f>+FTEs!EU30+FTEs!EU43+FTEs!EU53+FTEs!EU58+('Income Statement'!E33-'Income Statement'!E26)</f>
        <v>0</v>
      </c>
      <c r="G13" s="983">
        <f>+FTEs!EV30+FTEs!EV43+FTEs!EV53+FTEs!EV58+('Income Statement'!F33-'Income Statement'!F26)</f>
        <v>0</v>
      </c>
      <c r="H13" s="983">
        <f>+FTEs!EW30+FTEs!EW43+FTEs!EW53+FTEs!EW58+('Income Statement'!G33-'Income Statement'!G26)</f>
        <v>0</v>
      </c>
      <c r="I13" s="983">
        <f>+FTEs!EX30+FTEs!EX43+FTEs!EX53+FTEs!EX58+('Income Statement'!H33-'Income Statement'!H26)</f>
        <v>0</v>
      </c>
      <c r="J13" s="983">
        <f>+FTEs!EY30+FTEs!EY43+FTEs!EY53+FTEs!EY58+('Income Statement'!I33-'Income Statement'!I26)</f>
        <v>0</v>
      </c>
      <c r="K13" s="983">
        <f>+FTEs!EZ30+FTEs!EZ43+FTEs!EZ53+FTEs!EZ58+('Income Statement'!J33-'Income Statement'!J26)</f>
        <v>0</v>
      </c>
      <c r="L13" s="983">
        <f>+FTEs!FA30+FTEs!FA43+FTEs!FA53+FTEs!FA58+('Income Statement'!K33-'Income Statement'!K26)</f>
        <v>0</v>
      </c>
      <c r="M13" s="983">
        <f>+FTEs!FB30+FTEs!FB43+FTEs!FB53+FTEs!FB58+('Income Statement'!L33-'Income Statement'!L26)</f>
        <v>0</v>
      </c>
      <c r="N13" s="983">
        <f>+FTEs!FC30+FTEs!FC43+FTEs!FC53+FTEs!FC58+('Income Statement'!M33-'Income Statement'!M26)</f>
        <v>624.14069592282021</v>
      </c>
      <c r="O13" s="983">
        <f>+FTEs!FD30+FTEs!FD43+FTEs!FD53+FTEs!FD58+('Income Statement'!N33-'Income Statement'!N26)</f>
        <v>1944.1231292116254</v>
      </c>
      <c r="P13" s="983">
        <f>+FTEs!FE30+FTEs!FE43+FTEs!FE53+FTEs!FE58+('Income Statement'!O33-'Income Statement'!O26)</f>
        <v>3355.7340828363194</v>
      </c>
      <c r="Q13" s="983">
        <f>+FTEs!FF30+FTEs!FF43+FTEs!FF53+FTEs!FF58+('Income Statement'!P33-'Income Statement'!P26)</f>
        <v>4372.8487644930456</v>
      </c>
      <c r="R13" s="983">
        <f>+FTEs!FG30+FTEs!FG43+FTEs!FG53+FTEs!FG58+('Income Statement'!Q33-'Income Statement'!Q26)</f>
        <v>4908.0567974004989</v>
      </c>
      <c r="S13" s="983">
        <f>+FTEs!FH30+FTEs!FH43+FTEs!FH53+FTEs!FH58+('Income Statement'!R33-'Income Statement'!R26)</f>
        <v>3201.8026343507922</v>
      </c>
      <c r="T13" s="983">
        <f>+FTEs!FI30+FTEs!FI43+FTEs!FI53+FTEs!FI58+('Income Statement'!S33-'Income Statement'!S26)</f>
        <v>3205.8386870378081</v>
      </c>
      <c r="U13" s="983">
        <f>+FTEs!FJ30+FTEs!FJ43+FTEs!FJ53+FTEs!FJ58+('Income Statement'!T33-'Income Statement'!T26)</f>
        <v>2209.955460778564</v>
      </c>
      <c r="V13" s="983">
        <f>+FTEs!FK30+FTEs!FK43+FTEs!FK53+FTEs!FK58+('Income Statement'!U33-'Income Statement'!U26)</f>
        <v>1714.1545699941355</v>
      </c>
      <c r="W13" s="983">
        <f>+FTEs!FL30+FTEs!FL43+FTEs!FL53+FTEs!FL58+('Income Statement'!V33-'Income Statement'!V26)</f>
        <v>1718.4376613940181</v>
      </c>
      <c r="X13" s="983">
        <f>+FTEs!FM30+FTEs!FM43+FTEs!FM53+FTEs!FM58+('Income Statement'!W33-'Income Statement'!W26)</f>
        <v>1722.806414621899</v>
      </c>
    </row>
    <row r="14" spans="2:25" x14ac:dyDescent="0.25">
      <c r="E14" s="991" t="s">
        <v>942</v>
      </c>
      <c r="F14" s="983">
        <f>FTEs!EU30+FTEs!EU43+FTEs!EU53+FTEs!EU58</f>
        <v>0</v>
      </c>
      <c r="G14" s="983">
        <f>FTEs!EV30+FTEs!EV43+FTEs!EV53+FTEs!EV58</f>
        <v>0</v>
      </c>
      <c r="H14" s="983">
        <f>FTEs!EW30+FTEs!EW43+FTEs!EW53+FTEs!EW58</f>
        <v>0</v>
      </c>
      <c r="I14" s="983">
        <f>FTEs!EX30+FTEs!EX43+FTEs!EX53+FTEs!EX58</f>
        <v>0</v>
      </c>
      <c r="J14" s="983">
        <f>FTEs!EY30+FTEs!EY43+FTEs!EY53+FTEs!EY58</f>
        <v>0</v>
      </c>
      <c r="K14" s="983">
        <f>FTEs!EZ30+FTEs!EZ43+FTEs!EZ53+FTEs!EZ58</f>
        <v>0</v>
      </c>
      <c r="L14" s="983">
        <f>FTEs!FA30+FTEs!FA43+FTEs!FA53+FTEs!FA58</f>
        <v>0</v>
      </c>
      <c r="M14" s="983">
        <f>FTEs!FB30+FTEs!FB43+FTEs!FB53+FTEs!FB58</f>
        <v>0</v>
      </c>
      <c r="N14" s="983">
        <f>FTEs!FC30+FTEs!FC43+FTEs!FC53+FTEs!FC58</f>
        <v>424.14069592282021</v>
      </c>
      <c r="O14" s="983">
        <f>FTEs!FD30+FTEs!FD43+FTEs!FD53+FTEs!FD58</f>
        <v>944.12312921162538</v>
      </c>
      <c r="P14" s="983">
        <f>FTEs!FE30+FTEs!FE43+FTEs!FE53+FTEs!FE58</f>
        <v>855.73408283631943</v>
      </c>
      <c r="Q14" s="983">
        <f>FTEs!FF30+FTEs!FF43+FTEs!FF53+FTEs!FF58</f>
        <v>872.84876449304591</v>
      </c>
      <c r="R14" s="983">
        <f>FTEs!FG30+FTEs!FG43+FTEs!FG53+FTEs!FG58</f>
        <v>408.05679740049897</v>
      </c>
      <c r="S14" s="983">
        <f>FTEs!FH30+FTEs!FH43+FTEs!FH53+FTEs!FH58</f>
        <v>201.80263435079218</v>
      </c>
      <c r="T14" s="983">
        <f>FTEs!FI30+FTEs!FI43+FTEs!FI53+FTEs!FI58</f>
        <v>205.83868703780806</v>
      </c>
      <c r="U14" s="983">
        <f>FTEs!FJ30+FTEs!FJ43+FTEs!FJ53+FTEs!FJ58</f>
        <v>209.9554607785642</v>
      </c>
      <c r="V14" s="983">
        <f>FTEs!FK30+FTEs!FK43+FTEs!FK53+FTEs!FK58</f>
        <v>214.1545699941355</v>
      </c>
      <c r="W14" s="983">
        <f>FTEs!FL30+FTEs!FL43+FTEs!FL53+FTEs!FL58</f>
        <v>218.43766139401816</v>
      </c>
      <c r="X14" s="983">
        <f>FTEs!FM30+FTEs!FM43+FTEs!FM53+FTEs!FM58</f>
        <v>222.80641462189857</v>
      </c>
    </row>
    <row r="15" spans="2:25" x14ac:dyDescent="0.25">
      <c r="E15" s="991" t="s">
        <v>943</v>
      </c>
      <c r="F15" s="983">
        <f>'Income Statement'!E33-'Income Statement'!E26</f>
        <v>0</v>
      </c>
      <c r="G15" s="983">
        <f>'Income Statement'!F33-'Income Statement'!F26</f>
        <v>0</v>
      </c>
      <c r="H15" s="983">
        <f>'Income Statement'!G33-'Income Statement'!G26</f>
        <v>0</v>
      </c>
      <c r="I15" s="983">
        <f>'Income Statement'!H33-'Income Statement'!H26</f>
        <v>0</v>
      </c>
      <c r="J15" s="983">
        <f>'Income Statement'!I33-'Income Statement'!I26</f>
        <v>0</v>
      </c>
      <c r="K15" s="983">
        <f>'Income Statement'!J33-'Income Statement'!J26</f>
        <v>0</v>
      </c>
      <c r="L15" s="983">
        <f>'Income Statement'!K33-'Income Statement'!K26</f>
        <v>0</v>
      </c>
      <c r="M15" s="983">
        <f>'Income Statement'!L33-'Income Statement'!L26</f>
        <v>0</v>
      </c>
      <c r="N15" s="983">
        <f>'Income Statement'!M33-'Income Statement'!M26</f>
        <v>200</v>
      </c>
      <c r="O15" s="983">
        <f>'Income Statement'!N33-'Income Statement'!N26</f>
        <v>1000</v>
      </c>
      <c r="P15" s="983">
        <f>'Income Statement'!O33-'Income Statement'!O26</f>
        <v>2500</v>
      </c>
      <c r="Q15" s="983">
        <f>'Income Statement'!P33-'Income Statement'!P26</f>
        <v>3500</v>
      </c>
      <c r="R15" s="983">
        <f>'Income Statement'!Q33-'Income Statement'!Q26</f>
        <v>4500</v>
      </c>
      <c r="S15" s="983">
        <f>'Income Statement'!R33-'Income Statement'!R26</f>
        <v>3000</v>
      </c>
      <c r="T15" s="983">
        <f>'Income Statement'!S33-'Income Statement'!S26</f>
        <v>3000</v>
      </c>
      <c r="U15" s="983">
        <f>'Income Statement'!T33-'Income Statement'!T26</f>
        <v>2000</v>
      </c>
      <c r="V15" s="983">
        <f>'Income Statement'!U33-'Income Statement'!U26</f>
        <v>1500</v>
      </c>
      <c r="W15" s="983">
        <f>'Income Statement'!V33-'Income Statement'!V26</f>
        <v>1500</v>
      </c>
      <c r="X15" s="983">
        <f>'Income Statement'!W33-'Income Statement'!W26</f>
        <v>1500.0000000000005</v>
      </c>
    </row>
    <row r="16" spans="2:25" x14ac:dyDescent="0.25">
      <c r="E16" s="990" t="s">
        <v>782</v>
      </c>
      <c r="F16" s="983">
        <f>('Amortz &amp; Depr'!$D33+'Amortz &amp; Depr'!$L33)+('Amortz &amp; Depr'!$D10+'Amortz &amp; Depr'!$L10)</f>
        <v>0</v>
      </c>
      <c r="G16" s="984">
        <f>('Amortz &amp; Depr'!$D34+'Amortz &amp; Depr'!$L34)+('Amortz &amp; Depr'!D11+'Amortz &amp; Depr'!L11)</f>
        <v>0</v>
      </c>
      <c r="H16" s="984">
        <f>('Amortz &amp; Depr'!$D35+'Amortz &amp; Depr'!$L35)+('Amortz &amp; Depr'!D12+'Amortz &amp; Depr'!L12)</f>
        <v>0</v>
      </c>
      <c r="I16" s="984">
        <f>('Amortz &amp; Depr'!$D36+'Amortz &amp; Depr'!$L36)+('Amortz &amp; Depr'!D13+'Amortz &amp; Depr'!L13)</f>
        <v>0</v>
      </c>
      <c r="J16" s="984">
        <f>('Amortz &amp; Depr'!$D37+'Amortz &amp; Depr'!$L37)+('Amortz &amp; Depr'!D14+'Amortz &amp; Depr'!L14)</f>
        <v>0</v>
      </c>
      <c r="K16" s="984">
        <f>('Amortz &amp; Depr'!$D38+'Amortz &amp; Depr'!$L38)+('Amortz &amp; Depr'!D15+'Amortz &amp; Depr'!L15)</f>
        <v>0</v>
      </c>
      <c r="L16" s="984">
        <f>('Amortz &amp; Depr'!$D39+'Amortz &amp; Depr'!$L39)+('Amortz &amp; Depr'!D16+'Amortz &amp; Depr'!L16)</f>
        <v>0</v>
      </c>
      <c r="M16" s="984">
        <f>('Amortz &amp; Depr'!$D40+'Amortz &amp; Depr'!$L40)+('Amortz &amp; Depr'!D17+'Amortz &amp; Depr'!L17)</f>
        <v>0</v>
      </c>
      <c r="N16" s="984">
        <f>('Amortz &amp; Depr'!$D41+'Amortz &amp; Depr'!$L41)+('Amortz &amp; Depr'!D18+'Amortz &amp; Depr'!L18)</f>
        <v>0</v>
      </c>
      <c r="O16" s="984">
        <f>('Amortz &amp; Depr'!$D42+'Amortz &amp; Depr'!$L42)+('Amortz &amp; Depr'!D19+'Amortz &amp; Depr'!L19)</f>
        <v>0</v>
      </c>
      <c r="P16" s="984">
        <f>('Amortz &amp; Depr'!$D43+'Amortz &amp; Depr'!$L43)+('Amortz &amp; Depr'!D20+'Amortz &amp; Depr'!L20)</f>
        <v>0</v>
      </c>
      <c r="Q16" s="984">
        <f>('Amortz &amp; Depr'!$D44+'Amortz &amp; Depr'!$L44)+('Amortz &amp; Depr'!D21+'Amortz &amp; Depr'!L21)</f>
        <v>0</v>
      </c>
      <c r="R16" s="984">
        <f>('Amortz &amp; Depr'!$D45+'Amortz &amp; Depr'!$L45)+('Amortz &amp; Depr'!D22+'Amortz &amp; Depr'!L22)</f>
        <v>0</v>
      </c>
      <c r="S16" s="985">
        <f>('Amortz &amp; Depr'!$D46+'Amortz &amp; Depr'!$L46)+('Amortz &amp; Depr'!$D23+'Amortz &amp; Depr'!$L23)</f>
        <v>0</v>
      </c>
      <c r="T16" s="985">
        <f>('Amortz &amp; Depr'!$D47+'Amortz &amp; Depr'!$L47)+('Amortz &amp; Depr'!$D24+'Amortz &amp; Depr'!$L24)</f>
        <v>0</v>
      </c>
      <c r="U16" s="985">
        <f>('Amortz &amp; Depr'!$D48+'Amortz &amp; Depr'!$L48)+('Amortz &amp; Depr'!$D25+'Amortz &amp; Depr'!$L25)</f>
        <v>0</v>
      </c>
      <c r="V16" s="985">
        <f>('Amortz &amp; Depr'!$D49+'Amortz &amp; Depr'!$L49)+('Amortz &amp; Depr'!$D26+'Amortz &amp; Depr'!$L26)</f>
        <v>0</v>
      </c>
      <c r="W16" s="985">
        <f>('Amortz &amp; Depr'!$D50+'Amortz &amp; Depr'!$L50)+('Amortz &amp; Depr'!$D27+'Amortz &amp; Depr'!$L27)</f>
        <v>0</v>
      </c>
      <c r="X16" s="985">
        <f>('Amortz &amp; Depr'!$D51+'Amortz &amp; Depr'!$L51)+('Amortz &amp; Depr'!$D28+'Amortz &amp; Depr'!$L28)</f>
        <v>0</v>
      </c>
    </row>
    <row r="17" spans="2:24" x14ac:dyDescent="0.25">
      <c r="B17" s="581" t="s">
        <v>783</v>
      </c>
      <c r="F17" s="992"/>
      <c r="G17" s="992"/>
      <c r="H17" s="992"/>
      <c r="I17" s="992"/>
      <c r="J17" s="992"/>
      <c r="K17" s="992"/>
      <c r="L17" s="992"/>
      <c r="M17" s="992"/>
      <c r="N17" s="992"/>
      <c r="O17" s="992"/>
      <c r="P17" s="992"/>
      <c r="Q17" s="992"/>
      <c r="R17" s="992"/>
      <c r="S17" s="992"/>
      <c r="T17" s="992"/>
      <c r="U17" s="992"/>
      <c r="V17" s="992"/>
      <c r="W17" s="992"/>
      <c r="X17" s="992"/>
    </row>
    <row r="18" spans="2:24" x14ac:dyDescent="0.25">
      <c r="B18" s="658"/>
      <c r="C18" s="659" t="s">
        <v>784</v>
      </c>
      <c r="D18" s="660"/>
      <c r="E18" s="661"/>
      <c r="F18" s="982">
        <f>'Income Statement'!E8</f>
        <v>0</v>
      </c>
      <c r="G18" s="982">
        <f>'Income Statement'!F8</f>
        <v>0</v>
      </c>
      <c r="H18" s="982">
        <f>'Income Statement'!G8</f>
        <v>0</v>
      </c>
      <c r="I18" s="982">
        <f>'Income Statement'!H8</f>
        <v>0</v>
      </c>
      <c r="J18" s="982">
        <f>'Income Statement'!I8</f>
        <v>0</v>
      </c>
      <c r="K18" s="982">
        <f>'Income Statement'!J8</f>
        <v>0</v>
      </c>
      <c r="L18" s="982">
        <f>'Income Statement'!K8</f>
        <v>0</v>
      </c>
      <c r="M18" s="982">
        <f>'Income Statement'!L8</f>
        <v>0</v>
      </c>
      <c r="N18" s="982">
        <f>'Income Statement'!M8</f>
        <v>0</v>
      </c>
      <c r="O18" s="982">
        <f>'Income Statement'!N8</f>
        <v>0</v>
      </c>
      <c r="P18" s="982">
        <f>'Income Statement'!O8</f>
        <v>0</v>
      </c>
      <c r="Q18" s="982">
        <f>'Income Statement'!P8</f>
        <v>0</v>
      </c>
      <c r="R18" s="982">
        <f>'Income Statement'!Q8</f>
        <v>0</v>
      </c>
      <c r="S18" s="982">
        <f>'Income Statement'!R8</f>
        <v>16667.203805107201</v>
      </c>
      <c r="T18" s="982">
        <f>'Income Statement'!S8</f>
        <v>38568.729451259293</v>
      </c>
      <c r="U18" s="982">
        <f>'Income Statement'!T8</f>
        <v>73523.96947665418</v>
      </c>
      <c r="V18" s="982">
        <f>'Income Statement'!U8</f>
        <v>110318.99500952553</v>
      </c>
      <c r="W18" s="982">
        <f>'Income Statement'!V8</f>
        <v>137341.0538147593</v>
      </c>
      <c r="X18" s="982">
        <f>'Income Statement'!W8</f>
        <v>152865.10012769504</v>
      </c>
    </row>
    <row r="19" spans="2:24" x14ac:dyDescent="0.25">
      <c r="B19" s="658"/>
      <c r="C19" s="16"/>
      <c r="D19" s="16"/>
      <c r="E19" s="994" t="s">
        <v>824</v>
      </c>
      <c r="F19" s="993">
        <v>0</v>
      </c>
      <c r="G19" s="993">
        <v>0</v>
      </c>
      <c r="H19" s="993">
        <v>0</v>
      </c>
      <c r="I19" s="993">
        <v>0</v>
      </c>
      <c r="J19" s="993">
        <v>0</v>
      </c>
      <c r="K19" s="993">
        <v>0</v>
      </c>
      <c r="L19" s="993">
        <v>0</v>
      </c>
      <c r="M19" s="993">
        <v>0</v>
      </c>
      <c r="N19" s="993">
        <v>0</v>
      </c>
      <c r="O19" s="993">
        <v>0</v>
      </c>
      <c r="P19" s="993">
        <v>0</v>
      </c>
      <c r="Q19" s="993">
        <v>0</v>
      </c>
      <c r="R19" s="993">
        <v>0</v>
      </c>
      <c r="S19" s="993">
        <v>0</v>
      </c>
      <c r="T19" s="993">
        <v>0</v>
      </c>
      <c r="U19" s="993">
        <v>0</v>
      </c>
      <c r="V19" s="993">
        <v>0</v>
      </c>
      <c r="W19" s="993">
        <v>0</v>
      </c>
      <c r="X19" s="993">
        <v>0</v>
      </c>
    </row>
    <row r="20" spans="2:24" x14ac:dyDescent="0.25">
      <c r="B20" s="658"/>
      <c r="C20" s="16"/>
      <c r="D20" s="16"/>
      <c r="E20" s="994" t="s">
        <v>825</v>
      </c>
      <c r="F20" s="993">
        <v>0</v>
      </c>
      <c r="G20" s="993">
        <v>0</v>
      </c>
      <c r="H20" s="993">
        <v>0</v>
      </c>
      <c r="I20" s="993">
        <v>0</v>
      </c>
      <c r="J20" s="993">
        <v>0</v>
      </c>
      <c r="K20" s="993">
        <v>0</v>
      </c>
      <c r="L20" s="993">
        <v>0</v>
      </c>
      <c r="M20" s="993">
        <v>0</v>
      </c>
      <c r="N20" s="993">
        <v>0</v>
      </c>
      <c r="O20" s="993">
        <v>0</v>
      </c>
      <c r="P20" s="993">
        <v>0</v>
      </c>
      <c r="Q20" s="993">
        <v>0</v>
      </c>
      <c r="R20" s="993">
        <v>0</v>
      </c>
      <c r="S20" s="993">
        <v>0</v>
      </c>
      <c r="T20" s="993">
        <v>0</v>
      </c>
      <c r="U20" s="993">
        <v>0</v>
      </c>
      <c r="V20" s="993">
        <v>0</v>
      </c>
      <c r="W20" s="993">
        <v>0</v>
      </c>
      <c r="X20" s="993">
        <v>0</v>
      </c>
    </row>
    <row r="21" spans="2:24" x14ac:dyDescent="0.25">
      <c r="B21" s="658"/>
      <c r="C21" s="16"/>
      <c r="D21" s="16"/>
      <c r="E21" s="994" t="s">
        <v>826</v>
      </c>
      <c r="F21" s="993">
        <v>0</v>
      </c>
      <c r="G21" s="993">
        <v>0</v>
      </c>
      <c r="H21" s="993">
        <v>0</v>
      </c>
      <c r="I21" s="993">
        <v>0</v>
      </c>
      <c r="J21" s="993">
        <v>0</v>
      </c>
      <c r="K21" s="993">
        <v>0</v>
      </c>
      <c r="L21" s="993">
        <v>0</v>
      </c>
      <c r="M21" s="993">
        <v>0</v>
      </c>
      <c r="N21" s="993">
        <v>0</v>
      </c>
      <c r="O21" s="993">
        <v>0</v>
      </c>
      <c r="P21" s="993">
        <v>0</v>
      </c>
      <c r="Q21" s="993">
        <v>0</v>
      </c>
      <c r="R21" s="993">
        <v>0</v>
      </c>
      <c r="S21" s="993">
        <v>0</v>
      </c>
      <c r="T21" s="993">
        <v>0</v>
      </c>
      <c r="U21" s="993">
        <v>0</v>
      </c>
      <c r="V21" s="993">
        <v>0</v>
      </c>
      <c r="W21" s="993">
        <v>0</v>
      </c>
      <c r="X21" s="993">
        <v>0</v>
      </c>
    </row>
    <row r="22" spans="2:24" x14ac:dyDescent="0.25">
      <c r="B22" s="658"/>
      <c r="C22" s="16"/>
      <c r="D22" s="16"/>
      <c r="E22" s="994" t="s">
        <v>827</v>
      </c>
      <c r="F22" s="993">
        <v>0</v>
      </c>
      <c r="G22" s="993">
        <v>0</v>
      </c>
      <c r="H22" s="993">
        <v>0</v>
      </c>
      <c r="I22" s="993">
        <v>0</v>
      </c>
      <c r="J22" s="993">
        <v>0</v>
      </c>
      <c r="K22" s="993">
        <v>0</v>
      </c>
      <c r="L22" s="993">
        <v>0</v>
      </c>
      <c r="M22" s="993">
        <v>0</v>
      </c>
      <c r="N22" s="993">
        <v>0</v>
      </c>
      <c r="O22" s="993">
        <v>0</v>
      </c>
      <c r="P22" s="993">
        <v>0</v>
      </c>
      <c r="Q22" s="993">
        <v>0</v>
      </c>
      <c r="R22" s="993">
        <v>0</v>
      </c>
      <c r="S22" s="993">
        <v>0</v>
      </c>
      <c r="T22" s="993">
        <v>0</v>
      </c>
      <c r="U22" s="993">
        <v>0</v>
      </c>
      <c r="V22" s="993">
        <v>0</v>
      </c>
      <c r="W22" s="993">
        <v>0</v>
      </c>
      <c r="X22" s="993">
        <v>0</v>
      </c>
    </row>
    <row r="23" spans="2:24" x14ac:dyDescent="0.25">
      <c r="B23" s="658"/>
      <c r="C23" s="16"/>
      <c r="D23" s="16"/>
      <c r="E23" s="994" t="s">
        <v>828</v>
      </c>
      <c r="F23" s="993">
        <v>0</v>
      </c>
      <c r="G23" s="993">
        <v>0</v>
      </c>
      <c r="H23" s="993">
        <v>0</v>
      </c>
      <c r="I23" s="993">
        <v>0</v>
      </c>
      <c r="J23" s="993">
        <v>0</v>
      </c>
      <c r="K23" s="993">
        <v>0</v>
      </c>
      <c r="L23" s="993">
        <v>0</v>
      </c>
      <c r="M23" s="993">
        <v>0</v>
      </c>
      <c r="N23" s="993">
        <v>0</v>
      </c>
      <c r="O23" s="993">
        <v>0</v>
      </c>
      <c r="P23" s="993">
        <v>0</v>
      </c>
      <c r="Q23" s="993">
        <v>0</v>
      </c>
      <c r="R23" s="993">
        <v>0</v>
      </c>
      <c r="S23" s="993">
        <v>0</v>
      </c>
      <c r="T23" s="993">
        <v>0</v>
      </c>
      <c r="U23" s="993">
        <v>0</v>
      </c>
      <c r="V23" s="993">
        <v>0</v>
      </c>
      <c r="W23" s="993">
        <v>0</v>
      </c>
      <c r="X23" s="993">
        <v>0</v>
      </c>
    </row>
    <row r="24" spans="2:24" x14ac:dyDescent="0.25">
      <c r="B24" s="581"/>
      <c r="F24" s="992"/>
      <c r="G24" s="992"/>
      <c r="H24" s="992"/>
      <c r="I24" s="992"/>
      <c r="J24" s="992"/>
      <c r="K24" s="992"/>
      <c r="L24" s="992"/>
      <c r="M24" s="992"/>
      <c r="N24" s="992"/>
      <c r="O24" s="992"/>
      <c r="P24" s="992"/>
      <c r="Q24" s="992"/>
      <c r="R24" s="992"/>
      <c r="S24" s="992"/>
      <c r="T24" s="992"/>
      <c r="U24" s="992"/>
      <c r="V24" s="992"/>
      <c r="W24" s="992"/>
      <c r="X24" s="992"/>
    </row>
    <row r="25" spans="2:24" x14ac:dyDescent="0.25">
      <c r="B25" s="658"/>
      <c r="C25" s="659" t="s">
        <v>785</v>
      </c>
      <c r="D25" s="660"/>
      <c r="E25" s="661"/>
      <c r="F25" s="982"/>
      <c r="G25" s="982"/>
      <c r="H25" s="982"/>
      <c r="I25" s="982"/>
      <c r="J25" s="982"/>
      <c r="K25" s="982"/>
      <c r="L25" s="982"/>
      <c r="M25" s="982"/>
      <c r="N25" s="982"/>
      <c r="O25" s="982"/>
      <c r="P25" s="982"/>
      <c r="Q25" s="982"/>
      <c r="R25" s="982"/>
      <c r="S25" s="982"/>
      <c r="T25" s="982"/>
      <c r="U25" s="986"/>
      <c r="V25" s="986"/>
      <c r="W25" s="986"/>
      <c r="X25" s="986"/>
    </row>
    <row r="26" spans="2:24" x14ac:dyDescent="0.25">
      <c r="C26" s="658"/>
      <c r="E26" s="990" t="s">
        <v>786</v>
      </c>
      <c r="F26" s="983">
        <f>'Income Statement'!E9</f>
        <v>0</v>
      </c>
      <c r="G26" s="983">
        <f>'Income Statement'!F9</f>
        <v>0</v>
      </c>
      <c r="H26" s="983">
        <f>'Income Statement'!G9</f>
        <v>0</v>
      </c>
      <c r="I26" s="983">
        <f>'Income Statement'!H9</f>
        <v>0</v>
      </c>
      <c r="J26" s="983">
        <f>'Income Statement'!I9</f>
        <v>0</v>
      </c>
      <c r="K26" s="983">
        <f>'Income Statement'!J9</f>
        <v>0</v>
      </c>
      <c r="L26" s="983">
        <f>'Income Statement'!K9</f>
        <v>0</v>
      </c>
      <c r="M26" s="983">
        <f>'Income Statement'!L9</f>
        <v>0</v>
      </c>
      <c r="N26" s="983">
        <f>'Income Statement'!M9</f>
        <v>0</v>
      </c>
      <c r="O26" s="983">
        <f>'Income Statement'!N9</f>
        <v>0</v>
      </c>
      <c r="P26" s="983">
        <f>'Income Statement'!O9</f>
        <v>0</v>
      </c>
      <c r="Q26" s="983">
        <f>'Income Statement'!P9</f>
        <v>0</v>
      </c>
      <c r="R26" s="983">
        <f>'Income Statement'!Q9</f>
        <v>0</v>
      </c>
      <c r="S26" s="983">
        <f>'Income Statement'!R9</f>
        <v>4910.06814799104</v>
      </c>
      <c r="T26" s="983">
        <f>'Income Statement'!S9</f>
        <v>11698.892563884183</v>
      </c>
      <c r="U26" s="983">
        <f>'Income Statement'!T9</f>
        <v>22368.383574590458</v>
      </c>
      <c r="V26" s="983">
        <f>'Income Statement'!U9</f>
        <v>33659.483422105237</v>
      </c>
      <c r="W26" s="983">
        <f>'Income Statement'!V9</f>
        <v>42194.943300629529</v>
      </c>
      <c r="X26" s="983">
        <f>'Income Statement'!W9</f>
        <v>47128.704363602359</v>
      </c>
    </row>
    <row r="27" spans="2:24" x14ac:dyDescent="0.25">
      <c r="E27" s="990" t="s">
        <v>944</v>
      </c>
      <c r="F27" s="983">
        <f>'Income Statement'!E26</f>
        <v>0</v>
      </c>
      <c r="G27" s="983">
        <f>'Income Statement'!F26</f>
        <v>0</v>
      </c>
      <c r="H27" s="983">
        <f>'Income Statement'!G26</f>
        <v>0</v>
      </c>
      <c r="I27" s="983">
        <f>'Income Statement'!H26</f>
        <v>0</v>
      </c>
      <c r="J27" s="983">
        <f>'Income Statement'!I26</f>
        <v>0</v>
      </c>
      <c r="K27" s="983">
        <f>'Income Statement'!J26</f>
        <v>0</v>
      </c>
      <c r="L27" s="983">
        <f>'Income Statement'!K26</f>
        <v>0</v>
      </c>
      <c r="M27" s="983">
        <f>'Income Statement'!L26</f>
        <v>0</v>
      </c>
      <c r="N27" s="983">
        <f>'Income Statement'!M26</f>
        <v>0</v>
      </c>
      <c r="O27" s="983">
        <f>'Income Statement'!N26</f>
        <v>0</v>
      </c>
      <c r="P27" s="983">
        <f>'Income Statement'!O26</f>
        <v>0</v>
      </c>
      <c r="Q27" s="983">
        <f>'Income Statement'!P26</f>
        <v>0</v>
      </c>
      <c r="R27" s="983">
        <f>'Income Statement'!Q26</f>
        <v>0</v>
      </c>
      <c r="S27" s="983">
        <f>'Income Statement'!R26</f>
        <v>300.00966849192957</v>
      </c>
      <c r="T27" s="983">
        <f>'Income Statement'!S26</f>
        <v>694.23713012266717</v>
      </c>
      <c r="U27" s="983">
        <f>'Income Statement'!T26</f>
        <v>1323.4314505797752</v>
      </c>
      <c r="V27" s="983">
        <f>'Income Statement'!U26</f>
        <v>1985.7419101714595</v>
      </c>
      <c r="W27" s="983">
        <f>'Income Statement'!V26</f>
        <v>2472.1389686656671</v>
      </c>
      <c r="X27" s="983">
        <f>'Income Statement'!W26</f>
        <v>2751.5718022985106</v>
      </c>
    </row>
    <row r="28" spans="2:24" x14ac:dyDescent="0.25">
      <c r="E28" s="990" t="s">
        <v>446</v>
      </c>
      <c r="F28" s="983"/>
      <c r="G28" s="983"/>
      <c r="H28" s="983"/>
      <c r="I28" s="983"/>
      <c r="J28" s="983"/>
      <c r="K28" s="983"/>
      <c r="L28" s="983"/>
      <c r="M28" s="983"/>
      <c r="N28" s="983"/>
      <c r="O28" s="983"/>
      <c r="P28" s="983"/>
      <c r="Q28" s="983"/>
      <c r="R28" s="983"/>
      <c r="S28" s="983"/>
      <c r="T28" s="983"/>
      <c r="U28" s="983"/>
      <c r="V28" s="983"/>
      <c r="W28" s="983"/>
      <c r="X28" s="983"/>
    </row>
    <row r="29" spans="2:24" x14ac:dyDescent="0.25">
      <c r="E29" s="990" t="s">
        <v>782</v>
      </c>
      <c r="F29" s="983"/>
      <c r="G29" s="983"/>
      <c r="H29" s="983"/>
      <c r="I29" s="983"/>
      <c r="J29" s="983"/>
      <c r="K29" s="983"/>
      <c r="L29" s="983"/>
      <c r="M29" s="983"/>
      <c r="N29" s="983"/>
      <c r="O29" s="983"/>
      <c r="P29" s="983"/>
      <c r="Q29" s="983"/>
      <c r="R29" s="983"/>
      <c r="S29" s="983"/>
      <c r="T29" s="983"/>
      <c r="U29" s="983"/>
      <c r="V29" s="983"/>
      <c r="W29" s="983"/>
      <c r="X29" s="983"/>
    </row>
    <row r="30" spans="2:24" x14ac:dyDescent="0.25">
      <c r="F30" s="992"/>
      <c r="G30" s="992"/>
      <c r="H30" s="992"/>
      <c r="I30" s="992"/>
      <c r="J30" s="992"/>
      <c r="K30" s="992"/>
      <c r="L30" s="992"/>
      <c r="M30" s="992"/>
      <c r="N30" s="992"/>
      <c r="O30" s="992"/>
      <c r="P30" s="992"/>
      <c r="Q30" s="992"/>
      <c r="R30" s="992"/>
      <c r="S30" s="992"/>
      <c r="T30" s="992"/>
      <c r="U30" s="992"/>
      <c r="V30" s="992"/>
      <c r="W30" s="992"/>
      <c r="X30" s="992"/>
    </row>
    <row r="31" spans="2:24" x14ac:dyDescent="0.25">
      <c r="B31" s="658"/>
      <c r="C31" s="659" t="s">
        <v>787</v>
      </c>
      <c r="D31" s="660"/>
      <c r="E31" s="661"/>
      <c r="F31" s="982">
        <f>F34+SUM(F35:F37)</f>
        <v>0</v>
      </c>
      <c r="G31" s="982">
        <f t="shared" ref="G31:Q31" si="3">G34+SUM(G35:G37)</f>
        <v>0</v>
      </c>
      <c r="H31" s="982">
        <f t="shared" si="3"/>
        <v>0</v>
      </c>
      <c r="I31" s="982">
        <f t="shared" si="3"/>
        <v>0</v>
      </c>
      <c r="J31" s="982">
        <f>J34+SUM(J35:J37)</f>
        <v>0</v>
      </c>
      <c r="K31" s="982">
        <f>K34+SUM(K35:K37)</f>
        <v>0</v>
      </c>
      <c r="L31" s="982">
        <f t="shared" si="3"/>
        <v>0</v>
      </c>
      <c r="M31" s="982">
        <f t="shared" si="3"/>
        <v>0</v>
      </c>
      <c r="N31" s="982">
        <f t="shared" si="3"/>
        <v>-3620.4629005348552</v>
      </c>
      <c r="O31" s="982">
        <f t="shared" si="3"/>
        <v>-3355.7767821473162</v>
      </c>
      <c r="P31" s="982">
        <f t="shared" si="3"/>
        <v>-8172.2599566185345</v>
      </c>
      <c r="Q31" s="982">
        <f t="shared" si="3"/>
        <v>-8471.9648581698893</v>
      </c>
      <c r="R31" s="982">
        <f t="shared" ref="R31:X31" si="4">R34+SUM(R35:R37)</f>
        <v>-5174.4078503531618</v>
      </c>
      <c r="S31" s="982">
        <f t="shared" si="4"/>
        <v>1418.1435981763602</v>
      </c>
      <c r="T31" s="982">
        <f t="shared" si="4"/>
        <v>12420.797043459734</v>
      </c>
      <c r="U31" s="982">
        <f t="shared" si="4"/>
        <v>28529.334436551577</v>
      </c>
      <c r="V31" s="982">
        <f t="shared" si="4"/>
        <v>47274.966742408687</v>
      </c>
      <c r="W31" s="982">
        <f t="shared" si="4"/>
        <v>62681.43663519594</v>
      </c>
      <c r="X31" s="982">
        <f t="shared" si="4"/>
        <v>75647.827897234572</v>
      </c>
    </row>
    <row r="32" spans="2:24" x14ac:dyDescent="0.25">
      <c r="C32" s="658"/>
      <c r="E32" s="990" t="s">
        <v>286</v>
      </c>
      <c r="F32" s="983">
        <f>'Income Statement'!E10</f>
        <v>0</v>
      </c>
      <c r="G32" s="983">
        <f>'Income Statement'!F10</f>
        <v>0</v>
      </c>
      <c r="H32" s="983">
        <f>'Income Statement'!G10</f>
        <v>0</v>
      </c>
      <c r="I32" s="983">
        <f>'Income Statement'!H10</f>
        <v>0</v>
      </c>
      <c r="J32" s="983">
        <f>'Income Statement'!I10</f>
        <v>0</v>
      </c>
      <c r="K32" s="983">
        <f>'Income Statement'!J10</f>
        <v>0</v>
      </c>
      <c r="L32" s="983">
        <f>'Income Statement'!K10</f>
        <v>0</v>
      </c>
      <c r="M32" s="983">
        <f>'Income Statement'!L10</f>
        <v>0</v>
      </c>
      <c r="N32" s="983">
        <f>'Income Statement'!M10</f>
        <v>0</v>
      </c>
      <c r="O32" s="983">
        <f>'Income Statement'!N10</f>
        <v>0</v>
      </c>
      <c r="P32" s="983">
        <f>'Income Statement'!O10</f>
        <v>0</v>
      </c>
      <c r="Q32" s="983">
        <f>'Income Statement'!P10</f>
        <v>0</v>
      </c>
      <c r="R32" s="983">
        <f>'Income Statement'!Q10</f>
        <v>0</v>
      </c>
      <c r="S32" s="983">
        <f>'Income Statement'!R10</f>
        <v>11757.135657116161</v>
      </c>
      <c r="T32" s="983">
        <f>'Income Statement'!S10</f>
        <v>26869.83688737511</v>
      </c>
      <c r="U32" s="983">
        <f>'Income Statement'!T10</f>
        <v>51155.585902063722</v>
      </c>
      <c r="V32" s="983">
        <f>'Income Statement'!U10</f>
        <v>76659.511587420304</v>
      </c>
      <c r="W32" s="983">
        <f>'Income Statement'!V10</f>
        <v>95146.110514129774</v>
      </c>
      <c r="X32" s="983">
        <f>'Income Statement'!W10</f>
        <v>105736.39576409268</v>
      </c>
    </row>
    <row r="33" spans="5:25" x14ac:dyDescent="0.25">
      <c r="E33" s="990" t="s">
        <v>660</v>
      </c>
      <c r="F33" s="983">
        <f>'Income Statement'!E37</f>
        <v>0</v>
      </c>
      <c r="G33" s="983">
        <f>'Income Statement'!F37</f>
        <v>0</v>
      </c>
      <c r="H33" s="983">
        <f>'Income Statement'!G37</f>
        <v>0</v>
      </c>
      <c r="I33" s="983">
        <f>'Income Statement'!H37</f>
        <v>0</v>
      </c>
      <c r="J33" s="983">
        <f>'Income Statement'!I37</f>
        <v>0</v>
      </c>
      <c r="K33" s="983">
        <f>'Income Statement'!J37</f>
        <v>0</v>
      </c>
      <c r="L33" s="983">
        <f>'Income Statement'!K37</f>
        <v>0</v>
      </c>
      <c r="M33" s="983">
        <f>'Income Statement'!L37</f>
        <v>0</v>
      </c>
      <c r="N33" s="983">
        <f>'Income Statement'!M37</f>
        <v>-5028.4206951872993</v>
      </c>
      <c r="O33" s="983">
        <f>'Income Statement'!N37</f>
        <v>-4450.6323370654063</v>
      </c>
      <c r="P33" s="983">
        <f>'Income Statement'!O37</f>
        <v>-10838.541056523256</v>
      </c>
      <c r="Q33" s="983">
        <f>'Income Statement'!P37</f>
        <v>-11236.027663355289</v>
      </c>
      <c r="R33" s="983">
        <f>'Income Statement'!Q37</f>
        <v>-6862.6098811049887</v>
      </c>
      <c r="S33" s="983">
        <f>'Income Statement'!R37</f>
        <v>7005.3233542734397</v>
      </c>
      <c r="T33" s="983">
        <f>'Income Statement'!S37</f>
        <v>22969.761070214634</v>
      </c>
      <c r="U33" s="983">
        <f>'Income Statement'!T37</f>
        <v>47622.198990705387</v>
      </c>
      <c r="V33" s="983">
        <f>'Income Statement'!U37</f>
        <v>72959.615107254707</v>
      </c>
      <c r="W33" s="983">
        <f>'Income Statement'!V37</f>
        <v>90955.533884070101</v>
      </c>
      <c r="X33" s="983">
        <f>'Income Statement'!W37</f>
        <v>101262.01754717228</v>
      </c>
    </row>
    <row r="34" spans="5:25" x14ac:dyDescent="0.25">
      <c r="E34" s="990" t="s">
        <v>674</v>
      </c>
      <c r="F34" s="983">
        <f>'Income Statement'!E44</f>
        <v>0</v>
      </c>
      <c r="G34" s="983">
        <f>'Income Statement'!F44</f>
        <v>0</v>
      </c>
      <c r="H34" s="983">
        <f>'Income Statement'!G44</f>
        <v>0</v>
      </c>
      <c r="I34" s="983">
        <f>'Income Statement'!H44</f>
        <v>0</v>
      </c>
      <c r="J34" s="983">
        <f>'Income Statement'!I44</f>
        <v>0</v>
      </c>
      <c r="K34" s="983">
        <f>'Income Statement'!J44</f>
        <v>0</v>
      </c>
      <c r="L34" s="983">
        <f>'Income Statement'!K44</f>
        <v>0</v>
      </c>
      <c r="M34" s="983">
        <f>'Income Statement'!L44</f>
        <v>0</v>
      </c>
      <c r="N34" s="983">
        <f>'Income Statement'!M44</f>
        <v>-3620.4629005348552</v>
      </c>
      <c r="O34" s="983">
        <f>'Income Statement'!N44</f>
        <v>-3355.7767821473162</v>
      </c>
      <c r="P34" s="983">
        <f>'Income Statement'!O44</f>
        <v>-8172.2599566185345</v>
      </c>
      <c r="Q34" s="983">
        <f>'Income Statement'!P44</f>
        <v>-8471.9648581698893</v>
      </c>
      <c r="R34" s="983">
        <f>'Income Statement'!Q44</f>
        <v>-5174.4078503531618</v>
      </c>
      <c r="S34" s="983">
        <f>'Income Statement'!R44</f>
        <v>4578.2804757888407</v>
      </c>
      <c r="T34" s="983">
        <f>'Income Statement'!S44</f>
        <v>16615.466513608502</v>
      </c>
      <c r="U34" s="983">
        <f>'Income Statement'!T44</f>
        <v>35203.404705658526</v>
      </c>
      <c r="V34" s="983">
        <f>'Income Statement'!U44</f>
        <v>54307.816457536712</v>
      </c>
      <c r="W34" s="983">
        <f>'Income Statement'!V44</f>
        <v>67876.739215255526</v>
      </c>
      <c r="X34" s="983">
        <f>'Income Statement'!W44</f>
        <v>75647.827897234572</v>
      </c>
    </row>
    <row r="35" spans="5:25" x14ac:dyDescent="0.25">
      <c r="E35" s="990" t="s">
        <v>788</v>
      </c>
      <c r="F35" s="983">
        <f>-F16</f>
        <v>0</v>
      </c>
      <c r="G35" s="983">
        <f>-G16</f>
        <v>0</v>
      </c>
      <c r="H35" s="983">
        <f t="shared" ref="H35:T35" si="5">-H16</f>
        <v>0</v>
      </c>
      <c r="I35" s="983">
        <f t="shared" si="5"/>
        <v>0</v>
      </c>
      <c r="J35" s="983">
        <f t="shared" si="5"/>
        <v>0</v>
      </c>
      <c r="K35" s="983">
        <f t="shared" si="5"/>
        <v>0</v>
      </c>
      <c r="L35" s="983">
        <f t="shared" si="5"/>
        <v>0</v>
      </c>
      <c r="M35" s="983">
        <f t="shared" si="5"/>
        <v>0</v>
      </c>
      <c r="N35" s="983">
        <f t="shared" si="5"/>
        <v>0</v>
      </c>
      <c r="O35" s="983">
        <f t="shared" si="5"/>
        <v>0</v>
      </c>
      <c r="P35" s="983">
        <f t="shared" si="5"/>
        <v>0</v>
      </c>
      <c r="Q35" s="983">
        <f t="shared" si="5"/>
        <v>0</v>
      </c>
      <c r="R35" s="983">
        <f t="shared" si="5"/>
        <v>0</v>
      </c>
      <c r="S35" s="983">
        <f t="shared" si="5"/>
        <v>0</v>
      </c>
      <c r="T35" s="983">
        <f t="shared" si="5"/>
        <v>0</v>
      </c>
      <c r="U35" s="983">
        <f>-U16</f>
        <v>0</v>
      </c>
      <c r="V35" s="983">
        <f>-V16</f>
        <v>0</v>
      </c>
      <c r="W35" s="983">
        <f>-W16</f>
        <v>0</v>
      </c>
      <c r="X35" s="983">
        <f>-X16</f>
        <v>0</v>
      </c>
    </row>
    <row r="36" spans="5:25" x14ac:dyDescent="0.25">
      <c r="E36" s="990" t="s">
        <v>789</v>
      </c>
      <c r="F36" s="983">
        <f>'CashFlow &amp; NPV'!C8+'CashFlow &amp; NPV'!C14</f>
        <v>0</v>
      </c>
      <c r="G36" s="983">
        <f>'CashFlow &amp; NPV'!D8+'CashFlow &amp; NPV'!D14</f>
        <v>0</v>
      </c>
      <c r="H36" s="983">
        <f>'CashFlow &amp; NPV'!E8+'CashFlow &amp; NPV'!E14</f>
        <v>0</v>
      </c>
      <c r="I36" s="983">
        <f>'CashFlow &amp; NPV'!F8+'CashFlow &amp; NPV'!F14</f>
        <v>0</v>
      </c>
      <c r="J36" s="983">
        <f>'CashFlow &amp; NPV'!G8+'CashFlow &amp; NPV'!G14</f>
        <v>0</v>
      </c>
      <c r="K36" s="983">
        <f>'CashFlow &amp; NPV'!H8+'CashFlow &amp; NPV'!H14</f>
        <v>0</v>
      </c>
      <c r="L36" s="983">
        <f>'CashFlow &amp; NPV'!I8+'CashFlow &amp; NPV'!I14</f>
        <v>0</v>
      </c>
      <c r="M36" s="983">
        <f>'CashFlow &amp; NPV'!J8+'CashFlow &amp; NPV'!J14</f>
        <v>0</v>
      </c>
      <c r="N36" s="983">
        <f>'CashFlow &amp; NPV'!K8+'CashFlow &amp; NPV'!K14</f>
        <v>0</v>
      </c>
      <c r="O36" s="983">
        <f>'CashFlow &amp; NPV'!L8+'CashFlow &amp; NPV'!L14</f>
        <v>0</v>
      </c>
      <c r="P36" s="983">
        <f>'CashFlow &amp; NPV'!M8+'CashFlow &amp; NPV'!M14</f>
        <v>0</v>
      </c>
      <c r="Q36" s="983">
        <f>'CashFlow &amp; NPV'!N8+'CashFlow &amp; NPV'!N14</f>
        <v>0</v>
      </c>
      <c r="R36" s="983">
        <f>'CashFlow &amp; NPV'!O8+'CashFlow &amp; NPV'!O14</f>
        <v>0</v>
      </c>
      <c r="S36" s="983">
        <f>'CashFlow &amp; NPV'!P8+'CashFlow &amp; NPV'!P14</f>
        <v>0</v>
      </c>
      <c r="T36" s="983">
        <f>'CashFlow &amp; NPV'!Q8+'CashFlow &amp; NPV'!Q14</f>
        <v>0</v>
      </c>
      <c r="U36" s="983">
        <f>'CashFlow &amp; NPV'!R8+'CashFlow &amp; NPV'!R14</f>
        <v>0</v>
      </c>
      <c r="V36" s="983">
        <f>'CashFlow &amp; NPV'!S8+'CashFlow &amp; NPV'!S14</f>
        <v>0</v>
      </c>
      <c r="W36" s="983">
        <f>'CashFlow &amp; NPV'!T8+'CashFlow &amp; NPV'!T14</f>
        <v>0</v>
      </c>
      <c r="X36" s="983">
        <f>'CashFlow &amp; NPV'!AE8+'CashFlow &amp; NPV'!AE14</f>
        <v>0</v>
      </c>
    </row>
    <row r="37" spans="5:25" x14ac:dyDescent="0.25">
      <c r="E37" s="990" t="s">
        <v>448</v>
      </c>
      <c r="F37" s="983">
        <f>('CashFlow &amp; NPV'!C17-'CashFlow &amp; NPV'!C20+'CashFlow &amp; NPV'!C23)</f>
        <v>0</v>
      </c>
      <c r="G37" s="983">
        <f>('CashFlow &amp; NPV'!D17-'CashFlow &amp; NPV'!D20+'CashFlow &amp; NPV'!D23)</f>
        <v>0</v>
      </c>
      <c r="H37" s="983">
        <f>('CashFlow &amp; NPV'!E17-'CashFlow &amp; NPV'!E20+'CashFlow &amp; NPV'!E23)</f>
        <v>0</v>
      </c>
      <c r="I37" s="983">
        <f>('CashFlow &amp; NPV'!F17-'CashFlow &amp; NPV'!F20+'CashFlow &amp; NPV'!F23)</f>
        <v>0</v>
      </c>
      <c r="J37" s="983">
        <f>('CashFlow &amp; NPV'!G17-'CashFlow &amp; NPV'!G20+'CashFlow &amp; NPV'!G23)</f>
        <v>0</v>
      </c>
      <c r="K37" s="983">
        <f>('CashFlow &amp; NPV'!H17-'CashFlow &amp; NPV'!H20+'CashFlow &amp; NPV'!H23)</f>
        <v>0</v>
      </c>
      <c r="L37" s="983">
        <f>('CashFlow &amp; NPV'!I17-'CashFlow &amp; NPV'!I20+'CashFlow &amp; NPV'!I23)</f>
        <v>0</v>
      </c>
      <c r="M37" s="983">
        <f>('CashFlow &amp; NPV'!J17-'CashFlow &amp; NPV'!J20+'CashFlow &amp; NPV'!J23)</f>
        <v>0</v>
      </c>
      <c r="N37" s="983">
        <f>('CashFlow &amp; NPV'!K17-'CashFlow &amp; NPV'!K20+'CashFlow &amp; NPV'!K23)</f>
        <v>0</v>
      </c>
      <c r="O37" s="983">
        <f>('CashFlow &amp; NPV'!L17-'CashFlow &amp; NPV'!L20+'CashFlow &amp; NPV'!L23)</f>
        <v>0</v>
      </c>
      <c r="P37" s="983">
        <f>('CashFlow &amp; NPV'!M17-'CashFlow &amp; NPV'!M20+'CashFlow &amp; NPV'!M23)</f>
        <v>0</v>
      </c>
      <c r="Q37" s="983">
        <f>('CashFlow &amp; NPV'!N17-'CashFlow &amp; NPV'!N20+'CashFlow &amp; NPV'!N23)</f>
        <v>0</v>
      </c>
      <c r="R37" s="983">
        <f>('CashFlow &amp; NPV'!O17-'CashFlow &amp; NPV'!O20+'CashFlow &amp; NPV'!O23)</f>
        <v>0</v>
      </c>
      <c r="S37" s="983">
        <f>('CashFlow &amp; NPV'!P17-'CashFlow &amp; NPV'!P20+'CashFlow &amp; NPV'!P23)</f>
        <v>-3160.1368776124805</v>
      </c>
      <c r="T37" s="983">
        <f>('CashFlow &amp; NPV'!Q17-'CashFlow &amp; NPV'!Q20+'CashFlow &amp; NPV'!Q23)</f>
        <v>-4194.6694701487686</v>
      </c>
      <c r="U37" s="983">
        <f>('CashFlow &amp; NPV'!R17-'CashFlow &amp; NPV'!R20+'CashFlow &amp; NPV'!R23)</f>
        <v>-6674.0702691069482</v>
      </c>
      <c r="V37" s="983">
        <f>('CashFlow &amp; NPV'!S17-'CashFlow &amp; NPV'!S20+'CashFlow &amp; NPV'!S23)</f>
        <v>-7032.8497151280226</v>
      </c>
      <c r="W37" s="983">
        <f>('CashFlow &amp; NPV'!T17-'CashFlow &amp; NPV'!T20+'CashFlow &amp; NPV'!T23)</f>
        <v>-5195.302580059586</v>
      </c>
      <c r="X37" s="983">
        <f>('CashFlow &amp; NPV'!AE17-'CashFlow &amp; NPV'!AE20+'CashFlow &amp; NPV'!AE23)</f>
        <v>0</v>
      </c>
    </row>
    <row r="39" spans="5:25" x14ac:dyDescent="0.25">
      <c r="H39" s="988"/>
    </row>
    <row r="40" spans="5:25" x14ac:dyDescent="0.25">
      <c r="I40" s="989">
        <f>I31</f>
        <v>0</v>
      </c>
      <c r="J40" s="989"/>
      <c r="K40" s="989"/>
      <c r="L40" s="989"/>
      <c r="M40" s="989"/>
      <c r="N40" s="989"/>
      <c r="O40" s="989"/>
      <c r="P40" s="989"/>
      <c r="Q40" s="989"/>
      <c r="R40" s="989"/>
      <c r="S40" s="989"/>
    </row>
    <row r="41" spans="5:25" x14ac:dyDescent="0.25">
      <c r="H41" s="988"/>
    </row>
    <row r="42" spans="5:25" x14ac:dyDescent="0.25">
      <c r="M42" s="992"/>
      <c r="N42" s="992"/>
      <c r="O42" s="992"/>
      <c r="P42" s="992"/>
      <c r="Q42" s="992"/>
      <c r="R42" s="992"/>
      <c r="S42" s="992"/>
      <c r="T42" s="992"/>
      <c r="U42" s="992"/>
      <c r="V42" s="992"/>
      <c r="W42" s="992"/>
      <c r="X42" s="992"/>
      <c r="Y42" s="992"/>
    </row>
    <row r="43" spans="5:25" x14ac:dyDescent="0.25">
      <c r="P43" s="992"/>
      <c r="Q43" s="992"/>
      <c r="R43" s="992"/>
      <c r="S43" s="992"/>
      <c r="T43" s="992"/>
      <c r="U43" s="992"/>
      <c r="V43" s="992"/>
    </row>
    <row r="44" spans="5:25" x14ac:dyDescent="0.25">
      <c r="R44" s="992"/>
      <c r="S44" s="992"/>
      <c r="T44" s="992"/>
      <c r="U44" s="992"/>
      <c r="V44" s="992"/>
      <c r="W44" s="992"/>
      <c r="X44" s="992"/>
      <c r="Y44" s="992"/>
    </row>
    <row r="45" spans="5:25" x14ac:dyDescent="0.25">
      <c r="P45" s="992"/>
      <c r="Q45" s="992"/>
      <c r="R45" s="992"/>
      <c r="S45" s="992"/>
      <c r="T45" s="992"/>
      <c r="U45" s="992"/>
    </row>
    <row r="47" spans="5:25" x14ac:dyDescent="0.25">
      <c r="K47" s="992"/>
      <c r="L47" s="992"/>
      <c r="M47" s="992"/>
      <c r="N47" s="992"/>
      <c r="O47" s="992"/>
      <c r="P47" s="992"/>
      <c r="Q47" s="992"/>
      <c r="R47" s="992"/>
      <c r="S47" s="992"/>
      <c r="T47" s="992"/>
      <c r="U47" s="992"/>
      <c r="V47" s="992"/>
      <c r="W47" s="992"/>
      <c r="X47" s="992"/>
      <c r="Y47" s="992"/>
    </row>
    <row r="48" spans="5:25" x14ac:dyDescent="0.25">
      <c r="K48" s="992"/>
      <c r="L48" s="992"/>
      <c r="M48" s="992"/>
      <c r="N48" s="992"/>
      <c r="O48" s="992"/>
      <c r="P48" s="992"/>
      <c r="Q48" s="992"/>
      <c r="R48" s="992"/>
      <c r="S48" s="992"/>
      <c r="T48" s="992"/>
      <c r="U48" s="992"/>
      <c r="V48" s="992"/>
      <c r="W48" s="992"/>
      <c r="X48" s="992"/>
      <c r="Y48" s="992"/>
    </row>
    <row r="50" spans="11:21" x14ac:dyDescent="0.25">
      <c r="K50" s="992"/>
      <c r="L50" s="992"/>
      <c r="M50" s="992"/>
      <c r="O50" s="992"/>
      <c r="P50" s="992"/>
      <c r="Q50" s="992"/>
      <c r="R50" s="992"/>
      <c r="S50" s="992"/>
      <c r="T50" s="992"/>
      <c r="U50" s="992"/>
    </row>
  </sheetData>
  <mergeCells count="2">
    <mergeCell ref="E2:R3"/>
    <mergeCell ref="F7:X7"/>
  </mergeCells>
  <phoneticPr fontId="18" type="noConversion"/>
  <pageMargins left="0.75" right="0.75" top="1" bottom="1" header="0.5" footer="0.5"/>
  <pageSetup scale="50"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indexed="44"/>
    <pageSetUpPr fitToPage="1"/>
  </sheetPr>
  <dimension ref="A1:X44"/>
  <sheetViews>
    <sheetView zoomScale="75" workbookViewId="0">
      <selection activeCell="X29" sqref="X29"/>
    </sheetView>
  </sheetViews>
  <sheetFormatPr defaultColWidth="9.109375" defaultRowHeight="13.2" x14ac:dyDescent="0.25"/>
  <cols>
    <col min="1" max="1" width="30.6640625" style="742" customWidth="1"/>
    <col min="2" max="4" width="11.6640625" style="741" customWidth="1"/>
    <col min="5" max="18" width="11.6640625" style="746" customWidth="1"/>
    <col min="19" max="21" width="11.6640625" style="746" hidden="1" customWidth="1"/>
    <col min="22" max="16384" width="9.109375" style="755"/>
  </cols>
  <sheetData>
    <row r="1" spans="1:24" s="742" customFormat="1" x14ac:dyDescent="0.25">
      <c r="A1" s="739" t="s">
        <v>805</v>
      </c>
      <c r="B1" s="740"/>
      <c r="C1" s="740"/>
      <c r="D1" s="740"/>
      <c r="E1" s="740"/>
      <c r="F1" s="740"/>
      <c r="G1" s="740"/>
      <c r="H1" s="740"/>
      <c r="I1" s="740"/>
      <c r="J1" s="740"/>
      <c r="K1" s="740"/>
      <c r="L1" s="740"/>
      <c r="M1" s="740"/>
      <c r="N1" s="741"/>
      <c r="O1" s="741"/>
      <c r="P1" s="741"/>
      <c r="Q1" s="741"/>
      <c r="R1" s="741"/>
      <c r="S1" s="741"/>
      <c r="T1" s="741"/>
      <c r="U1" s="741"/>
    </row>
    <row r="2" spans="1:24" s="742" customFormat="1" ht="36" customHeight="1" x14ac:dyDescent="0.25">
      <c r="A2" s="743" t="s">
        <v>806</v>
      </c>
      <c r="B2" s="744" t="s">
        <v>807</v>
      </c>
      <c r="C2" s="745" t="s">
        <v>3</v>
      </c>
      <c r="D2" s="744" t="s">
        <v>808</v>
      </c>
      <c r="E2" s="744" t="s">
        <v>809</v>
      </c>
      <c r="F2" s="744" t="s">
        <v>810</v>
      </c>
      <c r="G2" s="744" t="s">
        <v>811</v>
      </c>
      <c r="H2" s="744" t="s">
        <v>812</v>
      </c>
      <c r="I2" s="745" t="s">
        <v>813</v>
      </c>
      <c r="J2" s="744" t="s">
        <v>715</v>
      </c>
      <c r="K2" s="744" t="s">
        <v>447</v>
      </c>
      <c r="L2" s="745" t="s">
        <v>814</v>
      </c>
      <c r="M2" s="745" t="s">
        <v>815</v>
      </c>
      <c r="N2" s="746"/>
      <c r="O2" s="746"/>
      <c r="P2" s="746"/>
      <c r="Q2" s="746"/>
      <c r="R2" s="746"/>
      <c r="S2" s="741"/>
      <c r="T2" s="741"/>
      <c r="U2" s="741"/>
    </row>
    <row r="3" spans="1:24" x14ac:dyDescent="0.25">
      <c r="A3" s="747">
        <v>2016</v>
      </c>
      <c r="B3" s="748" t="s">
        <v>816</v>
      </c>
      <c r="C3" s="748">
        <v>0.35</v>
      </c>
      <c r="D3" s="748" t="s">
        <v>931</v>
      </c>
      <c r="E3" s="749">
        <v>2026</v>
      </c>
      <c r="F3" s="750">
        <f>'CashFlow &amp; NPV'!B35</f>
        <v>0</v>
      </c>
      <c r="G3" s="751">
        <f>'CashFlow &amp; NPV'!B34</f>
        <v>0.02</v>
      </c>
      <c r="H3" s="752"/>
      <c r="I3" s="752"/>
      <c r="J3" s="753" t="s">
        <v>25</v>
      </c>
      <c r="K3" s="753" t="s">
        <v>25</v>
      </c>
      <c r="L3" s="897" t="str">
        <f>'Basic Project Info'!B10</f>
        <v>1/1/2017</v>
      </c>
      <c r="M3" s="898" t="str">
        <f>'Basic Project Info'!B12</f>
        <v>1/1/2018</v>
      </c>
      <c r="V3" s="754"/>
      <c r="W3" s="754"/>
      <c r="X3" s="754"/>
    </row>
    <row r="4" spans="1:24" x14ac:dyDescent="0.25">
      <c r="A4" s="756" t="s">
        <v>817</v>
      </c>
      <c r="B4" s="748" t="s">
        <v>816</v>
      </c>
      <c r="C4" s="748">
        <v>0.35</v>
      </c>
      <c r="D4" s="748" t="s">
        <v>931</v>
      </c>
      <c r="E4" s="749">
        <v>2026</v>
      </c>
      <c r="F4" s="750">
        <f>'CashFlow &amp; NPV'!B35</f>
        <v>0</v>
      </c>
      <c r="G4" s="751">
        <f>'CashFlow &amp; NPV'!B34</f>
        <v>0.02</v>
      </c>
      <c r="H4" s="750">
        <v>2025</v>
      </c>
      <c r="I4" s="757" t="s">
        <v>932</v>
      </c>
      <c r="J4" s="753" t="s">
        <v>25</v>
      </c>
      <c r="K4" s="753" t="s">
        <v>25</v>
      </c>
      <c r="L4" s="752"/>
      <c r="M4" s="752"/>
      <c r="V4" s="754"/>
    </row>
    <row r="5" spans="1:24" x14ac:dyDescent="0.25">
      <c r="A5" s="754"/>
      <c r="B5" s="746"/>
      <c r="C5" s="746"/>
      <c r="D5" s="758"/>
    </row>
    <row r="6" spans="1:24" x14ac:dyDescent="0.25">
      <c r="A6" s="739" t="s">
        <v>818</v>
      </c>
      <c r="B6" s="759"/>
      <c r="C6" s="759"/>
      <c r="D6" s="759"/>
      <c r="E6" s="759"/>
      <c r="F6" s="759"/>
      <c r="G6" s="759"/>
      <c r="H6" s="759"/>
      <c r="I6" s="759"/>
      <c r="J6" s="759"/>
      <c r="K6" s="759"/>
      <c r="L6" s="759"/>
      <c r="M6" s="759"/>
      <c r="N6" s="759"/>
      <c r="O6" s="759"/>
      <c r="P6" s="759"/>
      <c r="Q6" s="759"/>
      <c r="R6" s="759"/>
      <c r="S6" s="759"/>
      <c r="T6" s="759"/>
      <c r="U6" s="759"/>
    </row>
    <row r="7" spans="1:24" x14ac:dyDescent="0.25">
      <c r="A7" s="760" t="s">
        <v>797</v>
      </c>
      <c r="B7" s="761">
        <f>IF(MONTH($L$3)&gt;=10,(YEAR($L$3)+1),YEAR($L$3))</f>
        <v>2017</v>
      </c>
      <c r="C7" s="762">
        <f t="shared" ref="C7:U7" si="0">B7+1</f>
        <v>2018</v>
      </c>
      <c r="D7" s="762">
        <f t="shared" si="0"/>
        <v>2019</v>
      </c>
      <c r="E7" s="762">
        <f t="shared" si="0"/>
        <v>2020</v>
      </c>
      <c r="F7" s="762">
        <f t="shared" si="0"/>
        <v>2021</v>
      </c>
      <c r="G7" s="762">
        <f t="shared" si="0"/>
        <v>2022</v>
      </c>
      <c r="H7" s="762">
        <f t="shared" si="0"/>
        <v>2023</v>
      </c>
      <c r="I7" s="762">
        <f t="shared" si="0"/>
        <v>2024</v>
      </c>
      <c r="J7" s="762">
        <f t="shared" si="0"/>
        <v>2025</v>
      </c>
      <c r="K7" s="762">
        <f t="shared" si="0"/>
        <v>2026</v>
      </c>
      <c r="L7" s="762">
        <f t="shared" si="0"/>
        <v>2027</v>
      </c>
      <c r="M7" s="762">
        <f>L7+1</f>
        <v>2028</v>
      </c>
      <c r="N7" s="762">
        <f t="shared" si="0"/>
        <v>2029</v>
      </c>
      <c r="O7" s="762">
        <f t="shared" si="0"/>
        <v>2030</v>
      </c>
      <c r="P7" s="762">
        <f t="shared" si="0"/>
        <v>2031</v>
      </c>
      <c r="Q7" s="762">
        <f>P7+1</f>
        <v>2032</v>
      </c>
      <c r="R7" s="762">
        <f t="shared" si="0"/>
        <v>2033</v>
      </c>
      <c r="S7" s="762">
        <f t="shared" si="0"/>
        <v>2034</v>
      </c>
      <c r="T7" s="762">
        <f>S7+1</f>
        <v>2035</v>
      </c>
      <c r="U7" s="762">
        <f t="shared" si="0"/>
        <v>2036</v>
      </c>
    </row>
    <row r="8" spans="1:24" x14ac:dyDescent="0.25">
      <c r="A8" s="760" t="s">
        <v>819</v>
      </c>
      <c r="B8" s="762">
        <f t="shared" ref="B8:U8" si="1">B7-$A$3</f>
        <v>1</v>
      </c>
      <c r="C8" s="762">
        <f t="shared" si="1"/>
        <v>2</v>
      </c>
      <c r="D8" s="762">
        <f t="shared" si="1"/>
        <v>3</v>
      </c>
      <c r="E8" s="762">
        <f t="shared" si="1"/>
        <v>4</v>
      </c>
      <c r="F8" s="762">
        <f t="shared" si="1"/>
        <v>5</v>
      </c>
      <c r="G8" s="762">
        <f t="shared" si="1"/>
        <v>6</v>
      </c>
      <c r="H8" s="762">
        <f t="shared" si="1"/>
        <v>7</v>
      </c>
      <c r="I8" s="762">
        <f t="shared" si="1"/>
        <v>8</v>
      </c>
      <c r="J8" s="762">
        <f t="shared" si="1"/>
        <v>9</v>
      </c>
      <c r="K8" s="762">
        <f t="shared" si="1"/>
        <v>10</v>
      </c>
      <c r="L8" s="762">
        <f t="shared" si="1"/>
        <v>11</v>
      </c>
      <c r="M8" s="762">
        <f t="shared" si="1"/>
        <v>12</v>
      </c>
      <c r="N8" s="762">
        <f t="shared" si="1"/>
        <v>13</v>
      </c>
      <c r="O8" s="762">
        <f t="shared" si="1"/>
        <v>14</v>
      </c>
      <c r="P8" s="762">
        <f t="shared" si="1"/>
        <v>15</v>
      </c>
      <c r="Q8" s="762">
        <f t="shared" si="1"/>
        <v>16</v>
      </c>
      <c r="R8" s="762">
        <f t="shared" si="1"/>
        <v>17</v>
      </c>
      <c r="S8" s="766">
        <f>S7-$A$3</f>
        <v>18</v>
      </c>
      <c r="T8" s="762">
        <f t="shared" si="1"/>
        <v>19</v>
      </c>
      <c r="U8" s="762">
        <f t="shared" si="1"/>
        <v>20</v>
      </c>
    </row>
    <row r="9" spans="1:24" x14ac:dyDescent="0.25">
      <c r="A9" s="763" t="s">
        <v>820</v>
      </c>
      <c r="B9" s="764">
        <v>0</v>
      </c>
      <c r="C9" s="764">
        <v>0</v>
      </c>
      <c r="D9" s="764">
        <v>0</v>
      </c>
      <c r="E9" s="764">
        <v>0</v>
      </c>
      <c r="F9" s="764">
        <v>0</v>
      </c>
      <c r="G9" s="764">
        <v>0</v>
      </c>
      <c r="H9" s="764">
        <v>0</v>
      </c>
      <c r="I9" s="764">
        <v>0</v>
      </c>
      <c r="J9" s="764">
        <v>0</v>
      </c>
      <c r="K9" s="764">
        <v>0</v>
      </c>
      <c r="L9" s="764">
        <v>0</v>
      </c>
      <c r="M9" s="764">
        <v>0</v>
      </c>
      <c r="N9" s="764">
        <v>0</v>
      </c>
      <c r="O9" s="764">
        <v>0</v>
      </c>
      <c r="P9" s="765">
        <v>0</v>
      </c>
      <c r="Q9" s="765">
        <v>0</v>
      </c>
      <c r="R9" s="765">
        <v>0</v>
      </c>
      <c r="S9" s="765">
        <v>0</v>
      </c>
      <c r="T9" s="765">
        <v>0</v>
      </c>
      <c r="U9" s="765">
        <v>0</v>
      </c>
    </row>
    <row r="10" spans="1:24" x14ac:dyDescent="0.25">
      <c r="A10" s="763" t="s">
        <v>821</v>
      </c>
      <c r="B10" s="764">
        <v>0</v>
      </c>
      <c r="C10" s="764">
        <v>0</v>
      </c>
      <c r="D10" s="764">
        <v>0</v>
      </c>
      <c r="E10" s="764">
        <v>0</v>
      </c>
      <c r="F10" s="764">
        <v>0</v>
      </c>
      <c r="G10" s="764">
        <v>0</v>
      </c>
      <c r="H10" s="764">
        <v>0</v>
      </c>
      <c r="I10" s="764">
        <v>0</v>
      </c>
      <c r="J10" s="764">
        <v>0</v>
      </c>
      <c r="K10" s="764">
        <v>0</v>
      </c>
      <c r="L10" s="764">
        <v>0</v>
      </c>
      <c r="M10" s="764">
        <v>0</v>
      </c>
      <c r="N10" s="764">
        <v>0</v>
      </c>
      <c r="O10" s="764">
        <v>0</v>
      </c>
      <c r="P10" s="765">
        <v>0</v>
      </c>
      <c r="Q10" s="765">
        <v>0</v>
      </c>
      <c r="R10" s="765">
        <v>0</v>
      </c>
      <c r="S10" s="765">
        <v>0</v>
      </c>
      <c r="T10" s="765">
        <v>0</v>
      </c>
      <c r="U10" s="765">
        <v>0</v>
      </c>
    </row>
    <row r="11" spans="1:24" x14ac:dyDescent="0.25">
      <c r="A11" s="763" t="s">
        <v>822</v>
      </c>
      <c r="B11" s="764">
        <v>0</v>
      </c>
      <c r="C11" s="764">
        <v>0</v>
      </c>
      <c r="D11" s="764">
        <v>0</v>
      </c>
      <c r="E11" s="764">
        <v>0</v>
      </c>
      <c r="F11" s="764">
        <v>0</v>
      </c>
      <c r="G11" s="764">
        <v>0</v>
      </c>
      <c r="H11" s="764">
        <v>0</v>
      </c>
      <c r="I11" s="764">
        <v>0</v>
      </c>
      <c r="J11" s="764">
        <v>0</v>
      </c>
      <c r="K11" s="764">
        <v>0</v>
      </c>
      <c r="L11" s="764">
        <v>0</v>
      </c>
      <c r="M11" s="764">
        <v>0</v>
      </c>
      <c r="N11" s="764">
        <v>0</v>
      </c>
      <c r="O11" s="764">
        <v>0</v>
      </c>
      <c r="P11" s="765">
        <v>0</v>
      </c>
      <c r="Q11" s="765">
        <v>0</v>
      </c>
      <c r="R11" s="765">
        <v>0</v>
      </c>
      <c r="S11" s="765">
        <v>0</v>
      </c>
      <c r="T11" s="765">
        <v>0</v>
      </c>
      <c r="U11" s="765">
        <v>0</v>
      </c>
    </row>
    <row r="12" spans="1:24" x14ac:dyDescent="0.25">
      <c r="A12" s="763" t="s">
        <v>823</v>
      </c>
      <c r="B12" s="764">
        <v>0</v>
      </c>
      <c r="C12" s="764">
        <v>0</v>
      </c>
      <c r="D12" s="764">
        <v>0</v>
      </c>
      <c r="E12" s="764">
        <v>0</v>
      </c>
      <c r="F12" s="764">
        <v>0</v>
      </c>
      <c r="G12" s="764">
        <v>0</v>
      </c>
      <c r="H12" s="764">
        <v>0</v>
      </c>
      <c r="I12" s="764">
        <v>0</v>
      </c>
      <c r="J12" s="764">
        <v>0</v>
      </c>
      <c r="K12" s="764">
        <v>0</v>
      </c>
      <c r="L12" s="764">
        <v>0</v>
      </c>
      <c r="M12" s="764">
        <v>0</v>
      </c>
      <c r="N12" s="764">
        <v>0</v>
      </c>
      <c r="O12" s="764">
        <v>0</v>
      </c>
      <c r="P12" s="765">
        <v>0</v>
      </c>
      <c r="Q12" s="765">
        <v>0</v>
      </c>
      <c r="R12" s="765">
        <v>0</v>
      </c>
      <c r="S12" s="765">
        <v>0</v>
      </c>
      <c r="T12" s="765">
        <v>0</v>
      </c>
      <c r="U12" s="765">
        <v>0</v>
      </c>
    </row>
    <row r="13" spans="1:24" x14ac:dyDescent="0.25">
      <c r="A13" s="763" t="s">
        <v>782</v>
      </c>
      <c r="B13" s="764">
        <v>0</v>
      </c>
      <c r="C13" s="764">
        <v>0</v>
      </c>
      <c r="D13" s="764">
        <v>0</v>
      </c>
      <c r="E13" s="764">
        <v>0</v>
      </c>
      <c r="F13" s="764">
        <v>0</v>
      </c>
      <c r="G13" s="764">
        <v>0</v>
      </c>
      <c r="H13" s="764">
        <v>0</v>
      </c>
      <c r="I13" s="764">
        <v>0</v>
      </c>
      <c r="J13" s="764">
        <v>0</v>
      </c>
      <c r="K13" s="764">
        <v>0</v>
      </c>
      <c r="L13" s="764">
        <v>0</v>
      </c>
      <c r="M13" s="764">
        <v>0</v>
      </c>
      <c r="N13" s="764">
        <v>0</v>
      </c>
      <c r="O13" s="764">
        <v>0</v>
      </c>
      <c r="P13" s="765">
        <v>0</v>
      </c>
      <c r="Q13" s="765">
        <v>0</v>
      </c>
      <c r="R13" s="765">
        <v>0</v>
      </c>
      <c r="S13" s="765">
        <v>0</v>
      </c>
      <c r="T13" s="765">
        <v>0</v>
      </c>
      <c r="U13" s="765">
        <v>0</v>
      </c>
    </row>
    <row r="14" spans="1:24" x14ac:dyDescent="0.25">
      <c r="A14" s="754"/>
      <c r="B14" s="746"/>
      <c r="C14" s="746"/>
      <c r="D14" s="746"/>
    </row>
    <row r="15" spans="1:24" x14ac:dyDescent="0.25">
      <c r="A15" s="739" t="s">
        <v>783</v>
      </c>
      <c r="B15" s="759"/>
      <c r="C15" s="759"/>
      <c r="D15" s="759"/>
      <c r="E15" s="759"/>
      <c r="F15" s="759"/>
      <c r="G15" s="759"/>
      <c r="H15" s="759"/>
      <c r="I15" s="759"/>
      <c r="J15" s="759"/>
      <c r="K15" s="759"/>
      <c r="L15" s="759"/>
      <c r="M15" s="759"/>
      <c r="N15" s="759"/>
      <c r="O15" s="759"/>
      <c r="P15" s="759"/>
      <c r="Q15" s="759"/>
      <c r="R15" s="759"/>
      <c r="S15" s="759"/>
      <c r="T15" s="759"/>
      <c r="U15" s="759"/>
    </row>
    <row r="16" spans="1:24" x14ac:dyDescent="0.25">
      <c r="A16" s="760" t="s">
        <v>797</v>
      </c>
      <c r="B16" s="761">
        <f>IF(MONTH($L$3)&gt;=10,(YEAR($L$3)+1),YEAR($L$3))</f>
        <v>2017</v>
      </c>
      <c r="C16" s="762">
        <f t="shared" ref="C16:U16" si="2">B16+1</f>
        <v>2018</v>
      </c>
      <c r="D16" s="762">
        <f t="shared" si="2"/>
        <v>2019</v>
      </c>
      <c r="E16" s="762">
        <f t="shared" si="2"/>
        <v>2020</v>
      </c>
      <c r="F16" s="762">
        <f t="shared" si="2"/>
        <v>2021</v>
      </c>
      <c r="G16" s="762">
        <f t="shared" si="2"/>
        <v>2022</v>
      </c>
      <c r="H16" s="762">
        <f t="shared" si="2"/>
        <v>2023</v>
      </c>
      <c r="I16" s="762">
        <f t="shared" si="2"/>
        <v>2024</v>
      </c>
      <c r="J16" s="762">
        <f t="shared" si="2"/>
        <v>2025</v>
      </c>
      <c r="K16" s="762">
        <f t="shared" si="2"/>
        <v>2026</v>
      </c>
      <c r="L16" s="762">
        <f t="shared" si="2"/>
        <v>2027</v>
      </c>
      <c r="M16" s="762">
        <f t="shared" si="2"/>
        <v>2028</v>
      </c>
      <c r="N16" s="762">
        <f t="shared" si="2"/>
        <v>2029</v>
      </c>
      <c r="O16" s="762">
        <f t="shared" si="2"/>
        <v>2030</v>
      </c>
      <c r="P16" s="762">
        <f t="shared" si="2"/>
        <v>2031</v>
      </c>
      <c r="Q16" s="762">
        <f t="shared" si="2"/>
        <v>2032</v>
      </c>
      <c r="R16" s="762">
        <f t="shared" si="2"/>
        <v>2033</v>
      </c>
      <c r="S16" s="762">
        <f t="shared" si="2"/>
        <v>2034</v>
      </c>
      <c r="T16" s="762">
        <f t="shared" si="2"/>
        <v>2035</v>
      </c>
      <c r="U16" s="762">
        <f t="shared" si="2"/>
        <v>2036</v>
      </c>
    </row>
    <row r="17" spans="1:21" x14ac:dyDescent="0.25">
      <c r="A17" s="760" t="s">
        <v>819</v>
      </c>
      <c r="B17" s="766">
        <f t="shared" ref="B17:U17" si="3">B16-$A$3</f>
        <v>1</v>
      </c>
      <c r="C17" s="762">
        <f t="shared" si="3"/>
        <v>2</v>
      </c>
      <c r="D17" s="762">
        <f t="shared" si="3"/>
        <v>3</v>
      </c>
      <c r="E17" s="762">
        <f t="shared" si="3"/>
        <v>4</v>
      </c>
      <c r="F17" s="762">
        <f t="shared" si="3"/>
        <v>5</v>
      </c>
      <c r="G17" s="762">
        <f t="shared" si="3"/>
        <v>6</v>
      </c>
      <c r="H17" s="762">
        <f t="shared" si="3"/>
        <v>7</v>
      </c>
      <c r="I17" s="762">
        <f t="shared" si="3"/>
        <v>8</v>
      </c>
      <c r="J17" s="762">
        <f t="shared" si="3"/>
        <v>9</v>
      </c>
      <c r="K17" s="762">
        <f t="shared" si="3"/>
        <v>10</v>
      </c>
      <c r="L17" s="762">
        <f t="shared" si="3"/>
        <v>11</v>
      </c>
      <c r="M17" s="762">
        <f t="shared" si="3"/>
        <v>12</v>
      </c>
      <c r="N17" s="762">
        <f t="shared" si="3"/>
        <v>13</v>
      </c>
      <c r="O17" s="762">
        <f t="shared" si="3"/>
        <v>14</v>
      </c>
      <c r="P17" s="762">
        <f t="shared" si="3"/>
        <v>15</v>
      </c>
      <c r="Q17" s="762">
        <f t="shared" si="3"/>
        <v>16</v>
      </c>
      <c r="R17" s="762">
        <f t="shared" si="3"/>
        <v>17</v>
      </c>
      <c r="S17" s="762">
        <f t="shared" si="3"/>
        <v>18</v>
      </c>
      <c r="T17" s="762">
        <f t="shared" si="3"/>
        <v>19</v>
      </c>
      <c r="U17" s="762">
        <f t="shared" si="3"/>
        <v>20</v>
      </c>
    </row>
    <row r="18" spans="1:21" s="770" customFormat="1" x14ac:dyDescent="0.25">
      <c r="A18" s="760" t="s">
        <v>784</v>
      </c>
      <c r="B18" s="767"/>
      <c r="C18" s="768"/>
      <c r="D18" s="768"/>
      <c r="E18" s="768"/>
      <c r="F18" s="768"/>
      <c r="G18" s="768"/>
      <c r="H18" s="768"/>
      <c r="I18" s="768"/>
      <c r="J18" s="768"/>
      <c r="K18" s="768"/>
      <c r="L18" s="768"/>
      <c r="M18" s="768"/>
      <c r="N18" s="768"/>
      <c r="O18" s="768"/>
      <c r="P18" s="768"/>
      <c r="Q18" s="768"/>
      <c r="R18" s="768"/>
      <c r="S18" s="768"/>
      <c r="T18" s="768"/>
      <c r="U18" s="769"/>
    </row>
    <row r="19" spans="1:21" x14ac:dyDescent="0.25">
      <c r="A19" s="763" t="s">
        <v>824</v>
      </c>
      <c r="B19" s="764">
        <v>0</v>
      </c>
      <c r="C19" s="764">
        <v>0</v>
      </c>
      <c r="D19" s="764">
        <v>0</v>
      </c>
      <c r="E19" s="764">
        <v>0</v>
      </c>
      <c r="F19" s="764">
        <v>0</v>
      </c>
      <c r="G19" s="764">
        <v>0</v>
      </c>
      <c r="H19" s="764">
        <v>0</v>
      </c>
      <c r="I19" s="764">
        <v>0</v>
      </c>
      <c r="J19" s="764">
        <v>0</v>
      </c>
      <c r="K19" s="764">
        <v>0</v>
      </c>
      <c r="L19" s="764">
        <v>0</v>
      </c>
      <c r="M19" s="764">
        <v>0</v>
      </c>
      <c r="N19" s="764">
        <v>0</v>
      </c>
      <c r="O19" s="765">
        <v>0</v>
      </c>
      <c r="P19" s="765">
        <v>0</v>
      </c>
      <c r="Q19" s="765">
        <v>0</v>
      </c>
      <c r="R19" s="765">
        <v>0</v>
      </c>
      <c r="S19" s="765">
        <v>0</v>
      </c>
      <c r="T19" s="765">
        <v>0</v>
      </c>
      <c r="U19" s="765">
        <v>0</v>
      </c>
    </row>
    <row r="20" spans="1:21" x14ac:dyDescent="0.25">
      <c r="A20" s="763" t="s">
        <v>825</v>
      </c>
      <c r="B20" s="764">
        <v>0</v>
      </c>
      <c r="C20" s="764">
        <v>0</v>
      </c>
      <c r="D20" s="764">
        <v>0</v>
      </c>
      <c r="E20" s="764">
        <v>0</v>
      </c>
      <c r="F20" s="764">
        <v>0</v>
      </c>
      <c r="G20" s="764">
        <v>0</v>
      </c>
      <c r="H20" s="764">
        <v>0</v>
      </c>
      <c r="I20" s="764">
        <v>0</v>
      </c>
      <c r="J20" s="764">
        <v>0</v>
      </c>
      <c r="K20" s="764">
        <v>0</v>
      </c>
      <c r="L20" s="764">
        <v>0</v>
      </c>
      <c r="M20" s="764">
        <v>0</v>
      </c>
      <c r="N20" s="764">
        <v>0</v>
      </c>
      <c r="O20" s="765">
        <v>0</v>
      </c>
      <c r="P20" s="765">
        <v>0</v>
      </c>
      <c r="Q20" s="765">
        <v>0</v>
      </c>
      <c r="R20" s="765">
        <v>0</v>
      </c>
      <c r="S20" s="765">
        <v>0</v>
      </c>
      <c r="T20" s="765">
        <v>0</v>
      </c>
      <c r="U20" s="765">
        <v>0</v>
      </c>
    </row>
    <row r="21" spans="1:21" x14ac:dyDescent="0.25">
      <c r="A21" s="763" t="s">
        <v>826</v>
      </c>
      <c r="B21" s="764">
        <v>0</v>
      </c>
      <c r="C21" s="764">
        <v>0</v>
      </c>
      <c r="D21" s="764">
        <v>0</v>
      </c>
      <c r="E21" s="764">
        <v>0</v>
      </c>
      <c r="F21" s="764">
        <v>0</v>
      </c>
      <c r="G21" s="764">
        <v>0</v>
      </c>
      <c r="H21" s="764">
        <v>0</v>
      </c>
      <c r="I21" s="764">
        <v>0</v>
      </c>
      <c r="J21" s="764">
        <v>0</v>
      </c>
      <c r="K21" s="764">
        <v>0</v>
      </c>
      <c r="L21" s="764">
        <v>0</v>
      </c>
      <c r="M21" s="764">
        <v>0</v>
      </c>
      <c r="N21" s="764">
        <v>0</v>
      </c>
      <c r="O21" s="765">
        <v>0</v>
      </c>
      <c r="P21" s="765">
        <v>0</v>
      </c>
      <c r="Q21" s="765">
        <v>0</v>
      </c>
      <c r="R21" s="765">
        <v>0</v>
      </c>
      <c r="S21" s="765">
        <v>0</v>
      </c>
      <c r="T21" s="765">
        <v>0</v>
      </c>
      <c r="U21" s="765">
        <v>0</v>
      </c>
    </row>
    <row r="22" spans="1:21" x14ac:dyDescent="0.25">
      <c r="A22" s="763" t="s">
        <v>827</v>
      </c>
      <c r="B22" s="764">
        <v>0</v>
      </c>
      <c r="C22" s="764">
        <v>0</v>
      </c>
      <c r="D22" s="764">
        <v>0</v>
      </c>
      <c r="E22" s="764">
        <v>0</v>
      </c>
      <c r="F22" s="764">
        <v>0</v>
      </c>
      <c r="G22" s="764">
        <v>0</v>
      </c>
      <c r="H22" s="764">
        <v>0</v>
      </c>
      <c r="I22" s="764">
        <v>0</v>
      </c>
      <c r="J22" s="764">
        <v>0</v>
      </c>
      <c r="K22" s="764">
        <v>0</v>
      </c>
      <c r="L22" s="764">
        <v>0</v>
      </c>
      <c r="M22" s="764">
        <v>0</v>
      </c>
      <c r="N22" s="764">
        <v>0</v>
      </c>
      <c r="O22" s="765">
        <v>0</v>
      </c>
      <c r="P22" s="765">
        <v>0</v>
      </c>
      <c r="Q22" s="765">
        <v>0</v>
      </c>
      <c r="R22" s="765">
        <v>0</v>
      </c>
      <c r="S22" s="765">
        <v>0</v>
      </c>
      <c r="T22" s="765">
        <v>0</v>
      </c>
      <c r="U22" s="765">
        <v>0</v>
      </c>
    </row>
    <row r="23" spans="1:21" ht="12" customHeight="1" x14ac:dyDescent="0.25">
      <c r="A23" s="763" t="s">
        <v>828</v>
      </c>
      <c r="B23" s="764">
        <v>0</v>
      </c>
      <c r="C23" s="764">
        <v>0</v>
      </c>
      <c r="D23" s="764">
        <v>0</v>
      </c>
      <c r="E23" s="764">
        <v>0</v>
      </c>
      <c r="F23" s="764">
        <v>0</v>
      </c>
      <c r="G23" s="764">
        <v>0</v>
      </c>
      <c r="H23" s="764">
        <v>0</v>
      </c>
      <c r="I23" s="764">
        <v>0</v>
      </c>
      <c r="J23" s="764">
        <v>0</v>
      </c>
      <c r="K23" s="764">
        <v>0</v>
      </c>
      <c r="L23" s="764">
        <v>0</v>
      </c>
      <c r="M23" s="764">
        <v>0</v>
      </c>
      <c r="N23" s="764">
        <v>0</v>
      </c>
      <c r="O23" s="765">
        <v>0</v>
      </c>
      <c r="P23" s="765">
        <v>0</v>
      </c>
      <c r="Q23" s="765">
        <v>0</v>
      </c>
      <c r="R23" s="765">
        <v>0</v>
      </c>
      <c r="S23" s="765">
        <v>0</v>
      </c>
      <c r="T23" s="765">
        <v>0</v>
      </c>
      <c r="U23" s="765">
        <v>0</v>
      </c>
    </row>
    <row r="24" spans="1:21" s="770" customFormat="1" x14ac:dyDescent="0.25">
      <c r="A24" s="760" t="s">
        <v>829</v>
      </c>
      <c r="B24" s="767"/>
      <c r="C24" s="768"/>
      <c r="D24" s="768"/>
      <c r="E24" s="768"/>
      <c r="F24" s="768"/>
      <c r="G24" s="768"/>
      <c r="H24" s="768"/>
      <c r="I24" s="768"/>
      <c r="J24" s="768"/>
      <c r="K24" s="768"/>
      <c r="L24" s="768"/>
      <c r="M24" s="768"/>
      <c r="N24" s="768"/>
      <c r="O24" s="768"/>
      <c r="P24" s="768"/>
      <c r="Q24" s="768"/>
      <c r="R24" s="768"/>
      <c r="S24" s="768"/>
      <c r="T24" s="768"/>
      <c r="U24" s="769"/>
    </row>
    <row r="25" spans="1:21" x14ac:dyDescent="0.25">
      <c r="A25" s="763" t="s">
        <v>786</v>
      </c>
      <c r="B25" s="764">
        <v>0</v>
      </c>
      <c r="C25" s="764">
        <v>0</v>
      </c>
      <c r="D25" s="764">
        <v>0</v>
      </c>
      <c r="E25" s="764">
        <v>0</v>
      </c>
      <c r="F25" s="764">
        <v>0</v>
      </c>
      <c r="G25" s="764">
        <v>0</v>
      </c>
      <c r="H25" s="764">
        <v>0</v>
      </c>
      <c r="I25" s="764">
        <v>0</v>
      </c>
      <c r="J25" s="764">
        <v>0</v>
      </c>
      <c r="K25" s="764">
        <v>0</v>
      </c>
      <c r="L25" s="765">
        <v>0</v>
      </c>
      <c r="M25" s="765">
        <v>0</v>
      </c>
      <c r="N25" s="765">
        <v>0</v>
      </c>
      <c r="O25" s="765">
        <v>0</v>
      </c>
      <c r="P25" s="765">
        <v>0</v>
      </c>
      <c r="Q25" s="765">
        <v>0</v>
      </c>
      <c r="R25" s="765">
        <v>0</v>
      </c>
      <c r="S25" s="765">
        <v>0</v>
      </c>
      <c r="T25" s="765">
        <v>0</v>
      </c>
      <c r="U25" s="765">
        <v>0</v>
      </c>
    </row>
    <row r="26" spans="1:21" x14ac:dyDescent="0.25">
      <c r="A26" s="763" t="s">
        <v>830</v>
      </c>
      <c r="B26" s="764">
        <v>0</v>
      </c>
      <c r="C26" s="764">
        <v>0</v>
      </c>
      <c r="D26" s="764">
        <v>0</v>
      </c>
      <c r="E26" s="764">
        <v>0</v>
      </c>
      <c r="F26" s="764">
        <v>0</v>
      </c>
      <c r="G26" s="764">
        <v>0</v>
      </c>
      <c r="H26" s="764">
        <v>0</v>
      </c>
      <c r="I26" s="764">
        <v>0</v>
      </c>
      <c r="J26" s="764">
        <v>0</v>
      </c>
      <c r="K26" s="764">
        <v>0</v>
      </c>
      <c r="L26" s="765">
        <v>0</v>
      </c>
      <c r="M26" s="765">
        <v>0</v>
      </c>
      <c r="N26" s="765">
        <v>0</v>
      </c>
      <c r="O26" s="765">
        <v>0</v>
      </c>
      <c r="P26" s="765">
        <v>0</v>
      </c>
      <c r="Q26" s="765">
        <v>0</v>
      </c>
      <c r="R26" s="765">
        <v>0</v>
      </c>
      <c r="S26" s="765">
        <v>0</v>
      </c>
      <c r="T26" s="765">
        <v>0</v>
      </c>
      <c r="U26" s="765">
        <v>0</v>
      </c>
    </row>
    <row r="27" spans="1:21" x14ac:dyDescent="0.25">
      <c r="A27" s="763" t="s">
        <v>831</v>
      </c>
      <c r="B27" s="764">
        <v>0</v>
      </c>
      <c r="C27" s="764">
        <v>0</v>
      </c>
      <c r="D27" s="764">
        <v>0</v>
      </c>
      <c r="E27" s="764">
        <v>0</v>
      </c>
      <c r="F27" s="764">
        <v>0</v>
      </c>
      <c r="G27" s="764">
        <v>0</v>
      </c>
      <c r="H27" s="764">
        <v>0</v>
      </c>
      <c r="I27" s="764">
        <v>0</v>
      </c>
      <c r="J27" s="764">
        <v>0</v>
      </c>
      <c r="K27" s="764">
        <v>0</v>
      </c>
      <c r="L27" s="765">
        <v>0</v>
      </c>
      <c r="M27" s="765">
        <v>0</v>
      </c>
      <c r="N27" s="765">
        <v>0</v>
      </c>
      <c r="O27" s="765">
        <v>0</v>
      </c>
      <c r="P27" s="765">
        <v>0</v>
      </c>
      <c r="Q27" s="765">
        <v>0</v>
      </c>
      <c r="R27" s="765">
        <v>0</v>
      </c>
      <c r="S27" s="765">
        <v>0</v>
      </c>
      <c r="T27" s="765">
        <v>0</v>
      </c>
      <c r="U27" s="765">
        <v>0</v>
      </c>
    </row>
    <row r="28" spans="1:21" s="770" customFormat="1" x14ac:dyDescent="0.25">
      <c r="A28" s="760" t="s">
        <v>766</v>
      </c>
      <c r="B28" s="767"/>
      <c r="C28" s="768"/>
      <c r="D28" s="768"/>
      <c r="E28" s="768"/>
      <c r="F28" s="768"/>
      <c r="G28" s="768"/>
      <c r="H28" s="768"/>
      <c r="I28" s="768"/>
      <c r="J28" s="768"/>
      <c r="K28" s="768"/>
      <c r="L28" s="768"/>
      <c r="M28" s="768"/>
      <c r="N28" s="768"/>
      <c r="O28" s="768"/>
      <c r="P28" s="768"/>
      <c r="Q28" s="768"/>
      <c r="R28" s="768"/>
      <c r="S28" s="768"/>
      <c r="T28" s="768"/>
      <c r="U28" s="769"/>
    </row>
    <row r="29" spans="1:21" x14ac:dyDescent="0.25">
      <c r="A29" s="763" t="s">
        <v>832</v>
      </c>
      <c r="B29" s="764">
        <v>0</v>
      </c>
      <c r="C29" s="764">
        <v>0</v>
      </c>
      <c r="D29" s="764">
        <v>0</v>
      </c>
      <c r="E29" s="764">
        <v>0</v>
      </c>
      <c r="F29" s="764">
        <v>0</v>
      </c>
      <c r="G29" s="764">
        <v>0</v>
      </c>
      <c r="H29" s="764">
        <v>0</v>
      </c>
      <c r="I29" s="764">
        <v>0</v>
      </c>
      <c r="J29" s="764">
        <v>0</v>
      </c>
      <c r="K29" s="764">
        <v>0</v>
      </c>
      <c r="L29" s="764">
        <v>0</v>
      </c>
      <c r="M29" s="764">
        <v>0</v>
      </c>
      <c r="N29" s="765">
        <v>0</v>
      </c>
      <c r="O29" s="765">
        <v>0</v>
      </c>
      <c r="P29" s="765">
        <v>0</v>
      </c>
      <c r="Q29" s="765">
        <v>0</v>
      </c>
      <c r="R29" s="765">
        <v>0</v>
      </c>
      <c r="S29" s="765">
        <v>0</v>
      </c>
      <c r="T29" s="765">
        <v>0</v>
      </c>
      <c r="U29" s="765">
        <v>0</v>
      </c>
    </row>
    <row r="30" spans="1:21" x14ac:dyDescent="0.25">
      <c r="A30" s="763" t="s">
        <v>833</v>
      </c>
      <c r="B30" s="764">
        <v>0</v>
      </c>
      <c r="C30" s="764">
        <v>0</v>
      </c>
      <c r="D30" s="764">
        <v>0</v>
      </c>
      <c r="E30" s="764">
        <v>0</v>
      </c>
      <c r="F30" s="764">
        <v>0</v>
      </c>
      <c r="G30" s="764">
        <v>0</v>
      </c>
      <c r="H30" s="764">
        <v>0</v>
      </c>
      <c r="I30" s="764">
        <v>0</v>
      </c>
      <c r="J30" s="764">
        <v>0</v>
      </c>
      <c r="K30" s="764">
        <v>0</v>
      </c>
      <c r="L30" s="765">
        <v>0</v>
      </c>
      <c r="M30" s="765">
        <v>0</v>
      </c>
      <c r="N30" s="765">
        <v>0</v>
      </c>
      <c r="O30" s="765">
        <v>0</v>
      </c>
      <c r="P30" s="765">
        <v>0</v>
      </c>
      <c r="Q30" s="765">
        <v>0</v>
      </c>
      <c r="R30" s="765">
        <v>0</v>
      </c>
      <c r="S30" s="765">
        <v>0</v>
      </c>
      <c r="T30" s="765">
        <v>0</v>
      </c>
      <c r="U30" s="765">
        <v>0</v>
      </c>
    </row>
    <row r="31" spans="1:21" x14ac:dyDescent="0.25">
      <c r="A31" s="763" t="s">
        <v>834</v>
      </c>
      <c r="B31" s="764">
        <v>0</v>
      </c>
      <c r="C31" s="764">
        <v>0</v>
      </c>
      <c r="D31" s="764">
        <v>0</v>
      </c>
      <c r="E31" s="764">
        <v>0</v>
      </c>
      <c r="F31" s="764">
        <v>0</v>
      </c>
      <c r="G31" s="764">
        <v>0</v>
      </c>
      <c r="H31" s="764">
        <v>0</v>
      </c>
      <c r="I31" s="764">
        <v>0</v>
      </c>
      <c r="J31" s="764">
        <v>0</v>
      </c>
      <c r="K31" s="764">
        <v>0</v>
      </c>
      <c r="L31" s="765">
        <v>0</v>
      </c>
      <c r="M31" s="765">
        <v>0</v>
      </c>
      <c r="N31" s="765">
        <v>0</v>
      </c>
      <c r="O31" s="765">
        <v>0</v>
      </c>
      <c r="P31" s="765">
        <v>0</v>
      </c>
      <c r="Q31" s="765">
        <v>0</v>
      </c>
      <c r="R31" s="765">
        <v>0</v>
      </c>
      <c r="S31" s="765">
        <v>0</v>
      </c>
      <c r="T31" s="765">
        <v>0</v>
      </c>
      <c r="U31" s="765">
        <v>0</v>
      </c>
    </row>
    <row r="32" spans="1:21" x14ac:dyDescent="0.25">
      <c r="A32" s="763" t="s">
        <v>835</v>
      </c>
      <c r="B32" s="764">
        <v>0</v>
      </c>
      <c r="C32" s="764">
        <v>0</v>
      </c>
      <c r="D32" s="764">
        <v>0</v>
      </c>
      <c r="E32" s="764">
        <v>0</v>
      </c>
      <c r="F32" s="764">
        <v>0</v>
      </c>
      <c r="G32" s="764">
        <v>0</v>
      </c>
      <c r="H32" s="764">
        <v>0</v>
      </c>
      <c r="I32" s="764">
        <v>0</v>
      </c>
      <c r="J32" s="764">
        <v>0</v>
      </c>
      <c r="K32" s="764">
        <v>0</v>
      </c>
      <c r="L32" s="765">
        <v>0</v>
      </c>
      <c r="M32" s="765">
        <v>0</v>
      </c>
      <c r="N32" s="765">
        <v>0</v>
      </c>
      <c r="O32" s="765">
        <v>0</v>
      </c>
      <c r="P32" s="765">
        <v>0</v>
      </c>
      <c r="Q32" s="765">
        <v>0</v>
      </c>
      <c r="R32" s="765">
        <v>0</v>
      </c>
      <c r="S32" s="765">
        <v>0</v>
      </c>
      <c r="T32" s="765">
        <v>0</v>
      </c>
      <c r="U32" s="765">
        <v>0</v>
      </c>
    </row>
    <row r="33" spans="1:21" s="770" customFormat="1" x14ac:dyDescent="0.25">
      <c r="A33" s="760" t="s">
        <v>836</v>
      </c>
      <c r="B33" s="767"/>
      <c r="C33" s="768"/>
      <c r="D33" s="768"/>
      <c r="E33" s="768"/>
      <c r="F33" s="768"/>
      <c r="G33" s="768"/>
      <c r="H33" s="768"/>
      <c r="I33" s="768"/>
      <c r="J33" s="768"/>
      <c r="K33" s="768"/>
      <c r="L33" s="768"/>
      <c r="M33" s="768"/>
      <c r="N33" s="768"/>
      <c r="O33" s="768"/>
      <c r="P33" s="768"/>
      <c r="Q33" s="768"/>
      <c r="R33" s="768"/>
      <c r="S33" s="768"/>
      <c r="T33" s="768"/>
      <c r="U33" s="769"/>
    </row>
    <row r="34" spans="1:21" x14ac:dyDescent="0.25">
      <c r="A34" s="763" t="s">
        <v>782</v>
      </c>
      <c r="B34" s="764">
        <v>0</v>
      </c>
      <c r="C34" s="764">
        <v>0</v>
      </c>
      <c r="D34" s="764">
        <v>0</v>
      </c>
      <c r="E34" s="764">
        <v>0</v>
      </c>
      <c r="F34" s="764">
        <v>0</v>
      </c>
      <c r="G34" s="764">
        <v>0</v>
      </c>
      <c r="H34" s="764">
        <v>0</v>
      </c>
      <c r="I34" s="764">
        <v>0</v>
      </c>
      <c r="J34" s="764">
        <v>0</v>
      </c>
      <c r="K34" s="764">
        <v>0</v>
      </c>
      <c r="L34" s="765">
        <v>0</v>
      </c>
      <c r="M34" s="765">
        <v>0</v>
      </c>
      <c r="N34" s="765">
        <v>0</v>
      </c>
      <c r="O34" s="765">
        <v>0</v>
      </c>
      <c r="P34" s="765">
        <v>0</v>
      </c>
      <c r="Q34" s="765">
        <v>0</v>
      </c>
      <c r="R34" s="765">
        <v>0</v>
      </c>
      <c r="S34" s="765">
        <v>0</v>
      </c>
      <c r="T34" s="765">
        <v>0</v>
      </c>
      <c r="U34" s="765">
        <v>0</v>
      </c>
    </row>
    <row r="35" spans="1:21" x14ac:dyDescent="0.25">
      <c r="A35" s="763" t="s">
        <v>837</v>
      </c>
      <c r="B35" s="764">
        <v>0</v>
      </c>
      <c r="C35" s="764">
        <v>0</v>
      </c>
      <c r="D35" s="764">
        <v>0</v>
      </c>
      <c r="E35" s="764">
        <v>0</v>
      </c>
      <c r="F35" s="764">
        <v>0</v>
      </c>
      <c r="G35" s="764">
        <v>0</v>
      </c>
      <c r="H35" s="764">
        <v>0</v>
      </c>
      <c r="I35" s="764">
        <v>0</v>
      </c>
      <c r="J35" s="764">
        <v>0</v>
      </c>
      <c r="K35" s="764">
        <v>0</v>
      </c>
      <c r="L35" s="765">
        <v>0</v>
      </c>
      <c r="M35" s="765">
        <v>0</v>
      </c>
      <c r="N35" s="765">
        <v>0</v>
      </c>
      <c r="O35" s="765">
        <v>0</v>
      </c>
      <c r="P35" s="765">
        <v>0</v>
      </c>
      <c r="Q35" s="765">
        <v>0</v>
      </c>
      <c r="R35" s="765">
        <v>0</v>
      </c>
      <c r="S35" s="765">
        <v>0</v>
      </c>
      <c r="T35" s="765">
        <v>0</v>
      </c>
      <c r="U35" s="765">
        <v>0</v>
      </c>
    </row>
    <row r="36" spans="1:21" x14ac:dyDescent="0.25">
      <c r="A36" s="763" t="s">
        <v>838</v>
      </c>
      <c r="B36" s="764">
        <v>0</v>
      </c>
      <c r="C36" s="764">
        <v>0</v>
      </c>
      <c r="D36" s="764">
        <v>0</v>
      </c>
      <c r="E36" s="764">
        <v>0</v>
      </c>
      <c r="F36" s="764">
        <v>0</v>
      </c>
      <c r="G36" s="764">
        <v>0</v>
      </c>
      <c r="H36" s="764">
        <v>0</v>
      </c>
      <c r="I36" s="764">
        <v>0</v>
      </c>
      <c r="J36" s="764">
        <v>0</v>
      </c>
      <c r="K36" s="764">
        <v>0</v>
      </c>
      <c r="L36" s="765">
        <v>0</v>
      </c>
      <c r="M36" s="765">
        <v>0</v>
      </c>
      <c r="N36" s="765">
        <v>0</v>
      </c>
      <c r="O36" s="765">
        <v>0</v>
      </c>
      <c r="P36" s="765">
        <v>0</v>
      </c>
      <c r="Q36" s="765">
        <v>0</v>
      </c>
      <c r="R36" s="765">
        <v>0</v>
      </c>
      <c r="S36" s="765">
        <v>0</v>
      </c>
      <c r="T36" s="765">
        <v>0</v>
      </c>
      <c r="U36" s="765">
        <v>0</v>
      </c>
    </row>
    <row r="37" spans="1:21" x14ac:dyDescent="0.25">
      <c r="A37" s="763" t="s">
        <v>839</v>
      </c>
      <c r="B37" s="764">
        <v>0</v>
      </c>
      <c r="C37" s="764">
        <v>0</v>
      </c>
      <c r="D37" s="764">
        <v>0</v>
      </c>
      <c r="E37" s="764">
        <v>0</v>
      </c>
      <c r="F37" s="764">
        <v>0</v>
      </c>
      <c r="G37" s="764">
        <v>0</v>
      </c>
      <c r="H37" s="764">
        <v>0</v>
      </c>
      <c r="I37" s="764">
        <v>0</v>
      </c>
      <c r="J37" s="764">
        <v>0</v>
      </c>
      <c r="K37" s="764">
        <v>0</v>
      </c>
      <c r="L37" s="764">
        <v>0</v>
      </c>
      <c r="M37" s="764">
        <v>0</v>
      </c>
      <c r="N37" s="764">
        <v>0</v>
      </c>
      <c r="O37" s="764">
        <v>0</v>
      </c>
      <c r="P37" s="764">
        <v>0</v>
      </c>
      <c r="Q37" s="764">
        <v>0</v>
      </c>
      <c r="R37" s="764">
        <v>0</v>
      </c>
      <c r="S37" s="764">
        <v>0</v>
      </c>
      <c r="T37" s="764">
        <v>0</v>
      </c>
      <c r="U37" s="764">
        <v>0</v>
      </c>
    </row>
    <row r="38" spans="1:21" s="770" customFormat="1" x14ac:dyDescent="0.25">
      <c r="A38" s="760" t="s">
        <v>840</v>
      </c>
      <c r="B38" s="767"/>
      <c r="C38" s="768"/>
      <c r="D38" s="768"/>
      <c r="E38" s="768"/>
      <c r="F38" s="768"/>
      <c r="G38" s="768"/>
      <c r="H38" s="768"/>
      <c r="I38" s="768"/>
      <c r="J38" s="768"/>
      <c r="K38" s="768"/>
      <c r="L38" s="768"/>
      <c r="M38" s="768"/>
      <c r="N38" s="768"/>
      <c r="O38" s="768"/>
      <c r="P38" s="768"/>
      <c r="Q38" s="768"/>
      <c r="R38" s="768"/>
      <c r="S38" s="768"/>
      <c r="T38" s="768"/>
      <c r="U38" s="769"/>
    </row>
    <row r="39" spans="1:21" s="773" customFormat="1" x14ac:dyDescent="0.25">
      <c r="A39" s="771" t="s">
        <v>286</v>
      </c>
      <c r="B39" s="772">
        <f t="shared" ref="B39:U39" si="4">SUM(B19:B23)-B25+B26+B27</f>
        <v>0</v>
      </c>
      <c r="C39" s="772">
        <f t="shared" si="4"/>
        <v>0</v>
      </c>
      <c r="D39" s="772">
        <f t="shared" si="4"/>
        <v>0</v>
      </c>
      <c r="E39" s="772">
        <f t="shared" si="4"/>
        <v>0</v>
      </c>
      <c r="F39" s="772">
        <f t="shared" si="4"/>
        <v>0</v>
      </c>
      <c r="G39" s="772">
        <f t="shared" si="4"/>
        <v>0</v>
      </c>
      <c r="H39" s="772">
        <f t="shared" si="4"/>
        <v>0</v>
      </c>
      <c r="I39" s="772">
        <f t="shared" si="4"/>
        <v>0</v>
      </c>
      <c r="J39" s="772">
        <f t="shared" si="4"/>
        <v>0</v>
      </c>
      <c r="K39" s="772">
        <f t="shared" si="4"/>
        <v>0</v>
      </c>
      <c r="L39" s="772">
        <f t="shared" si="4"/>
        <v>0</v>
      </c>
      <c r="M39" s="772">
        <f t="shared" si="4"/>
        <v>0</v>
      </c>
      <c r="N39" s="772">
        <f t="shared" si="4"/>
        <v>0</v>
      </c>
      <c r="O39" s="772">
        <f t="shared" si="4"/>
        <v>0</v>
      </c>
      <c r="P39" s="772">
        <f t="shared" si="4"/>
        <v>0</v>
      </c>
      <c r="Q39" s="772">
        <f t="shared" si="4"/>
        <v>0</v>
      </c>
      <c r="R39" s="772">
        <f t="shared" si="4"/>
        <v>0</v>
      </c>
      <c r="S39" s="772">
        <f t="shared" si="4"/>
        <v>0</v>
      </c>
      <c r="T39" s="772">
        <f t="shared" si="4"/>
        <v>0</v>
      </c>
      <c r="U39" s="772">
        <f t="shared" si="4"/>
        <v>0</v>
      </c>
    </row>
    <row r="40" spans="1:21" s="775" customFormat="1" x14ac:dyDescent="0.25">
      <c r="A40" s="774" t="s">
        <v>660</v>
      </c>
      <c r="B40" s="772">
        <f t="shared" ref="B40:U40" si="5">B39-SUM(B9:B12)-SUM(B29:B31)+B32</f>
        <v>0</v>
      </c>
      <c r="C40" s="772">
        <f t="shared" si="5"/>
        <v>0</v>
      </c>
      <c r="D40" s="772">
        <f>D39-SUM(D9:D12)-SUM(D29:D31)+D32</f>
        <v>0</v>
      </c>
      <c r="E40" s="772">
        <f t="shared" si="5"/>
        <v>0</v>
      </c>
      <c r="F40" s="772">
        <f t="shared" si="5"/>
        <v>0</v>
      </c>
      <c r="G40" s="772">
        <f t="shared" si="5"/>
        <v>0</v>
      </c>
      <c r="H40" s="772">
        <f t="shared" si="5"/>
        <v>0</v>
      </c>
      <c r="I40" s="772">
        <f t="shared" si="5"/>
        <v>0</v>
      </c>
      <c r="J40" s="772">
        <f t="shared" si="5"/>
        <v>0</v>
      </c>
      <c r="K40" s="772">
        <f t="shared" si="5"/>
        <v>0</v>
      </c>
      <c r="L40" s="772">
        <f t="shared" si="5"/>
        <v>0</v>
      </c>
      <c r="M40" s="772">
        <f t="shared" si="5"/>
        <v>0</v>
      </c>
      <c r="N40" s="772">
        <f t="shared" si="5"/>
        <v>0</v>
      </c>
      <c r="O40" s="772">
        <f t="shared" si="5"/>
        <v>0</v>
      </c>
      <c r="P40" s="772">
        <f t="shared" si="5"/>
        <v>0</v>
      </c>
      <c r="Q40" s="772">
        <f t="shared" si="5"/>
        <v>0</v>
      </c>
      <c r="R40" s="772">
        <f t="shared" si="5"/>
        <v>0</v>
      </c>
      <c r="S40" s="772">
        <f t="shared" si="5"/>
        <v>0</v>
      </c>
      <c r="T40" s="772">
        <f t="shared" si="5"/>
        <v>0</v>
      </c>
      <c r="U40" s="772">
        <f t="shared" si="5"/>
        <v>0</v>
      </c>
    </row>
    <row r="41" spans="1:21" s="773" customFormat="1" x14ac:dyDescent="0.25">
      <c r="A41" s="771" t="s">
        <v>674</v>
      </c>
      <c r="B41" s="772">
        <f t="shared" ref="B41:U41" si="6">B40*(1-$C$3)</f>
        <v>0</v>
      </c>
      <c r="C41" s="772">
        <f t="shared" si="6"/>
        <v>0</v>
      </c>
      <c r="D41" s="772">
        <f t="shared" si="6"/>
        <v>0</v>
      </c>
      <c r="E41" s="772">
        <f t="shared" si="6"/>
        <v>0</v>
      </c>
      <c r="F41" s="772">
        <f t="shared" si="6"/>
        <v>0</v>
      </c>
      <c r="G41" s="772">
        <f t="shared" si="6"/>
        <v>0</v>
      </c>
      <c r="H41" s="772">
        <f t="shared" si="6"/>
        <v>0</v>
      </c>
      <c r="I41" s="772">
        <f t="shared" si="6"/>
        <v>0</v>
      </c>
      <c r="J41" s="772">
        <f t="shared" si="6"/>
        <v>0</v>
      </c>
      <c r="K41" s="772">
        <f t="shared" si="6"/>
        <v>0</v>
      </c>
      <c r="L41" s="772">
        <f t="shared" si="6"/>
        <v>0</v>
      </c>
      <c r="M41" s="772">
        <f t="shared" si="6"/>
        <v>0</v>
      </c>
      <c r="N41" s="772">
        <f t="shared" si="6"/>
        <v>0</v>
      </c>
      <c r="O41" s="772">
        <f t="shared" si="6"/>
        <v>0</v>
      </c>
      <c r="P41" s="772">
        <f t="shared" si="6"/>
        <v>0</v>
      </c>
      <c r="Q41" s="772">
        <f t="shared" si="6"/>
        <v>0</v>
      </c>
      <c r="R41" s="772">
        <f t="shared" si="6"/>
        <v>0</v>
      </c>
      <c r="S41" s="772">
        <f t="shared" si="6"/>
        <v>0</v>
      </c>
      <c r="T41" s="772">
        <f t="shared" si="6"/>
        <v>0</v>
      </c>
      <c r="U41" s="772">
        <f t="shared" si="6"/>
        <v>0</v>
      </c>
    </row>
    <row r="42" spans="1:21" s="773" customFormat="1" x14ac:dyDescent="0.25">
      <c r="A42" s="771" t="s">
        <v>449</v>
      </c>
      <c r="B42" s="772">
        <f t="shared" ref="B42:U42" si="7">B41-B13-B34+SUM(B35:B37)</f>
        <v>0</v>
      </c>
      <c r="C42" s="772">
        <f t="shared" si="7"/>
        <v>0</v>
      </c>
      <c r="D42" s="772">
        <f t="shared" si="7"/>
        <v>0</v>
      </c>
      <c r="E42" s="772">
        <f t="shared" si="7"/>
        <v>0</v>
      </c>
      <c r="F42" s="772">
        <f t="shared" si="7"/>
        <v>0</v>
      </c>
      <c r="G42" s="772">
        <f t="shared" si="7"/>
        <v>0</v>
      </c>
      <c r="H42" s="772">
        <f t="shared" si="7"/>
        <v>0</v>
      </c>
      <c r="I42" s="772">
        <f t="shared" si="7"/>
        <v>0</v>
      </c>
      <c r="J42" s="772">
        <f t="shared" si="7"/>
        <v>0</v>
      </c>
      <c r="K42" s="772">
        <f t="shared" si="7"/>
        <v>0</v>
      </c>
      <c r="L42" s="772">
        <f t="shared" si="7"/>
        <v>0</v>
      </c>
      <c r="M42" s="772">
        <f t="shared" si="7"/>
        <v>0</v>
      </c>
      <c r="N42" s="772">
        <f t="shared" si="7"/>
        <v>0</v>
      </c>
      <c r="O42" s="772">
        <f t="shared" si="7"/>
        <v>0</v>
      </c>
      <c r="P42" s="772">
        <f t="shared" si="7"/>
        <v>0</v>
      </c>
      <c r="Q42" s="772">
        <f t="shared" si="7"/>
        <v>0</v>
      </c>
      <c r="R42" s="772">
        <f t="shared" si="7"/>
        <v>0</v>
      </c>
      <c r="S42" s="772">
        <f t="shared" si="7"/>
        <v>0</v>
      </c>
      <c r="T42" s="772">
        <f t="shared" si="7"/>
        <v>0</v>
      </c>
      <c r="U42" s="772">
        <f t="shared" si="7"/>
        <v>0</v>
      </c>
    </row>
    <row r="43" spans="1:21" x14ac:dyDescent="0.25">
      <c r="A43" s="776" t="s">
        <v>841</v>
      </c>
      <c r="B43" s="772">
        <f t="shared" ref="B43:U43" si="8">IF(B$7&lt;$A$3,0,SUM(B$9:B$13))</f>
        <v>0</v>
      </c>
      <c r="C43" s="772">
        <f t="shared" si="8"/>
        <v>0</v>
      </c>
      <c r="D43" s="772">
        <f t="shared" si="8"/>
        <v>0</v>
      </c>
      <c r="E43" s="772">
        <f t="shared" si="8"/>
        <v>0</v>
      </c>
      <c r="F43" s="772">
        <f t="shared" si="8"/>
        <v>0</v>
      </c>
      <c r="G43" s="772">
        <f t="shared" si="8"/>
        <v>0</v>
      </c>
      <c r="H43" s="772">
        <f t="shared" si="8"/>
        <v>0</v>
      </c>
      <c r="I43" s="772">
        <f t="shared" si="8"/>
        <v>0</v>
      </c>
      <c r="J43" s="772">
        <f t="shared" si="8"/>
        <v>0</v>
      </c>
      <c r="K43" s="772">
        <f t="shared" si="8"/>
        <v>0</v>
      </c>
      <c r="L43" s="772">
        <f t="shared" si="8"/>
        <v>0</v>
      </c>
      <c r="M43" s="772">
        <f t="shared" si="8"/>
        <v>0</v>
      </c>
      <c r="N43" s="772">
        <f t="shared" si="8"/>
        <v>0</v>
      </c>
      <c r="O43" s="772">
        <f t="shared" si="8"/>
        <v>0</v>
      </c>
      <c r="P43" s="772">
        <f t="shared" si="8"/>
        <v>0</v>
      </c>
      <c r="Q43" s="772">
        <f t="shared" si="8"/>
        <v>0</v>
      </c>
      <c r="R43" s="772">
        <f t="shared" si="8"/>
        <v>0</v>
      </c>
      <c r="S43" s="772">
        <f t="shared" si="8"/>
        <v>0</v>
      </c>
      <c r="T43" s="772">
        <f t="shared" si="8"/>
        <v>0</v>
      </c>
      <c r="U43" s="772">
        <f t="shared" si="8"/>
        <v>0</v>
      </c>
    </row>
    <row r="44" spans="1:21" x14ac:dyDescent="0.25">
      <c r="A44" s="776" t="s">
        <v>842</v>
      </c>
      <c r="B44" s="772">
        <f t="shared" ref="B44:U44" si="9">IF(OR($A$3&gt;B$16,B$16&gt;$A$3+9),0,SUM(B$19:B$23))</f>
        <v>0</v>
      </c>
      <c r="C44" s="772">
        <f t="shared" si="9"/>
        <v>0</v>
      </c>
      <c r="D44" s="772">
        <f t="shared" si="9"/>
        <v>0</v>
      </c>
      <c r="E44" s="772">
        <f t="shared" si="9"/>
        <v>0</v>
      </c>
      <c r="F44" s="772">
        <f t="shared" si="9"/>
        <v>0</v>
      </c>
      <c r="G44" s="772">
        <f t="shared" si="9"/>
        <v>0</v>
      </c>
      <c r="H44" s="772">
        <f t="shared" si="9"/>
        <v>0</v>
      </c>
      <c r="I44" s="772">
        <f t="shared" si="9"/>
        <v>0</v>
      </c>
      <c r="J44" s="772">
        <f t="shared" si="9"/>
        <v>0</v>
      </c>
      <c r="K44" s="772">
        <f t="shared" si="9"/>
        <v>0</v>
      </c>
      <c r="L44" s="772">
        <f t="shared" si="9"/>
        <v>0</v>
      </c>
      <c r="M44" s="772">
        <f t="shared" si="9"/>
        <v>0</v>
      </c>
      <c r="N44" s="772">
        <f t="shared" si="9"/>
        <v>0</v>
      </c>
      <c r="O44" s="772">
        <f t="shared" si="9"/>
        <v>0</v>
      </c>
      <c r="P44" s="772">
        <f t="shared" si="9"/>
        <v>0</v>
      </c>
      <c r="Q44" s="772">
        <f t="shared" si="9"/>
        <v>0</v>
      </c>
      <c r="R44" s="772">
        <f t="shared" si="9"/>
        <v>0</v>
      </c>
      <c r="S44" s="772">
        <f t="shared" si="9"/>
        <v>0</v>
      </c>
      <c r="T44" s="772">
        <f t="shared" si="9"/>
        <v>0</v>
      </c>
      <c r="U44" s="772">
        <f t="shared" si="9"/>
        <v>0</v>
      </c>
    </row>
  </sheetData>
  <phoneticPr fontId="0" type="noConversion"/>
  <dataValidations count="7">
    <dataValidation type="decimal" allowBlank="1" showInputMessage="1" showErrorMessage="1" sqref="C3" xr:uid="{00000000-0002-0000-1500-000000000000}">
      <formula1>0</formula1>
      <formula2>1</formula2>
    </dataValidation>
    <dataValidation type="decimal" allowBlank="1" showInputMessage="1" showErrorMessage="1" sqref="G3:G4" xr:uid="{00000000-0002-0000-1500-000001000000}">
      <formula1>0</formula1>
      <formula2>0.099</formula2>
    </dataValidation>
    <dataValidation type="whole" allowBlank="1" showInputMessage="1" showErrorMessage="1" sqref="F3:F4" xr:uid="{00000000-0002-0000-1500-000002000000}">
      <formula1>0</formula1>
      <formula2>10</formula2>
    </dataValidation>
    <dataValidation type="list" allowBlank="1" showInputMessage="1" showErrorMessage="1" sqref="D3:D4" xr:uid="{00000000-0002-0000-1500-000003000000}">
      <formula1>"None, Limited, Perpetuity"</formula1>
    </dataValidation>
    <dataValidation type="list" allowBlank="1" showInputMessage="1" showErrorMessage="1" sqref="J3:K4" xr:uid="{00000000-0002-0000-1500-000004000000}">
      <formula1>"Low, Medium, High"</formula1>
    </dataValidation>
    <dataValidation type="list" allowBlank="1" showInputMessage="1" showErrorMessage="1" sqref="B3:B4 I4" xr:uid="{00000000-0002-0000-1500-000005000000}">
      <formula1>"Yes, No"</formula1>
    </dataValidation>
    <dataValidation type="list" allowBlank="1" showInputMessage="1" showErrorMessage="1" sqref="H4 E3:E4" xr:uid="{00000000-0002-0000-1500-000006000000}">
      <formula1>"2018,2019,2020,2021,2022,2023,2024,2025,2026,2027,2028,2029,2030,2031,2032,2033,2034"</formula1>
    </dataValidation>
  </dataValidations>
  <pageMargins left="0.25" right="0.25" top="0.25" bottom="0.25" header="0.5" footer="0.5"/>
  <pageSetup scale="52" orientation="landscape"/>
  <headerFooter alignWithMargins="0">
    <oddFooter>&amp;L&amp;A&amp;R(c) 2009 BD and UMT Consulting Group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indexed="51"/>
    <pageSetUpPr fitToPage="1"/>
  </sheetPr>
  <dimension ref="A1:Y77"/>
  <sheetViews>
    <sheetView zoomScale="75" zoomScaleNormal="75" workbookViewId="0">
      <selection activeCell="V12" sqref="V12"/>
    </sheetView>
  </sheetViews>
  <sheetFormatPr defaultRowHeight="13.2" x14ac:dyDescent="0.25"/>
  <cols>
    <col min="1" max="1" width="30.6640625" style="895" customWidth="1"/>
    <col min="2" max="4" width="11.6640625" style="895" customWidth="1"/>
    <col min="5" max="8" width="11.6640625" customWidth="1"/>
    <col min="9" max="9" width="17" customWidth="1"/>
    <col min="10" max="18" width="11.6640625" customWidth="1"/>
    <col min="19" max="21" width="11.6640625" hidden="1" customWidth="1"/>
    <col min="22" max="27" width="11.6640625" customWidth="1"/>
  </cols>
  <sheetData>
    <row r="1" spans="1:25" x14ac:dyDescent="0.25">
      <c r="A1" s="778" t="s">
        <v>843</v>
      </c>
      <c r="B1" s="779"/>
      <c r="C1" s="780"/>
      <c r="D1" s="780"/>
      <c r="E1" s="780"/>
      <c r="F1" s="780"/>
      <c r="G1" s="780"/>
      <c r="H1" s="780"/>
      <c r="I1" s="781"/>
      <c r="J1" s="781"/>
      <c r="K1" s="782"/>
      <c r="L1" s="782"/>
      <c r="M1" s="782"/>
      <c r="N1" s="782"/>
      <c r="O1" s="782"/>
      <c r="P1" s="783"/>
    </row>
    <row r="2" spans="1:25" x14ac:dyDescent="0.25">
      <c r="A2" s="778" t="s">
        <v>844</v>
      </c>
      <c r="B2" s="784"/>
      <c r="C2" s="785"/>
      <c r="D2" s="785"/>
      <c r="E2" s="785"/>
      <c r="F2" s="785"/>
      <c r="G2" s="785"/>
      <c r="H2" s="778" t="s">
        <v>845</v>
      </c>
      <c r="I2" s="778"/>
      <c r="J2" s="245"/>
      <c r="K2" s="782"/>
      <c r="L2" s="782"/>
      <c r="M2" s="782"/>
      <c r="N2" s="782"/>
      <c r="O2" s="782"/>
      <c r="P2" s="783"/>
    </row>
    <row r="3" spans="1:25" x14ac:dyDescent="0.25">
      <c r="A3" s="778" t="s">
        <v>846</v>
      </c>
      <c r="B3" s="786"/>
      <c r="C3" s="787"/>
      <c r="D3" s="787"/>
      <c r="E3" s="787"/>
      <c r="F3" s="788"/>
      <c r="G3" s="787"/>
      <c r="H3" s="789" t="s">
        <v>847</v>
      </c>
      <c r="I3" s="789"/>
      <c r="J3" s="780"/>
      <c r="K3" s="790"/>
      <c r="L3" s="790"/>
      <c r="M3" s="790"/>
      <c r="N3" s="790"/>
      <c r="O3" s="790"/>
      <c r="P3" s="791"/>
    </row>
    <row r="4" spans="1:25" x14ac:dyDescent="0.25">
      <c r="A4" s="792" t="s">
        <v>848</v>
      </c>
      <c r="B4" s="784"/>
      <c r="C4" s="785"/>
      <c r="D4" s="785"/>
      <c r="E4" s="785"/>
      <c r="F4" s="793"/>
      <c r="G4" s="785"/>
      <c r="H4" s="785"/>
      <c r="I4" s="785"/>
      <c r="J4" s="785"/>
      <c r="K4" s="794"/>
      <c r="L4" s="794"/>
      <c r="M4" s="794"/>
      <c r="N4" s="794"/>
      <c r="O4" s="794"/>
      <c r="P4" s="795"/>
    </row>
    <row r="5" spans="1:25" x14ac:dyDescent="0.25">
      <c r="A5" s="796"/>
      <c r="B5" s="796"/>
      <c r="C5" s="796"/>
      <c r="D5" s="796"/>
      <c r="W5" t="s">
        <v>849</v>
      </c>
      <c r="X5" s="797" t="s">
        <v>49</v>
      </c>
      <c r="Y5" t="s">
        <v>850</v>
      </c>
    </row>
    <row r="6" spans="1:25" s="801" customFormat="1" ht="36" customHeight="1" x14ac:dyDescent="0.25">
      <c r="A6" s="798" t="s">
        <v>805</v>
      </c>
      <c r="B6" s="799" t="s">
        <v>807</v>
      </c>
      <c r="C6" s="799" t="s">
        <v>715</v>
      </c>
      <c r="D6" s="799" t="s">
        <v>447</v>
      </c>
      <c r="E6" s="799" t="s">
        <v>851</v>
      </c>
      <c r="F6" s="800" t="s">
        <v>3</v>
      </c>
      <c r="G6" s="799" t="s">
        <v>808</v>
      </c>
      <c r="H6" s="799" t="s">
        <v>809</v>
      </c>
      <c r="I6" s="799" t="s">
        <v>810</v>
      </c>
      <c r="J6" s="800" t="s">
        <v>811</v>
      </c>
      <c r="L6" s="802"/>
      <c r="M6" s="803"/>
      <c r="N6" s="803"/>
      <c r="O6" s="803"/>
      <c r="P6" s="803"/>
      <c r="Q6" s="803"/>
      <c r="W6" s="804"/>
      <c r="X6" s="804"/>
      <c r="Y6" s="804"/>
    </row>
    <row r="7" spans="1:25" s="801" customFormat="1" x14ac:dyDescent="0.25">
      <c r="A7" s="805">
        <f>'G3 Input'!A3</f>
        <v>2016</v>
      </c>
      <c r="B7" s="806" t="str">
        <f>'G3 Input'!B3</f>
        <v>Yes</v>
      </c>
      <c r="C7" s="807" t="str">
        <f>'G3 Input'!J3</f>
        <v>Medium</v>
      </c>
      <c r="D7" s="808" t="str">
        <f>'G3 Input'!K3</f>
        <v>Medium</v>
      </c>
      <c r="E7" s="809">
        <f>0.1+(IF($C$7="Low",0,(IF($C$7="Medium",0.05,IF($C$7="High",0.1,0))))+(IF($D$7="Low",0,(IF($D$7="Medium",0.05,(IF($D$7="High",0.1,0)))))))</f>
        <v>0.2</v>
      </c>
      <c r="F7" s="810">
        <f>'G3 Input'!C3</f>
        <v>0.35</v>
      </c>
      <c r="G7" s="810" t="str">
        <f>'G3 Input'!D3</f>
        <v>Limited</v>
      </c>
      <c r="H7" s="811">
        <f>IF('G3 Input'!$D$3="No",0,'G3 Input'!E3)</f>
        <v>2026</v>
      </c>
      <c r="I7" s="812">
        <f>'G3 Input'!F3</f>
        <v>0</v>
      </c>
      <c r="J7" s="813">
        <f>'G3 Input'!G3</f>
        <v>0.02</v>
      </c>
      <c r="L7" s="802"/>
      <c r="M7" s="803"/>
      <c r="N7" s="803"/>
      <c r="O7" s="803"/>
      <c r="P7" s="803"/>
      <c r="Q7" s="803"/>
      <c r="W7" s="801">
        <v>2</v>
      </c>
      <c r="X7" s="801" t="s">
        <v>852</v>
      </c>
      <c r="Y7" s="801" t="s">
        <v>853</v>
      </c>
    </row>
    <row r="8" spans="1:25" s="801" customFormat="1" x14ac:dyDescent="0.25">
      <c r="A8" s="814" t="s">
        <v>817</v>
      </c>
      <c r="B8" s="806" t="str">
        <f>'G3 Input'!B4</f>
        <v>Yes</v>
      </c>
      <c r="C8" s="808" t="str">
        <f>'G3 Input'!$J$4</f>
        <v>Medium</v>
      </c>
      <c r="D8" s="808" t="str">
        <f>'G3 Input'!$K$4</f>
        <v>Medium</v>
      </c>
      <c r="E8" s="809">
        <f>0.1+(IF($C$8="Low",0,(IF($C$8="Medium",0.05,IF($C$8="High",0.1,0))))+(IF($D$8="Low",0,(IF($D$8="Medium",0.05,(IF($D$8="High",0.1,0)))))))</f>
        <v>0.2</v>
      </c>
      <c r="F8" s="810">
        <f>'G3 Input'!C4</f>
        <v>0.35</v>
      </c>
      <c r="G8" s="815" t="str">
        <f>'G3 Input'!D4</f>
        <v>Limited</v>
      </c>
      <c r="H8" s="811">
        <f>'G3 Input'!E4</f>
        <v>2026</v>
      </c>
      <c r="I8" s="812">
        <f>'G3 Input'!F4</f>
        <v>0</v>
      </c>
      <c r="J8" s="816">
        <f>'G3 Input'!G4</f>
        <v>0.02</v>
      </c>
      <c r="L8" s="802"/>
      <c r="M8" s="803"/>
      <c r="N8" s="803"/>
      <c r="O8" s="803"/>
      <c r="P8" s="803"/>
      <c r="Q8" s="803"/>
      <c r="W8" s="801">
        <v>3</v>
      </c>
      <c r="X8" s="801" t="s">
        <v>854</v>
      </c>
      <c r="Y8" s="801" t="s">
        <v>855</v>
      </c>
    </row>
    <row r="9" spans="1:25" s="801" customFormat="1" x14ac:dyDescent="0.25">
      <c r="A9" s="817"/>
      <c r="B9" s="818"/>
      <c r="C9" s="817"/>
      <c r="D9" s="817"/>
      <c r="E9" s="817"/>
      <c r="F9" s="817"/>
      <c r="G9" s="817"/>
      <c r="H9" s="803"/>
      <c r="I9" s="803"/>
      <c r="J9" s="803"/>
      <c r="L9" s="802"/>
      <c r="M9" s="803"/>
      <c r="N9" s="803"/>
      <c r="O9" s="803"/>
      <c r="P9" s="803"/>
      <c r="Q9" s="803"/>
      <c r="W9" s="801">
        <v>4</v>
      </c>
      <c r="X9" s="801" t="s">
        <v>856</v>
      </c>
      <c r="Y9" s="801" t="s">
        <v>857</v>
      </c>
    </row>
    <row r="10" spans="1:25" s="801" customFormat="1" ht="12.75" customHeight="1" x14ac:dyDescent="0.25">
      <c r="A10" s="819" t="s">
        <v>858</v>
      </c>
      <c r="B10" s="820">
        <f>A7</f>
        <v>2016</v>
      </c>
      <c r="C10" s="821" t="s">
        <v>859</v>
      </c>
      <c r="D10" s="822" t="s">
        <v>860</v>
      </c>
      <c r="E10" s="823"/>
      <c r="F10" s="824"/>
      <c r="G10" s="825"/>
      <c r="H10" s="819" t="s">
        <v>861</v>
      </c>
      <c r="I10" s="826"/>
      <c r="J10" s="827"/>
      <c r="L10" s="802"/>
      <c r="M10" s="803"/>
      <c r="N10" s="803"/>
      <c r="O10" s="803"/>
      <c r="P10" s="803"/>
      <c r="Q10" s="803"/>
      <c r="W10" s="801">
        <v>5</v>
      </c>
      <c r="X10" s="801" t="s">
        <v>862</v>
      </c>
      <c r="Y10" s="801" t="s">
        <v>863</v>
      </c>
    </row>
    <row r="11" spans="1:25" s="801" customFormat="1" x14ac:dyDescent="0.25">
      <c r="A11" s="828" t="s">
        <v>725</v>
      </c>
      <c r="B11" s="829">
        <f>IF($B$7="No",0,IF($G$7="No",$B$12,SUM($B$12:$B$13)))</f>
        <v>0</v>
      </c>
      <c r="C11" s="829">
        <f>IF($B$8="No",0,IF($G$8="None",$C$12,SUM($C$12:$C$13)))</f>
        <v>0</v>
      </c>
      <c r="D11" s="830" t="s">
        <v>829</v>
      </c>
      <c r="E11" s="831"/>
      <c r="F11" s="831"/>
      <c r="G11" s="832"/>
      <c r="H11" s="833" t="s">
        <v>814</v>
      </c>
      <c r="I11" s="834"/>
      <c r="J11" s="1003" t="str">
        <f>+'G3 Input'!L3</f>
        <v>1/1/2017</v>
      </c>
      <c r="L11" s="802"/>
      <c r="Q11" s="803"/>
      <c r="W11" s="801">
        <v>6</v>
      </c>
      <c r="X11" s="801" t="s">
        <v>864</v>
      </c>
      <c r="Y11" s="801" t="s">
        <v>865</v>
      </c>
    </row>
    <row r="12" spans="1:25" s="801" customFormat="1" ht="12.75" customHeight="1" x14ac:dyDescent="0.25">
      <c r="A12" s="828" t="s">
        <v>866</v>
      </c>
      <c r="B12" s="829">
        <f>IF($B$7="No",0,(SUM(B59:U59)))</f>
        <v>0</v>
      </c>
      <c r="C12" s="836">
        <f>IF($B$8="No",0,SUM($B$72:$U$72))</f>
        <v>0</v>
      </c>
      <c r="D12" s="837" t="s">
        <v>867</v>
      </c>
      <c r="E12" s="838"/>
      <c r="F12" s="839"/>
      <c r="G12" s="840">
        <f>SUM('G3 Input'!B9:U13)</f>
        <v>0</v>
      </c>
      <c r="H12" s="834" t="s">
        <v>815</v>
      </c>
      <c r="I12" s="834"/>
      <c r="J12" s="835" t="str">
        <f>'G3 Input'!M3</f>
        <v>1/1/2018</v>
      </c>
      <c r="L12" s="802"/>
      <c r="Q12" s="803"/>
      <c r="W12" s="801">
        <v>7</v>
      </c>
      <c r="X12" s="801" t="s">
        <v>868</v>
      </c>
      <c r="Y12" s="801" t="s">
        <v>869</v>
      </c>
    </row>
    <row r="13" spans="1:25" s="801" customFormat="1" ht="12.75" customHeight="1" x14ac:dyDescent="0.25">
      <c r="A13" s="828" t="s">
        <v>870</v>
      </c>
      <c r="B13" s="829">
        <f>IF($B$7="No",0,IF($G$7="No",0,($B$15/(1+$E$7)^(HLOOKUP($H$7,B20:U21,2,FALSE)))))</f>
        <v>0</v>
      </c>
      <c r="C13" s="829">
        <f>IF($B$8="No",0,IF($G$8="None",0,($B$15/(1+$E$8)^(HLOOKUP($H$8,C20:V21,2,FALSE)))))</f>
        <v>0</v>
      </c>
      <c r="D13" s="837" t="s">
        <v>841</v>
      </c>
      <c r="E13" s="838"/>
      <c r="F13" s="839"/>
      <c r="G13" s="840">
        <f>SUM('G3 Input'!$B$43:$U$43)</f>
        <v>0</v>
      </c>
      <c r="H13" s="834" t="s">
        <v>812</v>
      </c>
      <c r="I13" s="834"/>
      <c r="J13" s="841">
        <f>'G3 Input'!H4</f>
        <v>2025</v>
      </c>
      <c r="L13" s="802"/>
      <c r="Q13" s="803"/>
      <c r="W13" s="801">
        <v>8</v>
      </c>
      <c r="X13" s="801" t="s">
        <v>871</v>
      </c>
      <c r="Y13" s="801" t="s">
        <v>872</v>
      </c>
    </row>
    <row r="14" spans="1:25" s="801" customFormat="1" ht="12.75" customHeight="1" x14ac:dyDescent="0.25">
      <c r="A14" s="828" t="s">
        <v>873</v>
      </c>
      <c r="B14" s="809" t="e">
        <f>IF($B$7="No",0,IF($G$7="No",0,$B$13/$B$11))</f>
        <v>#DIV/0!</v>
      </c>
      <c r="C14" s="809">
        <f>IF($B$8="No",0,IF($C$15=0,0,($C$13/$C$11)))</f>
        <v>0</v>
      </c>
      <c r="D14" s="818"/>
      <c r="H14" s="833" t="s">
        <v>874</v>
      </c>
      <c r="I14" s="834"/>
      <c r="J14" s="842">
        <f>($J$13-(IF(MONTH($J$11)&gt;=10,(YEAR($J$11)+1),YEAR($J$11)))+1)</f>
        <v>9</v>
      </c>
      <c r="L14" s="802"/>
      <c r="Q14" s="803"/>
      <c r="W14" s="801">
        <v>9</v>
      </c>
      <c r="X14" s="801" t="s">
        <v>875</v>
      </c>
      <c r="Y14" s="801" t="s">
        <v>876</v>
      </c>
    </row>
    <row r="15" spans="1:25" s="801" customFormat="1" ht="12.75" customHeight="1" x14ac:dyDescent="0.25">
      <c r="A15" s="828" t="s">
        <v>726</v>
      </c>
      <c r="B15" s="829">
        <f>IF($G$7="perpetuity",SUM($B$62:$U$62),IF($G$7="Limited",SUM($B$65:$M$65),IF($G$7="No",0)))</f>
        <v>0</v>
      </c>
      <c r="C15" s="836">
        <f>IF($G$8="Perpetuity",SUM($B$73:$U$73),IF($G$8="Limited",SUM($B$76:$M$76),IF($G$8="None",0)))</f>
        <v>0</v>
      </c>
      <c r="D15" s="830" t="s">
        <v>23</v>
      </c>
      <c r="E15" s="831"/>
      <c r="F15" s="831"/>
      <c r="G15" s="832"/>
      <c r="H15" s="843" t="s">
        <v>813</v>
      </c>
      <c r="I15" s="844"/>
      <c r="J15" s="845" t="str">
        <f>'G3 Input'!I4</f>
        <v>No</v>
      </c>
      <c r="L15" s="802"/>
      <c r="Q15" s="803"/>
      <c r="W15" s="801">
        <v>10</v>
      </c>
      <c r="X15" s="801" t="s">
        <v>877</v>
      </c>
      <c r="Y15" s="801" t="s">
        <v>878</v>
      </c>
    </row>
    <row r="16" spans="1:25" s="801" customFormat="1" ht="12.75" customHeight="1" x14ac:dyDescent="0.25">
      <c r="A16" s="846" t="s">
        <v>31</v>
      </c>
      <c r="B16" s="847"/>
      <c r="C16" s="848" t="e">
        <f>IRR(B56:U56)</f>
        <v>#NUM!</v>
      </c>
      <c r="D16" s="837" t="s">
        <v>879</v>
      </c>
      <c r="E16" s="838"/>
      <c r="F16" s="839"/>
      <c r="G16" s="849">
        <f>SUM(B24:U24)</f>
        <v>0</v>
      </c>
      <c r="H16" s="833" t="s">
        <v>880</v>
      </c>
      <c r="I16" s="834"/>
      <c r="J16" s="850">
        <v>4.5999999999999999E-2</v>
      </c>
      <c r="L16" s="802"/>
      <c r="Q16" s="803"/>
      <c r="W16" s="801">
        <v>11</v>
      </c>
      <c r="X16" s="801" t="s">
        <v>881</v>
      </c>
      <c r="Y16" s="801" t="s">
        <v>882</v>
      </c>
    </row>
    <row r="17" spans="1:25" s="801" customFormat="1" ht="12.75" customHeight="1" x14ac:dyDescent="0.25">
      <c r="A17" s="846" t="s">
        <v>794</v>
      </c>
      <c r="B17" s="851"/>
      <c r="C17" s="777" t="e">
        <f ca="1">MIRR(INDIRECT(VLOOKUP($J$14,$W$6:$Y$25,3,FALSE)),$J$16,$J$17)</f>
        <v>#DIV/0!</v>
      </c>
      <c r="D17" s="837" t="s">
        <v>842</v>
      </c>
      <c r="E17" s="838"/>
      <c r="F17" s="839"/>
      <c r="G17" s="849">
        <f>SUM('G3 Input'!$B$44:$U$44)</f>
        <v>0</v>
      </c>
      <c r="H17" s="833" t="s">
        <v>883</v>
      </c>
      <c r="I17" s="834"/>
      <c r="J17" s="852">
        <v>0.15</v>
      </c>
      <c r="L17" s="802"/>
      <c r="Q17" s="803"/>
      <c r="W17" s="801">
        <v>12</v>
      </c>
      <c r="X17" s="801" t="s">
        <v>884</v>
      </c>
      <c r="Y17" s="801" t="s">
        <v>885</v>
      </c>
    </row>
    <row r="18" spans="1:25" s="801" customFormat="1" ht="12.75" customHeight="1" x14ac:dyDescent="0.25">
      <c r="A18" s="817"/>
      <c r="B18" s="817"/>
      <c r="C18" s="817"/>
      <c r="D18" s="817"/>
      <c r="E18" s="803"/>
      <c r="F18" s="803"/>
      <c r="G18" s="802"/>
      <c r="H18" s="803"/>
      <c r="I18" s="803"/>
      <c r="J18" s="803"/>
      <c r="K18" s="802"/>
      <c r="L18" s="802"/>
      <c r="M18" s="803"/>
      <c r="N18" s="803"/>
      <c r="O18" s="803"/>
      <c r="P18" s="803"/>
      <c r="Q18" s="803"/>
      <c r="U18" s="853"/>
      <c r="W18" s="801">
        <v>13</v>
      </c>
      <c r="X18" s="801" t="s">
        <v>886</v>
      </c>
      <c r="Y18" s="801" t="s">
        <v>887</v>
      </c>
    </row>
    <row r="19" spans="1:25" s="801" customFormat="1" x14ac:dyDescent="0.25">
      <c r="A19" s="819" t="s">
        <v>888</v>
      </c>
      <c r="B19" s="854"/>
      <c r="C19" s="854"/>
      <c r="D19" s="854"/>
      <c r="E19" s="854"/>
      <c r="F19" s="854"/>
      <c r="G19" s="854"/>
      <c r="H19" s="854"/>
      <c r="I19" s="854"/>
      <c r="J19" s="854"/>
      <c r="K19" s="854"/>
      <c r="L19" s="854"/>
      <c r="M19" s="854"/>
      <c r="N19" s="854"/>
      <c r="O19" s="854"/>
      <c r="P19" s="854"/>
      <c r="Q19" s="854"/>
      <c r="R19" s="854"/>
      <c r="S19" s="854"/>
      <c r="T19" s="854"/>
      <c r="U19" s="854"/>
      <c r="W19" s="801">
        <v>14</v>
      </c>
      <c r="X19" s="801" t="s">
        <v>889</v>
      </c>
      <c r="Y19" s="801" t="s">
        <v>890</v>
      </c>
    </row>
    <row r="20" spans="1:25" s="801" customFormat="1" ht="12.75" customHeight="1" x14ac:dyDescent="0.25">
      <c r="A20" s="855" t="s">
        <v>797</v>
      </c>
      <c r="B20" s="856">
        <f>IF(MONTH($J$11)&gt;=10,(YEAR($J$11)+1),YEAR($J$11))</f>
        <v>2017</v>
      </c>
      <c r="C20" s="762">
        <f t="shared" ref="C20:U20" si="0">B20+1</f>
        <v>2018</v>
      </c>
      <c r="D20" s="762">
        <f t="shared" si="0"/>
        <v>2019</v>
      </c>
      <c r="E20" s="762">
        <f t="shared" si="0"/>
        <v>2020</v>
      </c>
      <c r="F20" s="762">
        <f t="shared" si="0"/>
        <v>2021</v>
      </c>
      <c r="G20" s="762">
        <f t="shared" si="0"/>
        <v>2022</v>
      </c>
      <c r="H20" s="762">
        <f t="shared" si="0"/>
        <v>2023</v>
      </c>
      <c r="I20" s="762">
        <f t="shared" si="0"/>
        <v>2024</v>
      </c>
      <c r="J20" s="762">
        <f t="shared" si="0"/>
        <v>2025</v>
      </c>
      <c r="K20" s="762">
        <f t="shared" si="0"/>
        <v>2026</v>
      </c>
      <c r="L20" s="762">
        <f t="shared" si="0"/>
        <v>2027</v>
      </c>
      <c r="M20" s="762">
        <f t="shared" si="0"/>
        <v>2028</v>
      </c>
      <c r="N20" s="762">
        <f t="shared" si="0"/>
        <v>2029</v>
      </c>
      <c r="O20" s="762">
        <f t="shared" si="0"/>
        <v>2030</v>
      </c>
      <c r="P20" s="762">
        <f t="shared" si="0"/>
        <v>2031</v>
      </c>
      <c r="Q20" s="762">
        <f t="shared" si="0"/>
        <v>2032</v>
      </c>
      <c r="R20" s="762">
        <f t="shared" si="0"/>
        <v>2033</v>
      </c>
      <c r="S20" s="762">
        <f t="shared" si="0"/>
        <v>2034</v>
      </c>
      <c r="T20" s="762">
        <f t="shared" si="0"/>
        <v>2035</v>
      </c>
      <c r="U20" s="762">
        <f t="shared" si="0"/>
        <v>2036</v>
      </c>
      <c r="W20" s="801">
        <v>15</v>
      </c>
      <c r="X20" s="801" t="s">
        <v>891</v>
      </c>
      <c r="Y20" s="801" t="s">
        <v>892</v>
      </c>
    </row>
    <row r="21" spans="1:25" s="801" customFormat="1" ht="12.75" customHeight="1" x14ac:dyDescent="0.25">
      <c r="A21" s="855" t="s">
        <v>893</v>
      </c>
      <c r="B21" s="766">
        <f t="shared" ref="B21:U21" si="1">B20-$A$7</f>
        <v>1</v>
      </c>
      <c r="C21" s="766">
        <f t="shared" si="1"/>
        <v>2</v>
      </c>
      <c r="D21" s="766">
        <f t="shared" si="1"/>
        <v>3</v>
      </c>
      <c r="E21" s="766">
        <f t="shared" si="1"/>
        <v>4</v>
      </c>
      <c r="F21" s="766">
        <f t="shared" si="1"/>
        <v>5</v>
      </c>
      <c r="G21" s="762">
        <f t="shared" si="1"/>
        <v>6</v>
      </c>
      <c r="H21" s="762">
        <f t="shared" si="1"/>
        <v>7</v>
      </c>
      <c r="I21" s="762">
        <f t="shared" si="1"/>
        <v>8</v>
      </c>
      <c r="J21" s="762">
        <f t="shared" si="1"/>
        <v>9</v>
      </c>
      <c r="K21" s="762">
        <f t="shared" si="1"/>
        <v>10</v>
      </c>
      <c r="L21" s="762">
        <f t="shared" si="1"/>
        <v>11</v>
      </c>
      <c r="M21" s="762">
        <f t="shared" si="1"/>
        <v>12</v>
      </c>
      <c r="N21" s="762">
        <f t="shared" si="1"/>
        <v>13</v>
      </c>
      <c r="O21" s="762">
        <f t="shared" si="1"/>
        <v>14</v>
      </c>
      <c r="P21" s="762">
        <f t="shared" si="1"/>
        <v>15</v>
      </c>
      <c r="Q21" s="762">
        <f t="shared" si="1"/>
        <v>16</v>
      </c>
      <c r="R21" s="762">
        <f t="shared" si="1"/>
        <v>17</v>
      </c>
      <c r="S21" s="762">
        <f t="shared" si="1"/>
        <v>18</v>
      </c>
      <c r="T21" s="762">
        <f t="shared" si="1"/>
        <v>19</v>
      </c>
      <c r="U21" s="762">
        <f t="shared" si="1"/>
        <v>20</v>
      </c>
      <c r="W21" s="801">
        <v>16</v>
      </c>
      <c r="X21" s="801" t="s">
        <v>894</v>
      </c>
      <c r="Y21" s="801" t="s">
        <v>895</v>
      </c>
    </row>
    <row r="22" spans="1:25" s="801" customFormat="1" x14ac:dyDescent="0.25">
      <c r="A22" s="857"/>
      <c r="B22" s="858"/>
      <c r="C22" s="858"/>
      <c r="D22" s="858"/>
      <c r="E22" s="858"/>
      <c r="F22" s="858"/>
      <c r="G22" s="859"/>
      <c r="H22" s="859"/>
      <c r="I22" s="859"/>
      <c r="J22" s="859"/>
      <c r="K22" s="859"/>
      <c r="L22" s="859"/>
      <c r="M22" s="859"/>
      <c r="N22" s="859"/>
      <c r="O22" s="859"/>
      <c r="P22" s="859"/>
      <c r="Q22" s="859"/>
      <c r="R22" s="859"/>
      <c r="S22" s="859"/>
      <c r="T22" s="859"/>
      <c r="U22" s="859"/>
      <c r="W22" s="801">
        <v>17</v>
      </c>
      <c r="X22" s="801" t="s">
        <v>896</v>
      </c>
      <c r="Y22" s="801" t="s">
        <v>897</v>
      </c>
    </row>
    <row r="23" spans="1:25" s="801" customFormat="1" x14ac:dyDescent="0.25">
      <c r="A23" s="819" t="s">
        <v>898</v>
      </c>
      <c r="B23" s="860"/>
      <c r="C23" s="860"/>
      <c r="D23" s="860"/>
      <c r="E23" s="860"/>
      <c r="F23" s="860"/>
      <c r="G23" s="860"/>
      <c r="H23" s="860"/>
      <c r="I23" s="860"/>
      <c r="J23" s="860"/>
      <c r="K23" s="860"/>
      <c r="L23" s="860"/>
      <c r="M23" s="860"/>
      <c r="N23" s="860"/>
      <c r="O23" s="860"/>
      <c r="P23" s="860"/>
      <c r="Q23" s="860"/>
      <c r="R23" s="860"/>
      <c r="S23" s="860"/>
      <c r="T23" s="860"/>
      <c r="U23" s="860"/>
      <c r="W23" s="801">
        <v>18</v>
      </c>
      <c r="X23" s="801" t="s">
        <v>899</v>
      </c>
      <c r="Y23" s="801" t="s">
        <v>900</v>
      </c>
    </row>
    <row r="24" spans="1:25" s="863" customFormat="1" ht="12.75" customHeight="1" x14ac:dyDescent="0.25">
      <c r="A24" s="861" t="s">
        <v>784</v>
      </c>
      <c r="B24" s="862">
        <f t="shared" ref="B24:U24" si="2">SUM(B25:B29)</f>
        <v>0</v>
      </c>
      <c r="C24" s="862">
        <f t="shared" si="2"/>
        <v>0</v>
      </c>
      <c r="D24" s="862">
        <f t="shared" si="2"/>
        <v>0</v>
      </c>
      <c r="E24" s="862">
        <f t="shared" si="2"/>
        <v>0</v>
      </c>
      <c r="F24" s="862">
        <f t="shared" si="2"/>
        <v>0</v>
      </c>
      <c r="G24" s="862">
        <f t="shared" si="2"/>
        <v>0</v>
      </c>
      <c r="H24" s="862">
        <f t="shared" si="2"/>
        <v>0</v>
      </c>
      <c r="I24" s="862">
        <f t="shared" si="2"/>
        <v>0</v>
      </c>
      <c r="J24" s="862">
        <f t="shared" si="2"/>
        <v>0</v>
      </c>
      <c r="K24" s="862">
        <f t="shared" si="2"/>
        <v>0</v>
      </c>
      <c r="L24" s="862">
        <f t="shared" si="2"/>
        <v>0</v>
      </c>
      <c r="M24" s="862">
        <f t="shared" si="2"/>
        <v>0</v>
      </c>
      <c r="N24" s="862">
        <f t="shared" si="2"/>
        <v>0</v>
      </c>
      <c r="O24" s="862">
        <f t="shared" si="2"/>
        <v>0</v>
      </c>
      <c r="P24" s="862">
        <f t="shared" si="2"/>
        <v>0</v>
      </c>
      <c r="Q24" s="862">
        <f t="shared" si="2"/>
        <v>0</v>
      </c>
      <c r="R24" s="862">
        <f t="shared" si="2"/>
        <v>0</v>
      </c>
      <c r="S24" s="862">
        <f t="shared" si="2"/>
        <v>0</v>
      </c>
      <c r="T24" s="862">
        <f t="shared" si="2"/>
        <v>0</v>
      </c>
      <c r="U24" s="862">
        <f t="shared" si="2"/>
        <v>0</v>
      </c>
      <c r="W24" s="796">
        <v>19</v>
      </c>
      <c r="X24" s="796" t="s">
        <v>901</v>
      </c>
      <c r="Y24" s="796" t="s">
        <v>902</v>
      </c>
    </row>
    <row r="25" spans="1:25" s="863" customFormat="1" ht="12.75" customHeight="1" x14ac:dyDescent="0.25">
      <c r="A25" s="833" t="s">
        <v>824</v>
      </c>
      <c r="B25" s="836">
        <f>'G3 Input'!B19</f>
        <v>0</v>
      </c>
      <c r="C25" s="836">
        <f>'G3 Input'!C19</f>
        <v>0</v>
      </c>
      <c r="D25" s="836">
        <f>'G3 Input'!D19</f>
        <v>0</v>
      </c>
      <c r="E25" s="836">
        <f>'G3 Input'!E19</f>
        <v>0</v>
      </c>
      <c r="F25" s="836">
        <f>'G3 Input'!F19</f>
        <v>0</v>
      </c>
      <c r="G25" s="836">
        <f>'G3 Input'!G19</f>
        <v>0</v>
      </c>
      <c r="H25" s="836">
        <f>'G3 Input'!H19</f>
        <v>0</v>
      </c>
      <c r="I25" s="836">
        <f>'G3 Input'!I19</f>
        <v>0</v>
      </c>
      <c r="J25" s="836">
        <f>'G3 Input'!J19</f>
        <v>0</v>
      </c>
      <c r="K25" s="836">
        <f>'G3 Input'!K19</f>
        <v>0</v>
      </c>
      <c r="L25" s="836">
        <f>'G3 Input'!L19</f>
        <v>0</v>
      </c>
      <c r="M25" s="836">
        <f>'G3 Input'!M19</f>
        <v>0</v>
      </c>
      <c r="N25" s="836">
        <f>'G3 Input'!N19</f>
        <v>0</v>
      </c>
      <c r="O25" s="836">
        <f>'G3 Input'!O19</f>
        <v>0</v>
      </c>
      <c r="P25" s="836">
        <f>'G3 Input'!P19</f>
        <v>0</v>
      </c>
      <c r="Q25" s="836">
        <f>'G3 Input'!Q19</f>
        <v>0</v>
      </c>
      <c r="R25" s="836">
        <f>'G3 Input'!R19</f>
        <v>0</v>
      </c>
      <c r="S25" s="836">
        <f>'G3 Input'!S19</f>
        <v>0</v>
      </c>
      <c r="T25" s="836">
        <f>'G3 Input'!T19</f>
        <v>0</v>
      </c>
      <c r="U25" s="836">
        <f>'G3 Input'!U19</f>
        <v>0</v>
      </c>
      <c r="W25" s="796">
        <v>20</v>
      </c>
      <c r="X25" s="999" t="s">
        <v>903</v>
      </c>
      <c r="Y25" s="796" t="s">
        <v>904</v>
      </c>
    </row>
    <row r="26" spans="1:25" s="863" customFormat="1" ht="12.75" customHeight="1" x14ac:dyDescent="0.25">
      <c r="A26" s="833" t="s">
        <v>825</v>
      </c>
      <c r="B26" s="836">
        <f>'G3 Input'!B20</f>
        <v>0</v>
      </c>
      <c r="C26" s="836">
        <f>'G3 Input'!C20</f>
        <v>0</v>
      </c>
      <c r="D26" s="836">
        <f>'G3 Input'!D20</f>
        <v>0</v>
      </c>
      <c r="E26" s="836">
        <f>'G3 Input'!E20</f>
        <v>0</v>
      </c>
      <c r="F26" s="836">
        <f>'G3 Input'!F20</f>
        <v>0</v>
      </c>
      <c r="G26" s="836">
        <f>'G3 Input'!G20</f>
        <v>0</v>
      </c>
      <c r="H26" s="836">
        <f>'G3 Input'!H20</f>
        <v>0</v>
      </c>
      <c r="I26" s="836">
        <f>'G3 Input'!I20</f>
        <v>0</v>
      </c>
      <c r="J26" s="836">
        <f>'G3 Input'!J20</f>
        <v>0</v>
      </c>
      <c r="K26" s="836">
        <f>'G3 Input'!K20</f>
        <v>0</v>
      </c>
      <c r="L26" s="836">
        <f>'G3 Input'!L20</f>
        <v>0</v>
      </c>
      <c r="M26" s="836">
        <f>'G3 Input'!M20</f>
        <v>0</v>
      </c>
      <c r="N26" s="836">
        <f>'G3 Input'!N20</f>
        <v>0</v>
      </c>
      <c r="O26" s="836">
        <f>'G3 Input'!O20</f>
        <v>0</v>
      </c>
      <c r="P26" s="836">
        <f>'G3 Input'!P20</f>
        <v>0</v>
      </c>
      <c r="Q26" s="836">
        <f>'G3 Input'!Q20</f>
        <v>0</v>
      </c>
      <c r="R26" s="836">
        <f>'G3 Input'!R20</f>
        <v>0</v>
      </c>
      <c r="S26" s="836">
        <f>'G3 Input'!S20</f>
        <v>0</v>
      </c>
      <c r="T26" s="836">
        <f>'G3 Input'!T20</f>
        <v>0</v>
      </c>
      <c r="U26" s="836">
        <f>'G3 Input'!U20</f>
        <v>0</v>
      </c>
      <c r="W26" s="796"/>
      <c r="X26" s="796"/>
    </row>
    <row r="27" spans="1:25" s="863" customFormat="1" ht="12.75" customHeight="1" x14ac:dyDescent="0.25">
      <c r="A27" s="833" t="s">
        <v>826</v>
      </c>
      <c r="B27" s="836">
        <f>'G3 Input'!B21</f>
        <v>0</v>
      </c>
      <c r="C27" s="836">
        <f>'G3 Input'!C21</f>
        <v>0</v>
      </c>
      <c r="D27" s="836">
        <f>'G3 Input'!D21</f>
        <v>0</v>
      </c>
      <c r="E27" s="836">
        <f>'G3 Input'!E21</f>
        <v>0</v>
      </c>
      <c r="F27" s="836">
        <f>'G3 Input'!F21</f>
        <v>0</v>
      </c>
      <c r="G27" s="836">
        <f>'G3 Input'!G21</f>
        <v>0</v>
      </c>
      <c r="H27" s="836">
        <f>'G3 Input'!H21</f>
        <v>0</v>
      </c>
      <c r="I27" s="836">
        <f>'G3 Input'!I21</f>
        <v>0</v>
      </c>
      <c r="J27" s="836">
        <f>'G3 Input'!J21</f>
        <v>0</v>
      </c>
      <c r="K27" s="836">
        <f>'G3 Input'!K21</f>
        <v>0</v>
      </c>
      <c r="L27" s="836">
        <f>'G3 Input'!L21</f>
        <v>0</v>
      </c>
      <c r="M27" s="836">
        <f>'G3 Input'!M21</f>
        <v>0</v>
      </c>
      <c r="N27" s="836">
        <f>'G3 Input'!N21</f>
        <v>0</v>
      </c>
      <c r="O27" s="836">
        <f>'G3 Input'!O21</f>
        <v>0</v>
      </c>
      <c r="P27" s="836">
        <f>'G3 Input'!P21</f>
        <v>0</v>
      </c>
      <c r="Q27" s="836">
        <f>'G3 Input'!Q21</f>
        <v>0</v>
      </c>
      <c r="R27" s="836">
        <f>'G3 Input'!R21</f>
        <v>0</v>
      </c>
      <c r="S27" s="836">
        <f>'G3 Input'!S21</f>
        <v>0</v>
      </c>
      <c r="T27" s="836">
        <f>'G3 Input'!T21</f>
        <v>0</v>
      </c>
      <c r="U27" s="836">
        <f>'G3 Input'!U21</f>
        <v>0</v>
      </c>
    </row>
    <row r="28" spans="1:25" s="863" customFormat="1" ht="12.75" customHeight="1" x14ac:dyDescent="0.25">
      <c r="A28" s="833" t="s">
        <v>827</v>
      </c>
      <c r="B28" s="836">
        <f>'G3 Input'!B22</f>
        <v>0</v>
      </c>
      <c r="C28" s="836">
        <f>'G3 Input'!C22</f>
        <v>0</v>
      </c>
      <c r="D28" s="836">
        <f>'G3 Input'!D22</f>
        <v>0</v>
      </c>
      <c r="E28" s="836">
        <f>'G3 Input'!E22</f>
        <v>0</v>
      </c>
      <c r="F28" s="836">
        <f>'G3 Input'!F22</f>
        <v>0</v>
      </c>
      <c r="G28" s="836">
        <f>'G3 Input'!G22</f>
        <v>0</v>
      </c>
      <c r="H28" s="836">
        <f>'G3 Input'!H22</f>
        <v>0</v>
      </c>
      <c r="I28" s="836">
        <f>'G3 Input'!I22</f>
        <v>0</v>
      </c>
      <c r="J28" s="836">
        <f>'G3 Input'!J22</f>
        <v>0</v>
      </c>
      <c r="K28" s="836">
        <f>'G3 Input'!K22</f>
        <v>0</v>
      </c>
      <c r="L28" s="836">
        <f>'G3 Input'!L22</f>
        <v>0</v>
      </c>
      <c r="M28" s="836">
        <f>'G3 Input'!M22</f>
        <v>0</v>
      </c>
      <c r="N28" s="836">
        <f>'G3 Input'!N22</f>
        <v>0</v>
      </c>
      <c r="O28" s="836">
        <f>'G3 Input'!O22</f>
        <v>0</v>
      </c>
      <c r="P28" s="836">
        <f>'G3 Input'!P22</f>
        <v>0</v>
      </c>
      <c r="Q28" s="836">
        <f>'G3 Input'!Q22</f>
        <v>0</v>
      </c>
      <c r="R28" s="836">
        <f>'G3 Input'!R22</f>
        <v>0</v>
      </c>
      <c r="S28" s="836">
        <f>'G3 Input'!S22</f>
        <v>0</v>
      </c>
      <c r="T28" s="836">
        <f>'G3 Input'!T22</f>
        <v>0</v>
      </c>
      <c r="U28" s="836">
        <f>'G3 Input'!U22</f>
        <v>0</v>
      </c>
    </row>
    <row r="29" spans="1:25" s="863" customFormat="1" ht="12.75" customHeight="1" x14ac:dyDescent="0.25">
      <c r="A29" s="833" t="s">
        <v>828</v>
      </c>
      <c r="B29" s="836">
        <f>'G3 Input'!B23</f>
        <v>0</v>
      </c>
      <c r="C29" s="836">
        <f>'G3 Input'!C23</f>
        <v>0</v>
      </c>
      <c r="D29" s="836">
        <f>'G3 Input'!D23</f>
        <v>0</v>
      </c>
      <c r="E29" s="836">
        <f>'G3 Input'!E23</f>
        <v>0</v>
      </c>
      <c r="F29" s="836">
        <f>'G3 Input'!F23</f>
        <v>0</v>
      </c>
      <c r="G29" s="836">
        <f>'G3 Input'!G23</f>
        <v>0</v>
      </c>
      <c r="H29" s="836">
        <f>'G3 Input'!H23</f>
        <v>0</v>
      </c>
      <c r="I29" s="836">
        <f>'G3 Input'!I23</f>
        <v>0</v>
      </c>
      <c r="J29" s="836">
        <f>'G3 Input'!J23</f>
        <v>0</v>
      </c>
      <c r="K29" s="836">
        <f>'G3 Input'!K23</f>
        <v>0</v>
      </c>
      <c r="L29" s="836">
        <f>'G3 Input'!L23</f>
        <v>0</v>
      </c>
      <c r="M29" s="836">
        <f>'G3 Input'!M23</f>
        <v>0</v>
      </c>
      <c r="N29" s="836">
        <f>'G3 Input'!N23</f>
        <v>0</v>
      </c>
      <c r="O29" s="836">
        <f>'G3 Input'!O23</f>
        <v>0</v>
      </c>
      <c r="P29" s="836">
        <f>'G3 Input'!P23</f>
        <v>0</v>
      </c>
      <c r="Q29" s="836">
        <f>'G3 Input'!Q23</f>
        <v>0</v>
      </c>
      <c r="R29" s="836">
        <f>'G3 Input'!R23</f>
        <v>0</v>
      </c>
      <c r="S29" s="836">
        <f>'G3 Input'!S23</f>
        <v>0</v>
      </c>
      <c r="T29" s="836">
        <f>'G3 Input'!T23</f>
        <v>0</v>
      </c>
      <c r="U29" s="836">
        <f>'G3 Input'!U23</f>
        <v>0</v>
      </c>
    </row>
    <row r="30" spans="1:25" s="801" customFormat="1" x14ac:dyDescent="0.25">
      <c r="A30" s="855" t="s">
        <v>829</v>
      </c>
      <c r="B30" s="864"/>
      <c r="C30" s="865"/>
      <c r="D30" s="865"/>
      <c r="E30" s="865"/>
      <c r="F30" s="865"/>
      <c r="G30" s="865"/>
      <c r="H30" s="865"/>
      <c r="I30" s="865"/>
      <c r="J30" s="865"/>
      <c r="K30" s="865"/>
      <c r="L30" s="865"/>
      <c r="M30" s="865"/>
      <c r="N30" s="865"/>
      <c r="O30" s="865"/>
      <c r="P30" s="865"/>
      <c r="Q30" s="865"/>
      <c r="R30" s="865"/>
      <c r="S30" s="865"/>
      <c r="T30" s="865"/>
      <c r="U30" s="866"/>
    </row>
    <row r="31" spans="1:25" s="863" customFormat="1" ht="12.75" customHeight="1" x14ac:dyDescent="0.25">
      <c r="A31" s="833" t="s">
        <v>786</v>
      </c>
      <c r="B31" s="836">
        <f>'G3 Input'!B25</f>
        <v>0</v>
      </c>
      <c r="C31" s="836">
        <f>'G3 Input'!C25</f>
        <v>0</v>
      </c>
      <c r="D31" s="836">
        <f>'G3 Input'!D25</f>
        <v>0</v>
      </c>
      <c r="E31" s="836">
        <f>'G3 Input'!E25</f>
        <v>0</v>
      </c>
      <c r="F31" s="836">
        <f>'G3 Input'!F25</f>
        <v>0</v>
      </c>
      <c r="G31" s="836">
        <f>'G3 Input'!G25</f>
        <v>0</v>
      </c>
      <c r="H31" s="836">
        <f>'G3 Input'!H25</f>
        <v>0</v>
      </c>
      <c r="I31" s="836">
        <f>'G3 Input'!I25</f>
        <v>0</v>
      </c>
      <c r="J31" s="836">
        <f>'G3 Input'!J25</f>
        <v>0</v>
      </c>
      <c r="K31" s="836">
        <f>'G3 Input'!K25</f>
        <v>0</v>
      </c>
      <c r="L31" s="836">
        <f>'G3 Input'!L25</f>
        <v>0</v>
      </c>
      <c r="M31" s="836">
        <f>'G3 Input'!M25</f>
        <v>0</v>
      </c>
      <c r="N31" s="836">
        <f>'G3 Input'!N25</f>
        <v>0</v>
      </c>
      <c r="O31" s="836">
        <f>'G3 Input'!O25</f>
        <v>0</v>
      </c>
      <c r="P31" s="836">
        <f>'G3 Input'!P25</f>
        <v>0</v>
      </c>
      <c r="Q31" s="836">
        <f>'G3 Input'!Q25</f>
        <v>0</v>
      </c>
      <c r="R31" s="836">
        <f>'G3 Input'!R25</f>
        <v>0</v>
      </c>
      <c r="S31" s="836">
        <f>'G3 Input'!S25</f>
        <v>0</v>
      </c>
      <c r="T31" s="836">
        <f>'G3 Input'!T25</f>
        <v>0</v>
      </c>
      <c r="U31" s="836">
        <f>'G3 Input'!U25</f>
        <v>0</v>
      </c>
    </row>
    <row r="32" spans="1:25" s="867" customFormat="1" ht="12.75" customHeight="1" x14ac:dyDescent="0.25">
      <c r="A32" s="833" t="s">
        <v>830</v>
      </c>
      <c r="B32" s="836">
        <f>'G3 Input'!B26</f>
        <v>0</v>
      </c>
      <c r="C32" s="836">
        <f>'G3 Input'!C26</f>
        <v>0</v>
      </c>
      <c r="D32" s="836">
        <f>'G3 Input'!D26</f>
        <v>0</v>
      </c>
      <c r="E32" s="836">
        <f>'G3 Input'!E26</f>
        <v>0</v>
      </c>
      <c r="F32" s="836">
        <f>'G3 Input'!F26</f>
        <v>0</v>
      </c>
      <c r="G32" s="836">
        <f>'G3 Input'!G26</f>
        <v>0</v>
      </c>
      <c r="H32" s="836">
        <f>'G3 Input'!H26</f>
        <v>0</v>
      </c>
      <c r="I32" s="836">
        <f>'G3 Input'!I26</f>
        <v>0</v>
      </c>
      <c r="J32" s="836">
        <f>'G3 Input'!J26</f>
        <v>0</v>
      </c>
      <c r="K32" s="836">
        <f>'G3 Input'!K26</f>
        <v>0</v>
      </c>
      <c r="L32" s="836">
        <f>'G3 Input'!L26</f>
        <v>0</v>
      </c>
      <c r="M32" s="836">
        <f>'G3 Input'!M26</f>
        <v>0</v>
      </c>
      <c r="N32" s="836">
        <f>'G3 Input'!N26</f>
        <v>0</v>
      </c>
      <c r="O32" s="836">
        <f>'G3 Input'!O26</f>
        <v>0</v>
      </c>
      <c r="P32" s="836">
        <f>'G3 Input'!P26</f>
        <v>0</v>
      </c>
      <c r="Q32" s="836">
        <f>'G3 Input'!Q26</f>
        <v>0</v>
      </c>
      <c r="R32" s="836">
        <f>'G3 Input'!R26</f>
        <v>0</v>
      </c>
      <c r="S32" s="836">
        <f>'G3 Input'!S26</f>
        <v>0</v>
      </c>
      <c r="T32" s="836">
        <f>'G3 Input'!T26</f>
        <v>0</v>
      </c>
      <c r="U32" s="836">
        <f>'G3 Input'!U26</f>
        <v>0</v>
      </c>
    </row>
    <row r="33" spans="1:25" s="867" customFormat="1" ht="12.75" customHeight="1" x14ac:dyDescent="0.25">
      <c r="A33" s="833" t="s">
        <v>831</v>
      </c>
      <c r="B33" s="836">
        <f>'G3 Input'!B27</f>
        <v>0</v>
      </c>
      <c r="C33" s="836">
        <f>'G3 Input'!C27</f>
        <v>0</v>
      </c>
      <c r="D33" s="836">
        <f>'G3 Input'!D27</f>
        <v>0</v>
      </c>
      <c r="E33" s="836">
        <f>'G3 Input'!E27</f>
        <v>0</v>
      </c>
      <c r="F33" s="836">
        <f>'G3 Input'!F27</f>
        <v>0</v>
      </c>
      <c r="G33" s="836">
        <f>'G3 Input'!G27</f>
        <v>0</v>
      </c>
      <c r="H33" s="836">
        <f>'G3 Input'!H27</f>
        <v>0</v>
      </c>
      <c r="I33" s="836">
        <f>'G3 Input'!I27</f>
        <v>0</v>
      </c>
      <c r="J33" s="836">
        <f>'G3 Input'!J27</f>
        <v>0</v>
      </c>
      <c r="K33" s="836">
        <f>'G3 Input'!K27</f>
        <v>0</v>
      </c>
      <c r="L33" s="836">
        <f>'G3 Input'!L27</f>
        <v>0</v>
      </c>
      <c r="M33" s="836">
        <f>'G3 Input'!M27</f>
        <v>0</v>
      </c>
      <c r="N33" s="836">
        <f>'G3 Input'!N27</f>
        <v>0</v>
      </c>
      <c r="O33" s="836">
        <f>'G3 Input'!O27</f>
        <v>0</v>
      </c>
      <c r="P33" s="836">
        <f>'G3 Input'!P27</f>
        <v>0</v>
      </c>
      <c r="Q33" s="836">
        <f>'G3 Input'!Q27</f>
        <v>0</v>
      </c>
      <c r="R33" s="836">
        <f>'G3 Input'!R27</f>
        <v>0</v>
      </c>
      <c r="S33" s="836">
        <f>'G3 Input'!S27</f>
        <v>0</v>
      </c>
      <c r="T33" s="836">
        <f>'G3 Input'!T27</f>
        <v>0</v>
      </c>
      <c r="U33" s="836">
        <f>'G3 Input'!U27</f>
        <v>0</v>
      </c>
    </row>
    <row r="34" spans="1:25" s="863" customFormat="1" ht="12.75" customHeight="1" x14ac:dyDescent="0.25">
      <c r="A34" s="861" t="s">
        <v>704</v>
      </c>
      <c r="B34" s="862">
        <f t="shared" ref="B34:U34" si="3">B24-B31+B32+B33</f>
        <v>0</v>
      </c>
      <c r="C34" s="862">
        <f t="shared" si="3"/>
        <v>0</v>
      </c>
      <c r="D34" s="862">
        <f t="shared" si="3"/>
        <v>0</v>
      </c>
      <c r="E34" s="862">
        <f t="shared" si="3"/>
        <v>0</v>
      </c>
      <c r="F34" s="862">
        <f t="shared" si="3"/>
        <v>0</v>
      </c>
      <c r="G34" s="862">
        <f t="shared" si="3"/>
        <v>0</v>
      </c>
      <c r="H34" s="862">
        <f t="shared" si="3"/>
        <v>0</v>
      </c>
      <c r="I34" s="862">
        <f t="shared" si="3"/>
        <v>0</v>
      </c>
      <c r="J34" s="862">
        <f t="shared" si="3"/>
        <v>0</v>
      </c>
      <c r="K34" s="862">
        <f t="shared" si="3"/>
        <v>0</v>
      </c>
      <c r="L34" s="862">
        <f t="shared" si="3"/>
        <v>0</v>
      </c>
      <c r="M34" s="862">
        <f t="shared" si="3"/>
        <v>0</v>
      </c>
      <c r="N34" s="862">
        <f t="shared" si="3"/>
        <v>0</v>
      </c>
      <c r="O34" s="862">
        <f t="shared" si="3"/>
        <v>0</v>
      </c>
      <c r="P34" s="862">
        <f t="shared" si="3"/>
        <v>0</v>
      </c>
      <c r="Q34" s="862">
        <f t="shared" si="3"/>
        <v>0</v>
      </c>
      <c r="R34" s="862">
        <f t="shared" si="3"/>
        <v>0</v>
      </c>
      <c r="S34" s="862">
        <f t="shared" si="3"/>
        <v>0</v>
      </c>
      <c r="T34" s="862">
        <f t="shared" si="3"/>
        <v>0</v>
      </c>
      <c r="U34" s="862">
        <f t="shared" si="3"/>
        <v>0</v>
      </c>
    </row>
    <row r="35" spans="1:25" s="869" customFormat="1" ht="12" customHeight="1" x14ac:dyDescent="0.25">
      <c r="A35" s="868" t="s">
        <v>905</v>
      </c>
      <c r="B35" s="852">
        <f t="shared" ref="B35:U35" si="4">IF(ISERROR(B34/B24),0,B34/B24)</f>
        <v>0</v>
      </c>
      <c r="C35" s="852">
        <f t="shared" si="4"/>
        <v>0</v>
      </c>
      <c r="D35" s="852">
        <f t="shared" si="4"/>
        <v>0</v>
      </c>
      <c r="E35" s="852">
        <f t="shared" si="4"/>
        <v>0</v>
      </c>
      <c r="F35" s="852">
        <f t="shared" si="4"/>
        <v>0</v>
      </c>
      <c r="G35" s="852">
        <f t="shared" si="4"/>
        <v>0</v>
      </c>
      <c r="H35" s="852">
        <f t="shared" si="4"/>
        <v>0</v>
      </c>
      <c r="I35" s="852">
        <f t="shared" si="4"/>
        <v>0</v>
      </c>
      <c r="J35" s="852">
        <f t="shared" si="4"/>
        <v>0</v>
      </c>
      <c r="K35" s="852">
        <f t="shared" si="4"/>
        <v>0</v>
      </c>
      <c r="L35" s="852">
        <f t="shared" si="4"/>
        <v>0</v>
      </c>
      <c r="M35" s="852">
        <f t="shared" si="4"/>
        <v>0</v>
      </c>
      <c r="N35" s="852">
        <f t="shared" si="4"/>
        <v>0</v>
      </c>
      <c r="O35" s="852">
        <f t="shared" si="4"/>
        <v>0</v>
      </c>
      <c r="P35" s="852">
        <f t="shared" si="4"/>
        <v>0</v>
      </c>
      <c r="Q35" s="852">
        <f t="shared" si="4"/>
        <v>0</v>
      </c>
      <c r="R35" s="852">
        <f t="shared" si="4"/>
        <v>0</v>
      </c>
      <c r="S35" s="852">
        <f t="shared" si="4"/>
        <v>0</v>
      </c>
      <c r="T35" s="852">
        <f t="shared" si="4"/>
        <v>0</v>
      </c>
      <c r="U35" s="852">
        <f t="shared" si="4"/>
        <v>0</v>
      </c>
    </row>
    <row r="36" spans="1:25" s="863" customFormat="1" ht="12.75" customHeight="1" x14ac:dyDescent="0.25">
      <c r="A36" s="833"/>
      <c r="B36" s="870"/>
      <c r="C36" s="870"/>
      <c r="D36" s="870"/>
      <c r="E36" s="870"/>
      <c r="F36" s="870"/>
      <c r="G36" s="870"/>
      <c r="H36" s="870"/>
      <c r="I36" s="870"/>
      <c r="J36" s="870"/>
      <c r="K36" s="870"/>
      <c r="L36" s="870"/>
      <c r="M36" s="870"/>
      <c r="N36" s="870"/>
      <c r="O36" s="870"/>
      <c r="P36" s="870"/>
      <c r="Q36" s="870"/>
      <c r="R36" s="870"/>
      <c r="S36" s="870"/>
      <c r="T36" s="870"/>
      <c r="U36" s="871"/>
    </row>
    <row r="37" spans="1:25" s="801" customFormat="1" x14ac:dyDescent="0.25">
      <c r="A37" s="855" t="s">
        <v>766</v>
      </c>
      <c r="B37" s="864"/>
      <c r="C37" s="865"/>
      <c r="D37" s="865"/>
      <c r="E37" s="865"/>
      <c r="F37" s="865"/>
      <c r="G37" s="865"/>
      <c r="H37" s="865"/>
      <c r="I37" s="865"/>
      <c r="J37" s="865"/>
      <c r="K37" s="865"/>
      <c r="L37" s="865"/>
      <c r="M37" s="865"/>
      <c r="N37" s="865"/>
      <c r="O37" s="865"/>
      <c r="P37" s="865"/>
      <c r="Q37" s="865"/>
      <c r="R37" s="865"/>
      <c r="S37" s="865"/>
      <c r="T37" s="865"/>
      <c r="U37" s="866"/>
    </row>
    <row r="38" spans="1:25" s="863" customFormat="1" ht="12.75" customHeight="1" x14ac:dyDescent="0.25">
      <c r="A38" s="872" t="s">
        <v>446</v>
      </c>
      <c r="B38" s="829">
        <f t="shared" ref="B38:U38" si="5">SUM(B39:B41)</f>
        <v>0</v>
      </c>
      <c r="C38" s="829">
        <f t="shared" si="5"/>
        <v>0</v>
      </c>
      <c r="D38" s="829">
        <f t="shared" si="5"/>
        <v>0</v>
      </c>
      <c r="E38" s="829">
        <f t="shared" si="5"/>
        <v>0</v>
      </c>
      <c r="F38" s="829">
        <f t="shared" si="5"/>
        <v>0</v>
      </c>
      <c r="G38" s="829">
        <f t="shared" si="5"/>
        <v>0</v>
      </c>
      <c r="H38" s="829">
        <f t="shared" si="5"/>
        <v>0</v>
      </c>
      <c r="I38" s="829">
        <f t="shared" si="5"/>
        <v>0</v>
      </c>
      <c r="J38" s="829">
        <f t="shared" si="5"/>
        <v>0</v>
      </c>
      <c r="K38" s="829">
        <f t="shared" si="5"/>
        <v>0</v>
      </c>
      <c r="L38" s="829">
        <f t="shared" si="5"/>
        <v>0</v>
      </c>
      <c r="M38" s="829">
        <f t="shared" si="5"/>
        <v>0</v>
      </c>
      <c r="N38" s="829">
        <f t="shared" si="5"/>
        <v>0</v>
      </c>
      <c r="O38" s="829">
        <f t="shared" si="5"/>
        <v>0</v>
      </c>
      <c r="P38" s="829">
        <f t="shared" si="5"/>
        <v>0</v>
      </c>
      <c r="Q38" s="829">
        <f t="shared" si="5"/>
        <v>0</v>
      </c>
      <c r="R38" s="829">
        <f t="shared" si="5"/>
        <v>0</v>
      </c>
      <c r="S38" s="829">
        <f t="shared" si="5"/>
        <v>0</v>
      </c>
      <c r="T38" s="829">
        <f t="shared" si="5"/>
        <v>0</v>
      </c>
      <c r="U38" s="829">
        <f t="shared" si="5"/>
        <v>0</v>
      </c>
    </row>
    <row r="39" spans="1:25" s="873" customFormat="1" ht="12.75" customHeight="1" x14ac:dyDescent="0.25">
      <c r="A39" s="872" t="s">
        <v>906</v>
      </c>
      <c r="B39" s="829">
        <f>'G3 Input'!B9</f>
        <v>0</v>
      </c>
      <c r="C39" s="829">
        <f>'G3 Input'!C9</f>
        <v>0</v>
      </c>
      <c r="D39" s="829">
        <f>'G3 Input'!D9</f>
        <v>0</v>
      </c>
      <c r="E39" s="829">
        <f>'G3 Input'!E9</f>
        <v>0</v>
      </c>
      <c r="F39" s="829">
        <f>'G3 Input'!F9</f>
        <v>0</v>
      </c>
      <c r="G39" s="829">
        <f>'G3 Input'!G9</f>
        <v>0</v>
      </c>
      <c r="H39" s="829">
        <f>'G3 Input'!H9</f>
        <v>0</v>
      </c>
      <c r="I39" s="829">
        <f>'G3 Input'!I9</f>
        <v>0</v>
      </c>
      <c r="J39" s="829">
        <f>'G3 Input'!J9</f>
        <v>0</v>
      </c>
      <c r="K39" s="829">
        <f>'G3 Input'!K9</f>
        <v>0</v>
      </c>
      <c r="L39" s="829">
        <f>'G3 Input'!L9</f>
        <v>0</v>
      </c>
      <c r="M39" s="829">
        <f>'G3 Input'!M9</f>
        <v>0</v>
      </c>
      <c r="N39" s="829">
        <f>'G3 Input'!N9</f>
        <v>0</v>
      </c>
      <c r="O39" s="829">
        <f>'G3 Input'!O9</f>
        <v>0</v>
      </c>
      <c r="P39" s="829">
        <f>'G3 Input'!P9</f>
        <v>0</v>
      </c>
      <c r="Q39" s="829">
        <f>'G3 Input'!Q9</f>
        <v>0</v>
      </c>
      <c r="R39" s="829">
        <f>'G3 Input'!R9</f>
        <v>0</v>
      </c>
      <c r="S39" s="829">
        <f>'G3 Input'!S9</f>
        <v>0</v>
      </c>
      <c r="T39" s="829">
        <f>'G3 Input'!T9</f>
        <v>0</v>
      </c>
      <c r="U39" s="829">
        <f>'G3 Input'!U9</f>
        <v>0</v>
      </c>
    </row>
    <row r="40" spans="1:25" s="873" customFormat="1" ht="12.75" customHeight="1" x14ac:dyDescent="0.25">
      <c r="A40" s="872" t="s">
        <v>907</v>
      </c>
      <c r="B40" s="829">
        <f>'G3 Input'!B10</f>
        <v>0</v>
      </c>
      <c r="C40" s="829">
        <f>'G3 Input'!C10</f>
        <v>0</v>
      </c>
      <c r="D40" s="829">
        <f>'G3 Input'!D10</f>
        <v>0</v>
      </c>
      <c r="E40" s="829">
        <f>'G3 Input'!E10</f>
        <v>0</v>
      </c>
      <c r="F40" s="829">
        <f>'G3 Input'!F10</f>
        <v>0</v>
      </c>
      <c r="G40" s="829">
        <f>'G3 Input'!G10</f>
        <v>0</v>
      </c>
      <c r="H40" s="829">
        <f>'G3 Input'!H10</f>
        <v>0</v>
      </c>
      <c r="I40" s="829">
        <f>'G3 Input'!I10</f>
        <v>0</v>
      </c>
      <c r="J40" s="829">
        <f>'G3 Input'!J10</f>
        <v>0</v>
      </c>
      <c r="K40" s="829">
        <f>'G3 Input'!K10</f>
        <v>0</v>
      </c>
      <c r="L40" s="829">
        <f>'G3 Input'!L10</f>
        <v>0</v>
      </c>
      <c r="M40" s="829">
        <f>'G3 Input'!M10</f>
        <v>0</v>
      </c>
      <c r="N40" s="829">
        <f>'G3 Input'!N10</f>
        <v>0</v>
      </c>
      <c r="O40" s="829">
        <f>'G3 Input'!O10</f>
        <v>0</v>
      </c>
      <c r="P40" s="829">
        <f>'G3 Input'!P10</f>
        <v>0</v>
      </c>
      <c r="Q40" s="829">
        <f>'G3 Input'!Q10</f>
        <v>0</v>
      </c>
      <c r="R40" s="829">
        <f>'G3 Input'!R10</f>
        <v>0</v>
      </c>
      <c r="S40" s="829">
        <f>'G3 Input'!S10</f>
        <v>0</v>
      </c>
      <c r="T40" s="829">
        <f>'G3 Input'!T10</f>
        <v>0</v>
      </c>
      <c r="U40" s="829">
        <f>'G3 Input'!U10</f>
        <v>0</v>
      </c>
    </row>
    <row r="41" spans="1:25" s="873" customFormat="1" ht="12.75" customHeight="1" x14ac:dyDescent="0.25">
      <c r="A41" s="872" t="s">
        <v>908</v>
      </c>
      <c r="B41" s="829">
        <f>'G3 Input'!B29</f>
        <v>0</v>
      </c>
      <c r="C41" s="829">
        <f>'G3 Input'!C29</f>
        <v>0</v>
      </c>
      <c r="D41" s="829">
        <f>'G3 Input'!D29</f>
        <v>0</v>
      </c>
      <c r="E41" s="829">
        <f>'G3 Input'!E29</f>
        <v>0</v>
      </c>
      <c r="F41" s="829">
        <f>'G3 Input'!F29</f>
        <v>0</v>
      </c>
      <c r="G41" s="829">
        <f>'G3 Input'!G29</f>
        <v>0</v>
      </c>
      <c r="H41" s="829">
        <f>'G3 Input'!H29</f>
        <v>0</v>
      </c>
      <c r="I41" s="829">
        <f>'G3 Input'!I29</f>
        <v>0</v>
      </c>
      <c r="J41" s="829">
        <f>'G3 Input'!J29</f>
        <v>0</v>
      </c>
      <c r="K41" s="829">
        <f>'G3 Input'!K29</f>
        <v>0</v>
      </c>
      <c r="L41" s="829">
        <f>'G3 Input'!L29</f>
        <v>0</v>
      </c>
      <c r="M41" s="829">
        <f>'G3 Input'!M29</f>
        <v>0</v>
      </c>
      <c r="N41" s="829">
        <f>'G3 Input'!N29</f>
        <v>0</v>
      </c>
      <c r="O41" s="829">
        <f>'G3 Input'!O29</f>
        <v>0</v>
      </c>
      <c r="P41" s="829">
        <f>'G3 Input'!P29</f>
        <v>0</v>
      </c>
      <c r="Q41" s="829">
        <f>'G3 Input'!Q29</f>
        <v>0</v>
      </c>
      <c r="R41" s="829">
        <f>'G3 Input'!R29</f>
        <v>0</v>
      </c>
      <c r="S41" s="829">
        <f>'G3 Input'!S29</f>
        <v>0</v>
      </c>
      <c r="T41" s="829">
        <f>'G3 Input'!T29</f>
        <v>0</v>
      </c>
      <c r="U41" s="829">
        <f>'G3 Input'!U29</f>
        <v>0</v>
      </c>
    </row>
    <row r="42" spans="1:25" s="869" customFormat="1" ht="12" customHeight="1" x14ac:dyDescent="0.25">
      <c r="A42" s="868" t="s">
        <v>909</v>
      </c>
      <c r="B42" s="852">
        <f t="shared" ref="B42:U42" si="6">IF(ISERROR(B40/B24),0,B40/B24)</f>
        <v>0</v>
      </c>
      <c r="C42" s="852">
        <f t="shared" si="6"/>
        <v>0</v>
      </c>
      <c r="D42" s="852">
        <f t="shared" si="6"/>
        <v>0</v>
      </c>
      <c r="E42" s="852">
        <f t="shared" si="6"/>
        <v>0</v>
      </c>
      <c r="F42" s="852">
        <f t="shared" si="6"/>
        <v>0</v>
      </c>
      <c r="G42" s="852">
        <f t="shared" si="6"/>
        <v>0</v>
      </c>
      <c r="H42" s="852">
        <f t="shared" si="6"/>
        <v>0</v>
      </c>
      <c r="I42" s="852">
        <f t="shared" si="6"/>
        <v>0</v>
      </c>
      <c r="J42" s="852">
        <f t="shared" si="6"/>
        <v>0</v>
      </c>
      <c r="K42" s="852">
        <f t="shared" si="6"/>
        <v>0</v>
      </c>
      <c r="L42" s="852">
        <f t="shared" si="6"/>
        <v>0</v>
      </c>
      <c r="M42" s="852">
        <f t="shared" si="6"/>
        <v>0</v>
      </c>
      <c r="N42" s="852">
        <f t="shared" si="6"/>
        <v>0</v>
      </c>
      <c r="O42" s="852">
        <f t="shared" si="6"/>
        <v>0</v>
      </c>
      <c r="P42" s="852">
        <f t="shared" si="6"/>
        <v>0</v>
      </c>
      <c r="Q42" s="852">
        <f t="shared" si="6"/>
        <v>0</v>
      </c>
      <c r="R42" s="852">
        <f t="shared" si="6"/>
        <v>0</v>
      </c>
      <c r="S42" s="852">
        <f t="shared" si="6"/>
        <v>0</v>
      </c>
      <c r="T42" s="852">
        <f t="shared" si="6"/>
        <v>0</v>
      </c>
      <c r="U42" s="852">
        <f t="shared" si="6"/>
        <v>0</v>
      </c>
    </row>
    <row r="43" spans="1:25" s="863" customFormat="1" ht="12.75" customHeight="1" x14ac:dyDescent="0.25">
      <c r="A43" s="872" t="s">
        <v>415</v>
      </c>
      <c r="B43" s="829">
        <f t="shared" ref="B43:U43" si="7">SUM(B44:B45)</f>
        <v>0</v>
      </c>
      <c r="C43" s="829">
        <f t="shared" si="7"/>
        <v>0</v>
      </c>
      <c r="D43" s="829">
        <f t="shared" si="7"/>
        <v>0</v>
      </c>
      <c r="E43" s="829">
        <f t="shared" si="7"/>
        <v>0</v>
      </c>
      <c r="F43" s="829">
        <f t="shared" si="7"/>
        <v>0</v>
      </c>
      <c r="G43" s="829">
        <f t="shared" si="7"/>
        <v>0</v>
      </c>
      <c r="H43" s="829">
        <f t="shared" si="7"/>
        <v>0</v>
      </c>
      <c r="I43" s="829">
        <f t="shared" si="7"/>
        <v>0</v>
      </c>
      <c r="J43" s="829">
        <f t="shared" si="7"/>
        <v>0</v>
      </c>
      <c r="K43" s="829">
        <f t="shared" si="7"/>
        <v>0</v>
      </c>
      <c r="L43" s="829">
        <f t="shared" si="7"/>
        <v>0</v>
      </c>
      <c r="M43" s="829">
        <f t="shared" si="7"/>
        <v>0</v>
      </c>
      <c r="N43" s="829">
        <f t="shared" si="7"/>
        <v>0</v>
      </c>
      <c r="O43" s="829">
        <f t="shared" si="7"/>
        <v>0</v>
      </c>
      <c r="P43" s="829">
        <f t="shared" si="7"/>
        <v>0</v>
      </c>
      <c r="Q43" s="829">
        <f t="shared" si="7"/>
        <v>0</v>
      </c>
      <c r="R43" s="829">
        <f t="shared" si="7"/>
        <v>0</v>
      </c>
      <c r="S43" s="829">
        <f t="shared" si="7"/>
        <v>0</v>
      </c>
      <c r="T43" s="829">
        <f t="shared" si="7"/>
        <v>0</v>
      </c>
      <c r="U43" s="829">
        <f t="shared" si="7"/>
        <v>0</v>
      </c>
    </row>
    <row r="44" spans="1:25" s="863" customFormat="1" ht="12.75" customHeight="1" x14ac:dyDescent="0.25">
      <c r="A44" s="872" t="s">
        <v>910</v>
      </c>
      <c r="B44" s="829">
        <f>'G3 Input'!B11+'G3 Input'!B30</f>
        <v>0</v>
      </c>
      <c r="C44" s="829">
        <f>'G3 Input'!C11+'G3 Input'!C30</f>
        <v>0</v>
      </c>
      <c r="D44" s="829">
        <f>'G3 Input'!D11+'G3 Input'!D30</f>
        <v>0</v>
      </c>
      <c r="E44" s="829">
        <f>'G3 Input'!E11+'G3 Input'!E30</f>
        <v>0</v>
      </c>
      <c r="F44" s="829">
        <f>'G3 Input'!F11+'G3 Input'!F30</f>
        <v>0</v>
      </c>
      <c r="G44" s="829">
        <f>'G3 Input'!G11+'G3 Input'!G30</f>
        <v>0</v>
      </c>
      <c r="H44" s="829">
        <f>'G3 Input'!H11+'G3 Input'!H30</f>
        <v>0</v>
      </c>
      <c r="I44" s="829">
        <f>'G3 Input'!I11+'G3 Input'!I30</f>
        <v>0</v>
      </c>
      <c r="J44" s="829">
        <f>'G3 Input'!J11+'G3 Input'!J30</f>
        <v>0</v>
      </c>
      <c r="K44" s="829">
        <f>'G3 Input'!K11+'G3 Input'!K30</f>
        <v>0</v>
      </c>
      <c r="L44" s="829">
        <f>'G3 Input'!L11+'G3 Input'!L30</f>
        <v>0</v>
      </c>
      <c r="M44" s="829">
        <f>'G3 Input'!M11+'G3 Input'!M30</f>
        <v>0</v>
      </c>
      <c r="N44" s="829">
        <f>'G3 Input'!N11+'G3 Input'!N30</f>
        <v>0</v>
      </c>
      <c r="O44" s="829">
        <f>'G3 Input'!O11+'G3 Input'!O30</f>
        <v>0</v>
      </c>
      <c r="P44" s="829">
        <f>'G3 Input'!P11+'G3 Input'!P30</f>
        <v>0</v>
      </c>
      <c r="Q44" s="829">
        <f>'G3 Input'!Q11+'G3 Input'!Q30</f>
        <v>0</v>
      </c>
      <c r="R44" s="829">
        <f>'G3 Input'!R11+'G3 Input'!R30</f>
        <v>0</v>
      </c>
      <c r="S44" s="829">
        <f>'G3 Input'!S11+'G3 Input'!S30</f>
        <v>0</v>
      </c>
      <c r="T44" s="829">
        <f>'G3 Input'!T11+'G3 Input'!T30</f>
        <v>0</v>
      </c>
      <c r="U44" s="829">
        <f>'G3 Input'!U11+'G3 Input'!U30</f>
        <v>0</v>
      </c>
    </row>
    <row r="45" spans="1:25" s="863" customFormat="1" ht="12.75" customHeight="1" x14ac:dyDescent="0.25">
      <c r="A45" s="872" t="s">
        <v>823</v>
      </c>
      <c r="B45" s="829">
        <f>'G3 Input'!B12+'G3 Input'!B31</f>
        <v>0</v>
      </c>
      <c r="C45" s="829">
        <f>'G3 Input'!C12+'G3 Input'!C31</f>
        <v>0</v>
      </c>
      <c r="D45" s="829">
        <f>'G3 Input'!D12+'G3 Input'!D31</f>
        <v>0</v>
      </c>
      <c r="E45" s="829">
        <f>'G3 Input'!E12+'G3 Input'!E31</f>
        <v>0</v>
      </c>
      <c r="F45" s="829">
        <f>'G3 Input'!F12+'G3 Input'!F31</f>
        <v>0</v>
      </c>
      <c r="G45" s="829">
        <f>'G3 Input'!G12+'G3 Input'!G31</f>
        <v>0</v>
      </c>
      <c r="H45" s="829">
        <f>'G3 Input'!H12+'G3 Input'!H31</f>
        <v>0</v>
      </c>
      <c r="I45" s="829">
        <f>'G3 Input'!I12+'G3 Input'!I31</f>
        <v>0</v>
      </c>
      <c r="J45" s="829">
        <f>'G3 Input'!J12+'G3 Input'!J31</f>
        <v>0</v>
      </c>
      <c r="K45" s="829">
        <f>'G3 Input'!K12+'G3 Input'!K31</f>
        <v>0</v>
      </c>
      <c r="L45" s="829">
        <f>'G3 Input'!L12+'G3 Input'!L31</f>
        <v>0</v>
      </c>
      <c r="M45" s="829">
        <f>'G3 Input'!M12+'G3 Input'!M31</f>
        <v>0</v>
      </c>
      <c r="N45" s="829">
        <f>'G3 Input'!N12+'G3 Input'!N31</f>
        <v>0</v>
      </c>
      <c r="O45" s="829">
        <f>'G3 Input'!O12+'G3 Input'!O31</f>
        <v>0</v>
      </c>
      <c r="P45" s="829">
        <f>'G3 Input'!P12+'G3 Input'!P31</f>
        <v>0</v>
      </c>
      <c r="Q45" s="829">
        <f>'G3 Input'!Q12+'G3 Input'!Q31</f>
        <v>0</v>
      </c>
      <c r="R45" s="829">
        <f>'G3 Input'!R12+'G3 Input'!R31</f>
        <v>0</v>
      </c>
      <c r="S45" s="829">
        <f>'G3 Input'!S12+'G3 Input'!S31</f>
        <v>0</v>
      </c>
      <c r="T45" s="829">
        <f>'G3 Input'!T12+'G3 Input'!T31</f>
        <v>0</v>
      </c>
      <c r="U45" s="829">
        <f>'G3 Input'!U12+'G3 Input'!U31</f>
        <v>0</v>
      </c>
    </row>
    <row r="46" spans="1:25" s="869" customFormat="1" ht="12" customHeight="1" x14ac:dyDescent="0.25">
      <c r="A46" s="868" t="s">
        <v>911</v>
      </c>
      <c r="B46" s="852">
        <f t="shared" ref="B46:U46" si="8">IF(ISERROR(B43/B24),0,B43/B24)</f>
        <v>0</v>
      </c>
      <c r="C46" s="852">
        <f t="shared" si="8"/>
        <v>0</v>
      </c>
      <c r="D46" s="852">
        <f t="shared" si="8"/>
        <v>0</v>
      </c>
      <c r="E46" s="852">
        <f t="shared" si="8"/>
        <v>0</v>
      </c>
      <c r="F46" s="852">
        <f t="shared" si="8"/>
        <v>0</v>
      </c>
      <c r="G46" s="852">
        <f t="shared" si="8"/>
        <v>0</v>
      </c>
      <c r="H46" s="852">
        <f t="shared" si="8"/>
        <v>0</v>
      </c>
      <c r="I46" s="852">
        <f t="shared" si="8"/>
        <v>0</v>
      </c>
      <c r="J46" s="852">
        <f t="shared" si="8"/>
        <v>0</v>
      </c>
      <c r="K46" s="852">
        <f t="shared" si="8"/>
        <v>0</v>
      </c>
      <c r="L46" s="852">
        <f t="shared" si="8"/>
        <v>0</v>
      </c>
      <c r="M46" s="852">
        <f t="shared" si="8"/>
        <v>0</v>
      </c>
      <c r="N46" s="852">
        <f t="shared" si="8"/>
        <v>0</v>
      </c>
      <c r="O46" s="852">
        <f t="shared" si="8"/>
        <v>0</v>
      </c>
      <c r="P46" s="852">
        <f t="shared" si="8"/>
        <v>0</v>
      </c>
      <c r="Q46" s="852">
        <f t="shared" si="8"/>
        <v>0</v>
      </c>
      <c r="R46" s="852">
        <f t="shared" si="8"/>
        <v>0</v>
      </c>
      <c r="S46" s="852">
        <f t="shared" si="8"/>
        <v>0</v>
      </c>
      <c r="T46" s="852">
        <f t="shared" si="8"/>
        <v>0</v>
      </c>
      <c r="U46" s="852">
        <f t="shared" si="8"/>
        <v>0</v>
      </c>
    </row>
    <row r="47" spans="1:25" s="863" customFormat="1" ht="12.75" customHeight="1" x14ac:dyDescent="0.25">
      <c r="A47" s="872" t="s">
        <v>835</v>
      </c>
      <c r="B47" s="829">
        <f>'G3 Input'!B32</f>
        <v>0</v>
      </c>
      <c r="C47" s="829">
        <f>'G3 Input'!C32</f>
        <v>0</v>
      </c>
      <c r="D47" s="829">
        <f>'G3 Input'!D32</f>
        <v>0</v>
      </c>
      <c r="E47" s="829">
        <f>'G3 Input'!E32</f>
        <v>0</v>
      </c>
      <c r="F47" s="829">
        <f>'G3 Input'!F32</f>
        <v>0</v>
      </c>
      <c r="G47" s="829">
        <f>'G3 Input'!G32</f>
        <v>0</v>
      </c>
      <c r="H47" s="829">
        <f>'G3 Input'!H32</f>
        <v>0</v>
      </c>
      <c r="I47" s="829">
        <f>'G3 Input'!I32</f>
        <v>0</v>
      </c>
      <c r="J47" s="829">
        <f>'G3 Input'!J32</f>
        <v>0</v>
      </c>
      <c r="K47" s="829">
        <f>'G3 Input'!K32</f>
        <v>0</v>
      </c>
      <c r="L47" s="829">
        <f>'G3 Input'!L32</f>
        <v>0</v>
      </c>
      <c r="M47" s="829">
        <f>'G3 Input'!M32</f>
        <v>0</v>
      </c>
      <c r="N47" s="829">
        <f>'G3 Input'!N32</f>
        <v>0</v>
      </c>
      <c r="O47" s="829">
        <f>'G3 Input'!O32</f>
        <v>0</v>
      </c>
      <c r="P47" s="829">
        <f>'G3 Input'!P32</f>
        <v>0</v>
      </c>
      <c r="Q47" s="829">
        <f>'G3 Input'!Q32</f>
        <v>0</v>
      </c>
      <c r="R47" s="829">
        <f>'G3 Input'!R32</f>
        <v>0</v>
      </c>
      <c r="S47" s="829">
        <f>'G3 Input'!S32</f>
        <v>0</v>
      </c>
      <c r="T47" s="829">
        <f>'G3 Input'!T32</f>
        <v>0</v>
      </c>
      <c r="U47" s="829">
        <f>'G3 Input'!U32</f>
        <v>0</v>
      </c>
    </row>
    <row r="48" spans="1:25" s="875" customFormat="1" ht="13.65" customHeight="1" x14ac:dyDescent="0.25">
      <c r="A48" s="874" t="s">
        <v>660</v>
      </c>
      <c r="B48" s="862">
        <f t="shared" ref="B48:U48" si="9">B34-B38-B43+B47</f>
        <v>0</v>
      </c>
      <c r="C48" s="862">
        <f t="shared" si="9"/>
        <v>0</v>
      </c>
      <c r="D48" s="862">
        <f t="shared" si="9"/>
        <v>0</v>
      </c>
      <c r="E48" s="862">
        <f t="shared" si="9"/>
        <v>0</v>
      </c>
      <c r="F48" s="862">
        <f t="shared" si="9"/>
        <v>0</v>
      </c>
      <c r="G48" s="862">
        <f t="shared" si="9"/>
        <v>0</v>
      </c>
      <c r="H48" s="862">
        <f t="shared" si="9"/>
        <v>0</v>
      </c>
      <c r="I48" s="862">
        <f t="shared" si="9"/>
        <v>0</v>
      </c>
      <c r="J48" s="862">
        <f t="shared" si="9"/>
        <v>0</v>
      </c>
      <c r="K48" s="862">
        <f t="shared" si="9"/>
        <v>0</v>
      </c>
      <c r="L48" s="862">
        <f t="shared" si="9"/>
        <v>0</v>
      </c>
      <c r="M48" s="862">
        <f t="shared" si="9"/>
        <v>0</v>
      </c>
      <c r="N48" s="862">
        <f t="shared" si="9"/>
        <v>0</v>
      </c>
      <c r="O48" s="862">
        <f t="shared" si="9"/>
        <v>0</v>
      </c>
      <c r="P48" s="862">
        <f t="shared" si="9"/>
        <v>0</v>
      </c>
      <c r="Q48" s="862">
        <f t="shared" si="9"/>
        <v>0</v>
      </c>
      <c r="R48" s="862">
        <f t="shared" si="9"/>
        <v>0</v>
      </c>
      <c r="S48" s="862">
        <f t="shared" si="9"/>
        <v>0</v>
      </c>
      <c r="T48" s="862">
        <f t="shared" si="9"/>
        <v>0</v>
      </c>
      <c r="U48" s="862">
        <f t="shared" si="9"/>
        <v>0</v>
      </c>
      <c r="W48" s="876"/>
      <c r="X48" s="876"/>
      <c r="Y48" s="876"/>
    </row>
    <row r="49" spans="1:21" s="867" customFormat="1" ht="12.75" customHeight="1" x14ac:dyDescent="0.25">
      <c r="A49" s="877"/>
      <c r="B49" s="878"/>
      <c r="C49" s="878"/>
      <c r="D49" s="878"/>
      <c r="E49" s="878"/>
      <c r="F49" s="879"/>
      <c r="G49" s="879"/>
      <c r="H49" s="879"/>
      <c r="I49" s="879"/>
      <c r="J49" s="879"/>
      <c r="K49" s="879"/>
      <c r="L49" s="879"/>
      <c r="M49" s="879"/>
      <c r="N49" s="879"/>
      <c r="O49" s="879"/>
      <c r="P49" s="879"/>
      <c r="Q49" s="879"/>
      <c r="R49" s="879"/>
      <c r="S49" s="879"/>
      <c r="T49" s="879"/>
      <c r="U49" s="879"/>
    </row>
    <row r="50" spans="1:21" s="867" customFormat="1" x14ac:dyDescent="0.25">
      <c r="A50" s="819" t="s">
        <v>912</v>
      </c>
      <c r="B50" s="880"/>
      <c r="C50" s="880"/>
      <c r="D50" s="880"/>
      <c r="E50" s="880"/>
      <c r="F50" s="880"/>
      <c r="G50" s="880"/>
      <c r="H50" s="880"/>
      <c r="I50" s="880"/>
      <c r="J50" s="880"/>
      <c r="K50" s="880"/>
      <c r="L50" s="880"/>
      <c r="M50" s="880"/>
      <c r="N50" s="880"/>
      <c r="O50" s="880"/>
      <c r="P50" s="880"/>
      <c r="Q50" s="880"/>
      <c r="R50" s="880"/>
      <c r="S50" s="880"/>
      <c r="T50" s="880"/>
      <c r="U50" s="880"/>
    </row>
    <row r="51" spans="1:21" s="863" customFormat="1" ht="12.75" customHeight="1" x14ac:dyDescent="0.25">
      <c r="A51" s="861" t="s">
        <v>674</v>
      </c>
      <c r="B51" s="862">
        <f t="shared" ref="B51:U51" si="10">B48*(1-$F$7)</f>
        <v>0</v>
      </c>
      <c r="C51" s="862">
        <f t="shared" si="10"/>
        <v>0</v>
      </c>
      <c r="D51" s="862">
        <f t="shared" si="10"/>
        <v>0</v>
      </c>
      <c r="E51" s="862">
        <f t="shared" si="10"/>
        <v>0</v>
      </c>
      <c r="F51" s="862">
        <f t="shared" si="10"/>
        <v>0</v>
      </c>
      <c r="G51" s="862">
        <f t="shared" si="10"/>
        <v>0</v>
      </c>
      <c r="H51" s="862">
        <f t="shared" si="10"/>
        <v>0</v>
      </c>
      <c r="I51" s="862">
        <f t="shared" si="10"/>
        <v>0</v>
      </c>
      <c r="J51" s="862">
        <f t="shared" si="10"/>
        <v>0</v>
      </c>
      <c r="K51" s="862">
        <f t="shared" si="10"/>
        <v>0</v>
      </c>
      <c r="L51" s="862">
        <f t="shared" si="10"/>
        <v>0</v>
      </c>
      <c r="M51" s="862">
        <f t="shared" si="10"/>
        <v>0</v>
      </c>
      <c r="N51" s="862">
        <f t="shared" si="10"/>
        <v>0</v>
      </c>
      <c r="O51" s="862">
        <f t="shared" si="10"/>
        <v>0</v>
      </c>
      <c r="P51" s="862">
        <f t="shared" si="10"/>
        <v>0</v>
      </c>
      <c r="Q51" s="862">
        <f t="shared" si="10"/>
        <v>0</v>
      </c>
      <c r="R51" s="862">
        <f t="shared" si="10"/>
        <v>0</v>
      </c>
      <c r="S51" s="862">
        <f t="shared" si="10"/>
        <v>0</v>
      </c>
      <c r="T51" s="862">
        <f t="shared" si="10"/>
        <v>0</v>
      </c>
      <c r="U51" s="862">
        <f t="shared" si="10"/>
        <v>0</v>
      </c>
    </row>
    <row r="52" spans="1:21" s="863" customFormat="1" ht="12.75" customHeight="1" x14ac:dyDescent="0.25">
      <c r="A52" s="872" t="s">
        <v>782</v>
      </c>
      <c r="B52" s="836">
        <f>'G3 Input'!B13+'G3 Input'!B34</f>
        <v>0</v>
      </c>
      <c r="C52" s="836">
        <f>'G3 Input'!C13+'G3 Input'!C34</f>
        <v>0</v>
      </c>
      <c r="D52" s="836">
        <f>'G3 Input'!D13+'G3 Input'!D34</f>
        <v>0</v>
      </c>
      <c r="E52" s="836">
        <f>'G3 Input'!E13+'G3 Input'!E34</f>
        <v>0</v>
      </c>
      <c r="F52" s="836">
        <f>'G3 Input'!F13+'G3 Input'!F34</f>
        <v>0</v>
      </c>
      <c r="G52" s="836">
        <f>'G3 Input'!G13+'G3 Input'!G34</f>
        <v>0</v>
      </c>
      <c r="H52" s="836">
        <f>'G3 Input'!H13+'G3 Input'!H34</f>
        <v>0</v>
      </c>
      <c r="I52" s="836">
        <f>'G3 Input'!I13+'G3 Input'!I34</f>
        <v>0</v>
      </c>
      <c r="J52" s="836">
        <f>'G3 Input'!J13+'G3 Input'!J34</f>
        <v>0</v>
      </c>
      <c r="K52" s="836">
        <f>'G3 Input'!K13+'G3 Input'!K34</f>
        <v>0</v>
      </c>
      <c r="L52" s="836">
        <f>'G3 Input'!L13+'G3 Input'!L34</f>
        <v>0</v>
      </c>
      <c r="M52" s="836">
        <f>'G3 Input'!M13+'G3 Input'!M34</f>
        <v>0</v>
      </c>
      <c r="N52" s="836">
        <f>'G3 Input'!N13+'G3 Input'!N34</f>
        <v>0</v>
      </c>
      <c r="O52" s="836">
        <f>'G3 Input'!O13+'G3 Input'!O34</f>
        <v>0</v>
      </c>
      <c r="P52" s="836">
        <f>'G3 Input'!P13+'G3 Input'!P34</f>
        <v>0</v>
      </c>
      <c r="Q52" s="836">
        <f>'G3 Input'!Q13+'G3 Input'!Q34</f>
        <v>0</v>
      </c>
      <c r="R52" s="836">
        <f>'G3 Input'!R13+'G3 Input'!R34</f>
        <v>0</v>
      </c>
      <c r="S52" s="836">
        <f>'G3 Input'!S13+'G3 Input'!S34</f>
        <v>0</v>
      </c>
      <c r="T52" s="836">
        <f>'G3 Input'!T13+'G3 Input'!T34</f>
        <v>0</v>
      </c>
      <c r="U52" s="836">
        <f>'G3 Input'!U13+'G3 Input'!U34</f>
        <v>0</v>
      </c>
    </row>
    <row r="53" spans="1:21" s="863" customFormat="1" ht="12.75" customHeight="1" x14ac:dyDescent="0.25">
      <c r="A53" s="872" t="s">
        <v>837</v>
      </c>
      <c r="B53" s="836">
        <f>'G3 Input'!B35</f>
        <v>0</v>
      </c>
      <c r="C53" s="836">
        <f>'G3 Input'!C35</f>
        <v>0</v>
      </c>
      <c r="D53" s="836">
        <f>'G3 Input'!D35</f>
        <v>0</v>
      </c>
      <c r="E53" s="836">
        <f>'G3 Input'!E35</f>
        <v>0</v>
      </c>
      <c r="F53" s="836">
        <f>'G3 Input'!F14+'G3 Input'!F35</f>
        <v>0</v>
      </c>
      <c r="G53" s="836">
        <f>'G3 Input'!G14+'G3 Input'!G35</f>
        <v>0</v>
      </c>
      <c r="H53" s="836">
        <f>'G3 Input'!H14+'G3 Input'!H35</f>
        <v>0</v>
      </c>
      <c r="I53" s="836">
        <f>'G3 Input'!I14+'G3 Input'!I35</f>
        <v>0</v>
      </c>
      <c r="J53" s="836">
        <f>'G3 Input'!J14+'G3 Input'!J35</f>
        <v>0</v>
      </c>
      <c r="K53" s="836">
        <f>'G3 Input'!K14+'G3 Input'!K35</f>
        <v>0</v>
      </c>
      <c r="L53" s="836">
        <f>'G3 Input'!L14+'G3 Input'!L35</f>
        <v>0</v>
      </c>
      <c r="M53" s="836">
        <f>'G3 Input'!M14+'G3 Input'!M35</f>
        <v>0</v>
      </c>
      <c r="N53" s="836">
        <f>'G3 Input'!N14+'G3 Input'!N35</f>
        <v>0</v>
      </c>
      <c r="O53" s="836">
        <f>'G3 Input'!O14+'G3 Input'!O35</f>
        <v>0</v>
      </c>
      <c r="P53" s="836">
        <f>'G3 Input'!P14+'G3 Input'!P35</f>
        <v>0</v>
      </c>
      <c r="Q53" s="836">
        <f>'G3 Input'!Q14+'G3 Input'!Q35</f>
        <v>0</v>
      </c>
      <c r="R53" s="836">
        <f>'G3 Input'!R14+'G3 Input'!R35</f>
        <v>0</v>
      </c>
      <c r="S53" s="836">
        <f>'G3 Input'!S14+'G3 Input'!S35</f>
        <v>0</v>
      </c>
      <c r="T53" s="836">
        <f>'G3 Input'!T14+'G3 Input'!T35</f>
        <v>0</v>
      </c>
      <c r="U53" s="836">
        <f>'G3 Input'!U14+'G3 Input'!U35</f>
        <v>0</v>
      </c>
    </row>
    <row r="54" spans="1:21" s="863" customFormat="1" ht="12.75" customHeight="1" x14ac:dyDescent="0.25">
      <c r="A54" s="872" t="s">
        <v>838</v>
      </c>
      <c r="B54" s="836">
        <f>'G3 Input'!B36</f>
        <v>0</v>
      </c>
      <c r="C54" s="836">
        <f>'G3 Input'!C36</f>
        <v>0</v>
      </c>
      <c r="D54" s="836">
        <f>'G3 Input'!D36</f>
        <v>0</v>
      </c>
      <c r="E54" s="836">
        <f>'G3 Input'!E36</f>
        <v>0</v>
      </c>
      <c r="F54" s="836">
        <f>'G3 Input'!F15+'G3 Input'!F36</f>
        <v>0</v>
      </c>
      <c r="G54" s="836">
        <f>'G3 Input'!G15+'G3 Input'!G36</f>
        <v>0</v>
      </c>
      <c r="H54" s="836">
        <f>'G3 Input'!H15+'G3 Input'!H36</f>
        <v>0</v>
      </c>
      <c r="I54" s="836">
        <f>'G3 Input'!I15+'G3 Input'!I36</f>
        <v>0</v>
      </c>
      <c r="J54" s="836">
        <f>'G3 Input'!J15+'G3 Input'!J36</f>
        <v>0</v>
      </c>
      <c r="K54" s="836">
        <f>'G3 Input'!K15+'G3 Input'!K36</f>
        <v>0</v>
      </c>
      <c r="L54" s="836">
        <f>'G3 Input'!L15+'G3 Input'!L36</f>
        <v>0</v>
      </c>
      <c r="M54" s="836">
        <f>'G3 Input'!M15+'G3 Input'!M36</f>
        <v>0</v>
      </c>
      <c r="N54" s="836">
        <f>'G3 Input'!N15+'G3 Input'!N36</f>
        <v>0</v>
      </c>
      <c r="O54" s="836">
        <f>'G3 Input'!O15+'G3 Input'!O36</f>
        <v>0</v>
      </c>
      <c r="P54" s="836">
        <f>'G3 Input'!P15+'G3 Input'!P36</f>
        <v>0</v>
      </c>
      <c r="Q54" s="836">
        <f>'G3 Input'!Q15+'G3 Input'!Q36</f>
        <v>0</v>
      </c>
      <c r="R54" s="836">
        <f>'G3 Input'!R15+'G3 Input'!R36</f>
        <v>0</v>
      </c>
      <c r="S54" s="836">
        <f>'G3 Input'!S15+'G3 Input'!S36</f>
        <v>0</v>
      </c>
      <c r="T54" s="836">
        <f>'G3 Input'!T15+'G3 Input'!T36</f>
        <v>0</v>
      </c>
      <c r="U54" s="836">
        <f>'G3 Input'!U15+'G3 Input'!U36</f>
        <v>0</v>
      </c>
    </row>
    <row r="55" spans="1:21" s="859" customFormat="1" x14ac:dyDescent="0.25">
      <c r="A55" s="833" t="s">
        <v>839</v>
      </c>
      <c r="B55" s="836">
        <f>'G3 Input'!B37</f>
        <v>0</v>
      </c>
      <c r="C55" s="836">
        <f>'G3 Input'!C37</f>
        <v>0</v>
      </c>
      <c r="D55" s="836">
        <f>'G3 Input'!D37</f>
        <v>0</v>
      </c>
      <c r="E55" s="836">
        <f>'G3 Input'!E37</f>
        <v>0</v>
      </c>
      <c r="F55" s="836">
        <f>'G3 Input'!F37</f>
        <v>0</v>
      </c>
      <c r="G55" s="836">
        <f>'G3 Input'!G37</f>
        <v>0</v>
      </c>
      <c r="H55" s="836">
        <f>'G3 Input'!H37</f>
        <v>0</v>
      </c>
      <c r="I55" s="836">
        <f>'G3 Input'!I37</f>
        <v>0</v>
      </c>
      <c r="J55" s="836">
        <f>'G3 Input'!J37</f>
        <v>0</v>
      </c>
      <c r="K55" s="836">
        <f>'G3 Input'!K37</f>
        <v>0</v>
      </c>
      <c r="L55" s="836">
        <f>'G3 Input'!L37</f>
        <v>0</v>
      </c>
      <c r="M55" s="836">
        <f>'G3 Input'!M37</f>
        <v>0</v>
      </c>
      <c r="N55" s="836">
        <f>'G3 Input'!N37</f>
        <v>0</v>
      </c>
      <c r="O55" s="836">
        <f>'G3 Input'!O37</f>
        <v>0</v>
      </c>
      <c r="P55" s="836">
        <f>'G3 Input'!P37</f>
        <v>0</v>
      </c>
      <c r="Q55" s="836">
        <f>'G3 Input'!Q37</f>
        <v>0</v>
      </c>
      <c r="R55" s="836">
        <f>'G3 Input'!R37</f>
        <v>0</v>
      </c>
      <c r="S55" s="836">
        <f>'G3 Input'!S37</f>
        <v>0</v>
      </c>
      <c r="T55" s="836">
        <f>'G3 Input'!T37</f>
        <v>0</v>
      </c>
      <c r="U55" s="836">
        <f>'G3 Input'!U37</f>
        <v>0</v>
      </c>
    </row>
    <row r="56" spans="1:21" s="863" customFormat="1" ht="12.75" customHeight="1" x14ac:dyDescent="0.25">
      <c r="A56" s="861" t="s">
        <v>449</v>
      </c>
      <c r="B56" s="862">
        <f t="shared" ref="B56:U56" si="11">B51-B52+B53+B54+B55</f>
        <v>0</v>
      </c>
      <c r="C56" s="862">
        <f t="shared" si="11"/>
        <v>0</v>
      </c>
      <c r="D56" s="862">
        <f t="shared" si="11"/>
        <v>0</v>
      </c>
      <c r="E56" s="862">
        <f t="shared" si="11"/>
        <v>0</v>
      </c>
      <c r="F56" s="862">
        <f t="shared" si="11"/>
        <v>0</v>
      </c>
      <c r="G56" s="862">
        <f t="shared" si="11"/>
        <v>0</v>
      </c>
      <c r="H56" s="862">
        <f t="shared" si="11"/>
        <v>0</v>
      </c>
      <c r="I56" s="862">
        <f t="shared" si="11"/>
        <v>0</v>
      </c>
      <c r="J56" s="862">
        <f t="shared" si="11"/>
        <v>0</v>
      </c>
      <c r="K56" s="862">
        <f t="shared" si="11"/>
        <v>0</v>
      </c>
      <c r="L56" s="862">
        <f t="shared" si="11"/>
        <v>0</v>
      </c>
      <c r="M56" s="862">
        <f t="shared" si="11"/>
        <v>0</v>
      </c>
      <c r="N56" s="862">
        <f t="shared" si="11"/>
        <v>0</v>
      </c>
      <c r="O56" s="862">
        <f t="shared" si="11"/>
        <v>0</v>
      </c>
      <c r="P56" s="862">
        <f t="shared" si="11"/>
        <v>0</v>
      </c>
      <c r="Q56" s="862">
        <f t="shared" si="11"/>
        <v>0</v>
      </c>
      <c r="R56" s="862">
        <f t="shared" si="11"/>
        <v>0</v>
      </c>
      <c r="S56" s="862">
        <f t="shared" si="11"/>
        <v>0</v>
      </c>
      <c r="T56" s="862">
        <f t="shared" si="11"/>
        <v>0</v>
      </c>
      <c r="U56" s="862">
        <f t="shared" si="11"/>
        <v>0</v>
      </c>
    </row>
    <row r="57" spans="1:21" s="863" customFormat="1" ht="12.75" customHeight="1" x14ac:dyDescent="0.25">
      <c r="A57" s="872" t="s">
        <v>913</v>
      </c>
      <c r="B57" s="836">
        <f t="shared" ref="B57:U57" si="12">B$56*IF(B20&gt;=$A$7,1,0)*(IF(B$20&gt;$H$7,0,1))</f>
        <v>0</v>
      </c>
      <c r="C57" s="836">
        <f t="shared" si="12"/>
        <v>0</v>
      </c>
      <c r="D57" s="836">
        <f t="shared" si="12"/>
        <v>0</v>
      </c>
      <c r="E57" s="836">
        <f t="shared" si="12"/>
        <v>0</v>
      </c>
      <c r="F57" s="836">
        <f t="shared" si="12"/>
        <v>0</v>
      </c>
      <c r="G57" s="836">
        <f t="shared" si="12"/>
        <v>0</v>
      </c>
      <c r="H57" s="836">
        <f t="shared" si="12"/>
        <v>0</v>
      </c>
      <c r="I57" s="836">
        <f t="shared" si="12"/>
        <v>0</v>
      </c>
      <c r="J57" s="836">
        <f t="shared" si="12"/>
        <v>0</v>
      </c>
      <c r="K57" s="836">
        <f t="shared" si="12"/>
        <v>0</v>
      </c>
      <c r="L57" s="836">
        <f t="shared" si="12"/>
        <v>0</v>
      </c>
      <c r="M57" s="836">
        <f t="shared" si="12"/>
        <v>0</v>
      </c>
      <c r="N57" s="836">
        <f t="shared" si="12"/>
        <v>0</v>
      </c>
      <c r="O57" s="836">
        <f t="shared" si="12"/>
        <v>0</v>
      </c>
      <c r="P57" s="836">
        <f t="shared" si="12"/>
        <v>0</v>
      </c>
      <c r="Q57" s="836">
        <f t="shared" si="12"/>
        <v>0</v>
      </c>
      <c r="R57" s="836">
        <f t="shared" si="12"/>
        <v>0</v>
      </c>
      <c r="S57" s="836">
        <f t="shared" si="12"/>
        <v>0</v>
      </c>
      <c r="T57" s="836">
        <f t="shared" si="12"/>
        <v>0</v>
      </c>
      <c r="U57" s="836">
        <f t="shared" si="12"/>
        <v>0</v>
      </c>
    </row>
    <row r="58" spans="1:21" s="863" customFormat="1" ht="12.75" customHeight="1" x14ac:dyDescent="0.25">
      <c r="A58" s="881" t="s">
        <v>914</v>
      </c>
      <c r="B58" s="852">
        <f t="shared" ref="B58:U58" si="13">(1+$E$7)^B21</f>
        <v>1.2</v>
      </c>
      <c r="C58" s="852">
        <f t="shared" si="13"/>
        <v>1.44</v>
      </c>
      <c r="D58" s="852">
        <f t="shared" si="13"/>
        <v>1.728</v>
      </c>
      <c r="E58" s="852">
        <f t="shared" si="13"/>
        <v>2.0735999999999999</v>
      </c>
      <c r="F58" s="852">
        <f t="shared" si="13"/>
        <v>2.4883199999999999</v>
      </c>
      <c r="G58" s="852">
        <f t="shared" si="13"/>
        <v>2.9859839999999997</v>
      </c>
      <c r="H58" s="852">
        <f t="shared" si="13"/>
        <v>3.5831807999999996</v>
      </c>
      <c r="I58" s="852">
        <f>(1+$E$7)^I21</f>
        <v>4.2998169599999994</v>
      </c>
      <c r="J58" s="852">
        <f t="shared" si="13"/>
        <v>5.1597803519999994</v>
      </c>
      <c r="K58" s="852">
        <f t="shared" si="13"/>
        <v>6.1917364223999991</v>
      </c>
      <c r="L58" s="852">
        <f t="shared" si="13"/>
        <v>7.4300837068799988</v>
      </c>
      <c r="M58" s="852">
        <f t="shared" si="13"/>
        <v>8.9161004482559978</v>
      </c>
      <c r="N58" s="852">
        <f t="shared" si="13"/>
        <v>10.699320537907198</v>
      </c>
      <c r="O58" s="852">
        <f t="shared" si="13"/>
        <v>12.839184645488636</v>
      </c>
      <c r="P58" s="852">
        <f t="shared" si="13"/>
        <v>15.407021574586365</v>
      </c>
      <c r="Q58" s="852">
        <f t="shared" si="13"/>
        <v>18.488425889503635</v>
      </c>
      <c r="R58" s="852">
        <f t="shared" si="13"/>
        <v>22.186111067404362</v>
      </c>
      <c r="S58" s="852">
        <f t="shared" si="13"/>
        <v>26.623333280885234</v>
      </c>
      <c r="T58" s="852">
        <f t="shared" si="13"/>
        <v>31.947999937062281</v>
      </c>
      <c r="U58" s="852">
        <f t="shared" si="13"/>
        <v>38.337599924474738</v>
      </c>
    </row>
    <row r="59" spans="1:21" s="882" customFormat="1" ht="12.75" customHeight="1" x14ac:dyDescent="0.25">
      <c r="A59" s="861" t="s">
        <v>915</v>
      </c>
      <c r="B59" s="862">
        <f t="shared" ref="B59:U59" si="14">B57/B58</f>
        <v>0</v>
      </c>
      <c r="C59" s="862">
        <f t="shared" si="14"/>
        <v>0</v>
      </c>
      <c r="D59" s="862">
        <f t="shared" si="14"/>
        <v>0</v>
      </c>
      <c r="E59" s="862">
        <f t="shared" si="14"/>
        <v>0</v>
      </c>
      <c r="F59" s="862">
        <f t="shared" si="14"/>
        <v>0</v>
      </c>
      <c r="G59" s="862">
        <f t="shared" si="14"/>
        <v>0</v>
      </c>
      <c r="H59" s="862">
        <f t="shared" si="14"/>
        <v>0</v>
      </c>
      <c r="I59" s="862">
        <f t="shared" si="14"/>
        <v>0</v>
      </c>
      <c r="J59" s="862">
        <f t="shared" si="14"/>
        <v>0</v>
      </c>
      <c r="K59" s="862">
        <f t="shared" si="14"/>
        <v>0</v>
      </c>
      <c r="L59" s="862">
        <f t="shared" si="14"/>
        <v>0</v>
      </c>
      <c r="M59" s="862">
        <f t="shared" si="14"/>
        <v>0</v>
      </c>
      <c r="N59" s="862">
        <f t="shared" si="14"/>
        <v>0</v>
      </c>
      <c r="O59" s="862">
        <f t="shared" si="14"/>
        <v>0</v>
      </c>
      <c r="P59" s="862">
        <f t="shared" si="14"/>
        <v>0</v>
      </c>
      <c r="Q59" s="862">
        <f t="shared" si="14"/>
        <v>0</v>
      </c>
      <c r="R59" s="862">
        <f t="shared" si="14"/>
        <v>0</v>
      </c>
      <c r="S59" s="862">
        <f t="shared" si="14"/>
        <v>0</v>
      </c>
      <c r="T59" s="862">
        <f t="shared" si="14"/>
        <v>0</v>
      </c>
      <c r="U59" s="862">
        <f t="shared" si="14"/>
        <v>0</v>
      </c>
    </row>
    <row r="60" spans="1:21" s="867" customFormat="1" ht="12.75" customHeight="1" x14ac:dyDescent="0.25">
      <c r="A60" s="883"/>
      <c r="B60" s="884"/>
      <c r="C60" s="885"/>
      <c r="D60" s="885"/>
      <c r="E60" s="885"/>
      <c r="F60" s="885"/>
      <c r="G60" s="885"/>
      <c r="H60" s="885"/>
      <c r="I60" s="885"/>
      <c r="J60" s="885"/>
      <c r="K60" s="885"/>
      <c r="L60" s="885"/>
      <c r="M60" s="885"/>
      <c r="N60" s="885"/>
      <c r="O60" s="885"/>
      <c r="P60" s="885"/>
      <c r="Q60" s="885"/>
      <c r="R60" s="885"/>
      <c r="S60" s="885"/>
      <c r="T60" s="885"/>
      <c r="U60" s="885"/>
    </row>
    <row r="61" spans="1:21" s="867" customFormat="1" x14ac:dyDescent="0.25">
      <c r="A61" s="819" t="s">
        <v>916</v>
      </c>
      <c r="B61" s="880"/>
      <c r="C61" s="880"/>
      <c r="D61" s="880"/>
      <c r="E61" s="880"/>
      <c r="F61" s="880"/>
      <c r="G61" s="880"/>
      <c r="H61" s="880"/>
      <c r="I61" s="880"/>
      <c r="J61" s="880"/>
      <c r="K61" s="880"/>
      <c r="L61" s="880"/>
      <c r="M61" s="880"/>
      <c r="N61" s="880"/>
      <c r="O61" s="880"/>
      <c r="P61" s="880"/>
      <c r="Q61" s="880"/>
      <c r="R61" s="880"/>
      <c r="S61" s="880"/>
      <c r="T61" s="880"/>
      <c r="U61" s="880"/>
    </row>
    <row r="62" spans="1:21" s="873" customFormat="1" ht="12.75" customHeight="1" x14ac:dyDescent="0.25">
      <c r="A62" s="886" t="s">
        <v>917</v>
      </c>
      <c r="B62" s="829">
        <f t="shared" ref="B62:U62" si="15">IF($H$7=B$20,B$57*(1+$J$7)/($E$7-$J$7),0)</f>
        <v>0</v>
      </c>
      <c r="C62" s="829">
        <f t="shared" si="15"/>
        <v>0</v>
      </c>
      <c r="D62" s="829">
        <f t="shared" si="15"/>
        <v>0</v>
      </c>
      <c r="E62" s="829">
        <f t="shared" si="15"/>
        <v>0</v>
      </c>
      <c r="F62" s="829">
        <f t="shared" si="15"/>
        <v>0</v>
      </c>
      <c r="G62" s="829">
        <f t="shared" si="15"/>
        <v>0</v>
      </c>
      <c r="H62" s="829">
        <f t="shared" si="15"/>
        <v>0</v>
      </c>
      <c r="I62" s="829">
        <f t="shared" si="15"/>
        <v>0</v>
      </c>
      <c r="J62" s="829">
        <f t="shared" si="15"/>
        <v>0</v>
      </c>
      <c r="K62" s="829">
        <f t="shared" si="15"/>
        <v>0</v>
      </c>
      <c r="L62" s="829">
        <f t="shared" si="15"/>
        <v>0</v>
      </c>
      <c r="M62" s="829">
        <f t="shared" si="15"/>
        <v>0</v>
      </c>
      <c r="N62" s="829">
        <f t="shared" si="15"/>
        <v>0</v>
      </c>
      <c r="O62" s="829">
        <f t="shared" si="15"/>
        <v>0</v>
      </c>
      <c r="P62" s="829">
        <f t="shared" si="15"/>
        <v>0</v>
      </c>
      <c r="Q62" s="829">
        <f t="shared" si="15"/>
        <v>0</v>
      </c>
      <c r="R62" s="829">
        <f t="shared" si="15"/>
        <v>0</v>
      </c>
      <c r="S62" s="829">
        <f t="shared" si="15"/>
        <v>0</v>
      </c>
      <c r="T62" s="829">
        <f t="shared" si="15"/>
        <v>0</v>
      </c>
      <c r="U62" s="829">
        <f t="shared" si="15"/>
        <v>0</v>
      </c>
    </row>
    <row r="63" spans="1:21" s="889" customFormat="1" ht="12.75" customHeight="1" x14ac:dyDescent="0.25">
      <c r="A63" s="887" t="s">
        <v>918</v>
      </c>
      <c r="B63" s="888" t="s">
        <v>919</v>
      </c>
      <c r="C63" s="888" t="s">
        <v>920</v>
      </c>
      <c r="D63" s="888">
        <v>1</v>
      </c>
      <c r="E63" s="888">
        <v>2</v>
      </c>
      <c r="F63" s="888">
        <v>3</v>
      </c>
      <c r="G63" s="888">
        <v>4</v>
      </c>
      <c r="H63" s="888">
        <v>5</v>
      </c>
      <c r="I63" s="888">
        <v>6</v>
      </c>
      <c r="J63" s="888">
        <v>7</v>
      </c>
      <c r="K63" s="888">
        <v>8</v>
      </c>
      <c r="L63" s="888">
        <v>9</v>
      </c>
      <c r="M63" s="888">
        <v>10</v>
      </c>
      <c r="N63" s="883"/>
      <c r="O63" s="885"/>
      <c r="P63" s="885"/>
      <c r="Q63" s="885"/>
      <c r="R63" s="885"/>
      <c r="S63" s="885"/>
      <c r="T63" s="885"/>
      <c r="U63" s="885"/>
    </row>
    <row r="64" spans="1:21" s="873" customFormat="1" ht="12.75" customHeight="1" x14ac:dyDescent="0.25">
      <c r="A64" s="890">
        <f>$I$7</f>
        <v>0</v>
      </c>
      <c r="B64" s="891">
        <f>$H$7</f>
        <v>2026</v>
      </c>
      <c r="C64" s="829">
        <f>HLOOKUP($B$64,$B$20:$U$56,37,FALSE)</f>
        <v>0</v>
      </c>
      <c r="D64" s="829">
        <f t="shared" ref="D64:M64" si="16">IF(D63&lt;=$I$7,($C$64*(1+$J$7)^D63),0)</f>
        <v>0</v>
      </c>
      <c r="E64" s="829">
        <f t="shared" si="16"/>
        <v>0</v>
      </c>
      <c r="F64" s="829">
        <f t="shared" si="16"/>
        <v>0</v>
      </c>
      <c r="G64" s="829">
        <f t="shared" si="16"/>
        <v>0</v>
      </c>
      <c r="H64" s="829">
        <f t="shared" si="16"/>
        <v>0</v>
      </c>
      <c r="I64" s="829">
        <f t="shared" si="16"/>
        <v>0</v>
      </c>
      <c r="J64" s="829">
        <f t="shared" si="16"/>
        <v>0</v>
      </c>
      <c r="K64" s="829">
        <f t="shared" si="16"/>
        <v>0</v>
      </c>
      <c r="L64" s="829">
        <f t="shared" si="16"/>
        <v>0</v>
      </c>
      <c r="M64" s="829">
        <f t="shared" si="16"/>
        <v>0</v>
      </c>
      <c r="N64" s="883"/>
      <c r="O64" s="885"/>
      <c r="P64" s="885"/>
      <c r="Q64" s="885"/>
      <c r="R64" s="885"/>
      <c r="S64" s="885"/>
      <c r="T64" s="885"/>
      <c r="U64" s="885"/>
    </row>
    <row r="65" spans="1:22" s="873" customFormat="1" ht="12.75" customHeight="1" x14ac:dyDescent="0.25">
      <c r="A65" s="886" t="str">
        <f>A64&amp;" Years Discounted Cash Flow"</f>
        <v>0 Years Discounted Cash Flow</v>
      </c>
      <c r="B65" s="892"/>
      <c r="C65" s="892"/>
      <c r="D65" s="829">
        <f t="shared" ref="D65:M65" si="17">D64/(1+$E$7)^D63</f>
        <v>0</v>
      </c>
      <c r="E65" s="829">
        <f t="shared" si="17"/>
        <v>0</v>
      </c>
      <c r="F65" s="829">
        <f t="shared" si="17"/>
        <v>0</v>
      </c>
      <c r="G65" s="829">
        <f t="shared" si="17"/>
        <v>0</v>
      </c>
      <c r="H65" s="829">
        <f t="shared" si="17"/>
        <v>0</v>
      </c>
      <c r="I65" s="829">
        <f t="shared" si="17"/>
        <v>0</v>
      </c>
      <c r="J65" s="829">
        <f t="shared" si="17"/>
        <v>0</v>
      </c>
      <c r="K65" s="829">
        <f t="shared" si="17"/>
        <v>0</v>
      </c>
      <c r="L65" s="829">
        <f t="shared" si="17"/>
        <v>0</v>
      </c>
      <c r="M65" s="829">
        <f t="shared" si="17"/>
        <v>0</v>
      </c>
      <c r="N65" s="883"/>
      <c r="O65" s="885"/>
      <c r="P65" s="885"/>
      <c r="Q65" s="885"/>
      <c r="R65" s="885"/>
      <c r="S65" s="885"/>
      <c r="T65" s="885"/>
      <c r="U65" s="885"/>
    </row>
    <row r="66" spans="1:22" s="867" customFormat="1" x14ac:dyDescent="0.25">
      <c r="A66" s="883"/>
      <c r="B66" s="883"/>
      <c r="C66" s="883"/>
      <c r="D66" s="883"/>
      <c r="E66" s="883"/>
      <c r="F66" s="883"/>
      <c r="G66" s="883"/>
      <c r="H66" s="883"/>
      <c r="I66" s="883"/>
      <c r="J66" s="883"/>
      <c r="K66" s="883"/>
      <c r="L66" s="883"/>
      <c r="M66" s="883"/>
      <c r="N66" s="883"/>
      <c r="O66" s="885"/>
      <c r="P66" s="885"/>
      <c r="Q66" s="885"/>
      <c r="R66" s="885"/>
      <c r="S66" s="885"/>
      <c r="T66" s="885"/>
      <c r="U66" s="885"/>
    </row>
    <row r="67" spans="1:22" s="867" customFormat="1" x14ac:dyDescent="0.25">
      <c r="A67" s="819" t="s">
        <v>921</v>
      </c>
      <c r="B67" s="880"/>
      <c r="C67" s="880"/>
      <c r="D67" s="880"/>
      <c r="E67" s="880"/>
      <c r="F67" s="880"/>
      <c r="G67" s="880"/>
      <c r="H67" s="880"/>
      <c r="I67" s="880"/>
      <c r="J67" s="880"/>
      <c r="K67" s="880"/>
      <c r="L67" s="880"/>
      <c r="M67" s="880"/>
      <c r="N67" s="880"/>
      <c r="O67" s="880"/>
      <c r="P67" s="880"/>
      <c r="Q67" s="880"/>
      <c r="R67" s="880"/>
      <c r="S67" s="880"/>
      <c r="T67" s="880"/>
      <c r="U67" s="880"/>
    </row>
    <row r="68" spans="1:22" s="801" customFormat="1" ht="12.75" customHeight="1" x14ac:dyDescent="0.25">
      <c r="A68" s="855" t="s">
        <v>797</v>
      </c>
      <c r="B68" s="888">
        <f>IF(MONTH($J$11&gt;=10),(YEAR($J$11)+1),YEAR($J$11))</f>
        <v>2018</v>
      </c>
      <c r="C68" s="888">
        <f t="shared" ref="C68:U68" si="18">B68+1</f>
        <v>2019</v>
      </c>
      <c r="D68" s="888">
        <f t="shared" si="18"/>
        <v>2020</v>
      </c>
      <c r="E68" s="888">
        <f t="shared" si="18"/>
        <v>2021</v>
      </c>
      <c r="F68" s="888">
        <f t="shared" si="18"/>
        <v>2022</v>
      </c>
      <c r="G68" s="888">
        <f t="shared" si="18"/>
        <v>2023</v>
      </c>
      <c r="H68" s="888">
        <f t="shared" si="18"/>
        <v>2024</v>
      </c>
      <c r="I68" s="888">
        <f t="shared" si="18"/>
        <v>2025</v>
      </c>
      <c r="J68" s="888">
        <f t="shared" si="18"/>
        <v>2026</v>
      </c>
      <c r="K68" s="888">
        <f t="shared" si="18"/>
        <v>2027</v>
      </c>
      <c r="L68" s="888">
        <f t="shared" si="18"/>
        <v>2028</v>
      </c>
      <c r="M68" s="888">
        <f t="shared" si="18"/>
        <v>2029</v>
      </c>
      <c r="N68" s="888">
        <f t="shared" si="18"/>
        <v>2030</v>
      </c>
      <c r="O68" s="888">
        <f t="shared" si="18"/>
        <v>2031</v>
      </c>
      <c r="P68" s="888">
        <f t="shared" si="18"/>
        <v>2032</v>
      </c>
      <c r="Q68" s="888">
        <f t="shared" si="18"/>
        <v>2033</v>
      </c>
      <c r="R68" s="888">
        <f t="shared" si="18"/>
        <v>2034</v>
      </c>
      <c r="S68" s="888">
        <f t="shared" si="18"/>
        <v>2035</v>
      </c>
      <c r="T68" s="888">
        <f t="shared" si="18"/>
        <v>2036</v>
      </c>
      <c r="U68" s="888">
        <f t="shared" si="18"/>
        <v>2037</v>
      </c>
    </row>
    <row r="69" spans="1:22" s="889" customFormat="1" ht="12.75" customHeight="1" x14ac:dyDescent="0.25">
      <c r="A69" s="887" t="s">
        <v>922</v>
      </c>
      <c r="B69" s="888">
        <f t="shared" ref="B69:U69" si="19">IF(AND($J$15="No",B$68-$A$7&lt;0),0,B$68-$A$7)</f>
        <v>2</v>
      </c>
      <c r="C69" s="888">
        <f t="shared" si="19"/>
        <v>3</v>
      </c>
      <c r="D69" s="888">
        <f t="shared" si="19"/>
        <v>4</v>
      </c>
      <c r="E69" s="888">
        <f t="shared" si="19"/>
        <v>5</v>
      </c>
      <c r="F69" s="888">
        <f t="shared" si="19"/>
        <v>6</v>
      </c>
      <c r="G69" s="888">
        <f t="shared" si="19"/>
        <v>7</v>
      </c>
      <c r="H69" s="888">
        <f t="shared" si="19"/>
        <v>8</v>
      </c>
      <c r="I69" s="888">
        <f t="shared" si="19"/>
        <v>9</v>
      </c>
      <c r="J69" s="888">
        <f t="shared" si="19"/>
        <v>10</v>
      </c>
      <c r="K69" s="888">
        <f t="shared" si="19"/>
        <v>11</v>
      </c>
      <c r="L69" s="888">
        <f t="shared" si="19"/>
        <v>12</v>
      </c>
      <c r="M69" s="888">
        <f t="shared" si="19"/>
        <v>13</v>
      </c>
      <c r="N69" s="888">
        <f t="shared" si="19"/>
        <v>14</v>
      </c>
      <c r="O69" s="888">
        <f t="shared" si="19"/>
        <v>15</v>
      </c>
      <c r="P69" s="888">
        <f t="shared" si="19"/>
        <v>16</v>
      </c>
      <c r="Q69" s="888">
        <f t="shared" si="19"/>
        <v>17</v>
      </c>
      <c r="R69" s="888">
        <f t="shared" si="19"/>
        <v>18</v>
      </c>
      <c r="S69" s="888">
        <f t="shared" si="19"/>
        <v>19</v>
      </c>
      <c r="T69" s="888">
        <f t="shared" si="19"/>
        <v>20</v>
      </c>
      <c r="U69" s="888">
        <f t="shared" si="19"/>
        <v>21</v>
      </c>
    </row>
    <row r="70" spans="1:22" s="863" customFormat="1" ht="12.75" customHeight="1" x14ac:dyDescent="0.25">
      <c r="A70" s="872" t="s">
        <v>923</v>
      </c>
      <c r="B70" s="836">
        <f t="shared" ref="B70:U70" si="20">B$56*IF(B$68&lt;=$J$13,1,0)</f>
        <v>0</v>
      </c>
      <c r="C70" s="836">
        <f t="shared" si="20"/>
        <v>0</v>
      </c>
      <c r="D70" s="836">
        <f t="shared" si="20"/>
        <v>0</v>
      </c>
      <c r="E70" s="836">
        <f t="shared" si="20"/>
        <v>0</v>
      </c>
      <c r="F70" s="836">
        <f t="shared" si="20"/>
        <v>0</v>
      </c>
      <c r="G70" s="836">
        <f t="shared" si="20"/>
        <v>0</v>
      </c>
      <c r="H70" s="836">
        <f t="shared" si="20"/>
        <v>0</v>
      </c>
      <c r="I70" s="836">
        <f t="shared" si="20"/>
        <v>0</v>
      </c>
      <c r="J70" s="836">
        <f t="shared" si="20"/>
        <v>0</v>
      </c>
      <c r="K70" s="836">
        <f t="shared" si="20"/>
        <v>0</v>
      </c>
      <c r="L70" s="836">
        <f t="shared" si="20"/>
        <v>0</v>
      </c>
      <c r="M70" s="836">
        <f t="shared" si="20"/>
        <v>0</v>
      </c>
      <c r="N70" s="836">
        <f t="shared" si="20"/>
        <v>0</v>
      </c>
      <c r="O70" s="836">
        <f t="shared" si="20"/>
        <v>0</v>
      </c>
      <c r="P70" s="836">
        <f t="shared" si="20"/>
        <v>0</v>
      </c>
      <c r="Q70" s="836">
        <f t="shared" si="20"/>
        <v>0</v>
      </c>
      <c r="R70" s="836">
        <f t="shared" si="20"/>
        <v>0</v>
      </c>
      <c r="S70" s="836">
        <f t="shared" si="20"/>
        <v>0</v>
      </c>
      <c r="T70" s="836">
        <f t="shared" si="20"/>
        <v>0</v>
      </c>
      <c r="U70" s="836">
        <f t="shared" si="20"/>
        <v>0</v>
      </c>
    </row>
    <row r="71" spans="1:22" s="894" customFormat="1" ht="12.75" customHeight="1" x14ac:dyDescent="0.25">
      <c r="A71" s="881" t="s">
        <v>924</v>
      </c>
      <c r="B71" s="893">
        <f t="shared" ref="B71:U71" si="21">IF(AND($J$15="NO",B$68-$A$7&lt;0),1,((1+$E$8)^B69))</f>
        <v>1.44</v>
      </c>
      <c r="C71" s="893">
        <f t="shared" si="21"/>
        <v>1.728</v>
      </c>
      <c r="D71" s="893">
        <f t="shared" si="21"/>
        <v>2.0735999999999999</v>
      </c>
      <c r="E71" s="893">
        <f t="shared" si="21"/>
        <v>2.4883199999999999</v>
      </c>
      <c r="F71" s="893">
        <f t="shared" si="21"/>
        <v>2.9859839999999997</v>
      </c>
      <c r="G71" s="893">
        <f t="shared" si="21"/>
        <v>3.5831807999999996</v>
      </c>
      <c r="H71" s="893">
        <f t="shared" si="21"/>
        <v>4.2998169599999994</v>
      </c>
      <c r="I71" s="893">
        <f t="shared" si="21"/>
        <v>5.1597803519999994</v>
      </c>
      <c r="J71" s="893">
        <f t="shared" si="21"/>
        <v>6.1917364223999991</v>
      </c>
      <c r="K71" s="893">
        <f t="shared" si="21"/>
        <v>7.4300837068799988</v>
      </c>
      <c r="L71" s="893">
        <f t="shared" si="21"/>
        <v>8.9161004482559978</v>
      </c>
      <c r="M71" s="893">
        <f t="shared" si="21"/>
        <v>10.699320537907198</v>
      </c>
      <c r="N71" s="893">
        <f t="shared" si="21"/>
        <v>12.839184645488636</v>
      </c>
      <c r="O71" s="893">
        <f t="shared" si="21"/>
        <v>15.407021574586365</v>
      </c>
      <c r="P71" s="893">
        <f t="shared" si="21"/>
        <v>18.488425889503635</v>
      </c>
      <c r="Q71" s="893">
        <f t="shared" si="21"/>
        <v>22.186111067404362</v>
      </c>
      <c r="R71" s="893">
        <f t="shared" si="21"/>
        <v>26.623333280885234</v>
      </c>
      <c r="S71" s="893">
        <f t="shared" si="21"/>
        <v>31.947999937062281</v>
      </c>
      <c r="T71" s="893">
        <f t="shared" si="21"/>
        <v>38.337599924474738</v>
      </c>
      <c r="U71" s="893">
        <f t="shared" si="21"/>
        <v>46.005119909369682</v>
      </c>
    </row>
    <row r="72" spans="1:22" s="863" customFormat="1" ht="12.75" customHeight="1" x14ac:dyDescent="0.25">
      <c r="A72" s="872" t="s">
        <v>925</v>
      </c>
      <c r="B72" s="836">
        <f t="shared" ref="B72:U72" si="22">B70/B71</f>
        <v>0</v>
      </c>
      <c r="C72" s="836">
        <f t="shared" si="22"/>
        <v>0</v>
      </c>
      <c r="D72" s="836">
        <f t="shared" si="22"/>
        <v>0</v>
      </c>
      <c r="E72" s="836">
        <f t="shared" si="22"/>
        <v>0</v>
      </c>
      <c r="F72" s="836">
        <f t="shared" si="22"/>
        <v>0</v>
      </c>
      <c r="G72" s="836">
        <f t="shared" si="22"/>
        <v>0</v>
      </c>
      <c r="H72" s="836">
        <f t="shared" si="22"/>
        <v>0</v>
      </c>
      <c r="I72" s="836">
        <f t="shared" si="22"/>
        <v>0</v>
      </c>
      <c r="J72" s="836">
        <f t="shared" si="22"/>
        <v>0</v>
      </c>
      <c r="K72" s="836">
        <f t="shared" si="22"/>
        <v>0</v>
      </c>
      <c r="L72" s="836">
        <f t="shared" si="22"/>
        <v>0</v>
      </c>
      <c r="M72" s="836">
        <f t="shared" si="22"/>
        <v>0</v>
      </c>
      <c r="N72" s="836">
        <f t="shared" si="22"/>
        <v>0</v>
      </c>
      <c r="O72" s="836">
        <f t="shared" si="22"/>
        <v>0</v>
      </c>
      <c r="P72" s="836">
        <f t="shared" si="22"/>
        <v>0</v>
      </c>
      <c r="Q72" s="836">
        <f t="shared" si="22"/>
        <v>0</v>
      </c>
      <c r="R72" s="836">
        <f t="shared" si="22"/>
        <v>0</v>
      </c>
      <c r="S72" s="836">
        <f t="shared" si="22"/>
        <v>0</v>
      </c>
      <c r="T72" s="836">
        <f t="shared" si="22"/>
        <v>0</v>
      </c>
      <c r="U72" s="836">
        <f t="shared" si="22"/>
        <v>0</v>
      </c>
    </row>
    <row r="73" spans="1:22" s="863" customFormat="1" ht="12.75" customHeight="1" x14ac:dyDescent="0.25">
      <c r="A73" s="872" t="s">
        <v>926</v>
      </c>
      <c r="B73" s="836">
        <f t="shared" ref="B73:U73" si="23">IF($H$8=B$20,B70*(1+$J$8)/($E$8-$J$8),0)</f>
        <v>0</v>
      </c>
      <c r="C73" s="836">
        <f t="shared" si="23"/>
        <v>0</v>
      </c>
      <c r="D73" s="836">
        <f t="shared" si="23"/>
        <v>0</v>
      </c>
      <c r="E73" s="836">
        <f t="shared" si="23"/>
        <v>0</v>
      </c>
      <c r="F73" s="836">
        <f t="shared" si="23"/>
        <v>0</v>
      </c>
      <c r="G73" s="836">
        <f t="shared" si="23"/>
        <v>0</v>
      </c>
      <c r="H73" s="836">
        <f t="shared" si="23"/>
        <v>0</v>
      </c>
      <c r="I73" s="836">
        <f t="shared" si="23"/>
        <v>0</v>
      </c>
      <c r="J73" s="836">
        <f t="shared" si="23"/>
        <v>0</v>
      </c>
      <c r="K73" s="836">
        <f t="shared" si="23"/>
        <v>0</v>
      </c>
      <c r="L73" s="836">
        <f t="shared" si="23"/>
        <v>0</v>
      </c>
      <c r="M73" s="836">
        <f t="shared" si="23"/>
        <v>0</v>
      </c>
      <c r="N73" s="836">
        <f t="shared" si="23"/>
        <v>0</v>
      </c>
      <c r="O73" s="836">
        <f t="shared" si="23"/>
        <v>0</v>
      </c>
      <c r="P73" s="836">
        <f t="shared" si="23"/>
        <v>0</v>
      </c>
      <c r="Q73" s="836">
        <f t="shared" si="23"/>
        <v>0</v>
      </c>
      <c r="R73" s="836">
        <f t="shared" si="23"/>
        <v>0</v>
      </c>
      <c r="S73" s="836">
        <f t="shared" si="23"/>
        <v>0</v>
      </c>
      <c r="T73" s="836">
        <f t="shared" si="23"/>
        <v>0</v>
      </c>
      <c r="U73" s="836">
        <f t="shared" si="23"/>
        <v>0</v>
      </c>
    </row>
    <row r="74" spans="1:22" s="889" customFormat="1" ht="12.75" customHeight="1" x14ac:dyDescent="0.25">
      <c r="A74" s="887" t="s">
        <v>918</v>
      </c>
      <c r="B74" s="888" t="s">
        <v>927</v>
      </c>
      <c r="C74" s="888" t="s">
        <v>928</v>
      </c>
      <c r="D74" s="888">
        <v>1</v>
      </c>
      <c r="E74" s="888">
        <v>2</v>
      </c>
      <c r="F74" s="888">
        <v>3</v>
      </c>
      <c r="G74" s="888">
        <v>4</v>
      </c>
      <c r="H74" s="888">
        <v>5</v>
      </c>
      <c r="I74" s="888">
        <v>6</v>
      </c>
      <c r="J74" s="888">
        <v>7</v>
      </c>
      <c r="K74" s="888">
        <v>8</v>
      </c>
      <c r="L74" s="888">
        <v>9</v>
      </c>
      <c r="M74" s="888">
        <v>10</v>
      </c>
      <c r="N74" s="796"/>
      <c r="O74" s="796"/>
      <c r="P74" s="796"/>
      <c r="Q74" s="796"/>
      <c r="R74" s="796"/>
      <c r="S74" s="796"/>
      <c r="T74" s="796"/>
      <c r="U74" s="796"/>
      <c r="V74" s="796"/>
    </row>
    <row r="75" spans="1:22" s="873" customFormat="1" ht="12.75" customHeight="1" x14ac:dyDescent="0.25">
      <c r="A75" s="890">
        <f>$I$8</f>
        <v>0</v>
      </c>
      <c r="B75" s="891">
        <f>$H$8</f>
        <v>2026</v>
      </c>
      <c r="C75" s="829">
        <f>HLOOKUP($B$75,$B$20:$U$70,51,FALSE)</f>
        <v>0</v>
      </c>
      <c r="D75" s="829">
        <f t="shared" ref="D75:M75" si="24">IF(D74&lt;=$I$8,($C$75*(1+$J$8)^D74),0)</f>
        <v>0</v>
      </c>
      <c r="E75" s="829">
        <f t="shared" si="24"/>
        <v>0</v>
      </c>
      <c r="F75" s="829">
        <f t="shared" si="24"/>
        <v>0</v>
      </c>
      <c r="G75" s="829">
        <f t="shared" si="24"/>
        <v>0</v>
      </c>
      <c r="H75" s="829">
        <f t="shared" si="24"/>
        <v>0</v>
      </c>
      <c r="I75" s="829">
        <f t="shared" si="24"/>
        <v>0</v>
      </c>
      <c r="J75" s="829">
        <f t="shared" si="24"/>
        <v>0</v>
      </c>
      <c r="K75" s="829">
        <f t="shared" si="24"/>
        <v>0</v>
      </c>
      <c r="L75" s="829">
        <f t="shared" si="24"/>
        <v>0</v>
      </c>
      <c r="M75" s="829">
        <f t="shared" si="24"/>
        <v>0</v>
      </c>
      <c r="N75" s="796"/>
      <c r="O75" s="796"/>
      <c r="P75" s="796"/>
      <c r="Q75" s="796"/>
      <c r="R75" s="796"/>
      <c r="S75" s="796"/>
      <c r="T75" s="796"/>
      <c r="U75" s="796"/>
      <c r="V75" s="796"/>
    </row>
    <row r="76" spans="1:22" s="873" customFormat="1" ht="12.75" customHeight="1" x14ac:dyDescent="0.25">
      <c r="A76" s="886" t="str">
        <f>A75&amp;" Years Discounted Cash Flow"</f>
        <v>0 Years Discounted Cash Flow</v>
      </c>
      <c r="B76" s="892"/>
      <c r="C76" s="892"/>
      <c r="D76" s="829">
        <f t="shared" ref="D76:M76" si="25">D75/(1+$E$8)^D74</f>
        <v>0</v>
      </c>
      <c r="E76" s="829">
        <f t="shared" si="25"/>
        <v>0</v>
      </c>
      <c r="F76" s="829">
        <f t="shared" si="25"/>
        <v>0</v>
      </c>
      <c r="G76" s="829">
        <f t="shared" si="25"/>
        <v>0</v>
      </c>
      <c r="H76" s="829">
        <f t="shared" si="25"/>
        <v>0</v>
      </c>
      <c r="I76" s="829">
        <f t="shared" si="25"/>
        <v>0</v>
      </c>
      <c r="J76" s="829">
        <f t="shared" si="25"/>
        <v>0</v>
      </c>
      <c r="K76" s="829">
        <f t="shared" si="25"/>
        <v>0</v>
      </c>
      <c r="L76" s="829">
        <f t="shared" si="25"/>
        <v>0</v>
      </c>
      <c r="M76" s="829">
        <f t="shared" si="25"/>
        <v>0</v>
      </c>
      <c r="N76" s="796"/>
      <c r="O76" s="796"/>
      <c r="P76" s="796"/>
      <c r="Q76" s="796"/>
      <c r="R76" s="796"/>
      <c r="S76" s="796"/>
      <c r="T76" s="796"/>
      <c r="U76" s="796"/>
      <c r="V76" s="796"/>
    </row>
    <row r="77" spans="1:22" x14ac:dyDescent="0.25">
      <c r="B77" s="896"/>
    </row>
  </sheetData>
  <phoneticPr fontId="0" type="noConversion"/>
  <pageMargins left="0.25" right="0.25" top="0.25" bottom="0.25" header="0.5" footer="0.5"/>
  <pageSetup scale="59" orientation="landscape"/>
  <headerFooter alignWithMargins="0">
    <oddFooter>&amp;L&amp;A&amp;R(c) 2009 BD and UMT Consulting Group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33</vt:i4>
      </vt:variant>
    </vt:vector>
  </HeadingPairs>
  <TitlesOfParts>
    <vt:vector size="56" baseType="lpstr">
      <vt:lpstr>Inst</vt:lpstr>
      <vt:lpstr>Input</vt:lpstr>
      <vt:lpstr>Current_Prior</vt:lpstr>
      <vt:lpstr>HistInfo</vt:lpstr>
      <vt:lpstr>Capital_Dep</vt:lpstr>
      <vt:lpstr>PPT</vt:lpstr>
      <vt:lpstr>Calc</vt:lpstr>
      <vt:lpstr>PPD_DD_2</vt:lpstr>
      <vt:lpstr>FT_PPD_DD</vt:lpstr>
      <vt:lpstr>Instructions</vt:lpstr>
      <vt:lpstr>Basic Project Info</vt:lpstr>
      <vt:lpstr>Project_Exp</vt:lpstr>
      <vt:lpstr>Financial Summary</vt:lpstr>
      <vt:lpstr>Assumptions</vt:lpstr>
      <vt:lpstr>REV Worksheet</vt:lpstr>
      <vt:lpstr>COGS Worksheet</vt:lpstr>
      <vt:lpstr>FTEs</vt:lpstr>
      <vt:lpstr>Income Statement</vt:lpstr>
      <vt:lpstr>Amortz &amp; Depr</vt:lpstr>
      <vt:lpstr>CashFlow &amp; NPV</vt:lpstr>
      <vt:lpstr>Dbase Input</vt:lpstr>
      <vt:lpstr>G3 Input</vt:lpstr>
      <vt:lpstr>G3 Output</vt:lpstr>
      <vt:lpstr>ASRFY</vt:lpstr>
      <vt:lpstr>Comp</vt:lpstr>
      <vt:lpstr>CurrentFY</vt:lpstr>
      <vt:lpstr>CurrentFYPriorSub</vt:lpstr>
      <vt:lpstr>DefExitFY</vt:lpstr>
      <vt:lpstr>DefExitFYOrig</vt:lpstr>
      <vt:lpstr>DiscR</vt:lpstr>
      <vt:lpstr>DiscRDE</vt:lpstr>
      <vt:lpstr>DiscRDEOrig</vt:lpstr>
      <vt:lpstr>DiscRPriorSub</vt:lpstr>
      <vt:lpstr>FinR</vt:lpstr>
      <vt:lpstr>GrowthR</vt:lpstr>
      <vt:lpstr>LaunchDefExitOrigFY</vt:lpstr>
      <vt:lpstr>LaunchFY</vt:lpstr>
      <vt:lpstr>LaunchFYPriorSub</vt:lpstr>
      <vt:lpstr>LaunchOrigFY</vt:lpstr>
      <vt:lpstr>'Amortz &amp; Depr'!Print_Area</vt:lpstr>
      <vt:lpstr>'Basic Project Info'!Print_Area</vt:lpstr>
      <vt:lpstr>Calc!Print_Area</vt:lpstr>
      <vt:lpstr>Capital_Dep!Print_Area</vt:lpstr>
      <vt:lpstr>'CashFlow &amp; NPV'!Print_Area</vt:lpstr>
      <vt:lpstr>'G3 Output'!Print_Area</vt:lpstr>
      <vt:lpstr>Inst!Print_Area</vt:lpstr>
      <vt:lpstr>PPT!Print_Area</vt:lpstr>
      <vt:lpstr>Project_Exp!Print_Area</vt:lpstr>
      <vt:lpstr>'REV Worksheet'!Print_Area</vt:lpstr>
      <vt:lpstr>FTEs!Print_Titles</vt:lpstr>
      <vt:lpstr>ProjStartFY</vt:lpstr>
      <vt:lpstr>QTR</vt:lpstr>
      <vt:lpstr>quarters</vt:lpstr>
      <vt:lpstr>ReinvR</vt:lpstr>
      <vt:lpstr>TaxR</vt:lpstr>
      <vt:lpstr>TaxRDE</vt:lpstr>
    </vt:vector>
  </TitlesOfParts>
  <Company>BD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Eunme Jelso</dc:creator>
  <cp:lastModifiedBy>Karnkumar Dalmia</cp:lastModifiedBy>
  <cp:lastPrinted>2008-08-12T22:15:14Z</cp:lastPrinted>
  <dcterms:created xsi:type="dcterms:W3CDTF">2003-06-02T23:21:29Z</dcterms:created>
  <dcterms:modified xsi:type="dcterms:W3CDTF">2018-08-10T13:52:06Z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